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ingAny\Transfer Entropy\EyeHeadDirc\"/>
    </mc:Choice>
  </mc:AlternateContent>
  <xr:revisionPtr revIDLastSave="0" documentId="8_{DEAF5948-113A-435F-B52F-4521DD20F484}" xr6:coauthVersionLast="45" xr6:coauthVersionMax="45" xr10:uidLastSave="{00000000-0000-0000-0000-000000000000}"/>
  <bookViews>
    <workbookView xWindow="1152" yWindow="1152" windowWidth="17280" windowHeight="8964"/>
  </bookViews>
  <sheets>
    <sheet name="TxtToExcel_Tem_Tx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</calcChain>
</file>

<file path=xl/sharedStrings.xml><?xml version="1.0" encoding="utf-8"?>
<sst xmlns="http://schemas.openxmlformats.org/spreadsheetml/2006/main" count="11730" uniqueCount="118">
  <si>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</si>
  <si>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</si>
  <si>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</si>
  <si>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</si>
  <si>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</si>
  <si>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</si>
  <si>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</si>
  <si>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</si>
  <si>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</si>
  <si>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</si>
  <si>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</si>
  <si>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</si>
  <si>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</si>
  <si>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</si>
  <si>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</si>
  <si>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</si>
  <si>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</si>
  <si>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</si>
  <si>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</si>
  <si>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</si>
  <si>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</si>
  <si>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</si>
  <si>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</si>
  <si>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</si>
  <si>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</si>
  <si>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</si>
  <si>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</si>
  <si>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</si>
  <si>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</si>
  <si>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</si>
  <si>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</si>
  <si>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</si>
  <si>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</si>
  <si>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</si>
  <si>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</si>
  <si>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</si>
  <si>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</si>
  <si>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Theta_Head</t>
  </si>
  <si>
    <t>Phi_Head</t>
  </si>
  <si>
    <t>r_Head_value_is_1</t>
  </si>
  <si>
    <t>Testhuanghun_on</t>
  </si>
  <si>
    <t>Box001</t>
  </si>
  <si>
    <t>Floor 01</t>
  </si>
  <si>
    <t>mcp_road_part_02</t>
  </si>
  <si>
    <t>Building 07 (16)</t>
  </si>
  <si>
    <t>FAR</t>
  </si>
  <si>
    <t>Plane_01</t>
  </si>
  <si>
    <t>Kooper</t>
  </si>
  <si>
    <t>mcp_roads_turn_01 (1)</t>
  </si>
  <si>
    <t>Plane_01 (1)</t>
  </si>
  <si>
    <t>Building 15 (22)</t>
  </si>
  <si>
    <t>Building 18 (9)</t>
  </si>
  <si>
    <t>Building 07 (17)</t>
  </si>
  <si>
    <t>Building 07 (18)</t>
  </si>
  <si>
    <t>Building 24</t>
  </si>
  <si>
    <t>Building 24 (1)</t>
  </si>
  <si>
    <t>Building 15 (35)</t>
  </si>
  <si>
    <t>mcp_roads_T_cross_01</t>
  </si>
  <si>
    <t>mcp_roads_cross_02</t>
  </si>
  <si>
    <t>mcp_roads_turn_01</t>
  </si>
  <si>
    <t>Building 18 (2)</t>
  </si>
  <si>
    <t>Building 23 (4)</t>
  </si>
  <si>
    <t>Building 15 (34)</t>
  </si>
  <si>
    <t>mcp_road_part_01</t>
  </si>
  <si>
    <t>Building 18 (4)</t>
  </si>
  <si>
    <t>Pilar 02 (2)</t>
  </si>
  <si>
    <t>Pilar 02 (1)</t>
  </si>
  <si>
    <t>Wall Small 03 (10)</t>
  </si>
  <si>
    <t>Building 07 (4)</t>
  </si>
  <si>
    <t>Building 02 (8)</t>
  </si>
  <si>
    <t>Building 15 (33)</t>
  </si>
  <si>
    <t>mcp_roads_cross_01</t>
  </si>
  <si>
    <t>Building 15 (31)</t>
  </si>
  <si>
    <t>Building 01 (9)</t>
  </si>
  <si>
    <t>Tree 04 (1)</t>
  </si>
  <si>
    <t>Building 15 (32)</t>
  </si>
  <si>
    <t>Building 09 (4)</t>
  </si>
  <si>
    <t>Building 15 (30)</t>
  </si>
  <si>
    <t>Building 07 (15)</t>
  </si>
  <si>
    <t>Building 02 (11)</t>
  </si>
  <si>
    <t>Building 29 (5)</t>
  </si>
  <si>
    <t>Tree 02 (2)</t>
  </si>
  <si>
    <t>Tong (3)</t>
  </si>
  <si>
    <t>Stand 03 (2)</t>
  </si>
  <si>
    <t>Building 04 (2)</t>
  </si>
  <si>
    <t>Tree 02 (3)</t>
  </si>
  <si>
    <t>mcp_building_24_fountain_marble</t>
  </si>
  <si>
    <t>Building 01</t>
  </si>
  <si>
    <t>Tree 04 (7)</t>
  </si>
  <si>
    <t>Building 18 (5)</t>
  </si>
  <si>
    <t>Building 11 (3)</t>
  </si>
  <si>
    <t>Bannar Stand</t>
  </si>
  <si>
    <t>Bannar 14 (1)</t>
  </si>
  <si>
    <t>Building 21 (2)</t>
  </si>
  <si>
    <t>Building 01 (1)</t>
  </si>
  <si>
    <t>Building 15 (7)</t>
  </si>
  <si>
    <t>Building 13 (1)</t>
  </si>
  <si>
    <t>Building 18 (7)</t>
  </si>
  <si>
    <t>Building 18 (6)</t>
  </si>
  <si>
    <t>Building 30 (4)</t>
  </si>
  <si>
    <t>mcp_road_part_02 (3)</t>
  </si>
  <si>
    <t>mcp_road_part_02 (2)</t>
  </si>
  <si>
    <t>mcp_road_part_02 (1)</t>
  </si>
  <si>
    <t>Shurbs (2)</t>
  </si>
  <si>
    <t>Shurbs (1)</t>
  </si>
  <si>
    <t>Tree 04 (4)</t>
  </si>
  <si>
    <t>Building 04 (3)</t>
  </si>
  <si>
    <t>Shurbs</t>
  </si>
  <si>
    <t>Shurbs (3)</t>
  </si>
  <si>
    <t>Fire Hydrant (3)</t>
  </si>
  <si>
    <t>mcp_bus_stop_night_LOD_0</t>
  </si>
  <si>
    <t>Building 07 (14)</t>
  </si>
  <si>
    <t>mcp_road_part_02 (10)</t>
  </si>
  <si>
    <t>mcp_road_part_02 (8)</t>
  </si>
  <si>
    <t>mcp_road_part_02 (9)</t>
  </si>
  <si>
    <t>mcp_road_part_02 (12)</t>
  </si>
  <si>
    <t>mcp_road_part_02 (11)</t>
  </si>
  <si>
    <t>Building 18 (11)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</si>
</sst>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846"/>
  <sheetViews>
    <sheetView tabSelected="1" workbookViewId="0"/>
  </sheetViews>
  <sheetFormatPr defaultRowHeight="13.8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 t="str">
        <f>"20190303170715548"</f>
        <v>20190303170715548</v>
      </c>
      <c r="B2" t="str">
        <f>"1551604035542434"</f>
        <v>1551604035542434</v>
      </c>
      <c r="C2" t="s">
        <v>40</v>
      </c>
      <c r="D2">
        <v>4.2518209999999996</v>
      </c>
      <c r="E2">
        <v>0.52864709999999904</v>
      </c>
      <c r="F2" t="s">
        <v>41</v>
      </c>
      <c r="G2">
        <v>-404.8503</v>
      </c>
      <c r="H2">
        <v>0.72754540000000001</v>
      </c>
      <c r="I2">
        <v>357.85469999999998</v>
      </c>
      <c r="J2">
        <v>-475.66039999999998</v>
      </c>
      <c r="K2">
        <v>1.1206240000000001</v>
      </c>
      <c r="L2">
        <v>367.06790000000001</v>
      </c>
      <c r="M2">
        <v>0.99996759999999996</v>
      </c>
      <c r="N2">
        <v>-8.0459469999999995E-3</v>
      </c>
      <c r="O2">
        <v>1.7603789999999999E-4</v>
      </c>
      <c r="P2">
        <v>0.98111479999999995</v>
      </c>
      <c r="Q2">
        <v>0.1836421</v>
      </c>
      <c r="R2">
        <v>-6.0741469999999999E-2</v>
      </c>
      <c r="S2">
        <v>3.0360109999999998</v>
      </c>
      <c r="T2">
        <v>-1.6855120000000001E-2</v>
      </c>
      <c r="U2">
        <v>-0.39495849999999999</v>
      </c>
      <c r="V2">
        <v>6.0896970000000002E-2</v>
      </c>
      <c r="W2">
        <v>0.1915356</v>
      </c>
      <c r="X2">
        <v>0.97959459999999998</v>
      </c>
      <c r="Y2">
        <v>0.12917400000000001</v>
      </c>
      <c r="Z2">
        <v>-8.7848709999999999E-4</v>
      </c>
      <c r="AA2">
        <v>0.99162159999999999</v>
      </c>
      <c r="AB2">
        <v>1</v>
      </c>
      <c r="AC2">
        <v>70.810099999999906</v>
      </c>
      <c r="AD2">
        <v>-0.3930786</v>
      </c>
      <c r="AE2">
        <v>-9.21320000000002</v>
      </c>
      <c r="AF2">
        <v>9.2253859704211294</v>
      </c>
      <c r="AG2">
        <v>-0.3930786</v>
      </c>
      <c r="AH2">
        <v>70.806331372418896</v>
      </c>
      <c r="AI2">
        <v>90.315406245079203</v>
      </c>
      <c r="AJ2">
        <v>82.576725722194993</v>
      </c>
      <c r="AK2">
        <v>71.405873844592193</v>
      </c>
      <c r="AL2">
        <v>78.957585846691302</v>
      </c>
      <c r="AM2">
        <v>86.442757941374694</v>
      </c>
      <c r="AN2">
        <v>0.99999995368584904</v>
      </c>
    </row>
    <row r="3" spans="1:40" x14ac:dyDescent="0.25">
      <c r="A3" t="str">
        <f>"20190303170715569"</f>
        <v>20190303170715569</v>
      </c>
      <c r="B3" t="str">
        <f>"1551604035561952"</f>
        <v>1551604035561952</v>
      </c>
      <c r="C3" t="s">
        <v>40</v>
      </c>
      <c r="D3">
        <v>4.1018509999999999</v>
      </c>
      <c r="E3">
        <v>0.52890709999999996</v>
      </c>
      <c r="F3" t="s">
        <v>41</v>
      </c>
      <c r="G3">
        <v>-404.83179999999999</v>
      </c>
      <c r="H3">
        <v>0.81036960000000002</v>
      </c>
      <c r="I3">
        <v>357.8331</v>
      </c>
      <c r="J3">
        <v>-475.64789999999999</v>
      </c>
      <c r="K3">
        <v>1.120485</v>
      </c>
      <c r="L3">
        <v>367.06799999999998</v>
      </c>
      <c r="M3">
        <v>0.99997559999999996</v>
      </c>
      <c r="N3">
        <v>-6.9762239999999996E-3</v>
      </c>
      <c r="O3">
        <v>3.0318009999999999E-4</v>
      </c>
      <c r="P3">
        <v>0.9808057</v>
      </c>
      <c r="Q3">
        <v>0.18536839999999999</v>
      </c>
      <c r="R3">
        <v>-6.0489300000000003E-2</v>
      </c>
      <c r="S3">
        <v>3.0357669999999999</v>
      </c>
      <c r="T3">
        <v>-1.32941E-2</v>
      </c>
      <c r="U3">
        <v>-0.39581300000000003</v>
      </c>
      <c r="V3">
        <v>6.0764350000000002E-2</v>
      </c>
      <c r="W3">
        <v>0.1922132</v>
      </c>
      <c r="X3">
        <v>0.97947010000000001</v>
      </c>
      <c r="Y3">
        <v>0.12958629999999999</v>
      </c>
      <c r="Z3">
        <v>-7.3568600000000004E-4</v>
      </c>
      <c r="AA3">
        <v>0.99156789999999995</v>
      </c>
      <c r="AB3">
        <v>1</v>
      </c>
      <c r="AC3">
        <v>70.816100000000006</v>
      </c>
      <c r="AD3">
        <v>-0.31011539999999899</v>
      </c>
      <c r="AE3">
        <v>-9.2349000000000299</v>
      </c>
      <c r="AF3">
        <v>9.2561955920435501</v>
      </c>
      <c r="AG3">
        <v>-0.31011539999999899</v>
      </c>
      <c r="AH3">
        <v>70.811961579237504</v>
      </c>
      <c r="AI3">
        <v>90.248804182653501</v>
      </c>
      <c r="AJ3">
        <v>82.552797922792493</v>
      </c>
      <c r="AK3">
        <v>71.415035049343004</v>
      </c>
      <c r="AL3">
        <v>78.918027147365507</v>
      </c>
      <c r="AM3">
        <v>86.450034969139395</v>
      </c>
      <c r="AN3">
        <v>0.99999994863958397</v>
      </c>
    </row>
    <row r="4" spans="1:40" x14ac:dyDescent="0.25">
      <c r="A4" t="str">
        <f>"20190303170715592"</f>
        <v>20190303170715592</v>
      </c>
      <c r="B4" t="str">
        <f>"1551604035582449"</f>
        <v>1551604035582449</v>
      </c>
      <c r="C4" t="s">
        <v>40</v>
      </c>
      <c r="D4">
        <v>4.1302159999999999</v>
      </c>
      <c r="E4">
        <v>0.52918529999999997</v>
      </c>
      <c r="F4" t="s">
        <v>42</v>
      </c>
      <c r="G4">
        <v>-333.66230000000002</v>
      </c>
      <c r="H4">
        <v>0.83119370000000004</v>
      </c>
      <c r="I4">
        <v>348.51170000000002</v>
      </c>
      <c r="J4">
        <v>-475.63200000000001</v>
      </c>
      <c r="K4">
        <v>1.120357</v>
      </c>
      <c r="L4">
        <v>367.06819999999999</v>
      </c>
      <c r="M4">
        <v>0.99998279999999995</v>
      </c>
      <c r="N4">
        <v>-5.8764489999999997E-3</v>
      </c>
      <c r="O4">
        <v>4.615582E-4</v>
      </c>
      <c r="P4">
        <v>0.98043469999999999</v>
      </c>
      <c r="Q4">
        <v>0.18727240000000001</v>
      </c>
      <c r="R4">
        <v>-6.0641979999999998E-2</v>
      </c>
      <c r="S4">
        <v>3.0353699999999999</v>
      </c>
      <c r="T4">
        <v>-6.1827899999999996E-3</v>
      </c>
      <c r="U4">
        <v>-0.396698</v>
      </c>
      <c r="V4">
        <v>6.1068450000000003E-2</v>
      </c>
      <c r="W4">
        <v>0.1930386</v>
      </c>
      <c r="X4">
        <v>0.97928890000000002</v>
      </c>
      <c r="Y4">
        <v>0.13004640000000001</v>
      </c>
      <c r="Z4">
        <v>-5.1384930000000003E-4</v>
      </c>
      <c r="AA4">
        <v>0.99150780000000005</v>
      </c>
      <c r="AB4">
        <v>1</v>
      </c>
      <c r="AC4">
        <v>141.96969999999899</v>
      </c>
      <c r="AD4">
        <v>-0.28916329999999901</v>
      </c>
      <c r="AE4">
        <v>-18.5564999999999</v>
      </c>
      <c r="AF4">
        <v>18.621950466436299</v>
      </c>
      <c r="AG4">
        <v>-0.28916329999999901</v>
      </c>
      <c r="AH4">
        <v>141.960540789899</v>
      </c>
      <c r="AI4">
        <v>90.1157158408557</v>
      </c>
      <c r="AJ4">
        <v>82.526784425738299</v>
      </c>
      <c r="AK4">
        <v>143.17700861503201</v>
      </c>
      <c r="AL4">
        <v>78.869833247570895</v>
      </c>
      <c r="AM4">
        <v>86.431656230279103</v>
      </c>
      <c r="AN4">
        <v>1.0000000031692799</v>
      </c>
    </row>
    <row r="5" spans="1:40" x14ac:dyDescent="0.25">
      <c r="A5" t="str">
        <f>"20190303170715617"</f>
        <v>20190303170715617</v>
      </c>
      <c r="B5" t="str">
        <f>"1551604035601969"</f>
        <v>1551604035601969</v>
      </c>
      <c r="C5" t="s">
        <v>40</v>
      </c>
      <c r="D5">
        <v>4.1629659999999999</v>
      </c>
      <c r="E5">
        <v>0.52950249999999999</v>
      </c>
      <c r="F5" t="s">
        <v>42</v>
      </c>
      <c r="G5">
        <v>-334.59829999999999</v>
      </c>
      <c r="H5">
        <v>1.1864790000000001</v>
      </c>
      <c r="I5">
        <v>348.51170000000002</v>
      </c>
      <c r="J5">
        <v>-475.61149999999998</v>
      </c>
      <c r="K5">
        <v>1.1202449999999999</v>
      </c>
      <c r="L5">
        <v>367.0684</v>
      </c>
      <c r="M5">
        <v>0.99998869999999895</v>
      </c>
      <c r="N5">
        <v>-4.7279799999999997E-3</v>
      </c>
      <c r="O5">
        <v>6.609583E-4</v>
      </c>
      <c r="P5">
        <v>0.98014109999999999</v>
      </c>
      <c r="Q5">
        <v>0.18884329999999999</v>
      </c>
      <c r="R5">
        <v>-6.0516380000000002E-2</v>
      </c>
      <c r="S5">
        <v>3.0349430000000002</v>
      </c>
      <c r="T5">
        <v>1.424551E-3</v>
      </c>
      <c r="U5">
        <v>-0.39932250000000002</v>
      </c>
      <c r="V5">
        <v>6.1134849999999998E-2</v>
      </c>
      <c r="W5">
        <v>0.1934844</v>
      </c>
      <c r="X5">
        <v>0.97919679999999998</v>
      </c>
      <c r="Y5">
        <v>0.131106</v>
      </c>
      <c r="Z5">
        <v>-2.7720700000000002E-4</v>
      </c>
      <c r="AA5">
        <v>0.99136829999999998</v>
      </c>
      <c r="AB5">
        <v>2</v>
      </c>
      <c r="AC5">
        <v>141.01319999999899</v>
      </c>
      <c r="AD5">
        <v>6.6233999999999904E-2</v>
      </c>
      <c r="AE5">
        <v>-18.5566999999999</v>
      </c>
      <c r="AF5">
        <v>18.649896779843299</v>
      </c>
      <c r="AG5">
        <v>6.6233999999999904E-2</v>
      </c>
      <c r="AH5">
        <v>141.000873278673</v>
      </c>
      <c r="AI5">
        <v>89.973318165826697</v>
      </c>
      <c r="AJ5">
        <v>82.465340585752202</v>
      </c>
      <c r="AK5">
        <v>142.228932718311</v>
      </c>
      <c r="AL5">
        <v>78.843800272211695</v>
      </c>
      <c r="AM5">
        <v>86.427451274810807</v>
      </c>
      <c r="AN5">
        <v>1.00000002802906</v>
      </c>
    </row>
    <row r="6" spans="1:40" x14ac:dyDescent="0.25">
      <c r="A6" t="str">
        <f>"20190303170715637"</f>
        <v>20190303170715637</v>
      </c>
      <c r="B6" t="str">
        <f>"1551604035631754"</f>
        <v>1551604035631754</v>
      </c>
      <c r="C6" t="s">
        <v>40</v>
      </c>
      <c r="D6">
        <v>4.0453789999999996</v>
      </c>
      <c r="E6">
        <v>0.52964880000000003</v>
      </c>
      <c r="F6" t="s">
        <v>42</v>
      </c>
      <c r="G6">
        <v>-335.13869999999997</v>
      </c>
      <c r="H6">
        <v>1.522297</v>
      </c>
      <c r="I6">
        <v>348.51170000000002</v>
      </c>
      <c r="J6">
        <v>-475.59070000000003</v>
      </c>
      <c r="K6">
        <v>1.1201620000000001</v>
      </c>
      <c r="L6">
        <v>367.06849999999997</v>
      </c>
      <c r="M6">
        <v>0.99999249999999995</v>
      </c>
      <c r="N6">
        <v>-3.8047300000000001E-3</v>
      </c>
      <c r="O6">
        <v>8.5849820000000003E-4</v>
      </c>
      <c r="P6">
        <v>0.97993869999999905</v>
      </c>
      <c r="Q6">
        <v>0.18998209999999999</v>
      </c>
      <c r="R6">
        <v>-6.02269E-2</v>
      </c>
      <c r="S6">
        <v>3.0343930000000001</v>
      </c>
      <c r="T6">
        <v>8.6865429999999997E-3</v>
      </c>
      <c r="U6">
        <v>-0.40084839999999999</v>
      </c>
      <c r="V6">
        <v>6.1037260000000003E-2</v>
      </c>
      <c r="W6">
        <v>0.1937188</v>
      </c>
      <c r="X6">
        <v>0.97915649999999999</v>
      </c>
      <c r="Y6">
        <v>0.13181509999999999</v>
      </c>
      <c r="Z6" s="1">
        <v>-5.8289760000000003E-5</v>
      </c>
      <c r="AA6">
        <v>0.99127430000000005</v>
      </c>
      <c r="AB6">
        <v>2</v>
      </c>
      <c r="AC6">
        <v>140.452</v>
      </c>
      <c r="AD6">
        <v>0.40213499999999902</v>
      </c>
      <c r="AE6">
        <v>-18.5567999999999</v>
      </c>
      <c r="AF6">
        <v>18.677221328679298</v>
      </c>
      <c r="AG6">
        <v>0.40213499999999902</v>
      </c>
      <c r="AH6">
        <v>140.43488566759899</v>
      </c>
      <c r="AI6">
        <v>89.837366112006805</v>
      </c>
      <c r="AJ6">
        <v>82.424370384298101</v>
      </c>
      <c r="AK6">
        <v>141.672006485369</v>
      </c>
      <c r="AL6">
        <v>78.830110671683002</v>
      </c>
      <c r="AM6">
        <v>86.432992999981195</v>
      </c>
      <c r="AN6">
        <v>0.99999998603699802</v>
      </c>
    </row>
    <row r="7" spans="1:40" x14ac:dyDescent="0.25">
      <c r="A7" t="str">
        <f>"20190303170715661"</f>
        <v>20190303170715661</v>
      </c>
      <c r="B7" t="str">
        <f>"1551604035652251"</f>
        <v>1551604035652251</v>
      </c>
      <c r="C7" t="s">
        <v>40</v>
      </c>
      <c r="D7">
        <v>4.0263239999999998</v>
      </c>
      <c r="E7">
        <v>0.52984900000000001</v>
      </c>
      <c r="F7" t="s">
        <v>42</v>
      </c>
      <c r="G7">
        <v>-335.4676</v>
      </c>
      <c r="H7">
        <v>1.83378</v>
      </c>
      <c r="I7">
        <v>348.51170000000002</v>
      </c>
      <c r="J7">
        <v>-475.56540000000001</v>
      </c>
      <c r="K7">
        <v>1.120106</v>
      </c>
      <c r="L7">
        <v>367.06880000000001</v>
      </c>
      <c r="M7">
        <v>0.99999519999999997</v>
      </c>
      <c r="N7">
        <v>-2.9336610000000002E-3</v>
      </c>
      <c r="O7">
        <v>1.09296E-3</v>
      </c>
      <c r="P7">
        <v>0.97983869999999895</v>
      </c>
      <c r="Q7">
        <v>0.190606</v>
      </c>
      <c r="R7">
        <v>-5.988371E-2</v>
      </c>
      <c r="S7">
        <v>3.033722</v>
      </c>
      <c r="T7">
        <v>1.545179E-2</v>
      </c>
      <c r="U7">
        <v>-0.40176390000000001</v>
      </c>
      <c r="V7">
        <v>6.0922320000000002E-2</v>
      </c>
      <c r="W7">
        <v>0.19348960000000001</v>
      </c>
      <c r="X7">
        <v>0.979209</v>
      </c>
      <c r="Y7">
        <v>0.13236909999999999</v>
      </c>
      <c r="Z7">
        <v>1.4936039999999999E-4</v>
      </c>
      <c r="AA7">
        <v>0.99120050000000004</v>
      </c>
      <c r="AB7">
        <v>2</v>
      </c>
      <c r="AC7">
        <v>140.09780000000001</v>
      </c>
      <c r="AD7">
        <v>0.71367399999999903</v>
      </c>
      <c r="AE7">
        <v>-18.557099999999899</v>
      </c>
      <c r="AF7">
        <v>18.709733705404901</v>
      </c>
      <c r="AG7">
        <v>0.71367399999999903</v>
      </c>
      <c r="AH7">
        <v>140.07386182915201</v>
      </c>
      <c r="AI7">
        <v>89.710651172439995</v>
      </c>
      <c r="AJ7">
        <v>82.392006579997201</v>
      </c>
      <c r="AK7">
        <v>141.31967390861701</v>
      </c>
      <c r="AL7">
        <v>78.843496392175297</v>
      </c>
      <c r="AM7">
        <v>86.439883173898195</v>
      </c>
      <c r="AN7">
        <v>1.0000000100316699</v>
      </c>
    </row>
    <row r="8" spans="1:40" x14ac:dyDescent="0.25">
      <c r="A8" t="str">
        <f>"20190303170715703"</f>
        <v>20190303170715703</v>
      </c>
      <c r="B8" t="str">
        <f>"1551604035692267"</f>
        <v>1551604035692267</v>
      </c>
      <c r="C8" t="s">
        <v>40</v>
      </c>
      <c r="D8">
        <v>3.9855969999999998</v>
      </c>
      <c r="E8">
        <v>0.53000179999999997</v>
      </c>
      <c r="F8" t="s">
        <v>42</v>
      </c>
      <c r="G8">
        <v>-335.59899999999999</v>
      </c>
      <c r="H8">
        <v>1.9935799999999999</v>
      </c>
      <c r="I8">
        <v>348.51170000000002</v>
      </c>
      <c r="J8">
        <v>-475.51179999999999</v>
      </c>
      <c r="K8">
        <v>1.1200410000000001</v>
      </c>
      <c r="L8">
        <v>367.0693</v>
      </c>
      <c r="M8">
        <v>0.99999749999999998</v>
      </c>
      <c r="N8">
        <v>-1.628121E-3</v>
      </c>
      <c r="O8">
        <v>1.571661E-3</v>
      </c>
      <c r="P8">
        <v>0.97975650000000003</v>
      </c>
      <c r="Q8">
        <v>0.19108720000000001</v>
      </c>
      <c r="R8">
        <v>-5.9693450000000002E-2</v>
      </c>
      <c r="S8">
        <v>3.0335079999999999</v>
      </c>
      <c r="T8">
        <v>1.8932580000000001E-2</v>
      </c>
      <c r="U8">
        <v>-0.40219120000000003</v>
      </c>
      <c r="V8">
        <v>6.1199610000000002E-2</v>
      </c>
      <c r="W8">
        <v>0.19269240000000001</v>
      </c>
      <c r="X8">
        <v>0.97934889999999997</v>
      </c>
      <c r="Y8">
        <v>0.13298869999999999</v>
      </c>
      <c r="Z8">
        <v>3.167701E-4</v>
      </c>
      <c r="AA8">
        <v>0.99111749999999998</v>
      </c>
      <c r="AB8">
        <v>2</v>
      </c>
      <c r="AC8">
        <v>139.9128</v>
      </c>
      <c r="AD8">
        <v>0.87353899999999896</v>
      </c>
      <c r="AE8">
        <v>-18.557599999999901</v>
      </c>
      <c r="AF8">
        <v>18.776753572313599</v>
      </c>
      <c r="AG8">
        <v>0.87353899999999896</v>
      </c>
      <c r="AH8">
        <v>139.87810262440399</v>
      </c>
      <c r="AI8">
        <v>89.645373149346597</v>
      </c>
      <c r="AJ8">
        <v>82.354516235033998</v>
      </c>
      <c r="AK8">
        <v>141.135442532708</v>
      </c>
      <c r="AL8">
        <v>78.890048669031003</v>
      </c>
      <c r="AM8">
        <v>86.424230687008304</v>
      </c>
      <c r="AN8">
        <v>1.0000000106065601</v>
      </c>
    </row>
    <row r="9" spans="1:40" x14ac:dyDescent="0.25">
      <c r="A9" t="str">
        <f>"20190303170715727"</f>
        <v>20190303170715727</v>
      </c>
      <c r="B9" t="str">
        <f>"1551604035722056"</f>
        <v>1551604035722056</v>
      </c>
      <c r="C9" t="s">
        <v>40</v>
      </c>
      <c r="D9">
        <v>3.9711270000000001</v>
      </c>
      <c r="E9">
        <v>0.53012079999999995</v>
      </c>
      <c r="F9" t="s">
        <v>42</v>
      </c>
      <c r="G9">
        <v>-335.67579999999998</v>
      </c>
      <c r="H9">
        <v>2.2021769999999998</v>
      </c>
      <c r="I9">
        <v>348.51170000000002</v>
      </c>
      <c r="J9">
        <v>-475.47629999999998</v>
      </c>
      <c r="K9">
        <v>1.1200019999999999</v>
      </c>
      <c r="L9">
        <v>367.06970000000001</v>
      </c>
      <c r="M9">
        <v>0.99999769999999999</v>
      </c>
      <c r="N9">
        <v>-9.8756319999999996E-4</v>
      </c>
      <c r="O9">
        <v>1.8792279999999999E-3</v>
      </c>
      <c r="P9">
        <v>0.9798346</v>
      </c>
      <c r="Q9">
        <v>0.19075030000000001</v>
      </c>
      <c r="R9">
        <v>-5.9484820000000001E-2</v>
      </c>
      <c r="S9">
        <v>3.0328979999999999</v>
      </c>
      <c r="T9">
        <v>2.3472070000000001E-2</v>
      </c>
      <c r="U9">
        <v>-0.40249629999999997</v>
      </c>
      <c r="V9">
        <v>6.1292569999999998E-2</v>
      </c>
      <c r="W9">
        <v>0.1917288</v>
      </c>
      <c r="X9">
        <v>0.97953219999999996</v>
      </c>
      <c r="Y9">
        <v>0.133415899999999</v>
      </c>
      <c r="Z9">
        <v>4.6416380000000002E-4</v>
      </c>
      <c r="AA9">
        <v>0.99106000000000005</v>
      </c>
      <c r="AB9">
        <v>3</v>
      </c>
      <c r="AC9">
        <v>139.8005</v>
      </c>
      <c r="AD9">
        <v>1.0821750000000001</v>
      </c>
      <c r="AE9">
        <v>-18.558</v>
      </c>
      <c r="AF9">
        <v>18.8195762290961</v>
      </c>
      <c r="AG9">
        <v>1.0821750000000001</v>
      </c>
      <c r="AH9">
        <v>139.757149070108</v>
      </c>
      <c r="AI9">
        <v>89.560321431641199</v>
      </c>
      <c r="AJ9">
        <v>82.3307338878558</v>
      </c>
      <c r="AK9">
        <v>141.02272252505199</v>
      </c>
      <c r="AL9">
        <v>78.946308031093494</v>
      </c>
      <c r="AM9">
        <v>86.419481751153199</v>
      </c>
      <c r="AN9">
        <v>1.0000000213617399</v>
      </c>
    </row>
    <row r="10" spans="1:40" x14ac:dyDescent="0.25">
      <c r="A10" t="str">
        <f>"20190303170715747"</f>
        <v>20190303170715747</v>
      </c>
      <c r="B10" t="str">
        <f>"1551604035741576"</f>
        <v>1551604035741576</v>
      </c>
      <c r="C10" t="s">
        <v>40</v>
      </c>
      <c r="D10">
        <v>4.1578280000000003</v>
      </c>
      <c r="E10">
        <v>0.53018259999999995</v>
      </c>
      <c r="F10" t="s">
        <v>42</v>
      </c>
      <c r="G10">
        <v>-335.5926</v>
      </c>
      <c r="H10">
        <v>2.2087690000000002</v>
      </c>
      <c r="I10">
        <v>348.51170000000002</v>
      </c>
      <c r="J10">
        <v>-475.44529999999997</v>
      </c>
      <c r="K10">
        <v>1.119977</v>
      </c>
      <c r="L10">
        <v>367.07</v>
      </c>
      <c r="M10">
        <v>0.99999769999999999</v>
      </c>
      <c r="N10">
        <v>-5.2841809999999896E-4</v>
      </c>
      <c r="O10">
        <v>2.1426370000000002E-3</v>
      </c>
      <c r="P10">
        <v>0.9799717</v>
      </c>
      <c r="Q10">
        <v>0.19004940000000001</v>
      </c>
      <c r="R10">
        <v>-5.9474159999999998E-2</v>
      </c>
      <c r="S10">
        <v>3.032715</v>
      </c>
      <c r="T10">
        <v>2.3606419999999999E-2</v>
      </c>
      <c r="U10">
        <v>-0.40234379999999997</v>
      </c>
      <c r="V10">
        <v>6.1540150000000002E-2</v>
      </c>
      <c r="W10">
        <v>0.190578</v>
      </c>
      <c r="X10">
        <v>0.97974119999999998</v>
      </c>
      <c r="Y10">
        <v>0.13363549999999999</v>
      </c>
      <c r="Z10">
        <v>5.0009849999999999E-4</v>
      </c>
      <c r="AA10">
        <v>0.99103050000000004</v>
      </c>
      <c r="AB10">
        <v>3</v>
      </c>
      <c r="AC10">
        <v>139.852699999999</v>
      </c>
      <c r="AD10">
        <v>1.08879199999999</v>
      </c>
      <c r="AE10">
        <v>-18.5582999999999</v>
      </c>
      <c r="AF10">
        <v>18.856787828677501</v>
      </c>
      <c r="AG10">
        <v>1.08879199999999</v>
      </c>
      <c r="AH10">
        <v>139.80428829164799</v>
      </c>
      <c r="AI10">
        <v>89.5577951799049</v>
      </c>
      <c r="AJ10">
        <v>82.318310634960397</v>
      </c>
      <c r="AK10">
        <v>141.074458850528</v>
      </c>
      <c r="AL10">
        <v>79.013482374664704</v>
      </c>
      <c r="AM10">
        <v>86.405821630628097</v>
      </c>
      <c r="AN10">
        <v>0.99999999156173103</v>
      </c>
    </row>
    <row r="11" spans="1:40" x14ac:dyDescent="0.25">
      <c r="A11" t="str">
        <f>"20190303170715770"</f>
        <v>20190303170715770</v>
      </c>
      <c r="B11" t="str">
        <f>"1551604035762072"</f>
        <v>1551604035762072</v>
      </c>
      <c r="C11" t="s">
        <v>40</v>
      </c>
      <c r="D11">
        <v>3.9783200000000001</v>
      </c>
      <c r="E11">
        <v>0.53025749999999905</v>
      </c>
      <c r="F11" t="s">
        <v>42</v>
      </c>
      <c r="G11">
        <v>-335.75290000000001</v>
      </c>
      <c r="H11">
        <v>2.1295950000000001</v>
      </c>
      <c r="I11">
        <v>348.51170000000002</v>
      </c>
      <c r="J11">
        <v>-475.40449999999998</v>
      </c>
      <c r="K11">
        <v>1.119945</v>
      </c>
      <c r="L11">
        <v>367.07049999999998</v>
      </c>
      <c r="M11">
        <v>0.99999700000000002</v>
      </c>
      <c r="N11" s="1">
        <v>-2.832198E-5</v>
      </c>
      <c r="O11">
        <v>2.4829449999999999E-3</v>
      </c>
      <c r="P11">
        <v>0.98001930000000004</v>
      </c>
      <c r="Q11">
        <v>0.19001599999999999</v>
      </c>
      <c r="R11">
        <v>-5.8791820000000002E-2</v>
      </c>
      <c r="S11">
        <v>3.032654</v>
      </c>
      <c r="T11">
        <v>2.191997E-2</v>
      </c>
      <c r="U11">
        <v>-0.4028931</v>
      </c>
      <c r="V11">
        <v>6.1191080000000002E-2</v>
      </c>
      <c r="W11">
        <v>0.19005459999999999</v>
      </c>
      <c r="X11">
        <v>0.97986470000000003</v>
      </c>
      <c r="Y11">
        <v>0.13415199999999999</v>
      </c>
      <c r="Z11">
        <v>4.9872779999999997E-4</v>
      </c>
      <c r="AA11">
        <v>0.99096070000000003</v>
      </c>
      <c r="AB11">
        <v>3</v>
      </c>
      <c r="AC11">
        <v>139.65159999999901</v>
      </c>
      <c r="AD11">
        <v>1.0096499999999999</v>
      </c>
      <c r="AE11">
        <v>-18.558799999999898</v>
      </c>
      <c r="AF11">
        <v>18.9045190206797</v>
      </c>
      <c r="AG11">
        <v>1.0096499999999999</v>
      </c>
      <c r="AH11">
        <v>139.597918936555</v>
      </c>
      <c r="AI11">
        <v>89.589360299913196</v>
      </c>
      <c r="AJ11">
        <v>82.2878519915661</v>
      </c>
      <c r="AK11">
        <v>140.87575804212199</v>
      </c>
      <c r="AL11">
        <v>79.044029000710296</v>
      </c>
      <c r="AM11">
        <v>86.4266049274366</v>
      </c>
      <c r="AN11">
        <v>0.999999964779407</v>
      </c>
    </row>
    <row r="12" spans="1:40" x14ac:dyDescent="0.25">
      <c r="A12" t="str">
        <f>"20190303170715793"</f>
        <v>20190303170715793</v>
      </c>
      <c r="B12" t="str">
        <f>"1551604035781592"</f>
        <v>1551604035781592</v>
      </c>
      <c r="C12" t="s">
        <v>40</v>
      </c>
      <c r="D12">
        <v>3.95397</v>
      </c>
      <c r="E12">
        <v>0.53028430000000004</v>
      </c>
      <c r="F12" t="s">
        <v>42</v>
      </c>
      <c r="G12">
        <v>-335.18520000000001</v>
      </c>
      <c r="H12">
        <v>2.1612490000000002</v>
      </c>
      <c r="I12">
        <v>348.51170000000002</v>
      </c>
      <c r="J12">
        <v>-475.36360000000002</v>
      </c>
      <c r="K12">
        <v>1.1199129999999999</v>
      </c>
      <c r="L12">
        <v>367.07100000000003</v>
      </c>
      <c r="M12">
        <v>0.99999610000000005</v>
      </c>
      <c r="N12">
        <v>3.768035E-4</v>
      </c>
      <c r="O12">
        <v>2.820295E-3</v>
      </c>
      <c r="P12">
        <v>0.98013030000000001</v>
      </c>
      <c r="Q12">
        <v>0.18939249999999999</v>
      </c>
      <c r="R12">
        <v>-5.895276E-2</v>
      </c>
      <c r="S12">
        <v>3.032715</v>
      </c>
      <c r="T12">
        <v>2.2523399999999999E-2</v>
      </c>
      <c r="U12">
        <v>-0.40139770000000002</v>
      </c>
      <c r="V12">
        <v>6.1682590000000002E-2</v>
      </c>
      <c r="W12">
        <v>0.1890348</v>
      </c>
      <c r="X12">
        <v>0.98003119999999999</v>
      </c>
      <c r="Y12">
        <v>0.13400309999999999</v>
      </c>
      <c r="Z12">
        <v>5.4059469999999995E-4</v>
      </c>
      <c r="AA12">
        <v>0.99098070000000005</v>
      </c>
      <c r="AB12">
        <v>4</v>
      </c>
      <c r="AC12">
        <v>140.17840000000001</v>
      </c>
      <c r="AD12">
        <v>1.041336</v>
      </c>
      <c r="AE12">
        <v>-18.559299999999901</v>
      </c>
      <c r="AF12">
        <v>18.953542670142198</v>
      </c>
      <c r="AG12">
        <v>1.041336</v>
      </c>
      <c r="AH12">
        <v>140.11790063510699</v>
      </c>
      <c r="AI12">
        <v>89.578036693737602</v>
      </c>
      <c r="AJ12">
        <v>82.296442426882706</v>
      </c>
      <c r="AK12">
        <v>141.39783321820599</v>
      </c>
      <c r="AL12">
        <v>79.103538682550095</v>
      </c>
      <c r="AM12">
        <v>86.398587675078701</v>
      </c>
      <c r="AN12">
        <v>1.00000002524679</v>
      </c>
    </row>
    <row r="13" spans="1:40" x14ac:dyDescent="0.25">
      <c r="A13" t="str">
        <f>"20190303170715818"</f>
        <v>20190303170715818</v>
      </c>
      <c r="B13" t="str">
        <f>"1551604035802088"</f>
        <v>1551604035802088</v>
      </c>
      <c r="C13" t="s">
        <v>40</v>
      </c>
      <c r="D13">
        <v>3.8684460000000001</v>
      </c>
      <c r="E13">
        <v>0.53027650000000004</v>
      </c>
      <c r="F13" t="s">
        <v>42</v>
      </c>
      <c r="G13">
        <v>-335.35939999999999</v>
      </c>
      <c r="H13">
        <v>2.081836</v>
      </c>
      <c r="I13">
        <v>348.51170000000002</v>
      </c>
      <c r="J13">
        <v>-475.3168</v>
      </c>
      <c r="K13">
        <v>1.1198870000000001</v>
      </c>
      <c r="L13">
        <v>367.07159999999999</v>
      </c>
      <c r="M13">
        <v>0.99999479999999996</v>
      </c>
      <c r="N13">
        <v>7.6074219999999998E-4</v>
      </c>
      <c r="O13">
        <v>3.2009019999999998E-3</v>
      </c>
      <c r="P13">
        <v>0.98022560000000003</v>
      </c>
      <c r="Q13">
        <v>0.18884200000000001</v>
      </c>
      <c r="R13">
        <v>-5.9135729999999997E-2</v>
      </c>
      <c r="S13">
        <v>3.0325929999999999</v>
      </c>
      <c r="T13">
        <v>2.0837660000000001E-2</v>
      </c>
      <c r="U13">
        <v>-0.40200809999999998</v>
      </c>
      <c r="V13">
        <v>6.2237769999999998E-2</v>
      </c>
      <c r="W13">
        <v>0.18810760000000001</v>
      </c>
      <c r="X13">
        <v>0.98017449999999995</v>
      </c>
      <c r="Y13">
        <v>0.1345818</v>
      </c>
      <c r="Z13">
        <v>5.3124230000000001E-4</v>
      </c>
      <c r="AA13">
        <v>0.99090239999999996</v>
      </c>
      <c r="AB13">
        <v>4</v>
      </c>
      <c r="AC13">
        <v>139.95740000000001</v>
      </c>
      <c r="AD13">
        <v>0.96194900000000005</v>
      </c>
      <c r="AE13">
        <v>-18.559899999999899</v>
      </c>
      <c r="AF13">
        <v>19.006912501096298</v>
      </c>
      <c r="AG13">
        <v>0.96194900000000005</v>
      </c>
      <c r="AH13">
        <v>139.890780314697</v>
      </c>
      <c r="AI13">
        <v>89.609602743019295</v>
      </c>
      <c r="AJ13">
        <v>82.262621998097899</v>
      </c>
      <c r="AK13">
        <v>141.17938406778001</v>
      </c>
      <c r="AL13">
        <v>79.157633873050003</v>
      </c>
      <c r="AM13">
        <v>86.366789109716507</v>
      </c>
      <c r="AN13">
        <v>1.0000000298212901</v>
      </c>
    </row>
    <row r="14" spans="1:40" x14ac:dyDescent="0.25">
      <c r="A14" t="str">
        <f>"20190303170715838"</f>
        <v>20190303170715838</v>
      </c>
      <c r="B14" t="str">
        <f>"1551604035831876"</f>
        <v>1551604035831876</v>
      </c>
      <c r="C14" t="s">
        <v>40</v>
      </c>
      <c r="D14">
        <v>4.0567469999999997</v>
      </c>
      <c r="E14">
        <v>0.53035369999999904</v>
      </c>
      <c r="F14" t="s">
        <v>42</v>
      </c>
      <c r="G14">
        <v>-335.3845</v>
      </c>
      <c r="H14">
        <v>2.0588129999999998</v>
      </c>
      <c r="I14">
        <v>348.51170000000002</v>
      </c>
      <c r="J14">
        <v>-475.27210000000002</v>
      </c>
      <c r="K14">
        <v>1.1198619999999999</v>
      </c>
      <c r="L14">
        <v>367.07209999999998</v>
      </c>
      <c r="M14">
        <v>0.99999320000000003</v>
      </c>
      <c r="N14">
        <v>1.0677639999999999E-3</v>
      </c>
      <c r="O14">
        <v>3.5587150000000001E-3</v>
      </c>
      <c r="P14">
        <v>0.98038150000000002</v>
      </c>
      <c r="Q14">
        <v>0.1883802</v>
      </c>
      <c r="R14">
        <v>-5.8011199999999999E-2</v>
      </c>
      <c r="S14">
        <v>3.0323180000000001</v>
      </c>
      <c r="T14">
        <v>2.0348069999999999E-2</v>
      </c>
      <c r="U14">
        <v>-0.40219120000000003</v>
      </c>
      <c r="V14">
        <v>6.1463669999999998E-2</v>
      </c>
      <c r="W14">
        <v>0.1873456</v>
      </c>
      <c r="X14">
        <v>0.98036920000000005</v>
      </c>
      <c r="Y14">
        <v>0.13500690000000001</v>
      </c>
      <c r="Z14">
        <v>5.4338249999999998E-4</v>
      </c>
      <c r="AA14">
        <v>0.99084450000000002</v>
      </c>
      <c r="AB14">
        <v>4</v>
      </c>
      <c r="AC14">
        <v>139.88759999999999</v>
      </c>
      <c r="AD14">
        <v>0.93895099999999998</v>
      </c>
      <c r="AE14">
        <v>-18.560399999999898</v>
      </c>
      <c r="AF14">
        <v>19.0572590635173</v>
      </c>
      <c r="AG14">
        <v>0.93895099999999998</v>
      </c>
      <c r="AH14">
        <v>139.81447284897899</v>
      </c>
      <c r="AI14">
        <v>89.618750120600893</v>
      </c>
      <c r="AJ14">
        <v>82.238193709915905</v>
      </c>
      <c r="AK14">
        <v>141.110409148412</v>
      </c>
      <c r="AL14">
        <v>79.202082776448293</v>
      </c>
      <c r="AM14">
        <v>86.412570145966797</v>
      </c>
      <c r="AN14">
        <v>0.99999996243893297</v>
      </c>
    </row>
    <row r="15" spans="1:40" x14ac:dyDescent="0.25">
      <c r="A15" t="str">
        <f>"20190303170715862"</f>
        <v>20190303170715862</v>
      </c>
      <c r="B15" t="str">
        <f>"1551604035852371"</f>
        <v>1551604035852371</v>
      </c>
      <c r="C15" t="s">
        <v>40</v>
      </c>
      <c r="D15">
        <v>3.9901680000000002</v>
      </c>
      <c r="E15">
        <v>0.5302289</v>
      </c>
      <c r="F15" t="s">
        <v>42</v>
      </c>
      <c r="G15">
        <v>-334.43470000000002</v>
      </c>
      <c r="H15">
        <v>2.0190579999999998</v>
      </c>
      <c r="I15">
        <v>348.51170000000002</v>
      </c>
      <c r="J15">
        <v>-475.21960000000001</v>
      </c>
      <c r="K15">
        <v>1.119834</v>
      </c>
      <c r="L15">
        <v>367.07279999999997</v>
      </c>
      <c r="M15">
        <v>0.99999119999999997</v>
      </c>
      <c r="N15">
        <v>1.3728659999999999E-3</v>
      </c>
      <c r="O15">
        <v>3.9763200000000002E-3</v>
      </c>
      <c r="P15">
        <v>0.98052980000000001</v>
      </c>
      <c r="Q15">
        <v>0.18818109999999999</v>
      </c>
      <c r="R15">
        <v>-5.6118290000000001E-2</v>
      </c>
      <c r="S15">
        <v>3.0326230000000001</v>
      </c>
      <c r="T15">
        <v>1.936388E-2</v>
      </c>
      <c r="U15">
        <v>-0.39965820000000002</v>
      </c>
      <c r="V15">
        <v>5.9979270000000001E-2</v>
      </c>
      <c r="W15">
        <v>0.18684770000000001</v>
      </c>
      <c r="X15">
        <v>0.98055619999999999</v>
      </c>
      <c r="Y15">
        <v>0.13459450000000001</v>
      </c>
      <c r="Z15">
        <v>5.4048720000000005E-4</v>
      </c>
      <c r="AA15">
        <v>0.99090060000000002</v>
      </c>
      <c r="AB15">
        <v>5</v>
      </c>
      <c r="AC15">
        <v>140.78489999999999</v>
      </c>
      <c r="AD15">
        <v>0.89922400000000002</v>
      </c>
      <c r="AE15">
        <v>-18.5610999999999</v>
      </c>
      <c r="AF15">
        <v>19.119992874138799</v>
      </c>
      <c r="AG15">
        <v>0.89922400000000002</v>
      </c>
      <c r="AH15">
        <v>140.704339888211</v>
      </c>
      <c r="AI15">
        <v>89.637169265456393</v>
      </c>
      <c r="AJ15">
        <v>82.261605518409496</v>
      </c>
      <c r="AK15">
        <v>142.00033096682</v>
      </c>
      <c r="AL15">
        <v>79.231123767670397</v>
      </c>
      <c r="AM15">
        <v>86.499657491185403</v>
      </c>
      <c r="AN15">
        <v>1.0000000185917299</v>
      </c>
    </row>
    <row r="16" spans="1:40" x14ac:dyDescent="0.25">
      <c r="A16" t="str">
        <f>"20190303170715883"</f>
        <v>20190303170715883</v>
      </c>
      <c r="B16" t="str">
        <f>"1551604035871892"</f>
        <v>1551604035871892</v>
      </c>
      <c r="C16" t="s">
        <v>40</v>
      </c>
      <c r="D16">
        <v>3.992861</v>
      </c>
      <c r="E16">
        <v>0.53008690000000003</v>
      </c>
      <c r="F16" t="s">
        <v>41</v>
      </c>
      <c r="G16">
        <v>-404.68490000000003</v>
      </c>
      <c r="H16">
        <v>1.5289469999999901</v>
      </c>
      <c r="I16">
        <v>357.92809999999997</v>
      </c>
      <c r="J16">
        <v>-475.1696</v>
      </c>
      <c r="K16">
        <v>1.1198090000000001</v>
      </c>
      <c r="L16">
        <v>367.07339999999999</v>
      </c>
      <c r="M16">
        <v>0.99998920000000002</v>
      </c>
      <c r="N16">
        <v>1.6178900000000001E-3</v>
      </c>
      <c r="O16">
        <v>4.3694340000000002E-3</v>
      </c>
      <c r="P16">
        <v>0.98066560000000003</v>
      </c>
      <c r="Q16">
        <v>0.18785830000000001</v>
      </c>
      <c r="R16">
        <v>-5.4809910000000003E-2</v>
      </c>
      <c r="S16">
        <v>3.0336910000000001</v>
      </c>
      <c r="T16">
        <v>1.759958E-2</v>
      </c>
      <c r="U16">
        <v>-0.39331050000000001</v>
      </c>
      <c r="V16">
        <v>5.9055290000000003E-2</v>
      </c>
      <c r="W16">
        <v>0.18628459999999999</v>
      </c>
      <c r="X16">
        <v>0.98071940000000002</v>
      </c>
      <c r="Y16">
        <v>0.13290060000000001</v>
      </c>
      <c r="Z16">
        <v>5.1005709999999999E-4</v>
      </c>
      <c r="AA16">
        <v>0.99112920000000004</v>
      </c>
      <c r="AB16">
        <v>5</v>
      </c>
      <c r="AC16">
        <v>70.484699999999904</v>
      </c>
      <c r="AD16">
        <v>0.409137999999999</v>
      </c>
      <c r="AE16">
        <v>-9.1453000000000095</v>
      </c>
      <c r="AF16">
        <v>9.4528780992105599</v>
      </c>
      <c r="AG16">
        <v>0.409137999999999</v>
      </c>
      <c r="AH16">
        <v>70.441733160498799</v>
      </c>
      <c r="AI16">
        <v>89.670176191616406</v>
      </c>
      <c r="AJ16">
        <v>82.356894785372603</v>
      </c>
      <c r="AK16">
        <v>71.074341846523595</v>
      </c>
      <c r="AL16">
        <v>79.263963521906902</v>
      </c>
      <c r="AM16">
        <v>86.554021385276997</v>
      </c>
      <c r="AN16">
        <v>1.00000001050525</v>
      </c>
    </row>
    <row r="17" spans="1:40" x14ac:dyDescent="0.25">
      <c r="A17" t="str">
        <f>"20190303170715905"</f>
        <v>20190303170715905</v>
      </c>
      <c r="B17" t="str">
        <f>"1551604035892387"</f>
        <v>1551604035892387</v>
      </c>
      <c r="C17" t="s">
        <v>40</v>
      </c>
      <c r="D17">
        <v>4.0024860000000002</v>
      </c>
      <c r="E17">
        <v>0.53002340000000003</v>
      </c>
      <c r="F17" t="s">
        <v>41</v>
      </c>
      <c r="G17">
        <v>-404.70499999999998</v>
      </c>
      <c r="H17">
        <v>1.471344</v>
      </c>
      <c r="I17">
        <v>358.06360000000001</v>
      </c>
      <c r="J17">
        <v>-475.1182</v>
      </c>
      <c r="K17">
        <v>1.1197809999999999</v>
      </c>
      <c r="L17">
        <v>367.07400000000001</v>
      </c>
      <c r="M17">
        <v>0.99998690000000001</v>
      </c>
      <c r="N17">
        <v>1.834107E-3</v>
      </c>
      <c r="O17">
        <v>4.7707110000000004E-3</v>
      </c>
      <c r="P17">
        <v>0.98091130000000004</v>
      </c>
      <c r="Q17">
        <v>0.18680479999999999</v>
      </c>
      <c r="R17">
        <v>-5.4010530000000001E-2</v>
      </c>
      <c r="S17">
        <v>3.0345149999999999</v>
      </c>
      <c r="T17">
        <v>1.5142320000000001E-2</v>
      </c>
      <c r="U17">
        <v>-0.38800050000000003</v>
      </c>
      <c r="V17">
        <v>5.8649020000000003E-2</v>
      </c>
      <c r="W17">
        <v>0.18501909999999999</v>
      </c>
      <c r="X17">
        <v>0.9809833</v>
      </c>
      <c r="Y17">
        <v>0.13155839999999999</v>
      </c>
      <c r="Z17">
        <v>4.6304099999999997E-4</v>
      </c>
      <c r="AA17">
        <v>0.99130830000000003</v>
      </c>
      <c r="AB17">
        <v>5</v>
      </c>
      <c r="AC17">
        <v>70.413200000000003</v>
      </c>
      <c r="AD17">
        <v>0.35156300000000001</v>
      </c>
      <c r="AE17">
        <v>-9.0104000000000006</v>
      </c>
      <c r="AF17">
        <v>9.3459898387584097</v>
      </c>
      <c r="AG17">
        <v>0.35156300000000001</v>
      </c>
      <c r="AH17">
        <v>70.367686705916</v>
      </c>
      <c r="AI17">
        <v>89.716239567649794</v>
      </c>
      <c r="AJ17">
        <v>82.434453739189905</v>
      </c>
      <c r="AK17">
        <v>70.986494877202404</v>
      </c>
      <c r="AL17">
        <v>79.337754081791502</v>
      </c>
      <c r="AM17">
        <v>86.578589876879207</v>
      </c>
      <c r="AN17">
        <v>1.0000000048953299</v>
      </c>
    </row>
    <row r="18" spans="1:40" x14ac:dyDescent="0.25">
      <c r="A18" t="str">
        <f>"20190303170715926"</f>
        <v>20190303170715926</v>
      </c>
      <c r="B18" t="str">
        <f>"1551604035911908"</f>
        <v>1551604035911908</v>
      </c>
      <c r="C18" t="s">
        <v>40</v>
      </c>
      <c r="D18">
        <v>4.1358030000000001</v>
      </c>
      <c r="E18">
        <v>0.53010630000000003</v>
      </c>
      <c r="F18" t="s">
        <v>42</v>
      </c>
      <c r="G18">
        <v>-328.64269999999999</v>
      </c>
      <c r="H18">
        <v>1.6297219999999999</v>
      </c>
      <c r="I18">
        <v>348.51170000000002</v>
      </c>
      <c r="J18">
        <v>-475.0616</v>
      </c>
      <c r="K18">
        <v>1.119761</v>
      </c>
      <c r="L18">
        <v>367.07479999999998</v>
      </c>
      <c r="M18">
        <v>0.9999844</v>
      </c>
      <c r="N18">
        <v>2.0381430000000001E-3</v>
      </c>
      <c r="O18">
        <v>5.2068419999999997E-3</v>
      </c>
      <c r="P18">
        <v>0.98116570000000003</v>
      </c>
      <c r="Q18">
        <v>0.185699</v>
      </c>
      <c r="R18">
        <v>-5.3197260000000003E-2</v>
      </c>
      <c r="S18">
        <v>3.0352169999999998</v>
      </c>
      <c r="T18">
        <v>1.05685E-2</v>
      </c>
      <c r="U18">
        <v>-0.38464359999999997</v>
      </c>
      <c r="V18">
        <v>5.8262920000000003E-2</v>
      </c>
      <c r="W18">
        <v>0.18371290000000001</v>
      </c>
      <c r="X18">
        <v>0.98125180000000001</v>
      </c>
      <c r="Y18">
        <v>0.130884</v>
      </c>
      <c r="Z18">
        <v>3.6835999999999998E-4</v>
      </c>
      <c r="AA18">
        <v>0.99139759999999999</v>
      </c>
      <c r="AB18">
        <v>5</v>
      </c>
      <c r="AC18">
        <v>146.41890000000001</v>
      </c>
      <c r="AD18">
        <v>0.509960999999999</v>
      </c>
      <c r="AE18">
        <v>-18.563099999999899</v>
      </c>
      <c r="AF18">
        <v>19.324999285843901</v>
      </c>
      <c r="AG18">
        <v>0.509960999999999</v>
      </c>
      <c r="AH18">
        <v>146.31851301285499</v>
      </c>
      <c r="AI18">
        <v>89.802028177896403</v>
      </c>
      <c r="AJ18">
        <v>82.476213175238499</v>
      </c>
      <c r="AK18">
        <v>147.590050165695</v>
      </c>
      <c r="AL18">
        <v>79.413899581943795</v>
      </c>
      <c r="AM18">
        <v>86.601988698751796</v>
      </c>
      <c r="AN18">
        <v>1.0000000462382801</v>
      </c>
    </row>
    <row r="19" spans="1:40" x14ac:dyDescent="0.25">
      <c r="A19" t="str">
        <f>"20190303170715951"</f>
        <v>20190303170715951</v>
      </c>
      <c r="B19" t="str">
        <f>"1551604035941694"</f>
        <v>1551604035941694</v>
      </c>
      <c r="C19" t="s">
        <v>40</v>
      </c>
      <c r="D19">
        <v>4.0464710000000004</v>
      </c>
      <c r="E19">
        <v>0.53016540000000001</v>
      </c>
      <c r="F19" t="s">
        <v>42</v>
      </c>
      <c r="G19">
        <v>-328.02609999999999</v>
      </c>
      <c r="H19">
        <v>1.438596</v>
      </c>
      <c r="I19">
        <v>348.51170000000002</v>
      </c>
      <c r="J19">
        <v>-474.99740000000003</v>
      </c>
      <c r="K19">
        <v>1.119731</v>
      </c>
      <c r="L19">
        <v>367.07569999999998</v>
      </c>
      <c r="M19">
        <v>0.99998120000000001</v>
      </c>
      <c r="N19">
        <v>2.2354290000000001E-3</v>
      </c>
      <c r="O19">
        <v>5.6968419999999997E-3</v>
      </c>
      <c r="P19">
        <v>0.98141990000000001</v>
      </c>
      <c r="Q19">
        <v>0.18461169999999999</v>
      </c>
      <c r="R19">
        <v>-5.2283469999999999E-2</v>
      </c>
      <c r="S19">
        <v>3.0355829999999999</v>
      </c>
      <c r="T19">
        <v>6.5840480000000003E-3</v>
      </c>
      <c r="U19">
        <v>-0.38323970000000002</v>
      </c>
      <c r="V19">
        <v>5.7829699999999998E-2</v>
      </c>
      <c r="W19">
        <v>0.18243219999999999</v>
      </c>
      <c r="X19">
        <v>0.98151630000000001</v>
      </c>
      <c r="Y19">
        <v>0.1309042</v>
      </c>
      <c r="Z19">
        <v>2.8791880000000002E-4</v>
      </c>
      <c r="AA19">
        <v>0.99139500000000003</v>
      </c>
      <c r="AB19">
        <v>6</v>
      </c>
      <c r="AC19">
        <v>146.97130000000001</v>
      </c>
      <c r="AD19">
        <v>0.31886499999999901</v>
      </c>
      <c r="AE19">
        <v>-18.563999999999901</v>
      </c>
      <c r="AF19">
        <v>19.400883299881102</v>
      </c>
      <c r="AG19">
        <v>0.31886499999999901</v>
      </c>
      <c r="AH19">
        <v>146.86247818456201</v>
      </c>
      <c r="AI19">
        <v>89.876672138392905</v>
      </c>
      <c r="AJ19">
        <v>82.474664114305099</v>
      </c>
      <c r="AK19">
        <v>148.13873040570701</v>
      </c>
      <c r="AL19">
        <v>79.488539414624697</v>
      </c>
      <c r="AM19">
        <v>86.628103227364505</v>
      </c>
      <c r="AN19">
        <v>1.00000001448231</v>
      </c>
    </row>
    <row r="20" spans="1:40" x14ac:dyDescent="0.25">
      <c r="A20" t="str">
        <f>"20190303170715970"</f>
        <v>20190303170715970</v>
      </c>
      <c r="B20" t="str">
        <f>"1551604035962190"</f>
        <v>1551604035962190</v>
      </c>
      <c r="C20" t="s">
        <v>40</v>
      </c>
      <c r="D20">
        <v>4.0523709999999999</v>
      </c>
      <c r="E20">
        <v>0.53024799999999905</v>
      </c>
      <c r="F20" t="s">
        <v>42</v>
      </c>
      <c r="G20">
        <v>-327.14109999999999</v>
      </c>
      <c r="H20">
        <v>1.221487</v>
      </c>
      <c r="I20">
        <v>348.51170000000002</v>
      </c>
      <c r="J20">
        <v>-474.93729999999999</v>
      </c>
      <c r="K20">
        <v>1.119707</v>
      </c>
      <c r="L20">
        <v>367.07650000000001</v>
      </c>
      <c r="M20">
        <v>0.99997829999999999</v>
      </c>
      <c r="N20">
        <v>2.3925909999999999E-3</v>
      </c>
      <c r="O20">
        <v>6.1501569999999998E-3</v>
      </c>
      <c r="P20">
        <v>0.98145210000000005</v>
      </c>
      <c r="Q20">
        <v>0.18448909999999999</v>
      </c>
      <c r="R20">
        <v>-5.211437E-2</v>
      </c>
      <c r="S20">
        <v>3.0361020000000001</v>
      </c>
      <c r="T20">
        <v>2.0910500000000001E-3</v>
      </c>
      <c r="U20">
        <v>-0.38119510000000001</v>
      </c>
      <c r="V20">
        <v>5.8103380000000003E-2</v>
      </c>
      <c r="W20">
        <v>0.18215609999999999</v>
      </c>
      <c r="X20">
        <v>0.98155139999999996</v>
      </c>
      <c r="Y20">
        <v>0.13067580000000001</v>
      </c>
      <c r="Z20">
        <v>1.913262E-4</v>
      </c>
      <c r="AA20">
        <v>0.99142520000000001</v>
      </c>
      <c r="AB20">
        <v>6</v>
      </c>
      <c r="AC20">
        <v>147.7962</v>
      </c>
      <c r="AD20">
        <v>0.101779999999999</v>
      </c>
      <c r="AE20">
        <v>-18.564799999999899</v>
      </c>
      <c r="AF20">
        <v>19.473412169408501</v>
      </c>
      <c r="AG20">
        <v>0.101779999999999</v>
      </c>
      <c r="AH20">
        <v>147.67915910391</v>
      </c>
      <c r="AI20">
        <v>89.960850832723295</v>
      </c>
      <c r="AJ20">
        <v>82.4881467315804</v>
      </c>
      <c r="AK20">
        <v>148.95757172539399</v>
      </c>
      <c r="AL20">
        <v>79.504628202635303</v>
      </c>
      <c r="AM20">
        <v>86.612303616559302</v>
      </c>
      <c r="AN20">
        <v>0.99999999918829696</v>
      </c>
    </row>
    <row r="21" spans="1:40" x14ac:dyDescent="0.25">
      <c r="A21" t="str">
        <f>"20190303170715993"</f>
        <v>20190303170715993</v>
      </c>
      <c r="B21" t="str">
        <f>"1551604035982686"</f>
        <v>1551604035982686</v>
      </c>
      <c r="C21" t="s">
        <v>40</v>
      </c>
      <c r="D21">
        <v>4.0458230000000004</v>
      </c>
      <c r="E21">
        <v>0.53025619999999996</v>
      </c>
      <c r="F21" t="s">
        <v>42</v>
      </c>
      <c r="G21">
        <v>-327.31799999999998</v>
      </c>
      <c r="H21">
        <v>1.1788860000000001</v>
      </c>
      <c r="I21">
        <v>348.51170000000002</v>
      </c>
      <c r="J21">
        <v>-474.87180000000001</v>
      </c>
      <c r="K21">
        <v>1.1196820000000001</v>
      </c>
      <c r="L21">
        <v>367.07740000000001</v>
      </c>
      <c r="M21">
        <v>0.99997480000000005</v>
      </c>
      <c r="N21">
        <v>2.5408539999999999E-3</v>
      </c>
      <c r="O21">
        <v>6.6367900000000001E-3</v>
      </c>
      <c r="P21">
        <v>0.98145110000000002</v>
      </c>
      <c r="Q21">
        <v>0.18447839999999999</v>
      </c>
      <c r="R21">
        <v>-5.2168880000000001E-2</v>
      </c>
      <c r="S21">
        <v>3.0361940000000001</v>
      </c>
      <c r="T21">
        <v>1.2187960000000001E-3</v>
      </c>
      <c r="U21">
        <v>-0.38183590000000001</v>
      </c>
      <c r="V21">
        <v>5.8633520000000001E-2</v>
      </c>
      <c r="W21">
        <v>0.18200040000000001</v>
      </c>
      <c r="X21">
        <v>0.9815488</v>
      </c>
      <c r="Y21">
        <v>0.13136059999999999</v>
      </c>
      <c r="Z21">
        <v>1.7965979999999901E-4</v>
      </c>
      <c r="AA21">
        <v>0.99133459999999995</v>
      </c>
      <c r="AB21">
        <v>6</v>
      </c>
      <c r="AC21">
        <v>147.5538</v>
      </c>
      <c r="AD21">
        <v>5.9204E-2</v>
      </c>
      <c r="AE21">
        <v>-18.5657</v>
      </c>
      <c r="AF21">
        <v>19.544574708625799</v>
      </c>
      <c r="AG21">
        <v>5.9204E-2</v>
      </c>
      <c r="AH21">
        <v>147.427309885798</v>
      </c>
      <c r="AI21">
        <v>89.977190671841598</v>
      </c>
      <c r="AJ21">
        <v>82.448280723230894</v>
      </c>
      <c r="AK21">
        <v>148.71720010078801</v>
      </c>
      <c r="AL21">
        <v>79.513701256551201</v>
      </c>
      <c r="AM21">
        <v>86.581457937205201</v>
      </c>
      <c r="AN21">
        <v>1.0000000410245899</v>
      </c>
    </row>
    <row r="22" spans="1:40" x14ac:dyDescent="0.25">
      <c r="A22" t="str">
        <f>"20190303170716017"</f>
        <v>20190303170716017</v>
      </c>
      <c r="B22" t="str">
        <f>"1551604036011968"</f>
        <v>1551604036011968</v>
      </c>
      <c r="C22" t="s">
        <v>40</v>
      </c>
      <c r="D22">
        <v>4.0270679999999999</v>
      </c>
      <c r="E22">
        <v>0.53031079999999997</v>
      </c>
      <c r="F22" t="s">
        <v>42</v>
      </c>
      <c r="G22">
        <v>-326.97489999999999</v>
      </c>
      <c r="H22">
        <v>1.1298859999999999</v>
      </c>
      <c r="I22">
        <v>348.51170000000002</v>
      </c>
      <c r="J22">
        <v>-474.7962</v>
      </c>
      <c r="K22">
        <v>1.119658</v>
      </c>
      <c r="L22">
        <v>367.07850000000002</v>
      </c>
      <c r="M22">
        <v>0.99997049999999998</v>
      </c>
      <c r="N22">
        <v>2.6890120000000002E-3</v>
      </c>
      <c r="O22">
        <v>7.191299E-3</v>
      </c>
      <c r="P22">
        <v>0.9816549</v>
      </c>
      <c r="Q22">
        <v>0.1834934</v>
      </c>
      <c r="R22">
        <v>-5.1802389999999997E-2</v>
      </c>
      <c r="S22">
        <v>3.0364070000000001</v>
      </c>
      <c r="T22">
        <v>2.111197E-4</v>
      </c>
      <c r="U22">
        <v>-0.38116460000000002</v>
      </c>
      <c r="V22">
        <v>5.8811219999999997E-2</v>
      </c>
      <c r="W22">
        <v>0.18087030000000001</v>
      </c>
      <c r="X22">
        <v>0.98174700000000004</v>
      </c>
      <c r="Y22">
        <v>0.131686</v>
      </c>
      <c r="Z22">
        <v>1.6354330000000001E-4</v>
      </c>
      <c r="AA22">
        <v>0.99129149999999999</v>
      </c>
      <c r="AB22">
        <v>7</v>
      </c>
      <c r="AC22">
        <v>147.82130000000001</v>
      </c>
      <c r="AD22">
        <v>1.02280000000001E-2</v>
      </c>
      <c r="AE22">
        <v>-18.566800000000001</v>
      </c>
      <c r="AF22">
        <v>19.629350847399099</v>
      </c>
      <c r="AG22">
        <v>1.02280000000001E-2</v>
      </c>
      <c r="AH22">
        <v>147.68395705700601</v>
      </c>
      <c r="AI22">
        <v>89.996066516458299</v>
      </c>
      <c r="AJ22">
        <v>82.428931739656207</v>
      </c>
      <c r="AK22">
        <v>148.98275971171199</v>
      </c>
      <c r="AL22">
        <v>79.579543570815304</v>
      </c>
      <c r="AM22">
        <v>86.571812667446693</v>
      </c>
      <c r="AN22">
        <v>0.99999999851448895</v>
      </c>
    </row>
    <row r="23" spans="1:40" x14ac:dyDescent="0.25">
      <c r="A23" t="str">
        <f>"20190303170716038"</f>
        <v>20190303170716038</v>
      </c>
      <c r="B23" t="str">
        <f>"1551604036031993"</f>
        <v>1551604036031993</v>
      </c>
      <c r="C23" t="s">
        <v>40</v>
      </c>
      <c r="D23">
        <v>4.0728019999999896</v>
      </c>
      <c r="E23">
        <v>0.53031189999999995</v>
      </c>
      <c r="F23" t="s">
        <v>42</v>
      </c>
      <c r="G23">
        <v>-326.47899999999998</v>
      </c>
      <c r="H23">
        <v>0.9138925</v>
      </c>
      <c r="I23">
        <v>348.51170000000002</v>
      </c>
      <c r="J23">
        <v>-474.7285</v>
      </c>
      <c r="K23">
        <v>1.1196280000000001</v>
      </c>
      <c r="L23">
        <v>367.0795</v>
      </c>
      <c r="M23">
        <v>0.99996660000000004</v>
      </c>
      <c r="N23">
        <v>2.8047290000000002E-3</v>
      </c>
      <c r="O23">
        <v>7.6803449999999999E-3</v>
      </c>
      <c r="P23">
        <v>0.98193909999999995</v>
      </c>
      <c r="Q23">
        <v>0.1823053</v>
      </c>
      <c r="R23">
        <v>-5.060369E-2</v>
      </c>
      <c r="S23">
        <v>3.0368040000000001</v>
      </c>
      <c r="T23">
        <v>-4.2114259999999999E-3</v>
      </c>
      <c r="U23">
        <v>-0.38015749999999998</v>
      </c>
      <c r="V23">
        <v>5.809338E-2</v>
      </c>
      <c r="W23">
        <v>0.17956829999999999</v>
      </c>
      <c r="X23">
        <v>0.98202869999999998</v>
      </c>
      <c r="Y23">
        <v>0.13183120000000001</v>
      </c>
      <c r="Z23" s="1">
        <v>6.2472300000000002E-5</v>
      </c>
      <c r="AA23">
        <v>0.99127220000000005</v>
      </c>
      <c r="AB23">
        <v>7</v>
      </c>
      <c r="AC23">
        <v>148.24949999999899</v>
      </c>
      <c r="AD23">
        <v>-0.20573549999999999</v>
      </c>
      <c r="AE23">
        <v>-18.567799999999899</v>
      </c>
      <c r="AF23">
        <v>19.705826739623699</v>
      </c>
      <c r="AG23">
        <v>-0.20573549999999999</v>
      </c>
      <c r="AH23">
        <v>148.10223896230099</v>
      </c>
      <c r="AI23">
        <v>90.078896779460607</v>
      </c>
      <c r="AJ23">
        <v>82.420994293275598</v>
      </c>
      <c r="AK23">
        <v>149.40761399685999</v>
      </c>
      <c r="AL23">
        <v>79.655384391659197</v>
      </c>
      <c r="AM23">
        <v>86.614527730518901</v>
      </c>
      <c r="AN23">
        <v>0.99999999139420204</v>
      </c>
    </row>
    <row r="24" spans="1:40" x14ac:dyDescent="0.25">
      <c r="A24" t="str">
        <f>"20190303170716062"</f>
        <v>20190303170716062</v>
      </c>
      <c r="B24" t="str">
        <f>"1551604036052489"</f>
        <v>1551604036052489</v>
      </c>
      <c r="C24" t="s">
        <v>40</v>
      </c>
      <c r="D24">
        <v>4.0489680000000003</v>
      </c>
      <c r="E24">
        <v>0.5302848</v>
      </c>
      <c r="F24" t="s">
        <v>42</v>
      </c>
      <c r="G24">
        <v>-324.87110000000001</v>
      </c>
      <c r="H24">
        <v>0.69805879999999998</v>
      </c>
      <c r="I24">
        <v>348.51170000000002</v>
      </c>
      <c r="J24">
        <v>-474.65010000000001</v>
      </c>
      <c r="K24">
        <v>1.119597</v>
      </c>
      <c r="L24">
        <v>367.08080000000001</v>
      </c>
      <c r="M24">
        <v>0.99996180000000001</v>
      </c>
      <c r="N24">
        <v>2.9221550000000001E-3</v>
      </c>
      <c r="O24">
        <v>8.2388189999999997E-3</v>
      </c>
      <c r="P24">
        <v>0.98215889999999995</v>
      </c>
      <c r="Q24">
        <v>0.18154229999999999</v>
      </c>
      <c r="R24">
        <v>-4.9056120000000002E-2</v>
      </c>
      <c r="S24">
        <v>3.0373839999999999</v>
      </c>
      <c r="T24">
        <v>-8.5430149999999993E-3</v>
      </c>
      <c r="U24">
        <v>-0.37634279999999998</v>
      </c>
      <c r="V24">
        <v>5.7094449999999998E-2</v>
      </c>
      <c r="W24">
        <v>0.1786896</v>
      </c>
      <c r="X24">
        <v>0.98224750000000005</v>
      </c>
      <c r="Y24">
        <v>0.13113540000000001</v>
      </c>
      <c r="Z24" s="1">
        <v>-3.8452799999999999E-5</v>
      </c>
      <c r="AA24">
        <v>0.99136449999999998</v>
      </c>
      <c r="AB24">
        <v>7</v>
      </c>
      <c r="AC24">
        <v>149.779</v>
      </c>
      <c r="AD24">
        <v>-0.42153819999999897</v>
      </c>
      <c r="AE24">
        <v>-18.569099999999899</v>
      </c>
      <c r="AF24">
        <v>19.802322617129001</v>
      </c>
      <c r="AG24">
        <v>-0.42153819999999897</v>
      </c>
      <c r="AH24">
        <v>149.61976122834599</v>
      </c>
      <c r="AI24">
        <v>90.160029000173495</v>
      </c>
      <c r="AJ24">
        <v>82.460665070676498</v>
      </c>
      <c r="AK24">
        <v>150.92508945007901</v>
      </c>
      <c r="AL24">
        <v>79.706557468442497</v>
      </c>
      <c r="AM24">
        <v>86.673349348074296</v>
      </c>
      <c r="AN24">
        <v>0.99999995031260502</v>
      </c>
    </row>
    <row r="25" spans="1:40" x14ac:dyDescent="0.25">
      <c r="A25" t="str">
        <f>"20190303170716084"</f>
        <v>20190303170716084</v>
      </c>
      <c r="B25" t="str">
        <f>"1551604036072009"</f>
        <v>1551604036072009</v>
      </c>
      <c r="C25" t="s">
        <v>40</v>
      </c>
      <c r="D25">
        <v>4.0640549999999998</v>
      </c>
      <c r="E25">
        <v>0.53024830000000001</v>
      </c>
      <c r="F25" t="s">
        <v>42</v>
      </c>
      <c r="G25">
        <v>-322.75420000000003</v>
      </c>
      <c r="H25">
        <v>0.55205319999999902</v>
      </c>
      <c r="I25">
        <v>348.51170000000002</v>
      </c>
      <c r="J25">
        <v>-474.57040000000001</v>
      </c>
      <c r="K25">
        <v>1.11958</v>
      </c>
      <c r="L25">
        <v>367.08199999999999</v>
      </c>
      <c r="M25">
        <v>0.99995679999999998</v>
      </c>
      <c r="N25">
        <v>3.0264530000000001E-3</v>
      </c>
      <c r="O25">
        <v>8.7956379999999997E-3</v>
      </c>
      <c r="P25">
        <v>0.98200010000000004</v>
      </c>
      <c r="Q25">
        <v>0.18237200000000001</v>
      </c>
      <c r="R25">
        <v>-4.9157779999999998E-2</v>
      </c>
      <c r="S25">
        <v>3.0380549999999999</v>
      </c>
      <c r="T25">
        <v>-1.13497999999999E-2</v>
      </c>
      <c r="U25">
        <v>-0.37139889999999998</v>
      </c>
      <c r="V25">
        <v>5.7739840000000001E-2</v>
      </c>
      <c r="W25">
        <v>0.17941770000000001</v>
      </c>
      <c r="X25">
        <v>0.98207710000000004</v>
      </c>
      <c r="Y25">
        <v>0.1300712</v>
      </c>
      <c r="Z25">
        <v>-1.037643E-4</v>
      </c>
      <c r="AA25">
        <v>0.99150470000000002</v>
      </c>
      <c r="AB25">
        <v>7</v>
      </c>
      <c r="AC25">
        <v>151.81619999999899</v>
      </c>
      <c r="AD25">
        <v>-0.5675268</v>
      </c>
      <c r="AE25">
        <v>-18.5702999999999</v>
      </c>
      <c r="AF25">
        <v>19.904633963357899</v>
      </c>
      <c r="AG25">
        <v>-0.5675268</v>
      </c>
      <c r="AH25">
        <v>151.64490103950399</v>
      </c>
      <c r="AI25">
        <v>90.212603249109307</v>
      </c>
      <c r="AJ25">
        <v>82.522208859751402</v>
      </c>
      <c r="AK25">
        <v>152.94669839903301</v>
      </c>
      <c r="AL25">
        <v>79.664155836418502</v>
      </c>
      <c r="AM25">
        <v>86.635248731312302</v>
      </c>
      <c r="AN25">
        <v>1.00000001527046</v>
      </c>
    </row>
    <row r="26" spans="1:40" x14ac:dyDescent="0.25">
      <c r="A26" t="str">
        <f>"20190303170716108"</f>
        <v>20190303170716108</v>
      </c>
      <c r="B26" t="str">
        <f>"1551604036102264"</f>
        <v>1551604036102264</v>
      </c>
      <c r="C26" t="s">
        <v>40</v>
      </c>
      <c r="D26">
        <v>4.0827780000000002</v>
      </c>
      <c r="E26">
        <v>0.53019259999999901</v>
      </c>
      <c r="F26" t="s">
        <v>42</v>
      </c>
      <c r="G26">
        <v>-322.3956</v>
      </c>
      <c r="H26">
        <v>0.64238909999999905</v>
      </c>
      <c r="I26">
        <v>348.51170000000002</v>
      </c>
      <c r="J26">
        <v>-474.48689999999999</v>
      </c>
      <c r="K26">
        <v>1.1195679999999999</v>
      </c>
      <c r="L26">
        <v>367.08339999999998</v>
      </c>
      <c r="M26">
        <v>0.99995140000000005</v>
      </c>
      <c r="N26">
        <v>3.122835E-3</v>
      </c>
      <c r="O26">
        <v>9.3702249999999994E-3</v>
      </c>
      <c r="P26">
        <v>0.98206079999999996</v>
      </c>
      <c r="Q26">
        <v>0.18203230000000001</v>
      </c>
      <c r="R26">
        <v>-4.9203440000000001E-2</v>
      </c>
      <c r="S26">
        <v>3.0381770000000001</v>
      </c>
      <c r="T26">
        <v>-9.5255370000000006E-3</v>
      </c>
      <c r="U26">
        <v>-0.37075809999999998</v>
      </c>
      <c r="V26">
        <v>5.8348520000000001E-2</v>
      </c>
      <c r="W26">
        <v>0.17898420000000001</v>
      </c>
      <c r="X26">
        <v>0.9821202</v>
      </c>
      <c r="Y26">
        <v>0.1304302</v>
      </c>
      <c r="Z26" s="1">
        <v>-5.7725559999999999E-5</v>
      </c>
      <c r="AA26">
        <v>0.99145749999999999</v>
      </c>
      <c r="AB26">
        <v>8</v>
      </c>
      <c r="AC26">
        <v>152.09129999999999</v>
      </c>
      <c r="AD26">
        <v>-0.47717890000000002</v>
      </c>
      <c r="AE26">
        <v>-18.5716999999999</v>
      </c>
      <c r="AF26">
        <v>19.995827124592299</v>
      </c>
      <c r="AG26">
        <v>-0.47717890000000002</v>
      </c>
      <c r="AH26">
        <v>151.90912770931001</v>
      </c>
      <c r="AI26">
        <v>90.178438436791794</v>
      </c>
      <c r="AJ26">
        <v>82.501256439628506</v>
      </c>
      <c r="AK26">
        <v>153.22024632372401</v>
      </c>
      <c r="AL26">
        <v>79.689401974113807</v>
      </c>
      <c r="AM26">
        <v>86.600009953337306</v>
      </c>
      <c r="AN26">
        <v>0.99999999044193499</v>
      </c>
    </row>
    <row r="27" spans="1:40" x14ac:dyDescent="0.25">
      <c r="A27" t="str">
        <f>"20190303170716129"</f>
        <v>20190303170716129</v>
      </c>
      <c r="B27" t="str">
        <f>"1551604036121785"</f>
        <v>1551604036121785</v>
      </c>
      <c r="C27" t="s">
        <v>40</v>
      </c>
      <c r="D27">
        <v>4.108803</v>
      </c>
      <c r="E27">
        <v>0.53018409999999905</v>
      </c>
      <c r="F27" t="s">
        <v>42</v>
      </c>
      <c r="G27">
        <v>-321.67090000000002</v>
      </c>
      <c r="H27">
        <v>0.54026200000000002</v>
      </c>
      <c r="I27">
        <v>348.51170000000002</v>
      </c>
      <c r="J27">
        <v>-474.40750000000003</v>
      </c>
      <c r="K27">
        <v>1.1195360000000001</v>
      </c>
      <c r="L27">
        <v>367.0847</v>
      </c>
      <c r="M27">
        <v>0.9999458</v>
      </c>
      <c r="N27">
        <v>3.204026E-3</v>
      </c>
      <c r="O27">
        <v>9.9064470000000005E-3</v>
      </c>
      <c r="P27">
        <v>0.98229610000000001</v>
      </c>
      <c r="Q27">
        <v>0.18095130000000001</v>
      </c>
      <c r="R27">
        <v>-4.8488660000000003E-2</v>
      </c>
      <c r="S27">
        <v>3.0384519999999999</v>
      </c>
      <c r="T27">
        <v>-1.1516810000000001E-2</v>
      </c>
      <c r="U27">
        <v>-0.3692627</v>
      </c>
      <c r="V27">
        <v>5.8160999999999997E-2</v>
      </c>
      <c r="W27">
        <v>0.17782300000000001</v>
      </c>
      <c r="X27">
        <v>0.98234219999999906</v>
      </c>
      <c r="Y27">
        <v>0.13047010000000001</v>
      </c>
      <c r="Z27">
        <v>-1.056112E-4</v>
      </c>
      <c r="AA27">
        <v>0.99145220000000001</v>
      </c>
      <c r="AB27">
        <v>8</v>
      </c>
      <c r="AC27">
        <v>152.73660000000001</v>
      </c>
      <c r="AD27">
        <v>-0.57927399999999996</v>
      </c>
      <c r="AE27">
        <v>-18.572999999999901</v>
      </c>
      <c r="AF27">
        <v>20.084888714392999</v>
      </c>
      <c r="AG27">
        <v>-0.57927399999999996</v>
      </c>
      <c r="AH27">
        <v>152.54294953037001</v>
      </c>
      <c r="AI27">
        <v>90.215714938805604</v>
      </c>
      <c r="AJ27">
        <v>82.499177257884</v>
      </c>
      <c r="AK27">
        <v>153.860617977641</v>
      </c>
      <c r="AL27">
        <v>79.757018265170203</v>
      </c>
      <c r="AM27">
        <v>86.611675420511801</v>
      </c>
      <c r="AN27">
        <v>0.99999995957541898</v>
      </c>
    </row>
    <row r="28" spans="1:40" x14ac:dyDescent="0.25">
      <c r="A28" t="str">
        <f>"20190303170716150"</f>
        <v>20190303170716150</v>
      </c>
      <c r="B28" t="str">
        <f>"1551604036142281"</f>
        <v>1551604036142281</v>
      </c>
      <c r="C28" t="s">
        <v>40</v>
      </c>
      <c r="D28">
        <v>4.1378250000000003</v>
      </c>
      <c r="E28">
        <v>0.506019</v>
      </c>
      <c r="F28" t="s">
        <v>42</v>
      </c>
      <c r="G28">
        <v>-279.96460000000002</v>
      </c>
      <c r="H28">
        <v>0.16035060000000001</v>
      </c>
      <c r="I28">
        <v>343.57530000000003</v>
      </c>
      <c r="J28">
        <v>-474.32679999999999</v>
      </c>
      <c r="K28">
        <v>1.119507</v>
      </c>
      <c r="L28">
        <v>367.08609999999999</v>
      </c>
      <c r="M28">
        <v>0.9999403</v>
      </c>
      <c r="N28">
        <v>3.277154E-3</v>
      </c>
      <c r="O28">
        <v>1.04425E-2</v>
      </c>
      <c r="P28">
        <v>0.9828344</v>
      </c>
      <c r="Q28">
        <v>0.17836769999999999</v>
      </c>
      <c r="R28">
        <v>-4.7134990000000002E-2</v>
      </c>
      <c r="S28">
        <v>3.0387270000000002</v>
      </c>
      <c r="T28">
        <v>-1.498878E-2</v>
      </c>
      <c r="U28">
        <v>-0.36740109999999998</v>
      </c>
      <c r="V28">
        <v>5.7338800000000002E-2</v>
      </c>
      <c r="W28">
        <v>0.1751664</v>
      </c>
      <c r="X28">
        <v>0.98286770000000001</v>
      </c>
      <c r="Y28">
        <v>0.1303918</v>
      </c>
      <c r="Z28">
        <v>-1.9140370000000001E-4</v>
      </c>
      <c r="AA28">
        <v>0.99146250000000002</v>
      </c>
      <c r="AB28">
        <v>8</v>
      </c>
      <c r="AC28">
        <v>194.3622</v>
      </c>
      <c r="AD28">
        <v>-0.95915640000000002</v>
      </c>
      <c r="AE28">
        <v>-23.5107999999999</v>
      </c>
      <c r="AF28">
        <v>25.5385428773467</v>
      </c>
      <c r="AG28">
        <v>-0.95915640000000002</v>
      </c>
      <c r="AH28">
        <v>194.101430796953</v>
      </c>
      <c r="AI28">
        <v>90.280706760623701</v>
      </c>
      <c r="AJ28">
        <v>82.504467071062194</v>
      </c>
      <c r="AK28">
        <v>195.77666508223601</v>
      </c>
      <c r="AL28">
        <v>79.911657897490798</v>
      </c>
      <c r="AM28">
        <v>86.661247638384495</v>
      </c>
      <c r="AN28">
        <v>0.999999960688844</v>
      </c>
    </row>
    <row r="29" spans="1:40" x14ac:dyDescent="0.25">
      <c r="A29" t="str">
        <f>"20190303170716171"</f>
        <v>20190303170716171</v>
      </c>
      <c r="B29" t="str">
        <f>"1551604036161801"</f>
        <v>1551604036161801</v>
      </c>
      <c r="C29" t="s">
        <v>40</v>
      </c>
      <c r="D29">
        <v>4.1948650000000001</v>
      </c>
      <c r="E29">
        <v>0.48698269999999999</v>
      </c>
      <c r="F29" t="s">
        <v>43</v>
      </c>
      <c r="G29">
        <v>-321.21620000000001</v>
      </c>
      <c r="H29">
        <v>7.9986520000000005E-2</v>
      </c>
      <c r="I29">
        <v>358.5428</v>
      </c>
      <c r="J29">
        <v>-474.23989999999998</v>
      </c>
      <c r="K29">
        <v>1.1194770000000001</v>
      </c>
      <c r="L29">
        <v>367.08760000000001</v>
      </c>
      <c r="M29">
        <v>0.99993379999999998</v>
      </c>
      <c r="N29">
        <v>3.3482189999999999E-3</v>
      </c>
      <c r="O29">
        <v>1.1011099999999999E-2</v>
      </c>
      <c r="P29">
        <v>0.98313950000000006</v>
      </c>
      <c r="Q29">
        <v>0.17710879999999901</v>
      </c>
      <c r="R29">
        <v>-4.5494140000000002E-2</v>
      </c>
      <c r="S29">
        <v>3.048035</v>
      </c>
      <c r="T29">
        <v>-2.069414E-2</v>
      </c>
      <c r="U29">
        <v>-0.17007449999999999</v>
      </c>
      <c r="V29">
        <v>5.6258570000000001E-2</v>
      </c>
      <c r="W29">
        <v>0.17383680000000001</v>
      </c>
      <c r="X29">
        <v>0.98316619999999999</v>
      </c>
      <c r="Y29">
        <v>6.6700759999999998E-2</v>
      </c>
      <c r="Z29">
        <v>-2.260362E-4</v>
      </c>
      <c r="AA29">
        <v>0.99777300000000002</v>
      </c>
      <c r="AB29">
        <v>9</v>
      </c>
      <c r="AC29">
        <v>153.023699999999</v>
      </c>
      <c r="AD29">
        <v>-1.03949048</v>
      </c>
      <c r="AE29">
        <v>-8.5448000000000093</v>
      </c>
      <c r="AF29">
        <v>10.2287800933819</v>
      </c>
      <c r="AG29">
        <v>-1.03949048</v>
      </c>
      <c r="AH29">
        <v>152.91330058149001</v>
      </c>
      <c r="AI29">
        <v>90.388616951030599</v>
      </c>
      <c r="AJ29">
        <v>86.173033193905894</v>
      </c>
      <c r="AK29">
        <v>153.258559230413</v>
      </c>
      <c r="AL29">
        <v>79.9890260164116</v>
      </c>
      <c r="AM29">
        <v>86.725001963608307</v>
      </c>
      <c r="AN29">
        <v>1.0000000182775599</v>
      </c>
    </row>
    <row r="30" spans="1:40" x14ac:dyDescent="0.25">
      <c r="A30" t="str">
        <f>"20190303170716194"</f>
        <v>20190303170716194</v>
      </c>
      <c r="B30" t="str">
        <f>"1551604036182297"</f>
        <v>1551604036182297</v>
      </c>
      <c r="C30" t="s">
        <v>40</v>
      </c>
      <c r="D30">
        <v>4.2006059999999996</v>
      </c>
      <c r="E30">
        <v>0.48357450000000002</v>
      </c>
      <c r="F30" t="s">
        <v>44</v>
      </c>
      <c r="G30">
        <v>-158.19499999999999</v>
      </c>
      <c r="H30">
        <v>2.6907779999999999</v>
      </c>
      <c r="I30">
        <v>365.5403</v>
      </c>
      <c r="J30">
        <v>-474.1454</v>
      </c>
      <c r="K30">
        <v>1.1194599999999999</v>
      </c>
      <c r="L30">
        <v>367.08929999999998</v>
      </c>
      <c r="M30">
        <v>0.99992689999999995</v>
      </c>
      <c r="N30">
        <v>3.4179750000000002E-3</v>
      </c>
      <c r="O30">
        <v>1.1617779999999999E-2</v>
      </c>
      <c r="P30">
        <v>0.98334489999999997</v>
      </c>
      <c r="Q30">
        <v>0.17622380000000001</v>
      </c>
      <c r="R30">
        <v>-4.4482149999999998E-2</v>
      </c>
      <c r="S30">
        <v>3.048035</v>
      </c>
      <c r="T30">
        <v>1.515496E-2</v>
      </c>
      <c r="U30">
        <v>-1.49231E-2</v>
      </c>
      <c r="V30">
        <v>5.5843829999999997E-2</v>
      </c>
      <c r="W30">
        <v>0.17288299999999901</v>
      </c>
      <c r="X30">
        <v>0.98335799999999995</v>
      </c>
      <c r="Y30">
        <v>1.651294E-2</v>
      </c>
      <c r="Z30" s="1">
        <v>8.7325339999999897E-5</v>
      </c>
      <c r="AA30">
        <v>0.99986359999999996</v>
      </c>
      <c r="AB30">
        <v>9</v>
      </c>
      <c r="AC30">
        <v>315.9504</v>
      </c>
      <c r="AD30">
        <v>1.57131799999999</v>
      </c>
      <c r="AE30">
        <v>-1.54899999999997</v>
      </c>
      <c r="AF30">
        <v>5.2194291997607003</v>
      </c>
      <c r="AG30">
        <v>1.57131799999999</v>
      </c>
      <c r="AH30">
        <v>315.90326735041799</v>
      </c>
      <c r="AI30">
        <v>89.715049285812597</v>
      </c>
      <c r="AJ30">
        <v>89.053431579006499</v>
      </c>
      <c r="AK30">
        <v>315.95029008389599</v>
      </c>
      <c r="AL30">
        <v>80.0445148379182</v>
      </c>
      <c r="AM30">
        <v>86.749726096698197</v>
      </c>
      <c r="AN30">
        <v>1.0000000106010301</v>
      </c>
    </row>
    <row r="31" spans="1:40" x14ac:dyDescent="0.25">
      <c r="A31" t="str">
        <f>"20190303170716217"</f>
        <v>20190303170716217</v>
      </c>
      <c r="B31" t="str">
        <f>"1551604036211576"</f>
        <v>1551604036211576</v>
      </c>
      <c r="C31" t="s">
        <v>40</v>
      </c>
      <c r="D31">
        <v>4.1632699999999998</v>
      </c>
      <c r="E31">
        <v>0.48210550000000002</v>
      </c>
      <c r="F31" t="s">
        <v>44</v>
      </c>
      <c r="G31">
        <v>-158.78319999999999</v>
      </c>
      <c r="H31">
        <v>2.522402</v>
      </c>
      <c r="I31">
        <v>368.68009999999998</v>
      </c>
      <c r="J31">
        <v>-474.05130000000003</v>
      </c>
      <c r="K31">
        <v>1.11944</v>
      </c>
      <c r="L31">
        <v>367.09100000000001</v>
      </c>
      <c r="M31">
        <v>0.99991940000000001</v>
      </c>
      <c r="N31">
        <v>3.4810589999999999E-3</v>
      </c>
      <c r="O31">
        <v>1.221237E-2</v>
      </c>
      <c r="P31">
        <v>0.98353679999999999</v>
      </c>
      <c r="Q31">
        <v>0.175319</v>
      </c>
      <c r="R31">
        <v>-4.3803300000000003E-2</v>
      </c>
      <c r="S31">
        <v>3.0491329999999999</v>
      </c>
      <c r="T31">
        <v>1.356542E-2</v>
      </c>
      <c r="U31">
        <v>1.538086E-2</v>
      </c>
      <c r="V31">
        <v>5.5750069999999999E-2</v>
      </c>
      <c r="W31">
        <v>0.17191589999999901</v>
      </c>
      <c r="X31">
        <v>0.98353279999999998</v>
      </c>
      <c r="Y31">
        <v>7.1682630000000002E-3</v>
      </c>
      <c r="Z31" s="1">
        <v>4.02394E-5</v>
      </c>
      <c r="AA31">
        <v>0.99997429999999998</v>
      </c>
      <c r="AB31">
        <v>9</v>
      </c>
      <c r="AC31">
        <v>315.2681</v>
      </c>
      <c r="AD31">
        <v>1.402962</v>
      </c>
      <c r="AE31">
        <v>1.58909999999997</v>
      </c>
      <c r="AF31">
        <v>2.2611676165801602</v>
      </c>
      <c r="AG31">
        <v>1.402962</v>
      </c>
      <c r="AH31">
        <v>315.25775287788201</v>
      </c>
      <c r="AI31">
        <v>89.745030209304105</v>
      </c>
      <c r="AJ31">
        <v>89.589056451502898</v>
      </c>
      <c r="AK31">
        <v>315.26898345853101</v>
      </c>
      <c r="AL31">
        <v>80.100767330068805</v>
      </c>
      <c r="AM31">
        <v>86.755746992294803</v>
      </c>
      <c r="AN31">
        <v>0.99999995782682605</v>
      </c>
    </row>
    <row r="32" spans="1:40" x14ac:dyDescent="0.25">
      <c r="A32" t="str">
        <f>"20190303170716239"</f>
        <v>20190303170716239</v>
      </c>
      <c r="B32" t="str">
        <f>"1551604036232073"</f>
        <v>1551604036232073</v>
      </c>
      <c r="C32" t="s">
        <v>40</v>
      </c>
      <c r="D32">
        <v>4.1397190000000004</v>
      </c>
      <c r="E32">
        <v>0.48155880000000001</v>
      </c>
      <c r="F32" t="s">
        <v>44</v>
      </c>
      <c r="G32">
        <v>-158.78319999999999</v>
      </c>
      <c r="H32">
        <v>2.1237810000000001</v>
      </c>
      <c r="I32">
        <v>370.13220000000001</v>
      </c>
      <c r="J32">
        <v>-473.95119999999997</v>
      </c>
      <c r="K32">
        <v>1.119421</v>
      </c>
      <c r="L32">
        <v>367.09289999999999</v>
      </c>
      <c r="M32">
        <v>0.99991140000000001</v>
      </c>
      <c r="N32">
        <v>3.542412E-3</v>
      </c>
      <c r="O32">
        <v>1.2834440000000001E-2</v>
      </c>
      <c r="P32">
        <v>0.98373270000000002</v>
      </c>
      <c r="Q32">
        <v>0.1742947</v>
      </c>
      <c r="R32">
        <v>-4.3491099999999998E-2</v>
      </c>
      <c r="S32">
        <v>3.0498050000000001</v>
      </c>
      <c r="T32">
        <v>9.7165110000000006E-3</v>
      </c>
      <c r="U32">
        <v>2.9418949999999999E-2</v>
      </c>
      <c r="V32">
        <v>5.6050379999999997E-2</v>
      </c>
      <c r="W32">
        <v>0.1708316</v>
      </c>
      <c r="X32">
        <v>0.98370469999999999</v>
      </c>
      <c r="Y32">
        <v>3.188958E-3</v>
      </c>
      <c r="Z32" s="1">
        <v>6.1499619999999998E-6</v>
      </c>
      <c r="AA32">
        <v>0.99999490000000002</v>
      </c>
      <c r="AB32">
        <v>9</v>
      </c>
      <c r="AC32">
        <v>315.16800000000001</v>
      </c>
      <c r="AD32">
        <v>1.0043599999999999</v>
      </c>
      <c r="AE32">
        <v>3.0393000000000199</v>
      </c>
      <c r="AF32">
        <v>1.0059701248333801</v>
      </c>
      <c r="AG32">
        <v>1.0043599999999999</v>
      </c>
      <c r="AH32">
        <v>315.17784843688997</v>
      </c>
      <c r="AI32">
        <v>89.817420223215393</v>
      </c>
      <c r="AJ32">
        <v>89.817126593662195</v>
      </c>
      <c r="AK32">
        <v>315.18105409464101</v>
      </c>
      <c r="AL32">
        <v>80.163826540443196</v>
      </c>
      <c r="AM32">
        <v>86.738877484038397</v>
      </c>
      <c r="AN32">
        <v>1.0000000087293901</v>
      </c>
    </row>
    <row r="33" spans="1:40" x14ac:dyDescent="0.25">
      <c r="A33" t="str">
        <f>"20190303170716263"</f>
        <v>20190303170716263</v>
      </c>
      <c r="B33" t="str">
        <f>"1551604036252569"</f>
        <v>1551604036252569</v>
      </c>
      <c r="C33" t="s">
        <v>40</v>
      </c>
      <c r="D33">
        <v>4.2221359999999999</v>
      </c>
      <c r="E33">
        <v>0.48116439999999999</v>
      </c>
      <c r="F33" t="s">
        <v>44</v>
      </c>
      <c r="G33">
        <v>-158.19499999999999</v>
      </c>
      <c r="H33">
        <v>2.2171750000000001</v>
      </c>
      <c r="I33">
        <v>370.67340000000002</v>
      </c>
      <c r="J33">
        <v>-473.84309999999999</v>
      </c>
      <c r="K33">
        <v>1.1194090000000001</v>
      </c>
      <c r="L33">
        <v>367.09500000000003</v>
      </c>
      <c r="M33">
        <v>0.99990239999999997</v>
      </c>
      <c r="N33">
        <v>3.6030929999999999E-3</v>
      </c>
      <c r="O33">
        <v>1.3494000000000001E-2</v>
      </c>
      <c r="P33">
        <v>0.9838017</v>
      </c>
      <c r="Q33">
        <v>0.1740188</v>
      </c>
      <c r="R33">
        <v>-4.3029299999999999E-2</v>
      </c>
      <c r="S33">
        <v>3.0492249999999999</v>
      </c>
      <c r="T33">
        <v>1.060176E-2</v>
      </c>
      <c r="U33">
        <v>3.4576419999999997E-2</v>
      </c>
      <c r="V33">
        <v>5.6236029999999999E-2</v>
      </c>
      <c r="W33">
        <v>0.17049710000000001</v>
      </c>
      <c r="X33">
        <v>0.98375210000000002</v>
      </c>
      <c r="Y33">
        <v>2.155541E-3</v>
      </c>
      <c r="Z33" s="1">
        <v>5.9231070000000001E-6</v>
      </c>
      <c r="AA33">
        <v>0.99999769999999999</v>
      </c>
      <c r="AB33">
        <v>10</v>
      </c>
      <c r="AC33">
        <v>315.6481</v>
      </c>
      <c r="AD33">
        <v>1.097766</v>
      </c>
      <c r="AE33">
        <v>3.5783999999999798</v>
      </c>
      <c r="AF33">
        <v>0.68130093724554597</v>
      </c>
      <c r="AG33">
        <v>1.097766</v>
      </c>
      <c r="AH33">
        <v>315.663830161997</v>
      </c>
      <c r="AI33">
        <v>89.8007470206297</v>
      </c>
      <c r="AJ33">
        <v>89.876338040854293</v>
      </c>
      <c r="AK33">
        <v>315.666474199748</v>
      </c>
      <c r="AL33">
        <v>80.183276984824204</v>
      </c>
      <c r="AM33">
        <v>86.728256733852106</v>
      </c>
      <c r="AN33">
        <v>0.99999997321649003</v>
      </c>
    </row>
    <row r="34" spans="1:40" x14ac:dyDescent="0.25">
      <c r="A34" t="str">
        <f>"20190303170716286"</f>
        <v>20190303170716286</v>
      </c>
      <c r="B34" t="str">
        <f>"1551604036272088"</f>
        <v>1551604036272088</v>
      </c>
      <c r="C34" t="s">
        <v>40</v>
      </c>
      <c r="D34">
        <v>4.1892040000000001</v>
      </c>
      <c r="E34">
        <v>0.4809562</v>
      </c>
      <c r="F34" t="s">
        <v>44</v>
      </c>
      <c r="G34">
        <v>-158.19499999999999</v>
      </c>
      <c r="H34">
        <v>2.3121290000000001</v>
      </c>
      <c r="I34">
        <v>371.1515</v>
      </c>
      <c r="J34">
        <v>-473.73759999999999</v>
      </c>
      <c r="K34">
        <v>1.119399</v>
      </c>
      <c r="L34">
        <v>367.09719999999999</v>
      </c>
      <c r="M34">
        <v>0.99989360000000005</v>
      </c>
      <c r="N34">
        <v>3.6578460000000002E-3</v>
      </c>
      <c r="O34">
        <v>1.412353E-2</v>
      </c>
      <c r="P34">
        <v>0.98383290000000001</v>
      </c>
      <c r="Q34">
        <v>0.17420550000000001</v>
      </c>
      <c r="R34">
        <v>-4.1536959999999998E-2</v>
      </c>
      <c r="S34">
        <v>3.0491030000000001</v>
      </c>
      <c r="T34">
        <v>1.1522289999999999E-2</v>
      </c>
      <c r="U34">
        <v>3.9184570000000002E-2</v>
      </c>
      <c r="V34">
        <v>5.536141E-2</v>
      </c>
      <c r="W34">
        <v>0.17062959999999999</v>
      </c>
      <c r="X34">
        <v>0.98377879999999995</v>
      </c>
      <c r="Y34">
        <v>0</v>
      </c>
      <c r="Z34">
        <v>0</v>
      </c>
      <c r="AA34">
        <v>1</v>
      </c>
      <c r="AB34">
        <v>10</v>
      </c>
      <c r="AC34">
        <v>315.54259999999999</v>
      </c>
      <c r="AD34">
        <v>1.1927299999999901</v>
      </c>
      <c r="AE34">
        <v>4.0543000000000102</v>
      </c>
      <c r="AF34">
        <v>0.40270368302158899</v>
      </c>
      <c r="AG34">
        <v>1.1927299999999901</v>
      </c>
      <c r="AH34">
        <v>315.56388013246101</v>
      </c>
      <c r="AI34">
        <v>89.7834415839949</v>
      </c>
      <c r="AJ34">
        <v>89.926882604889101</v>
      </c>
      <c r="AK34">
        <v>315.56639114354903</v>
      </c>
      <c r="AL34">
        <v>80.175573026357796</v>
      </c>
      <c r="AM34">
        <v>86.779120304848107</v>
      </c>
      <c r="AN34">
        <v>1.0000000367213899</v>
      </c>
    </row>
    <row r="35" spans="1:40" x14ac:dyDescent="0.25">
      <c r="A35" t="str">
        <f>"20190303170716328"</f>
        <v>20190303170716328</v>
      </c>
      <c r="B35" t="str">
        <f>"1551604036321866"</f>
        <v>1551604036321866</v>
      </c>
      <c r="C35" t="s">
        <v>40</v>
      </c>
      <c r="D35">
        <v>4.3260139999999998</v>
      </c>
      <c r="E35">
        <v>0.48143089999999999</v>
      </c>
      <c r="F35" t="s">
        <v>44</v>
      </c>
      <c r="G35">
        <v>-158.19499999999999</v>
      </c>
      <c r="H35">
        <v>2.5569109999999999</v>
      </c>
      <c r="I35">
        <v>371.74340000000001</v>
      </c>
      <c r="J35">
        <v>-473.53129999999999</v>
      </c>
      <c r="K35">
        <v>1.1193919999999999</v>
      </c>
      <c r="L35">
        <v>367.10140000000001</v>
      </c>
      <c r="M35">
        <v>0.99987579999999998</v>
      </c>
      <c r="N35">
        <v>3.754435E-3</v>
      </c>
      <c r="O35">
        <v>1.5305569999999999E-2</v>
      </c>
      <c r="P35">
        <v>0.98371160000000002</v>
      </c>
      <c r="Q35">
        <v>0.1756578</v>
      </c>
      <c r="R35">
        <v>-3.8152800000000001E-2</v>
      </c>
      <c r="S35">
        <v>3.048737</v>
      </c>
      <c r="T35">
        <v>1.388991E-2</v>
      </c>
      <c r="U35">
        <v>4.4891359999999998E-2</v>
      </c>
      <c r="V35">
        <v>5.3136559999999999E-2</v>
      </c>
      <c r="W35">
        <v>0.17198729999999901</v>
      </c>
      <c r="X35">
        <v>0.98366500000000001</v>
      </c>
      <c r="Y35">
        <v>0</v>
      </c>
      <c r="Z35">
        <v>0</v>
      </c>
      <c r="AA35">
        <v>1</v>
      </c>
      <c r="AB35">
        <v>10</v>
      </c>
      <c r="AC35">
        <v>315.33629999999999</v>
      </c>
      <c r="AD35">
        <v>1.437519</v>
      </c>
      <c r="AE35">
        <v>4.6419999999999897</v>
      </c>
      <c r="AF35">
        <v>0.18497581266841501</v>
      </c>
      <c r="AG35">
        <v>1.437519</v>
      </c>
      <c r="AH35">
        <v>315.36385850742198</v>
      </c>
      <c r="AI35">
        <v>89.738831242590607</v>
      </c>
      <c r="AJ35">
        <v>89.966393320361206</v>
      </c>
      <c r="AK35">
        <v>315.36718905050299</v>
      </c>
      <c r="AL35">
        <v>80.096614767113707</v>
      </c>
      <c r="AM35">
        <v>86.907946844857506</v>
      </c>
      <c r="AN35">
        <v>0.99999997879746105</v>
      </c>
    </row>
    <row r="36" spans="1:40" x14ac:dyDescent="0.25">
      <c r="A36" t="str">
        <f>"20190303170716352"</f>
        <v>20190303170716352</v>
      </c>
      <c r="B36" t="str">
        <f>"1551604036342361"</f>
        <v>1551604036342361</v>
      </c>
      <c r="C36" t="s">
        <v>40</v>
      </c>
      <c r="D36">
        <v>4.2524389999999999</v>
      </c>
      <c r="E36">
        <v>0.48169289999999998</v>
      </c>
      <c r="F36" t="s">
        <v>44</v>
      </c>
      <c r="G36">
        <v>-158.19499999999999</v>
      </c>
      <c r="H36">
        <v>3.4182869999999999</v>
      </c>
      <c r="I36">
        <v>372.57650000000001</v>
      </c>
      <c r="J36">
        <v>-473.41579999999999</v>
      </c>
      <c r="K36">
        <v>1.1193820000000001</v>
      </c>
      <c r="L36">
        <v>367.10390000000001</v>
      </c>
      <c r="M36">
        <v>0.99986600000000003</v>
      </c>
      <c r="N36">
        <v>3.8035719999999999E-3</v>
      </c>
      <c r="O36">
        <v>1.5931549999999999E-2</v>
      </c>
      <c r="P36">
        <v>0.98374470000000003</v>
      </c>
      <c r="Q36">
        <v>0.17574239999999999</v>
      </c>
      <c r="R36">
        <v>-3.6899620000000001E-2</v>
      </c>
      <c r="S36">
        <v>3.0477910000000001</v>
      </c>
      <c r="T36">
        <v>2.2220130000000001E-2</v>
      </c>
      <c r="U36">
        <v>5.2917480000000003E-2</v>
      </c>
      <c r="V36">
        <v>5.2499799999999999E-2</v>
      </c>
      <c r="W36">
        <v>0.17202300000000001</v>
      </c>
      <c r="X36">
        <v>0.98369300000000004</v>
      </c>
      <c r="Y36">
        <v>-1.428524E-3</v>
      </c>
      <c r="Z36" s="1">
        <v>4.7612119999999999E-5</v>
      </c>
      <c r="AA36">
        <v>0.99999899999999997</v>
      </c>
      <c r="AB36">
        <v>11</v>
      </c>
      <c r="AC36">
        <v>315.2208</v>
      </c>
      <c r="AD36">
        <v>2.298905</v>
      </c>
      <c r="AE36">
        <v>5.4725999999999999</v>
      </c>
      <c r="AF36">
        <v>-0.449890001042067</v>
      </c>
      <c r="AG36">
        <v>2.298905</v>
      </c>
      <c r="AH36">
        <v>315.25121826404097</v>
      </c>
      <c r="AI36">
        <v>89.582190083590604</v>
      </c>
      <c r="AJ36">
        <v>90.081765840424197</v>
      </c>
      <c r="AK36">
        <v>315.25992130649001</v>
      </c>
      <c r="AL36">
        <v>80.094538872277994</v>
      </c>
      <c r="AM36">
        <v>86.945016528229203</v>
      </c>
      <c r="AN36">
        <v>1.0000000298890099</v>
      </c>
    </row>
    <row r="37" spans="1:40" x14ac:dyDescent="0.25">
      <c r="A37" t="str">
        <f>"20190303170716375"</f>
        <v>20190303170716375</v>
      </c>
      <c r="B37" t="str">
        <f>"1551604036362857"</f>
        <v>1551604036362857</v>
      </c>
      <c r="C37" t="s">
        <v>40</v>
      </c>
      <c r="D37">
        <v>4.2116049999999996</v>
      </c>
      <c r="E37">
        <v>0.48194870000000001</v>
      </c>
      <c r="F37" t="s">
        <v>44</v>
      </c>
      <c r="G37">
        <v>-158.19499999999999</v>
      </c>
      <c r="H37">
        <v>3.5362469999999999</v>
      </c>
      <c r="I37">
        <v>372.72289999999998</v>
      </c>
      <c r="J37">
        <v>-473.29539999999997</v>
      </c>
      <c r="K37">
        <v>1.119372</v>
      </c>
      <c r="L37">
        <v>367.10649999999998</v>
      </c>
      <c r="M37">
        <v>0.99985579999999996</v>
      </c>
      <c r="N37">
        <v>3.8519349999999999E-3</v>
      </c>
      <c r="O37">
        <v>1.655214E-2</v>
      </c>
      <c r="P37">
        <v>0.98362400000000005</v>
      </c>
      <c r="Q37">
        <v>0.176625799999999</v>
      </c>
      <c r="R37">
        <v>-3.5882360000000002E-2</v>
      </c>
      <c r="S37">
        <v>3.0473940000000002</v>
      </c>
      <c r="T37">
        <v>2.3365859999999999E-2</v>
      </c>
      <c r="U37">
        <v>5.4321290000000001E-2</v>
      </c>
      <c r="V37">
        <v>5.2092350000000003E-2</v>
      </c>
      <c r="W37">
        <v>0.17285809999999999</v>
      </c>
      <c r="X37">
        <v>0.98356829999999995</v>
      </c>
      <c r="Y37">
        <v>-1.2706569999999999E-3</v>
      </c>
      <c r="Z37" s="1">
        <v>5.581693E-5</v>
      </c>
      <c r="AA37">
        <v>0.99999919999999998</v>
      </c>
      <c r="AB37">
        <v>11</v>
      </c>
      <c r="AC37">
        <v>315.10039999999998</v>
      </c>
      <c r="AD37">
        <v>2.4168750000000001</v>
      </c>
      <c r="AE37">
        <v>5.6163999999999898</v>
      </c>
      <c r="AF37">
        <v>-0.39998353731126002</v>
      </c>
      <c r="AG37">
        <v>2.4168750000000001</v>
      </c>
      <c r="AH37">
        <v>315.131662172029</v>
      </c>
      <c r="AI37">
        <v>89.560583948779197</v>
      </c>
      <c r="AJ37">
        <v>90.072723115468406</v>
      </c>
      <c r="AK37">
        <v>315.14118387621397</v>
      </c>
      <c r="AL37">
        <v>80.045963889536907</v>
      </c>
      <c r="AM37">
        <v>86.968298204869896</v>
      </c>
      <c r="AN37">
        <v>1.0000000682145</v>
      </c>
    </row>
    <row r="38" spans="1:40" x14ac:dyDescent="0.25">
      <c r="A38" t="str">
        <f>"20190303170716398"</f>
        <v>20190303170716398</v>
      </c>
      <c r="B38" t="str">
        <f>"1551604036392137"</f>
        <v>1551604036392137</v>
      </c>
      <c r="C38" t="s">
        <v>40</v>
      </c>
      <c r="D38">
        <v>4.2981410000000002</v>
      </c>
      <c r="E38">
        <v>0.48227900000000001</v>
      </c>
      <c r="F38" t="s">
        <v>44</v>
      </c>
      <c r="G38">
        <v>-158.19499999999999</v>
      </c>
      <c r="H38">
        <v>3.847966</v>
      </c>
      <c r="I38">
        <v>372.81209999999999</v>
      </c>
      <c r="J38">
        <v>-473.16860000000003</v>
      </c>
      <c r="K38">
        <v>1.119359</v>
      </c>
      <c r="L38">
        <v>367.10930000000002</v>
      </c>
      <c r="M38">
        <v>0.99984510000000004</v>
      </c>
      <c r="N38">
        <v>3.9005810000000002E-3</v>
      </c>
      <c r="O38">
        <v>1.716939E-2</v>
      </c>
      <c r="P38">
        <v>0.98324880000000003</v>
      </c>
      <c r="Q38">
        <v>0.17867910000000001</v>
      </c>
      <c r="R38">
        <v>-3.5997950000000001E-2</v>
      </c>
      <c r="S38">
        <v>3.0471499999999998</v>
      </c>
      <c r="T38">
        <v>2.638745E-2</v>
      </c>
      <c r="U38">
        <v>5.5175780000000001E-2</v>
      </c>
      <c r="V38">
        <v>5.2810410000000002E-2</v>
      </c>
      <c r="W38">
        <v>0.1748651</v>
      </c>
      <c r="X38">
        <v>0.98317509999999997</v>
      </c>
      <c r="Y38">
        <v>-9.3514789999999998E-4</v>
      </c>
      <c r="Z38" s="1">
        <v>7.5813440000000004E-5</v>
      </c>
      <c r="AA38">
        <v>0.99999959999999999</v>
      </c>
      <c r="AB38">
        <v>12</v>
      </c>
      <c r="AC38">
        <v>314.97359999999998</v>
      </c>
      <c r="AD38">
        <v>2.7286069999999998</v>
      </c>
      <c r="AE38">
        <v>5.7027999999999599</v>
      </c>
      <c r="AF38">
        <v>-0.29399220551519001</v>
      </c>
      <c r="AG38">
        <v>2.7286069999999998</v>
      </c>
      <c r="AH38">
        <v>315.00145281662998</v>
      </c>
      <c r="AI38">
        <v>89.503704870116195</v>
      </c>
      <c r="AJ38">
        <v>90.053474380972801</v>
      </c>
      <c r="AK38">
        <v>315.01340765777701</v>
      </c>
      <c r="AL38">
        <v>79.929192241465302</v>
      </c>
      <c r="AM38">
        <v>86.925360905336106</v>
      </c>
      <c r="AN38">
        <v>1.0000000099311901</v>
      </c>
    </row>
    <row r="39" spans="1:40" x14ac:dyDescent="0.25">
      <c r="A39" t="str">
        <f>"20190303170716420"</f>
        <v>20190303170716420</v>
      </c>
      <c r="B39" t="str">
        <f>"1551604036411658"</f>
        <v>1551604036411658</v>
      </c>
      <c r="C39" t="s">
        <v>40</v>
      </c>
      <c r="D39">
        <v>4.2699069999999999</v>
      </c>
      <c r="E39">
        <v>0.48250729999999997</v>
      </c>
      <c r="F39" t="s">
        <v>44</v>
      </c>
      <c r="G39">
        <v>-158.19499999999999</v>
      </c>
      <c r="H39">
        <v>4.470478</v>
      </c>
      <c r="I39">
        <v>372.50670000000002</v>
      </c>
      <c r="J39">
        <v>-473.04930000000002</v>
      </c>
      <c r="K39">
        <v>1.119348</v>
      </c>
      <c r="L39">
        <v>367.11189999999999</v>
      </c>
      <c r="M39">
        <v>0.99983540000000004</v>
      </c>
      <c r="N39">
        <v>3.9443819999999997E-3</v>
      </c>
      <c r="O39">
        <v>1.771346E-2</v>
      </c>
      <c r="P39">
        <v>0.98288419999999999</v>
      </c>
      <c r="Q39">
        <v>0.18052760000000001</v>
      </c>
      <c r="R39">
        <v>-3.6729129999999999E-2</v>
      </c>
      <c r="S39">
        <v>3.0470890000000002</v>
      </c>
      <c r="T39">
        <v>3.2419919999999998E-2</v>
      </c>
      <c r="U39">
        <v>5.2215579999999998E-2</v>
      </c>
      <c r="V39">
        <v>5.4072210000000002E-2</v>
      </c>
      <c r="W39">
        <v>0.17667140000000001</v>
      </c>
      <c r="X39">
        <v>0.98278350000000003</v>
      </c>
      <c r="Y39">
        <v>5.7954339999999999E-4</v>
      </c>
      <c r="Z39">
        <v>1.2278899999999999E-4</v>
      </c>
      <c r="AA39">
        <v>0.99999979999999999</v>
      </c>
      <c r="AB39">
        <v>12</v>
      </c>
      <c r="AC39">
        <v>314.85430000000002</v>
      </c>
      <c r="AD39">
        <v>3.3511299999999999</v>
      </c>
      <c r="AE39">
        <v>5.3948000000000302</v>
      </c>
      <c r="AF39">
        <v>0.18322769412662501</v>
      </c>
      <c r="AG39">
        <v>3.3511299999999999</v>
      </c>
      <c r="AH39">
        <v>314.864803039984</v>
      </c>
      <c r="AI39">
        <v>89.390219796190394</v>
      </c>
      <c r="AJ39">
        <v>89.966658158431798</v>
      </c>
      <c r="AK39">
        <v>314.88268900984798</v>
      </c>
      <c r="AL39">
        <v>79.824062023874703</v>
      </c>
      <c r="AM39">
        <v>86.850792722387496</v>
      </c>
      <c r="AN39">
        <v>0.99999999767224701</v>
      </c>
    </row>
    <row r="40" spans="1:40" x14ac:dyDescent="0.25">
      <c r="A40" t="str">
        <f>"20190303170716440"</f>
        <v>20190303170716440</v>
      </c>
      <c r="B40" t="str">
        <f>"1551604036432153"</f>
        <v>1551604036432153</v>
      </c>
      <c r="C40" t="s">
        <v>40</v>
      </c>
      <c r="D40">
        <v>4.2449890000000003</v>
      </c>
      <c r="E40">
        <v>0.48267789999999999</v>
      </c>
      <c r="F40" t="s">
        <v>44</v>
      </c>
      <c r="G40">
        <v>-158.19499999999999</v>
      </c>
      <c r="H40">
        <v>5.036524</v>
      </c>
      <c r="I40">
        <v>372.10059999999999</v>
      </c>
      <c r="J40">
        <v>-472.93329999999997</v>
      </c>
      <c r="K40">
        <v>1.11934</v>
      </c>
      <c r="L40">
        <v>367.11450000000002</v>
      </c>
      <c r="M40">
        <v>0.99982629999999995</v>
      </c>
      <c r="N40">
        <v>3.9858050000000003E-3</v>
      </c>
      <c r="O40">
        <v>1.8207060000000001E-2</v>
      </c>
      <c r="P40">
        <v>0.98259700000000005</v>
      </c>
      <c r="Q40">
        <v>0.1820051</v>
      </c>
      <c r="R40">
        <v>-3.7116080000000003E-2</v>
      </c>
      <c r="S40">
        <v>3.0470579999999998</v>
      </c>
      <c r="T40">
        <v>3.7909980000000003E-2</v>
      </c>
      <c r="U40">
        <v>4.8278809999999998E-2</v>
      </c>
      <c r="V40">
        <v>5.494222E-2</v>
      </c>
      <c r="W40">
        <v>0.17810870000000001</v>
      </c>
      <c r="X40">
        <v>0.98247580000000001</v>
      </c>
      <c r="Y40">
        <v>2.3642450000000001E-3</v>
      </c>
      <c r="Z40">
        <v>1.733316E-4</v>
      </c>
      <c r="AA40">
        <v>0.99999720000000003</v>
      </c>
      <c r="AB40">
        <v>12</v>
      </c>
      <c r="AC40">
        <v>314.73829999999998</v>
      </c>
      <c r="AD40">
        <v>3.9171840000000002</v>
      </c>
      <c r="AE40">
        <v>4.9860999999999596</v>
      </c>
      <c r="AF40">
        <v>0.74511572368303902</v>
      </c>
      <c r="AG40">
        <v>3.9171840000000002</v>
      </c>
      <c r="AH40">
        <v>314.72817152089198</v>
      </c>
      <c r="AI40">
        <v>89.286921495722794</v>
      </c>
      <c r="AJ40">
        <v>89.864353082068007</v>
      </c>
      <c r="AK40">
        <v>314.75342965060099</v>
      </c>
      <c r="AL40">
        <v>79.740384010817905</v>
      </c>
      <c r="AM40">
        <v>86.799227077548196</v>
      </c>
      <c r="AN40">
        <v>1.0000000270699201</v>
      </c>
    </row>
    <row r="41" spans="1:40" x14ac:dyDescent="0.25">
      <c r="A41" t="str">
        <f>"20190303170716464"</f>
        <v>20190303170716464</v>
      </c>
      <c r="B41" t="str">
        <f>"1551604036451673"</f>
        <v>1551604036451673</v>
      </c>
      <c r="C41" t="s">
        <v>40</v>
      </c>
      <c r="D41">
        <v>4.2865919999999997</v>
      </c>
      <c r="E41">
        <v>0.48285230000000001</v>
      </c>
      <c r="F41" t="s">
        <v>44</v>
      </c>
      <c r="G41">
        <v>-158.19499999999999</v>
      </c>
      <c r="H41">
        <v>5.576416</v>
      </c>
      <c r="I41">
        <v>371.86840000000001</v>
      </c>
      <c r="J41">
        <v>-472.803</v>
      </c>
      <c r="K41">
        <v>1.1193200000000001</v>
      </c>
      <c r="L41">
        <v>367.11739999999998</v>
      </c>
      <c r="M41">
        <v>0.99981660000000006</v>
      </c>
      <c r="N41">
        <v>4.0309200000000003E-3</v>
      </c>
      <c r="O41">
        <v>1.8720460000000001E-2</v>
      </c>
      <c r="P41">
        <v>0.98239319999999997</v>
      </c>
      <c r="Q41">
        <v>0.18290999999999999</v>
      </c>
      <c r="R41">
        <v>-3.8050069999999998E-2</v>
      </c>
      <c r="S41">
        <v>3.046875</v>
      </c>
      <c r="T41">
        <v>4.3148279999999997E-2</v>
      </c>
      <c r="U41">
        <v>4.6020510000000001E-2</v>
      </c>
      <c r="V41">
        <v>5.6380930000000003E-2</v>
      </c>
      <c r="W41">
        <v>0.17896870000000001</v>
      </c>
      <c r="X41">
        <v>0.9822379</v>
      </c>
      <c r="Y41">
        <v>3.6172520000000001E-3</v>
      </c>
      <c r="Z41">
        <v>2.225017E-4</v>
      </c>
      <c r="AA41">
        <v>0.99999340000000003</v>
      </c>
      <c r="AB41">
        <v>12</v>
      </c>
      <c r="AC41">
        <v>314.608</v>
      </c>
      <c r="AD41">
        <v>4.4570959999999999</v>
      </c>
      <c r="AE41">
        <v>4.7510000000000296</v>
      </c>
      <c r="AF41">
        <v>1.1392585000178299</v>
      </c>
      <c r="AG41">
        <v>4.4570959999999999</v>
      </c>
      <c r="AH41">
        <v>314.57868379985399</v>
      </c>
      <c r="AI41">
        <v>89.188266585518804</v>
      </c>
      <c r="AJ41">
        <v>89.792502093058701</v>
      </c>
      <c r="AK41">
        <v>314.61232003202298</v>
      </c>
      <c r="AL41">
        <v>79.690304196716198</v>
      </c>
      <c r="AM41">
        <v>86.714799453696102</v>
      </c>
      <c r="AN41">
        <v>0.99999994852188101</v>
      </c>
    </row>
    <row r="42" spans="1:40" x14ac:dyDescent="0.25">
      <c r="A42" t="str">
        <f>"20190303170716487"</f>
        <v>20190303170716487</v>
      </c>
      <c r="B42" t="str">
        <f>"1551604036481929"</f>
        <v>1551604036481929</v>
      </c>
      <c r="C42" t="s">
        <v>40</v>
      </c>
      <c r="D42">
        <v>4.3327039999999997</v>
      </c>
      <c r="E42">
        <v>0.4828171</v>
      </c>
      <c r="F42" t="s">
        <v>44</v>
      </c>
      <c r="G42">
        <v>-158.19499999999999</v>
      </c>
      <c r="H42">
        <v>5.9538250000000001</v>
      </c>
      <c r="I42">
        <v>371.48520000000002</v>
      </c>
      <c r="J42">
        <v>-472.66489999999999</v>
      </c>
      <c r="K42">
        <v>1.119299</v>
      </c>
      <c r="L42">
        <v>367.12060000000002</v>
      </c>
      <c r="M42">
        <v>0.99980690000000005</v>
      </c>
      <c r="N42">
        <v>4.0775569999999999E-3</v>
      </c>
      <c r="O42">
        <v>1.92202E-2</v>
      </c>
      <c r="P42">
        <v>0.98222259999999995</v>
      </c>
      <c r="Q42">
        <v>0.18357080000000001</v>
      </c>
      <c r="R42">
        <v>-3.9248850000000002E-2</v>
      </c>
      <c r="S42">
        <v>3.0466609999999998</v>
      </c>
      <c r="T42">
        <v>4.6818140000000001E-2</v>
      </c>
      <c r="U42">
        <v>4.2297359999999999E-2</v>
      </c>
      <c r="V42">
        <v>5.8072039999999998E-2</v>
      </c>
      <c r="W42">
        <v>0.17958370000000001</v>
      </c>
      <c r="X42">
        <v>0.98202719999999999</v>
      </c>
      <c r="Y42">
        <v>5.3372050000000002E-3</v>
      </c>
      <c r="Z42">
        <v>2.6881829999999998E-4</v>
      </c>
      <c r="AA42">
        <v>0.99998569999999998</v>
      </c>
      <c r="AB42">
        <v>13</v>
      </c>
      <c r="AC42">
        <v>314.4699</v>
      </c>
      <c r="AD42">
        <v>4.8345260000000003</v>
      </c>
      <c r="AE42">
        <v>4.3645999999999896</v>
      </c>
      <c r="AF42">
        <v>1.6800342529124299</v>
      </c>
      <c r="AG42">
        <v>4.8345260000000003</v>
      </c>
      <c r="AH42">
        <v>314.421399565174</v>
      </c>
      <c r="AI42">
        <v>89.119105261947297</v>
      </c>
      <c r="AJ42">
        <v>89.693856855156994</v>
      </c>
      <c r="AK42">
        <v>314.46305293509198</v>
      </c>
      <c r="AL42">
        <v>79.654488009913905</v>
      </c>
      <c r="AM42">
        <v>86.615763300376003</v>
      </c>
      <c r="AN42">
        <v>1.00000004433764</v>
      </c>
    </row>
    <row r="43" spans="1:40" x14ac:dyDescent="0.25">
      <c r="A43" t="str">
        <f>"20190303170716511"</f>
        <v>20190303170716511</v>
      </c>
      <c r="B43" t="str">
        <f>"1551604036502425"</f>
        <v>1551604036502425</v>
      </c>
      <c r="C43" t="s">
        <v>40</v>
      </c>
      <c r="D43">
        <v>4.2682739999999999</v>
      </c>
      <c r="E43">
        <v>0.48277419999999999</v>
      </c>
      <c r="F43" t="s">
        <v>44</v>
      </c>
      <c r="G43">
        <v>-158.19499999999999</v>
      </c>
      <c r="H43">
        <v>6.2493850000000002</v>
      </c>
      <c r="I43">
        <v>371.25029999999998</v>
      </c>
      <c r="J43">
        <v>-472.52769999999998</v>
      </c>
      <c r="K43">
        <v>1.1192759999999999</v>
      </c>
      <c r="L43">
        <v>367.12369999999999</v>
      </c>
      <c r="M43">
        <v>0.99979810000000002</v>
      </c>
      <c r="N43">
        <v>4.1316110000000003E-3</v>
      </c>
      <c r="O43">
        <v>1.967153E-2</v>
      </c>
      <c r="P43">
        <v>0.98204069999999999</v>
      </c>
      <c r="Q43">
        <v>0.18425069999999999</v>
      </c>
      <c r="R43">
        <v>-4.0593419999999998E-2</v>
      </c>
      <c r="S43">
        <v>3.04657</v>
      </c>
      <c r="T43">
        <v>4.9700859999999999E-2</v>
      </c>
      <c r="U43">
        <v>4.0008540000000002E-2</v>
      </c>
      <c r="V43">
        <v>5.9860829999999997E-2</v>
      </c>
      <c r="W43">
        <v>0.18020990000000001</v>
      </c>
      <c r="X43">
        <v>0.98180500000000004</v>
      </c>
      <c r="Y43">
        <v>6.5387969999999998E-3</v>
      </c>
      <c r="Z43">
        <v>3.0641989999999998E-4</v>
      </c>
      <c r="AA43">
        <v>0.99997860000000005</v>
      </c>
      <c r="AB43">
        <v>13</v>
      </c>
      <c r="AC43">
        <v>314.33269999999999</v>
      </c>
      <c r="AD43">
        <v>5.130109</v>
      </c>
      <c r="AE43">
        <v>4.1265999999999901</v>
      </c>
      <c r="AF43">
        <v>2.0571077296392</v>
      </c>
      <c r="AG43">
        <v>5.130109</v>
      </c>
      <c r="AH43">
        <v>314.26935645603999</v>
      </c>
      <c r="AI43">
        <v>89.064811159557195</v>
      </c>
      <c r="AJ43">
        <v>89.624965319693402</v>
      </c>
      <c r="AK43">
        <v>314.31795704009102</v>
      </c>
      <c r="AL43">
        <v>79.618013799856698</v>
      </c>
      <c r="AM43">
        <v>86.510984903014403</v>
      </c>
      <c r="AN43">
        <v>0.99999999252564897</v>
      </c>
    </row>
    <row r="44" spans="1:40" x14ac:dyDescent="0.25">
      <c r="A44" t="str">
        <f>"20190303170716530"</f>
        <v>20190303170716530</v>
      </c>
      <c r="B44" t="str">
        <f>"1551604036521945"</f>
        <v>1551604036521945</v>
      </c>
      <c r="C44" t="s">
        <v>40</v>
      </c>
      <c r="D44">
        <v>4.2706540000000004</v>
      </c>
      <c r="E44">
        <v>0.48286050000000003</v>
      </c>
      <c r="F44" t="s">
        <v>44</v>
      </c>
      <c r="G44">
        <v>-158.19499999999999</v>
      </c>
      <c r="H44">
        <v>6.5368740000000001</v>
      </c>
      <c r="I44">
        <v>370.95260000000002</v>
      </c>
      <c r="J44">
        <v>-472.40410000000003</v>
      </c>
      <c r="K44">
        <v>1.119256</v>
      </c>
      <c r="L44">
        <v>367.1266</v>
      </c>
      <c r="M44">
        <v>0.99979039999999997</v>
      </c>
      <c r="N44">
        <v>4.1908010000000001E-3</v>
      </c>
      <c r="O44">
        <v>2.0042299999999999E-2</v>
      </c>
      <c r="P44">
        <v>0.98199259999999999</v>
      </c>
      <c r="Q44">
        <v>0.1842403</v>
      </c>
      <c r="R44">
        <v>-4.1788279999999997E-2</v>
      </c>
      <c r="S44">
        <v>3.0465089999999999</v>
      </c>
      <c r="T44">
        <v>5.2508119999999998E-2</v>
      </c>
      <c r="U44">
        <v>3.7109379999999997E-2</v>
      </c>
      <c r="V44">
        <v>6.1422459999999998E-2</v>
      </c>
      <c r="W44">
        <v>0.180141</v>
      </c>
      <c r="X44">
        <v>0.98172119999999996</v>
      </c>
      <c r="Y44">
        <v>7.8602389999999998E-3</v>
      </c>
      <c r="Z44">
        <v>3.4558290000000002E-4</v>
      </c>
      <c r="AA44">
        <v>0.99996910000000006</v>
      </c>
      <c r="AB44">
        <v>13</v>
      </c>
      <c r="AC44">
        <v>314.20909999999998</v>
      </c>
      <c r="AD44">
        <v>5.417618</v>
      </c>
      <c r="AE44">
        <v>3.8260000000000201</v>
      </c>
      <c r="AF44">
        <v>2.4715619006731502</v>
      </c>
      <c r="AG44">
        <v>5.417618</v>
      </c>
      <c r="AH44">
        <v>314.12929372089002</v>
      </c>
      <c r="AI44">
        <v>89.011979214541995</v>
      </c>
      <c r="AJ44">
        <v>89.5492074552525</v>
      </c>
      <c r="AK44">
        <v>314.18572911035898</v>
      </c>
      <c r="AL44">
        <v>79.622027306431704</v>
      </c>
      <c r="AM44">
        <v>86.419893519542796</v>
      </c>
      <c r="AN44">
        <v>1.0000000065014401</v>
      </c>
    </row>
    <row r="45" spans="1:40" x14ac:dyDescent="0.25">
      <c r="A45" t="str">
        <f>"20190303170716552"</f>
        <v>20190303170716552</v>
      </c>
      <c r="B45" t="str">
        <f>"1551604036542441"</f>
        <v>1551604036542441</v>
      </c>
      <c r="C45" t="s">
        <v>40</v>
      </c>
      <c r="D45">
        <v>4.3798050000000002</v>
      </c>
      <c r="E45">
        <v>0.48292879999999999</v>
      </c>
      <c r="F45" t="s">
        <v>44</v>
      </c>
      <c r="G45">
        <v>-158.19499999999999</v>
      </c>
      <c r="H45">
        <v>6.5344899999999999</v>
      </c>
      <c r="I45">
        <v>370.55419999999998</v>
      </c>
      <c r="J45">
        <v>-472.2672</v>
      </c>
      <c r="K45">
        <v>1.1192249999999999</v>
      </c>
      <c r="L45">
        <v>367.12979999999999</v>
      </c>
      <c r="M45">
        <v>0.99978259999999997</v>
      </c>
      <c r="N45">
        <v>4.2639640000000003E-3</v>
      </c>
      <c r="O45">
        <v>2.0412340000000001E-2</v>
      </c>
      <c r="P45">
        <v>0.98182440000000004</v>
      </c>
      <c r="Q45">
        <v>0.1850086</v>
      </c>
      <c r="R45">
        <v>-4.2340450000000002E-2</v>
      </c>
      <c r="S45">
        <v>3.04657</v>
      </c>
      <c r="T45">
        <v>5.2506919999999999E-2</v>
      </c>
      <c r="U45">
        <v>3.3233640000000002E-2</v>
      </c>
      <c r="V45">
        <v>6.233872E-2</v>
      </c>
      <c r="W45">
        <v>0.180837</v>
      </c>
      <c r="X45">
        <v>0.98153550000000001</v>
      </c>
      <c r="Y45">
        <v>9.5022100000000005E-3</v>
      </c>
      <c r="Z45">
        <v>3.6683659999999998E-4</v>
      </c>
      <c r="AA45">
        <v>0.99995480000000003</v>
      </c>
      <c r="AB45">
        <v>14</v>
      </c>
      <c r="AC45">
        <v>314.07220000000001</v>
      </c>
      <c r="AD45">
        <v>5.4152649999999998</v>
      </c>
      <c r="AE45">
        <v>3.4243999999999901</v>
      </c>
      <c r="AF45">
        <v>2.98643228342176</v>
      </c>
      <c r="AG45">
        <v>5.4152649999999998</v>
      </c>
      <c r="AH45">
        <v>313.98332838080199</v>
      </c>
      <c r="AI45">
        <v>89.011963333871094</v>
      </c>
      <c r="AJ45">
        <v>89.455051302100799</v>
      </c>
      <c r="AK45">
        <v>314.04422359580201</v>
      </c>
      <c r="AL45">
        <v>79.5814839170678</v>
      </c>
      <c r="AM45">
        <v>86.365944283969895</v>
      </c>
      <c r="AN45">
        <v>1.00000003717024</v>
      </c>
    </row>
    <row r="46" spans="1:40" x14ac:dyDescent="0.25">
      <c r="A46" t="str">
        <f>"20190303170716574"</f>
        <v>20190303170716574</v>
      </c>
      <c r="B46" t="str">
        <f>"1551604036561964"</f>
        <v>1551604036561964</v>
      </c>
      <c r="C46" t="s">
        <v>40</v>
      </c>
      <c r="D46">
        <v>4.1705740000000002</v>
      </c>
      <c r="E46">
        <v>0.48301500000000003</v>
      </c>
      <c r="F46" t="s">
        <v>44</v>
      </c>
      <c r="G46">
        <v>-162.1302</v>
      </c>
      <c r="H46">
        <v>6.6740899999999996</v>
      </c>
      <c r="I46">
        <v>370.27980000000002</v>
      </c>
      <c r="J46">
        <v>-472.12450000000001</v>
      </c>
      <c r="K46">
        <v>1.1192009999999999</v>
      </c>
      <c r="L46">
        <v>367.13310000000001</v>
      </c>
      <c r="M46">
        <v>0.99977519999999998</v>
      </c>
      <c r="N46">
        <v>4.3381009999999996E-3</v>
      </c>
      <c r="O46">
        <v>2.0756440000000001E-2</v>
      </c>
      <c r="P46">
        <v>0.98155630000000005</v>
      </c>
      <c r="Q46">
        <v>0.1862046</v>
      </c>
      <c r="R46">
        <v>-4.330643E-2</v>
      </c>
      <c r="S46">
        <v>3.0466609999999998</v>
      </c>
      <c r="T46">
        <v>5.4569600000000003E-2</v>
      </c>
      <c r="U46">
        <v>3.0944820000000001E-2</v>
      </c>
      <c r="V46">
        <v>6.3640379999999996E-2</v>
      </c>
      <c r="W46">
        <v>0.18196000000000001</v>
      </c>
      <c r="X46">
        <v>0.98124429999999996</v>
      </c>
      <c r="Y46">
        <v>1.0597290000000001E-2</v>
      </c>
      <c r="Z46">
        <v>3.9954619999999999E-4</v>
      </c>
      <c r="AA46">
        <v>0.99994380000000005</v>
      </c>
      <c r="AB46">
        <v>14</v>
      </c>
      <c r="AC46">
        <v>309.99430000000001</v>
      </c>
      <c r="AD46">
        <v>5.5548889999999904</v>
      </c>
      <c r="AE46">
        <v>3.1467000000000001</v>
      </c>
      <c r="AF46">
        <v>3.2873607754205398</v>
      </c>
      <c r="AG46">
        <v>5.5548889999999904</v>
      </c>
      <c r="AH46">
        <v>309.89333187031099</v>
      </c>
      <c r="AI46">
        <v>88.9731314594069</v>
      </c>
      <c r="AJ46">
        <v>89.392226891759194</v>
      </c>
      <c r="AK46">
        <v>309.96054695775803</v>
      </c>
      <c r="AL46">
        <v>79.516054432457906</v>
      </c>
      <c r="AM46">
        <v>86.289175485086304</v>
      </c>
      <c r="AN46">
        <v>0.99999995792451601</v>
      </c>
    </row>
    <row r="47" spans="1:40" x14ac:dyDescent="0.25">
      <c r="A47" t="str">
        <f>"20190303170716598"</f>
        <v>20190303170716598</v>
      </c>
      <c r="B47" t="str">
        <f>"1551604036592217"</f>
        <v>1551604036592217</v>
      </c>
      <c r="C47" t="s">
        <v>40</v>
      </c>
      <c r="D47">
        <v>4.1378399999999997</v>
      </c>
      <c r="E47">
        <v>0.4831086</v>
      </c>
      <c r="F47" t="s">
        <v>44</v>
      </c>
      <c r="G47">
        <v>-170.08879999999999</v>
      </c>
      <c r="H47">
        <v>6.849431</v>
      </c>
      <c r="I47">
        <v>369.91950000000003</v>
      </c>
      <c r="J47">
        <v>-471.97410000000002</v>
      </c>
      <c r="K47">
        <v>1.119181</v>
      </c>
      <c r="L47">
        <v>367.13670000000002</v>
      </c>
      <c r="M47">
        <v>0.99976810000000005</v>
      </c>
      <c r="N47">
        <v>4.4059870000000001E-3</v>
      </c>
      <c r="O47">
        <v>2.1079560000000001E-2</v>
      </c>
      <c r="P47">
        <v>0.98132719999999996</v>
      </c>
      <c r="Q47">
        <v>0.1872549</v>
      </c>
      <c r="R47">
        <v>-4.3962699999999903E-2</v>
      </c>
      <c r="S47">
        <v>3.0466920000000002</v>
      </c>
      <c r="T47">
        <v>5.7802800000000001E-2</v>
      </c>
      <c r="U47">
        <v>2.810669E-2</v>
      </c>
      <c r="V47">
        <v>6.4611890000000005E-2</v>
      </c>
      <c r="W47">
        <v>0.1829441</v>
      </c>
      <c r="X47">
        <v>0.98099789999999998</v>
      </c>
      <c r="Y47">
        <v>1.185113E-2</v>
      </c>
      <c r="Z47">
        <v>4.4549660000000002E-4</v>
      </c>
      <c r="AA47">
        <v>0.99992970000000003</v>
      </c>
      <c r="AB47">
        <v>14</v>
      </c>
      <c r="AC47">
        <v>301.88529999999997</v>
      </c>
      <c r="AD47">
        <v>5.7302499999999998</v>
      </c>
      <c r="AE47">
        <v>2.7827999999999999</v>
      </c>
      <c r="AF47">
        <v>3.5801995303310101</v>
      </c>
      <c r="AG47">
        <v>5.7302499999999998</v>
      </c>
      <c r="AH47">
        <v>301.76816340556002</v>
      </c>
      <c r="AI47">
        <v>88.912222588297297</v>
      </c>
      <c r="AJ47">
        <v>89.320270578103106</v>
      </c>
      <c r="AK47">
        <v>301.843797416651</v>
      </c>
      <c r="AL47">
        <v>79.458708148522504</v>
      </c>
      <c r="AM47">
        <v>86.231745829659701</v>
      </c>
      <c r="AN47">
        <v>1.00000005992929</v>
      </c>
    </row>
    <row r="48" spans="1:40" x14ac:dyDescent="0.25">
      <c r="A48" t="str">
        <f>"20190303170716618"</f>
        <v>20190303170716618</v>
      </c>
      <c r="B48" t="str">
        <f>"1551604036611737"</f>
        <v>1551604036611737</v>
      </c>
      <c r="C48" t="s">
        <v>40</v>
      </c>
      <c r="D48">
        <v>4.1296350000000004</v>
      </c>
      <c r="E48">
        <v>0.48312749999999999</v>
      </c>
      <c r="F48" t="s">
        <v>44</v>
      </c>
      <c r="G48">
        <v>-170.08879999999999</v>
      </c>
      <c r="H48">
        <v>7.1098119999999998</v>
      </c>
      <c r="I48">
        <v>369.70699999999999</v>
      </c>
      <c r="J48">
        <v>-471.83449999999999</v>
      </c>
      <c r="K48">
        <v>1.119175</v>
      </c>
      <c r="L48">
        <v>367.14</v>
      </c>
      <c r="M48">
        <v>0.99976229999999999</v>
      </c>
      <c r="N48">
        <v>4.4562619999999999E-3</v>
      </c>
      <c r="O48">
        <v>2.134935E-2</v>
      </c>
      <c r="P48">
        <v>0.98127010000000003</v>
      </c>
      <c r="Q48">
        <v>0.18758230000000001</v>
      </c>
      <c r="R48">
        <v>-4.3844880000000003E-2</v>
      </c>
      <c r="S48">
        <v>3.0466920000000002</v>
      </c>
      <c r="T48">
        <v>6.0459609999999997E-2</v>
      </c>
      <c r="U48">
        <v>2.5939940000000002E-2</v>
      </c>
      <c r="V48">
        <v>6.475918E-2</v>
      </c>
      <c r="W48">
        <v>0.18322160000000001</v>
      </c>
      <c r="X48">
        <v>0.98093629999999998</v>
      </c>
      <c r="Y48">
        <v>1.283129E-2</v>
      </c>
      <c r="Z48">
        <v>4.8433679999999998E-4</v>
      </c>
      <c r="AA48">
        <v>0.99991759999999996</v>
      </c>
      <c r="AB48">
        <v>15</v>
      </c>
      <c r="AC48">
        <v>301.7457</v>
      </c>
      <c r="AD48">
        <v>5.9906370000000004</v>
      </c>
      <c r="AE48">
        <v>2.5670000000000002</v>
      </c>
      <c r="AF48">
        <v>3.8741957073393301</v>
      </c>
      <c r="AG48">
        <v>5.9906370000000004</v>
      </c>
      <c r="AH48">
        <v>301.612855349526</v>
      </c>
      <c r="AI48">
        <v>88.862234203918405</v>
      </c>
      <c r="AJ48">
        <v>89.264080253018193</v>
      </c>
      <c r="AK48">
        <v>301.69721847597202</v>
      </c>
      <c r="AL48">
        <v>79.442534197633407</v>
      </c>
      <c r="AM48">
        <v>86.222944021631704</v>
      </c>
      <c r="AN48">
        <v>0.99999996537925995</v>
      </c>
    </row>
    <row r="49" spans="1:40" x14ac:dyDescent="0.25">
      <c r="A49" t="str">
        <f>"20190303170716641"</f>
        <v>20190303170716641</v>
      </c>
      <c r="B49" t="str">
        <f>"1551604036632234"</f>
        <v>1551604036632234</v>
      </c>
      <c r="C49" t="s">
        <v>40</v>
      </c>
      <c r="D49">
        <v>4.1114280000000001</v>
      </c>
      <c r="E49">
        <v>0.48307499999999998</v>
      </c>
      <c r="F49" t="s">
        <v>44</v>
      </c>
      <c r="G49">
        <v>-170.08879999999999</v>
      </c>
      <c r="H49">
        <v>7.1715070000000001</v>
      </c>
      <c r="I49">
        <v>369.73020000000002</v>
      </c>
      <c r="J49">
        <v>-471.67849999999999</v>
      </c>
      <c r="K49">
        <v>1.1191679999999999</v>
      </c>
      <c r="L49">
        <v>367.14359999999999</v>
      </c>
      <c r="M49">
        <v>0.99975610000000004</v>
      </c>
      <c r="N49">
        <v>4.4950900000000002E-3</v>
      </c>
      <c r="O49">
        <v>2.1625120000000001E-2</v>
      </c>
      <c r="P49">
        <v>0.98116429999999999</v>
      </c>
      <c r="Q49">
        <v>0.18812699999999999</v>
      </c>
      <c r="R49">
        <v>-4.3874759999999999E-2</v>
      </c>
      <c r="S49">
        <v>3.046783</v>
      </c>
      <c r="T49">
        <v>6.1112399999999997E-2</v>
      </c>
      <c r="U49">
        <v>2.6153559999999999E-2</v>
      </c>
      <c r="V49">
        <v>6.5058069999999996E-2</v>
      </c>
      <c r="W49">
        <v>0.18372839999999999</v>
      </c>
      <c r="X49">
        <v>0.98082179999999997</v>
      </c>
      <c r="Y49">
        <v>1.303705E-2</v>
      </c>
      <c r="Z49">
        <v>4.965026E-4</v>
      </c>
      <c r="AA49">
        <v>0.99991490000000005</v>
      </c>
      <c r="AB49">
        <v>15</v>
      </c>
      <c r="AC49">
        <v>301.58969999999999</v>
      </c>
      <c r="AD49">
        <v>6.0523389999999999</v>
      </c>
      <c r="AE49">
        <v>2.58660000000003</v>
      </c>
      <c r="AF49">
        <v>3.9343994890727698</v>
      </c>
      <c r="AG49">
        <v>6.0523389999999999</v>
      </c>
      <c r="AH49">
        <v>301.453712469241</v>
      </c>
      <c r="AI49">
        <v>88.849915045442401</v>
      </c>
      <c r="AJ49">
        <v>89.252251081828405</v>
      </c>
      <c r="AK49">
        <v>301.540131770546</v>
      </c>
      <c r="AL49">
        <v>79.412996056551407</v>
      </c>
      <c r="AM49">
        <v>86.205120515121394</v>
      </c>
      <c r="AN49">
        <v>1.00000004039696</v>
      </c>
    </row>
    <row r="50" spans="1:40" x14ac:dyDescent="0.25">
      <c r="A50" t="str">
        <f>"20190303170716665"</f>
        <v>20190303170716665</v>
      </c>
      <c r="B50" t="str">
        <f>"1551604036651755"</f>
        <v>1551604036651755</v>
      </c>
      <c r="C50" t="s">
        <v>40</v>
      </c>
      <c r="D50">
        <v>4.0889119999999997</v>
      </c>
      <c r="E50">
        <v>0.48290880000000003</v>
      </c>
      <c r="F50" t="s">
        <v>44</v>
      </c>
      <c r="G50">
        <v>-170.08879999999999</v>
      </c>
      <c r="H50">
        <v>7.3301410000000002</v>
      </c>
      <c r="I50">
        <v>369.75369999999998</v>
      </c>
      <c r="J50">
        <v>-471.51150000000001</v>
      </c>
      <c r="K50">
        <v>1.1191739999999999</v>
      </c>
      <c r="L50">
        <v>367.14760000000001</v>
      </c>
      <c r="M50">
        <v>0.99975009999999997</v>
      </c>
      <c r="N50">
        <v>4.5136789999999996E-3</v>
      </c>
      <c r="O50">
        <v>2.1899490000000001E-2</v>
      </c>
      <c r="P50">
        <v>0.98104539999999996</v>
      </c>
      <c r="Q50">
        <v>0.18881339999999999</v>
      </c>
      <c r="R50">
        <v>-4.3583049999999998E-2</v>
      </c>
      <c r="S50">
        <v>3.0467529999999998</v>
      </c>
      <c r="T50">
        <v>6.2746049999999998E-2</v>
      </c>
      <c r="U50">
        <v>2.6367189999999999E-2</v>
      </c>
      <c r="V50">
        <v>6.5032530000000005E-2</v>
      </c>
      <c r="W50">
        <v>0.1843977</v>
      </c>
      <c r="X50">
        <v>0.98069790000000001</v>
      </c>
      <c r="Y50">
        <v>1.324085E-2</v>
      </c>
      <c r="Z50">
        <v>5.1828059999999997E-4</v>
      </c>
      <c r="AA50">
        <v>0.99991220000000003</v>
      </c>
      <c r="AB50">
        <v>15</v>
      </c>
      <c r="AC50">
        <v>301.42270000000002</v>
      </c>
      <c r="AD50">
        <v>6.2109670000000001</v>
      </c>
      <c r="AE50">
        <v>2.6060999999999601</v>
      </c>
      <c r="AF50">
        <v>3.9938992940722899</v>
      </c>
      <c r="AG50">
        <v>6.2109670000000001</v>
      </c>
      <c r="AH50">
        <v>301.27957362561898</v>
      </c>
      <c r="AI50">
        <v>88.819101671500306</v>
      </c>
      <c r="AJ50">
        <v>89.240505529709594</v>
      </c>
      <c r="AK50">
        <v>301.37005296923797</v>
      </c>
      <c r="AL50">
        <v>79.373981576842098</v>
      </c>
      <c r="AM50">
        <v>86.2061280768323</v>
      </c>
      <c r="AN50">
        <v>1.00000005639394</v>
      </c>
    </row>
    <row r="51" spans="1:40" x14ac:dyDescent="0.25">
      <c r="A51" t="str">
        <f>"20190303170716688"</f>
        <v>20190303170716688</v>
      </c>
      <c r="B51" t="str">
        <f>"1551604036682010"</f>
        <v>1551604036682010</v>
      </c>
      <c r="C51" t="s">
        <v>40</v>
      </c>
      <c r="D51">
        <v>4.0596779999999999</v>
      </c>
      <c r="E51">
        <v>0.47507159999999898</v>
      </c>
      <c r="F51" t="s">
        <v>44</v>
      </c>
      <c r="G51">
        <v>-170.08879999999999</v>
      </c>
      <c r="H51">
        <v>7.93337</v>
      </c>
      <c r="I51">
        <v>369.92599999999999</v>
      </c>
      <c r="J51">
        <v>-471.34550000000002</v>
      </c>
      <c r="K51">
        <v>1.1191899999999999</v>
      </c>
      <c r="L51">
        <v>367.15159999999997</v>
      </c>
      <c r="M51">
        <v>0.99974439999999998</v>
      </c>
      <c r="N51">
        <v>4.5051709999999997E-3</v>
      </c>
      <c r="O51">
        <v>2.2158239999999999E-2</v>
      </c>
      <c r="P51">
        <v>0.98081499999999999</v>
      </c>
      <c r="Q51">
        <v>0.19008620000000001</v>
      </c>
      <c r="R51">
        <v>-4.3234309999999998E-2</v>
      </c>
      <c r="S51">
        <v>3.0459589999999999</v>
      </c>
      <c r="T51">
        <v>6.8860169999999998E-2</v>
      </c>
      <c r="U51">
        <v>2.8076170000000001E-2</v>
      </c>
      <c r="V51">
        <v>6.4931219999999998E-2</v>
      </c>
      <c r="W51">
        <v>0.1856797</v>
      </c>
      <c r="X51">
        <v>0.98046259999999996</v>
      </c>
      <c r="Y51">
        <v>1.293508E-2</v>
      </c>
      <c r="Z51">
        <v>5.7632379999999995E-4</v>
      </c>
      <c r="AA51">
        <v>0.99991620000000003</v>
      </c>
      <c r="AB51">
        <v>15</v>
      </c>
      <c r="AC51">
        <v>301.25670000000002</v>
      </c>
      <c r="AD51">
        <v>6.8141800000000003</v>
      </c>
      <c r="AE51">
        <v>2.7744000000000102</v>
      </c>
      <c r="AF51">
        <v>3.8996716910309002</v>
      </c>
      <c r="AG51">
        <v>6.8141800000000003</v>
      </c>
      <c r="AH51">
        <v>301.09017630510903</v>
      </c>
      <c r="AI51">
        <v>88.703629601371802</v>
      </c>
      <c r="AJ51">
        <v>89.257955740551495</v>
      </c>
      <c r="AK51">
        <v>301.19252108213402</v>
      </c>
      <c r="AL51">
        <v>79.299236630452299</v>
      </c>
      <c r="AM51">
        <v>86.211114661107104</v>
      </c>
      <c r="AN51">
        <v>0.99999996216076803</v>
      </c>
    </row>
    <row r="52" spans="1:40" x14ac:dyDescent="0.25">
      <c r="A52" t="str">
        <f>"20190303170716710"</f>
        <v>20190303170716710</v>
      </c>
      <c r="B52" t="str">
        <f>"1551604036702506"</f>
        <v>1551604036702506</v>
      </c>
      <c r="C52" t="s">
        <v>40</v>
      </c>
      <c r="D52">
        <v>4.0476700000000001</v>
      </c>
      <c r="E52">
        <v>0.4753348</v>
      </c>
      <c r="F52" t="s">
        <v>44</v>
      </c>
      <c r="G52">
        <v>-158.19499999999999</v>
      </c>
      <c r="H52">
        <v>50.88937</v>
      </c>
      <c r="I52">
        <v>374.93419999999998</v>
      </c>
      <c r="J52">
        <v>-471.19260000000003</v>
      </c>
      <c r="K52">
        <v>1.1192169999999999</v>
      </c>
      <c r="L52">
        <v>367.15530000000001</v>
      </c>
      <c r="M52">
        <v>0.99973939999999994</v>
      </c>
      <c r="N52">
        <v>4.4704159999999996E-3</v>
      </c>
      <c r="O52">
        <v>2.238689E-2</v>
      </c>
      <c r="P52">
        <v>0.980738</v>
      </c>
      <c r="Q52">
        <v>0.19063730000000001</v>
      </c>
      <c r="R52">
        <v>-4.2548620000000002E-2</v>
      </c>
      <c r="S52">
        <v>2.9704280000000001</v>
      </c>
      <c r="T52">
        <v>0.47210190000000002</v>
      </c>
      <c r="U52">
        <v>7.3822020000000002E-2</v>
      </c>
      <c r="V52">
        <v>6.4466419999999997E-2</v>
      </c>
      <c r="W52">
        <v>0.1862663</v>
      </c>
      <c r="X52">
        <v>0.98038199999999998</v>
      </c>
      <c r="Y52">
        <v>-2.6886890000000002E-3</v>
      </c>
      <c r="Z52">
        <v>3.2170269999999999E-3</v>
      </c>
      <c r="AA52">
        <v>0.99999119999999997</v>
      </c>
      <c r="AB52">
        <v>16</v>
      </c>
      <c r="AC52">
        <v>312.99759999999998</v>
      </c>
      <c r="AD52">
        <v>49.770153000000001</v>
      </c>
      <c r="AE52">
        <v>7.7788999999999602</v>
      </c>
      <c r="AF52">
        <v>-0.75086408775213498</v>
      </c>
      <c r="AG52">
        <v>49.770153000000001</v>
      </c>
      <c r="AH52">
        <v>305.37674292397998</v>
      </c>
      <c r="AI52">
        <v>80.743376010264498</v>
      </c>
      <c r="AJ52">
        <v>90.140879282769404</v>
      </c>
      <c r="AK52">
        <v>309.40683096108302</v>
      </c>
      <c r="AL52">
        <v>79.265030163130604</v>
      </c>
      <c r="AM52">
        <v>86.237850264337396</v>
      </c>
      <c r="AN52">
        <v>0.99999995987365198</v>
      </c>
    </row>
    <row r="53" spans="1:40" x14ac:dyDescent="0.25">
      <c r="A53" t="str">
        <f>"20190303170716730"</f>
        <v>20190303170716730</v>
      </c>
      <c r="B53" t="str">
        <f>"1551604036722025"</f>
        <v>1551604036722025</v>
      </c>
      <c r="C53" t="s">
        <v>40</v>
      </c>
      <c r="D53">
        <v>4.0050470000000002</v>
      </c>
      <c r="E53">
        <v>0.47583799999999998</v>
      </c>
      <c r="F53" t="s">
        <v>44</v>
      </c>
      <c r="G53">
        <v>-158.19499999999999</v>
      </c>
      <c r="H53">
        <v>56.034030000000001</v>
      </c>
      <c r="I53">
        <v>374.74239999999998</v>
      </c>
      <c r="J53">
        <v>-471.03789999999998</v>
      </c>
      <c r="K53">
        <v>1.1192329999999999</v>
      </c>
      <c r="L53">
        <v>367.15910000000002</v>
      </c>
      <c r="M53">
        <v>0.99973460000000003</v>
      </c>
      <c r="N53">
        <v>4.4112709999999996E-3</v>
      </c>
      <c r="O53">
        <v>2.2613689999999999E-2</v>
      </c>
      <c r="P53">
        <v>0.98085699999999998</v>
      </c>
      <c r="Q53">
        <v>0.19029070000000001</v>
      </c>
      <c r="R53">
        <v>-4.1341990000000002E-2</v>
      </c>
      <c r="S53">
        <v>2.9611209999999999</v>
      </c>
      <c r="T53">
        <v>0.51952339999999997</v>
      </c>
      <c r="U53">
        <v>7.1777339999999995E-2</v>
      </c>
      <c r="V53">
        <v>6.3483830000000005E-2</v>
      </c>
      <c r="W53">
        <v>0.1859768</v>
      </c>
      <c r="X53">
        <v>0.98050110000000001</v>
      </c>
      <c r="Y53">
        <v>-1.9173040000000001E-3</v>
      </c>
      <c r="Z53">
        <v>3.6662000000000001E-3</v>
      </c>
      <c r="AA53">
        <v>0.99999139999999997</v>
      </c>
      <c r="AB53">
        <v>16</v>
      </c>
      <c r="AC53">
        <v>312.84289999999999</v>
      </c>
      <c r="AD53">
        <v>54.914797</v>
      </c>
      <c r="AE53">
        <v>7.5832999999999497</v>
      </c>
      <c r="AF53">
        <v>-0.49162079279658699</v>
      </c>
      <c r="AG53">
        <v>54.914797</v>
      </c>
      <c r="AH53">
        <v>303.58566225311398</v>
      </c>
      <c r="AI53">
        <v>79.746802856566603</v>
      </c>
      <c r="AJ53">
        <v>90.092783604195105</v>
      </c>
      <c r="AK53">
        <v>308.51277274404202</v>
      </c>
      <c r="AL53">
        <v>79.281912571559602</v>
      </c>
      <c r="AM53">
        <v>86.295480370822801</v>
      </c>
      <c r="AN53">
        <v>0.999999986955459</v>
      </c>
    </row>
    <row r="54" spans="1:40" x14ac:dyDescent="0.25">
      <c r="A54" t="str">
        <f>"20190303170716754"</f>
        <v>20190303170716754</v>
      </c>
      <c r="B54" t="str">
        <f>"1551604036742521"</f>
        <v>1551604036742521</v>
      </c>
      <c r="C54" t="s">
        <v>40</v>
      </c>
      <c r="D54">
        <v>4.0319719999999997</v>
      </c>
      <c r="E54">
        <v>0.47609059999999997</v>
      </c>
      <c r="F54" t="s">
        <v>44</v>
      </c>
      <c r="G54">
        <v>-158.19499999999999</v>
      </c>
      <c r="H54">
        <v>58.487459999999999</v>
      </c>
      <c r="I54">
        <v>374.56740000000002</v>
      </c>
      <c r="J54">
        <v>-470.86259999999999</v>
      </c>
      <c r="K54">
        <v>1.1192580000000001</v>
      </c>
      <c r="L54">
        <v>367.16340000000002</v>
      </c>
      <c r="M54">
        <v>0.99972919999999998</v>
      </c>
      <c r="N54">
        <v>4.3182400000000001E-3</v>
      </c>
      <c r="O54">
        <v>2.286738E-2</v>
      </c>
      <c r="P54">
        <v>0.9807439</v>
      </c>
      <c r="Q54">
        <v>0.19114909999999999</v>
      </c>
      <c r="R54">
        <v>-4.004361E-2</v>
      </c>
      <c r="S54">
        <v>2.9563290000000002</v>
      </c>
      <c r="T54">
        <v>0.54212360000000004</v>
      </c>
      <c r="U54">
        <v>7.0007319999999998E-2</v>
      </c>
      <c r="V54">
        <v>6.2429980000000003E-2</v>
      </c>
      <c r="W54">
        <v>0.18692729999999999</v>
      </c>
      <c r="X54">
        <v>0.98038800000000004</v>
      </c>
      <c r="Y54">
        <v>-1.150105E-3</v>
      </c>
      <c r="Z54">
        <v>3.9525430000000002E-3</v>
      </c>
      <c r="AA54">
        <v>0.99999150000000003</v>
      </c>
      <c r="AB54">
        <v>16</v>
      </c>
      <c r="AC54">
        <v>312.66759999999999</v>
      </c>
      <c r="AD54">
        <v>57.368201999999997</v>
      </c>
      <c r="AE54">
        <v>7.4039999999999901</v>
      </c>
      <c r="AF54">
        <v>-0.243902190138025</v>
      </c>
      <c r="AG54">
        <v>57.368201999999997</v>
      </c>
      <c r="AH54">
        <v>302.57472496059597</v>
      </c>
      <c r="AI54">
        <v>79.264151485725904</v>
      </c>
      <c r="AJ54">
        <v>90.046185493794695</v>
      </c>
      <c r="AK54">
        <v>307.965313426644</v>
      </c>
      <c r="AL54">
        <v>79.226480744505096</v>
      </c>
      <c r="AM54">
        <v>86.356390300333402</v>
      </c>
      <c r="AN54">
        <v>0.99999997421604403</v>
      </c>
    </row>
    <row r="55" spans="1:40" x14ac:dyDescent="0.25">
      <c r="A55" t="str">
        <f>"20190303170716776"</f>
        <v>20190303170716776</v>
      </c>
      <c r="B55" t="str">
        <f>"1551604036762041"</f>
        <v>1551604036762041</v>
      </c>
      <c r="C55" t="s">
        <v>40</v>
      </c>
      <c r="D55">
        <v>4.0145030000000004</v>
      </c>
      <c r="E55">
        <v>0.47637230000000003</v>
      </c>
      <c r="F55" t="s">
        <v>44</v>
      </c>
      <c r="G55">
        <v>-158.19499999999999</v>
      </c>
      <c r="H55">
        <v>59.948659999999997</v>
      </c>
      <c r="I55">
        <v>374.71679999999998</v>
      </c>
      <c r="J55">
        <v>-470.69560000000001</v>
      </c>
      <c r="K55">
        <v>1.119291</v>
      </c>
      <c r="L55">
        <v>367.16739999999999</v>
      </c>
      <c r="M55">
        <v>0.9997241</v>
      </c>
      <c r="N55">
        <v>4.2094130000000004E-3</v>
      </c>
      <c r="O55">
        <v>2.310823E-2</v>
      </c>
      <c r="P55">
        <v>0.9805315</v>
      </c>
      <c r="Q55">
        <v>0.1923994</v>
      </c>
      <c r="R55">
        <v>-3.9253999999999997E-2</v>
      </c>
      <c r="S55">
        <v>2.9534910000000001</v>
      </c>
      <c r="T55">
        <v>0.55570940000000002</v>
      </c>
      <c r="U55">
        <v>7.13501E-2</v>
      </c>
      <c r="V55">
        <v>6.1869540000000001E-2</v>
      </c>
      <c r="W55">
        <v>0.1882856</v>
      </c>
      <c r="X55">
        <v>0.98016360000000002</v>
      </c>
      <c r="Y55">
        <v>-1.4047039999999999E-3</v>
      </c>
      <c r="Z55">
        <v>4.0784669999999997E-3</v>
      </c>
      <c r="AA55">
        <v>0.99999070000000001</v>
      </c>
      <c r="AB55">
        <v>17</v>
      </c>
      <c r="AC55">
        <v>312.50060000000002</v>
      </c>
      <c r="AD55">
        <v>58.8293689999999</v>
      </c>
      <c r="AE55">
        <v>7.5493999999999897</v>
      </c>
      <c r="AF55">
        <v>-0.31483326881234702</v>
      </c>
      <c r="AG55">
        <v>58.8293689999999</v>
      </c>
      <c r="AH55">
        <v>301.89872910166702</v>
      </c>
      <c r="AI55">
        <v>78.973271811233303</v>
      </c>
      <c r="AJ55">
        <v>90.059750536439097</v>
      </c>
      <c r="AK55">
        <v>307.57736654397502</v>
      </c>
      <c r="AL55">
        <v>79.147249290259793</v>
      </c>
      <c r="AM55">
        <v>86.388187887941498</v>
      </c>
      <c r="AN55">
        <v>0.99999999495606495</v>
      </c>
    </row>
    <row r="56" spans="1:40" x14ac:dyDescent="0.25">
      <c r="A56" t="str">
        <f>"20190303170716799"</f>
        <v>20190303170716799</v>
      </c>
      <c r="B56" t="str">
        <f>"1551604036792298"</f>
        <v>1551604036792298</v>
      </c>
      <c r="C56" t="s">
        <v>40</v>
      </c>
      <c r="D56">
        <v>3.9880170000000001</v>
      </c>
      <c r="E56">
        <v>0.47678340000000002</v>
      </c>
      <c r="F56" t="s">
        <v>44</v>
      </c>
      <c r="G56">
        <v>-158.19499999999999</v>
      </c>
      <c r="H56">
        <v>61.281590000000001</v>
      </c>
      <c r="I56">
        <v>374.69119999999998</v>
      </c>
      <c r="J56">
        <v>-470.52109999999999</v>
      </c>
      <c r="K56">
        <v>1.1193249999999999</v>
      </c>
      <c r="L56">
        <v>367.17180000000002</v>
      </c>
      <c r="M56">
        <v>0.99971880000000002</v>
      </c>
      <c r="N56">
        <v>4.079938E-3</v>
      </c>
      <c r="O56">
        <v>2.3357760000000002E-2</v>
      </c>
      <c r="P56">
        <v>0.98045269999999995</v>
      </c>
      <c r="Q56">
        <v>0.1929592</v>
      </c>
      <c r="R56">
        <v>-3.8465760000000002E-2</v>
      </c>
      <c r="S56">
        <v>2.9508969999999999</v>
      </c>
      <c r="T56">
        <v>0.56810439999999995</v>
      </c>
      <c r="U56">
        <v>7.1044919999999998E-2</v>
      </c>
      <c r="V56">
        <v>6.132249E-2</v>
      </c>
      <c r="W56">
        <v>0.18897349999999999</v>
      </c>
      <c r="X56">
        <v>0.98006559999999998</v>
      </c>
      <c r="Y56">
        <v>-1.100911E-3</v>
      </c>
      <c r="Z56">
        <v>4.2529500000000001E-3</v>
      </c>
      <c r="AA56">
        <v>0.9999903</v>
      </c>
      <c r="AB56">
        <v>17</v>
      </c>
      <c r="AC56">
        <v>312.3261</v>
      </c>
      <c r="AD56">
        <v>60.162264999999998</v>
      </c>
      <c r="AE56">
        <v>7.5193999999999601</v>
      </c>
      <c r="AF56">
        <v>-0.21410940177719801</v>
      </c>
      <c r="AG56">
        <v>60.162264999999998</v>
      </c>
      <c r="AH56">
        <v>301.24530888329502</v>
      </c>
      <c r="AI56">
        <v>78.705944680894405</v>
      </c>
      <c r="AJ56">
        <v>90.040722835006704</v>
      </c>
      <c r="AK56">
        <v>307.19420583233398</v>
      </c>
      <c r="AL56">
        <v>79.107115165690104</v>
      </c>
      <c r="AM56">
        <v>86.419683040083697</v>
      </c>
      <c r="AN56">
        <v>1.0000000058927001</v>
      </c>
    </row>
    <row r="57" spans="1:40" x14ac:dyDescent="0.25">
      <c r="A57" t="str">
        <f>"20190303170716821"</f>
        <v>20190303170716821</v>
      </c>
      <c r="B57" t="str">
        <f>"1551604036811817"</f>
        <v>1551604036811817</v>
      </c>
      <c r="C57" t="s">
        <v>40</v>
      </c>
      <c r="D57">
        <v>3.9879419999999999</v>
      </c>
      <c r="E57">
        <v>0.4768154</v>
      </c>
      <c r="F57" t="s">
        <v>44</v>
      </c>
      <c r="G57">
        <v>-158.19499999999999</v>
      </c>
      <c r="H57">
        <v>62.20035</v>
      </c>
      <c r="I57">
        <v>374.57639999999998</v>
      </c>
      <c r="J57">
        <v>-470.34899999999999</v>
      </c>
      <c r="K57">
        <v>1.119351</v>
      </c>
      <c r="L57">
        <v>367.17610000000002</v>
      </c>
      <c r="M57">
        <v>0.99971370000000004</v>
      </c>
      <c r="N57">
        <v>3.941918E-3</v>
      </c>
      <c r="O57">
        <v>2.3603249999999999E-2</v>
      </c>
      <c r="P57">
        <v>0.98065539999999995</v>
      </c>
      <c r="Q57">
        <v>0.19226570000000001</v>
      </c>
      <c r="R57">
        <v>-3.6728549999999999E-2</v>
      </c>
      <c r="S57">
        <v>2.9490660000000002</v>
      </c>
      <c r="T57">
        <v>0.57674399999999904</v>
      </c>
      <c r="U57">
        <v>6.9915770000000002E-2</v>
      </c>
      <c r="V57">
        <v>5.9829529999999999E-2</v>
      </c>
      <c r="W57">
        <v>0.18841440000000001</v>
      </c>
      <c r="X57">
        <v>0.98026550000000001</v>
      </c>
      <c r="Y57">
        <v>-5.166433E-4</v>
      </c>
      <c r="Z57">
        <v>4.4282189999999997E-3</v>
      </c>
      <c r="AA57">
        <v>0.99999000000000005</v>
      </c>
      <c r="AB57">
        <v>17</v>
      </c>
      <c r="AC57">
        <v>312.154</v>
      </c>
      <c r="AD57">
        <v>61.080998999999998</v>
      </c>
      <c r="AE57">
        <v>7.4002999999999597</v>
      </c>
      <c r="AF57">
        <v>-2.9214654561944699E-2</v>
      </c>
      <c r="AG57">
        <v>61.080998999999998</v>
      </c>
      <c r="AH57">
        <v>300.73338258604599</v>
      </c>
      <c r="AI57">
        <v>78.519009430921898</v>
      </c>
      <c r="AJ57">
        <v>90.005565981357506</v>
      </c>
      <c r="AK57">
        <v>306.87368198328699</v>
      </c>
      <c r="AL57">
        <v>79.139735211122598</v>
      </c>
      <c r="AM57">
        <v>86.507341665415197</v>
      </c>
      <c r="AN57">
        <v>1.00000000463881</v>
      </c>
    </row>
    <row r="58" spans="1:40" x14ac:dyDescent="0.25">
      <c r="A58" t="str">
        <f>"20190303170716842"</f>
        <v>20190303170716842</v>
      </c>
      <c r="B58" t="str">
        <f>"1551604036832313"</f>
        <v>1551604036832313</v>
      </c>
      <c r="C58" t="s">
        <v>40</v>
      </c>
      <c r="D58">
        <v>4.00779</v>
      </c>
      <c r="E58">
        <v>0.47679270000000001</v>
      </c>
      <c r="F58" t="s">
        <v>44</v>
      </c>
      <c r="G58">
        <v>-158.19499999999999</v>
      </c>
      <c r="H58">
        <v>62.168080000000003</v>
      </c>
      <c r="I58">
        <v>375.08420000000001</v>
      </c>
      <c r="J58">
        <v>-470.18090000000001</v>
      </c>
      <c r="K58">
        <v>1.119372</v>
      </c>
      <c r="L58">
        <v>367.18040000000002</v>
      </c>
      <c r="M58">
        <v>0.99970859999999995</v>
      </c>
      <c r="N58">
        <v>3.8022799999999999E-3</v>
      </c>
      <c r="O58">
        <v>2.38429E-2</v>
      </c>
      <c r="P58">
        <v>0.98073969999999999</v>
      </c>
      <c r="Q58">
        <v>0.1919312</v>
      </c>
      <c r="R58">
        <v>-3.6226939999999999E-2</v>
      </c>
      <c r="S58">
        <v>2.9489139999999998</v>
      </c>
      <c r="T58">
        <v>0.57672690000000004</v>
      </c>
      <c r="U58">
        <v>7.4707029999999994E-2</v>
      </c>
      <c r="V58">
        <v>5.9563049999999999E-2</v>
      </c>
      <c r="W58">
        <v>0.1882172</v>
      </c>
      <c r="X58">
        <v>0.98031959999999996</v>
      </c>
      <c r="Y58">
        <v>-1.8805969999999999E-3</v>
      </c>
      <c r="Z58">
        <v>4.3422900000000004E-3</v>
      </c>
      <c r="AA58">
        <v>0.99998880000000001</v>
      </c>
      <c r="AB58">
        <v>17</v>
      </c>
      <c r="AC58">
        <v>311.98590000000002</v>
      </c>
      <c r="AD58">
        <v>61.048707999999998</v>
      </c>
      <c r="AE58">
        <v>7.9037999999999897</v>
      </c>
      <c r="AF58">
        <v>-0.44579313232408901</v>
      </c>
      <c r="AG58">
        <v>61.048707999999998</v>
      </c>
      <c r="AH58">
        <v>300.58374984711202</v>
      </c>
      <c r="AI58">
        <v>78.519369411166807</v>
      </c>
      <c r="AJ58">
        <v>90.084974807533698</v>
      </c>
      <c r="AK58">
        <v>306.72093856164599</v>
      </c>
      <c r="AL58">
        <v>79.151239663469596</v>
      </c>
      <c r="AM58">
        <v>86.523051089722003</v>
      </c>
      <c r="AN58">
        <v>0.999999994722651</v>
      </c>
    </row>
    <row r="59" spans="1:40" x14ac:dyDescent="0.25">
      <c r="A59" t="str">
        <f>"20190303170716866"</f>
        <v>20190303170716866</v>
      </c>
      <c r="B59" t="str">
        <f>"1551604036851833"</f>
        <v>1551604036851833</v>
      </c>
      <c r="C59" t="s">
        <v>40</v>
      </c>
      <c r="D59">
        <v>3.9656020000000001</v>
      </c>
      <c r="E59">
        <v>0.47703659999999998</v>
      </c>
      <c r="F59" t="s">
        <v>44</v>
      </c>
      <c r="G59">
        <v>-158.19499999999999</v>
      </c>
      <c r="H59">
        <v>62.365270000000002</v>
      </c>
      <c r="I59">
        <v>375.2629</v>
      </c>
      <c r="J59">
        <v>-469.9862</v>
      </c>
      <c r="K59">
        <v>1.119397</v>
      </c>
      <c r="L59">
        <v>367.18529999999998</v>
      </c>
      <c r="M59">
        <v>0.99970239999999999</v>
      </c>
      <c r="N59">
        <v>3.6404179999999999E-3</v>
      </c>
      <c r="O59">
        <v>2.4121839999999999E-2</v>
      </c>
      <c r="P59">
        <v>0.98072950000000003</v>
      </c>
      <c r="Q59">
        <v>0.19209129999999999</v>
      </c>
      <c r="R59">
        <v>-3.5643330000000001E-2</v>
      </c>
      <c r="S59">
        <v>2.9484859999999999</v>
      </c>
      <c r="T59">
        <v>0.57881719999999903</v>
      </c>
      <c r="U59">
        <v>7.6385499999999995E-2</v>
      </c>
      <c r="V59">
        <v>5.9249839999999998E-2</v>
      </c>
      <c r="W59">
        <v>0.1885366</v>
      </c>
      <c r="X59">
        <v>0.98027719999999896</v>
      </c>
      <c r="Y59">
        <v>-2.1772860000000001E-3</v>
      </c>
      <c r="Z59">
        <v>4.3864660000000003E-3</v>
      </c>
      <c r="AA59">
        <v>0.99998799999999999</v>
      </c>
      <c r="AB59">
        <v>18</v>
      </c>
      <c r="AC59">
        <v>311.7912</v>
      </c>
      <c r="AD59">
        <v>61.245873000000003</v>
      </c>
      <c r="AE59">
        <v>8.0776000000000092</v>
      </c>
      <c r="AF59">
        <v>-0.53364509939748095</v>
      </c>
      <c r="AG59">
        <v>61.245873000000003</v>
      </c>
      <c r="AH59">
        <v>300.315233838663</v>
      </c>
      <c r="AI59">
        <v>78.473263917415906</v>
      </c>
      <c r="AJ59">
        <v>90.101811617683197</v>
      </c>
      <c r="AK59">
        <v>306.49727798496798</v>
      </c>
      <c r="AL59">
        <v>79.132605744047396</v>
      </c>
      <c r="AM59">
        <v>86.541140753305399</v>
      </c>
      <c r="AN59">
        <v>0.99999999095971204</v>
      </c>
    </row>
    <row r="60" spans="1:40" x14ac:dyDescent="0.25">
      <c r="A60" t="str">
        <f>"20190303170716888"</f>
        <v>20190303170716888</v>
      </c>
      <c r="B60" t="str">
        <f>"1551604036882090"</f>
        <v>1551604036882090</v>
      </c>
      <c r="C60" t="s">
        <v>40</v>
      </c>
      <c r="D60">
        <v>3.9384239999999999</v>
      </c>
      <c r="E60">
        <v>0.47735499999999997</v>
      </c>
      <c r="F60" t="s">
        <v>44</v>
      </c>
      <c r="G60">
        <v>-158.19499999999999</v>
      </c>
      <c r="H60">
        <v>62.1218</v>
      </c>
      <c r="I60">
        <v>375.24599999999998</v>
      </c>
      <c r="J60">
        <v>-469.80309999999997</v>
      </c>
      <c r="K60">
        <v>1.119415</v>
      </c>
      <c r="L60">
        <v>367.19</v>
      </c>
      <c r="M60">
        <v>0.99969660000000005</v>
      </c>
      <c r="N60">
        <v>3.491507E-3</v>
      </c>
      <c r="O60">
        <v>2.4385549999999999E-2</v>
      </c>
      <c r="P60">
        <v>0.98077499999999995</v>
      </c>
      <c r="Q60">
        <v>0.1919331</v>
      </c>
      <c r="R60">
        <v>-3.5245730000000003E-2</v>
      </c>
      <c r="S60">
        <v>2.9487299999999999</v>
      </c>
      <c r="T60">
        <v>0.57692399999999999</v>
      </c>
      <c r="U60">
        <v>7.6232910000000001E-2</v>
      </c>
      <c r="V60">
        <v>5.9108929999999997E-2</v>
      </c>
      <c r="W60">
        <v>0.18852540000000001</v>
      </c>
      <c r="X60">
        <v>0.98028780000000004</v>
      </c>
      <c r="Y60">
        <v>-1.868434E-3</v>
      </c>
      <c r="Z60">
        <v>4.4560930000000004E-3</v>
      </c>
      <c r="AA60">
        <v>0.99998830000000005</v>
      </c>
      <c r="AB60">
        <v>18</v>
      </c>
      <c r="AC60">
        <v>311.60809999999998</v>
      </c>
      <c r="AD60">
        <v>61.002384999999997</v>
      </c>
      <c r="AE60">
        <v>8.0559999999999796</v>
      </c>
      <c r="AF60">
        <v>-0.43804694399233002</v>
      </c>
      <c r="AG60">
        <v>61.002384999999997</v>
      </c>
      <c r="AH60">
        <v>300.21402811999099</v>
      </c>
      <c r="AI60">
        <v>78.514096320307104</v>
      </c>
      <c r="AJ60">
        <v>90.083601101071196</v>
      </c>
      <c r="AK60">
        <v>306.34938475675801</v>
      </c>
      <c r="AL60">
        <v>79.1332585199427</v>
      </c>
      <c r="AM60">
        <v>86.549384053140898</v>
      </c>
      <c r="AN60">
        <v>0.99999993143986998</v>
      </c>
    </row>
    <row r="61" spans="1:40" x14ac:dyDescent="0.25">
      <c r="A61" t="str">
        <f>"20190303170716911"</f>
        <v>20190303170716911</v>
      </c>
      <c r="B61" t="str">
        <f>"1551604036902586"</f>
        <v>1551604036902586</v>
      </c>
      <c r="C61" t="s">
        <v>40</v>
      </c>
      <c r="D61">
        <v>3.8998390000000001</v>
      </c>
      <c r="E61">
        <v>0.4775355</v>
      </c>
      <c r="F61" t="s">
        <v>44</v>
      </c>
      <c r="G61">
        <v>-158.19499999999999</v>
      </c>
      <c r="H61">
        <v>62.464370000000002</v>
      </c>
      <c r="I61">
        <v>375.10300000000001</v>
      </c>
      <c r="J61">
        <v>-469.6148</v>
      </c>
      <c r="K61">
        <v>1.1194409999999999</v>
      </c>
      <c r="L61">
        <v>367.19499999999999</v>
      </c>
      <c r="M61">
        <v>0.99969039999999998</v>
      </c>
      <c r="N61">
        <v>3.3441130000000001E-3</v>
      </c>
      <c r="O61">
        <v>2.4658010000000001E-2</v>
      </c>
      <c r="P61">
        <v>0.98091309999999998</v>
      </c>
      <c r="Q61">
        <v>0.19145419999999999</v>
      </c>
      <c r="R61">
        <v>-3.3983099999999898E-2</v>
      </c>
      <c r="S61">
        <v>2.947937</v>
      </c>
      <c r="T61">
        <v>0.58034839999999999</v>
      </c>
      <c r="U61">
        <v>7.4859620000000002E-2</v>
      </c>
      <c r="V61">
        <v>5.8113449999999997E-2</v>
      </c>
      <c r="W61">
        <v>0.188191</v>
      </c>
      <c r="X61">
        <v>0.98041160000000005</v>
      </c>
      <c r="Y61">
        <v>-1.1620269999999999E-3</v>
      </c>
      <c r="Z61">
        <v>4.6097559999999996E-3</v>
      </c>
      <c r="AA61">
        <v>0.99998869999999895</v>
      </c>
      <c r="AB61">
        <v>18</v>
      </c>
      <c r="AC61">
        <v>311.41980000000001</v>
      </c>
      <c r="AD61">
        <v>61.344928999999901</v>
      </c>
      <c r="AE61">
        <v>7.9080000000000101</v>
      </c>
      <c r="AF61">
        <v>-0.218102814636431</v>
      </c>
      <c r="AG61">
        <v>61.344928999999901</v>
      </c>
      <c r="AH61">
        <v>299.89094813192702</v>
      </c>
      <c r="AI61">
        <v>78.439212242500005</v>
      </c>
      <c r="AJ61">
        <v>90.041669709116604</v>
      </c>
      <c r="AK61">
        <v>306.10101054115898</v>
      </c>
      <c r="AL61">
        <v>79.152767805620101</v>
      </c>
      <c r="AM61">
        <v>86.607787924851493</v>
      </c>
      <c r="AN61">
        <v>0.99999996548323</v>
      </c>
    </row>
    <row r="62" spans="1:40" x14ac:dyDescent="0.25">
      <c r="A62" t="str">
        <f>"20190303170716931"</f>
        <v>20190303170716931</v>
      </c>
      <c r="B62" t="str">
        <f>"1551604036922106"</f>
        <v>1551604036922106</v>
      </c>
      <c r="C62" t="s">
        <v>40</v>
      </c>
      <c r="D62">
        <v>3.911489</v>
      </c>
      <c r="E62">
        <v>0.477684</v>
      </c>
      <c r="F62" t="s">
        <v>44</v>
      </c>
      <c r="G62">
        <v>-158.19499999999999</v>
      </c>
      <c r="H62">
        <v>62.399810000000002</v>
      </c>
      <c r="I62">
        <v>375.33890000000002</v>
      </c>
      <c r="J62">
        <v>-469.43900000000002</v>
      </c>
      <c r="K62">
        <v>1.119464</v>
      </c>
      <c r="L62">
        <v>367.19959999999998</v>
      </c>
      <c r="M62">
        <v>0.99968440000000003</v>
      </c>
      <c r="N62">
        <v>3.2120870000000002E-3</v>
      </c>
      <c r="O62">
        <v>2.4913080000000001E-2</v>
      </c>
      <c r="P62">
        <v>0.98097219999999996</v>
      </c>
      <c r="Q62">
        <v>0.19123039999999999</v>
      </c>
      <c r="R62">
        <v>-3.3532720000000002E-2</v>
      </c>
      <c r="S62">
        <v>2.9478149999999999</v>
      </c>
      <c r="T62">
        <v>0.58006389999999997</v>
      </c>
      <c r="U62">
        <v>7.7087399999999903E-2</v>
      </c>
      <c r="V62">
        <v>5.7911249999999997E-2</v>
      </c>
      <c r="W62">
        <v>0.18809780000000001</v>
      </c>
      <c r="X62">
        <v>0.98044149999999997</v>
      </c>
      <c r="Y62">
        <v>-1.6584550000000001E-3</v>
      </c>
      <c r="Z62">
        <v>4.6106369999999999E-3</v>
      </c>
      <c r="AA62">
        <v>0.99998799999999999</v>
      </c>
      <c r="AB62">
        <v>19</v>
      </c>
      <c r="AC62">
        <v>311.24400000000003</v>
      </c>
      <c r="AD62">
        <v>61.280346000000002</v>
      </c>
      <c r="AE62">
        <v>8.1393000000000395</v>
      </c>
      <c r="AF62">
        <v>-0.36841470534425202</v>
      </c>
      <c r="AG62">
        <v>61.280346000000002</v>
      </c>
      <c r="AH62">
        <v>299.73872312005801</v>
      </c>
      <c r="AI62">
        <v>78.445354080963497</v>
      </c>
      <c r="AJ62">
        <v>90.070423323610697</v>
      </c>
      <c r="AK62">
        <v>305.939076734107</v>
      </c>
      <c r="AL62">
        <v>79.158205415212507</v>
      </c>
      <c r="AM62">
        <v>86.619666224646195</v>
      </c>
      <c r="AN62">
        <v>1.00000001508182</v>
      </c>
    </row>
    <row r="63" spans="1:40" x14ac:dyDescent="0.25">
      <c r="A63" t="str">
        <f>"20190303170716955"</f>
        <v>20190303170716955</v>
      </c>
      <c r="B63" t="str">
        <f>"1551604036942603"</f>
        <v>1551604036942603</v>
      </c>
      <c r="C63" t="s">
        <v>40</v>
      </c>
      <c r="D63">
        <v>3.905732</v>
      </c>
      <c r="E63">
        <v>0.4778501</v>
      </c>
      <c r="F63" t="s">
        <v>44</v>
      </c>
      <c r="G63">
        <v>-158.19499999999999</v>
      </c>
      <c r="H63">
        <v>62.486789999999999</v>
      </c>
      <c r="I63">
        <v>375.36540000000002</v>
      </c>
      <c r="J63">
        <v>-469.2475</v>
      </c>
      <c r="K63">
        <v>1.1194759999999999</v>
      </c>
      <c r="L63">
        <v>367.20460000000003</v>
      </c>
      <c r="M63">
        <v>0.99967799999999996</v>
      </c>
      <c r="N63">
        <v>3.074682E-3</v>
      </c>
      <c r="O63">
        <v>2.519182E-2</v>
      </c>
      <c r="P63">
        <v>0.98106590000000005</v>
      </c>
      <c r="Q63">
        <v>0.19089800000000001</v>
      </c>
      <c r="R63">
        <v>-3.267983E-2</v>
      </c>
      <c r="S63">
        <v>2.94754</v>
      </c>
      <c r="T63">
        <v>0.58116099999999904</v>
      </c>
      <c r="U63">
        <v>7.7331540000000004E-2</v>
      </c>
      <c r="V63">
        <v>5.7330449999999998E-2</v>
      </c>
      <c r="W63">
        <v>0.1879007</v>
      </c>
      <c r="X63">
        <v>0.98051339999999998</v>
      </c>
      <c r="Y63">
        <v>-1.476006E-3</v>
      </c>
      <c r="Z63">
        <v>4.6949280000000001E-3</v>
      </c>
      <c r="AA63">
        <v>0.99998790000000004</v>
      </c>
      <c r="AB63">
        <v>19</v>
      </c>
      <c r="AC63">
        <v>311.05250000000001</v>
      </c>
      <c r="AD63">
        <v>61.367314</v>
      </c>
      <c r="AE63">
        <v>8.1607999999999894</v>
      </c>
      <c r="AF63">
        <v>-0.31013214026826702</v>
      </c>
      <c r="AG63">
        <v>61.367314</v>
      </c>
      <c r="AH63">
        <v>299.50956247236599</v>
      </c>
      <c r="AI63">
        <v>78.420781473294895</v>
      </c>
      <c r="AJ63">
        <v>90.059327843262693</v>
      </c>
      <c r="AK63">
        <v>305.73194373814999</v>
      </c>
      <c r="AL63">
        <v>79.169703163674697</v>
      </c>
      <c r="AM63">
        <v>86.653735462461</v>
      </c>
      <c r="AN63">
        <v>0.99999999056862598</v>
      </c>
    </row>
    <row r="64" spans="1:40" x14ac:dyDescent="0.25">
      <c r="A64" t="str">
        <f>"20190303170716976"</f>
        <v>20190303170716976</v>
      </c>
      <c r="B64" t="str">
        <f>"1551604036962122"</f>
        <v>1551604036962122</v>
      </c>
      <c r="C64" t="s">
        <v>40</v>
      </c>
      <c r="D64">
        <v>3.912048</v>
      </c>
      <c r="E64">
        <v>0.4778463</v>
      </c>
      <c r="F64" t="s">
        <v>44</v>
      </c>
      <c r="G64">
        <v>-158.19499999999999</v>
      </c>
      <c r="H64">
        <v>62.47598</v>
      </c>
      <c r="I64">
        <v>375.46249999999998</v>
      </c>
      <c r="J64">
        <v>-469.05540000000002</v>
      </c>
      <c r="K64">
        <v>1.1194850000000001</v>
      </c>
      <c r="L64">
        <v>367.20979999999997</v>
      </c>
      <c r="M64">
        <v>0.99967119999999998</v>
      </c>
      <c r="N64">
        <v>2.944075E-3</v>
      </c>
      <c r="O64">
        <v>2.547263E-2</v>
      </c>
      <c r="P64">
        <v>0.98124800000000001</v>
      </c>
      <c r="Q64">
        <v>0.19012660000000001</v>
      </c>
      <c r="R64">
        <v>-3.1690309999999999E-2</v>
      </c>
      <c r="S64">
        <v>2.9473880000000001</v>
      </c>
      <c r="T64">
        <v>0.58138610000000002</v>
      </c>
      <c r="U64">
        <v>7.8247070000000002E-2</v>
      </c>
      <c r="V64">
        <v>5.6618040000000001E-2</v>
      </c>
      <c r="W64">
        <v>0.1872576</v>
      </c>
      <c r="X64">
        <v>0.98067780000000004</v>
      </c>
      <c r="Y64">
        <v>-1.512441E-3</v>
      </c>
      <c r="Z64">
        <v>4.7507160000000003E-3</v>
      </c>
      <c r="AA64">
        <v>0.99998750000000003</v>
      </c>
      <c r="AB64">
        <v>19</v>
      </c>
      <c r="AC64">
        <v>310.86040000000003</v>
      </c>
      <c r="AD64">
        <v>61.356495000000002</v>
      </c>
      <c r="AE64">
        <v>8.2527000000000008</v>
      </c>
      <c r="AF64">
        <v>-0.31913218033819002</v>
      </c>
      <c r="AG64">
        <v>61.356495000000002</v>
      </c>
      <c r="AH64">
        <v>299.317329100802</v>
      </c>
      <c r="AI64">
        <v>78.4155336948686</v>
      </c>
      <c r="AJ64">
        <v>90.061088745400895</v>
      </c>
      <c r="AK64">
        <v>305.541461710308</v>
      </c>
      <c r="AL64">
        <v>79.207215828704307</v>
      </c>
      <c r="AM64">
        <v>86.695777459618895</v>
      </c>
      <c r="AN64">
        <v>0.99999997931202</v>
      </c>
    </row>
    <row r="65" spans="1:40" x14ac:dyDescent="0.25">
      <c r="A65" t="str">
        <f>"20190303170716998"</f>
        <v>20190303170716998</v>
      </c>
      <c r="B65" t="str">
        <f>"1551604036992377"</f>
        <v>1551604036992377</v>
      </c>
      <c r="C65" t="s">
        <v>40</v>
      </c>
      <c r="D65">
        <v>3.8986100000000001</v>
      </c>
      <c r="E65">
        <v>0.47805320000000001</v>
      </c>
      <c r="F65" t="s">
        <v>44</v>
      </c>
      <c r="G65">
        <v>-158.19499999999999</v>
      </c>
      <c r="H65">
        <v>62.31268</v>
      </c>
      <c r="I65">
        <v>375.7518</v>
      </c>
      <c r="J65">
        <v>-468.87079999999997</v>
      </c>
      <c r="K65">
        <v>1.1195010000000001</v>
      </c>
      <c r="L65">
        <v>367.21480000000003</v>
      </c>
      <c r="M65">
        <v>0.99966469999999996</v>
      </c>
      <c r="N65">
        <v>2.8257320000000001E-3</v>
      </c>
      <c r="O65">
        <v>2.574305E-2</v>
      </c>
      <c r="P65">
        <v>0.98144279999999995</v>
      </c>
      <c r="Q65">
        <v>0.18938099999999999</v>
      </c>
      <c r="R65">
        <v>-3.0082290000000001E-2</v>
      </c>
      <c r="S65">
        <v>2.9475099999999999</v>
      </c>
      <c r="T65">
        <v>0.58022089999999904</v>
      </c>
      <c r="U65">
        <v>8.099365E-2</v>
      </c>
      <c r="V65">
        <v>5.5278140000000003E-2</v>
      </c>
      <c r="W65">
        <v>0.1866276</v>
      </c>
      <c r="X65">
        <v>0.98087440000000004</v>
      </c>
      <c r="Y65">
        <v>-2.163108E-3</v>
      </c>
      <c r="Z65">
        <v>4.7316179999999999E-3</v>
      </c>
      <c r="AA65">
        <v>0.9999865</v>
      </c>
      <c r="AB65">
        <v>19</v>
      </c>
      <c r="AC65">
        <v>310.67579999999998</v>
      </c>
      <c r="AD65">
        <v>61.193179000000001</v>
      </c>
      <c r="AE65">
        <v>8.5369999999999706</v>
      </c>
      <c r="AF65">
        <v>-0.51637847916687996</v>
      </c>
      <c r="AG65">
        <v>61.193179000000001</v>
      </c>
      <c r="AH65">
        <v>299.19373327640602</v>
      </c>
      <c r="AI65">
        <v>78.440904117793707</v>
      </c>
      <c r="AJ65">
        <v>90.098886690530406</v>
      </c>
      <c r="AK65">
        <v>305.38788750494501</v>
      </c>
      <c r="AL65">
        <v>79.2439608305028</v>
      </c>
      <c r="AM65">
        <v>86.774451972226601</v>
      </c>
      <c r="AN65">
        <v>1.0000000612094799</v>
      </c>
    </row>
    <row r="66" spans="1:40" x14ac:dyDescent="0.25">
      <c r="A66" t="str">
        <f>"20190303170717020"</f>
        <v>20190303170717020</v>
      </c>
      <c r="B66" t="str">
        <f>"1551604037011898"</f>
        <v>1551604037011898</v>
      </c>
      <c r="C66" t="s">
        <v>40</v>
      </c>
      <c r="D66">
        <v>3.87825</v>
      </c>
      <c r="E66">
        <v>0.47817399999999999</v>
      </c>
      <c r="F66" t="s">
        <v>44</v>
      </c>
      <c r="G66">
        <v>-158.19499999999999</v>
      </c>
      <c r="H66">
        <v>62.357010000000002</v>
      </c>
      <c r="I66">
        <v>376.12889999999999</v>
      </c>
      <c r="J66">
        <v>-468.6653</v>
      </c>
      <c r="K66">
        <v>1.11951</v>
      </c>
      <c r="L66">
        <v>367.22039999999998</v>
      </c>
      <c r="M66">
        <v>0.99965729999999997</v>
      </c>
      <c r="N66">
        <v>2.7028130000000001E-3</v>
      </c>
      <c r="O66">
        <v>2.6044399999999999E-2</v>
      </c>
      <c r="P66">
        <v>0.98169890000000004</v>
      </c>
      <c r="Q66">
        <v>0.18833150000000001</v>
      </c>
      <c r="R66">
        <v>-2.826646E-2</v>
      </c>
      <c r="S66">
        <v>2.9472659999999999</v>
      </c>
      <c r="T66">
        <v>0.58093819999999996</v>
      </c>
      <c r="U66">
        <v>8.4564210000000001E-2</v>
      </c>
      <c r="V66">
        <v>5.376293E-2</v>
      </c>
      <c r="W66">
        <v>0.18569849999999999</v>
      </c>
      <c r="X66">
        <v>0.98113490000000003</v>
      </c>
      <c r="Y66">
        <v>-3.0642909999999998E-3</v>
      </c>
      <c r="Z66">
        <v>4.7098189999999996E-3</v>
      </c>
      <c r="AA66">
        <v>0.99998419999999999</v>
      </c>
      <c r="AB66">
        <v>20</v>
      </c>
      <c r="AC66">
        <v>310.47030000000001</v>
      </c>
      <c r="AD66">
        <v>61.237499999999997</v>
      </c>
      <c r="AE66">
        <v>8.9085000000000001</v>
      </c>
      <c r="AF66">
        <v>-0.78877590149447396</v>
      </c>
      <c r="AG66">
        <v>61.237499999999997</v>
      </c>
      <c r="AH66">
        <v>298.97522335582897</v>
      </c>
      <c r="AI66">
        <v>78.424554100191102</v>
      </c>
      <c r="AJ66">
        <v>90.151161105508194</v>
      </c>
      <c r="AK66">
        <v>305.18328550944699</v>
      </c>
      <c r="AL66">
        <v>79.298141234342907</v>
      </c>
      <c r="AM66">
        <v>86.863518574536101</v>
      </c>
      <c r="AN66">
        <v>1.00000003877122</v>
      </c>
    </row>
    <row r="67" spans="1:40" x14ac:dyDescent="0.25">
      <c r="A67" t="str">
        <f>"20190303170717043"</f>
        <v>20190303170717043</v>
      </c>
      <c r="B67" t="str">
        <f>"1551604037032394"</f>
        <v>1551604037032394</v>
      </c>
      <c r="C67" t="s">
        <v>40</v>
      </c>
      <c r="D67">
        <v>3.8750290000000001</v>
      </c>
      <c r="E67">
        <v>0.47840149999999998</v>
      </c>
      <c r="F67" t="s">
        <v>44</v>
      </c>
      <c r="G67">
        <v>-158.19499999999999</v>
      </c>
      <c r="H67">
        <v>62.100960000000001</v>
      </c>
      <c r="I67">
        <v>376.57170000000002</v>
      </c>
      <c r="J67">
        <v>-468.4674</v>
      </c>
      <c r="K67">
        <v>1.1195200000000001</v>
      </c>
      <c r="L67">
        <v>367.22590000000002</v>
      </c>
      <c r="M67">
        <v>0.99964980000000003</v>
      </c>
      <c r="N67">
        <v>2.5928129999999998E-3</v>
      </c>
      <c r="O67">
        <v>2.6334E-2</v>
      </c>
      <c r="P67">
        <v>0.98183359999999997</v>
      </c>
      <c r="Q67">
        <v>0.18788560000000001</v>
      </c>
      <c r="R67">
        <v>-2.6488749999999998E-2</v>
      </c>
      <c r="S67">
        <v>2.9474490000000002</v>
      </c>
      <c r="T67">
        <v>0.57892779999999999</v>
      </c>
      <c r="U67">
        <v>8.8775629999999994E-2</v>
      </c>
      <c r="V67">
        <v>5.2271970000000001E-2</v>
      </c>
      <c r="W67">
        <v>0.18535969999999999</v>
      </c>
      <c r="X67">
        <v>0.98127949999999997</v>
      </c>
      <c r="Y67">
        <v>-4.1816969999999998E-3</v>
      </c>
      <c r="Z67">
        <v>4.6415909999999996E-3</v>
      </c>
      <c r="AA67">
        <v>0.99998050000000005</v>
      </c>
      <c r="AB67">
        <v>20</v>
      </c>
      <c r="AC67">
        <v>310.2724</v>
      </c>
      <c r="AD67">
        <v>60.981439999999999</v>
      </c>
      <c r="AE67">
        <v>9.3457999999999899</v>
      </c>
      <c r="AF67">
        <v>-1.12827357158485</v>
      </c>
      <c r="AG67">
        <v>60.981439999999999</v>
      </c>
      <c r="AH67">
        <v>298.87620352608099</v>
      </c>
      <c r="AI67">
        <v>78.467981330938699</v>
      </c>
      <c r="AJ67">
        <v>90.2162935889192</v>
      </c>
      <c r="AK67">
        <v>305.03605370495001</v>
      </c>
      <c r="AL67">
        <v>79.317895777589499</v>
      </c>
      <c r="AM67">
        <v>86.950781874046598</v>
      </c>
      <c r="AN67">
        <v>1.0000000171760099</v>
      </c>
    </row>
    <row r="68" spans="1:40" x14ac:dyDescent="0.25">
      <c r="A68" t="str">
        <f>"20190303170717066"</f>
        <v>20190303170717066</v>
      </c>
      <c r="B68" t="str">
        <f>"1551604037051913"</f>
        <v>1551604037051913</v>
      </c>
      <c r="C68" t="s">
        <v>40</v>
      </c>
      <c r="D68">
        <v>3.9174419999999999</v>
      </c>
      <c r="E68">
        <v>0.49797970000000003</v>
      </c>
      <c r="F68" t="s">
        <v>44</v>
      </c>
      <c r="G68">
        <v>-158.19499999999999</v>
      </c>
      <c r="H68">
        <v>61.962209999999999</v>
      </c>
      <c r="I68">
        <v>376.94729999999998</v>
      </c>
      <c r="J68">
        <v>-468.2543</v>
      </c>
      <c r="K68">
        <v>1.1195310000000001</v>
      </c>
      <c r="L68">
        <v>367.2319</v>
      </c>
      <c r="M68">
        <v>0.99964209999999998</v>
      </c>
      <c r="N68">
        <v>2.4829629999999999E-3</v>
      </c>
      <c r="O68">
        <v>2.6640219999999999E-2</v>
      </c>
      <c r="P68">
        <v>0.98175199999999996</v>
      </c>
      <c r="Q68">
        <v>0.18848029999999999</v>
      </c>
      <c r="R68">
        <v>-2.5265679999999999E-2</v>
      </c>
      <c r="S68">
        <v>2.9473880000000001</v>
      </c>
      <c r="T68">
        <v>0.57796689999999995</v>
      </c>
      <c r="U68">
        <v>9.2346189999999995E-2</v>
      </c>
      <c r="V68">
        <v>5.1346530000000001E-2</v>
      </c>
      <c r="W68">
        <v>0.18606249999999999</v>
      </c>
      <c r="X68">
        <v>0.98119529999999999</v>
      </c>
      <c r="Y68">
        <v>-5.0739790000000002E-3</v>
      </c>
      <c r="Z68">
        <v>4.6079270000000004E-3</v>
      </c>
      <c r="AA68">
        <v>0.99997650000000005</v>
      </c>
      <c r="AB68">
        <v>20</v>
      </c>
      <c r="AC68">
        <v>310.05930000000001</v>
      </c>
      <c r="AD68">
        <v>60.842678999999997</v>
      </c>
      <c r="AE68">
        <v>9.7153999999999794</v>
      </c>
      <c r="AF68">
        <v>-1.3980970643474699</v>
      </c>
      <c r="AG68">
        <v>60.842678999999997</v>
      </c>
      <c r="AH68">
        <v>298.71699551755898</v>
      </c>
      <c r="AI68">
        <v>78.487595310060598</v>
      </c>
      <c r="AJ68">
        <v>90.268161763242404</v>
      </c>
      <c r="AK68">
        <v>304.85345606428001</v>
      </c>
      <c r="AL68">
        <v>79.276914896019903</v>
      </c>
      <c r="AM68">
        <v>87.004410463238401</v>
      </c>
      <c r="AN68">
        <v>0.99999996839568905</v>
      </c>
    </row>
    <row r="69" spans="1:40" x14ac:dyDescent="0.25">
      <c r="A69" t="str">
        <f>"20190303170717089"</f>
        <v>20190303170717089</v>
      </c>
      <c r="B69" t="str">
        <f>"1551604037082170"</f>
        <v>1551604037082170</v>
      </c>
      <c r="C69" t="s">
        <v>40</v>
      </c>
      <c r="D69">
        <v>3.8300749999999999</v>
      </c>
      <c r="E69">
        <v>0.50468579999999996</v>
      </c>
      <c r="F69" t="s">
        <v>44</v>
      </c>
      <c r="G69">
        <v>-158.19499999999999</v>
      </c>
      <c r="H69">
        <v>74.771999999999906</v>
      </c>
      <c r="I69">
        <v>360.39010000000002</v>
      </c>
      <c r="J69">
        <v>-468.0428</v>
      </c>
      <c r="K69">
        <v>1.119537</v>
      </c>
      <c r="L69">
        <v>367.23790000000002</v>
      </c>
      <c r="M69">
        <v>0.99963460000000004</v>
      </c>
      <c r="N69">
        <v>2.3820429999999999E-3</v>
      </c>
      <c r="O69">
        <v>2.6926599999999998E-2</v>
      </c>
      <c r="P69">
        <v>0.98178699999999997</v>
      </c>
      <c r="Q69">
        <v>0.18834419999999999</v>
      </c>
      <c r="R69">
        <v>-2.4918920000000001E-2</v>
      </c>
      <c r="S69">
        <v>2.9209290000000001</v>
      </c>
      <c r="T69">
        <v>0.6938474</v>
      </c>
      <c r="U69">
        <v>-6.4453129999999997E-2</v>
      </c>
      <c r="V69">
        <v>5.1283929999999998E-2</v>
      </c>
      <c r="W69">
        <v>0.1860251</v>
      </c>
      <c r="X69">
        <v>0.98120569999999896</v>
      </c>
      <c r="Y69">
        <v>4.6920150000000001E-2</v>
      </c>
      <c r="Z69">
        <v>1.179669E-2</v>
      </c>
      <c r="AA69">
        <v>0.99882899999999997</v>
      </c>
      <c r="AB69">
        <v>20</v>
      </c>
      <c r="AC69">
        <v>309.84780000000001</v>
      </c>
      <c r="AD69">
        <v>73.652462999999997</v>
      </c>
      <c r="AE69">
        <v>-6.8478000000000003</v>
      </c>
      <c r="AF69">
        <v>14.3765547886033</v>
      </c>
      <c r="AG69">
        <v>73.652462999999997</v>
      </c>
      <c r="AH69">
        <v>293.00334215979802</v>
      </c>
      <c r="AI69">
        <v>75.906141701046593</v>
      </c>
      <c r="AJ69">
        <v>87.190967750788303</v>
      </c>
      <c r="AK69">
        <v>302.460458821261</v>
      </c>
      <c r="AL69">
        <v>79.279096204317895</v>
      </c>
      <c r="AM69">
        <v>87.008087602430905</v>
      </c>
      <c r="AN69">
        <v>1.00000000250937</v>
      </c>
    </row>
    <row r="70" spans="1:40" x14ac:dyDescent="0.25">
      <c r="A70" t="str">
        <f>"20190303170717132"</f>
        <v>20190303170717132</v>
      </c>
      <c r="B70" t="str">
        <f>"1551604037122185"</f>
        <v>1551604037122185</v>
      </c>
      <c r="C70" t="s">
        <v>40</v>
      </c>
      <c r="D70">
        <v>3.8991250000000002</v>
      </c>
      <c r="E70">
        <v>0.50479979999999902</v>
      </c>
      <c r="F70" t="s">
        <v>45</v>
      </c>
      <c r="G70">
        <v>0</v>
      </c>
      <c r="H70">
        <v>0</v>
      </c>
      <c r="I70">
        <v>0</v>
      </c>
      <c r="J70">
        <v>-467.63959999999997</v>
      </c>
      <c r="K70">
        <v>1.1195059999999999</v>
      </c>
      <c r="L70">
        <v>367.24930000000001</v>
      </c>
      <c r="M70">
        <v>0.99962300000000004</v>
      </c>
      <c r="N70">
        <v>2.210287E-3</v>
      </c>
      <c r="O70">
        <v>2.7370100000000001E-2</v>
      </c>
      <c r="P70">
        <v>0.98199130000000001</v>
      </c>
      <c r="Q70">
        <v>0.1872268</v>
      </c>
      <c r="R70">
        <v>-2.5289539999999999E-2</v>
      </c>
      <c r="S70">
        <v>2.8294069999999998</v>
      </c>
      <c r="T70">
        <v>1.1615850000000001</v>
      </c>
      <c r="U70">
        <v>-0.13467409999999999</v>
      </c>
      <c r="V70">
        <v>5.2111400000000002E-2</v>
      </c>
      <c r="W70">
        <v>0.18507109999999999</v>
      </c>
      <c r="X70">
        <v>0.98134250000000001</v>
      </c>
      <c r="Y70">
        <v>6.7211809999999997E-2</v>
      </c>
      <c r="Z70">
        <v>2.4066460000000001E-2</v>
      </c>
      <c r="AA70">
        <v>0.99744840000000001</v>
      </c>
      <c r="AB70">
        <v>21</v>
      </c>
      <c r="AC70">
        <v>2.8294069999999998</v>
      </c>
      <c r="AD70">
        <v>1.1615850000000001</v>
      </c>
      <c r="AE70">
        <v>-0.13467409999999999</v>
      </c>
      <c r="AF70">
        <v>0.18153727789760701</v>
      </c>
      <c r="AG70">
        <v>1.1615850000000001</v>
      </c>
      <c r="AH70">
        <v>2.4180383542697799</v>
      </c>
      <c r="AI70">
        <v>64.403944844602606</v>
      </c>
      <c r="AJ70">
        <v>85.706501719434002</v>
      </c>
      <c r="AK70">
        <v>2.6887069342364498</v>
      </c>
      <c r="AL70">
        <v>79.334722357159706</v>
      </c>
      <c r="AM70">
        <v>86.960325710669593</v>
      </c>
      <c r="AN70">
        <v>1.0000000061857099</v>
      </c>
    </row>
    <row r="71" spans="1:40" x14ac:dyDescent="0.25">
      <c r="A71" t="str">
        <f>"20190303170717154"</f>
        <v>20190303170717154</v>
      </c>
      <c r="B71" t="str">
        <f>"1551604037142682"</f>
        <v>1551604037142682</v>
      </c>
      <c r="C71" t="s">
        <v>40</v>
      </c>
      <c r="D71">
        <v>3.8781949999999998</v>
      </c>
      <c r="E71">
        <v>0.5054708</v>
      </c>
      <c r="F71" t="s">
        <v>45</v>
      </c>
      <c r="G71">
        <v>0</v>
      </c>
      <c r="H71">
        <v>0</v>
      </c>
      <c r="I71">
        <v>0</v>
      </c>
      <c r="J71">
        <v>-467.42700000000002</v>
      </c>
      <c r="K71">
        <v>1.1194900000000001</v>
      </c>
      <c r="L71">
        <v>367.25529999999998</v>
      </c>
      <c r="M71">
        <v>0.99961840000000002</v>
      </c>
      <c r="N71">
        <v>2.1277840000000002E-3</v>
      </c>
      <c r="O71">
        <v>2.7545690000000001E-2</v>
      </c>
      <c r="P71">
        <v>0.98192219999999997</v>
      </c>
      <c r="Q71">
        <v>0.18753259999999999</v>
      </c>
      <c r="R71">
        <v>-2.5706150000000001E-2</v>
      </c>
      <c r="S71">
        <v>2.8234859999999999</v>
      </c>
      <c r="T71">
        <v>1.1957880000000001</v>
      </c>
      <c r="U71">
        <v>-0.1382446</v>
      </c>
      <c r="V71">
        <v>5.2709520000000003E-2</v>
      </c>
      <c r="W71">
        <v>0.1854548</v>
      </c>
      <c r="X71">
        <v>0.9812381</v>
      </c>
      <c r="Y71">
        <v>6.8175609999999998E-2</v>
      </c>
      <c r="Z71">
        <v>2.5033590000000001E-2</v>
      </c>
      <c r="AA71">
        <v>0.9973592</v>
      </c>
      <c r="AB71">
        <v>21</v>
      </c>
      <c r="AC71">
        <v>2.8234859999999999</v>
      </c>
      <c r="AD71">
        <v>1.1957880000000001</v>
      </c>
      <c r="AE71">
        <v>-0.1382446</v>
      </c>
      <c r="AF71">
        <v>0.18318824599803199</v>
      </c>
      <c r="AG71">
        <v>1.1957880000000001</v>
      </c>
      <c r="AH71">
        <v>2.3908058343442198</v>
      </c>
      <c r="AI71">
        <v>63.494599658224899</v>
      </c>
      <c r="AJ71">
        <v>85.618445876810995</v>
      </c>
      <c r="AK71">
        <v>2.67944386243679</v>
      </c>
      <c r="AL71">
        <v>79.312350543536894</v>
      </c>
      <c r="AM71">
        <v>86.925177251586305</v>
      </c>
      <c r="AN71">
        <v>0.99999999261663997</v>
      </c>
    </row>
    <row r="72" spans="1:40" x14ac:dyDescent="0.25">
      <c r="A72" t="str">
        <f>"20190303170717176"</f>
        <v>20190303170717176</v>
      </c>
      <c r="B72" t="str">
        <f>"1551604037171962"</f>
        <v>1551604037171962</v>
      </c>
      <c r="C72" t="s">
        <v>40</v>
      </c>
      <c r="D72">
        <v>3.8756780000000002</v>
      </c>
      <c r="E72">
        <v>0.50599349999999998</v>
      </c>
      <c r="F72" t="s">
        <v>45</v>
      </c>
      <c r="G72">
        <v>0</v>
      </c>
      <c r="H72">
        <v>0</v>
      </c>
      <c r="I72">
        <v>0</v>
      </c>
      <c r="J72">
        <v>-467.21030000000002</v>
      </c>
      <c r="K72">
        <v>1.119489</v>
      </c>
      <c r="L72">
        <v>367.26150000000001</v>
      </c>
      <c r="M72">
        <v>0.99961480000000003</v>
      </c>
      <c r="N72">
        <v>2.0479880000000002E-3</v>
      </c>
      <c r="O72">
        <v>2.768164E-2</v>
      </c>
      <c r="P72">
        <v>0.98117670000000001</v>
      </c>
      <c r="Q72">
        <v>0.19130079999999999</v>
      </c>
      <c r="R72">
        <v>-2.6395410000000001E-2</v>
      </c>
      <c r="S72">
        <v>2.8226619999999998</v>
      </c>
      <c r="T72">
        <v>1.198223</v>
      </c>
      <c r="U72">
        <v>-0.144531299999999</v>
      </c>
      <c r="V72">
        <v>5.3523279999999999E-2</v>
      </c>
      <c r="W72">
        <v>0.18929989999999999</v>
      </c>
      <c r="X72">
        <v>0.98045950000000004</v>
      </c>
      <c r="Y72">
        <v>7.0309010000000005E-2</v>
      </c>
      <c r="Z72">
        <v>2.5576479999999999E-2</v>
      </c>
      <c r="AA72">
        <v>0.99719729999999995</v>
      </c>
      <c r="AB72">
        <v>21</v>
      </c>
      <c r="AC72">
        <v>2.8226619999999998</v>
      </c>
      <c r="AD72">
        <v>1.198223</v>
      </c>
      <c r="AE72">
        <v>-0.144531299999999</v>
      </c>
      <c r="AF72">
        <v>0.188697411355668</v>
      </c>
      <c r="AG72">
        <v>1.198223</v>
      </c>
      <c r="AH72">
        <v>2.3883258324334302</v>
      </c>
      <c r="AI72">
        <v>63.428468691837899</v>
      </c>
      <c r="AJ72">
        <v>85.482545696602699</v>
      </c>
      <c r="AK72">
        <v>2.6787021769226498</v>
      </c>
      <c r="AL72">
        <v>79.088070145757001</v>
      </c>
      <c r="AM72">
        <v>86.875325087677595</v>
      </c>
      <c r="AN72">
        <v>1.0000000123910999</v>
      </c>
    </row>
    <row r="73" spans="1:40" x14ac:dyDescent="0.25">
      <c r="A73" t="str">
        <f>"20190303170717199"</f>
        <v>20190303170717199</v>
      </c>
      <c r="B73" t="str">
        <f>"1551604037192458"</f>
        <v>1551604037192458</v>
      </c>
      <c r="C73" t="s">
        <v>40</v>
      </c>
      <c r="D73">
        <v>3.892245</v>
      </c>
      <c r="E73">
        <v>0.50546389999999997</v>
      </c>
      <c r="F73" t="s">
        <v>45</v>
      </c>
      <c r="G73">
        <v>0</v>
      </c>
      <c r="H73">
        <v>0</v>
      </c>
      <c r="I73">
        <v>0</v>
      </c>
      <c r="J73">
        <v>-466.99299999999999</v>
      </c>
      <c r="K73">
        <v>1.119483</v>
      </c>
      <c r="L73">
        <v>367.26769999999999</v>
      </c>
      <c r="M73">
        <v>0.99961250000000001</v>
      </c>
      <c r="N73">
        <v>1.9717039999999999E-3</v>
      </c>
      <c r="O73">
        <v>2.7770420000000001E-2</v>
      </c>
      <c r="P73">
        <v>0.98041160000000005</v>
      </c>
      <c r="Q73">
        <v>0.1950151</v>
      </c>
      <c r="R73">
        <v>-2.7614619999999999E-2</v>
      </c>
      <c r="S73">
        <v>2.8178100000000001</v>
      </c>
      <c r="T73">
        <v>1.2088019999999999</v>
      </c>
      <c r="U73">
        <v>-0.15048220000000001</v>
      </c>
      <c r="V73">
        <v>5.4820880000000002E-2</v>
      </c>
      <c r="W73">
        <v>0.1930868</v>
      </c>
      <c r="X73">
        <v>0.97964899999999999</v>
      </c>
      <c r="Y73">
        <v>7.2236369999999994E-2</v>
      </c>
      <c r="Z73">
        <v>2.6256870000000002E-2</v>
      </c>
      <c r="AA73">
        <v>0.99704190000000004</v>
      </c>
      <c r="AB73">
        <v>22</v>
      </c>
      <c r="AC73">
        <v>2.8178100000000001</v>
      </c>
      <c r="AD73">
        <v>1.2088019999999999</v>
      </c>
      <c r="AE73">
        <v>-0.15048220000000001</v>
      </c>
      <c r="AF73">
        <v>0.193219204330809</v>
      </c>
      <c r="AG73">
        <v>1.2088019999999999</v>
      </c>
      <c r="AH73">
        <v>2.3764513757047201</v>
      </c>
      <c r="AI73">
        <v>63.115655613903698</v>
      </c>
      <c r="AJ73">
        <v>85.351747270069396</v>
      </c>
      <c r="AK73">
        <v>2.6732110049928801</v>
      </c>
      <c r="AL73">
        <v>78.867018627310998</v>
      </c>
      <c r="AM73">
        <v>86.797084951244898</v>
      </c>
      <c r="AN73">
        <v>1.0000000022096001</v>
      </c>
    </row>
    <row r="74" spans="1:40" x14ac:dyDescent="0.25">
      <c r="A74" t="str">
        <f>"20190303170717221"</f>
        <v>20190303170717221</v>
      </c>
      <c r="B74" t="str">
        <f>"1551604037211978"</f>
        <v>1551604037211978</v>
      </c>
      <c r="C74" t="s">
        <v>40</v>
      </c>
      <c r="D74">
        <v>3.8431470000000001</v>
      </c>
      <c r="E74">
        <v>0.5049363</v>
      </c>
      <c r="F74" t="s">
        <v>45</v>
      </c>
      <c r="G74">
        <v>0</v>
      </c>
      <c r="H74">
        <v>0</v>
      </c>
      <c r="I74">
        <v>0</v>
      </c>
      <c r="J74">
        <v>-466.77280000000002</v>
      </c>
      <c r="K74">
        <v>1.1194789999999999</v>
      </c>
      <c r="L74">
        <v>367.27379999999999</v>
      </c>
      <c r="M74">
        <v>0.99961120000000003</v>
      </c>
      <c r="N74">
        <v>1.8974490000000001E-3</v>
      </c>
      <c r="O74">
        <v>2.781658E-2</v>
      </c>
      <c r="P74">
        <v>0.97999579999999997</v>
      </c>
      <c r="Q74">
        <v>0.19690730000000001</v>
      </c>
      <c r="R74">
        <v>-2.8914519999999999E-2</v>
      </c>
      <c r="S74">
        <v>2.8109739999999999</v>
      </c>
      <c r="T74">
        <v>1.2299469999999999</v>
      </c>
      <c r="U74">
        <v>-0.1507568</v>
      </c>
      <c r="V74">
        <v>5.6167189999999999E-2</v>
      </c>
      <c r="W74">
        <v>0.19504859999999999</v>
      </c>
      <c r="X74">
        <v>0.97918400000000005</v>
      </c>
      <c r="Y74">
        <v>7.2170910000000005E-2</v>
      </c>
      <c r="Z74">
        <v>2.6741910000000001E-2</v>
      </c>
      <c r="AA74">
        <v>0.99703370000000002</v>
      </c>
      <c r="AB74">
        <v>22</v>
      </c>
      <c r="AC74">
        <v>2.8109739999999999</v>
      </c>
      <c r="AD74">
        <v>1.2299469999999999</v>
      </c>
      <c r="AE74">
        <v>-0.1507568</v>
      </c>
      <c r="AF74">
        <v>0.19219900813626001</v>
      </c>
      <c r="AG74">
        <v>1.2299469999999999</v>
      </c>
      <c r="AH74">
        <v>2.3559381100491699</v>
      </c>
      <c r="AI74">
        <v>62.5105122237172</v>
      </c>
      <c r="AJ74">
        <v>85.336100367494197</v>
      </c>
      <c r="AK74">
        <v>2.6646115026246502</v>
      </c>
      <c r="AL74">
        <v>78.752437405723796</v>
      </c>
      <c r="AM74">
        <v>86.717041614765193</v>
      </c>
      <c r="AN74">
        <v>1.00000000772522</v>
      </c>
    </row>
    <row r="75" spans="1:40" x14ac:dyDescent="0.25">
      <c r="A75" t="str">
        <f>"20190303170717243"</f>
        <v>20190303170717243</v>
      </c>
      <c r="B75" t="str">
        <f>"1551604037232474"</f>
        <v>1551604037232474</v>
      </c>
      <c r="C75" t="s">
        <v>40</v>
      </c>
      <c r="D75">
        <v>3.9728409999999998</v>
      </c>
      <c r="E75">
        <v>0.50490820000000003</v>
      </c>
      <c r="F75" t="s">
        <v>45</v>
      </c>
      <c r="G75">
        <v>0</v>
      </c>
      <c r="H75">
        <v>0</v>
      </c>
      <c r="I75">
        <v>0</v>
      </c>
      <c r="J75">
        <v>-466.55189999999999</v>
      </c>
      <c r="K75">
        <v>1.119464</v>
      </c>
      <c r="L75">
        <v>367.2801</v>
      </c>
      <c r="M75">
        <v>0.99961120000000003</v>
      </c>
      <c r="N75">
        <v>1.8255330000000001E-3</v>
      </c>
      <c r="O75">
        <v>2.7821539999999999E-2</v>
      </c>
      <c r="P75">
        <v>0.97971870000000005</v>
      </c>
      <c r="Q75">
        <v>0.19834289999999999</v>
      </c>
      <c r="R75">
        <v>-2.848185E-2</v>
      </c>
      <c r="S75">
        <v>2.8074340000000002</v>
      </c>
      <c r="T75">
        <v>1.2410410000000001</v>
      </c>
      <c r="U75">
        <v>-0.15048220000000001</v>
      </c>
      <c r="V75">
        <v>5.574486E-2</v>
      </c>
      <c r="W75">
        <v>0.196552</v>
      </c>
      <c r="X75">
        <v>0.97890750000000004</v>
      </c>
      <c r="Y75">
        <v>7.1982329999999997E-2</v>
      </c>
      <c r="Z75">
        <v>2.6955010000000001E-2</v>
      </c>
      <c r="AA75">
        <v>0.99704159999999997</v>
      </c>
      <c r="AB75">
        <v>22</v>
      </c>
      <c r="AC75">
        <v>2.8074340000000002</v>
      </c>
      <c r="AD75">
        <v>1.2410410000000001</v>
      </c>
      <c r="AE75">
        <v>-0.15048220000000001</v>
      </c>
      <c r="AF75">
        <v>0.19126303715378801</v>
      </c>
      <c r="AG75">
        <v>1.2410410000000001</v>
      </c>
      <c r="AH75">
        <v>2.3451926974628399</v>
      </c>
      <c r="AI75">
        <v>62.191314301341102</v>
      </c>
      <c r="AJ75">
        <v>85.337540846914493</v>
      </c>
      <c r="AK75">
        <v>2.6602054622332001</v>
      </c>
      <c r="AL75">
        <v>78.664599020451604</v>
      </c>
      <c r="AM75">
        <v>86.740754955314003</v>
      </c>
      <c r="AN75">
        <v>1.0000000358383301</v>
      </c>
    </row>
    <row r="76" spans="1:40" x14ac:dyDescent="0.25">
      <c r="A76" t="str">
        <f>"20190303170717265"</f>
        <v>20190303170717265</v>
      </c>
      <c r="B76" t="str">
        <f>"1551604037261754"</f>
        <v>1551604037261754</v>
      </c>
      <c r="C76" t="s">
        <v>40</v>
      </c>
      <c r="D76">
        <v>3.8438970000000001</v>
      </c>
      <c r="E76">
        <v>0.48287570000000002</v>
      </c>
      <c r="F76" t="s">
        <v>45</v>
      </c>
      <c r="G76">
        <v>0</v>
      </c>
      <c r="H76">
        <v>0</v>
      </c>
      <c r="I76">
        <v>0</v>
      </c>
      <c r="J76">
        <v>-466.32769999999999</v>
      </c>
      <c r="K76">
        <v>1.1194630000000001</v>
      </c>
      <c r="L76">
        <v>367.28629999999998</v>
      </c>
      <c r="M76">
        <v>0.99961230000000001</v>
      </c>
      <c r="N76">
        <v>1.754839E-3</v>
      </c>
      <c r="O76">
        <v>2.7785770000000001E-2</v>
      </c>
      <c r="P76">
        <v>0.97950630000000005</v>
      </c>
      <c r="Q76">
        <v>0.19942570000000001</v>
      </c>
      <c r="R76">
        <v>-2.8230620000000001E-2</v>
      </c>
      <c r="S76">
        <v>2.806152</v>
      </c>
      <c r="T76">
        <v>1.2429429999999999</v>
      </c>
      <c r="U76">
        <v>-0.14840699999999901</v>
      </c>
      <c r="V76">
        <v>5.5465599999999997E-2</v>
      </c>
      <c r="W76">
        <v>0.19770009999999999</v>
      </c>
      <c r="X76">
        <v>0.97869209999999995</v>
      </c>
      <c r="Y76">
        <v>7.1270410000000006E-2</v>
      </c>
      <c r="Z76">
        <v>2.683746E-2</v>
      </c>
      <c r="AA76">
        <v>0.99709590000000003</v>
      </c>
      <c r="AB76">
        <v>22</v>
      </c>
      <c r="AC76">
        <v>2.806152</v>
      </c>
      <c r="AD76">
        <v>1.2429429999999999</v>
      </c>
      <c r="AE76">
        <v>-0.14840699999999901</v>
      </c>
      <c r="AF76">
        <v>0.18928784507329699</v>
      </c>
      <c r="AG76">
        <v>1.2429429999999999</v>
      </c>
      <c r="AH76">
        <v>2.3426240646182199</v>
      </c>
      <c r="AI76">
        <v>62.127712871721897</v>
      </c>
      <c r="AJ76">
        <v>85.380443671921299</v>
      </c>
      <c r="AK76">
        <v>2.6586885296457501</v>
      </c>
      <c r="AL76">
        <v>78.597500671885896</v>
      </c>
      <c r="AM76">
        <v>86.756335348839102</v>
      </c>
      <c r="AN76">
        <v>0.99999999446288901</v>
      </c>
    </row>
    <row r="77" spans="1:40" x14ac:dyDescent="0.25">
      <c r="A77" t="str">
        <f>"20190303170717292"</f>
        <v>20190303170717292</v>
      </c>
      <c r="B77" t="str">
        <f>"1551604037282250"</f>
        <v>1551604037282250</v>
      </c>
      <c r="C77" t="s">
        <v>40</v>
      </c>
      <c r="D77">
        <v>3.8251780000000002</v>
      </c>
      <c r="E77">
        <v>0.48569560000000001</v>
      </c>
      <c r="F77" t="s">
        <v>45</v>
      </c>
      <c r="G77">
        <v>0</v>
      </c>
      <c r="H77">
        <v>0</v>
      </c>
      <c r="I77">
        <v>0</v>
      </c>
      <c r="J77">
        <v>-466.0668</v>
      </c>
      <c r="K77">
        <v>1.119472</v>
      </c>
      <c r="L77">
        <v>367.29349999999999</v>
      </c>
      <c r="M77">
        <v>0.99961500000000003</v>
      </c>
      <c r="N77">
        <v>1.6747379999999901E-3</v>
      </c>
      <c r="O77">
        <v>2.769576E-2</v>
      </c>
      <c r="P77">
        <v>0.97883160000000002</v>
      </c>
      <c r="Q77">
        <v>0.20267640000000001</v>
      </c>
      <c r="R77">
        <v>-2.8481900000000001E-2</v>
      </c>
      <c r="S77">
        <v>2.7468870000000001</v>
      </c>
      <c r="T77">
        <v>1.554101</v>
      </c>
      <c r="U77">
        <v>1.7028809999999998E-2</v>
      </c>
      <c r="V77">
        <v>5.5624939999999998E-2</v>
      </c>
      <c r="W77">
        <v>0.2010266</v>
      </c>
      <c r="X77">
        <v>0.97800520000000002</v>
      </c>
      <c r="Y77">
        <v>1.513654E-2</v>
      </c>
      <c r="Z77">
        <v>1.8536790000000001E-2</v>
      </c>
      <c r="AA77">
        <v>0.99971359999999998</v>
      </c>
      <c r="AB77">
        <v>22</v>
      </c>
      <c r="AC77">
        <v>2.7468870000000001</v>
      </c>
      <c r="AD77">
        <v>1.554101</v>
      </c>
      <c r="AE77">
        <v>1.7028809999999998E-2</v>
      </c>
      <c r="AF77">
        <v>4.4735847019700202E-2</v>
      </c>
      <c r="AG77">
        <v>1.554101</v>
      </c>
      <c r="AH77">
        <v>2.0804060091033398</v>
      </c>
      <c r="AI77">
        <v>53.245951751737501</v>
      </c>
      <c r="AJ77">
        <v>88.768134557755204</v>
      </c>
      <c r="AK77">
        <v>2.59717546132772</v>
      </c>
      <c r="AL77">
        <v>78.403001774476195</v>
      </c>
      <c r="AM77">
        <v>86.744757223692503</v>
      </c>
      <c r="AN77">
        <v>0.99999999954230101</v>
      </c>
    </row>
    <row r="78" spans="1:40" x14ac:dyDescent="0.25">
      <c r="A78" t="str">
        <f>"20190303170717312"</f>
        <v>20190303170717312</v>
      </c>
      <c r="B78" t="str">
        <f>"1551604037301770"</f>
        <v>1551604037301770</v>
      </c>
      <c r="C78" t="s">
        <v>40</v>
      </c>
      <c r="D78">
        <v>3.7620800000000001</v>
      </c>
      <c r="E78">
        <v>0.48683300000000002</v>
      </c>
      <c r="F78" t="s">
        <v>45</v>
      </c>
      <c r="G78">
        <v>0</v>
      </c>
      <c r="H78">
        <v>0</v>
      </c>
      <c r="I78">
        <v>0</v>
      </c>
      <c r="J78">
        <v>-465.85120000000001</v>
      </c>
      <c r="K78">
        <v>1.1194660000000001</v>
      </c>
      <c r="L78">
        <v>367.29939999999999</v>
      </c>
      <c r="M78">
        <v>0.99961820000000001</v>
      </c>
      <c r="N78">
        <v>1.6101360000000001E-3</v>
      </c>
      <c r="O78">
        <v>2.7586289999999999E-2</v>
      </c>
      <c r="P78">
        <v>0.97773140000000003</v>
      </c>
      <c r="Q78">
        <v>0.2076411</v>
      </c>
      <c r="R78">
        <v>-3.044144E-2</v>
      </c>
      <c r="S78">
        <v>2.7150880000000002</v>
      </c>
      <c r="T78">
        <v>1.6878529999999901</v>
      </c>
      <c r="U78">
        <v>-1.010132E-2</v>
      </c>
      <c r="V78">
        <v>5.7458420000000003E-2</v>
      </c>
      <c r="W78">
        <v>0.20605319999999999</v>
      </c>
      <c r="X78">
        <v>0.97685239999999995</v>
      </c>
      <c r="Y78">
        <v>2.2440479999999999E-2</v>
      </c>
      <c r="Z78">
        <v>2.2135289999999998E-2</v>
      </c>
      <c r="AA78">
        <v>0.99950309999999998</v>
      </c>
      <c r="AB78">
        <v>23</v>
      </c>
      <c r="AC78">
        <v>2.7150880000000002</v>
      </c>
      <c r="AD78">
        <v>1.6878529999999901</v>
      </c>
      <c r="AE78">
        <v>-1.010132E-2</v>
      </c>
      <c r="AF78">
        <v>6.1305245808877903E-2</v>
      </c>
      <c r="AG78">
        <v>1.6878529999999901</v>
      </c>
      <c r="AH78">
        <v>1.95735323707552</v>
      </c>
      <c r="AI78">
        <v>49.242234743824199</v>
      </c>
      <c r="AJ78">
        <v>88.206055049177195</v>
      </c>
      <c r="AK78">
        <v>2.5853119303988601</v>
      </c>
      <c r="AL78">
        <v>78.108840696540199</v>
      </c>
      <c r="AM78">
        <v>86.633743090665206</v>
      </c>
      <c r="AN78">
        <v>1.0000000013224399</v>
      </c>
    </row>
    <row r="79" spans="1:40" x14ac:dyDescent="0.25">
      <c r="A79" t="str">
        <f>"20190303170717333"</f>
        <v>20190303170717333</v>
      </c>
      <c r="B79" t="str">
        <f>"1551604037322265"</f>
        <v>1551604037322265</v>
      </c>
      <c r="C79" t="s">
        <v>40</v>
      </c>
      <c r="D79">
        <v>3.9116949999999999</v>
      </c>
      <c r="E79">
        <v>0.48785699999999999</v>
      </c>
      <c r="F79" t="s">
        <v>45</v>
      </c>
      <c r="G79">
        <v>0</v>
      </c>
      <c r="H79">
        <v>0</v>
      </c>
      <c r="I79">
        <v>0</v>
      </c>
      <c r="J79">
        <v>-465.62349999999998</v>
      </c>
      <c r="K79">
        <v>1.1194489999999999</v>
      </c>
      <c r="L79">
        <v>367.30560000000003</v>
      </c>
      <c r="M79">
        <v>0.99962200000000001</v>
      </c>
      <c r="N79">
        <v>1.542994E-3</v>
      </c>
      <c r="O79">
        <v>2.74457E-2</v>
      </c>
      <c r="P79">
        <v>0.97733550000000002</v>
      </c>
      <c r="Q79">
        <v>0.20943339999999999</v>
      </c>
      <c r="R79">
        <v>-3.0871619999999999E-2</v>
      </c>
      <c r="S79">
        <v>2.6867679999999998</v>
      </c>
      <c r="T79">
        <v>1.79275099999999</v>
      </c>
      <c r="U79">
        <v>-2.709961E-2</v>
      </c>
      <c r="V79">
        <v>5.7750210000000003E-2</v>
      </c>
      <c r="W79">
        <v>0.2079085</v>
      </c>
      <c r="X79">
        <v>0.97644200000000003</v>
      </c>
      <c r="Y79">
        <v>2.6609710000000002E-2</v>
      </c>
      <c r="Z79">
        <v>2.4676859999999998E-2</v>
      </c>
      <c r="AA79">
        <v>0.99934120000000004</v>
      </c>
      <c r="AB79">
        <v>23</v>
      </c>
      <c r="AC79">
        <v>2.6867679999999998</v>
      </c>
      <c r="AD79">
        <v>1.79275099999999</v>
      </c>
      <c r="AE79">
        <v>-2.709961E-2</v>
      </c>
      <c r="AF79">
        <v>6.9769676212501894E-2</v>
      </c>
      <c r="AG79">
        <v>1.79275099999999</v>
      </c>
      <c r="AH79">
        <v>1.8579087152437199</v>
      </c>
      <c r="AI79">
        <v>46.042690598809898</v>
      </c>
      <c r="AJ79">
        <v>87.849393552995394</v>
      </c>
      <c r="AK79">
        <v>2.5827599094570002</v>
      </c>
      <c r="AL79">
        <v>78.000186968525796</v>
      </c>
      <c r="AM79">
        <v>86.615269197522295</v>
      </c>
      <c r="AN79">
        <v>1.0000000052456399</v>
      </c>
    </row>
    <row r="80" spans="1:40" x14ac:dyDescent="0.25">
      <c r="A80" t="str">
        <f>"20190303170717357"</f>
        <v>20190303170717357</v>
      </c>
      <c r="B80" t="str">
        <f>"1551604037352521"</f>
        <v>1551604037352521</v>
      </c>
      <c r="C80" t="s">
        <v>40</v>
      </c>
      <c r="D80">
        <v>3.7495270000000001</v>
      </c>
      <c r="E80">
        <v>0.4880447</v>
      </c>
      <c r="F80" t="s">
        <v>45</v>
      </c>
      <c r="G80">
        <v>0</v>
      </c>
      <c r="H80">
        <v>0</v>
      </c>
      <c r="I80">
        <v>0</v>
      </c>
      <c r="J80">
        <v>-465.37939999999998</v>
      </c>
      <c r="K80">
        <v>1.119442</v>
      </c>
      <c r="L80">
        <v>367.31209999999999</v>
      </c>
      <c r="M80">
        <v>0.99962689999999998</v>
      </c>
      <c r="N80">
        <v>1.4719129999999901E-3</v>
      </c>
      <c r="O80">
        <v>2.7271900000000002E-2</v>
      </c>
      <c r="P80">
        <v>0.97702270000000002</v>
      </c>
      <c r="Q80">
        <v>0.2108681</v>
      </c>
      <c r="R80">
        <v>-3.1008839999999999E-2</v>
      </c>
      <c r="S80">
        <v>2.6744080000000001</v>
      </c>
      <c r="T80">
        <v>1.8385260000000001</v>
      </c>
      <c r="U80">
        <v>-3.8574219999999999E-2</v>
      </c>
      <c r="V80">
        <v>5.7717160000000003E-2</v>
      </c>
      <c r="W80">
        <v>0.20941109999999999</v>
      </c>
      <c r="X80">
        <v>0.97612279999999996</v>
      </c>
      <c r="Y80">
        <v>2.9562140000000001E-2</v>
      </c>
      <c r="Z80">
        <v>2.6106529999999999E-2</v>
      </c>
      <c r="AA80">
        <v>0.99922200000000005</v>
      </c>
      <c r="AB80">
        <v>23</v>
      </c>
      <c r="AC80">
        <v>2.6744080000000001</v>
      </c>
      <c r="AD80">
        <v>1.8385260000000001</v>
      </c>
      <c r="AE80">
        <v>-3.8574219999999999E-2</v>
      </c>
      <c r="AF80">
        <v>7.5719386683085296E-2</v>
      </c>
      <c r="AG80">
        <v>1.8385260000000001</v>
      </c>
      <c r="AH80">
        <v>1.81485698796812</v>
      </c>
      <c r="AI80">
        <v>44.653715913225902</v>
      </c>
      <c r="AJ80">
        <v>87.610893518113102</v>
      </c>
      <c r="AK80">
        <v>2.5844955339431999</v>
      </c>
      <c r="AL80">
        <v>77.912156558174999</v>
      </c>
      <c r="AM80">
        <v>86.6160981211641</v>
      </c>
      <c r="AN80">
        <v>1.0000000000207501</v>
      </c>
    </row>
    <row r="81" spans="1:40" x14ac:dyDescent="0.25">
      <c r="A81" t="str">
        <f>"20190303170717378"</f>
        <v>20190303170717378</v>
      </c>
      <c r="B81" t="str">
        <f>"1551604037372042"</f>
        <v>1551604037372042</v>
      </c>
      <c r="C81" t="s">
        <v>40</v>
      </c>
      <c r="D81">
        <v>3.7667959999999998</v>
      </c>
      <c r="E81">
        <v>0.48828719999999998</v>
      </c>
      <c r="F81" t="s">
        <v>45</v>
      </c>
      <c r="G81">
        <v>0</v>
      </c>
      <c r="H81">
        <v>0</v>
      </c>
      <c r="I81">
        <v>0</v>
      </c>
      <c r="J81">
        <v>-465.14789999999999</v>
      </c>
      <c r="K81">
        <v>1.1194569999999999</v>
      </c>
      <c r="L81">
        <v>367.31819999999999</v>
      </c>
      <c r="M81">
        <v>0.99963210000000002</v>
      </c>
      <c r="N81">
        <v>1.4053129999999901E-3</v>
      </c>
      <c r="O81">
        <v>2.7091710000000001E-2</v>
      </c>
      <c r="P81">
        <v>0.97640110000000002</v>
      </c>
      <c r="Q81">
        <v>0.2138294</v>
      </c>
      <c r="R81">
        <v>-3.0306799999999998E-2</v>
      </c>
      <c r="S81">
        <v>2.6660159999999999</v>
      </c>
      <c r="T81">
        <v>1.868641</v>
      </c>
      <c r="U81">
        <v>-3.8970949999999997E-2</v>
      </c>
      <c r="V81">
        <v>5.6828770000000001E-2</v>
      </c>
      <c r="W81">
        <v>0.21243699999999999</v>
      </c>
      <c r="X81">
        <v>0.97552090000000002</v>
      </c>
      <c r="Y81">
        <v>2.9248730000000001E-2</v>
      </c>
      <c r="Z81">
        <v>2.6314029999999999E-2</v>
      </c>
      <c r="AA81">
        <v>0.99922569999999999</v>
      </c>
      <c r="AB81">
        <v>23</v>
      </c>
      <c r="AC81">
        <v>2.6660159999999999</v>
      </c>
      <c r="AD81">
        <v>1.868641</v>
      </c>
      <c r="AE81">
        <v>-3.8970949999999997E-2</v>
      </c>
      <c r="AF81">
        <v>7.4561252442956902E-2</v>
      </c>
      <c r="AG81">
        <v>1.868641</v>
      </c>
      <c r="AH81">
        <v>1.78650212523466</v>
      </c>
      <c r="AI81">
        <v>43.737562369482802</v>
      </c>
      <c r="AJ81">
        <v>87.610096769770394</v>
      </c>
      <c r="AK81">
        <v>2.5863040058575502</v>
      </c>
      <c r="AL81">
        <v>77.734795069024102</v>
      </c>
      <c r="AM81">
        <v>86.666014134242403</v>
      </c>
      <c r="AN81">
        <v>1.0000000072027599</v>
      </c>
    </row>
    <row r="82" spans="1:40" x14ac:dyDescent="0.25">
      <c r="A82" t="str">
        <f>"20190303170717403"</f>
        <v>20190303170717403</v>
      </c>
      <c r="B82" t="str">
        <f>"1551604037392537"</f>
        <v>1551604037392537</v>
      </c>
      <c r="C82" t="s">
        <v>40</v>
      </c>
      <c r="D82">
        <v>3.7548659999999998</v>
      </c>
      <c r="E82">
        <v>0.48846719999999999</v>
      </c>
      <c r="F82" t="s">
        <v>45</v>
      </c>
      <c r="G82">
        <v>0</v>
      </c>
      <c r="H82">
        <v>0</v>
      </c>
      <c r="I82">
        <v>0</v>
      </c>
      <c r="J82">
        <v>-464.88459999999998</v>
      </c>
      <c r="K82">
        <v>1.1194839999999999</v>
      </c>
      <c r="L82">
        <v>367.3252</v>
      </c>
      <c r="M82">
        <v>0.99963809999999997</v>
      </c>
      <c r="N82">
        <v>1.33017799999999E-3</v>
      </c>
      <c r="O82">
        <v>2.687556E-2</v>
      </c>
      <c r="P82">
        <v>0.9758928</v>
      </c>
      <c r="Q82">
        <v>0.2160802</v>
      </c>
      <c r="R82">
        <v>-3.0712900000000001E-2</v>
      </c>
      <c r="S82">
        <v>2.6586910000000001</v>
      </c>
      <c r="T82">
        <v>1.883594</v>
      </c>
      <c r="U82">
        <v>-4.0496829999999998E-2</v>
      </c>
      <c r="V82">
        <v>5.7014759999999998E-2</v>
      </c>
      <c r="W82">
        <v>0.2147606</v>
      </c>
      <c r="X82">
        <v>0.97500120000000001</v>
      </c>
      <c r="Y82">
        <v>2.941235E-2</v>
      </c>
      <c r="Z82">
        <v>2.6461309999999998E-2</v>
      </c>
      <c r="AA82">
        <v>0.99921700000000002</v>
      </c>
      <c r="AB82">
        <v>24</v>
      </c>
      <c r="AC82">
        <v>2.6586910000000001</v>
      </c>
      <c r="AD82">
        <v>1.883594</v>
      </c>
      <c r="AE82">
        <v>-4.0496829999999998E-2</v>
      </c>
      <c r="AF82">
        <v>7.4534171055468404E-2</v>
      </c>
      <c r="AG82">
        <v>1.883594</v>
      </c>
      <c r="AH82">
        <v>1.76896192640917</v>
      </c>
      <c r="AI82">
        <v>43.227772810013299</v>
      </c>
      <c r="AJ82">
        <v>87.587303091322298</v>
      </c>
      <c r="AK82">
        <v>2.5850934212473198</v>
      </c>
      <c r="AL82">
        <v>77.598518253545507</v>
      </c>
      <c r="AM82">
        <v>86.653348503561602</v>
      </c>
      <c r="AN82">
        <v>1.00000006908582</v>
      </c>
    </row>
    <row r="83" spans="1:40" x14ac:dyDescent="0.25">
      <c r="A83" t="str">
        <f>"20190303170717422"</f>
        <v>20190303170717422</v>
      </c>
      <c r="B83" t="str">
        <f>"1551604037412058"</f>
        <v>1551604037412058</v>
      </c>
      <c r="C83" t="s">
        <v>40</v>
      </c>
      <c r="D83">
        <v>4.0018390000000004</v>
      </c>
      <c r="E83">
        <v>0.48868420000000001</v>
      </c>
      <c r="F83" t="s">
        <v>45</v>
      </c>
      <c r="G83">
        <v>0</v>
      </c>
      <c r="H83">
        <v>0</v>
      </c>
      <c r="I83">
        <v>0</v>
      </c>
      <c r="J83">
        <v>-464.67959999999999</v>
      </c>
      <c r="K83">
        <v>1.1195059999999999</v>
      </c>
      <c r="L83">
        <v>367.33049999999997</v>
      </c>
      <c r="M83">
        <v>0.9996427</v>
      </c>
      <c r="N83">
        <v>1.272074E-3</v>
      </c>
      <c r="O83">
        <v>2.67031E-2</v>
      </c>
      <c r="P83">
        <v>0.97567119999999996</v>
      </c>
      <c r="Q83">
        <v>0.21706600000000001</v>
      </c>
      <c r="R83">
        <v>-3.079233E-2</v>
      </c>
      <c r="S83">
        <v>2.654083</v>
      </c>
      <c r="T83">
        <v>1.8909389999999999</v>
      </c>
      <c r="U83">
        <v>-4.2816159999999999E-2</v>
      </c>
      <c r="V83">
        <v>5.6921800000000002E-2</v>
      </c>
      <c r="W83">
        <v>0.21580369999999999</v>
      </c>
      <c r="X83">
        <v>0.97477619999999998</v>
      </c>
      <c r="Y83">
        <v>2.9929870000000001E-2</v>
      </c>
      <c r="Z83">
        <v>2.6639199999999998E-2</v>
      </c>
      <c r="AA83">
        <v>0.99919690000000005</v>
      </c>
      <c r="AB83">
        <v>24</v>
      </c>
      <c r="AC83">
        <v>2.654083</v>
      </c>
      <c r="AD83">
        <v>1.8909389999999999</v>
      </c>
      <c r="AE83">
        <v>-4.2816159999999999E-2</v>
      </c>
      <c r="AF83">
        <v>7.5406443985175695E-2</v>
      </c>
      <c r="AG83">
        <v>1.8909389999999999</v>
      </c>
      <c r="AH83">
        <v>1.7592308917898101</v>
      </c>
      <c r="AI83">
        <v>42.9597333571025</v>
      </c>
      <c r="AJ83">
        <v>87.545616112729505</v>
      </c>
      <c r="AK83">
        <v>2.5838401196945302</v>
      </c>
      <c r="AL83">
        <v>77.537316921398698</v>
      </c>
      <c r="AM83">
        <v>86.658023218974293</v>
      </c>
      <c r="AN83">
        <v>0.99999998416768399</v>
      </c>
    </row>
    <row r="84" spans="1:40" x14ac:dyDescent="0.25">
      <c r="A84" t="str">
        <f>"20190303170717445"</f>
        <v>20190303170717445</v>
      </c>
      <c r="B84" t="str">
        <f>"1551604037442314"</f>
        <v>1551604037442314</v>
      </c>
      <c r="C84" t="s">
        <v>40</v>
      </c>
      <c r="D84">
        <v>3.6688939999999999</v>
      </c>
      <c r="E84">
        <v>0.48880319999999999</v>
      </c>
      <c r="F84" t="s">
        <v>45</v>
      </c>
      <c r="G84">
        <v>0</v>
      </c>
      <c r="H84">
        <v>0</v>
      </c>
      <c r="I84">
        <v>0</v>
      </c>
      <c r="J84">
        <v>-464.42939999999999</v>
      </c>
      <c r="K84">
        <v>1.1195059999999999</v>
      </c>
      <c r="L84">
        <v>367.33690000000001</v>
      </c>
      <c r="M84">
        <v>0.99964850000000005</v>
      </c>
      <c r="N84">
        <v>1.2013900000000001E-3</v>
      </c>
      <c r="O84">
        <v>2.6490880000000001E-2</v>
      </c>
      <c r="P84">
        <v>0.9751978</v>
      </c>
      <c r="Q84">
        <v>0.219163</v>
      </c>
      <c r="R84">
        <v>-3.0934030000000001E-2</v>
      </c>
      <c r="S84">
        <v>2.6526489999999998</v>
      </c>
      <c r="T84">
        <v>1.8914059999999999</v>
      </c>
      <c r="U84">
        <v>-4.2877199999999997E-2</v>
      </c>
      <c r="V84">
        <v>5.6845140000000002E-2</v>
      </c>
      <c r="W84">
        <v>0.21796960000000001</v>
      </c>
      <c r="X84">
        <v>0.97429869999999996</v>
      </c>
      <c r="Y84">
        <v>2.980698E-2</v>
      </c>
      <c r="Z84">
        <v>2.6481870000000001E-2</v>
      </c>
      <c r="AA84">
        <v>0.9992048</v>
      </c>
      <c r="AB84">
        <v>24</v>
      </c>
      <c r="AC84">
        <v>2.6526489999999998</v>
      </c>
      <c r="AD84">
        <v>1.8914059999999999</v>
      </c>
      <c r="AE84">
        <v>-4.2877199999999997E-2</v>
      </c>
      <c r="AF84">
        <v>7.5008467049910807E-2</v>
      </c>
      <c r="AG84">
        <v>1.8914059999999999</v>
      </c>
      <c r="AH84">
        <v>1.7573631104963501</v>
      </c>
      <c r="AI84">
        <v>42.922103565679699</v>
      </c>
      <c r="AJ84">
        <v>87.555962338696304</v>
      </c>
      <c r="AK84">
        <v>2.5828991519411999</v>
      </c>
      <c r="AL84">
        <v>77.410194700402897</v>
      </c>
      <c r="AM84">
        <v>86.660881889623894</v>
      </c>
      <c r="AN84">
        <v>1.0000000366437301</v>
      </c>
    </row>
    <row r="85" spans="1:40" x14ac:dyDescent="0.25">
      <c r="A85" t="str">
        <f>"20190303170717464"</f>
        <v>20190303170717464</v>
      </c>
      <c r="B85" t="str">
        <f>"1551604037461834"</f>
        <v>1551604037461834</v>
      </c>
      <c r="C85" t="s">
        <v>40</v>
      </c>
      <c r="D85">
        <v>3.6810350000000001</v>
      </c>
      <c r="E85">
        <v>0.4890448</v>
      </c>
      <c r="F85" t="s">
        <v>45</v>
      </c>
      <c r="G85">
        <v>0</v>
      </c>
      <c r="H85">
        <v>0</v>
      </c>
      <c r="I85">
        <v>0</v>
      </c>
      <c r="J85">
        <v>-464.21280000000002</v>
      </c>
      <c r="K85">
        <v>1.1194919999999999</v>
      </c>
      <c r="L85">
        <v>367.3424</v>
      </c>
      <c r="M85">
        <v>0.99965320000000002</v>
      </c>
      <c r="N85">
        <v>1.1402300000000001E-3</v>
      </c>
      <c r="O85">
        <v>2.6307259999999999E-2</v>
      </c>
      <c r="P85">
        <v>0.97520439999999997</v>
      </c>
      <c r="Q85">
        <v>0.2191285</v>
      </c>
      <c r="R85">
        <v>-3.0966839999999999E-2</v>
      </c>
      <c r="S85">
        <v>2.6496580000000001</v>
      </c>
      <c r="T85">
        <v>1.892169</v>
      </c>
      <c r="U85">
        <v>-4.4647220000000001E-2</v>
      </c>
      <c r="V85">
        <v>5.669892E-2</v>
      </c>
      <c r="W85">
        <v>0.2179952</v>
      </c>
      <c r="X85">
        <v>0.97430150000000004</v>
      </c>
      <c r="Y85">
        <v>3.0220199999999999E-2</v>
      </c>
      <c r="Z85">
        <v>2.6530499999999999E-2</v>
      </c>
      <c r="AA85">
        <v>0.9991911</v>
      </c>
      <c r="AB85">
        <v>24</v>
      </c>
      <c r="AC85">
        <v>2.6496580000000001</v>
      </c>
      <c r="AD85">
        <v>1.892169</v>
      </c>
      <c r="AE85">
        <v>-4.4647220000000001E-2</v>
      </c>
      <c r="AF85">
        <v>7.5728931224165394E-2</v>
      </c>
      <c r="AG85">
        <v>1.892169</v>
      </c>
      <c r="AH85">
        <v>1.75356421835747</v>
      </c>
      <c r="AI85">
        <v>42.8493705353495</v>
      </c>
      <c r="AJ85">
        <v>87.527177090747401</v>
      </c>
      <c r="AK85">
        <v>2.5808963294733398</v>
      </c>
      <c r="AL85">
        <v>77.408691879441307</v>
      </c>
      <c r="AM85">
        <v>86.669461131398293</v>
      </c>
      <c r="AN85">
        <v>1.0000000438272201</v>
      </c>
    </row>
    <row r="86" spans="1:40" x14ac:dyDescent="0.25">
      <c r="A86" t="str">
        <f>"20190303170717492"</f>
        <v>20190303170717492</v>
      </c>
      <c r="B86" t="str">
        <f>"1551604037482330"</f>
        <v>1551604037482330</v>
      </c>
      <c r="C86" t="s">
        <v>40</v>
      </c>
      <c r="D86">
        <v>3.6333220000000002</v>
      </c>
      <c r="E86">
        <v>0.48924410000000002</v>
      </c>
      <c r="F86" t="s">
        <v>45</v>
      </c>
      <c r="G86">
        <v>0</v>
      </c>
      <c r="H86">
        <v>0</v>
      </c>
      <c r="I86">
        <v>0</v>
      </c>
      <c r="J86">
        <v>-463.91860000000003</v>
      </c>
      <c r="K86">
        <v>1.119499</v>
      </c>
      <c r="L86">
        <v>367.34989999999999</v>
      </c>
      <c r="M86">
        <v>0.99965990000000005</v>
      </c>
      <c r="N86">
        <v>1.0574670000000001E-3</v>
      </c>
      <c r="O86">
        <v>2.6058919999999999E-2</v>
      </c>
      <c r="P86">
        <v>0.97504420000000003</v>
      </c>
      <c r="Q86">
        <v>0.2198339</v>
      </c>
      <c r="R86">
        <v>-3.1020550000000001E-2</v>
      </c>
      <c r="S86">
        <v>2.6501459999999999</v>
      </c>
      <c r="T86">
        <v>1.8895599999999999</v>
      </c>
      <c r="U86">
        <v>-4.9926760000000001E-2</v>
      </c>
      <c r="V86">
        <v>5.6505569999999998E-2</v>
      </c>
      <c r="W86">
        <v>0.21878159999999999</v>
      </c>
      <c r="X86">
        <v>0.97413640000000001</v>
      </c>
      <c r="Y86">
        <v>3.1711129999999997E-2</v>
      </c>
      <c r="Z86">
        <v>2.6816320000000001E-2</v>
      </c>
      <c r="AA86">
        <v>0.99913730000000001</v>
      </c>
      <c r="AB86">
        <v>25</v>
      </c>
      <c r="AC86">
        <v>2.6501459999999999</v>
      </c>
      <c r="AD86">
        <v>1.8895599999999999</v>
      </c>
      <c r="AE86">
        <v>-4.9926760000000001E-2</v>
      </c>
      <c r="AF86">
        <v>7.8882395622775603E-2</v>
      </c>
      <c r="AG86">
        <v>1.8895599999999999</v>
      </c>
      <c r="AH86">
        <v>1.7557083769845501</v>
      </c>
      <c r="AI86">
        <v>42.9258939121639</v>
      </c>
      <c r="AJ86">
        <v>87.427482296608602</v>
      </c>
      <c r="AK86">
        <v>2.5805370237516199</v>
      </c>
      <c r="AL86">
        <v>77.362519375329001</v>
      </c>
      <c r="AM86">
        <v>86.680231932059698</v>
      </c>
      <c r="AN86">
        <v>0.99999999687227203</v>
      </c>
    </row>
    <row r="87" spans="1:40" x14ac:dyDescent="0.25">
      <c r="A87" t="str">
        <f>"20190303170717513"</f>
        <v>20190303170717513</v>
      </c>
      <c r="B87" t="str">
        <f>"1551604037501850"</f>
        <v>1551604037501850</v>
      </c>
      <c r="C87" t="s">
        <v>40</v>
      </c>
      <c r="D87">
        <v>3.6776840000000002</v>
      </c>
      <c r="E87">
        <v>0.4895273</v>
      </c>
      <c r="F87" t="s">
        <v>45</v>
      </c>
      <c r="G87">
        <v>0</v>
      </c>
      <c r="H87">
        <v>0</v>
      </c>
      <c r="I87">
        <v>0</v>
      </c>
      <c r="J87">
        <v>-463.66789999999997</v>
      </c>
      <c r="K87">
        <v>1.1195219999999999</v>
      </c>
      <c r="L87">
        <v>367.35629999999998</v>
      </c>
      <c r="M87">
        <v>0.99966529999999998</v>
      </c>
      <c r="N87">
        <v>9.8676639999999995E-4</v>
      </c>
      <c r="O87">
        <v>2.584931E-2</v>
      </c>
      <c r="P87">
        <v>0.97470429999999997</v>
      </c>
      <c r="Q87">
        <v>0.22132209999999999</v>
      </c>
      <c r="R87">
        <v>-3.11168E-2</v>
      </c>
      <c r="S87">
        <v>2.6493530000000001</v>
      </c>
      <c r="T87">
        <v>1.888282</v>
      </c>
      <c r="U87">
        <v>-5.2368159999999997E-2</v>
      </c>
      <c r="V87">
        <v>5.6388849999999997E-2</v>
      </c>
      <c r="W87">
        <v>0.22033910000000001</v>
      </c>
      <c r="X87">
        <v>0.97379210000000005</v>
      </c>
      <c r="Y87">
        <v>3.2340519999999998E-2</v>
      </c>
      <c r="Z87">
        <v>2.687614E-2</v>
      </c>
      <c r="AA87">
        <v>0.99911550000000005</v>
      </c>
      <c r="AB87">
        <v>25</v>
      </c>
      <c r="AC87">
        <v>2.6493530000000001</v>
      </c>
      <c r="AD87">
        <v>1.888282</v>
      </c>
      <c r="AE87">
        <v>-5.2368159999999997E-2</v>
      </c>
      <c r="AF87">
        <v>8.0140219664536202E-2</v>
      </c>
      <c r="AG87">
        <v>1.888282</v>
      </c>
      <c r="AH87">
        <v>1.75562479547051</v>
      </c>
      <c r="AI87">
        <v>42.944793792038702</v>
      </c>
      <c r="AJ87">
        <v>87.386394238683806</v>
      </c>
      <c r="AK87">
        <v>2.5795832587460201</v>
      </c>
      <c r="AL87">
        <v>77.271049745390599</v>
      </c>
      <c r="AM87">
        <v>86.685905349783198</v>
      </c>
      <c r="AN87">
        <v>1.00000003770777</v>
      </c>
    </row>
    <row r="88" spans="1:40" x14ac:dyDescent="0.25">
      <c r="A88" t="str">
        <f>"20190303170717537"</f>
        <v>20190303170717537</v>
      </c>
      <c r="B88" t="str">
        <f>"1551604037532615"</f>
        <v>1551604037532615</v>
      </c>
      <c r="C88" t="s">
        <v>40</v>
      </c>
      <c r="D88">
        <v>3.6755640000000001</v>
      </c>
      <c r="E88">
        <v>0.48976229999999998</v>
      </c>
      <c r="F88" t="s">
        <v>45</v>
      </c>
      <c r="G88">
        <v>0</v>
      </c>
      <c r="H88">
        <v>0</v>
      </c>
      <c r="I88">
        <v>0</v>
      </c>
      <c r="J88">
        <v>-463.39600000000002</v>
      </c>
      <c r="K88">
        <v>1.119548</v>
      </c>
      <c r="L88">
        <v>367.363</v>
      </c>
      <c r="M88">
        <v>0.99967130000000004</v>
      </c>
      <c r="N88">
        <v>9.0998610000000003E-4</v>
      </c>
      <c r="O88">
        <v>2.5623010000000002E-2</v>
      </c>
      <c r="P88">
        <v>0.97431250000000003</v>
      </c>
      <c r="Q88">
        <v>0.22291330000000001</v>
      </c>
      <c r="R88">
        <v>-3.201304E-2</v>
      </c>
      <c r="S88">
        <v>2.6472169999999999</v>
      </c>
      <c r="T88">
        <v>1.888846</v>
      </c>
      <c r="U88">
        <v>-5.435181E-2</v>
      </c>
      <c r="V88">
        <v>5.7054790000000001E-2</v>
      </c>
      <c r="W88">
        <v>0.22200529999999999</v>
      </c>
      <c r="X88">
        <v>0.97337470000000004</v>
      </c>
      <c r="Y88">
        <v>3.279866E-2</v>
      </c>
      <c r="Z88">
        <v>2.6902860000000001E-2</v>
      </c>
      <c r="AA88">
        <v>0.99909990000000004</v>
      </c>
      <c r="AB88">
        <v>25</v>
      </c>
      <c r="AC88">
        <v>2.6472169999999999</v>
      </c>
      <c r="AD88">
        <v>1.888846</v>
      </c>
      <c r="AE88">
        <v>-5.435181E-2</v>
      </c>
      <c r="AF88">
        <v>8.0962156572483096E-2</v>
      </c>
      <c r="AG88">
        <v>1.888846</v>
      </c>
      <c r="AH88">
        <v>1.7529049149506899</v>
      </c>
      <c r="AI88">
        <v>42.892667943925602</v>
      </c>
      <c r="AJ88">
        <v>87.355535124097599</v>
      </c>
      <c r="AK88">
        <v>2.5781717792597001</v>
      </c>
      <c r="AL88">
        <v>77.173158140602695</v>
      </c>
      <c r="AM88">
        <v>86.645420798263601</v>
      </c>
      <c r="AN88">
        <v>0.99999995444506096</v>
      </c>
    </row>
    <row r="89" spans="1:40" x14ac:dyDescent="0.25">
      <c r="A89" t="str">
        <f>"20190303170717556"</f>
        <v>20190303170717556</v>
      </c>
      <c r="B89" t="str">
        <f>"1551604037552135"</f>
        <v>1551604037552135</v>
      </c>
      <c r="C89" t="s">
        <v>40</v>
      </c>
      <c r="D89">
        <v>3.6555300000000002</v>
      </c>
      <c r="E89">
        <v>0.48984179999999999</v>
      </c>
      <c r="F89" t="s">
        <v>45</v>
      </c>
      <c r="G89">
        <v>0</v>
      </c>
      <c r="H89">
        <v>0</v>
      </c>
      <c r="I89">
        <v>0</v>
      </c>
      <c r="J89">
        <v>-463.18349999999998</v>
      </c>
      <c r="K89">
        <v>1.1195569999999999</v>
      </c>
      <c r="L89">
        <v>367.36829999999998</v>
      </c>
      <c r="M89">
        <v>0.99967600000000001</v>
      </c>
      <c r="N89">
        <v>8.4983740000000002E-4</v>
      </c>
      <c r="O89">
        <v>2.544648E-2</v>
      </c>
      <c r="P89">
        <v>0.97411950000000003</v>
      </c>
      <c r="Q89">
        <v>0.22356029999999999</v>
      </c>
      <c r="R89">
        <v>-3.3349179999999999E-2</v>
      </c>
      <c r="S89">
        <v>2.6458740000000001</v>
      </c>
      <c r="T89">
        <v>1.8849199999999999</v>
      </c>
      <c r="U89">
        <v>-5.8807369999999998E-2</v>
      </c>
      <c r="V89">
        <v>5.8214120000000001E-2</v>
      </c>
      <c r="W89">
        <v>0.22271050000000001</v>
      </c>
      <c r="X89">
        <v>0.97314489999999998</v>
      </c>
      <c r="Y89">
        <v>3.4096609999999999E-2</v>
      </c>
      <c r="Z89">
        <v>2.7171310000000001E-2</v>
      </c>
      <c r="AA89">
        <v>0.99904910000000002</v>
      </c>
      <c r="AB89">
        <v>25</v>
      </c>
      <c r="AC89">
        <v>2.6458740000000001</v>
      </c>
      <c r="AD89">
        <v>1.8849199999999999</v>
      </c>
      <c r="AE89">
        <v>-5.8807369999999998E-2</v>
      </c>
      <c r="AF89">
        <v>8.3672546803042397E-2</v>
      </c>
      <c r="AG89">
        <v>1.8849199999999999</v>
      </c>
      <c r="AH89">
        <v>1.75385522366782</v>
      </c>
      <c r="AI89">
        <v>42.969640976479099</v>
      </c>
      <c r="AJ89">
        <v>87.268616289763699</v>
      </c>
      <c r="AK89">
        <v>2.5760304049206</v>
      </c>
      <c r="AL89">
        <v>77.131715240385901</v>
      </c>
      <c r="AM89">
        <v>86.576611258186006</v>
      </c>
      <c r="AN89">
        <v>0.99999992348681399</v>
      </c>
    </row>
    <row r="90" spans="1:40" x14ac:dyDescent="0.25">
      <c r="A90" t="str">
        <f>"20190303170717579"</f>
        <v>20190303170717579</v>
      </c>
      <c r="B90" t="str">
        <f>"1551604037572630"</f>
        <v>1551604037572630</v>
      </c>
      <c r="C90" t="s">
        <v>40</v>
      </c>
      <c r="D90">
        <v>3.62365</v>
      </c>
      <c r="E90">
        <v>0.49002200000000001</v>
      </c>
      <c r="F90" t="s">
        <v>45</v>
      </c>
      <c r="G90">
        <v>0</v>
      </c>
      <c r="H90">
        <v>0</v>
      </c>
      <c r="I90">
        <v>0</v>
      </c>
      <c r="J90">
        <v>-462.9171</v>
      </c>
      <c r="K90">
        <v>1.119559</v>
      </c>
      <c r="L90">
        <v>367.37479999999999</v>
      </c>
      <c r="M90">
        <v>0.99968140000000005</v>
      </c>
      <c r="N90">
        <v>7.7436750000000004E-4</v>
      </c>
      <c r="O90">
        <v>2.522626E-2</v>
      </c>
      <c r="P90">
        <v>0.97362760000000004</v>
      </c>
      <c r="Q90">
        <v>0.2256177</v>
      </c>
      <c r="R90">
        <v>-3.3856329999999997E-2</v>
      </c>
      <c r="S90">
        <v>2.6454770000000001</v>
      </c>
      <c r="T90">
        <v>1.8829480000000001</v>
      </c>
      <c r="U90">
        <v>-6.2347409999999999E-2</v>
      </c>
      <c r="V90">
        <v>5.8495470000000001E-2</v>
      </c>
      <c r="W90">
        <v>0.2248414</v>
      </c>
      <c r="X90">
        <v>0.972638</v>
      </c>
      <c r="Y90">
        <v>3.506724E-2</v>
      </c>
      <c r="Z90">
        <v>2.732151E-2</v>
      </c>
      <c r="AA90">
        <v>0.99901139999999999</v>
      </c>
      <c r="AB90">
        <v>26</v>
      </c>
      <c r="AC90">
        <v>2.6454770000000001</v>
      </c>
      <c r="AD90">
        <v>1.8829480000000001</v>
      </c>
      <c r="AE90">
        <v>-6.2347409999999999E-2</v>
      </c>
      <c r="AF90">
        <v>8.5680891613406904E-2</v>
      </c>
      <c r="AG90">
        <v>1.8829480000000001</v>
      </c>
      <c r="AH90">
        <v>1.7546453233290999</v>
      </c>
      <c r="AI90">
        <v>43.013971098496697</v>
      </c>
      <c r="AJ90">
        <v>87.204416701445595</v>
      </c>
      <c r="AK90">
        <v>2.57519214750518</v>
      </c>
      <c r="AL90">
        <v>77.0064482673409</v>
      </c>
      <c r="AM90">
        <v>86.558317159719905</v>
      </c>
      <c r="AN90">
        <v>1.00000002710424</v>
      </c>
    </row>
    <row r="91" spans="1:40" x14ac:dyDescent="0.25">
      <c r="A91" t="str">
        <f>"20190303170717600"</f>
        <v>20190303170717600</v>
      </c>
      <c r="B91" t="str">
        <f>"1551604037592150"</f>
        <v>1551604037592150</v>
      </c>
      <c r="C91" t="s">
        <v>40</v>
      </c>
      <c r="D91">
        <v>3.6589610000000001</v>
      </c>
      <c r="E91">
        <v>0.4900794</v>
      </c>
      <c r="F91" t="s">
        <v>45</v>
      </c>
      <c r="G91">
        <v>0</v>
      </c>
      <c r="H91">
        <v>0</v>
      </c>
      <c r="I91">
        <v>0</v>
      </c>
      <c r="J91">
        <v>-462.65839999999997</v>
      </c>
      <c r="K91">
        <v>1.1195489999999999</v>
      </c>
      <c r="L91">
        <v>367.3811</v>
      </c>
      <c r="M91">
        <v>0.99968699999999999</v>
      </c>
      <c r="N91">
        <v>7.0086319999999999E-4</v>
      </c>
      <c r="O91">
        <v>2.5012050000000001E-2</v>
      </c>
      <c r="P91">
        <v>0.97327940000000002</v>
      </c>
      <c r="Q91">
        <v>0.22705069999999999</v>
      </c>
      <c r="R91">
        <v>-3.4283359999999999E-2</v>
      </c>
      <c r="S91">
        <v>2.6421199999999998</v>
      </c>
      <c r="T91">
        <v>1.8853519999999999</v>
      </c>
      <c r="U91">
        <v>-6.4422610000000005E-2</v>
      </c>
      <c r="V91">
        <v>5.8706750000000002E-2</v>
      </c>
      <c r="W91">
        <v>0.22634599999999999</v>
      </c>
      <c r="X91">
        <v>0.97227620000000003</v>
      </c>
      <c r="Y91">
        <v>3.5543760000000001E-2</v>
      </c>
      <c r="Z91">
        <v>2.7394060000000001E-2</v>
      </c>
      <c r="AA91">
        <v>0.99899260000000001</v>
      </c>
      <c r="AB91">
        <v>26</v>
      </c>
      <c r="AC91">
        <v>2.6421199999999998</v>
      </c>
      <c r="AD91">
        <v>1.8853519999999999</v>
      </c>
      <c r="AE91">
        <v>-6.4422610000000005E-2</v>
      </c>
      <c r="AF91">
        <v>8.6479152399362297E-2</v>
      </c>
      <c r="AG91">
        <v>1.8853519999999999</v>
      </c>
      <c r="AH91">
        <v>1.7494228412936701</v>
      </c>
      <c r="AI91">
        <v>42.8931793773842</v>
      </c>
      <c r="AJ91">
        <v>87.1700035658057</v>
      </c>
      <c r="AK91">
        <v>2.5734240003046001</v>
      </c>
      <c r="AL91">
        <v>76.917959592307895</v>
      </c>
      <c r="AM91">
        <v>86.544633967973297</v>
      </c>
      <c r="AN91">
        <v>1.000000001649</v>
      </c>
    </row>
    <row r="92" spans="1:40" x14ac:dyDescent="0.25">
      <c r="A92" t="str">
        <f>"20190303170717624"</f>
        <v>20190303170717624</v>
      </c>
      <c r="B92" t="str">
        <f>"1551604037611669"</f>
        <v>1551604037611669</v>
      </c>
      <c r="C92" t="s">
        <v>40</v>
      </c>
      <c r="D92">
        <v>3.7282570000000002</v>
      </c>
      <c r="E92">
        <v>0.48543599999999998</v>
      </c>
      <c r="F92" t="s">
        <v>45</v>
      </c>
      <c r="G92">
        <v>0</v>
      </c>
      <c r="H92">
        <v>0</v>
      </c>
      <c r="I92">
        <v>0</v>
      </c>
      <c r="J92">
        <v>-462.38889999999998</v>
      </c>
      <c r="K92">
        <v>1.119542</v>
      </c>
      <c r="L92">
        <v>367.38760000000002</v>
      </c>
      <c r="M92">
        <v>0.99969260000000004</v>
      </c>
      <c r="N92">
        <v>6.2397739999999998E-4</v>
      </c>
      <c r="O92">
        <v>2.4788959999999999E-2</v>
      </c>
      <c r="P92">
        <v>0.97336009999999995</v>
      </c>
      <c r="Q92">
        <v>0.22667809999999999</v>
      </c>
      <c r="R92">
        <v>-3.4460119999999997E-2</v>
      </c>
      <c r="S92">
        <v>2.6400760000000001</v>
      </c>
      <c r="T92">
        <v>1.8855900000000001</v>
      </c>
      <c r="U92">
        <v>-6.8695069999999997E-2</v>
      </c>
      <c r="V92">
        <v>5.8669489999999998E-2</v>
      </c>
      <c r="W92">
        <v>0.22604740000000001</v>
      </c>
      <c r="X92">
        <v>0.97234790000000004</v>
      </c>
      <c r="Y92">
        <v>3.6715659999999997E-2</v>
      </c>
      <c r="Z92">
        <v>2.7647089999999999E-2</v>
      </c>
      <c r="AA92">
        <v>0.99894329999999998</v>
      </c>
      <c r="AB92">
        <v>26</v>
      </c>
      <c r="AC92">
        <v>2.6400760000000001</v>
      </c>
      <c r="AD92">
        <v>1.8855900000000001</v>
      </c>
      <c r="AE92">
        <v>-6.8695069999999997E-2</v>
      </c>
      <c r="AF92">
        <v>8.8834317426755099E-2</v>
      </c>
      <c r="AG92">
        <v>1.8855900000000001</v>
      </c>
      <c r="AH92">
        <v>1.74700467440005</v>
      </c>
      <c r="AI92">
        <v>42.852080071803996</v>
      </c>
      <c r="AJ92">
        <v>87.089045350416001</v>
      </c>
      <c r="AK92">
        <v>2.5720354811760102</v>
      </c>
      <c r="AL92">
        <v>76.935523145569505</v>
      </c>
      <c r="AM92">
        <v>86.547075729121502</v>
      </c>
      <c r="AN92">
        <v>0.99999998736901496</v>
      </c>
    </row>
    <row r="93" spans="1:40" x14ac:dyDescent="0.25">
      <c r="A93" t="str">
        <f>"20190303170717735"</f>
        <v>20190303170717735</v>
      </c>
      <c r="B93" t="str">
        <f>"1551604037731757"</f>
        <v>1551604037731757</v>
      </c>
      <c r="C93" t="s">
        <v>40</v>
      </c>
      <c r="D93">
        <v>3.7195260000000001</v>
      </c>
      <c r="E93">
        <v>0.4920891</v>
      </c>
      <c r="F93" t="s">
        <v>45</v>
      </c>
      <c r="G93">
        <v>0</v>
      </c>
      <c r="H93">
        <v>0</v>
      </c>
      <c r="I93">
        <v>0</v>
      </c>
      <c r="J93">
        <v>-461.04340000000002</v>
      </c>
      <c r="K93">
        <v>1.119537</v>
      </c>
      <c r="L93">
        <v>367.41930000000002</v>
      </c>
      <c r="M93">
        <v>0.99971969999999999</v>
      </c>
      <c r="N93">
        <v>2.3657999999999999E-4</v>
      </c>
      <c r="O93">
        <v>2.3675370000000001E-2</v>
      </c>
      <c r="P93">
        <v>0.97324069999999996</v>
      </c>
      <c r="Q93">
        <v>0.2266435</v>
      </c>
      <c r="R93">
        <v>-3.7884340000000002E-2</v>
      </c>
      <c r="S93">
        <v>2.6904910000000002</v>
      </c>
      <c r="T93">
        <v>1.6776340000000001</v>
      </c>
      <c r="U93">
        <v>-2.633667E-2</v>
      </c>
      <c r="V93">
        <v>6.1013320000000003E-2</v>
      </c>
      <c r="W93">
        <v>0.22638739999999999</v>
      </c>
      <c r="X93">
        <v>0.97212449999999995</v>
      </c>
      <c r="Y93">
        <v>2.48087E-2</v>
      </c>
      <c r="Z93">
        <v>2.065109E-2</v>
      </c>
      <c r="AA93">
        <v>0.99947889999999995</v>
      </c>
      <c r="AB93">
        <v>27</v>
      </c>
      <c r="AC93">
        <v>2.6904910000000002</v>
      </c>
      <c r="AD93">
        <v>1.6776340000000001</v>
      </c>
      <c r="AE93">
        <v>-2.633667E-2</v>
      </c>
      <c r="AF93">
        <v>6.4825588169229106E-2</v>
      </c>
      <c r="AG93">
        <v>1.6776340000000001</v>
      </c>
      <c r="AH93">
        <v>1.93633109340476</v>
      </c>
      <c r="AI93">
        <v>49.110279527633303</v>
      </c>
      <c r="AJ93">
        <v>88.082535628059205</v>
      </c>
      <c r="AK93">
        <v>2.5628180384341701</v>
      </c>
      <c r="AL93">
        <v>76.9155238022676</v>
      </c>
      <c r="AM93">
        <v>86.408663346112604</v>
      </c>
      <c r="AN93">
        <v>0.99999996179821504</v>
      </c>
    </row>
    <row r="94" spans="1:40" x14ac:dyDescent="0.25">
      <c r="A94" t="str">
        <f>"20190303170717757"</f>
        <v>20190303170717757</v>
      </c>
      <c r="B94" t="str">
        <f>"1551604037752252"</f>
        <v>1551604037752252</v>
      </c>
      <c r="C94" t="s">
        <v>40</v>
      </c>
      <c r="D94">
        <v>3.7802009999999999</v>
      </c>
      <c r="E94">
        <v>0.49000179999999999</v>
      </c>
      <c r="F94" t="s">
        <v>44</v>
      </c>
      <c r="G94">
        <v>-158.19499999999999</v>
      </c>
      <c r="H94">
        <v>60.991579999999999</v>
      </c>
      <c r="I94">
        <v>362.62099999999998</v>
      </c>
      <c r="J94">
        <v>-460.7801</v>
      </c>
      <c r="K94">
        <v>1.119529</v>
      </c>
      <c r="L94">
        <v>367.42529999999999</v>
      </c>
      <c r="M94">
        <v>0.99972499999999997</v>
      </c>
      <c r="N94">
        <v>1.6006540000000001E-4</v>
      </c>
      <c r="O94">
        <v>2.3457990000000001E-2</v>
      </c>
      <c r="P94">
        <v>0.97345990000000004</v>
      </c>
      <c r="Q94">
        <v>0.2258163</v>
      </c>
      <c r="R94">
        <v>-3.7189180000000002E-2</v>
      </c>
      <c r="S94">
        <v>2.945068</v>
      </c>
      <c r="T94">
        <v>0.58223019999999903</v>
      </c>
      <c r="U94">
        <v>-4.6661380000000002E-2</v>
      </c>
      <c r="V94">
        <v>6.0113060000000003E-2</v>
      </c>
      <c r="W94">
        <v>0.22563449999999999</v>
      </c>
      <c r="X94">
        <v>0.97235570000000004</v>
      </c>
      <c r="Y94">
        <v>3.8101509999999998E-2</v>
      </c>
      <c r="Z94">
        <v>8.3220329999999995E-3</v>
      </c>
      <c r="AA94">
        <v>0.99923919999999999</v>
      </c>
      <c r="AB94">
        <v>27</v>
      </c>
      <c r="AC94">
        <v>302.58510000000001</v>
      </c>
      <c r="AD94">
        <v>59.872050999999999</v>
      </c>
      <c r="AE94">
        <v>-4.8043000000000102</v>
      </c>
      <c r="AF94">
        <v>11.452731419309201</v>
      </c>
      <c r="AG94">
        <v>59.872050999999999</v>
      </c>
      <c r="AH94">
        <v>290.99884120208998</v>
      </c>
      <c r="AI94">
        <v>78.382571667269701</v>
      </c>
      <c r="AJ94">
        <v>87.746194851008497</v>
      </c>
      <c r="AK94">
        <v>297.314905662108</v>
      </c>
      <c r="AL94">
        <v>76.959808922132396</v>
      </c>
      <c r="AM94">
        <v>86.462357593969799</v>
      </c>
      <c r="AN94">
        <v>1.00000005744765</v>
      </c>
    </row>
    <row r="95" spans="1:40" x14ac:dyDescent="0.25">
      <c r="A95" t="str">
        <f>"20190303170717779"</f>
        <v>20190303170717779</v>
      </c>
      <c r="B95" t="str">
        <f>"1551604037772748"</f>
        <v>1551604037772748</v>
      </c>
      <c r="C95" t="s">
        <v>40</v>
      </c>
      <c r="D95">
        <v>3.7826179999999998</v>
      </c>
      <c r="E95">
        <v>0.49035869999999998</v>
      </c>
      <c r="F95" t="s">
        <v>44</v>
      </c>
      <c r="G95">
        <v>-158.19499999999999</v>
      </c>
      <c r="H95">
        <v>30.553039999999999</v>
      </c>
      <c r="I95">
        <v>365.69380000000001</v>
      </c>
      <c r="J95">
        <v>-460.49259999999998</v>
      </c>
      <c r="K95">
        <v>1.1195280000000001</v>
      </c>
      <c r="L95">
        <v>367.43180000000001</v>
      </c>
      <c r="M95">
        <v>0.99973040000000002</v>
      </c>
      <c r="N95" s="1">
        <v>7.6453909999999896E-5</v>
      </c>
      <c r="O95">
        <v>2.3221039999999998E-2</v>
      </c>
      <c r="P95">
        <v>0.97393859999999999</v>
      </c>
      <c r="Q95">
        <v>0.22377150000000001</v>
      </c>
      <c r="R95">
        <v>-3.701459E-2</v>
      </c>
      <c r="S95">
        <v>3.0131839999999999</v>
      </c>
      <c r="T95">
        <v>0.29310370000000002</v>
      </c>
      <c r="U95">
        <v>-1.724243E-2</v>
      </c>
      <c r="V95">
        <v>5.9719790000000002E-2</v>
      </c>
      <c r="W95">
        <v>0.22367029999999999</v>
      </c>
      <c r="X95">
        <v>0.97283359999999997</v>
      </c>
      <c r="Y95">
        <v>2.8696389999999999E-2</v>
      </c>
      <c r="Z95">
        <v>3.6450810000000001E-3</v>
      </c>
      <c r="AA95">
        <v>0.99958150000000001</v>
      </c>
      <c r="AB95">
        <v>28</v>
      </c>
      <c r="AC95">
        <v>302.29759999999999</v>
      </c>
      <c r="AD95">
        <v>29.433512</v>
      </c>
      <c r="AE95">
        <v>-1.73799999999999</v>
      </c>
      <c r="AF95">
        <v>8.6749585976942498</v>
      </c>
      <c r="AG95">
        <v>29.433512</v>
      </c>
      <c r="AH95">
        <v>299.33805587954998</v>
      </c>
      <c r="AI95">
        <v>84.386576386673894</v>
      </c>
      <c r="AJ95">
        <v>88.340005801040704</v>
      </c>
      <c r="AK95">
        <v>300.90672679930998</v>
      </c>
      <c r="AL95">
        <v>77.0753011179617</v>
      </c>
      <c r="AM95">
        <v>86.487165443979293</v>
      </c>
      <c r="AN95">
        <v>1.0000000348543401</v>
      </c>
    </row>
    <row r="96" spans="1:40" x14ac:dyDescent="0.25">
      <c r="A96" t="str">
        <f>"20190303170717803"</f>
        <v>20190303170717803</v>
      </c>
      <c r="B96" t="str">
        <f>"1551604037792268"</f>
        <v>1551604037792268</v>
      </c>
      <c r="C96" t="s">
        <v>40</v>
      </c>
      <c r="D96">
        <v>3.8104840000000002</v>
      </c>
      <c r="E96">
        <v>0.49035869999999998</v>
      </c>
      <c r="F96" t="s">
        <v>44</v>
      </c>
      <c r="G96">
        <v>-158.19499999999999</v>
      </c>
      <c r="H96">
        <v>23.02178</v>
      </c>
      <c r="I96">
        <v>365.69290000000001</v>
      </c>
      <c r="J96">
        <v>-460.21120000000002</v>
      </c>
      <c r="K96">
        <v>1.119534</v>
      </c>
      <c r="L96">
        <v>367.43810000000002</v>
      </c>
      <c r="M96">
        <v>0.99973590000000001</v>
      </c>
      <c r="N96" s="1">
        <v>-5.5005659999999998E-6</v>
      </c>
      <c r="O96">
        <v>2.2989099999999998E-2</v>
      </c>
      <c r="P96">
        <v>0.97379400000000005</v>
      </c>
      <c r="Q96">
        <v>0.22440950000000001</v>
      </c>
      <c r="R96">
        <v>-3.6955420000000003E-2</v>
      </c>
      <c r="S96">
        <v>3.0292050000000001</v>
      </c>
      <c r="T96">
        <v>0.21947469999999999</v>
      </c>
      <c r="U96">
        <v>-1.742554E-2</v>
      </c>
      <c r="V96">
        <v>5.943346E-2</v>
      </c>
      <c r="W96">
        <v>0.2243879</v>
      </c>
      <c r="X96">
        <v>0.97268589999999999</v>
      </c>
      <c r="Y96">
        <v>2.8604379999999999E-2</v>
      </c>
      <c r="Z96">
        <v>2.6982680000000002E-3</v>
      </c>
      <c r="AA96">
        <v>0.99958720000000001</v>
      </c>
      <c r="AB96">
        <v>28</v>
      </c>
      <c r="AC96">
        <v>302.01620000000003</v>
      </c>
      <c r="AD96">
        <v>21.902246000000002</v>
      </c>
      <c r="AE96">
        <v>-1.7452000000000101</v>
      </c>
      <c r="AF96">
        <v>8.6423679906690705</v>
      </c>
      <c r="AG96">
        <v>21.902246000000002</v>
      </c>
      <c r="AH96">
        <v>300.31689783166701</v>
      </c>
      <c r="AI96">
        <v>85.830498046777294</v>
      </c>
      <c r="AJ96">
        <v>88.351625928274601</v>
      </c>
      <c r="AK96">
        <v>301.23850688045599</v>
      </c>
      <c r="AL96">
        <v>77.033113728353896</v>
      </c>
      <c r="AM96">
        <v>86.503436512440501</v>
      </c>
      <c r="AN96">
        <v>1.0000000629463901</v>
      </c>
    </row>
    <row r="97" spans="1:40" x14ac:dyDescent="0.25">
      <c r="A97" t="str">
        <f>"20190303170717827"</f>
        <v>20190303170717827</v>
      </c>
      <c r="B97" t="str">
        <f>"1551604037822524"</f>
        <v>1551604037822524</v>
      </c>
      <c r="C97" t="s">
        <v>40</v>
      </c>
      <c r="D97">
        <v>3.8066499999999999</v>
      </c>
      <c r="E97">
        <v>0.48999470000000001</v>
      </c>
      <c r="F97" t="s">
        <v>44</v>
      </c>
      <c r="G97">
        <v>-158.19499999999999</v>
      </c>
      <c r="H97">
        <v>19.960519999999999</v>
      </c>
      <c r="I97">
        <v>365.79910000000001</v>
      </c>
      <c r="J97">
        <v>-459.88979999999998</v>
      </c>
      <c r="K97">
        <v>1.119548</v>
      </c>
      <c r="L97">
        <v>367.44529999999997</v>
      </c>
      <c r="M97">
        <v>0.99974189999999996</v>
      </c>
      <c r="N97" s="1">
        <v>-9.9202689999999997E-5</v>
      </c>
      <c r="O97">
        <v>2.272443E-2</v>
      </c>
      <c r="P97">
        <v>0.97338519999999995</v>
      </c>
      <c r="Q97">
        <v>0.22618379999999999</v>
      </c>
      <c r="R97">
        <v>-3.6915539999999997E-2</v>
      </c>
      <c r="S97">
        <v>3.03653</v>
      </c>
      <c r="T97">
        <v>0.18943180000000001</v>
      </c>
      <c r="U97">
        <v>-1.6479489999999999E-2</v>
      </c>
      <c r="V97">
        <v>5.9128849999999997E-2</v>
      </c>
      <c r="W97">
        <v>0.2262536</v>
      </c>
      <c r="X97">
        <v>0.97227209999999997</v>
      </c>
      <c r="Y97">
        <v>2.805094E-2</v>
      </c>
      <c r="Z97">
        <v>2.291164E-3</v>
      </c>
      <c r="AA97">
        <v>0.99960389999999999</v>
      </c>
      <c r="AB97">
        <v>28</v>
      </c>
      <c r="AC97">
        <v>301.69479999999999</v>
      </c>
      <c r="AD97">
        <v>18.840972000000001</v>
      </c>
      <c r="AE97">
        <v>-1.6461999999999599</v>
      </c>
      <c r="AF97">
        <v>8.4685893494263205</v>
      </c>
      <c r="AG97">
        <v>18.840972000000001</v>
      </c>
      <c r="AH97">
        <v>300.40791035117297</v>
      </c>
      <c r="AI97">
        <v>86.412647481236704</v>
      </c>
      <c r="AJ97">
        <v>88.385242397057098</v>
      </c>
      <c r="AK97">
        <v>301.117272558438</v>
      </c>
      <c r="AL97">
        <v>76.923394359816697</v>
      </c>
      <c r="AM97">
        <v>86.519836180310307</v>
      </c>
      <c r="AN97">
        <v>0.99999997442684496</v>
      </c>
    </row>
    <row r="98" spans="1:40" x14ac:dyDescent="0.25">
      <c r="A98" t="str">
        <f>"20190303170717846"</f>
        <v>20190303170717846</v>
      </c>
      <c r="B98" t="str">
        <f>"1551604037831813"</f>
        <v>1551604037831813</v>
      </c>
      <c r="C98" t="s">
        <v>40</v>
      </c>
      <c r="D98">
        <v>3.8526729999999998</v>
      </c>
      <c r="E98">
        <v>0.48977860000000001</v>
      </c>
      <c r="F98" t="s">
        <v>44</v>
      </c>
      <c r="G98">
        <v>-158.19499999999999</v>
      </c>
      <c r="H98">
        <v>18.55518</v>
      </c>
      <c r="I98">
        <v>366.21289999999999</v>
      </c>
      <c r="J98">
        <v>-459.6576</v>
      </c>
      <c r="K98">
        <v>1.1195569999999999</v>
      </c>
      <c r="L98">
        <v>367.4504</v>
      </c>
      <c r="M98">
        <v>0.99974609999999997</v>
      </c>
      <c r="N98">
        <v>-1.6730219999999999E-4</v>
      </c>
      <c r="O98">
        <v>2.2533379999999999E-2</v>
      </c>
      <c r="P98">
        <v>0.97329330000000003</v>
      </c>
      <c r="Q98">
        <v>0.22660959999999999</v>
      </c>
      <c r="R98">
        <v>-3.6718590000000002E-2</v>
      </c>
      <c r="S98">
        <v>3.0407099999999998</v>
      </c>
      <c r="T98">
        <v>0.17573050000000001</v>
      </c>
      <c r="U98">
        <v>-1.242065E-2</v>
      </c>
      <c r="V98">
        <v>5.8745369999999998E-2</v>
      </c>
      <c r="W98">
        <v>0.22674549999999999</v>
      </c>
      <c r="X98">
        <v>0.97218079999999996</v>
      </c>
      <c r="Y98">
        <v>2.6534950000000002E-2</v>
      </c>
      <c r="Z98">
        <v>2.0687679999999999E-3</v>
      </c>
      <c r="AA98">
        <v>0.99964580000000003</v>
      </c>
      <c r="AB98">
        <v>28</v>
      </c>
      <c r="AC98">
        <v>301.46260000000001</v>
      </c>
      <c r="AD98">
        <v>17.435623</v>
      </c>
      <c r="AE98">
        <v>-1.23750000000001</v>
      </c>
      <c r="AF98">
        <v>8.0033854403419493</v>
      </c>
      <c r="AG98">
        <v>17.435623</v>
      </c>
      <c r="AH98">
        <v>300.35347785593501</v>
      </c>
      <c r="AI98">
        <v>86.678864993411494</v>
      </c>
      <c r="AJ98">
        <v>88.473626058288602</v>
      </c>
      <c r="AK98">
        <v>300.96555747802802</v>
      </c>
      <c r="AL98">
        <v>76.894459222367701</v>
      </c>
      <c r="AM98">
        <v>86.542027908261204</v>
      </c>
      <c r="AN98">
        <v>1.0000000240776601</v>
      </c>
    </row>
    <row r="99" spans="1:40" x14ac:dyDescent="0.25">
      <c r="A99" t="str">
        <f>"20190303170717869"</f>
        <v>20190303170717869</v>
      </c>
      <c r="B99" t="str">
        <f>"1551604037862069"</f>
        <v>1551604037862069</v>
      </c>
      <c r="C99" t="s">
        <v>40</v>
      </c>
      <c r="D99">
        <v>3.8748719999999999</v>
      </c>
      <c r="E99">
        <v>0.48954639999999999</v>
      </c>
      <c r="F99" t="s">
        <v>44</v>
      </c>
      <c r="G99">
        <v>-158.19499999999999</v>
      </c>
      <c r="H99">
        <v>18.287430000000001</v>
      </c>
      <c r="I99">
        <v>366.47649999999999</v>
      </c>
      <c r="J99">
        <v>-459.36259999999999</v>
      </c>
      <c r="K99">
        <v>1.1195569999999999</v>
      </c>
      <c r="L99">
        <v>367.45679999999999</v>
      </c>
      <c r="M99">
        <v>0.99975159999999996</v>
      </c>
      <c r="N99">
        <v>-2.5372980000000001E-4</v>
      </c>
      <c r="O99">
        <v>2.2290339999999999E-2</v>
      </c>
      <c r="P99">
        <v>0.97347600000000001</v>
      </c>
      <c r="Q99">
        <v>0.22582169999999999</v>
      </c>
      <c r="R99">
        <v>-3.6733219999999997E-2</v>
      </c>
      <c r="S99">
        <v>3.041687</v>
      </c>
      <c r="T99">
        <v>0.1732206</v>
      </c>
      <c r="U99">
        <v>-9.8266599999999992E-3</v>
      </c>
      <c r="V99">
        <v>5.8528579999999997E-2</v>
      </c>
      <c r="W99">
        <v>0.2260414</v>
      </c>
      <c r="X99">
        <v>0.97235780000000005</v>
      </c>
      <c r="Y99">
        <v>2.5442590000000001E-2</v>
      </c>
      <c r="Z99">
        <v>1.9946080000000001E-3</v>
      </c>
      <c r="AA99">
        <v>0.99967430000000002</v>
      </c>
      <c r="AB99">
        <v>28</v>
      </c>
      <c r="AC99">
        <v>301.16759999999999</v>
      </c>
      <c r="AD99">
        <v>17.167873</v>
      </c>
      <c r="AE99">
        <v>-0.98029999999999895</v>
      </c>
      <c r="AF99">
        <v>7.6682664643849296</v>
      </c>
      <c r="AG99">
        <v>17.167873</v>
      </c>
      <c r="AH99">
        <v>300.09576978730502</v>
      </c>
      <c r="AI99">
        <v>86.726859018217397</v>
      </c>
      <c r="AJ99">
        <v>88.536254886372106</v>
      </c>
      <c r="AK99">
        <v>300.68423506753402</v>
      </c>
      <c r="AL99">
        <v>76.935876225265005</v>
      </c>
      <c r="AM99">
        <v>86.555383816594599</v>
      </c>
      <c r="AN99">
        <v>1.0000000002058</v>
      </c>
    </row>
    <row r="100" spans="1:40" x14ac:dyDescent="0.25">
      <c r="A100" t="str">
        <f>"20190303170717893"</f>
        <v>20190303170717893</v>
      </c>
      <c r="B100" t="str">
        <f>"1551604037882566"</f>
        <v>1551604037882566</v>
      </c>
      <c r="C100" t="s">
        <v>40</v>
      </c>
      <c r="D100">
        <v>3.9041109999999999</v>
      </c>
      <c r="E100">
        <v>0.489597</v>
      </c>
      <c r="F100" t="s">
        <v>44</v>
      </c>
      <c r="G100">
        <v>-158.19499999999999</v>
      </c>
      <c r="H100">
        <v>17.158379999999902</v>
      </c>
      <c r="I100">
        <v>366.61439999999999</v>
      </c>
      <c r="J100">
        <v>-459.05520000000001</v>
      </c>
      <c r="K100">
        <v>1.1195600000000001</v>
      </c>
      <c r="L100">
        <v>367.46339999999998</v>
      </c>
      <c r="M100">
        <v>0.99975709999999995</v>
      </c>
      <c r="N100">
        <v>-3.4377529999999999E-4</v>
      </c>
      <c r="O100">
        <v>2.203722E-2</v>
      </c>
      <c r="P100">
        <v>0.97377829999999999</v>
      </c>
      <c r="Q100">
        <v>0.2245568</v>
      </c>
      <c r="R100">
        <v>-3.6472640000000001E-2</v>
      </c>
      <c r="S100">
        <v>3.0438540000000001</v>
      </c>
      <c r="T100">
        <v>0.16210269999999999</v>
      </c>
      <c r="U100">
        <v>-8.5144039999999997E-3</v>
      </c>
      <c r="V100">
        <v>5.8029070000000002E-2</v>
      </c>
      <c r="W100">
        <v>0.22486419999999999</v>
      </c>
      <c r="X100">
        <v>0.97266070000000004</v>
      </c>
      <c r="Y100">
        <v>2.47672E-2</v>
      </c>
      <c r="Z100">
        <v>1.835054E-3</v>
      </c>
      <c r="AA100">
        <v>0.99969149999999996</v>
      </c>
      <c r="AB100">
        <v>29</v>
      </c>
      <c r="AC100">
        <v>300.86020000000002</v>
      </c>
      <c r="AD100">
        <v>16.038819999999902</v>
      </c>
      <c r="AE100">
        <v>-0.84899999999998899</v>
      </c>
      <c r="AF100">
        <v>7.4577223235263599</v>
      </c>
      <c r="AG100">
        <v>16.038819999999902</v>
      </c>
      <c r="AH100">
        <v>299.91608917553401</v>
      </c>
      <c r="AI100">
        <v>86.939814053802493</v>
      </c>
      <c r="AJ100">
        <v>88.575574990737493</v>
      </c>
      <c r="AK100">
        <v>300.43721792679798</v>
      </c>
      <c r="AL100">
        <v>77.005108019175495</v>
      </c>
      <c r="AM100">
        <v>86.585772932441202</v>
      </c>
      <c r="AN100">
        <v>1.00000005936559</v>
      </c>
    </row>
    <row r="101" spans="1:40" x14ac:dyDescent="0.25">
      <c r="A101" t="str">
        <f>"20190303170717916"</f>
        <v>20190303170717916</v>
      </c>
      <c r="B101" t="str">
        <f>"1551604037911846"</f>
        <v>1551604037911846</v>
      </c>
      <c r="C101" t="s">
        <v>40</v>
      </c>
      <c r="D101">
        <v>3.9363929999999998</v>
      </c>
      <c r="E101">
        <v>0.4897087</v>
      </c>
      <c r="F101" t="s">
        <v>44</v>
      </c>
      <c r="G101">
        <v>-158.19499999999999</v>
      </c>
      <c r="H101">
        <v>16.33267</v>
      </c>
      <c r="I101">
        <v>366.65530000000001</v>
      </c>
      <c r="J101">
        <v>-458.74919999999997</v>
      </c>
      <c r="K101">
        <v>1.1195550000000001</v>
      </c>
      <c r="L101">
        <v>367.4699</v>
      </c>
      <c r="M101">
        <v>0.9997625</v>
      </c>
      <c r="N101">
        <v>-4.33478E-4</v>
      </c>
      <c r="O101">
        <v>2.1785949999999998E-2</v>
      </c>
      <c r="P101">
        <v>0.97411340000000002</v>
      </c>
      <c r="Q101">
        <v>0.2231175</v>
      </c>
      <c r="R101">
        <v>-3.6356850000000003E-2</v>
      </c>
      <c r="S101">
        <v>3.0449519999999999</v>
      </c>
      <c r="T101">
        <v>0.15397</v>
      </c>
      <c r="U101">
        <v>-8.178711E-3</v>
      </c>
      <c r="V101">
        <v>5.7676819999999997E-2</v>
      </c>
      <c r="W101">
        <v>0.22351190000000001</v>
      </c>
      <c r="X101">
        <v>0.97299329999999995</v>
      </c>
      <c r="Y101">
        <v>2.441198E-2</v>
      </c>
      <c r="Z101">
        <v>1.7218100000000001E-3</v>
      </c>
      <c r="AA101">
        <v>0.99970049999999999</v>
      </c>
      <c r="AB101">
        <v>29</v>
      </c>
      <c r="AC101">
        <v>300.55419999999998</v>
      </c>
      <c r="AD101">
        <v>15.213115</v>
      </c>
      <c r="AE101">
        <v>-0.814599999999984</v>
      </c>
      <c r="AF101">
        <v>7.3434521816958398</v>
      </c>
      <c r="AG101">
        <v>15.213115</v>
      </c>
      <c r="AH101">
        <v>299.69727976903198</v>
      </c>
      <c r="AI101">
        <v>87.094938953563201</v>
      </c>
      <c r="AJ101">
        <v>88.596368165362307</v>
      </c>
      <c r="AK101">
        <v>300.17299122157101</v>
      </c>
      <c r="AL101">
        <v>77.084613011952499</v>
      </c>
      <c r="AM101">
        <v>86.607606818334503</v>
      </c>
      <c r="AN101">
        <v>1.0000000734259</v>
      </c>
    </row>
    <row r="102" spans="1:40" x14ac:dyDescent="0.25">
      <c r="A102" t="str">
        <f>"20190303170717938"</f>
        <v>20190303170717938</v>
      </c>
      <c r="B102" t="str">
        <f>"1551604037931873"</f>
        <v>1551604037931873</v>
      </c>
      <c r="C102" t="s">
        <v>40</v>
      </c>
      <c r="D102">
        <v>3.9504329999999999</v>
      </c>
      <c r="E102">
        <v>0.48976130000000001</v>
      </c>
      <c r="F102" t="s">
        <v>44</v>
      </c>
      <c r="G102">
        <v>-158.19499999999999</v>
      </c>
      <c r="H102">
        <v>15.45721</v>
      </c>
      <c r="I102">
        <v>366.57560000000001</v>
      </c>
      <c r="J102">
        <v>-458.45979999999997</v>
      </c>
      <c r="K102">
        <v>1.1195550000000001</v>
      </c>
      <c r="L102">
        <v>367.476</v>
      </c>
      <c r="M102">
        <v>0.99976779999999998</v>
      </c>
      <c r="N102">
        <v>-5.1860589999999998E-4</v>
      </c>
      <c r="O102">
        <v>2.1548080000000001E-2</v>
      </c>
      <c r="P102">
        <v>0.97432949999999996</v>
      </c>
      <c r="Q102">
        <v>0.22222210000000001</v>
      </c>
      <c r="R102">
        <v>-3.6049619999999997E-2</v>
      </c>
      <c r="S102">
        <v>3.046173</v>
      </c>
      <c r="T102">
        <v>0.14531559999999999</v>
      </c>
      <c r="U102">
        <v>-9.0637210000000003E-3</v>
      </c>
      <c r="V102">
        <v>5.7143779999999998E-2</v>
      </c>
      <c r="W102">
        <v>0.22269939999999999</v>
      </c>
      <c r="X102">
        <v>0.97321100000000005</v>
      </c>
      <c r="Y102">
        <v>2.4470169999999999E-2</v>
      </c>
      <c r="Z102">
        <v>1.615453E-3</v>
      </c>
      <c r="AA102">
        <v>0.99969920000000001</v>
      </c>
      <c r="AB102">
        <v>29</v>
      </c>
      <c r="AC102">
        <v>300.26479999999998</v>
      </c>
      <c r="AD102">
        <v>14.3376549999999</v>
      </c>
      <c r="AE102">
        <v>-0.90039999999998999</v>
      </c>
      <c r="AF102">
        <v>7.35355451734958</v>
      </c>
      <c r="AG102">
        <v>14.3376549999999</v>
      </c>
      <c r="AH102">
        <v>299.49282333033301</v>
      </c>
      <c r="AI102">
        <v>87.259989555740006</v>
      </c>
      <c r="AJ102">
        <v>88.593478815414997</v>
      </c>
      <c r="AK102">
        <v>299.92598143760898</v>
      </c>
      <c r="AL102">
        <v>77.132369164070099</v>
      </c>
      <c r="AM102">
        <v>86.639636697529497</v>
      </c>
      <c r="AN102">
        <v>1.0000000424370199</v>
      </c>
    </row>
    <row r="103" spans="1:40" x14ac:dyDescent="0.25">
      <c r="A103" t="str">
        <f>"20190303170717961"</f>
        <v>20190303170717961</v>
      </c>
      <c r="B103" t="str">
        <f>"1551604037952370"</f>
        <v>1551604037952370</v>
      </c>
      <c r="C103" t="s">
        <v>40</v>
      </c>
      <c r="D103">
        <v>3.9872459999999998</v>
      </c>
      <c r="E103">
        <v>0.48979630000000002</v>
      </c>
      <c r="F103" t="s">
        <v>44</v>
      </c>
      <c r="G103">
        <v>-170.08879999999999</v>
      </c>
      <c r="H103">
        <v>14.36791</v>
      </c>
      <c r="I103">
        <v>366.6182</v>
      </c>
      <c r="J103">
        <v>-458.16410000000002</v>
      </c>
      <c r="K103">
        <v>1.119553</v>
      </c>
      <c r="L103">
        <v>367.4821</v>
      </c>
      <c r="M103">
        <v>0.99977300000000002</v>
      </c>
      <c r="N103">
        <v>-6.0556650000000004E-4</v>
      </c>
      <c r="O103">
        <v>2.130276E-2</v>
      </c>
      <c r="P103">
        <v>0.97458540000000005</v>
      </c>
      <c r="Q103">
        <v>0.22118409999999999</v>
      </c>
      <c r="R103">
        <v>-3.551257E-2</v>
      </c>
      <c r="S103">
        <v>3.0468139999999999</v>
      </c>
      <c r="T103">
        <v>0.13997770000000001</v>
      </c>
      <c r="U103">
        <v>-9.0637210000000003E-3</v>
      </c>
      <c r="V103">
        <v>5.6374750000000001E-2</v>
      </c>
      <c r="W103">
        <v>0.22174630000000001</v>
      </c>
      <c r="X103">
        <v>0.97347340000000004</v>
      </c>
      <c r="Y103">
        <v>2.422852E-2</v>
      </c>
      <c r="Z103">
        <v>1.5399490000000001E-3</v>
      </c>
      <c r="AA103">
        <v>0.99970530000000002</v>
      </c>
      <c r="AB103">
        <v>29</v>
      </c>
      <c r="AC103">
        <v>288.07530000000003</v>
      </c>
      <c r="AD103">
        <v>13.248357</v>
      </c>
      <c r="AE103">
        <v>-0.863900000000001</v>
      </c>
      <c r="AF103">
        <v>6.9857286271283403</v>
      </c>
      <c r="AG103">
        <v>13.248357</v>
      </c>
      <c r="AH103">
        <v>287.38371038073802</v>
      </c>
      <c r="AI103">
        <v>87.361318043578194</v>
      </c>
      <c r="AJ103">
        <v>88.607527334065793</v>
      </c>
      <c r="AK103">
        <v>287.773724234599</v>
      </c>
      <c r="AL103">
        <v>77.188377639125804</v>
      </c>
      <c r="AM103">
        <v>86.685649896434796</v>
      </c>
      <c r="AN103">
        <v>0.99999999725440603</v>
      </c>
    </row>
    <row r="104" spans="1:40" x14ac:dyDescent="0.25">
      <c r="A104" t="str">
        <f>"20190303170717982"</f>
        <v>20190303170717982</v>
      </c>
      <c r="B104" t="str">
        <f>"1551604037971891"</f>
        <v>1551604037971891</v>
      </c>
      <c r="C104" t="s">
        <v>40</v>
      </c>
      <c r="D104">
        <v>4.0163349999999998</v>
      </c>
      <c r="E104">
        <v>0.48980299999999999</v>
      </c>
      <c r="F104" t="s">
        <v>44</v>
      </c>
      <c r="G104">
        <v>-170.08879999999999</v>
      </c>
      <c r="H104">
        <v>13.76737</v>
      </c>
      <c r="I104">
        <v>366.83019999999999</v>
      </c>
      <c r="J104">
        <v>-457.88490000000002</v>
      </c>
      <c r="K104">
        <v>1.119537</v>
      </c>
      <c r="L104">
        <v>367.48790000000002</v>
      </c>
      <c r="M104">
        <v>0.99977800000000006</v>
      </c>
      <c r="N104">
        <v>-6.8770289999999998E-4</v>
      </c>
      <c r="O104">
        <v>2.1064820000000001E-2</v>
      </c>
      <c r="P104">
        <v>0.97498450000000003</v>
      </c>
      <c r="Q104">
        <v>0.21947949999999999</v>
      </c>
      <c r="R104">
        <v>-3.513554E-2</v>
      </c>
      <c r="S104">
        <v>3.0476070000000002</v>
      </c>
      <c r="T104">
        <v>0.1338047</v>
      </c>
      <c r="U104">
        <v>-6.8969729999999998E-3</v>
      </c>
      <c r="V104">
        <v>5.577679E-2</v>
      </c>
      <c r="W104">
        <v>0.22012139999999999</v>
      </c>
      <c r="X104">
        <v>0.97387650000000003</v>
      </c>
      <c r="Y104">
        <v>2.3284329999999999E-2</v>
      </c>
      <c r="Z104">
        <v>1.441725E-3</v>
      </c>
      <c r="AA104">
        <v>0.99972780000000006</v>
      </c>
      <c r="AB104">
        <v>29</v>
      </c>
      <c r="AC104">
        <v>287.79610000000002</v>
      </c>
      <c r="AD104">
        <v>12.647833</v>
      </c>
      <c r="AE104">
        <v>-0.65770000000003304</v>
      </c>
      <c r="AF104">
        <v>6.7069742962050896</v>
      </c>
      <c r="AG104">
        <v>12.647833</v>
      </c>
      <c r="AH104">
        <v>287.163774454681</v>
      </c>
      <c r="AI104">
        <v>87.478782899276496</v>
      </c>
      <c r="AJ104">
        <v>88.662047575333503</v>
      </c>
      <c r="AK104">
        <v>287.52040717636902</v>
      </c>
      <c r="AL104">
        <v>77.283835973888699</v>
      </c>
      <c r="AM104">
        <v>86.722082038793801</v>
      </c>
      <c r="AN104">
        <v>0.99999995914645601</v>
      </c>
    </row>
    <row r="105" spans="1:40" x14ac:dyDescent="0.25">
      <c r="A105" t="str">
        <f>"20190303170718004"</f>
        <v>20190303170718004</v>
      </c>
      <c r="B105" t="str">
        <f>"1551604037992386"</f>
        <v>1551604037992386</v>
      </c>
      <c r="C105" t="s">
        <v>40</v>
      </c>
      <c r="D105">
        <v>4.0685339999999997</v>
      </c>
      <c r="E105">
        <v>0.48978270000000002</v>
      </c>
      <c r="F105" t="s">
        <v>44</v>
      </c>
      <c r="G105">
        <v>-170.08879999999999</v>
      </c>
      <c r="H105">
        <v>13.096360000000001</v>
      </c>
      <c r="I105">
        <v>366.88850000000002</v>
      </c>
      <c r="J105">
        <v>-457.59309999999999</v>
      </c>
      <c r="K105">
        <v>1.119523</v>
      </c>
      <c r="L105">
        <v>367.49369999999999</v>
      </c>
      <c r="M105">
        <v>0.99978330000000004</v>
      </c>
      <c r="N105">
        <v>-7.7354259999999999E-4</v>
      </c>
      <c r="O105">
        <v>2.0805230000000001E-2</v>
      </c>
      <c r="P105">
        <v>0.97542740000000006</v>
      </c>
      <c r="Q105">
        <v>0.21766720000000001</v>
      </c>
      <c r="R105">
        <v>-3.4098829999999997E-2</v>
      </c>
      <c r="S105">
        <v>3.0481569999999998</v>
      </c>
      <c r="T105">
        <v>0.12685189999999999</v>
      </c>
      <c r="U105">
        <v>-6.3476560000000001E-3</v>
      </c>
      <c r="V105">
        <v>5.4500970000000003E-2</v>
      </c>
      <c r="W105">
        <v>0.21839259999999999</v>
      </c>
      <c r="X105">
        <v>0.97433789999999998</v>
      </c>
      <c r="Y105">
        <v>2.2849100000000001E-2</v>
      </c>
      <c r="Z105">
        <v>1.347895E-3</v>
      </c>
      <c r="AA105">
        <v>0.99973800000000002</v>
      </c>
      <c r="AB105">
        <v>30</v>
      </c>
      <c r="AC105">
        <v>287.5043</v>
      </c>
      <c r="AD105">
        <v>11.976837</v>
      </c>
      <c r="AE105">
        <v>-0.60519999999996799</v>
      </c>
      <c r="AF105">
        <v>6.5752530339658497</v>
      </c>
      <c r="AG105">
        <v>11.976837</v>
      </c>
      <c r="AH105">
        <v>286.93154349255298</v>
      </c>
      <c r="AI105">
        <v>87.610425518305902</v>
      </c>
      <c r="AJ105">
        <v>88.687253693990996</v>
      </c>
      <c r="AK105">
        <v>287.25666089405797</v>
      </c>
      <c r="AL105">
        <v>77.385359985246595</v>
      </c>
      <c r="AM105">
        <v>86.798415793489298</v>
      </c>
      <c r="AN105">
        <v>1.00000001342105</v>
      </c>
    </row>
    <row r="106" spans="1:40" x14ac:dyDescent="0.25">
      <c r="A106" t="str">
        <f>"20190303170718025"</f>
        <v>20190303170718025</v>
      </c>
      <c r="B106" t="str">
        <f>"1551604038022643"</f>
        <v>1551604038022643</v>
      </c>
      <c r="C106" t="s">
        <v>40</v>
      </c>
      <c r="D106">
        <v>4.0581870000000002</v>
      </c>
      <c r="E106">
        <v>0.4895118</v>
      </c>
      <c r="F106" t="s">
        <v>44</v>
      </c>
      <c r="G106">
        <v>-168.84350000000001</v>
      </c>
      <c r="H106">
        <v>12.455719999999999</v>
      </c>
      <c r="I106">
        <v>367.18740000000003</v>
      </c>
      <c r="J106">
        <v>-457.30500000000001</v>
      </c>
      <c r="K106">
        <v>1.1195139999999999</v>
      </c>
      <c r="L106">
        <v>367.49950000000001</v>
      </c>
      <c r="M106">
        <v>0.99978889999999998</v>
      </c>
      <c r="N106">
        <v>-8.5838970000000001E-4</v>
      </c>
      <c r="O106">
        <v>2.0531859999999999E-2</v>
      </c>
      <c r="P106">
        <v>0.97572669999999995</v>
      </c>
      <c r="Q106">
        <v>0.21639839999999999</v>
      </c>
      <c r="R106">
        <v>-3.3605419999999997E-2</v>
      </c>
      <c r="S106">
        <v>3.0487669999999998</v>
      </c>
      <c r="T106">
        <v>0.1196942</v>
      </c>
      <c r="U106">
        <v>-3.2348630000000001E-3</v>
      </c>
      <c r="V106">
        <v>5.3753960000000003E-2</v>
      </c>
      <c r="W106">
        <v>0.21720490000000001</v>
      </c>
      <c r="X106">
        <v>0.97464479999999998</v>
      </c>
      <c r="Y106">
        <v>2.1559910000000002E-2</v>
      </c>
      <c r="Z106">
        <v>1.2371459999999999E-3</v>
      </c>
      <c r="AA106">
        <v>0.99976679999999996</v>
      </c>
      <c r="AB106">
        <v>30</v>
      </c>
      <c r="AC106">
        <v>288.4615</v>
      </c>
      <c r="AD106">
        <v>11.336206000000001</v>
      </c>
      <c r="AE106">
        <v>-0.312099999999986</v>
      </c>
      <c r="AF106">
        <v>6.2250731231739804</v>
      </c>
      <c r="AG106">
        <v>11.336206000000001</v>
      </c>
      <c r="AH106">
        <v>287.94957528424499</v>
      </c>
      <c r="AI106">
        <v>87.746028912595705</v>
      </c>
      <c r="AJ106">
        <v>88.761537094567402</v>
      </c>
      <c r="AK106">
        <v>288.23986366954898</v>
      </c>
      <c r="AL106">
        <v>77.455083467356204</v>
      </c>
      <c r="AM106">
        <v>86.8432007672792</v>
      </c>
      <c r="AN106">
        <v>0.99999997148336495</v>
      </c>
    </row>
    <row r="107" spans="1:40" x14ac:dyDescent="0.25">
      <c r="A107" t="str">
        <f>"20190303170718047"</f>
        <v>20190303170718047</v>
      </c>
      <c r="B107" t="str">
        <f>"1551604038042669"</f>
        <v>1551604038042669</v>
      </c>
      <c r="C107" t="s">
        <v>40</v>
      </c>
      <c r="D107">
        <v>4.0668810000000004</v>
      </c>
      <c r="E107">
        <v>0.48943789999999998</v>
      </c>
      <c r="F107" t="s">
        <v>44</v>
      </c>
      <c r="G107">
        <v>-168.84350000000001</v>
      </c>
      <c r="H107">
        <v>11.951739999999999</v>
      </c>
      <c r="I107">
        <v>367.5197</v>
      </c>
      <c r="J107">
        <v>-457.01150000000001</v>
      </c>
      <c r="K107">
        <v>1.1194980000000001</v>
      </c>
      <c r="L107">
        <v>367.5052</v>
      </c>
      <c r="M107">
        <v>0.99979490000000004</v>
      </c>
      <c r="N107">
        <v>-9.447581E-4</v>
      </c>
      <c r="O107">
        <v>2.0231240000000001E-2</v>
      </c>
      <c r="P107">
        <v>0.97583160000000002</v>
      </c>
      <c r="Q107">
        <v>0.2158833</v>
      </c>
      <c r="R107">
        <v>-3.3870289999999997E-2</v>
      </c>
      <c r="S107">
        <v>3.049255</v>
      </c>
      <c r="T107">
        <v>0.1145056</v>
      </c>
      <c r="U107">
        <v>2.13623E-4</v>
      </c>
      <c r="V107">
        <v>5.3737569999999998E-2</v>
      </c>
      <c r="W107">
        <v>0.21677150000000001</v>
      </c>
      <c r="X107">
        <v>0.9747422</v>
      </c>
      <c r="Y107">
        <v>2.013239E-2</v>
      </c>
      <c r="Z107">
        <v>1.1468839999999999E-3</v>
      </c>
      <c r="AA107">
        <v>0.99979669999999998</v>
      </c>
      <c r="AB107">
        <v>30</v>
      </c>
      <c r="AC107">
        <v>288.16800000000001</v>
      </c>
      <c r="AD107">
        <v>10.832242000000001</v>
      </c>
      <c r="AE107">
        <v>1.4499999999998099E-2</v>
      </c>
      <c r="AF107">
        <v>5.8072956617842202</v>
      </c>
      <c r="AG107">
        <v>10.832242000000001</v>
      </c>
      <c r="AH107">
        <v>287.70278636017201</v>
      </c>
      <c r="AI107">
        <v>87.844224877456796</v>
      </c>
      <c r="AJ107">
        <v>88.843638750197997</v>
      </c>
      <c r="AK107">
        <v>287.965198294961</v>
      </c>
      <c r="AL107">
        <v>77.480521688120803</v>
      </c>
      <c r="AM107">
        <v>86.844476060293999</v>
      </c>
      <c r="AN107">
        <v>0.999999983051297</v>
      </c>
    </row>
    <row r="108" spans="1:40" x14ac:dyDescent="0.25">
      <c r="A108" t="str">
        <f>"20190303170718071"</f>
        <v>20190303170718071</v>
      </c>
      <c r="B108" t="str">
        <f>"1551604038062190"</f>
        <v>1551604038062190</v>
      </c>
      <c r="C108" t="s">
        <v>40</v>
      </c>
      <c r="D108">
        <v>4.1155189999999999</v>
      </c>
      <c r="E108">
        <v>0.4894598</v>
      </c>
      <c r="F108" t="s">
        <v>44</v>
      </c>
      <c r="G108">
        <v>-168.84350000000001</v>
      </c>
      <c r="H108">
        <v>11.70908</v>
      </c>
      <c r="I108">
        <v>367.49369999999999</v>
      </c>
      <c r="J108">
        <v>-456.68599999999998</v>
      </c>
      <c r="K108">
        <v>1.1194759999999999</v>
      </c>
      <c r="L108">
        <v>367.51150000000001</v>
      </c>
      <c r="M108">
        <v>0.99980230000000003</v>
      </c>
      <c r="N108">
        <v>-1.040848E-3</v>
      </c>
      <c r="O108">
        <v>1.9862749999999998E-2</v>
      </c>
      <c r="P108">
        <v>0.97577179999999997</v>
      </c>
      <c r="Q108">
        <v>0.21605379999999999</v>
      </c>
      <c r="R108">
        <v>-3.4508209999999997E-2</v>
      </c>
      <c r="S108">
        <v>3.0495299999999999</v>
      </c>
      <c r="T108">
        <v>0.11206480000000001</v>
      </c>
      <c r="U108">
        <v>-1.220703E-4</v>
      </c>
      <c r="V108">
        <v>5.4028899999999998E-2</v>
      </c>
      <c r="W108">
        <v>0.2170318</v>
      </c>
      <c r="X108">
        <v>0.97466819999999998</v>
      </c>
      <c r="Y108">
        <v>1.9875569999999999E-2</v>
      </c>
      <c r="Z108">
        <v>1.1050319999999999E-3</v>
      </c>
      <c r="AA108">
        <v>0.99980190000000002</v>
      </c>
      <c r="AB108">
        <v>30</v>
      </c>
      <c r="AC108">
        <v>287.84249999999997</v>
      </c>
      <c r="AD108">
        <v>10.589604</v>
      </c>
      <c r="AE108">
        <v>-1.7800000000022399E-2</v>
      </c>
      <c r="AF108">
        <v>5.7273906151988996</v>
      </c>
      <c r="AG108">
        <v>10.589604</v>
      </c>
      <c r="AH108">
        <v>287.39637646981799</v>
      </c>
      <c r="AI108">
        <v>87.890213586171797</v>
      </c>
      <c r="AJ108">
        <v>88.858329801117307</v>
      </c>
      <c r="AK108">
        <v>287.64843111708001</v>
      </c>
      <c r="AL108">
        <v>77.465244255701705</v>
      </c>
      <c r="AM108">
        <v>86.827163341816203</v>
      </c>
      <c r="AN108">
        <v>1.0000000121688399</v>
      </c>
    </row>
    <row r="109" spans="1:40" x14ac:dyDescent="0.25">
      <c r="A109" t="str">
        <f>"20190303170718094"</f>
        <v>20190303170718094</v>
      </c>
      <c r="B109" t="str">
        <f>"1551604038082686"</f>
        <v>1551604038082686</v>
      </c>
      <c r="C109" t="s">
        <v>40</v>
      </c>
      <c r="D109">
        <v>4.2362320000000002</v>
      </c>
      <c r="E109">
        <v>0.48947810000000003</v>
      </c>
      <c r="F109" t="s">
        <v>44</v>
      </c>
      <c r="G109">
        <v>-168.84350000000001</v>
      </c>
      <c r="H109">
        <v>11.64245</v>
      </c>
      <c r="I109">
        <v>367.2638</v>
      </c>
      <c r="J109">
        <v>-456.36430000000001</v>
      </c>
      <c r="K109">
        <v>1.1194539999999999</v>
      </c>
      <c r="L109">
        <v>367.51749999999998</v>
      </c>
      <c r="M109">
        <v>0.99980999999999998</v>
      </c>
      <c r="N109">
        <v>-1.1354609999999999E-3</v>
      </c>
      <c r="O109">
        <v>1.9459669999999998E-2</v>
      </c>
      <c r="P109">
        <v>0.97591439999999996</v>
      </c>
      <c r="Q109">
        <v>0.21535889999999999</v>
      </c>
      <c r="R109">
        <v>-3.4809409999999999E-2</v>
      </c>
      <c r="S109">
        <v>3.0497130000000001</v>
      </c>
      <c r="T109">
        <v>0.1114926</v>
      </c>
      <c r="U109">
        <v>-2.6245119999999999E-3</v>
      </c>
      <c r="V109">
        <v>5.395515E-2</v>
      </c>
      <c r="W109">
        <v>0.2164257</v>
      </c>
      <c r="X109">
        <v>0.97480699999999998</v>
      </c>
      <c r="Y109">
        <v>2.0293140000000001E-2</v>
      </c>
      <c r="Z109">
        <v>1.092527E-3</v>
      </c>
      <c r="AA109">
        <v>0.9997935</v>
      </c>
      <c r="AB109">
        <v>30</v>
      </c>
      <c r="AC109">
        <v>287.52080000000001</v>
      </c>
      <c r="AD109">
        <v>10.522995999999999</v>
      </c>
      <c r="AE109">
        <v>-0.25369999999998</v>
      </c>
      <c r="AF109">
        <v>5.8408916171487304</v>
      </c>
      <c r="AG109">
        <v>10.522995999999999</v>
      </c>
      <c r="AH109">
        <v>287.07688182421202</v>
      </c>
      <c r="AI109">
        <v>87.901158576707004</v>
      </c>
      <c r="AJ109">
        <v>88.834415823301001</v>
      </c>
      <c r="AK109">
        <v>287.329054461277</v>
      </c>
      <c r="AL109">
        <v>77.500816114127502</v>
      </c>
      <c r="AM109">
        <v>86.831935702400401</v>
      </c>
      <c r="AN109">
        <v>0.99999996454050499</v>
      </c>
    </row>
    <row r="110" spans="1:40" x14ac:dyDescent="0.25">
      <c r="A110" t="str">
        <f>"20190303170718117"</f>
        <v>20190303170718117</v>
      </c>
      <c r="B110" t="str">
        <f>"1551604038111965"</f>
        <v>1551604038111965</v>
      </c>
      <c r="C110" t="s">
        <v>40</v>
      </c>
      <c r="D110">
        <v>4.1192679999999999</v>
      </c>
      <c r="E110">
        <v>0.48954500000000001</v>
      </c>
      <c r="F110" t="s">
        <v>44</v>
      </c>
      <c r="G110">
        <v>-168.84350000000001</v>
      </c>
      <c r="H110">
        <v>11.35051</v>
      </c>
      <c r="I110">
        <v>367.18090000000001</v>
      </c>
      <c r="J110">
        <v>-456.04680000000002</v>
      </c>
      <c r="K110">
        <v>1.119426</v>
      </c>
      <c r="L110">
        <v>367.52330000000001</v>
      </c>
      <c r="M110">
        <v>0.99981819999999999</v>
      </c>
      <c r="N110">
        <v>-1.2287279999999999E-3</v>
      </c>
      <c r="O110">
        <v>1.9030419999999999E-2</v>
      </c>
      <c r="P110">
        <v>0.97610220000000003</v>
      </c>
      <c r="Q110">
        <v>0.2144895</v>
      </c>
      <c r="R110">
        <v>-3.49123E-2</v>
      </c>
      <c r="S110">
        <v>3.0499879999999999</v>
      </c>
      <c r="T110">
        <v>0.1085308</v>
      </c>
      <c r="U110">
        <v>-3.5705569999999998E-3</v>
      </c>
      <c r="V110">
        <v>5.365752E-2</v>
      </c>
      <c r="W110">
        <v>0.215644</v>
      </c>
      <c r="X110">
        <v>0.97499669999999905</v>
      </c>
      <c r="Y110">
        <v>2.017567E-2</v>
      </c>
      <c r="Z110">
        <v>1.0467639999999999E-3</v>
      </c>
      <c r="AA110">
        <v>0.99979589999999996</v>
      </c>
      <c r="AB110">
        <v>31</v>
      </c>
      <c r="AC110">
        <v>287.20330000000001</v>
      </c>
      <c r="AD110">
        <v>10.231083999999999</v>
      </c>
      <c r="AE110">
        <v>-0.34239999999999698</v>
      </c>
      <c r="AF110">
        <v>5.8005802969960198</v>
      </c>
      <c r="AG110">
        <v>10.231083999999999</v>
      </c>
      <c r="AH110">
        <v>286.780846124871</v>
      </c>
      <c r="AI110">
        <v>87.957221638076206</v>
      </c>
      <c r="AJ110">
        <v>88.841263415275293</v>
      </c>
      <c r="AK110">
        <v>287.02190772777902</v>
      </c>
      <c r="AL110">
        <v>77.546688083049006</v>
      </c>
      <c r="AM110">
        <v>86.849987992644202</v>
      </c>
      <c r="AN110">
        <v>1.0000000145997201</v>
      </c>
    </row>
    <row r="111" spans="1:40" x14ac:dyDescent="0.25">
      <c r="A111" t="str">
        <f>"20190303170718138"</f>
        <v>20190303170718138</v>
      </c>
      <c r="B111" t="str">
        <f>"1551604038131992"</f>
        <v>1551604038131992</v>
      </c>
      <c r="C111" t="s">
        <v>40</v>
      </c>
      <c r="D111">
        <v>4.1717930000000001</v>
      </c>
      <c r="E111">
        <v>0.48960049999999999</v>
      </c>
      <c r="F111" t="s">
        <v>44</v>
      </c>
      <c r="G111">
        <v>-168.84350000000001</v>
      </c>
      <c r="H111">
        <v>10.99241</v>
      </c>
      <c r="I111">
        <v>367.08080000000001</v>
      </c>
      <c r="J111">
        <v>-455.7473</v>
      </c>
      <c r="K111">
        <v>1.119405</v>
      </c>
      <c r="L111">
        <v>367.52859999999998</v>
      </c>
      <c r="M111">
        <v>0.99982629999999995</v>
      </c>
      <c r="N111">
        <v>-1.316645E-3</v>
      </c>
      <c r="O111">
        <v>1.8594900000000001E-2</v>
      </c>
      <c r="P111">
        <v>0.97600509999999996</v>
      </c>
      <c r="Q111">
        <v>0.2148012</v>
      </c>
      <c r="R111">
        <v>-3.5701129999999998E-2</v>
      </c>
      <c r="S111">
        <v>3.0501710000000002</v>
      </c>
      <c r="T111">
        <v>0.1048545</v>
      </c>
      <c r="U111">
        <v>-4.699707E-3</v>
      </c>
      <c r="V111">
        <v>5.4034239999999997E-2</v>
      </c>
      <c r="W111">
        <v>0.2160369</v>
      </c>
      <c r="X111">
        <v>0.97488889999999995</v>
      </c>
      <c r="Y111">
        <v>2.011216E-2</v>
      </c>
      <c r="Z111">
        <v>9.9583849999999993E-4</v>
      </c>
      <c r="AA111">
        <v>0.99979720000000005</v>
      </c>
      <c r="AB111">
        <v>31</v>
      </c>
      <c r="AC111">
        <v>286.90379999999999</v>
      </c>
      <c r="AD111">
        <v>9.8730049999999991</v>
      </c>
      <c r="AE111">
        <v>-0.447799999999972</v>
      </c>
      <c r="AF111">
        <v>5.7758345692503701</v>
      </c>
      <c r="AG111">
        <v>9.8730049999999991</v>
      </c>
      <c r="AH111">
        <v>286.50658632381698</v>
      </c>
      <c r="AI111">
        <v>88.026771412613002</v>
      </c>
      <c r="AJ111">
        <v>88.845101160264093</v>
      </c>
      <c r="AK111">
        <v>286.73482610179701</v>
      </c>
      <c r="AL111">
        <v>77.523633004511396</v>
      </c>
      <c r="AM111">
        <v>86.827567277426695</v>
      </c>
      <c r="AN111">
        <v>1.0000000042985899</v>
      </c>
    </row>
    <row r="112" spans="1:40" x14ac:dyDescent="0.25">
      <c r="A112" t="str">
        <f>"20190303170718181"</f>
        <v>20190303170718181</v>
      </c>
      <c r="B112" t="str">
        <f>"1551604038172008"</f>
        <v>1551604038172008</v>
      </c>
      <c r="C112" t="s">
        <v>40</v>
      </c>
      <c r="D112">
        <v>4.1712680000000004</v>
      </c>
      <c r="E112">
        <v>0.48959580000000003</v>
      </c>
      <c r="F112" t="s">
        <v>44</v>
      </c>
      <c r="G112">
        <v>-168.84350000000001</v>
      </c>
      <c r="H112">
        <v>11.037100000000001</v>
      </c>
      <c r="I112">
        <v>366.8426</v>
      </c>
      <c r="J112">
        <v>-455.15159999999997</v>
      </c>
      <c r="K112">
        <v>1.1193690000000001</v>
      </c>
      <c r="L112">
        <v>367.53859999999997</v>
      </c>
      <c r="M112">
        <v>0.99984340000000005</v>
      </c>
      <c r="N112">
        <v>-1.4909249999999999E-3</v>
      </c>
      <c r="O112">
        <v>1.7640030000000001E-2</v>
      </c>
      <c r="P112">
        <v>0.97574559999999999</v>
      </c>
      <c r="Q112">
        <v>0.2155502</v>
      </c>
      <c r="R112">
        <v>-3.8193640000000001E-2</v>
      </c>
      <c r="S112">
        <v>3.050262</v>
      </c>
      <c r="T112">
        <v>0.10544240000000001</v>
      </c>
      <c r="U112">
        <v>-7.2937009999999997E-3</v>
      </c>
      <c r="V112">
        <v>5.5620000000000003E-2</v>
      </c>
      <c r="W112">
        <v>0.216947</v>
      </c>
      <c r="X112">
        <v>0.97459759999999995</v>
      </c>
      <c r="Y112">
        <v>2.000789E-2</v>
      </c>
      <c r="Z112">
        <v>9.6667140000000003E-4</v>
      </c>
      <c r="AA112">
        <v>0.9997994</v>
      </c>
      <c r="AB112">
        <v>31</v>
      </c>
      <c r="AC112">
        <v>286.30810000000002</v>
      </c>
      <c r="AD112">
        <v>9.9177309999999999</v>
      </c>
      <c r="AE112">
        <v>-0.69599999999996898</v>
      </c>
      <c r="AF112">
        <v>5.7394932671309702</v>
      </c>
      <c r="AG112">
        <v>9.9177309999999999</v>
      </c>
      <c r="AH112">
        <v>285.90820466728701</v>
      </c>
      <c r="AI112">
        <v>88.013690980976506</v>
      </c>
      <c r="AJ112">
        <v>88.849964527597905</v>
      </c>
      <c r="AK112">
        <v>286.13773723020802</v>
      </c>
      <c r="AL112">
        <v>77.470221798870895</v>
      </c>
      <c r="AM112">
        <v>86.733689616910198</v>
      </c>
      <c r="AN112">
        <v>1.00000003356737</v>
      </c>
    </row>
    <row r="113" spans="1:40" x14ac:dyDescent="0.25">
      <c r="A113" t="str">
        <f>"20190303170718204"</f>
        <v>20190303170718204</v>
      </c>
      <c r="B113" t="str">
        <f>"1551604038192504"</f>
        <v>1551604038192504</v>
      </c>
      <c r="C113" t="s">
        <v>40</v>
      </c>
      <c r="D113">
        <v>4.2030799999999999</v>
      </c>
      <c r="E113">
        <v>0.4895603</v>
      </c>
      <c r="F113" t="s">
        <v>44</v>
      </c>
      <c r="G113">
        <v>-168.84350000000001</v>
      </c>
      <c r="H113">
        <v>11.21772</v>
      </c>
      <c r="I113">
        <v>366.23820000000001</v>
      </c>
      <c r="J113">
        <v>-454.8313</v>
      </c>
      <c r="K113">
        <v>1.119345</v>
      </c>
      <c r="L113">
        <v>367.54379999999998</v>
      </c>
      <c r="M113">
        <v>0.99985299999999999</v>
      </c>
      <c r="N113">
        <v>-1.5841589999999999E-3</v>
      </c>
      <c r="O113">
        <v>1.7084780000000001E-2</v>
      </c>
      <c r="P113">
        <v>0.97584369999999998</v>
      </c>
      <c r="Q113">
        <v>0.21490890000000001</v>
      </c>
      <c r="R113">
        <v>-3.9288440000000001E-2</v>
      </c>
      <c r="S113">
        <v>3.0502929999999999</v>
      </c>
      <c r="T113">
        <v>0.10758760000000001</v>
      </c>
      <c r="U113">
        <v>-1.3854979999999999E-2</v>
      </c>
      <c r="V113">
        <v>5.6189299999999998E-2</v>
      </c>
      <c r="W113">
        <v>0.21639220000000001</v>
      </c>
      <c r="X113">
        <v>0.9746882</v>
      </c>
      <c r="Y113">
        <v>2.160167E-2</v>
      </c>
      <c r="Z113">
        <v>9.9317429999999998E-4</v>
      </c>
      <c r="AA113">
        <v>0.99976620000000005</v>
      </c>
      <c r="AB113">
        <v>31</v>
      </c>
      <c r="AC113">
        <v>285.98779999999999</v>
      </c>
      <c r="AD113">
        <v>10.098375000000001</v>
      </c>
      <c r="AE113">
        <v>-1.3055999999999699</v>
      </c>
      <c r="AF113">
        <v>6.1837432595786703</v>
      </c>
      <c r="AG113">
        <v>10.098375000000001</v>
      </c>
      <c r="AH113">
        <v>285.56770494649101</v>
      </c>
      <c r="AI113">
        <v>87.975198790303594</v>
      </c>
      <c r="AJ113">
        <v>88.7594989847601</v>
      </c>
      <c r="AK113">
        <v>285.81310321037898</v>
      </c>
      <c r="AL113">
        <v>77.502781983131598</v>
      </c>
      <c r="AM113">
        <v>86.700636745127795</v>
      </c>
      <c r="AN113">
        <v>0.99999995443728396</v>
      </c>
    </row>
    <row r="114" spans="1:40" x14ac:dyDescent="0.25">
      <c r="A114" t="str">
        <f>"20190303170718227"</f>
        <v>20190303170718227</v>
      </c>
      <c r="B114" t="str">
        <f>"1551604038221785"</f>
        <v>1551604038221785</v>
      </c>
      <c r="C114" t="s">
        <v>40</v>
      </c>
      <c r="D114">
        <v>4.3594400000000002</v>
      </c>
      <c r="E114">
        <v>0.48968339999999999</v>
      </c>
      <c r="F114" t="s">
        <v>44</v>
      </c>
      <c r="G114">
        <v>-168.84350000000001</v>
      </c>
      <c r="H114">
        <v>10.98151</v>
      </c>
      <c r="I114">
        <v>365.93299999999999</v>
      </c>
      <c r="J114">
        <v>-454.5204</v>
      </c>
      <c r="K114">
        <v>1.119324</v>
      </c>
      <c r="L114">
        <v>367.54860000000002</v>
      </c>
      <c r="M114">
        <v>0.99986209999999998</v>
      </c>
      <c r="N114">
        <v>-1.674458E-3</v>
      </c>
      <c r="O114">
        <v>1.652089E-2</v>
      </c>
      <c r="P114">
        <v>0.97601349999999998</v>
      </c>
      <c r="Q114">
        <v>0.21406310000000001</v>
      </c>
      <c r="R114">
        <v>-3.9682380000000003E-2</v>
      </c>
      <c r="S114">
        <v>3.0504150000000001</v>
      </c>
      <c r="T114">
        <v>0.1051931</v>
      </c>
      <c r="U114">
        <v>-1.7181399999999999E-2</v>
      </c>
      <c r="V114">
        <v>5.6048590000000002E-2</v>
      </c>
      <c r="W114">
        <v>0.21563189999999999</v>
      </c>
      <c r="X114">
        <v>0.97486479999999998</v>
      </c>
      <c r="Y114">
        <v>2.212896E-2</v>
      </c>
      <c r="Z114">
        <v>9.6009760000000002E-4</v>
      </c>
      <c r="AA114">
        <v>0.9997547</v>
      </c>
      <c r="AB114">
        <v>31</v>
      </c>
      <c r="AC114">
        <v>285.67689999999999</v>
      </c>
      <c r="AD114">
        <v>9.8621859999999995</v>
      </c>
      <c r="AE114">
        <v>-1.6155999999999699</v>
      </c>
      <c r="AF114">
        <v>6.32748212257217</v>
      </c>
      <c r="AG114">
        <v>9.8621859999999995</v>
      </c>
      <c r="AH114">
        <v>285.271250016556</v>
      </c>
      <c r="AI114">
        <v>88.020487873660599</v>
      </c>
      <c r="AJ114">
        <v>88.729354659847999</v>
      </c>
      <c r="AK114">
        <v>285.51179630396803</v>
      </c>
      <c r="AL114">
        <v>77.547397494941706</v>
      </c>
      <c r="AM114">
        <v>86.709475757100407</v>
      </c>
      <c r="AN114">
        <v>0.99999996950881798</v>
      </c>
    </row>
    <row r="115" spans="1:40" x14ac:dyDescent="0.25">
      <c r="A115" t="str">
        <f>"20190303170718248"</f>
        <v>20190303170718248</v>
      </c>
      <c r="B115" t="str">
        <f>"1551604038241812"</f>
        <v>1551604038241812</v>
      </c>
      <c r="C115" t="s">
        <v>40</v>
      </c>
      <c r="D115">
        <v>4.3591059999999997</v>
      </c>
      <c r="E115">
        <v>0.48960749999999997</v>
      </c>
      <c r="F115" t="s">
        <v>44</v>
      </c>
      <c r="G115">
        <v>-168.84350000000001</v>
      </c>
      <c r="H115">
        <v>10.686540000000001</v>
      </c>
      <c r="I115">
        <v>365.71960000000001</v>
      </c>
      <c r="J115">
        <v>-454.20229999999998</v>
      </c>
      <c r="K115">
        <v>1.1193010000000001</v>
      </c>
      <c r="L115">
        <v>367.55329999999998</v>
      </c>
      <c r="M115">
        <v>0.99987170000000003</v>
      </c>
      <c r="N115">
        <v>-1.7681769999999999E-3</v>
      </c>
      <c r="O115">
        <v>1.592325E-2</v>
      </c>
      <c r="P115">
        <v>0.97603519999999999</v>
      </c>
      <c r="Q115">
        <v>0.21371860000000001</v>
      </c>
      <c r="R115">
        <v>-4.098123E-2</v>
      </c>
      <c r="S115">
        <v>3.0505369999999998</v>
      </c>
      <c r="T115">
        <v>0.10216219999999999</v>
      </c>
      <c r="U115">
        <v>-1.953125E-2</v>
      </c>
      <c r="V115">
        <v>5.6777260000000003E-2</v>
      </c>
      <c r="W115">
        <v>0.21537439999999999</v>
      </c>
      <c r="X115">
        <v>0.97487959999999996</v>
      </c>
      <c r="Y115">
        <v>2.2302829999999999E-2</v>
      </c>
      <c r="Z115">
        <v>9.1487899999999995E-4</v>
      </c>
      <c r="AA115">
        <v>0.9997509</v>
      </c>
      <c r="AB115">
        <v>32</v>
      </c>
      <c r="AC115">
        <v>285.35879999999997</v>
      </c>
      <c r="AD115">
        <v>9.5672390000000007</v>
      </c>
      <c r="AE115">
        <v>-1.8336999999999599</v>
      </c>
      <c r="AF115">
        <v>6.3701537622897897</v>
      </c>
      <c r="AG115">
        <v>9.5672390000000007</v>
      </c>
      <c r="AH115">
        <v>284.97310820284798</v>
      </c>
      <c r="AI115">
        <v>88.077643657986599</v>
      </c>
      <c r="AJ115">
        <v>88.7194505671836</v>
      </c>
      <c r="AK115">
        <v>285.20480942619201</v>
      </c>
      <c r="AL115">
        <v>77.562506701381693</v>
      </c>
      <c r="AM115">
        <v>86.666843018609597</v>
      </c>
      <c r="AN115">
        <v>1.00000001196231</v>
      </c>
    </row>
    <row r="116" spans="1:40" x14ac:dyDescent="0.25">
      <c r="A116" t="str">
        <f>"20190303170718272"</f>
        <v>20190303170718272</v>
      </c>
      <c r="B116" t="str">
        <f>"1551604038262307"</f>
        <v>1551604038262307</v>
      </c>
      <c r="C116" t="s">
        <v>40</v>
      </c>
      <c r="D116">
        <v>4.2245699999999999</v>
      </c>
      <c r="E116">
        <v>0.48963790000000001</v>
      </c>
      <c r="F116" t="s">
        <v>44</v>
      </c>
      <c r="G116">
        <v>-168.84350000000001</v>
      </c>
      <c r="H116">
        <v>10.57705</v>
      </c>
      <c r="I116">
        <v>365.44659999999999</v>
      </c>
      <c r="J116">
        <v>-453.86489999999998</v>
      </c>
      <c r="K116">
        <v>1.1192869999999999</v>
      </c>
      <c r="L116">
        <v>367.55810000000002</v>
      </c>
      <c r="M116">
        <v>0.99988169999999998</v>
      </c>
      <c r="N116">
        <v>-1.8704940000000001E-3</v>
      </c>
      <c r="O116">
        <v>1.527046E-2</v>
      </c>
      <c r="P116">
        <v>0.97607250000000001</v>
      </c>
      <c r="Q116">
        <v>0.21322140000000001</v>
      </c>
      <c r="R116">
        <v>-4.2654280000000003E-2</v>
      </c>
      <c r="S116">
        <v>3.0505979999999999</v>
      </c>
      <c r="T116">
        <v>0.101108</v>
      </c>
      <c r="U116">
        <v>-2.2521969999999999E-2</v>
      </c>
      <c r="V116">
        <v>5.7824489999999999E-2</v>
      </c>
      <c r="W116">
        <v>0.214973</v>
      </c>
      <c r="X116">
        <v>0.97490659999999896</v>
      </c>
      <c r="Y116">
        <v>2.2630730000000002E-2</v>
      </c>
      <c r="Z116">
        <v>8.8827380000000003E-4</v>
      </c>
      <c r="AA116">
        <v>0.99974350000000001</v>
      </c>
      <c r="AB116">
        <v>32</v>
      </c>
      <c r="AC116">
        <v>285.02140000000003</v>
      </c>
      <c r="AD116">
        <v>9.4577629999999999</v>
      </c>
      <c r="AE116">
        <v>-2.1115000000000301</v>
      </c>
      <c r="AF116">
        <v>6.4565602336031898</v>
      </c>
      <c r="AG116">
        <v>9.4577629999999999</v>
      </c>
      <c r="AH116">
        <v>284.642523498125</v>
      </c>
      <c r="AI116">
        <v>88.097433193603507</v>
      </c>
      <c r="AJ116">
        <v>88.700579869734199</v>
      </c>
      <c r="AK116">
        <v>284.87278324612799</v>
      </c>
      <c r="AL116">
        <v>77.586056348924899</v>
      </c>
      <c r="AM116">
        <v>86.605600748849696</v>
      </c>
      <c r="AN116">
        <v>0.99999997054815903</v>
      </c>
    </row>
    <row r="117" spans="1:40" x14ac:dyDescent="0.25">
      <c r="A117" t="str">
        <f>"20190303170718294"</f>
        <v>20190303170718294</v>
      </c>
      <c r="B117" t="str">
        <f>"1551604038281827"</f>
        <v>1551604038281827</v>
      </c>
      <c r="C117" t="s">
        <v>40</v>
      </c>
      <c r="D117">
        <v>4.2589059999999996</v>
      </c>
      <c r="E117">
        <v>0.48958940000000001</v>
      </c>
      <c r="F117" t="s">
        <v>44</v>
      </c>
      <c r="G117">
        <v>-168.84350000000001</v>
      </c>
      <c r="H117">
        <v>10.40991</v>
      </c>
      <c r="I117">
        <v>365.04899999999998</v>
      </c>
      <c r="J117">
        <v>-453.54270000000002</v>
      </c>
      <c r="K117">
        <v>1.1192839999999999</v>
      </c>
      <c r="L117">
        <v>367.56229999999999</v>
      </c>
      <c r="M117">
        <v>0.99989090000000003</v>
      </c>
      <c r="N117">
        <v>-1.984656E-3</v>
      </c>
      <c r="O117">
        <v>1.463745E-2</v>
      </c>
      <c r="P117">
        <v>0.9762866</v>
      </c>
      <c r="Q117">
        <v>0.21199000000000001</v>
      </c>
      <c r="R117">
        <v>-4.3869060000000001E-2</v>
      </c>
      <c r="S117">
        <v>3.050659</v>
      </c>
      <c r="T117">
        <v>9.9440929999999997E-2</v>
      </c>
      <c r="U117">
        <v>-2.6855469999999999E-2</v>
      </c>
      <c r="V117">
        <v>5.8432270000000001E-2</v>
      </c>
      <c r="W117">
        <v>0.2138505</v>
      </c>
      <c r="X117">
        <v>0.97511720000000002</v>
      </c>
      <c r="Y117">
        <v>2.3418370000000001E-2</v>
      </c>
      <c r="Z117">
        <v>8.6435649999999902E-4</v>
      </c>
      <c r="AA117">
        <v>0.99972539999999999</v>
      </c>
      <c r="AB117">
        <v>32</v>
      </c>
      <c r="AC117">
        <v>284.69920000000002</v>
      </c>
      <c r="AD117">
        <v>9.2906259999999996</v>
      </c>
      <c r="AE117">
        <v>-2.5132999999999499</v>
      </c>
      <c r="AF117">
        <v>6.6732033595972204</v>
      </c>
      <c r="AG117">
        <v>9.2906259999999996</v>
      </c>
      <c r="AH117">
        <v>284.32914623267499</v>
      </c>
      <c r="AI117">
        <v>88.129006665595298</v>
      </c>
      <c r="AJ117">
        <v>88.655515227255407</v>
      </c>
      <c r="AK117">
        <v>284.559151622211</v>
      </c>
      <c r="AL117">
        <v>77.651902090209106</v>
      </c>
      <c r="AM117">
        <v>86.570746753623197</v>
      </c>
      <c r="AN117">
        <v>0.99999996013171999</v>
      </c>
    </row>
    <row r="118" spans="1:40" x14ac:dyDescent="0.25">
      <c r="A118" t="str">
        <f>"20190303170718340"</f>
        <v>20190303170718340</v>
      </c>
      <c r="B118" t="str">
        <f>"1551604038332109"</f>
        <v>1551604038332109</v>
      </c>
      <c r="C118" t="s">
        <v>40</v>
      </c>
      <c r="D118">
        <v>4.2981809999999996</v>
      </c>
      <c r="E118">
        <v>0.49092340000000001</v>
      </c>
      <c r="F118" t="s">
        <v>44</v>
      </c>
      <c r="G118">
        <v>-168.84350000000001</v>
      </c>
      <c r="H118">
        <v>10.042020000000001</v>
      </c>
      <c r="I118">
        <v>364.78280000000001</v>
      </c>
      <c r="J118">
        <v>-452.8852</v>
      </c>
      <c r="K118">
        <v>1.119353</v>
      </c>
      <c r="L118">
        <v>367.57060000000001</v>
      </c>
      <c r="M118">
        <v>0.99990769999999995</v>
      </c>
      <c r="N118">
        <v>-2.572511E-3</v>
      </c>
      <c r="O118">
        <v>1.334051E-2</v>
      </c>
      <c r="P118">
        <v>0.97659899999999999</v>
      </c>
      <c r="Q118">
        <v>0.2098846</v>
      </c>
      <c r="R118">
        <v>-4.6932479999999999E-2</v>
      </c>
      <c r="S118">
        <v>3.0507810000000002</v>
      </c>
      <c r="T118">
        <v>9.5615149999999996E-2</v>
      </c>
      <c r="U118">
        <v>-2.9785160000000001E-2</v>
      </c>
      <c r="V118">
        <v>6.0247700000000001E-2</v>
      </c>
      <c r="W118">
        <v>0.2123121</v>
      </c>
      <c r="X118">
        <v>0.97534290000000001</v>
      </c>
      <c r="Y118">
        <v>2.3083630000000001E-2</v>
      </c>
      <c r="Z118">
        <v>7.8423950000000001E-4</v>
      </c>
      <c r="AA118">
        <v>0.99973319999999999</v>
      </c>
      <c r="AB118">
        <v>32</v>
      </c>
      <c r="AC118">
        <v>284.04169999999999</v>
      </c>
      <c r="AD118">
        <v>8.9226669999999899</v>
      </c>
      <c r="AE118">
        <v>-2.7877999999999998</v>
      </c>
      <c r="AF118">
        <v>6.57034267185474</v>
      </c>
      <c r="AG118">
        <v>8.9226669999999899</v>
      </c>
      <c r="AH118">
        <v>283.69930762489901</v>
      </c>
      <c r="AI118">
        <v>88.199058759264105</v>
      </c>
      <c r="AJ118">
        <v>88.673293831369406</v>
      </c>
      <c r="AK118">
        <v>283.915622212068</v>
      </c>
      <c r="AL118">
        <v>77.742118190051997</v>
      </c>
      <c r="AM118">
        <v>86.465285676975995</v>
      </c>
      <c r="AN118">
        <v>0.99999999287105501</v>
      </c>
    </row>
    <row r="119" spans="1:40" x14ac:dyDescent="0.25">
      <c r="A119" t="str">
        <f>"20190303170718361"</f>
        <v>20190303170718361</v>
      </c>
      <c r="B119" t="str">
        <f>"1551604038352605"</f>
        <v>1551604038352605</v>
      </c>
      <c r="C119" t="s">
        <v>40</v>
      </c>
      <c r="D119">
        <v>4.3014619999999999</v>
      </c>
      <c r="E119">
        <v>0.490867</v>
      </c>
      <c r="F119" t="s">
        <v>43</v>
      </c>
      <c r="G119">
        <v>-362.73439999999999</v>
      </c>
      <c r="H119" s="1">
        <v>-3.6899609999999998E-6</v>
      </c>
      <c r="I119">
        <v>366.28609999999998</v>
      </c>
      <c r="J119">
        <v>-452.57029999999997</v>
      </c>
      <c r="K119">
        <v>1.119469</v>
      </c>
      <c r="L119">
        <v>367.57409999999999</v>
      </c>
      <c r="M119">
        <v>0.99991419999999998</v>
      </c>
      <c r="N119">
        <v>-3.150609E-3</v>
      </c>
      <c r="O119">
        <v>1.271835E-2</v>
      </c>
      <c r="P119">
        <v>0.97682840000000004</v>
      </c>
      <c r="Q119">
        <v>0.20863329999999999</v>
      </c>
      <c r="R119">
        <v>-4.7731389999999999E-2</v>
      </c>
      <c r="S119">
        <v>3.0780639999999999</v>
      </c>
      <c r="T119">
        <v>-3.8218740000000001E-2</v>
      </c>
      <c r="U119">
        <v>-4.3853759999999999E-2</v>
      </c>
      <c r="V119">
        <v>6.0448759999999997E-2</v>
      </c>
      <c r="W119">
        <v>0.2116229</v>
      </c>
      <c r="X119">
        <v>0.97548029999999997</v>
      </c>
      <c r="Y119">
        <v>2.6958570000000001E-2</v>
      </c>
      <c r="Z119">
        <v>-3.2765879999999999E-4</v>
      </c>
      <c r="AA119">
        <v>0.99963650000000004</v>
      </c>
      <c r="AB119">
        <v>32</v>
      </c>
      <c r="AC119">
        <v>89.835899999999896</v>
      </c>
      <c r="AD119">
        <v>-1.1194726899609999</v>
      </c>
      <c r="AE119">
        <v>-1.28800000000001</v>
      </c>
      <c r="AF119">
        <v>2.4300885849670002</v>
      </c>
      <c r="AG119">
        <v>-1.1194726899609999</v>
      </c>
      <c r="AH119">
        <v>89.798311162551997</v>
      </c>
      <c r="AI119">
        <v>90.713980779309594</v>
      </c>
      <c r="AJ119">
        <v>88.449861200768893</v>
      </c>
      <c r="AK119">
        <v>89.838161364093295</v>
      </c>
      <c r="AL119">
        <v>77.782525442361006</v>
      </c>
      <c r="AM119">
        <v>86.454017864793101</v>
      </c>
      <c r="AN119">
        <v>1.00000006003901</v>
      </c>
    </row>
    <row r="120" spans="1:40" x14ac:dyDescent="0.25">
      <c r="A120" t="str">
        <f>"20190303170718384"</f>
        <v>20190303170718384</v>
      </c>
      <c r="B120" t="str">
        <f>"1551604038372125"</f>
        <v>1551604038372125</v>
      </c>
      <c r="C120" t="s">
        <v>40</v>
      </c>
      <c r="D120">
        <v>4.3282020000000001</v>
      </c>
      <c r="E120">
        <v>0.49121419999999999</v>
      </c>
      <c r="F120" t="s">
        <v>43</v>
      </c>
      <c r="G120">
        <v>-386.79610000000002</v>
      </c>
      <c r="H120" s="1">
        <v>-1.891384E-6</v>
      </c>
      <c r="I120">
        <v>366.60239999999999</v>
      </c>
      <c r="J120">
        <v>-452.2337</v>
      </c>
      <c r="K120">
        <v>1.119642</v>
      </c>
      <c r="L120">
        <v>367.57780000000002</v>
      </c>
      <c r="M120">
        <v>0.99991909999999895</v>
      </c>
      <c r="N120">
        <v>-4.0484689999999999E-3</v>
      </c>
      <c r="O120">
        <v>1.2064750000000001E-2</v>
      </c>
      <c r="P120">
        <v>0.9770489</v>
      </c>
      <c r="Q120">
        <v>0.2074348</v>
      </c>
      <c r="R120">
        <v>-4.8440270000000001E-2</v>
      </c>
      <c r="S120">
        <v>3.0801699999999999</v>
      </c>
      <c r="T120">
        <v>-5.2424190000000002E-2</v>
      </c>
      <c r="U120">
        <v>-4.5501710000000001E-2</v>
      </c>
      <c r="V120">
        <v>6.0529090000000001E-2</v>
      </c>
      <c r="W120">
        <v>0.21129899999999999</v>
      </c>
      <c r="X120">
        <v>0.97554549999999995</v>
      </c>
      <c r="Y120">
        <v>2.6827489999999999E-2</v>
      </c>
      <c r="Z120">
        <v>-4.3906220000000001E-4</v>
      </c>
      <c r="AA120">
        <v>0.99963999999999997</v>
      </c>
      <c r="AB120">
        <v>32</v>
      </c>
      <c r="AC120">
        <v>65.437599999999904</v>
      </c>
      <c r="AD120">
        <v>-1.1196438913839999</v>
      </c>
      <c r="AE120">
        <v>-0.97540000000003502</v>
      </c>
      <c r="AF120">
        <v>1.76430730500393</v>
      </c>
      <c r="AG120">
        <v>-1.1196438913839999</v>
      </c>
      <c r="AH120">
        <v>65.401926684843403</v>
      </c>
      <c r="AI120">
        <v>90.980418840020107</v>
      </c>
      <c r="AJ120">
        <v>88.454741979431304</v>
      </c>
      <c r="AK120">
        <v>65.435299317720194</v>
      </c>
      <c r="AL120">
        <v>77.8015125508892</v>
      </c>
      <c r="AM120">
        <v>86.449554378168301</v>
      </c>
      <c r="AN120">
        <v>1.00000003035373</v>
      </c>
    </row>
    <row r="121" spans="1:40" x14ac:dyDescent="0.25">
      <c r="A121" t="str">
        <f>"20190303170718408"</f>
        <v>20190303170718408</v>
      </c>
      <c r="B121" t="str">
        <f>"1551604038402381"</f>
        <v>1551604038402381</v>
      </c>
      <c r="C121" t="s">
        <v>40</v>
      </c>
      <c r="D121">
        <v>4.3222820000000004</v>
      </c>
      <c r="E121">
        <v>0.491373</v>
      </c>
      <c r="F121" t="s">
        <v>43</v>
      </c>
      <c r="G121">
        <v>-397.68090000000001</v>
      </c>
      <c r="H121" s="1">
        <v>-1.5563029999999999E-6</v>
      </c>
      <c r="I121">
        <v>366.68079999999998</v>
      </c>
      <c r="J121">
        <v>-451.89460000000003</v>
      </c>
      <c r="K121">
        <v>1.119823</v>
      </c>
      <c r="L121">
        <v>367.58109999999999</v>
      </c>
      <c r="M121">
        <v>0.99992250000000005</v>
      </c>
      <c r="N121">
        <v>-5.0390369999999997E-3</v>
      </c>
      <c r="O121">
        <v>1.139134E-2</v>
      </c>
      <c r="P121">
        <v>0.97727379999999997</v>
      </c>
      <c r="Q121">
        <v>0.20637610000000001</v>
      </c>
      <c r="R121">
        <v>-4.8425009999999998E-2</v>
      </c>
      <c r="S121">
        <v>3.0813600000000001</v>
      </c>
      <c r="T121">
        <v>-6.3241839999999994E-2</v>
      </c>
      <c r="U121">
        <v>-5.0659179999999998E-2</v>
      </c>
      <c r="V121">
        <v>5.986176E-2</v>
      </c>
      <c r="W121">
        <v>0.21120810000000001</v>
      </c>
      <c r="X121">
        <v>0.97560630000000004</v>
      </c>
      <c r="Y121">
        <v>2.7818530000000001E-2</v>
      </c>
      <c r="Z121">
        <v>-5.3189250000000002E-4</v>
      </c>
      <c r="AA121">
        <v>0.99961290000000003</v>
      </c>
      <c r="AB121">
        <v>32</v>
      </c>
      <c r="AC121">
        <v>54.213700000000003</v>
      </c>
      <c r="AD121">
        <v>-1.119824556303</v>
      </c>
      <c r="AE121">
        <v>-0.90030000000001498</v>
      </c>
      <c r="AF121">
        <v>1.51716892776306</v>
      </c>
      <c r="AG121">
        <v>-1.119824556303</v>
      </c>
      <c r="AH121">
        <v>54.176817882743102</v>
      </c>
      <c r="AI121">
        <v>91.1836603804974</v>
      </c>
      <c r="AJ121">
        <v>88.395906830630906</v>
      </c>
      <c r="AK121">
        <v>54.209624648139602</v>
      </c>
      <c r="AL121">
        <v>77.806840273238095</v>
      </c>
      <c r="AM121">
        <v>86.488817653136294</v>
      </c>
      <c r="AN121">
        <v>0.99999997220779802</v>
      </c>
    </row>
    <row r="122" spans="1:40" x14ac:dyDescent="0.25">
      <c r="A122" t="str">
        <f>"20190303170718428"</f>
        <v>20190303170718428</v>
      </c>
      <c r="B122" t="str">
        <f>"1551604038421901"</f>
        <v>1551604038421901</v>
      </c>
      <c r="C122" t="s">
        <v>40</v>
      </c>
      <c r="D122">
        <v>4.3326849999999997</v>
      </c>
      <c r="E122">
        <v>0.49122660000000001</v>
      </c>
      <c r="F122" t="s">
        <v>46</v>
      </c>
      <c r="G122">
        <v>-401.53039999999999</v>
      </c>
      <c r="H122">
        <v>-0.05</v>
      </c>
      <c r="I122">
        <v>366.7269</v>
      </c>
      <c r="J122">
        <v>-451.59809999999999</v>
      </c>
      <c r="K122">
        <v>1.1199300000000001</v>
      </c>
      <c r="L122">
        <v>367.58390000000003</v>
      </c>
      <c r="M122">
        <v>0.99992519999999996</v>
      </c>
      <c r="N122">
        <v>-5.7999879999999998E-3</v>
      </c>
      <c r="O122">
        <v>1.0774260000000001E-2</v>
      </c>
      <c r="P122">
        <v>0.97742459999999998</v>
      </c>
      <c r="Q122">
        <v>0.20561879999999999</v>
      </c>
      <c r="R122">
        <v>-4.8603710000000001E-2</v>
      </c>
      <c r="S122">
        <v>3.082306</v>
      </c>
      <c r="T122">
        <v>-7.1593519999999994E-2</v>
      </c>
      <c r="U122">
        <v>-5.2276610000000001E-2</v>
      </c>
      <c r="V122">
        <v>5.9441720000000003E-2</v>
      </c>
      <c r="W122">
        <v>0.2111942</v>
      </c>
      <c r="X122">
        <v>0.97563509999999998</v>
      </c>
      <c r="Y122">
        <v>2.7718719999999999E-2</v>
      </c>
      <c r="Z122">
        <v>-5.8997979999999997E-4</v>
      </c>
      <c r="AA122">
        <v>0.99961560000000005</v>
      </c>
      <c r="AB122">
        <v>32</v>
      </c>
      <c r="AC122">
        <v>50.067700000000002</v>
      </c>
      <c r="AD122">
        <v>-1.1699299999999999</v>
      </c>
      <c r="AE122">
        <v>-0.85700000000002696</v>
      </c>
      <c r="AF122">
        <v>1.39563989358032</v>
      </c>
      <c r="AG122">
        <v>-1.1699299999999999</v>
      </c>
      <c r="AH122">
        <v>50.028251907614496</v>
      </c>
      <c r="AI122">
        <v>91.339118980951895</v>
      </c>
      <c r="AJ122">
        <v>88.402032085191706</v>
      </c>
      <c r="AK122">
        <v>50.061387674026598</v>
      </c>
      <c r="AL122">
        <v>77.8076563771846</v>
      </c>
      <c r="AM122">
        <v>86.513496711643796</v>
      </c>
      <c r="AN122">
        <v>1.0000000782711</v>
      </c>
    </row>
    <row r="123" spans="1:40" x14ac:dyDescent="0.25">
      <c r="A123" t="str">
        <f>"20190303170718449"</f>
        <v>20190303170718449</v>
      </c>
      <c r="B123" t="str">
        <f>"1551604038441929"</f>
        <v>1551604038441929</v>
      </c>
      <c r="C123" t="s">
        <v>40</v>
      </c>
      <c r="D123">
        <v>4.4094949999999997</v>
      </c>
      <c r="E123">
        <v>0.49103079999999999</v>
      </c>
      <c r="F123" t="s">
        <v>46</v>
      </c>
      <c r="G123">
        <v>-403.54719999999998</v>
      </c>
      <c r="H123">
        <v>-0.05</v>
      </c>
      <c r="I123">
        <v>366.78800000000001</v>
      </c>
      <c r="J123">
        <v>-451.28739999999999</v>
      </c>
      <c r="K123">
        <v>1.119999</v>
      </c>
      <c r="L123">
        <v>367.58659999999998</v>
      </c>
      <c r="M123">
        <v>0.99992769999999997</v>
      </c>
      <c r="N123">
        <v>-6.5070269999999899E-3</v>
      </c>
      <c r="O123">
        <v>1.0126130000000001E-2</v>
      </c>
      <c r="P123">
        <v>0.97754850000000004</v>
      </c>
      <c r="Q123">
        <v>0.20487730000000001</v>
      </c>
      <c r="R123">
        <v>-4.9238579999999997E-2</v>
      </c>
      <c r="S123">
        <v>3.0825499999999999</v>
      </c>
      <c r="T123">
        <v>-7.5053220000000004E-2</v>
      </c>
      <c r="U123">
        <v>-5.1055910000000003E-2</v>
      </c>
      <c r="V123">
        <v>5.9449210000000002E-2</v>
      </c>
      <c r="W123">
        <v>0.21114240000000001</v>
      </c>
      <c r="X123">
        <v>0.97564580000000001</v>
      </c>
      <c r="Y123">
        <v>2.6673079999999998E-2</v>
      </c>
      <c r="Z123">
        <v>-5.9206669999999995E-4</v>
      </c>
      <c r="AA123">
        <v>0.99964399999999998</v>
      </c>
      <c r="AB123">
        <v>32</v>
      </c>
      <c r="AC123">
        <v>47.740200000000002</v>
      </c>
      <c r="AD123">
        <v>-1.169999</v>
      </c>
      <c r="AE123">
        <v>-0.79859999999996401</v>
      </c>
      <c r="AF123">
        <v>1.2812233729094</v>
      </c>
      <c r="AG123">
        <v>-1.169999</v>
      </c>
      <c r="AH123">
        <v>47.701022979212503</v>
      </c>
      <c r="AI123">
        <v>91.404548768743197</v>
      </c>
      <c r="AJ123">
        <v>88.4614366348478</v>
      </c>
      <c r="AK123">
        <v>47.732567752580103</v>
      </c>
      <c r="AL123">
        <v>77.810692102506096</v>
      </c>
      <c r="AM123">
        <v>86.513096623246895</v>
      </c>
      <c r="AN123">
        <v>1.00000002435251</v>
      </c>
    </row>
    <row r="124" spans="1:40" x14ac:dyDescent="0.25">
      <c r="A124" t="str">
        <f>"20190303170718473"</f>
        <v>20190303170718473</v>
      </c>
      <c r="B124" t="str">
        <f>"1551604038462423"</f>
        <v>1551604038462423</v>
      </c>
      <c r="C124" t="s">
        <v>40</v>
      </c>
      <c r="D124">
        <v>4.3908849999999999</v>
      </c>
      <c r="E124">
        <v>0.49107050000000002</v>
      </c>
      <c r="F124" t="s">
        <v>46</v>
      </c>
      <c r="G124">
        <v>-405.34050000000002</v>
      </c>
      <c r="H124">
        <v>-0.05</v>
      </c>
      <c r="I124">
        <v>366.83609999999999</v>
      </c>
      <c r="J124">
        <v>-450.95609999999999</v>
      </c>
      <c r="K124">
        <v>1.120052</v>
      </c>
      <c r="L124">
        <v>367.58920000000001</v>
      </c>
      <c r="M124">
        <v>0.99992950000000003</v>
      </c>
      <c r="N124">
        <v>-7.1950729999999997E-3</v>
      </c>
      <c r="O124">
        <v>9.4477510000000008E-3</v>
      </c>
      <c r="P124">
        <v>0.97769459999999997</v>
      </c>
      <c r="Q124">
        <v>0.20400989999999999</v>
      </c>
      <c r="R124">
        <v>-4.9932230000000001E-2</v>
      </c>
      <c r="S124">
        <v>3.0828250000000001</v>
      </c>
      <c r="T124">
        <v>-7.8501580000000001E-2</v>
      </c>
      <c r="U124">
        <v>-5.0354000000000003E-2</v>
      </c>
      <c r="V124">
        <v>5.9486659999999997E-2</v>
      </c>
      <c r="W124">
        <v>0.2109462</v>
      </c>
      <c r="X124">
        <v>0.97568600000000005</v>
      </c>
      <c r="Y124">
        <v>2.576527E-2</v>
      </c>
      <c r="Z124">
        <v>-5.9324970000000003E-4</v>
      </c>
      <c r="AA124">
        <v>0.9996678</v>
      </c>
      <c r="AB124">
        <v>32</v>
      </c>
      <c r="AC124">
        <v>45.615599999999901</v>
      </c>
      <c r="AD124">
        <v>-1.1700520000000001</v>
      </c>
      <c r="AE124">
        <v>-0.75310000000001698</v>
      </c>
      <c r="AF124">
        <v>1.18326406590247</v>
      </c>
      <c r="AG124">
        <v>-1.1700520000000001</v>
      </c>
      <c r="AH124">
        <v>45.576470517544799</v>
      </c>
      <c r="AI124">
        <v>91.470095242789498</v>
      </c>
      <c r="AJ124">
        <v>88.512811322829194</v>
      </c>
      <c r="AK124">
        <v>45.606839403416103</v>
      </c>
      <c r="AL124">
        <v>77.822193083586797</v>
      </c>
      <c r="AM124">
        <v>86.511048876712493</v>
      </c>
      <c r="AN124">
        <v>1.0000000663041899</v>
      </c>
    </row>
    <row r="125" spans="1:40" x14ac:dyDescent="0.25">
      <c r="A125" t="str">
        <f>"20190303170718497"</f>
        <v>20190303170718497</v>
      </c>
      <c r="B125" t="str">
        <f>"1551604038491704"</f>
        <v>1551604038491704</v>
      </c>
      <c r="C125" t="s">
        <v>40</v>
      </c>
      <c r="D125">
        <v>4.4260809999999999</v>
      </c>
      <c r="E125">
        <v>0.4910041</v>
      </c>
      <c r="F125" t="s">
        <v>46</v>
      </c>
      <c r="G125">
        <v>-406.464</v>
      </c>
      <c r="H125">
        <v>-0.05</v>
      </c>
      <c r="I125">
        <v>366.8254</v>
      </c>
      <c r="J125">
        <v>-450.60019999999997</v>
      </c>
      <c r="K125">
        <v>1.120096</v>
      </c>
      <c r="L125">
        <v>367.5917</v>
      </c>
      <c r="M125">
        <v>0.99993109999999996</v>
      </c>
      <c r="N125">
        <v>-7.8624419999999903E-3</v>
      </c>
      <c r="O125">
        <v>8.7210099999999995E-3</v>
      </c>
      <c r="P125">
        <v>0.97780350000000005</v>
      </c>
      <c r="Q125">
        <v>0.2031964</v>
      </c>
      <c r="R125">
        <v>-5.1104799999999999E-2</v>
      </c>
      <c r="S125">
        <v>3.0826419999999999</v>
      </c>
      <c r="T125">
        <v>-8.1067089999999994E-2</v>
      </c>
      <c r="U125">
        <v>-5.2917480000000003E-2</v>
      </c>
      <c r="V125">
        <v>5.9951829999999998E-2</v>
      </c>
      <c r="W125">
        <v>0.2107831</v>
      </c>
      <c r="X125">
        <v>0.97569269999999997</v>
      </c>
      <c r="Y125">
        <v>2.5869989999999999E-2</v>
      </c>
      <c r="Z125">
        <v>-6.0254699999999896E-4</v>
      </c>
      <c r="AA125">
        <v>0.99966509999999997</v>
      </c>
      <c r="AB125">
        <v>32</v>
      </c>
      <c r="AC125">
        <v>44.136199999999903</v>
      </c>
      <c r="AD125">
        <v>-1.17009599999999</v>
      </c>
      <c r="AE125">
        <v>-0.76630000000000098</v>
      </c>
      <c r="AF125">
        <v>1.1503866931140201</v>
      </c>
      <c r="AG125">
        <v>-1.17009599999999</v>
      </c>
      <c r="AH125">
        <v>44.0968548824181</v>
      </c>
      <c r="AI125">
        <v>91.519451881235895</v>
      </c>
      <c r="AJ125">
        <v>88.505622317776499</v>
      </c>
      <c r="AK125">
        <v>44.127373870580001</v>
      </c>
      <c r="AL125">
        <v>77.831752045857598</v>
      </c>
      <c r="AM125">
        <v>86.483858466988906</v>
      </c>
      <c r="AN125">
        <v>0.999999990999624</v>
      </c>
    </row>
    <row r="126" spans="1:40" x14ac:dyDescent="0.25">
      <c r="A126" t="str">
        <f>"20190303170718520"</f>
        <v>20190303170718520</v>
      </c>
      <c r="B126" t="str">
        <f>"1551604038512199"</f>
        <v>1551604038512199</v>
      </c>
      <c r="C126" t="s">
        <v>40</v>
      </c>
      <c r="D126">
        <v>4.3949910000000001</v>
      </c>
      <c r="E126">
        <v>0.49081740000000001</v>
      </c>
      <c r="F126" t="s">
        <v>46</v>
      </c>
      <c r="G126">
        <v>-408.43299999999999</v>
      </c>
      <c r="H126">
        <v>-0.05</v>
      </c>
      <c r="I126">
        <v>366.8279</v>
      </c>
      <c r="J126">
        <v>-450.27350000000001</v>
      </c>
      <c r="K126">
        <v>1.120126</v>
      </c>
      <c r="L126">
        <v>367.59379999999999</v>
      </c>
      <c r="M126">
        <v>0.9999323</v>
      </c>
      <c r="N126">
        <v>-8.4061129999999998E-3</v>
      </c>
      <c r="O126">
        <v>8.0505819999999902E-3</v>
      </c>
      <c r="P126">
        <v>0.97782860000000005</v>
      </c>
      <c r="Q126">
        <v>0.20263729999999999</v>
      </c>
      <c r="R126">
        <v>-5.2814090000000001E-2</v>
      </c>
      <c r="S126">
        <v>3.0829469999999999</v>
      </c>
      <c r="T126">
        <v>-8.5548520000000003E-2</v>
      </c>
      <c r="U126">
        <v>-5.5847170000000002E-2</v>
      </c>
      <c r="V126">
        <v>6.1005459999999997E-2</v>
      </c>
      <c r="W126">
        <v>0.2107532</v>
      </c>
      <c r="X126">
        <v>0.97563390000000005</v>
      </c>
      <c r="Y126">
        <v>2.6146240000000001E-2</v>
      </c>
      <c r="Z126">
        <v>-6.2827450000000002E-4</v>
      </c>
      <c r="AA126">
        <v>0.99965789999999999</v>
      </c>
      <c r="AB126">
        <v>32</v>
      </c>
      <c r="AC126">
        <v>41.840499999999899</v>
      </c>
      <c r="AD126">
        <v>-1.170126</v>
      </c>
      <c r="AE126">
        <v>-0.76589999999998704</v>
      </c>
      <c r="AF126">
        <v>1.10186594361444</v>
      </c>
      <c r="AG126">
        <v>-1.170126</v>
      </c>
      <c r="AH126">
        <v>41.800296087228901</v>
      </c>
      <c r="AI126">
        <v>91.602919620993802</v>
      </c>
      <c r="AJ126">
        <v>88.490019033026499</v>
      </c>
      <c r="AK126">
        <v>41.831185213827901</v>
      </c>
      <c r="AL126">
        <v>77.833505189753794</v>
      </c>
      <c r="AM126">
        <v>86.422007715549995</v>
      </c>
      <c r="AN126">
        <v>1.00000004214463</v>
      </c>
    </row>
    <row r="127" spans="1:40" x14ac:dyDescent="0.25">
      <c r="A127" t="str">
        <f>"20190303170718541"</f>
        <v>20190303170718541</v>
      </c>
      <c r="B127" t="str">
        <f>"1551604038532695"</f>
        <v>1551604038532695</v>
      </c>
      <c r="C127" t="s">
        <v>40</v>
      </c>
      <c r="D127">
        <v>4.4380139999999999</v>
      </c>
      <c r="E127">
        <v>0.49062939999999999</v>
      </c>
      <c r="F127" t="s">
        <v>46</v>
      </c>
      <c r="G127">
        <v>-409.58879999999999</v>
      </c>
      <c r="H127">
        <v>-0.05</v>
      </c>
      <c r="I127">
        <v>366.81369999999998</v>
      </c>
      <c r="J127">
        <v>-449.9624</v>
      </c>
      <c r="K127">
        <v>1.1201570000000001</v>
      </c>
      <c r="L127">
        <v>367.59559999999999</v>
      </c>
      <c r="M127">
        <v>0.99993339999999997</v>
      </c>
      <c r="N127">
        <v>-8.8639259999999994E-3</v>
      </c>
      <c r="O127">
        <v>7.4093479999999996E-3</v>
      </c>
      <c r="P127">
        <v>0.97785169999999999</v>
      </c>
      <c r="Q127">
        <v>0.20230780000000001</v>
      </c>
      <c r="R127">
        <v>-5.3645859999999997E-2</v>
      </c>
      <c r="S127">
        <v>3.0831909999999998</v>
      </c>
      <c r="T127">
        <v>-8.8675260000000006E-2</v>
      </c>
      <c r="U127">
        <v>-5.911255E-2</v>
      </c>
      <c r="V127">
        <v>6.1208419999999999E-2</v>
      </c>
      <c r="W127">
        <v>0.2108717</v>
      </c>
      <c r="X127">
        <v>0.97559549999999995</v>
      </c>
      <c r="Y127">
        <v>2.6560919999999998E-2</v>
      </c>
      <c r="Z127">
        <v>-6.469825E-4</v>
      </c>
      <c r="AA127">
        <v>0.99964699999999995</v>
      </c>
      <c r="AB127">
        <v>32</v>
      </c>
      <c r="AC127">
        <v>40.373600000000003</v>
      </c>
      <c r="AD127">
        <v>-1.1701569999999999</v>
      </c>
      <c r="AE127">
        <v>-0.78190000000000703</v>
      </c>
      <c r="AF127">
        <v>1.0801253051736099</v>
      </c>
      <c r="AG127">
        <v>-1.1701569999999999</v>
      </c>
      <c r="AH127">
        <v>40.332830108975799</v>
      </c>
      <c r="AI127">
        <v>91.661233463512303</v>
      </c>
      <c r="AJ127">
        <v>88.465968472350198</v>
      </c>
      <c r="AK127">
        <v>40.364255507553104</v>
      </c>
      <c r="AL127">
        <v>77.826558557873994</v>
      </c>
      <c r="AM127">
        <v>86.409994185775801</v>
      </c>
      <c r="AN127">
        <v>0.99999996208001696</v>
      </c>
    </row>
    <row r="128" spans="1:40" x14ac:dyDescent="0.25">
      <c r="A128" t="str">
        <f>"20190303170718562"</f>
        <v>20190303170718562</v>
      </c>
      <c r="B128" t="str">
        <f>"1551604038552216"</f>
        <v>1551604038552216</v>
      </c>
      <c r="C128" t="s">
        <v>40</v>
      </c>
      <c r="D128">
        <v>4.3987610000000004</v>
      </c>
      <c r="E128">
        <v>0.49065589999999998</v>
      </c>
      <c r="F128" t="s">
        <v>46</v>
      </c>
      <c r="G128">
        <v>-410.13130000000001</v>
      </c>
      <c r="H128">
        <v>-0.05</v>
      </c>
      <c r="I128">
        <v>366.8134</v>
      </c>
      <c r="J128">
        <v>-449.65629999999999</v>
      </c>
      <c r="K128">
        <v>1.1201779999999999</v>
      </c>
      <c r="L128">
        <v>367.59710000000001</v>
      </c>
      <c r="M128">
        <v>0.99993410000000005</v>
      </c>
      <c r="N128">
        <v>-9.2622799999999995E-3</v>
      </c>
      <c r="O128">
        <v>6.7778259999999998E-3</v>
      </c>
      <c r="P128">
        <v>0.97802</v>
      </c>
      <c r="Q128">
        <v>0.20143230000000001</v>
      </c>
      <c r="R128">
        <v>-5.3871759999999998E-2</v>
      </c>
      <c r="S128">
        <v>3.0833740000000001</v>
      </c>
      <c r="T128">
        <v>-9.0583440000000001E-2</v>
      </c>
      <c r="U128">
        <v>-6.0546879999999997E-2</v>
      </c>
      <c r="V128">
        <v>6.0814569999999998E-2</v>
      </c>
      <c r="W128">
        <v>0.21038780000000001</v>
      </c>
      <c r="X128">
        <v>0.97572460000000005</v>
      </c>
      <c r="Y128">
        <v>2.6392800000000001E-2</v>
      </c>
      <c r="Z128">
        <v>-6.4613669999999998E-4</v>
      </c>
      <c r="AA128">
        <v>0.99965139999999997</v>
      </c>
      <c r="AB128">
        <v>32</v>
      </c>
      <c r="AC128">
        <v>39.524999999999899</v>
      </c>
      <c r="AD128">
        <v>-1.1701779999999999</v>
      </c>
      <c r="AE128">
        <v>-0.78370000000001006</v>
      </c>
      <c r="AF128">
        <v>1.0506665060831999</v>
      </c>
      <c r="AG128">
        <v>-1.1701779999999999</v>
      </c>
      <c r="AH128">
        <v>39.484185094162598</v>
      </c>
      <c r="AI128">
        <v>91.696956327696199</v>
      </c>
      <c r="AJ128">
        <v>88.475730122914698</v>
      </c>
      <c r="AK128">
        <v>39.515491762203602</v>
      </c>
      <c r="AL128">
        <v>77.854920312597201</v>
      </c>
      <c r="AM128">
        <v>86.433505238765505</v>
      </c>
      <c r="AN128">
        <v>0.99999996667914104</v>
      </c>
    </row>
    <row r="129" spans="1:40" x14ac:dyDescent="0.25">
      <c r="A129" t="str">
        <f>"20190303170718584"</f>
        <v>20190303170718584</v>
      </c>
      <c r="B129" t="str">
        <f>"1551604038571735"</f>
        <v>1551604038571735</v>
      </c>
      <c r="C129" t="s">
        <v>40</v>
      </c>
      <c r="D129">
        <v>4.4463089999999896</v>
      </c>
      <c r="E129">
        <v>0.490587</v>
      </c>
      <c r="F129" t="s">
        <v>46</v>
      </c>
      <c r="G129">
        <v>-410.9119</v>
      </c>
      <c r="H129">
        <v>-0.05</v>
      </c>
      <c r="I129">
        <v>366.84859999999998</v>
      </c>
      <c r="J129">
        <v>-449.33260000000001</v>
      </c>
      <c r="K129">
        <v>1.120204</v>
      </c>
      <c r="L129">
        <v>367.59859999999998</v>
      </c>
      <c r="M129">
        <v>0.99993500000000002</v>
      </c>
      <c r="N129">
        <v>-9.6332999999999992E-3</v>
      </c>
      <c r="O129">
        <v>6.1108009999999999E-3</v>
      </c>
      <c r="P129">
        <v>0.97824670000000002</v>
      </c>
      <c r="Q129">
        <v>0.20011789999999999</v>
      </c>
      <c r="R129">
        <v>-5.4648250000000002E-2</v>
      </c>
      <c r="S129">
        <v>3.0832820000000001</v>
      </c>
      <c r="T129">
        <v>-9.3122839999999998E-2</v>
      </c>
      <c r="U129">
        <v>-5.9570310000000001E-2</v>
      </c>
      <c r="V129">
        <v>6.093639E-2</v>
      </c>
      <c r="W129">
        <v>0.20943899999999999</v>
      </c>
      <c r="X129">
        <v>0.97592120000000004</v>
      </c>
      <c r="Y129">
        <v>2.5409830000000001E-2</v>
      </c>
      <c r="Z129">
        <v>-6.3168890000000002E-4</v>
      </c>
      <c r="AA129">
        <v>0.99967689999999998</v>
      </c>
      <c r="AB129">
        <v>32</v>
      </c>
      <c r="AC129">
        <v>38.420699999999997</v>
      </c>
      <c r="AD129">
        <v>-1.170204</v>
      </c>
      <c r="AE129">
        <v>-0.75</v>
      </c>
      <c r="AF129">
        <v>0.98386577159287802</v>
      </c>
      <c r="AG129">
        <v>-1.170204</v>
      </c>
      <c r="AH129">
        <v>38.379809101361602</v>
      </c>
      <c r="AI129">
        <v>91.745839482639894</v>
      </c>
      <c r="AJ129">
        <v>88.531545249559699</v>
      </c>
      <c r="AK129">
        <v>38.410247537800203</v>
      </c>
      <c r="AL129">
        <v>77.910522532410099</v>
      </c>
      <c r="AM129">
        <v>86.427097594792897</v>
      </c>
      <c r="AN129">
        <v>1.0000000634783299</v>
      </c>
    </row>
    <row r="130" spans="1:40" x14ac:dyDescent="0.25">
      <c r="A130" t="str">
        <f>"20190303170718605"</f>
        <v>20190303170718605</v>
      </c>
      <c r="B130" t="str">
        <f>"1551604038601991"</f>
        <v>1551604038601991</v>
      </c>
      <c r="C130" t="s">
        <v>40</v>
      </c>
      <c r="D130">
        <v>4.4590649999999998</v>
      </c>
      <c r="E130">
        <v>0.49048809999999898</v>
      </c>
      <c r="F130" t="s">
        <v>46</v>
      </c>
      <c r="G130">
        <v>-412.19690000000003</v>
      </c>
      <c r="H130">
        <v>-0.05</v>
      </c>
      <c r="I130">
        <v>366.86930000000001</v>
      </c>
      <c r="J130">
        <v>-449.02569999999997</v>
      </c>
      <c r="K130">
        <v>1.1202219999999901</v>
      </c>
      <c r="L130">
        <v>367.59980000000002</v>
      </c>
      <c r="M130">
        <v>0.99993560000000004</v>
      </c>
      <c r="N130">
        <v>-9.9413580000000008E-3</v>
      </c>
      <c r="O130">
        <v>5.4792290000000004E-3</v>
      </c>
      <c r="P130">
        <v>0.97827189999999997</v>
      </c>
      <c r="Q130">
        <v>0.19996549999999999</v>
      </c>
      <c r="R130">
        <v>-5.4756369999999999E-2</v>
      </c>
      <c r="S130">
        <v>3.0831909999999998</v>
      </c>
      <c r="T130">
        <v>-9.7156049999999994E-2</v>
      </c>
      <c r="U130">
        <v>-6.0546879999999997E-2</v>
      </c>
      <c r="V130">
        <v>6.0424899999999997E-2</v>
      </c>
      <c r="W130">
        <v>0.2095892</v>
      </c>
      <c r="X130">
        <v>0.97592069999999997</v>
      </c>
      <c r="Y130">
        <v>2.5094439999999999E-2</v>
      </c>
      <c r="Z130">
        <v>-6.3818190000000002E-4</v>
      </c>
      <c r="AA130">
        <v>0.99968489999999999</v>
      </c>
      <c r="AB130">
        <v>32</v>
      </c>
      <c r="AC130">
        <v>36.828799999999902</v>
      </c>
      <c r="AD130">
        <v>-1.1702220000000001</v>
      </c>
      <c r="AE130">
        <v>-0.73050000000000603</v>
      </c>
      <c r="AF130">
        <v>0.93135247928758902</v>
      </c>
      <c r="AG130">
        <v>-1.1702220000000001</v>
      </c>
      <c r="AH130">
        <v>36.787117633760403</v>
      </c>
      <c r="AI130">
        <v>91.821418141426193</v>
      </c>
      <c r="AJ130">
        <v>88.549732273774296</v>
      </c>
      <c r="AK130">
        <v>36.817507530658297</v>
      </c>
      <c r="AL130">
        <v>77.901720676889397</v>
      </c>
      <c r="AM130">
        <v>86.457009422481406</v>
      </c>
      <c r="AN130">
        <v>1.0000000069925701</v>
      </c>
    </row>
    <row r="131" spans="1:40" x14ac:dyDescent="0.25">
      <c r="A131" t="str">
        <f>"20190303170718629"</f>
        <v>20190303170718629</v>
      </c>
      <c r="B131" t="str">
        <f>"1551604038622487"</f>
        <v>1551604038622487</v>
      </c>
      <c r="C131" t="s">
        <v>40</v>
      </c>
      <c r="D131">
        <v>4.4434420000000001</v>
      </c>
      <c r="E131">
        <v>0.49050840000000001</v>
      </c>
      <c r="F131" t="s">
        <v>46</v>
      </c>
      <c r="G131">
        <v>-411.59870000000001</v>
      </c>
      <c r="H131">
        <v>-0.05</v>
      </c>
      <c r="I131">
        <v>366.86579999999998</v>
      </c>
      <c r="J131">
        <v>-448.6995</v>
      </c>
      <c r="K131">
        <v>1.120239</v>
      </c>
      <c r="L131">
        <v>367.60079999999999</v>
      </c>
      <c r="M131">
        <v>0.99993620000000005</v>
      </c>
      <c r="N131">
        <v>-1.02285E-2</v>
      </c>
      <c r="O131">
        <v>4.809397E-3</v>
      </c>
      <c r="P131">
        <v>0.97817540000000003</v>
      </c>
      <c r="Q131">
        <v>0.20015769999999999</v>
      </c>
      <c r="R131">
        <v>-5.5767320000000002E-2</v>
      </c>
      <c r="S131">
        <v>3.0829770000000001</v>
      </c>
      <c r="T131">
        <v>-9.6394779999999999E-2</v>
      </c>
      <c r="U131">
        <v>-6.045532E-2</v>
      </c>
      <c r="V131">
        <v>6.0779420000000001E-2</v>
      </c>
      <c r="W131">
        <v>0.210061</v>
      </c>
      <c r="X131">
        <v>0.97579720000000003</v>
      </c>
      <c r="Y131">
        <v>2.4397240000000001E-2</v>
      </c>
      <c r="Z131">
        <v>-6.0725449999999995E-4</v>
      </c>
      <c r="AA131">
        <v>0.99970219999999999</v>
      </c>
      <c r="AB131">
        <v>32</v>
      </c>
      <c r="AC131">
        <v>37.1007999999999</v>
      </c>
      <c r="AD131">
        <v>-1.170239</v>
      </c>
      <c r="AE131">
        <v>-0.73500000000001298</v>
      </c>
      <c r="AF131">
        <v>0.91252577334437701</v>
      </c>
      <c r="AG131">
        <v>-1.170239</v>
      </c>
      <c r="AH131">
        <v>37.059979009153203</v>
      </c>
      <c r="AI131">
        <v>91.808074084784494</v>
      </c>
      <c r="AJ131">
        <v>88.589494264066502</v>
      </c>
      <c r="AK131">
        <v>37.089677900502402</v>
      </c>
      <c r="AL131">
        <v>77.874072589746504</v>
      </c>
      <c r="AM131">
        <v>86.435825821562801</v>
      </c>
      <c r="AN131">
        <v>0.99999996857218698</v>
      </c>
    </row>
    <row r="132" spans="1:40" x14ac:dyDescent="0.25">
      <c r="A132" t="str">
        <f>"20190303170718650"</f>
        <v>20190303170718650</v>
      </c>
      <c r="B132" t="str">
        <f>"1551604038642009"</f>
        <v>1551604038642009</v>
      </c>
      <c r="C132" t="s">
        <v>40</v>
      </c>
      <c r="D132">
        <v>4.5339349999999996</v>
      </c>
      <c r="E132">
        <v>0.49046289999999998</v>
      </c>
      <c r="F132" t="s">
        <v>46</v>
      </c>
      <c r="G132">
        <v>-410.71129999999999</v>
      </c>
      <c r="H132">
        <v>-0.05</v>
      </c>
      <c r="I132">
        <v>366.82119999999998</v>
      </c>
      <c r="J132">
        <v>-448.38010000000003</v>
      </c>
      <c r="K132">
        <v>1.120247</v>
      </c>
      <c r="L132">
        <v>367.60160000000002</v>
      </c>
      <c r="M132">
        <v>0.99993659999999995</v>
      </c>
      <c r="N132">
        <v>-1.047089E-2</v>
      </c>
      <c r="O132">
        <v>4.1547420000000003E-3</v>
      </c>
      <c r="P132">
        <v>0.97817739999999997</v>
      </c>
      <c r="Q132">
        <v>0.19990040000000001</v>
      </c>
      <c r="R132">
        <v>-5.6647410000000002E-2</v>
      </c>
      <c r="S132">
        <v>3.0827640000000001</v>
      </c>
      <c r="T132">
        <v>-9.4965579999999994E-2</v>
      </c>
      <c r="U132">
        <v>-6.3262940000000004E-2</v>
      </c>
      <c r="V132">
        <v>6.1018040000000003E-2</v>
      </c>
      <c r="W132">
        <v>0.21004049999999999</v>
      </c>
      <c r="X132">
        <v>0.97578670000000001</v>
      </c>
      <c r="Y132">
        <v>2.4654570000000001E-2</v>
      </c>
      <c r="Z132">
        <v>-5.9320429999999995E-4</v>
      </c>
      <c r="AA132">
        <v>0.99969580000000002</v>
      </c>
      <c r="AB132">
        <v>32</v>
      </c>
      <c r="AC132">
        <v>37.668799999999997</v>
      </c>
      <c r="AD132">
        <v>-1.170247</v>
      </c>
      <c r="AE132">
        <v>-0.78040000000004195</v>
      </c>
      <c r="AF132">
        <v>0.93600299224674599</v>
      </c>
      <c r="AG132">
        <v>-1.170247</v>
      </c>
      <c r="AH132">
        <v>37.628930603301598</v>
      </c>
      <c r="AI132">
        <v>91.780754728108604</v>
      </c>
      <c r="AJ132">
        <v>88.575086683545095</v>
      </c>
      <c r="AK132">
        <v>37.658757254994399</v>
      </c>
      <c r="AL132">
        <v>77.875273706492607</v>
      </c>
      <c r="AM132">
        <v>86.421830754012902</v>
      </c>
      <c r="AN132">
        <v>0.99999994837128903</v>
      </c>
    </row>
    <row r="133" spans="1:40" x14ac:dyDescent="0.25">
      <c r="A133" t="str">
        <f>"20190303170718676"</f>
        <v>20190303170718676</v>
      </c>
      <c r="B133" t="str">
        <f>"1551604038662504"</f>
        <v>1551604038662504</v>
      </c>
      <c r="C133" t="s">
        <v>40</v>
      </c>
      <c r="D133">
        <v>4.5292409999999999</v>
      </c>
      <c r="E133">
        <v>0.4904232</v>
      </c>
      <c r="F133" t="s">
        <v>46</v>
      </c>
      <c r="G133">
        <v>-410.3537</v>
      </c>
      <c r="H133">
        <v>-0.05</v>
      </c>
      <c r="I133">
        <v>366.79820000000001</v>
      </c>
      <c r="J133">
        <v>-448.0283</v>
      </c>
      <c r="K133">
        <v>1.1202620000000001</v>
      </c>
      <c r="L133">
        <v>367.60230000000001</v>
      </c>
      <c r="M133">
        <v>0.99993690000000002</v>
      </c>
      <c r="N133">
        <v>-1.0705849999999999E-2</v>
      </c>
      <c r="O133">
        <v>3.433878E-3</v>
      </c>
      <c r="P133">
        <v>0.9782305</v>
      </c>
      <c r="Q133">
        <v>0.1994041</v>
      </c>
      <c r="R133">
        <v>-5.7471870000000001E-2</v>
      </c>
      <c r="S133">
        <v>3.0825499999999999</v>
      </c>
      <c r="T133">
        <v>-9.4864130000000005E-2</v>
      </c>
      <c r="U133">
        <v>-6.5124509999999997E-2</v>
      </c>
      <c r="V133">
        <v>6.1136419999999997E-2</v>
      </c>
      <c r="W133">
        <v>0.2097743</v>
      </c>
      <c r="X133">
        <v>0.97583660000000005</v>
      </c>
      <c r="Y133">
        <v>2.4538959999999999E-2</v>
      </c>
      <c r="Z133">
        <v>-5.7775839999999997E-4</v>
      </c>
      <c r="AA133">
        <v>0.99969870000000005</v>
      </c>
      <c r="AB133">
        <v>32</v>
      </c>
      <c r="AC133">
        <v>37.674599999999998</v>
      </c>
      <c r="AD133">
        <v>-1.1702619999999999</v>
      </c>
      <c r="AE133">
        <v>-0.80410000000000503</v>
      </c>
      <c r="AF133">
        <v>0.93257323720938501</v>
      </c>
      <c r="AG133">
        <v>-1.1702619999999999</v>
      </c>
      <c r="AH133">
        <v>37.635319849088297</v>
      </c>
      <c r="AI133">
        <v>91.780479625331495</v>
      </c>
      <c r="AJ133">
        <v>88.580546709639904</v>
      </c>
      <c r="AK133">
        <v>37.665056831691899</v>
      </c>
      <c r="AL133">
        <v>77.890873950030297</v>
      </c>
      <c r="AM133">
        <v>86.415089747980304</v>
      </c>
      <c r="AN133">
        <v>0.99999999434523301</v>
      </c>
    </row>
    <row r="134" spans="1:40" x14ac:dyDescent="0.25">
      <c r="A134" t="str">
        <f>"20190303170718695"</f>
        <v>20190303170718695</v>
      </c>
      <c r="B134" t="str">
        <f>"1551604038691784"</f>
        <v>1551604038691784</v>
      </c>
      <c r="C134" t="s">
        <v>40</v>
      </c>
      <c r="D134">
        <v>4.5190140000000003</v>
      </c>
      <c r="E134">
        <v>0.49050559999999999</v>
      </c>
      <c r="F134" t="s">
        <v>46</v>
      </c>
      <c r="G134">
        <v>-410.31580000000002</v>
      </c>
      <c r="H134">
        <v>-0.05</v>
      </c>
      <c r="I134">
        <v>366.77190000000002</v>
      </c>
      <c r="J134">
        <v>-447.73059999999998</v>
      </c>
      <c r="K134">
        <v>1.1201989999999999</v>
      </c>
      <c r="L134">
        <v>367.6026</v>
      </c>
      <c r="M134">
        <v>0.99994000000000005</v>
      </c>
      <c r="N134">
        <v>-1.058628E-2</v>
      </c>
      <c r="O134">
        <v>2.8280990000000002E-3</v>
      </c>
      <c r="P134">
        <v>0.97828309999999996</v>
      </c>
      <c r="Q134">
        <v>0.19929630000000001</v>
      </c>
      <c r="R134">
        <v>-5.695244E-2</v>
      </c>
      <c r="S134">
        <v>3.0822750000000001</v>
      </c>
      <c r="T134">
        <v>-9.5646620000000002E-2</v>
      </c>
      <c r="U134">
        <v>-6.7871089999999995E-2</v>
      </c>
      <c r="V134">
        <v>6.0019459999999997E-2</v>
      </c>
      <c r="W134">
        <v>0.2095542</v>
      </c>
      <c r="X134">
        <v>0.97595319999999997</v>
      </c>
      <c r="Y134">
        <v>2.4825340000000001E-2</v>
      </c>
      <c r="Z134">
        <v>-5.7430320000000003E-4</v>
      </c>
      <c r="AA134">
        <v>0.99969169999999996</v>
      </c>
      <c r="AB134">
        <v>32</v>
      </c>
      <c r="AC134">
        <v>37.4147999999999</v>
      </c>
      <c r="AD134">
        <v>-1.170199</v>
      </c>
      <c r="AE134">
        <v>-0.83069999999997801</v>
      </c>
      <c r="AF134">
        <v>0.93560059801318396</v>
      </c>
      <c r="AG134">
        <v>-1.170199</v>
      </c>
      <c r="AH134">
        <v>37.375757557917197</v>
      </c>
      <c r="AI134">
        <v>91.792728688207205</v>
      </c>
      <c r="AJ134">
        <v>88.566055204938706</v>
      </c>
      <c r="AK134">
        <v>37.405774516868497</v>
      </c>
      <c r="AL134">
        <v>77.903771160989393</v>
      </c>
      <c r="AM134">
        <v>86.480839190792594</v>
      </c>
      <c r="AN134">
        <v>0.99999997345328495</v>
      </c>
    </row>
    <row r="135" spans="1:40" x14ac:dyDescent="0.25">
      <c r="A135" t="str">
        <f>"20190303170718720"</f>
        <v>20190303170718720</v>
      </c>
      <c r="B135" t="str">
        <f>"1551604038712279"</f>
        <v>1551604038712279</v>
      </c>
      <c r="C135" t="s">
        <v>40</v>
      </c>
      <c r="D135">
        <v>4.4154669999999996</v>
      </c>
      <c r="E135">
        <v>0.49055739999999998</v>
      </c>
      <c r="F135" t="s">
        <v>46</v>
      </c>
      <c r="G135">
        <v>-409.55430000000001</v>
      </c>
      <c r="H135">
        <v>-0.05</v>
      </c>
      <c r="I135">
        <v>366.77429999999998</v>
      </c>
      <c r="J135">
        <v>-447.37880000000001</v>
      </c>
      <c r="K135">
        <v>1.1199239999999999</v>
      </c>
      <c r="L135">
        <v>367.60289999999998</v>
      </c>
      <c r="M135">
        <v>0.99995239999999996</v>
      </c>
      <c r="N135">
        <v>-9.5121389999999993E-3</v>
      </c>
      <c r="O135">
        <v>2.1343360000000001E-3</v>
      </c>
      <c r="P135">
        <v>0.97805419999999998</v>
      </c>
      <c r="Q135">
        <v>0.2004724</v>
      </c>
      <c r="R135">
        <v>-5.6749309999999997E-2</v>
      </c>
      <c r="S135">
        <v>3.0819399999999999</v>
      </c>
      <c r="T135">
        <v>-9.4469189999999995E-2</v>
      </c>
      <c r="U135">
        <v>-6.6864010000000001E-2</v>
      </c>
      <c r="V135">
        <v>5.9120260000000001E-2</v>
      </c>
      <c r="W135">
        <v>0.2096857</v>
      </c>
      <c r="X135">
        <v>0.97597990000000001</v>
      </c>
      <c r="Y135">
        <v>2.3809090000000002E-2</v>
      </c>
      <c r="Z135">
        <v>-5.2316730000000005E-4</v>
      </c>
      <c r="AA135">
        <v>0.99971639999999995</v>
      </c>
      <c r="AB135">
        <v>32</v>
      </c>
      <c r="AC135">
        <v>37.8245</v>
      </c>
      <c r="AD135">
        <v>-1.169924</v>
      </c>
      <c r="AE135">
        <v>-0.82859999999999401</v>
      </c>
      <c r="AF135">
        <v>0.90846326740726702</v>
      </c>
      <c r="AG135">
        <v>-1.169924</v>
      </c>
      <c r="AH135">
        <v>37.7865128027615</v>
      </c>
      <c r="AI135">
        <v>91.772880056852301</v>
      </c>
      <c r="AJ135">
        <v>88.622760295644198</v>
      </c>
      <c r="AK135">
        <v>37.8155335473039</v>
      </c>
      <c r="AL135">
        <v>77.896066284230002</v>
      </c>
      <c r="AM135">
        <v>86.533527638482198</v>
      </c>
      <c r="AN135">
        <v>1.00000003156548</v>
      </c>
    </row>
    <row r="136" spans="1:40" x14ac:dyDescent="0.25">
      <c r="A136" t="str">
        <f>"20190303170718743"</f>
        <v>20190303170718743</v>
      </c>
      <c r="B136" t="str">
        <f>"1551604038731799"</f>
        <v>1551604038731799</v>
      </c>
      <c r="C136" t="s">
        <v>40</v>
      </c>
      <c r="D136">
        <v>4.4369180000000004</v>
      </c>
      <c r="E136">
        <v>0.49058049999999997</v>
      </c>
      <c r="F136" t="s">
        <v>46</v>
      </c>
      <c r="G136">
        <v>-407.28789999999998</v>
      </c>
      <c r="H136">
        <v>-0.05</v>
      </c>
      <c r="I136">
        <v>366.73500000000001</v>
      </c>
      <c r="J136">
        <v>-447.03870000000001</v>
      </c>
      <c r="K136">
        <v>1.1196729999999999</v>
      </c>
      <c r="L136">
        <v>367.60300000000001</v>
      </c>
      <c r="M136">
        <v>0.99996470000000004</v>
      </c>
      <c r="N136">
        <v>-8.2784439999999994E-3</v>
      </c>
      <c r="O136">
        <v>1.479831E-3</v>
      </c>
      <c r="P136">
        <v>0.97777550000000002</v>
      </c>
      <c r="Q136">
        <v>0.20182059999999999</v>
      </c>
      <c r="R136">
        <v>-5.6777069999999999E-2</v>
      </c>
      <c r="S136">
        <v>3.081909</v>
      </c>
      <c r="T136">
        <v>-8.9935539999999994E-2</v>
      </c>
      <c r="U136">
        <v>-6.6711430000000002E-2</v>
      </c>
      <c r="V136">
        <v>5.8487230000000001E-2</v>
      </c>
      <c r="W136">
        <v>0.2098344</v>
      </c>
      <c r="X136">
        <v>0.97598609999999997</v>
      </c>
      <c r="Y136">
        <v>2.3107630000000001E-2</v>
      </c>
      <c r="Z136">
        <v>-4.6365849999999999E-4</v>
      </c>
      <c r="AA136">
        <v>0.99973290000000004</v>
      </c>
      <c r="AB136">
        <v>33</v>
      </c>
      <c r="AC136">
        <v>39.750799999999998</v>
      </c>
      <c r="AD136">
        <v>-1.169673</v>
      </c>
      <c r="AE136">
        <v>-0.867999999999994</v>
      </c>
      <c r="AF136">
        <v>0.92602412204096696</v>
      </c>
      <c r="AG136">
        <v>-1.169673</v>
      </c>
      <c r="AH136">
        <v>39.715101436073702</v>
      </c>
      <c r="AI136">
        <v>91.686506209029005</v>
      </c>
      <c r="AJ136">
        <v>88.664294941514001</v>
      </c>
      <c r="AK136">
        <v>39.743111826820503</v>
      </c>
      <c r="AL136">
        <v>77.887352766494402</v>
      </c>
      <c r="AM136">
        <v>86.570577548547504</v>
      </c>
      <c r="AN136">
        <v>1.00000004944482</v>
      </c>
    </row>
    <row r="137" spans="1:40" x14ac:dyDescent="0.25">
      <c r="A137" t="str">
        <f>"20190303170718764"</f>
        <v>20190303170718764</v>
      </c>
      <c r="B137" t="str">
        <f>"1551604038752296"</f>
        <v>1551604038752296</v>
      </c>
      <c r="C137" t="s">
        <v>40</v>
      </c>
      <c r="D137">
        <v>4.4363799999999998</v>
      </c>
      <c r="E137">
        <v>0.49062060000000002</v>
      </c>
      <c r="F137" t="s">
        <v>46</v>
      </c>
      <c r="G137">
        <v>-404.59589999999997</v>
      </c>
      <c r="H137">
        <v>-0.05</v>
      </c>
      <c r="I137">
        <v>366.69099999999997</v>
      </c>
      <c r="J137">
        <v>-446.7106</v>
      </c>
      <c r="K137">
        <v>1.1194729999999999</v>
      </c>
      <c r="L137">
        <v>367.60300000000001</v>
      </c>
      <c r="M137">
        <v>0.99997460000000005</v>
      </c>
      <c r="N137">
        <v>-7.0905469999999896E-3</v>
      </c>
      <c r="O137">
        <v>8.6003849999999999E-4</v>
      </c>
      <c r="P137">
        <v>0.97744240000000004</v>
      </c>
      <c r="Q137">
        <v>0.20354990000000001</v>
      </c>
      <c r="R137">
        <v>-5.6340840000000003E-2</v>
      </c>
      <c r="S137">
        <v>3.0818479999999999</v>
      </c>
      <c r="T137">
        <v>-8.4932090000000002E-2</v>
      </c>
      <c r="U137">
        <v>-6.622314E-2</v>
      </c>
      <c r="V137">
        <v>5.7429340000000002E-2</v>
      </c>
      <c r="W137">
        <v>0.21040780000000001</v>
      </c>
      <c r="X137">
        <v>0.97592540000000005</v>
      </c>
      <c r="Y137">
        <v>2.2332189999999998E-2</v>
      </c>
      <c r="Z137">
        <v>-4.0443100000000002E-4</v>
      </c>
      <c r="AA137">
        <v>0.99975049999999999</v>
      </c>
      <c r="AB137">
        <v>33</v>
      </c>
      <c r="AC137">
        <v>42.114699999999999</v>
      </c>
      <c r="AD137">
        <v>-1.169473</v>
      </c>
      <c r="AE137">
        <v>-0.91200000000003401</v>
      </c>
      <c r="AF137">
        <v>0.94749056139404997</v>
      </c>
      <c r="AG137">
        <v>-1.169473</v>
      </c>
      <c r="AH137">
        <v>42.081466070490002</v>
      </c>
      <c r="AI137">
        <v>91.591476402290297</v>
      </c>
      <c r="AJ137">
        <v>88.710167575932601</v>
      </c>
      <c r="AK137">
        <v>42.108374370230301</v>
      </c>
      <c r="AL137">
        <v>77.853748309769699</v>
      </c>
      <c r="AM137">
        <v>86.632254323890905</v>
      </c>
      <c r="AN137">
        <v>0.99999997887941705</v>
      </c>
    </row>
    <row r="138" spans="1:40" x14ac:dyDescent="0.25">
      <c r="A138" t="str">
        <f>"20190303170718786"</f>
        <v>20190303170718786</v>
      </c>
      <c r="B138" t="str">
        <f>"1551604038782551"</f>
        <v>1551604038782551</v>
      </c>
      <c r="C138" t="s">
        <v>40</v>
      </c>
      <c r="D138">
        <v>4.4071959999999999</v>
      </c>
      <c r="E138">
        <v>0.49067690000000003</v>
      </c>
      <c r="F138" t="s">
        <v>46</v>
      </c>
      <c r="G138">
        <v>-401.1069</v>
      </c>
      <c r="H138">
        <v>-0.05</v>
      </c>
      <c r="I138">
        <v>366.642</v>
      </c>
      <c r="J138">
        <v>-446.3904</v>
      </c>
      <c r="K138">
        <v>1.1193109999999999</v>
      </c>
      <c r="L138">
        <v>367.6028</v>
      </c>
      <c r="M138">
        <v>0.99998220000000004</v>
      </c>
      <c r="N138">
        <v>-5.9606279999999999E-3</v>
      </c>
      <c r="O138">
        <v>2.7209640000000002E-4</v>
      </c>
      <c r="P138">
        <v>0.97717790000000004</v>
      </c>
      <c r="Q138">
        <v>0.20498939999999999</v>
      </c>
      <c r="R138">
        <v>-5.5699699999999998E-2</v>
      </c>
      <c r="S138">
        <v>3.0819399999999999</v>
      </c>
      <c r="T138">
        <v>-7.9033969999999995E-2</v>
      </c>
      <c r="U138">
        <v>-6.4941410000000005E-2</v>
      </c>
      <c r="V138">
        <v>5.6207569999999998E-2</v>
      </c>
      <c r="W138">
        <v>0.2107463</v>
      </c>
      <c r="X138">
        <v>0.97592350000000005</v>
      </c>
      <c r="Y138">
        <v>2.1330269999999998E-2</v>
      </c>
      <c r="Z138">
        <v>-3.4236960000000002E-4</v>
      </c>
      <c r="AA138">
        <v>0.99977240000000001</v>
      </c>
      <c r="AB138">
        <v>33</v>
      </c>
      <c r="AC138">
        <v>45.283499999999997</v>
      </c>
      <c r="AD138">
        <v>-1.169311</v>
      </c>
      <c r="AE138">
        <v>-0.96080000000000598</v>
      </c>
      <c r="AF138">
        <v>0.97247353018956495</v>
      </c>
      <c r="AG138">
        <v>-1.169311</v>
      </c>
      <c r="AH138">
        <v>45.253076791102103</v>
      </c>
      <c r="AI138">
        <v>91.479815988646294</v>
      </c>
      <c r="AJ138">
        <v>88.768922286995306</v>
      </c>
      <c r="AK138">
        <v>45.278625774674502</v>
      </c>
      <c r="AL138">
        <v>77.833908918850696</v>
      </c>
      <c r="AM138">
        <v>86.703734715652402</v>
      </c>
      <c r="AN138">
        <v>0.999999985870622</v>
      </c>
    </row>
    <row r="139" spans="1:40" x14ac:dyDescent="0.25">
      <c r="A139" t="str">
        <f>"20190303170718807"</f>
        <v>20190303170718807</v>
      </c>
      <c r="B139" t="str">
        <f>"1551604038802072"</f>
        <v>1551604038802072</v>
      </c>
      <c r="C139" t="s">
        <v>40</v>
      </c>
      <c r="D139">
        <v>4.3829789999999997</v>
      </c>
      <c r="E139">
        <v>0.49071169999999997</v>
      </c>
      <c r="F139" t="s">
        <v>43</v>
      </c>
      <c r="G139">
        <v>-399.65019999999998</v>
      </c>
      <c r="H139" s="1">
        <v>-8.9586019999999895E-7</v>
      </c>
      <c r="I139">
        <v>366.64429999999999</v>
      </c>
      <c r="J139">
        <v>-446.06349999999998</v>
      </c>
      <c r="K139">
        <v>1.1191599999999999</v>
      </c>
      <c r="L139">
        <v>367.60250000000002</v>
      </c>
      <c r="M139">
        <v>0.99998799999999999</v>
      </c>
      <c r="N139">
        <v>-4.8927800000000002E-3</v>
      </c>
      <c r="O139">
        <v>-3.0876109999999999E-4</v>
      </c>
      <c r="P139">
        <v>0.97698790000000002</v>
      </c>
      <c r="Q139">
        <v>0.2059079</v>
      </c>
      <c r="R139">
        <v>-5.5647929999999998E-2</v>
      </c>
      <c r="S139">
        <v>3.0819399999999999</v>
      </c>
      <c r="T139">
        <v>-7.3804620000000001E-2</v>
      </c>
      <c r="U139">
        <v>-6.3201900000000005E-2</v>
      </c>
      <c r="V139">
        <v>5.559273E-2</v>
      </c>
      <c r="W139">
        <v>0.2106208</v>
      </c>
      <c r="X139">
        <v>0.97598580000000001</v>
      </c>
      <c r="Y139">
        <v>2.0187259999999999E-2</v>
      </c>
      <c r="Z139">
        <v>-2.851749E-4</v>
      </c>
      <c r="AA139">
        <v>0.99979620000000002</v>
      </c>
      <c r="AB139">
        <v>34</v>
      </c>
      <c r="AC139">
        <v>46.4132999999999</v>
      </c>
      <c r="AD139">
        <v>-1.1191608958602</v>
      </c>
      <c r="AE139">
        <v>-0.95820000000003303</v>
      </c>
      <c r="AF139">
        <v>0.94332091662663997</v>
      </c>
      <c r="AG139">
        <v>-1.1191608958602</v>
      </c>
      <c r="AH139">
        <v>46.386634386518097</v>
      </c>
      <c r="AI139">
        <v>91.3818099032693</v>
      </c>
      <c r="AJ139">
        <v>88.834990743258999</v>
      </c>
      <c r="AK139">
        <v>46.4097212356535</v>
      </c>
      <c r="AL139">
        <v>77.841264539136404</v>
      </c>
      <c r="AM139">
        <v>86.739921158166695</v>
      </c>
      <c r="AN139">
        <v>0.99999997741156599</v>
      </c>
    </row>
    <row r="140" spans="1:40" x14ac:dyDescent="0.25">
      <c r="A140" t="str">
        <f>"20190303170718831"</f>
        <v>20190303170718831</v>
      </c>
      <c r="B140" t="str">
        <f>"1551604038822568"</f>
        <v>1551604038822568</v>
      </c>
      <c r="C140" t="s">
        <v>40</v>
      </c>
      <c r="D140">
        <v>4.3737560000000002</v>
      </c>
      <c r="E140">
        <v>0.49067840000000001</v>
      </c>
      <c r="F140" t="s">
        <v>43</v>
      </c>
      <c r="G140">
        <v>-397.15730000000002</v>
      </c>
      <c r="H140" s="1">
        <v>-1.756008E-6</v>
      </c>
      <c r="I140">
        <v>366.6</v>
      </c>
      <c r="J140">
        <v>-445.69889999999998</v>
      </c>
      <c r="K140">
        <v>1.1190629999999999</v>
      </c>
      <c r="L140">
        <v>367.6019</v>
      </c>
      <c r="M140">
        <v>0.99999170000000004</v>
      </c>
      <c r="N140">
        <v>-4.0100279999999997E-3</v>
      </c>
      <c r="O140">
        <v>-9.3033429999999999E-4</v>
      </c>
      <c r="P140">
        <v>0.97685809999999995</v>
      </c>
      <c r="Q140">
        <v>0.20614150000000001</v>
      </c>
      <c r="R140">
        <v>-5.7047460000000001E-2</v>
      </c>
      <c r="S140">
        <v>3.0819700000000001</v>
      </c>
      <c r="T140">
        <v>-7.0527199999999998E-2</v>
      </c>
      <c r="U140">
        <v>-6.3171389999999994E-2</v>
      </c>
      <c r="V140">
        <v>5.6403139999999997E-2</v>
      </c>
      <c r="W140">
        <v>0.20998639999999999</v>
      </c>
      <c r="X140">
        <v>0.97607600000000005</v>
      </c>
      <c r="Y140">
        <v>1.9556770000000001E-2</v>
      </c>
      <c r="Z140">
        <v>-2.4538110000000001E-4</v>
      </c>
      <c r="AA140">
        <v>0.99980869999999999</v>
      </c>
      <c r="AB140">
        <v>34</v>
      </c>
      <c r="AC140">
        <v>48.541599999999903</v>
      </c>
      <c r="AD140">
        <v>-1.11906475600799</v>
      </c>
      <c r="AE140">
        <v>-1.00189999999997</v>
      </c>
      <c r="AF140">
        <v>0.95623129972523702</v>
      </c>
      <c r="AG140">
        <v>-1.11906475600799</v>
      </c>
      <c r="AH140">
        <v>48.516736683924996</v>
      </c>
      <c r="AI140">
        <v>91.321067361219704</v>
      </c>
      <c r="AJ140">
        <v>88.870886031291903</v>
      </c>
      <c r="AK140">
        <v>48.539060793180099</v>
      </c>
      <c r="AL140">
        <v>77.878444503381701</v>
      </c>
      <c r="AM140">
        <v>86.692806673173394</v>
      </c>
      <c r="AN140">
        <v>0.999999980081409</v>
      </c>
    </row>
    <row r="141" spans="1:40" x14ac:dyDescent="0.25">
      <c r="A141" t="str">
        <f>"20190303170718853"</f>
        <v>20190303170718853</v>
      </c>
      <c r="B141" t="str">
        <f>"1551604038842088"</f>
        <v>1551604038842088</v>
      </c>
      <c r="C141" t="s">
        <v>40</v>
      </c>
      <c r="D141">
        <v>4.356312</v>
      </c>
      <c r="E141">
        <v>0.4906488</v>
      </c>
      <c r="F141" t="s">
        <v>43</v>
      </c>
      <c r="G141">
        <v>-396.16410000000002</v>
      </c>
      <c r="H141" s="1">
        <v>-2.177863E-6</v>
      </c>
      <c r="I141">
        <v>366.51580000000001</v>
      </c>
      <c r="J141">
        <v>-445.35390000000001</v>
      </c>
      <c r="K141">
        <v>1.1190979999999999</v>
      </c>
      <c r="L141">
        <v>367.601</v>
      </c>
      <c r="M141">
        <v>0.99999199999999999</v>
      </c>
      <c r="N141">
        <v>-3.7431539999999998E-3</v>
      </c>
      <c r="O141">
        <v>-1.4895399999999999E-3</v>
      </c>
      <c r="P141">
        <v>0.97685520000000003</v>
      </c>
      <c r="Q141">
        <v>0.20591029999999999</v>
      </c>
      <c r="R141">
        <v>-5.7922880000000003E-2</v>
      </c>
      <c r="S141">
        <v>3.0818180000000002</v>
      </c>
      <c r="T141">
        <v>-6.9622760000000006E-2</v>
      </c>
      <c r="U141">
        <v>-6.7565920000000002E-2</v>
      </c>
      <c r="V141">
        <v>5.675848E-2</v>
      </c>
      <c r="W141">
        <v>0.20948710000000001</v>
      </c>
      <c r="X141">
        <v>0.97616270000000005</v>
      </c>
      <c r="Y141">
        <v>2.0423759999999999E-2</v>
      </c>
      <c r="Z141">
        <v>-2.4081109999999999E-4</v>
      </c>
      <c r="AA141">
        <v>0.9997914</v>
      </c>
      <c r="AB141">
        <v>34</v>
      </c>
      <c r="AC141">
        <v>49.189799999999899</v>
      </c>
      <c r="AD141">
        <v>-1.1191001778630001</v>
      </c>
      <c r="AE141">
        <v>-1.08519999999998</v>
      </c>
      <c r="AF141">
        <v>1.0114048758063801</v>
      </c>
      <c r="AG141">
        <v>-1.1191001778630001</v>
      </c>
      <c r="AH141">
        <v>49.165926363996697</v>
      </c>
      <c r="AI141">
        <v>91.303648607871295</v>
      </c>
      <c r="AJ141">
        <v>88.821520047116195</v>
      </c>
      <c r="AK141">
        <v>49.189060168505399</v>
      </c>
      <c r="AL141">
        <v>77.907703223641903</v>
      </c>
      <c r="AM141">
        <v>86.672312944918602</v>
      </c>
      <c r="AN141">
        <v>0.99999999349480495</v>
      </c>
    </row>
    <row r="142" spans="1:40" x14ac:dyDescent="0.25">
      <c r="A142" t="str">
        <f>"20190303170718875"</f>
        <v>20190303170718875</v>
      </c>
      <c r="B142" t="str">
        <f>"1551604038862583"</f>
        <v>1551604038862583</v>
      </c>
      <c r="C142" t="s">
        <v>40</v>
      </c>
      <c r="D142">
        <v>4.3761659999999996</v>
      </c>
      <c r="E142">
        <v>0.50468729999999995</v>
      </c>
      <c r="F142" t="s">
        <v>43</v>
      </c>
      <c r="G142">
        <v>-396.56110000000001</v>
      </c>
      <c r="H142" s="1">
        <v>-2.0119339999999998E-6</v>
      </c>
      <c r="I142">
        <v>366.49110000000002</v>
      </c>
      <c r="J142">
        <v>-445.02379999999999</v>
      </c>
      <c r="K142">
        <v>1.1192249999999999</v>
      </c>
      <c r="L142">
        <v>367.59989999999999</v>
      </c>
      <c r="M142">
        <v>0.99999020000000005</v>
      </c>
      <c r="N142">
        <v>-3.95751E-3</v>
      </c>
      <c r="O142">
        <v>-2.0287489999999998E-3</v>
      </c>
      <c r="P142">
        <v>0.97700319999999996</v>
      </c>
      <c r="Q142">
        <v>0.2049183</v>
      </c>
      <c r="R142">
        <v>-5.8936540000000003E-2</v>
      </c>
      <c r="S142">
        <v>3.0817570000000001</v>
      </c>
      <c r="T142">
        <v>-7.0682289999999995E-2</v>
      </c>
      <c r="U142">
        <v>-7.0098880000000002E-2</v>
      </c>
      <c r="V142">
        <v>5.7267190000000003E-2</v>
      </c>
      <c r="W142">
        <v>0.20869860000000001</v>
      </c>
      <c r="X142">
        <v>0.97630189999999994</v>
      </c>
      <c r="Y142">
        <v>2.0706220000000001E-2</v>
      </c>
      <c r="Z142">
        <v>-2.3988690000000001E-4</v>
      </c>
      <c r="AA142">
        <v>0.99978560000000005</v>
      </c>
      <c r="AB142">
        <v>34</v>
      </c>
      <c r="AC142">
        <v>48.462699999999899</v>
      </c>
      <c r="AD142">
        <v>-1.119227011934</v>
      </c>
      <c r="AE142">
        <v>-1.10879999999997</v>
      </c>
      <c r="AF142">
        <v>1.0099399221785801</v>
      </c>
      <c r="AG142">
        <v>-1.119227011934</v>
      </c>
      <c r="AH142">
        <v>48.439027795544298</v>
      </c>
      <c r="AI142">
        <v>91.323347148378701</v>
      </c>
      <c r="AJ142">
        <v>88.805572385821804</v>
      </c>
      <c r="AK142">
        <v>48.462480967529601</v>
      </c>
      <c r="AL142">
        <v>77.953902441403599</v>
      </c>
      <c r="AM142">
        <v>86.643033371014099</v>
      </c>
      <c r="AN142">
        <v>1.00000001831803</v>
      </c>
    </row>
    <row r="143" spans="1:40" x14ac:dyDescent="0.25">
      <c r="A143" t="str">
        <f>"20190303170718896"</f>
        <v>20190303170718896</v>
      </c>
      <c r="B143" t="str">
        <f>"1551604038882104"</f>
        <v>1551604038882104</v>
      </c>
      <c r="C143" t="s">
        <v>40</v>
      </c>
      <c r="D143">
        <v>4.3498799999999997</v>
      </c>
      <c r="E143">
        <v>0.51317709999999905</v>
      </c>
      <c r="F143" t="s">
        <v>47</v>
      </c>
      <c r="G143">
        <v>-444.07310000000001</v>
      </c>
      <c r="H143">
        <v>1.0545469999999999</v>
      </c>
      <c r="I143">
        <v>367.5446</v>
      </c>
      <c r="J143">
        <v>-444.697</v>
      </c>
      <c r="K143">
        <v>1.119397</v>
      </c>
      <c r="L143">
        <v>367.59870000000001</v>
      </c>
      <c r="M143">
        <v>0.99998710000000002</v>
      </c>
      <c r="N143">
        <v>-4.399722E-3</v>
      </c>
      <c r="O143">
        <v>-2.6025309999999999E-3</v>
      </c>
      <c r="P143">
        <v>0.97703810000000002</v>
      </c>
      <c r="Q143">
        <v>0.2045662</v>
      </c>
      <c r="R143">
        <v>-5.9577289999999998E-2</v>
      </c>
      <c r="S143">
        <v>3.1041259999999999</v>
      </c>
      <c r="T143">
        <v>-0.2113585</v>
      </c>
      <c r="U143">
        <v>-0.17980960000000001</v>
      </c>
      <c r="V143">
        <v>5.7361790000000003E-2</v>
      </c>
      <c r="W143">
        <v>0.20877409999999999</v>
      </c>
      <c r="X143">
        <v>0.97628020000000004</v>
      </c>
      <c r="Y143">
        <v>5.510052E-2</v>
      </c>
      <c r="Z143">
        <v>-1.828196E-3</v>
      </c>
      <c r="AA143">
        <v>0.99847909999999995</v>
      </c>
      <c r="AB143">
        <v>34</v>
      </c>
      <c r="AC143">
        <v>0.62389999999993495</v>
      </c>
      <c r="AD143">
        <v>-6.4850000000000005E-2</v>
      </c>
      <c r="AE143">
        <v>-5.4100000000005297E-2</v>
      </c>
      <c r="AF143">
        <v>5.1919325161638101E-2</v>
      </c>
      <c r="AG143">
        <v>-6.4850000000000005E-2</v>
      </c>
      <c r="AH143">
        <v>0.61741780315546901</v>
      </c>
      <c r="AI143">
        <v>95.9750971702328</v>
      </c>
      <c r="AJ143">
        <v>85.193245188302399</v>
      </c>
      <c r="AK143">
        <v>0.62298144633573604</v>
      </c>
      <c r="AL143">
        <v>77.949479125617103</v>
      </c>
      <c r="AM143">
        <v>86.637426124496997</v>
      </c>
      <c r="AN143">
        <v>1.0000000143474199</v>
      </c>
    </row>
    <row r="144" spans="1:40" x14ac:dyDescent="0.25">
      <c r="A144" t="str">
        <f>"20190303170718919"</f>
        <v>20190303170718919</v>
      </c>
      <c r="B144" t="str">
        <f>"1551604038912360"</f>
        <v>1551604038912360</v>
      </c>
      <c r="C144" t="s">
        <v>40</v>
      </c>
      <c r="D144">
        <v>4.3302019999999999</v>
      </c>
      <c r="E144">
        <v>0.51746170000000002</v>
      </c>
      <c r="F144" t="s">
        <v>47</v>
      </c>
      <c r="G144">
        <v>-443.78620000000001</v>
      </c>
      <c r="H144">
        <v>1.0169490000000001</v>
      </c>
      <c r="I144">
        <v>367.52789999999999</v>
      </c>
      <c r="J144">
        <v>-444.34780000000001</v>
      </c>
      <c r="K144">
        <v>1.1195759999999999</v>
      </c>
      <c r="L144">
        <v>367.59699999999998</v>
      </c>
      <c r="M144">
        <v>0.9999825</v>
      </c>
      <c r="N144">
        <v>-4.94481E-3</v>
      </c>
      <c r="O144">
        <v>-3.2685259999999999E-3</v>
      </c>
      <c r="P144">
        <v>0.97709009999999996</v>
      </c>
      <c r="Q144">
        <v>0.20423859999999999</v>
      </c>
      <c r="R144">
        <v>-5.9849279999999998E-2</v>
      </c>
      <c r="S144">
        <v>3.1293950000000001</v>
      </c>
      <c r="T144">
        <v>-0.35218509999999997</v>
      </c>
      <c r="U144">
        <v>-0.2427368</v>
      </c>
      <c r="V144">
        <v>5.6987429999999999E-2</v>
      </c>
      <c r="W144">
        <v>0.20897789999999999</v>
      </c>
      <c r="X144">
        <v>0.97625850000000003</v>
      </c>
      <c r="Y144">
        <v>7.3611549999999998E-2</v>
      </c>
      <c r="Z144">
        <v>-3.9558179999999998E-3</v>
      </c>
      <c r="AA144">
        <v>0.99727920000000003</v>
      </c>
      <c r="AB144">
        <v>34</v>
      </c>
      <c r="AC144">
        <v>0.56159999999999799</v>
      </c>
      <c r="AD144">
        <v>-0.102627</v>
      </c>
      <c r="AE144">
        <v>-6.9099999999991696E-2</v>
      </c>
      <c r="AF144">
        <v>6.5121757102895694E-2</v>
      </c>
      <c r="AG144">
        <v>-0.102627</v>
      </c>
      <c r="AH144">
        <v>0.54392972937779205</v>
      </c>
      <c r="AI144">
        <v>100.610747349231</v>
      </c>
      <c r="AJ144">
        <v>83.172783620030799</v>
      </c>
      <c r="AK144">
        <v>0.557344323446617</v>
      </c>
      <c r="AL144">
        <v>77.937538624409498</v>
      </c>
      <c r="AM144">
        <v>86.659247323319605</v>
      </c>
      <c r="AN144">
        <v>0.99999999434433195</v>
      </c>
    </row>
    <row r="145" spans="1:40" x14ac:dyDescent="0.25">
      <c r="A145" t="str">
        <f>"20190303170718943"</f>
        <v>20190303170718943</v>
      </c>
      <c r="B145" t="str">
        <f>"1551604038931879"</f>
        <v>1551604038931879</v>
      </c>
      <c r="C145" t="s">
        <v>40</v>
      </c>
      <c r="D145">
        <v>4.2731669999999999</v>
      </c>
      <c r="E145">
        <v>0.51911200000000002</v>
      </c>
      <c r="F145" t="s">
        <v>47</v>
      </c>
      <c r="G145">
        <v>-443.49259999999998</v>
      </c>
      <c r="H145">
        <v>0.98737629999999998</v>
      </c>
      <c r="I145">
        <v>367.52339999999998</v>
      </c>
      <c r="J145">
        <v>-443.97239999999999</v>
      </c>
      <c r="K145">
        <v>1.119748</v>
      </c>
      <c r="L145">
        <v>367.59500000000003</v>
      </c>
      <c r="M145">
        <v>0.99997659999999999</v>
      </c>
      <c r="N145">
        <v>-5.5410199999999998E-3</v>
      </c>
      <c r="O145">
        <v>-4.0134189999999998E-3</v>
      </c>
      <c r="P145">
        <v>0.97727540000000002</v>
      </c>
      <c r="Q145">
        <v>0.2032631</v>
      </c>
      <c r="R145">
        <v>-6.0144580000000003E-2</v>
      </c>
      <c r="S145">
        <v>3.1556700000000002</v>
      </c>
      <c r="T145">
        <v>-0.487846</v>
      </c>
      <c r="U145">
        <v>-0.2710571</v>
      </c>
      <c r="V145">
        <v>5.6550419999999997E-2</v>
      </c>
      <c r="W145">
        <v>0.20858760000000001</v>
      </c>
      <c r="X145">
        <v>0.9763674</v>
      </c>
      <c r="Y145">
        <v>8.0639150000000007E-2</v>
      </c>
      <c r="Z145">
        <v>-5.816763E-3</v>
      </c>
      <c r="AA145">
        <v>0.99672640000000001</v>
      </c>
      <c r="AB145">
        <v>34</v>
      </c>
      <c r="AC145">
        <v>0.479800000000011</v>
      </c>
      <c r="AD145">
        <v>-0.13237169999999901</v>
      </c>
      <c r="AE145">
        <v>-7.1600000000046293E-2</v>
      </c>
      <c r="AF145">
        <v>6.4845560815298894E-2</v>
      </c>
      <c r="AG145">
        <v>-0.13237169999999901</v>
      </c>
      <c r="AH145">
        <v>0.44681506974255603</v>
      </c>
      <c r="AI145">
        <v>106.340327038349</v>
      </c>
      <c r="AJ145">
        <v>81.742407031899404</v>
      </c>
      <c r="AK145">
        <v>0.47050071229211299</v>
      </c>
      <c r="AL145">
        <v>77.960405390839597</v>
      </c>
      <c r="AM145">
        <v>86.685177573578699</v>
      </c>
      <c r="AN145">
        <v>1.00000001832934</v>
      </c>
    </row>
    <row r="146" spans="1:40" x14ac:dyDescent="0.25">
      <c r="A146" t="str">
        <f>"20190303170718966"</f>
        <v>20190303170718966</v>
      </c>
      <c r="B146" t="str">
        <f>"1551604038952377"</f>
        <v>1551604038952377</v>
      </c>
      <c r="C146" t="s">
        <v>40</v>
      </c>
      <c r="D146">
        <v>4.2684480000000002</v>
      </c>
      <c r="E146">
        <v>0.52020250000000001</v>
      </c>
      <c r="F146" t="s">
        <v>47</v>
      </c>
      <c r="G146">
        <v>-443.18439999999998</v>
      </c>
      <c r="H146">
        <v>0.98719539999999995</v>
      </c>
      <c r="I146">
        <v>367.52420000000001</v>
      </c>
      <c r="J146">
        <v>-443.62939999999998</v>
      </c>
      <c r="K146">
        <v>1.1198629999999901</v>
      </c>
      <c r="L146">
        <v>367.59289999999999</v>
      </c>
      <c r="M146">
        <v>0.99997069999999999</v>
      </c>
      <c r="N146">
        <v>-6.076288E-3</v>
      </c>
      <c r="O146">
        <v>-4.6970290000000001E-3</v>
      </c>
      <c r="P146">
        <v>0.97744039999999999</v>
      </c>
      <c r="Q146">
        <v>0.20216629999999999</v>
      </c>
      <c r="R146">
        <v>-6.1149920000000003E-2</v>
      </c>
      <c r="S146">
        <v>3.1630250000000002</v>
      </c>
      <c r="T146">
        <v>-0.53211149999999996</v>
      </c>
      <c r="U146">
        <v>-0.28280640000000001</v>
      </c>
      <c r="V146">
        <v>5.6879909999999999E-2</v>
      </c>
      <c r="W146">
        <v>0.2080158</v>
      </c>
      <c r="X146">
        <v>0.97647019999999995</v>
      </c>
      <c r="Y146">
        <v>8.3233260000000003E-2</v>
      </c>
      <c r="Z146">
        <v>-6.4391120000000003E-3</v>
      </c>
      <c r="AA146">
        <v>0.99650930000000004</v>
      </c>
      <c r="AB146">
        <v>34</v>
      </c>
      <c r="AC146">
        <v>0.44499999999999301</v>
      </c>
      <c r="AD146">
        <v>-0.132667599999999</v>
      </c>
      <c r="AE146">
        <v>-6.8699999999978403E-2</v>
      </c>
      <c r="AF146">
        <v>6.12884472941293E-2</v>
      </c>
      <c r="AG146">
        <v>-0.132667599999999</v>
      </c>
      <c r="AH146">
        <v>0.40974680278066999</v>
      </c>
      <c r="AI146">
        <v>107.75595719045801</v>
      </c>
      <c r="AJ146">
        <v>81.4929728851953</v>
      </c>
      <c r="AK146">
        <v>0.43502805455564197</v>
      </c>
      <c r="AL146">
        <v>77.993901339682495</v>
      </c>
      <c r="AM146">
        <v>86.666257477333303</v>
      </c>
      <c r="AN146">
        <v>0.99999997434964305</v>
      </c>
    </row>
    <row r="147" spans="1:40" x14ac:dyDescent="0.25">
      <c r="A147" t="str">
        <f>"20190303170718986"</f>
        <v>20190303170718986</v>
      </c>
      <c r="B147" t="str">
        <f>"1551604038982632"</f>
        <v>1551604038982632</v>
      </c>
      <c r="C147" t="s">
        <v>40</v>
      </c>
      <c r="D147">
        <v>4.2454989999999997</v>
      </c>
      <c r="E147">
        <v>0.52113350000000003</v>
      </c>
      <c r="F147" t="s">
        <v>47</v>
      </c>
      <c r="G147">
        <v>-442.87639999999999</v>
      </c>
      <c r="H147">
        <v>0.98635329999999999</v>
      </c>
      <c r="I147">
        <v>367.52319999999997</v>
      </c>
      <c r="J147">
        <v>-443.31439999999998</v>
      </c>
      <c r="K147">
        <v>1.119947</v>
      </c>
      <c r="L147">
        <v>367.5908</v>
      </c>
      <c r="M147">
        <v>0.99996439999999998</v>
      </c>
      <c r="N147">
        <v>-6.5473919999999904E-3</v>
      </c>
      <c r="O147">
        <v>-5.3132479999999996E-3</v>
      </c>
      <c r="P147">
        <v>0.97750769999999998</v>
      </c>
      <c r="Q147">
        <v>0.20157549999999999</v>
      </c>
      <c r="R147">
        <v>-6.2015229999999998E-2</v>
      </c>
      <c r="S147">
        <v>3.1670530000000001</v>
      </c>
      <c r="T147">
        <v>-0.56171559999999998</v>
      </c>
      <c r="U147">
        <v>-0.29315190000000002</v>
      </c>
      <c r="V147">
        <v>5.7134949999999997E-2</v>
      </c>
      <c r="W147">
        <v>0.20788709999999999</v>
      </c>
      <c r="X147">
        <v>0.97648270000000004</v>
      </c>
      <c r="Y147">
        <v>8.5579000000000002E-2</v>
      </c>
      <c r="Z147">
        <v>-6.8991719999999899E-3</v>
      </c>
      <c r="AA147">
        <v>0.99630750000000001</v>
      </c>
      <c r="AB147">
        <v>34</v>
      </c>
      <c r="AC147">
        <v>0.43799999999998801</v>
      </c>
      <c r="AD147">
        <v>-0.13359369999999901</v>
      </c>
      <c r="AE147">
        <v>-6.7600000000027194E-2</v>
      </c>
      <c r="AF147">
        <v>5.98348561649669E-2</v>
      </c>
      <c r="AG147">
        <v>-0.13359369999999901</v>
      </c>
      <c r="AH147">
        <v>0.40183956151717998</v>
      </c>
      <c r="AI147">
        <v>108.202411583249</v>
      </c>
      <c r="AJ147">
        <v>81.530750923368799</v>
      </c>
      <c r="AK147">
        <v>0.42767104168074299</v>
      </c>
      <c r="AL147">
        <v>78.001439888780695</v>
      </c>
      <c r="AM147">
        <v>86.651386243219605</v>
      </c>
      <c r="AN147">
        <v>0.99999995612860004</v>
      </c>
    </row>
    <row r="148" spans="1:40" x14ac:dyDescent="0.25">
      <c r="A148" t="str">
        <f>"20190303170719008"</f>
        <v>20190303170719008</v>
      </c>
      <c r="B148" t="str">
        <f>"1551604039002152"</f>
        <v>1551604039002152</v>
      </c>
      <c r="C148" t="s">
        <v>40</v>
      </c>
      <c r="D148">
        <v>4.2422839999999997</v>
      </c>
      <c r="E148">
        <v>0.52155050000000003</v>
      </c>
      <c r="F148" t="s">
        <v>47</v>
      </c>
      <c r="G148">
        <v>-442.56979999999999</v>
      </c>
      <c r="H148">
        <v>0.98234889999999997</v>
      </c>
      <c r="I148">
        <v>367.51990000000001</v>
      </c>
      <c r="J148">
        <v>-442.96620000000001</v>
      </c>
      <c r="K148">
        <v>1.1200209999999999</v>
      </c>
      <c r="L148">
        <v>367.5883</v>
      </c>
      <c r="M148">
        <v>0.9999574</v>
      </c>
      <c r="N148">
        <v>-7.0358549999999997E-3</v>
      </c>
      <c r="O148">
        <v>-5.9707429999999997E-3</v>
      </c>
      <c r="P148">
        <v>0.97750130000000002</v>
      </c>
      <c r="Q148">
        <v>0.2015168</v>
      </c>
      <c r="R148">
        <v>-6.2307759999999997E-2</v>
      </c>
      <c r="S148">
        <v>3.1708069999999999</v>
      </c>
      <c r="T148">
        <v>-0.58605169999999995</v>
      </c>
      <c r="U148">
        <v>-0.30114750000000001</v>
      </c>
      <c r="V148">
        <v>5.6776849999999997E-2</v>
      </c>
      <c r="W148">
        <v>0.20830870000000001</v>
      </c>
      <c r="X148">
        <v>0.9764138</v>
      </c>
      <c r="Y148">
        <v>8.7176199999999995E-2</v>
      </c>
      <c r="Z148">
        <v>-7.2309230000000002E-3</v>
      </c>
      <c r="AA148">
        <v>0.99616660000000001</v>
      </c>
      <c r="AB148">
        <v>34</v>
      </c>
      <c r="AC148">
        <v>0.39640000000002801</v>
      </c>
      <c r="AD148">
        <v>-0.13767209999999899</v>
      </c>
      <c r="AE148">
        <v>-6.8399999999996894E-2</v>
      </c>
      <c r="AF148">
        <v>5.9108332675524303E-2</v>
      </c>
      <c r="AG148">
        <v>-0.13767209999999899</v>
      </c>
      <c r="AH148">
        <v>0.35519588003818198</v>
      </c>
      <c r="AI148">
        <v>110.92370943146101</v>
      </c>
      <c r="AJ148">
        <v>80.551957608348104</v>
      </c>
      <c r="AK148">
        <v>0.38550164111996799</v>
      </c>
      <c r="AL148">
        <v>77.976744072746001</v>
      </c>
      <c r="AM148">
        <v>86.672092472185398</v>
      </c>
      <c r="AN148">
        <v>1.0000000170110199</v>
      </c>
    </row>
    <row r="149" spans="1:40" x14ac:dyDescent="0.25">
      <c r="A149" t="str">
        <f>"20190303170719030"</f>
        <v>20190303170719030</v>
      </c>
      <c r="B149" t="str">
        <f>"1551604039022648"</f>
        <v>1551604039022648</v>
      </c>
      <c r="C149" t="s">
        <v>40</v>
      </c>
      <c r="D149">
        <v>4.2322290000000002</v>
      </c>
      <c r="E149">
        <v>0.52190159999999997</v>
      </c>
      <c r="F149" t="s">
        <v>47</v>
      </c>
      <c r="G149">
        <v>-442.2586</v>
      </c>
      <c r="H149">
        <v>0.98697250000000003</v>
      </c>
      <c r="I149">
        <v>367.52019999999999</v>
      </c>
      <c r="J149">
        <v>-442.62670000000003</v>
      </c>
      <c r="K149">
        <v>1.120077</v>
      </c>
      <c r="L149">
        <v>367.58569999999997</v>
      </c>
      <c r="M149">
        <v>0.99995060000000002</v>
      </c>
      <c r="N149">
        <v>-7.4644250000000002E-3</v>
      </c>
      <c r="O149">
        <v>-6.5800349999999997E-3</v>
      </c>
      <c r="P149">
        <v>0.97773209999999999</v>
      </c>
      <c r="Q149">
        <v>0.20041310000000001</v>
      </c>
      <c r="R149">
        <v>-6.224913E-2</v>
      </c>
      <c r="S149">
        <v>3.1726070000000002</v>
      </c>
      <c r="T149">
        <v>-0.5965821</v>
      </c>
      <c r="U149">
        <v>-0.30523679999999997</v>
      </c>
      <c r="V149">
        <v>5.611182E-2</v>
      </c>
      <c r="W149">
        <v>0.20762810000000001</v>
      </c>
      <c r="X149">
        <v>0.97659720000000005</v>
      </c>
      <c r="Y149">
        <v>8.7735729999999998E-2</v>
      </c>
      <c r="Z149">
        <v>-7.3149969999999898E-3</v>
      </c>
      <c r="AA149">
        <v>0.99611689999999997</v>
      </c>
      <c r="AB149">
        <v>34</v>
      </c>
      <c r="AC149">
        <v>0.36810000000002602</v>
      </c>
      <c r="AD149">
        <v>-0.13310449999999899</v>
      </c>
      <c r="AE149">
        <v>-6.5499999999985903E-2</v>
      </c>
      <c r="AF149">
        <v>5.5981296457697102E-2</v>
      </c>
      <c r="AG149">
        <v>-0.13310449999999899</v>
      </c>
      <c r="AH149">
        <v>0.32706996621012002</v>
      </c>
      <c r="AI149">
        <v>111.85705765632299</v>
      </c>
      <c r="AJ149">
        <v>80.287370640292906</v>
      </c>
      <c r="AK149">
        <v>0.35752688887694001</v>
      </c>
      <c r="AL149">
        <v>78.016611384073997</v>
      </c>
      <c r="AM149">
        <v>86.711602638179002</v>
      </c>
      <c r="AN149">
        <v>1.00000002765058</v>
      </c>
    </row>
    <row r="150" spans="1:40" x14ac:dyDescent="0.25">
      <c r="A150" t="str">
        <f>"20190303170719054"</f>
        <v>20190303170719054</v>
      </c>
      <c r="B150" t="str">
        <f>"1551604039042170"</f>
        <v>1551604039042170</v>
      </c>
      <c r="C150" t="s">
        <v>40</v>
      </c>
      <c r="D150">
        <v>4.2454010000000002</v>
      </c>
      <c r="E150">
        <v>0.52216600000000002</v>
      </c>
      <c r="F150" t="s">
        <v>47</v>
      </c>
      <c r="G150">
        <v>-441.6651</v>
      </c>
      <c r="H150">
        <v>0.93587969999999998</v>
      </c>
      <c r="I150">
        <v>367.49239999999998</v>
      </c>
      <c r="J150">
        <v>-442.26220000000001</v>
      </c>
      <c r="K150">
        <v>1.1201179999999999</v>
      </c>
      <c r="L150">
        <v>367.58269999999999</v>
      </c>
      <c r="M150">
        <v>0.99994320000000003</v>
      </c>
      <c r="N150">
        <v>-7.8722510000000002E-3</v>
      </c>
      <c r="O150">
        <v>-7.1996600000000001E-3</v>
      </c>
      <c r="P150">
        <v>0.97803430000000002</v>
      </c>
      <c r="Q150">
        <v>0.19906070000000001</v>
      </c>
      <c r="R150">
        <v>-6.183818E-2</v>
      </c>
      <c r="S150">
        <v>3.1733090000000002</v>
      </c>
      <c r="T150">
        <v>-0.60786450000000003</v>
      </c>
      <c r="U150">
        <v>-0.30773929999999999</v>
      </c>
      <c r="V150">
        <v>5.5082840000000001E-2</v>
      </c>
      <c r="W150">
        <v>0.20668030000000001</v>
      </c>
      <c r="X150">
        <v>0.97685679999999997</v>
      </c>
      <c r="Y150">
        <v>8.7826559999999998E-2</v>
      </c>
      <c r="Z150">
        <v>-7.3593799999999996E-3</v>
      </c>
      <c r="AA150">
        <v>0.99610860000000001</v>
      </c>
      <c r="AB150">
        <v>35</v>
      </c>
      <c r="AC150">
        <v>0.59710000000001096</v>
      </c>
      <c r="AD150">
        <v>-0.18423829999999999</v>
      </c>
      <c r="AE150">
        <v>-9.03000000000133E-2</v>
      </c>
      <c r="AF150">
        <v>7.8675671502441702E-2</v>
      </c>
      <c r="AG150">
        <v>-0.18423829999999999</v>
      </c>
      <c r="AH150">
        <v>0.54683647698093696</v>
      </c>
      <c r="AI150">
        <v>108.44265546032899</v>
      </c>
      <c r="AJ150">
        <v>81.812797061493995</v>
      </c>
      <c r="AK150">
        <v>0.58237766529132295</v>
      </c>
      <c r="AL150">
        <v>78.072120519039103</v>
      </c>
      <c r="AM150">
        <v>86.772632712544706</v>
      </c>
      <c r="AN150">
        <v>1.0000000366883901</v>
      </c>
    </row>
    <row r="151" spans="1:40" x14ac:dyDescent="0.25">
      <c r="A151" t="str">
        <f>"20190303170719076"</f>
        <v>20190303170719076</v>
      </c>
      <c r="B151" t="str">
        <f>"1551604039072424"</f>
        <v>1551604039072424</v>
      </c>
      <c r="C151" t="s">
        <v>40</v>
      </c>
      <c r="D151">
        <v>4.2254800000000001</v>
      </c>
      <c r="E151">
        <v>0.52253709999999998</v>
      </c>
      <c r="F151" t="s">
        <v>47</v>
      </c>
      <c r="G151">
        <v>-441.35230000000001</v>
      </c>
      <c r="H151">
        <v>0.94294920000000004</v>
      </c>
      <c r="I151">
        <v>367.49400000000003</v>
      </c>
      <c r="J151">
        <v>-441.92309999999998</v>
      </c>
      <c r="K151">
        <v>1.1201350000000001</v>
      </c>
      <c r="L151">
        <v>367.5797</v>
      </c>
      <c r="M151">
        <v>0.9999363</v>
      </c>
      <c r="N151">
        <v>-8.2084199999999993E-3</v>
      </c>
      <c r="O151">
        <v>-7.7528759999999997E-3</v>
      </c>
      <c r="P151">
        <v>0.9783269</v>
      </c>
      <c r="Q151">
        <v>0.19759060000000001</v>
      </c>
      <c r="R151">
        <v>-6.1924069999999998E-2</v>
      </c>
      <c r="S151">
        <v>3.1737669999999998</v>
      </c>
      <c r="T151">
        <v>-0.61807199999999995</v>
      </c>
      <c r="U151">
        <v>-0.30752560000000001</v>
      </c>
      <c r="V151">
        <v>5.461622E-2</v>
      </c>
      <c r="W151">
        <v>0.20554410000000001</v>
      </c>
      <c r="X151">
        <v>0.97712270000000001</v>
      </c>
      <c r="Y151">
        <v>8.7164599999999995E-2</v>
      </c>
      <c r="Z151">
        <v>-7.3220389999999998E-3</v>
      </c>
      <c r="AA151">
        <v>0.99616700000000002</v>
      </c>
      <c r="AB151">
        <v>35</v>
      </c>
      <c r="AC151">
        <v>0.570799999999962</v>
      </c>
      <c r="AD151">
        <v>-0.1771858</v>
      </c>
      <c r="AE151">
        <v>-8.5699999999974297E-2</v>
      </c>
      <c r="AF151">
        <v>7.4272885077951406E-2</v>
      </c>
      <c r="AG151">
        <v>-0.1771858</v>
      </c>
      <c r="AH151">
        <v>0.52223488251762595</v>
      </c>
      <c r="AI151">
        <v>108.567385283506</v>
      </c>
      <c r="AJ151">
        <v>81.905607484078303</v>
      </c>
      <c r="AK151">
        <v>0.556453539567897</v>
      </c>
      <c r="AL151">
        <v>78.138648484963596</v>
      </c>
      <c r="AM151">
        <v>86.800784470188304</v>
      </c>
      <c r="AN151">
        <v>1.00000003969359</v>
      </c>
    </row>
    <row r="152" spans="1:40" x14ac:dyDescent="0.25">
      <c r="A152" t="str">
        <f>"20190303170719097"</f>
        <v>20190303170719097</v>
      </c>
      <c r="B152" t="str">
        <f>"1551604039091943"</f>
        <v>1551604039091943</v>
      </c>
      <c r="C152" t="s">
        <v>40</v>
      </c>
      <c r="D152">
        <v>4.2166680000000003</v>
      </c>
      <c r="E152">
        <v>0.52274790000000004</v>
      </c>
      <c r="F152" t="s">
        <v>47</v>
      </c>
      <c r="G152">
        <v>-441.04160000000002</v>
      </c>
      <c r="H152">
        <v>0.94514830000000005</v>
      </c>
      <c r="I152">
        <v>367.49299999999999</v>
      </c>
      <c r="J152">
        <v>-441.59129999999999</v>
      </c>
      <c r="K152">
        <v>1.1201540000000001</v>
      </c>
      <c r="L152">
        <v>367.57659999999998</v>
      </c>
      <c r="M152">
        <v>0.99992979999999998</v>
      </c>
      <c r="N152">
        <v>-8.4944410000000001E-3</v>
      </c>
      <c r="O152">
        <v>-8.2745500000000003E-3</v>
      </c>
      <c r="P152">
        <v>0.97831670000000004</v>
      </c>
      <c r="Q152">
        <v>0.19745599999999999</v>
      </c>
      <c r="R152">
        <v>-6.2515799999999996E-2</v>
      </c>
      <c r="S152">
        <v>3.1740110000000001</v>
      </c>
      <c r="T152">
        <v>-0.63009479999999995</v>
      </c>
      <c r="U152">
        <v>-0.31115720000000002</v>
      </c>
      <c r="V152">
        <v>5.4690549999999997E-2</v>
      </c>
      <c r="W152">
        <v>0.2056906</v>
      </c>
      <c r="X152">
        <v>0.9770877</v>
      </c>
      <c r="Y152">
        <v>8.7703439999999994E-2</v>
      </c>
      <c r="Z152">
        <v>-7.4249519999999899E-3</v>
      </c>
      <c r="AA152">
        <v>0.99611899999999998</v>
      </c>
      <c r="AB152">
        <v>35</v>
      </c>
      <c r="AC152">
        <v>0.54969999999997299</v>
      </c>
      <c r="AD152">
        <v>-0.17500569999999999</v>
      </c>
      <c r="AE152">
        <v>-8.3599999999933006E-2</v>
      </c>
      <c r="AF152">
        <v>7.19233332729248E-2</v>
      </c>
      <c r="AG152">
        <v>-0.17500569999999999</v>
      </c>
      <c r="AH152">
        <v>0.50076447532708801</v>
      </c>
      <c r="AI152">
        <v>109.08189787241599</v>
      </c>
      <c r="AJ152">
        <v>81.826671130026995</v>
      </c>
      <c r="AK152">
        <v>0.53531768199004204</v>
      </c>
      <c r="AL152">
        <v>78.130071221254696</v>
      </c>
      <c r="AM152">
        <v>86.796325042236603</v>
      </c>
      <c r="AN152">
        <v>1.0000000263394699</v>
      </c>
    </row>
    <row r="153" spans="1:40" x14ac:dyDescent="0.25">
      <c r="A153" t="str">
        <f>"20190303170719121"</f>
        <v>20190303170719121</v>
      </c>
      <c r="B153" t="str">
        <f>"1551604039112440"</f>
        <v>1551604039112440</v>
      </c>
      <c r="C153" t="s">
        <v>40</v>
      </c>
      <c r="D153">
        <v>4.2637210000000003</v>
      </c>
      <c r="E153">
        <v>0.52294879999999999</v>
      </c>
      <c r="F153" t="s">
        <v>47</v>
      </c>
      <c r="G153">
        <v>-440.73020000000002</v>
      </c>
      <c r="H153">
        <v>0.94823009999999996</v>
      </c>
      <c r="I153">
        <v>367.49040000000002</v>
      </c>
      <c r="J153">
        <v>-441.2285</v>
      </c>
      <c r="K153">
        <v>1.1201760000000001</v>
      </c>
      <c r="L153">
        <v>367.57299999999998</v>
      </c>
      <c r="M153">
        <v>0.9999228</v>
      </c>
      <c r="N153">
        <v>-8.7564059999999996E-3</v>
      </c>
      <c r="O153">
        <v>-8.8235250000000005E-3</v>
      </c>
      <c r="P153">
        <v>0.97823179999999998</v>
      </c>
      <c r="Q153">
        <v>0.19768559999999999</v>
      </c>
      <c r="R153">
        <v>-6.310955E-2</v>
      </c>
      <c r="S153">
        <v>3.1743769999999998</v>
      </c>
      <c r="T153">
        <v>-0.63399220000000001</v>
      </c>
      <c r="U153">
        <v>-0.31460569999999999</v>
      </c>
      <c r="V153">
        <v>5.4740619999999997E-2</v>
      </c>
      <c r="W153">
        <v>0.20617820000000001</v>
      </c>
      <c r="X153">
        <v>0.97698209999999996</v>
      </c>
      <c r="Y153">
        <v>8.819536E-2</v>
      </c>
      <c r="Z153">
        <v>-7.4271440000000001E-3</v>
      </c>
      <c r="AA153">
        <v>0.9960755</v>
      </c>
      <c r="AB153">
        <v>35</v>
      </c>
      <c r="AC153">
        <v>0.49829999999997199</v>
      </c>
      <c r="AD153">
        <v>-0.17194590000000001</v>
      </c>
      <c r="AE153">
        <v>-8.2600000000013496E-2</v>
      </c>
      <c r="AF153">
        <v>7.0078736166887104E-2</v>
      </c>
      <c r="AG153">
        <v>-0.17194590000000001</v>
      </c>
      <c r="AH153">
        <v>0.44718692094170398</v>
      </c>
      <c r="AI153">
        <v>110.800257789147</v>
      </c>
      <c r="AJ153">
        <v>81.093605493812404</v>
      </c>
      <c r="AK153">
        <v>0.484203019456591</v>
      </c>
      <c r="AL153">
        <v>78.101521605483697</v>
      </c>
      <c r="AM153">
        <v>86.793052277038498</v>
      </c>
      <c r="AN153">
        <v>1.0000000046768101</v>
      </c>
    </row>
    <row r="154" spans="1:40" x14ac:dyDescent="0.25">
      <c r="A154" t="str">
        <f>"20190303170719143"</f>
        <v>20190303170719143</v>
      </c>
      <c r="B154" t="str">
        <f>"1551604039131960"</f>
        <v>1551604039131960</v>
      </c>
      <c r="C154" t="s">
        <v>40</v>
      </c>
      <c r="D154">
        <v>4.2293669999999999</v>
      </c>
      <c r="E154">
        <v>0.54784980000000005</v>
      </c>
      <c r="F154" t="s">
        <v>47</v>
      </c>
      <c r="G154">
        <v>-440.41539999999998</v>
      </c>
      <c r="H154">
        <v>0.95750579999999996</v>
      </c>
      <c r="I154">
        <v>367.49149999999997</v>
      </c>
      <c r="J154">
        <v>-440.87299999999999</v>
      </c>
      <c r="K154">
        <v>1.1200540000000001</v>
      </c>
      <c r="L154">
        <v>367.56939999999997</v>
      </c>
      <c r="M154">
        <v>0.99992020000000004</v>
      </c>
      <c r="N154">
        <v>-8.4820409999999992E-3</v>
      </c>
      <c r="O154">
        <v>-9.3547849999999991E-3</v>
      </c>
      <c r="P154">
        <v>0.97811630000000005</v>
      </c>
      <c r="Q154">
        <v>0.1980527</v>
      </c>
      <c r="R154">
        <v>-6.3744780000000001E-2</v>
      </c>
      <c r="S154">
        <v>3.1746219999999998</v>
      </c>
      <c r="T154">
        <v>-0.63522089999999998</v>
      </c>
      <c r="U154">
        <v>-0.31796259999999998</v>
      </c>
      <c r="V154">
        <v>5.4846399999999997E-2</v>
      </c>
      <c r="W154">
        <v>0.20627899999999999</v>
      </c>
      <c r="X154">
        <v>0.97695489999999996</v>
      </c>
      <c r="Y154">
        <v>8.8698109999999997E-2</v>
      </c>
      <c r="Z154">
        <v>-7.3761919999999898E-3</v>
      </c>
      <c r="AA154">
        <v>0.99603120000000001</v>
      </c>
      <c r="AB154">
        <v>35</v>
      </c>
      <c r="AC154">
        <v>0.45760000000007001</v>
      </c>
      <c r="AD154">
        <v>-0.1625482</v>
      </c>
      <c r="AE154">
        <v>-7.7899999999999595E-2</v>
      </c>
      <c r="AF154">
        <v>6.5574499118042806E-2</v>
      </c>
      <c r="AG154">
        <v>-0.1625482</v>
      </c>
      <c r="AH154">
        <v>0.40824676339621802</v>
      </c>
      <c r="AI154">
        <v>111.460910971762</v>
      </c>
      <c r="AJ154">
        <v>80.874829253674093</v>
      </c>
      <c r="AK154">
        <v>0.444282963978262</v>
      </c>
      <c r="AL154">
        <v>78.095619439439204</v>
      </c>
      <c r="AM154">
        <v>86.786778917543998</v>
      </c>
      <c r="AN154">
        <v>1.0000000150339801</v>
      </c>
    </row>
    <row r="155" spans="1:40" x14ac:dyDescent="0.25">
      <c r="A155" t="str">
        <f>"20190303170719167"</f>
        <v>20190303170719167</v>
      </c>
      <c r="B155" t="str">
        <f>"1551604039162215"</f>
        <v>1551604039162215</v>
      </c>
      <c r="C155" t="s">
        <v>40</v>
      </c>
      <c r="D155">
        <v>4.1897929999999999</v>
      </c>
      <c r="E155">
        <v>0.55189869999999996</v>
      </c>
      <c r="F155" t="s">
        <v>47</v>
      </c>
      <c r="G155">
        <v>-440.1003</v>
      </c>
      <c r="H155">
        <v>0.96108229999999994</v>
      </c>
      <c r="I155">
        <v>367.4425</v>
      </c>
      <c r="J155">
        <v>-440.51459999999997</v>
      </c>
      <c r="K155">
        <v>1.1198049999999999</v>
      </c>
      <c r="L155">
        <v>367.56560000000002</v>
      </c>
      <c r="M155">
        <v>0.99991920000000001</v>
      </c>
      <c r="N155">
        <v>-8.0015989999999999E-3</v>
      </c>
      <c r="O155">
        <v>-9.8804849999999996E-3</v>
      </c>
      <c r="P155">
        <v>0.97817540000000003</v>
      </c>
      <c r="Q155">
        <v>0.19757250000000001</v>
      </c>
      <c r="R155">
        <v>-6.4326469999999997E-2</v>
      </c>
      <c r="S155">
        <v>3.1651919999999998</v>
      </c>
      <c r="T155">
        <v>-0.65120979999999995</v>
      </c>
      <c r="U155">
        <v>-0.51779169999999997</v>
      </c>
      <c r="V155">
        <v>5.4900789999999998E-2</v>
      </c>
      <c r="W155">
        <v>0.20533309999999999</v>
      </c>
      <c r="X155">
        <v>0.97715099999999999</v>
      </c>
      <c r="Y155">
        <v>0.14871429999999999</v>
      </c>
      <c r="Z155">
        <v>-1.3727329999999999E-2</v>
      </c>
      <c r="AA155">
        <v>0.98878489999999997</v>
      </c>
      <c r="AB155">
        <v>35</v>
      </c>
      <c r="AC155">
        <v>0.41429999999996803</v>
      </c>
      <c r="AD155">
        <v>-0.158722699999999</v>
      </c>
      <c r="AE155">
        <v>-0.123100000000022</v>
      </c>
      <c r="AF155">
        <v>0.104858434518963</v>
      </c>
      <c r="AG155">
        <v>-0.158722699999999</v>
      </c>
      <c r="AH155">
        <v>0.36611876948820299</v>
      </c>
      <c r="AI155">
        <v>112.624971579774</v>
      </c>
      <c r="AJ155">
        <v>74.017995318114501</v>
      </c>
      <c r="AK155">
        <v>0.41259076596139899</v>
      </c>
      <c r="AL155">
        <v>78.151000035499095</v>
      </c>
      <c r="AM155">
        <v>86.784243252027593</v>
      </c>
      <c r="AN155">
        <v>0.99999992774961399</v>
      </c>
    </row>
    <row r="156" spans="1:40" x14ac:dyDescent="0.25">
      <c r="A156" t="str">
        <f>"20190303170719188"</f>
        <v>20190303170719188</v>
      </c>
      <c r="B156" t="str">
        <f>"1551604039182712"</f>
        <v>1551604039182712</v>
      </c>
      <c r="C156" t="s">
        <v>40</v>
      </c>
      <c r="D156">
        <v>4.1745400000000004</v>
      </c>
      <c r="E156">
        <v>0.55213939999999995</v>
      </c>
      <c r="F156" t="s">
        <v>47</v>
      </c>
      <c r="G156">
        <v>-439.78160000000003</v>
      </c>
      <c r="H156">
        <v>0.9704912</v>
      </c>
      <c r="I156">
        <v>367.43729999999999</v>
      </c>
      <c r="J156">
        <v>-440.1764</v>
      </c>
      <c r="K156">
        <v>1.1195250000000001</v>
      </c>
      <c r="L156">
        <v>367.56189999999998</v>
      </c>
      <c r="M156">
        <v>0.99991419999999998</v>
      </c>
      <c r="N156">
        <v>-8.0257980000000007E-3</v>
      </c>
      <c r="O156">
        <v>-1.035851E-2</v>
      </c>
      <c r="P156">
        <v>0.97832350000000001</v>
      </c>
      <c r="Q156">
        <v>0.1967101</v>
      </c>
      <c r="R156">
        <v>-6.4718499999999998E-2</v>
      </c>
      <c r="S156">
        <v>3.1605829999999999</v>
      </c>
      <c r="T156">
        <v>-0.64375039999999994</v>
      </c>
      <c r="U156">
        <v>-0.55218509999999998</v>
      </c>
      <c r="V156">
        <v>5.4812029999999998E-2</v>
      </c>
      <c r="W156">
        <v>0.2044986</v>
      </c>
      <c r="X156">
        <v>0.97733099999999995</v>
      </c>
      <c r="Y156">
        <v>0.1587865</v>
      </c>
      <c r="Z156">
        <v>-1.454743E-2</v>
      </c>
      <c r="AA156">
        <v>0.98720569999999996</v>
      </c>
      <c r="AB156">
        <v>35</v>
      </c>
      <c r="AC156">
        <v>0.394799999999975</v>
      </c>
      <c r="AD156">
        <v>-0.14903379999999999</v>
      </c>
      <c r="AE156">
        <v>-0.124599999999986</v>
      </c>
      <c r="AF156">
        <v>0.106678901563064</v>
      </c>
      <c r="AG156">
        <v>-0.14903379999999999</v>
      </c>
      <c r="AH156">
        <v>0.35063057927760199</v>
      </c>
      <c r="AI156">
        <v>112.128662227973</v>
      </c>
      <c r="AJ156">
        <v>73.077684561088603</v>
      </c>
      <c r="AK156">
        <v>0.39564284993626297</v>
      </c>
      <c r="AL156">
        <v>78.199850368091106</v>
      </c>
      <c r="AM156">
        <v>86.790021461898604</v>
      </c>
      <c r="AN156">
        <v>0.99999995979783896</v>
      </c>
    </row>
    <row r="157" spans="1:40" x14ac:dyDescent="0.25">
      <c r="A157" t="str">
        <f>"20190303170719211"</f>
        <v>20190303170719211</v>
      </c>
      <c r="B157" t="str">
        <f>"1551604039202232"</f>
        <v>1551604039202232</v>
      </c>
      <c r="C157" t="s">
        <v>40</v>
      </c>
      <c r="D157">
        <v>4.1502660000000002</v>
      </c>
      <c r="E157">
        <v>0.55221889999999996</v>
      </c>
      <c r="F157" t="s">
        <v>47</v>
      </c>
      <c r="G157">
        <v>-439.46480000000003</v>
      </c>
      <c r="H157">
        <v>0.97471059999999998</v>
      </c>
      <c r="I157">
        <v>367.43639999999999</v>
      </c>
      <c r="J157">
        <v>-439.81549999999999</v>
      </c>
      <c r="K157">
        <v>1.119089</v>
      </c>
      <c r="L157">
        <v>367.55779999999999</v>
      </c>
      <c r="M157">
        <v>0.99990460000000003</v>
      </c>
      <c r="N157">
        <v>-8.5829630000000007E-3</v>
      </c>
      <c r="O157">
        <v>-1.0832899999999999E-2</v>
      </c>
      <c r="P157">
        <v>0.97836100000000004</v>
      </c>
      <c r="Q157">
        <v>0.19665079999999999</v>
      </c>
      <c r="R157">
        <v>-6.4331189999999996E-2</v>
      </c>
      <c r="S157">
        <v>3.1590880000000001</v>
      </c>
      <c r="T157">
        <v>-0.64306569999999996</v>
      </c>
      <c r="U157">
        <v>-0.55520630000000004</v>
      </c>
      <c r="V157">
        <v>5.3953899999999999E-2</v>
      </c>
      <c r="W157">
        <v>0.2049869</v>
      </c>
      <c r="X157">
        <v>0.97727649999999999</v>
      </c>
      <c r="Y157">
        <v>0.15930559999999999</v>
      </c>
      <c r="Z157">
        <v>-1.455234E-2</v>
      </c>
      <c r="AA157">
        <v>0.9871221</v>
      </c>
      <c r="AB157">
        <v>35</v>
      </c>
      <c r="AC157">
        <v>0.35069999999995999</v>
      </c>
      <c r="AD157">
        <v>-0.14437839999999999</v>
      </c>
      <c r="AE157">
        <v>-0.121399999999994</v>
      </c>
      <c r="AF157">
        <v>0.102135490257647</v>
      </c>
      <c r="AG157">
        <v>-0.14437839999999999</v>
      </c>
      <c r="AH157">
        <v>0.30572350450400698</v>
      </c>
      <c r="AI157">
        <v>114.128418797861</v>
      </c>
      <c r="AJ157">
        <v>71.526661254170307</v>
      </c>
      <c r="AK157">
        <v>0.35319065950693201</v>
      </c>
      <c r="AL157">
        <v>78.171267871271894</v>
      </c>
      <c r="AM157">
        <v>86.839997965972799</v>
      </c>
      <c r="AN157">
        <v>1.0000000049745299</v>
      </c>
    </row>
    <row r="158" spans="1:40" x14ac:dyDescent="0.25">
      <c r="A158" t="str">
        <f>"20190303170719232"</f>
        <v>20190303170719232</v>
      </c>
      <c r="B158" t="str">
        <f>"1551604039222728"</f>
        <v>1551604039222728</v>
      </c>
      <c r="C158" t="s">
        <v>40</v>
      </c>
      <c r="D158">
        <v>4.1403119999999998</v>
      </c>
      <c r="E158">
        <v>0.55187330000000001</v>
      </c>
      <c r="F158" t="s">
        <v>47</v>
      </c>
      <c r="G158">
        <v>-438.8562</v>
      </c>
      <c r="H158">
        <v>0.92428900000000003</v>
      </c>
      <c r="I158">
        <v>367.38869999999997</v>
      </c>
      <c r="J158">
        <v>-439.48349999999999</v>
      </c>
      <c r="K158">
        <v>1.118463</v>
      </c>
      <c r="L158">
        <v>367.5539</v>
      </c>
      <c r="M158">
        <v>0.99989280000000003</v>
      </c>
      <c r="N158">
        <v>-9.4022970000000004E-3</v>
      </c>
      <c r="O158">
        <v>-1.1225789999999999E-2</v>
      </c>
      <c r="P158">
        <v>0.97818090000000002</v>
      </c>
      <c r="Q158">
        <v>0.1974532</v>
      </c>
      <c r="R158">
        <v>-6.4610479999999998E-2</v>
      </c>
      <c r="S158">
        <v>3.1586609999999999</v>
      </c>
      <c r="T158">
        <v>-0.64146179999999997</v>
      </c>
      <c r="U158">
        <v>-0.556427</v>
      </c>
      <c r="V158">
        <v>5.3849679999999997E-2</v>
      </c>
      <c r="W158">
        <v>0.2065893</v>
      </c>
      <c r="X158">
        <v>0.9769447</v>
      </c>
      <c r="Y158">
        <v>0.15931689999999901</v>
      </c>
      <c r="Z158">
        <v>-1.452169E-2</v>
      </c>
      <c r="AA158">
        <v>0.98712069999999996</v>
      </c>
      <c r="AB158">
        <v>35</v>
      </c>
      <c r="AC158">
        <v>0.62729999999999098</v>
      </c>
      <c r="AD158">
        <v>-0.19417400000000001</v>
      </c>
      <c r="AE158">
        <v>-0.16520000000002699</v>
      </c>
      <c r="AF158">
        <v>0.14514250594865</v>
      </c>
      <c r="AG158">
        <v>-0.19417400000000001</v>
      </c>
      <c r="AH158">
        <v>0.57738141504643803</v>
      </c>
      <c r="AI158">
        <v>108.063931218075</v>
      </c>
      <c r="AJ158">
        <v>75.889329477716402</v>
      </c>
      <c r="AK158">
        <v>0.62621017857432004</v>
      </c>
      <c r="AL158">
        <v>78.077448235460906</v>
      </c>
      <c r="AM158">
        <v>86.845020646227894</v>
      </c>
      <c r="AN158">
        <v>0.99999993688433897</v>
      </c>
    </row>
    <row r="159" spans="1:40" x14ac:dyDescent="0.25">
      <c r="A159" t="str">
        <f>"20190303170719254"</f>
        <v>20190303170719254</v>
      </c>
      <c r="B159" t="str">
        <f>"1551604039242251"</f>
        <v>1551604039242251</v>
      </c>
      <c r="C159" t="s">
        <v>40</v>
      </c>
      <c r="D159">
        <v>4.1427459999999998</v>
      </c>
      <c r="E159">
        <v>0.55160310000000001</v>
      </c>
      <c r="F159" t="s">
        <v>47</v>
      </c>
      <c r="G159">
        <v>-438.53899999999999</v>
      </c>
      <c r="H159">
        <v>0.92715800000000004</v>
      </c>
      <c r="I159">
        <v>367.3879</v>
      </c>
      <c r="J159">
        <v>-439.11829999999998</v>
      </c>
      <c r="K159">
        <v>1.1175120000000001</v>
      </c>
      <c r="L159">
        <v>367.54950000000002</v>
      </c>
      <c r="M159">
        <v>0.99987599999999999</v>
      </c>
      <c r="N159">
        <v>-1.071065E-2</v>
      </c>
      <c r="O159">
        <v>-1.155779E-2</v>
      </c>
      <c r="P159">
        <v>0.97829290000000002</v>
      </c>
      <c r="Q159">
        <v>0.1969014</v>
      </c>
      <c r="R159">
        <v>-6.4600320000000003E-2</v>
      </c>
      <c r="S159">
        <v>3.1595460000000002</v>
      </c>
      <c r="T159">
        <v>-0.64005480000000003</v>
      </c>
      <c r="U159">
        <v>-0.55364990000000003</v>
      </c>
      <c r="V159">
        <v>5.351641E-2</v>
      </c>
      <c r="W159">
        <v>0.20731659999999999</v>
      </c>
      <c r="X159">
        <v>0.97680900000000004</v>
      </c>
      <c r="Y159">
        <v>0.15812119999999999</v>
      </c>
      <c r="Z159">
        <v>-1.4422040000000001E-2</v>
      </c>
      <c r="AA159">
        <v>0.98731440000000004</v>
      </c>
      <c r="AB159">
        <v>35</v>
      </c>
      <c r="AC159">
        <v>0.57929999999998905</v>
      </c>
      <c r="AD159">
        <v>-0.190354</v>
      </c>
      <c r="AE159">
        <v>-0.161600000000021</v>
      </c>
      <c r="AF159">
        <v>0.14078940938855999</v>
      </c>
      <c r="AG159">
        <v>-0.190354</v>
      </c>
      <c r="AH159">
        <v>0.52821380754633496</v>
      </c>
      <c r="AI159">
        <v>109.198939345179</v>
      </c>
      <c r="AJ159">
        <v>75.075429456626694</v>
      </c>
      <c r="AK159">
        <v>0.578848969589285</v>
      </c>
      <c r="AL159">
        <v>78.034855677719094</v>
      </c>
      <c r="AM159">
        <v>86.8640726811105</v>
      </c>
      <c r="AN159">
        <v>1.0000000006279199</v>
      </c>
    </row>
    <row r="160" spans="1:40" x14ac:dyDescent="0.25">
      <c r="A160" t="str">
        <f>"20190303170719275"</f>
        <v>20190303170719275</v>
      </c>
      <c r="B160" t="str">
        <f>"1551604039262744"</f>
        <v>1551604039262744</v>
      </c>
      <c r="C160" t="s">
        <v>40</v>
      </c>
      <c r="D160">
        <v>4.1104539999999998</v>
      </c>
      <c r="E160">
        <v>0.55177290000000001</v>
      </c>
      <c r="F160" t="s">
        <v>47</v>
      </c>
      <c r="G160">
        <v>-438.22019999999998</v>
      </c>
      <c r="H160">
        <v>0.93492949999999997</v>
      </c>
      <c r="I160">
        <v>367.39249999999998</v>
      </c>
      <c r="J160">
        <v>-438.79349999999999</v>
      </c>
      <c r="K160">
        <v>1.1165149999999999</v>
      </c>
      <c r="L160">
        <v>367.54539999999997</v>
      </c>
      <c r="M160">
        <v>0.99985389999999996</v>
      </c>
      <c r="N160">
        <v>-1.234826E-2</v>
      </c>
      <c r="O160">
        <v>-1.181684E-2</v>
      </c>
      <c r="P160">
        <v>0.9788076</v>
      </c>
      <c r="Q160">
        <v>0.19436729999999999</v>
      </c>
      <c r="R160">
        <v>-6.4473260000000004E-2</v>
      </c>
      <c r="S160">
        <v>3.1595759999999999</v>
      </c>
      <c r="T160">
        <v>-0.64244899999999905</v>
      </c>
      <c r="U160">
        <v>-0.5500488</v>
      </c>
      <c r="V160">
        <v>5.3126020000000003E-2</v>
      </c>
      <c r="W160">
        <v>0.20639009999999999</v>
      </c>
      <c r="X160">
        <v>0.97702650000000002</v>
      </c>
      <c r="Y160">
        <v>0.15675220000000001</v>
      </c>
      <c r="Z160">
        <v>-1.4429000000000001E-2</v>
      </c>
      <c r="AA160">
        <v>0.98753259999999998</v>
      </c>
      <c r="AB160">
        <v>35</v>
      </c>
      <c r="AC160">
        <v>0.57330000000001702</v>
      </c>
      <c r="AD160">
        <v>-0.18158550000000001</v>
      </c>
      <c r="AE160">
        <v>-0.15289999999998799</v>
      </c>
      <c r="AF160">
        <v>0.13360107109059999</v>
      </c>
      <c r="AG160">
        <v>-0.18158550000000001</v>
      </c>
      <c r="AH160">
        <v>0.52581848610131798</v>
      </c>
      <c r="AI160">
        <v>108.505592123859</v>
      </c>
      <c r="AJ160">
        <v>75.743839198771497</v>
      </c>
      <c r="AK160">
        <v>0.57210804952621297</v>
      </c>
      <c r="AL160">
        <v>78.089113882802394</v>
      </c>
      <c r="AM160">
        <v>86.887595051902494</v>
      </c>
      <c r="AN160">
        <v>1.00000001454065</v>
      </c>
    </row>
    <row r="161" spans="1:40" x14ac:dyDescent="0.25">
      <c r="A161" t="str">
        <f>"20190303170719298"</f>
        <v>20190303170719298</v>
      </c>
      <c r="B161" t="str">
        <f>"1551604039292024"</f>
        <v>1551604039292024</v>
      </c>
      <c r="C161" t="s">
        <v>40</v>
      </c>
      <c r="D161">
        <v>4.115583</v>
      </c>
      <c r="E161">
        <v>0.55195830000000001</v>
      </c>
      <c r="F161" t="s">
        <v>47</v>
      </c>
      <c r="G161">
        <v>-437.90539999999999</v>
      </c>
      <c r="H161">
        <v>0.93371680000000001</v>
      </c>
      <c r="I161">
        <v>367.39019999999999</v>
      </c>
      <c r="J161">
        <v>-438.42489999999998</v>
      </c>
      <c r="K161">
        <v>1.115165</v>
      </c>
      <c r="L161">
        <v>367.54070000000002</v>
      </c>
      <c r="M161">
        <v>0.99982490000000002</v>
      </c>
      <c r="N161">
        <v>-1.425045E-2</v>
      </c>
      <c r="O161">
        <v>-1.2129249999999999E-2</v>
      </c>
      <c r="P161">
        <v>0.97935289999999997</v>
      </c>
      <c r="Q161">
        <v>0.19167880000000001</v>
      </c>
      <c r="R161">
        <v>-6.4242999999999995E-2</v>
      </c>
      <c r="S161">
        <v>3.1576840000000002</v>
      </c>
      <c r="T161">
        <v>-0.65001430000000004</v>
      </c>
      <c r="U161">
        <v>-0.55178830000000001</v>
      </c>
      <c r="V161">
        <v>5.2566870000000002E-2</v>
      </c>
      <c r="W161">
        <v>0.20557249999999999</v>
      </c>
      <c r="X161">
        <v>0.97722909999999996</v>
      </c>
      <c r="Y161">
        <v>0.15696389999999999</v>
      </c>
      <c r="Z161">
        <v>-1.4728140000000001E-2</v>
      </c>
      <c r="AA161">
        <v>0.98749450000000005</v>
      </c>
      <c r="AB161">
        <v>35</v>
      </c>
      <c r="AC161">
        <v>0.51949999999999297</v>
      </c>
      <c r="AD161">
        <v>-0.181448199999999</v>
      </c>
      <c r="AE161">
        <v>-0.15050000000002201</v>
      </c>
      <c r="AF161">
        <v>0.12960093641134801</v>
      </c>
      <c r="AG161">
        <v>-0.181448199999999</v>
      </c>
      <c r="AH161">
        <v>0.46855313406031301</v>
      </c>
      <c r="AI161">
        <v>110.467469206171</v>
      </c>
      <c r="AJ161">
        <v>74.538653517516295</v>
      </c>
      <c r="AK161">
        <v>0.51890451090704603</v>
      </c>
      <c r="AL161">
        <v>78.136985555372902</v>
      </c>
      <c r="AM161">
        <v>86.920926900159898</v>
      </c>
      <c r="AN161">
        <v>1.0000000212323199</v>
      </c>
    </row>
    <row r="162" spans="1:40" x14ac:dyDescent="0.25">
      <c r="A162" t="str">
        <f>"20190303170719321"</f>
        <v>20190303170719321</v>
      </c>
      <c r="B162" t="str">
        <f>"1551604039312520"</f>
        <v>1551604039312520</v>
      </c>
      <c r="C162" t="s">
        <v>40</v>
      </c>
      <c r="D162">
        <v>4.11775</v>
      </c>
      <c r="E162">
        <v>0.55215599999999998</v>
      </c>
      <c r="F162" t="s">
        <v>47</v>
      </c>
      <c r="G162">
        <v>-437.58580000000001</v>
      </c>
      <c r="H162">
        <v>0.939917</v>
      </c>
      <c r="I162">
        <v>367.3931</v>
      </c>
      <c r="J162">
        <v>-438.06959999999998</v>
      </c>
      <c r="K162">
        <v>1.113556</v>
      </c>
      <c r="L162">
        <v>367.53620000000001</v>
      </c>
      <c r="M162">
        <v>0.99980040000000003</v>
      </c>
      <c r="N162">
        <v>-1.5629090000000002E-2</v>
      </c>
      <c r="O162">
        <v>-1.245396E-2</v>
      </c>
      <c r="P162">
        <v>0.97962459999999996</v>
      </c>
      <c r="Q162">
        <v>0.19011839999999999</v>
      </c>
      <c r="R162">
        <v>-6.4738329999999997E-2</v>
      </c>
      <c r="S162">
        <v>3.1560060000000001</v>
      </c>
      <c r="T162">
        <v>-0.65938479999999999</v>
      </c>
      <c r="U162">
        <v>-0.55328369999999905</v>
      </c>
      <c r="V162">
        <v>5.2718880000000003E-2</v>
      </c>
      <c r="W162">
        <v>0.2053691</v>
      </c>
      <c r="X162">
        <v>0.97726360000000001</v>
      </c>
      <c r="Y162">
        <v>0.15707209999999999</v>
      </c>
      <c r="Z162">
        <v>-1.5001570000000001E-2</v>
      </c>
      <c r="AA162">
        <v>0.98747320000000005</v>
      </c>
      <c r="AB162">
        <v>35</v>
      </c>
      <c r="AC162">
        <v>0.48379999999997297</v>
      </c>
      <c r="AD162">
        <v>-0.17363899999999999</v>
      </c>
      <c r="AE162">
        <v>-0.143100000000004</v>
      </c>
      <c r="AF162">
        <v>0.122547119467643</v>
      </c>
      <c r="AG162">
        <v>-0.17363899999999999</v>
      </c>
      <c r="AH162">
        <v>0.43412262644841099</v>
      </c>
      <c r="AI162">
        <v>111.053406438515</v>
      </c>
      <c r="AJ162">
        <v>74.236323350770206</v>
      </c>
      <c r="AK162">
        <v>0.48335365272777597</v>
      </c>
      <c r="AL162">
        <v>78.148892687648598</v>
      </c>
      <c r="AM162">
        <v>86.912149014352295</v>
      </c>
      <c r="AN162">
        <v>0.99999994571410999</v>
      </c>
    </row>
    <row r="163" spans="1:40" x14ac:dyDescent="0.25">
      <c r="A163" t="str">
        <f>"20190303170719346"</f>
        <v>20190303170719346</v>
      </c>
      <c r="B163" t="str">
        <f>"1551604039342776"</f>
        <v>1551604039342776</v>
      </c>
      <c r="C163" t="s">
        <v>40</v>
      </c>
      <c r="D163">
        <v>4.1880519999999999</v>
      </c>
      <c r="E163">
        <v>0.55207299999999904</v>
      </c>
      <c r="F163" t="s">
        <v>47</v>
      </c>
      <c r="G163">
        <v>-437.26609999999999</v>
      </c>
      <c r="H163">
        <v>0.94428460000000003</v>
      </c>
      <c r="I163">
        <v>367.39429999999999</v>
      </c>
      <c r="J163">
        <v>-437.6823</v>
      </c>
      <c r="K163">
        <v>1.1114980000000001</v>
      </c>
      <c r="L163">
        <v>367.53109999999998</v>
      </c>
      <c r="M163">
        <v>0.99977760000000004</v>
      </c>
      <c r="N163">
        <v>-1.6785359999999999E-2</v>
      </c>
      <c r="O163">
        <v>-1.2773710000000001E-2</v>
      </c>
      <c r="P163">
        <v>0.97978549999999998</v>
      </c>
      <c r="Q163">
        <v>0.18904499999999999</v>
      </c>
      <c r="R163">
        <v>-6.5440129999999999E-2</v>
      </c>
      <c r="S163">
        <v>3.1546020000000001</v>
      </c>
      <c r="T163">
        <v>-0.66453180000000001</v>
      </c>
      <c r="U163">
        <v>-0.55609129999999996</v>
      </c>
      <c r="V163">
        <v>5.3083600000000002E-2</v>
      </c>
      <c r="W163">
        <v>0.20543449999999999</v>
      </c>
      <c r="X163">
        <v>0.97723020000000005</v>
      </c>
      <c r="Y163">
        <v>0.15760360000000001</v>
      </c>
      <c r="Z163">
        <v>-1.521581E-2</v>
      </c>
      <c r="AA163">
        <v>0.98738519999999996</v>
      </c>
      <c r="AB163">
        <v>35</v>
      </c>
      <c r="AC163">
        <v>0.41620000000000301</v>
      </c>
      <c r="AD163">
        <v>-0.16721339999999901</v>
      </c>
      <c r="AE163">
        <v>-0.13679999999999301</v>
      </c>
      <c r="AF163">
        <v>0.11475479667600801</v>
      </c>
      <c r="AG163">
        <v>-0.16721339999999901</v>
      </c>
      <c r="AH163">
        <v>0.36477520017264897</v>
      </c>
      <c r="AI163">
        <v>113.618496735996</v>
      </c>
      <c r="AJ163">
        <v>72.536922152639704</v>
      </c>
      <c r="AK163">
        <v>0.417360672752845</v>
      </c>
      <c r="AL163">
        <v>78.145064955945301</v>
      </c>
      <c r="AM163">
        <v>86.890722341144198</v>
      </c>
      <c r="AN163">
        <v>1.00000003308562</v>
      </c>
    </row>
    <row r="164" spans="1:40" x14ac:dyDescent="0.25">
      <c r="A164" t="str">
        <f>"20190303170719371"</f>
        <v>20190303170719371</v>
      </c>
      <c r="B164" t="str">
        <f>"1551604039362296"</f>
        <v>1551604039362296</v>
      </c>
      <c r="C164" t="s">
        <v>40</v>
      </c>
      <c r="D164">
        <v>4.1324610000000002</v>
      </c>
      <c r="E164">
        <v>0.52292499999999997</v>
      </c>
      <c r="F164" t="s">
        <v>47</v>
      </c>
      <c r="G164">
        <v>-436.9427</v>
      </c>
      <c r="H164">
        <v>0.95463120000000001</v>
      </c>
      <c r="I164">
        <v>367.3999</v>
      </c>
      <c r="J164">
        <v>-437.29660000000001</v>
      </c>
      <c r="K164">
        <v>1.109175</v>
      </c>
      <c r="L164">
        <v>367.52600000000001</v>
      </c>
      <c r="M164">
        <v>0.99975879999999995</v>
      </c>
      <c r="N164">
        <v>-1.7703509999999999E-2</v>
      </c>
      <c r="O164">
        <v>-1.300603E-2</v>
      </c>
      <c r="P164">
        <v>0.97992710000000005</v>
      </c>
      <c r="Q164">
        <v>0.1883368</v>
      </c>
      <c r="R164">
        <v>-6.5364829999999999E-2</v>
      </c>
      <c r="S164">
        <v>3.1536870000000001</v>
      </c>
      <c r="T164">
        <v>-0.66890119999999997</v>
      </c>
      <c r="U164">
        <v>-0.55807499999999999</v>
      </c>
      <c r="V164">
        <v>5.2760580000000001E-2</v>
      </c>
      <c r="W164">
        <v>0.20563090000000001</v>
      </c>
      <c r="X164">
        <v>0.97720629999999997</v>
      </c>
      <c r="Y164">
        <v>0.15795970000000001</v>
      </c>
      <c r="Z164">
        <v>-1.538842E-2</v>
      </c>
      <c r="AA164">
        <v>0.98732569999999997</v>
      </c>
      <c r="AB164">
        <v>35</v>
      </c>
      <c r="AC164">
        <v>0.35390000000000998</v>
      </c>
      <c r="AD164">
        <v>-0.15454379999999901</v>
      </c>
      <c r="AE164">
        <v>-0.12610000000000801</v>
      </c>
      <c r="AF164">
        <v>0.103903901925346</v>
      </c>
      <c r="AG164">
        <v>-0.15454379999999901</v>
      </c>
      <c r="AH164">
        <v>0.30405958877841899</v>
      </c>
      <c r="AI164">
        <v>115.68575858908</v>
      </c>
      <c r="AJ164">
        <v>71.133564907752501</v>
      </c>
      <c r="AK164">
        <v>0.35655580276003601</v>
      </c>
      <c r="AL164">
        <v>78.133565568978298</v>
      </c>
      <c r="AM164">
        <v>86.909530440971196</v>
      </c>
      <c r="AN164">
        <v>0.99999994929821601</v>
      </c>
    </row>
    <row r="165" spans="1:40" x14ac:dyDescent="0.25">
      <c r="A165" t="str">
        <f>"20190303170719390"</f>
        <v>20190303170719390</v>
      </c>
      <c r="B165" t="str">
        <f>"1551604039382792"</f>
        <v>1551604039382792</v>
      </c>
      <c r="C165" t="s">
        <v>40</v>
      </c>
      <c r="D165">
        <v>4.169289</v>
      </c>
      <c r="E165">
        <v>0.51886980000000005</v>
      </c>
      <c r="F165" t="s">
        <v>47</v>
      </c>
      <c r="G165">
        <v>-436.33109999999999</v>
      </c>
      <c r="H165">
        <v>0.90210950000000001</v>
      </c>
      <c r="I165">
        <v>367.42660000000001</v>
      </c>
      <c r="J165">
        <v>-436.96870000000001</v>
      </c>
      <c r="K165">
        <v>1.107</v>
      </c>
      <c r="L165">
        <v>367.52159999999998</v>
      </c>
      <c r="M165">
        <v>0.99974730000000001</v>
      </c>
      <c r="N165">
        <v>-1.824856E-2</v>
      </c>
      <c r="O165">
        <v>-1.312644E-2</v>
      </c>
      <c r="P165">
        <v>0.98011539999999997</v>
      </c>
      <c r="Q165">
        <v>0.1874401</v>
      </c>
      <c r="R165">
        <v>-6.5115969999999995E-2</v>
      </c>
      <c r="S165">
        <v>3.17041</v>
      </c>
      <c r="T165">
        <v>-0.67999730000000003</v>
      </c>
      <c r="U165">
        <v>-0.32592769999999999</v>
      </c>
      <c r="V165">
        <v>5.2375459999999999E-2</v>
      </c>
      <c r="W165">
        <v>0.20527480000000001</v>
      </c>
      <c r="X165">
        <v>0.977302</v>
      </c>
      <c r="Y165">
        <v>8.7305740000000007E-2</v>
      </c>
      <c r="Z165">
        <v>-7.502781E-3</v>
      </c>
      <c r="AA165">
        <v>0.99615330000000002</v>
      </c>
      <c r="AB165">
        <v>35</v>
      </c>
      <c r="AC165">
        <v>0.63760000000002004</v>
      </c>
      <c r="AD165">
        <v>-0.2048905</v>
      </c>
      <c r="AE165">
        <v>-9.49999999999704E-2</v>
      </c>
      <c r="AF165">
        <v>7.8673348461092293E-2</v>
      </c>
      <c r="AG165">
        <v>-0.2048905</v>
      </c>
      <c r="AH165">
        <v>0.58018178639041695</v>
      </c>
      <c r="AI165">
        <v>109.287295109743</v>
      </c>
      <c r="AJ165">
        <v>82.277725058809395</v>
      </c>
      <c r="AK165">
        <v>0.62030679345587203</v>
      </c>
      <c r="AL165">
        <v>78.154414742119698</v>
      </c>
      <c r="AM165">
        <v>86.932345576431302</v>
      </c>
      <c r="AN165">
        <v>1.00000006576462</v>
      </c>
    </row>
    <row r="166" spans="1:40" x14ac:dyDescent="0.25">
      <c r="A166" t="str">
        <f>"20190303170719412"</f>
        <v>20190303170719412</v>
      </c>
      <c r="B166" t="str">
        <f>"1551604039402312"</f>
        <v>1551604039402312</v>
      </c>
      <c r="C166" t="s">
        <v>40</v>
      </c>
      <c r="D166">
        <v>4.1792009999999999</v>
      </c>
      <c r="E166">
        <v>0.51718240000000004</v>
      </c>
      <c r="F166" t="s">
        <v>47</v>
      </c>
      <c r="G166">
        <v>-436.0127</v>
      </c>
      <c r="H166">
        <v>0.90133549999999996</v>
      </c>
      <c r="I166">
        <v>367.43299999999999</v>
      </c>
      <c r="J166">
        <v>-436.63490000000002</v>
      </c>
      <c r="K166">
        <v>1.104608</v>
      </c>
      <c r="L166">
        <v>367.51710000000003</v>
      </c>
      <c r="M166">
        <v>0.99974110000000005</v>
      </c>
      <c r="N166">
        <v>-1.853546E-2</v>
      </c>
      <c r="O166">
        <v>-1.3198929999999999E-2</v>
      </c>
      <c r="P166">
        <v>0.98023439999999995</v>
      </c>
      <c r="Q166">
        <v>0.18687780000000001</v>
      </c>
      <c r="R166">
        <v>-6.4940940000000003E-2</v>
      </c>
      <c r="S166">
        <v>3.1719360000000001</v>
      </c>
      <c r="T166">
        <v>-0.68241359999999995</v>
      </c>
      <c r="U166">
        <v>-0.29296879999999997</v>
      </c>
      <c r="V166">
        <v>5.2110660000000003E-2</v>
      </c>
      <c r="W166">
        <v>0.2049995</v>
      </c>
      <c r="X166">
        <v>0.97737390000000002</v>
      </c>
      <c r="Y166">
        <v>7.7162309999999998E-2</v>
      </c>
      <c r="Z166">
        <v>-6.35551E-3</v>
      </c>
      <c r="AA166">
        <v>0.9969983</v>
      </c>
      <c r="AB166">
        <v>36</v>
      </c>
      <c r="AC166">
        <v>0.62220000000001996</v>
      </c>
      <c r="AD166">
        <v>-0.20327249999999999</v>
      </c>
      <c r="AE166">
        <v>-8.4099999999977998E-2</v>
      </c>
      <c r="AF166">
        <v>6.8680009312458407E-2</v>
      </c>
      <c r="AG166">
        <v>-0.20327249999999999</v>
      </c>
      <c r="AH166">
        <v>0.56412567567858896</v>
      </c>
      <c r="AI166">
        <v>109.681664232065</v>
      </c>
      <c r="AJ166">
        <v>83.058632245330699</v>
      </c>
      <c r="AK166">
        <v>0.60355151469881496</v>
      </c>
      <c r="AL166">
        <v>78.1705305585714</v>
      </c>
      <c r="AM166">
        <v>86.948049740646795</v>
      </c>
      <c r="AN166">
        <v>1.0000000281435399</v>
      </c>
    </row>
    <row r="167" spans="1:40" x14ac:dyDescent="0.25">
      <c r="A167" t="str">
        <f>"20190303170719454"</f>
        <v>20190303170719454</v>
      </c>
      <c r="B167" t="str">
        <f>"1551604039442328"</f>
        <v>1551604039442328</v>
      </c>
      <c r="C167" t="s">
        <v>40</v>
      </c>
      <c r="D167">
        <v>4.2184039999999996</v>
      </c>
      <c r="E167">
        <v>0.51575820000000006</v>
      </c>
      <c r="F167" t="s">
        <v>47</v>
      </c>
      <c r="G167">
        <v>-435.69380000000001</v>
      </c>
      <c r="H167">
        <v>0.9007984</v>
      </c>
      <c r="I167">
        <v>367.43380000000002</v>
      </c>
      <c r="J167">
        <v>-435.97730000000001</v>
      </c>
      <c r="K167">
        <v>1.099521</v>
      </c>
      <c r="L167">
        <v>367.50830000000002</v>
      </c>
      <c r="M167">
        <v>0.99974010000000002</v>
      </c>
      <c r="N167">
        <v>-1.856259E-2</v>
      </c>
      <c r="O167">
        <v>-1.323944E-2</v>
      </c>
      <c r="P167">
        <v>0.98019049999999996</v>
      </c>
      <c r="Q167">
        <v>0.18770899999999999</v>
      </c>
      <c r="R167">
        <v>-6.318058E-2</v>
      </c>
      <c r="S167">
        <v>3.173035</v>
      </c>
      <c r="T167">
        <v>-0.68728330000000004</v>
      </c>
      <c r="U167">
        <v>-0.27923579999999998</v>
      </c>
      <c r="V167">
        <v>5.0280249999999999E-2</v>
      </c>
      <c r="W167">
        <v>0.20586470000000001</v>
      </c>
      <c r="X167">
        <v>0.97728789999999999</v>
      </c>
      <c r="Y167">
        <v>7.2894979999999998E-2</v>
      </c>
      <c r="Z167">
        <v>-5.8895750000000002E-3</v>
      </c>
      <c r="AA167">
        <v>0.99732229999999999</v>
      </c>
      <c r="AB167">
        <v>36</v>
      </c>
      <c r="AC167">
        <v>0.28350000000000303</v>
      </c>
      <c r="AD167">
        <v>-0.1987226</v>
      </c>
      <c r="AE167">
        <v>-7.4500000000000399E-2</v>
      </c>
      <c r="AF167">
        <v>4.8464682604389901E-2</v>
      </c>
      <c r="AG167">
        <v>-0.1987226</v>
      </c>
      <c r="AH167">
        <v>0.19488906923404001</v>
      </c>
      <c r="AI167">
        <v>134.69855277771001</v>
      </c>
      <c r="AJ167">
        <v>76.035051871283997</v>
      </c>
      <c r="AK167">
        <v>0.28252654126225801</v>
      </c>
      <c r="AL167">
        <v>78.119877665600498</v>
      </c>
      <c r="AM167">
        <v>87.054800018741901</v>
      </c>
      <c r="AN167">
        <v>1.0000000088662799</v>
      </c>
    </row>
    <row r="168" spans="1:40" x14ac:dyDescent="0.25">
      <c r="A168" t="str">
        <f>"20190303170719476"</f>
        <v>20190303170719476</v>
      </c>
      <c r="B168" t="str">
        <f>"1551604039472584"</f>
        <v>1551604039472584</v>
      </c>
      <c r="C168" t="s">
        <v>40</v>
      </c>
      <c r="D168">
        <v>4.274108</v>
      </c>
      <c r="E168">
        <v>0.5155073</v>
      </c>
      <c r="F168" t="s">
        <v>47</v>
      </c>
      <c r="G168">
        <v>-435.05689999999998</v>
      </c>
      <c r="H168">
        <v>0.89995910000000001</v>
      </c>
      <c r="I168">
        <v>367.43099999999998</v>
      </c>
      <c r="J168">
        <v>-435.61739999999998</v>
      </c>
      <c r="K168">
        <v>1.0966610000000001</v>
      </c>
      <c r="L168">
        <v>367.50349999999997</v>
      </c>
      <c r="M168">
        <v>0.99974220000000003</v>
      </c>
      <c r="N168">
        <v>-1.8452940000000001E-2</v>
      </c>
      <c r="O168">
        <v>-1.3236120000000001E-2</v>
      </c>
      <c r="P168">
        <v>0.98006660000000001</v>
      </c>
      <c r="Q168">
        <v>0.18859129999999999</v>
      </c>
      <c r="R168">
        <v>-6.2472279999999998E-2</v>
      </c>
      <c r="S168">
        <v>3.1753849999999999</v>
      </c>
      <c r="T168">
        <v>-0.68855519999999903</v>
      </c>
      <c r="U168">
        <v>-0.26544190000000001</v>
      </c>
      <c r="V168">
        <v>4.9560979999999998E-2</v>
      </c>
      <c r="W168">
        <v>0.20664199999999999</v>
      </c>
      <c r="X168">
        <v>0.97716060000000005</v>
      </c>
      <c r="Y168">
        <v>6.863648E-2</v>
      </c>
      <c r="Z168">
        <v>-5.3954349999999996E-3</v>
      </c>
      <c r="AA168">
        <v>0.99762709999999999</v>
      </c>
      <c r="AB168">
        <v>36</v>
      </c>
      <c r="AC168">
        <v>0.56049999999999001</v>
      </c>
      <c r="AD168">
        <v>-0.19670190000000001</v>
      </c>
      <c r="AE168">
        <v>-7.2499999999990905E-2</v>
      </c>
      <c r="AF168">
        <v>5.8042696606549399E-2</v>
      </c>
      <c r="AG168">
        <v>-0.19670190000000001</v>
      </c>
      <c r="AH168">
        <v>0.50075329448218997</v>
      </c>
      <c r="AI168">
        <v>111.31570512926299</v>
      </c>
      <c r="AJ168">
        <v>83.388307152316997</v>
      </c>
      <c r="AK168">
        <v>0.54112332607986602</v>
      </c>
      <c r="AL168">
        <v>78.074363193449699</v>
      </c>
      <c r="AM168">
        <v>87.096481592678799</v>
      </c>
      <c r="AN168">
        <v>1.0000000225474599</v>
      </c>
    </row>
    <row r="169" spans="1:40" x14ac:dyDescent="0.25">
      <c r="A169" t="str">
        <f>"20190303170719498"</f>
        <v>20190303170719498</v>
      </c>
      <c r="B169" t="str">
        <f>"1551604039492105"</f>
        <v>1551604039492105</v>
      </c>
      <c r="C169" t="s">
        <v>40</v>
      </c>
      <c r="D169">
        <v>4.300154</v>
      </c>
      <c r="E169">
        <v>0.51538090000000003</v>
      </c>
      <c r="F169" t="s">
        <v>47</v>
      </c>
      <c r="G169">
        <v>-434.73570000000001</v>
      </c>
      <c r="H169">
        <v>0.9059123</v>
      </c>
      <c r="I169">
        <v>367.43049999999999</v>
      </c>
      <c r="J169">
        <v>-435.24669999999998</v>
      </c>
      <c r="K169">
        <v>1.0937509999999999</v>
      </c>
      <c r="L169">
        <v>367.49849999999998</v>
      </c>
      <c r="M169">
        <v>0.99974689999999999</v>
      </c>
      <c r="N169">
        <v>-1.8193310000000001E-2</v>
      </c>
      <c r="O169">
        <v>-1.323888E-2</v>
      </c>
      <c r="P169">
        <v>0.98003720000000005</v>
      </c>
      <c r="Q169">
        <v>0.18912699999999999</v>
      </c>
      <c r="R169">
        <v>-6.130501E-2</v>
      </c>
      <c r="S169">
        <v>3.1765750000000001</v>
      </c>
      <c r="T169">
        <v>-0.68729019999999996</v>
      </c>
      <c r="U169">
        <v>-0.26242070000000001</v>
      </c>
      <c r="V169">
        <v>4.8376049999999997E-2</v>
      </c>
      <c r="W169">
        <v>0.20692659999999999</v>
      </c>
      <c r="X169">
        <v>0.97715969999999996</v>
      </c>
      <c r="Y169">
        <v>6.7692489999999994E-2</v>
      </c>
      <c r="Z169">
        <v>-5.2633380000000002E-3</v>
      </c>
      <c r="AA169">
        <v>0.99769229999999998</v>
      </c>
      <c r="AB169">
        <v>35</v>
      </c>
      <c r="AC169">
        <v>0.51099999999996704</v>
      </c>
      <c r="AD169">
        <v>-0.187838699999999</v>
      </c>
      <c r="AE169">
        <v>-6.7999999999983601E-2</v>
      </c>
      <c r="AF169">
        <v>5.4051367363552601E-2</v>
      </c>
      <c r="AG169">
        <v>-0.187838699999999</v>
      </c>
      <c r="AH169">
        <v>0.45186127091163403</v>
      </c>
      <c r="AI169">
        <v>112.42874926685199</v>
      </c>
      <c r="AJ169">
        <v>83.178725611430096</v>
      </c>
      <c r="AK169">
        <v>0.49232462428913298</v>
      </c>
      <c r="AL169">
        <v>78.057695951274894</v>
      </c>
      <c r="AM169">
        <v>87.165783264347397</v>
      </c>
      <c r="AN169">
        <v>0.99999996965262505</v>
      </c>
    </row>
    <row r="170" spans="1:40" x14ac:dyDescent="0.25">
      <c r="A170" t="str">
        <f>"20190303170719523"</f>
        <v>20190303170719523</v>
      </c>
      <c r="B170" t="str">
        <f>"1551604039512601"</f>
        <v>1551604039512601</v>
      </c>
      <c r="C170" t="s">
        <v>40</v>
      </c>
      <c r="D170">
        <v>4.2868740000000001</v>
      </c>
      <c r="E170">
        <v>0.51552559999999903</v>
      </c>
      <c r="F170" t="s">
        <v>47</v>
      </c>
      <c r="G170">
        <v>-434.41379999999998</v>
      </c>
      <c r="H170">
        <v>0.91378009999999998</v>
      </c>
      <c r="I170">
        <v>367.4307</v>
      </c>
      <c r="J170">
        <v>-434.87740000000002</v>
      </c>
      <c r="K170">
        <v>1.0909469999999999</v>
      </c>
      <c r="L170">
        <v>367.49369999999999</v>
      </c>
      <c r="M170">
        <v>0.99975420000000004</v>
      </c>
      <c r="N170">
        <v>-1.778683E-2</v>
      </c>
      <c r="O170">
        <v>-1.324552E-2</v>
      </c>
      <c r="P170">
        <v>0.98000480000000001</v>
      </c>
      <c r="Q170">
        <v>0.18972459999999999</v>
      </c>
      <c r="R170">
        <v>-5.9962799999999997E-2</v>
      </c>
      <c r="S170">
        <v>3.1775509999999998</v>
      </c>
      <c r="T170">
        <v>-0.68674159999999995</v>
      </c>
      <c r="U170">
        <v>-0.25769039999999999</v>
      </c>
      <c r="V170">
        <v>4.7015439999999999E-2</v>
      </c>
      <c r="W170">
        <v>0.20712910000000001</v>
      </c>
      <c r="X170">
        <v>0.97718320000000003</v>
      </c>
      <c r="Y170">
        <v>6.6228739999999994E-2</v>
      </c>
      <c r="Z170">
        <v>-5.068894E-3</v>
      </c>
      <c r="AA170">
        <v>0.9977916</v>
      </c>
      <c r="AB170">
        <v>35</v>
      </c>
      <c r="AC170">
        <v>0.46360000000004198</v>
      </c>
      <c r="AD170">
        <v>-0.17716689999999899</v>
      </c>
      <c r="AE170">
        <v>-6.2999999999988093E-2</v>
      </c>
      <c r="AF170">
        <v>4.9722904712705199E-2</v>
      </c>
      <c r="AG170">
        <v>-0.17716689999999899</v>
      </c>
      <c r="AH170">
        <v>0.40615383811587302</v>
      </c>
      <c r="AI170">
        <v>113.41134939757799</v>
      </c>
      <c r="AJ170">
        <v>83.020362793467299</v>
      </c>
      <c r="AK170">
        <v>0.44589395367613299</v>
      </c>
      <c r="AL170">
        <v>78.045836518994804</v>
      </c>
      <c r="AM170">
        <v>87.245439170174393</v>
      </c>
      <c r="AN170">
        <v>0.99999996101372102</v>
      </c>
    </row>
    <row r="171" spans="1:40" x14ac:dyDescent="0.25">
      <c r="A171" t="str">
        <f>"20190303170719546"</f>
        <v>20190303170719546</v>
      </c>
      <c r="B171" t="str">
        <f>"1551604039541880"</f>
        <v>1551604039541880</v>
      </c>
      <c r="C171" t="s">
        <v>40</v>
      </c>
      <c r="D171">
        <v>4.3388920000000004</v>
      </c>
      <c r="E171">
        <v>0.51568029999999998</v>
      </c>
      <c r="F171" t="s">
        <v>47</v>
      </c>
      <c r="G171">
        <v>-434.09210000000002</v>
      </c>
      <c r="H171">
        <v>0.92140569999999999</v>
      </c>
      <c r="I171">
        <v>367.43040000000002</v>
      </c>
      <c r="J171">
        <v>-434.50799999999998</v>
      </c>
      <c r="K171">
        <v>1.088306</v>
      </c>
      <c r="L171">
        <v>367.48880000000003</v>
      </c>
      <c r="M171">
        <v>0.99976310000000002</v>
      </c>
      <c r="N171">
        <v>-1.7275840000000001E-2</v>
      </c>
      <c r="O171">
        <v>-1.324589E-2</v>
      </c>
      <c r="P171">
        <v>0.97991729999999999</v>
      </c>
      <c r="Q171">
        <v>0.19033320000000001</v>
      </c>
      <c r="R171">
        <v>-5.9462769999999998E-2</v>
      </c>
      <c r="S171">
        <v>3.1784059999999998</v>
      </c>
      <c r="T171">
        <v>-0.68625499999999995</v>
      </c>
      <c r="U171">
        <v>-0.25534059999999997</v>
      </c>
      <c r="V171">
        <v>4.6506699999999998E-2</v>
      </c>
      <c r="W171">
        <v>0.20723920000000001</v>
      </c>
      <c r="X171">
        <v>0.97718419999999895</v>
      </c>
      <c r="Y171">
        <v>6.5499470000000004E-2</v>
      </c>
      <c r="Z171">
        <v>-4.9569030000000004E-3</v>
      </c>
      <c r="AA171">
        <v>0.99784030000000001</v>
      </c>
      <c r="AB171">
        <v>35</v>
      </c>
      <c r="AC171">
        <v>0.41590000000002098</v>
      </c>
      <c r="AD171">
        <v>-0.1669003</v>
      </c>
      <c r="AE171">
        <v>-5.8400000000005899E-2</v>
      </c>
      <c r="AF171">
        <v>4.5672209035905798E-2</v>
      </c>
      <c r="AG171">
        <v>-0.1669003</v>
      </c>
      <c r="AH171">
        <v>0.35981296699350201</v>
      </c>
      <c r="AI171">
        <v>114.710028364867</v>
      </c>
      <c r="AJ171">
        <v>82.765949944273004</v>
      </c>
      <c r="AK171">
        <v>0.39925810202797002</v>
      </c>
      <c r="AL171">
        <v>78.039388327622305</v>
      </c>
      <c r="AM171">
        <v>87.275203066896793</v>
      </c>
      <c r="AN171">
        <v>0.99999995994558399</v>
      </c>
    </row>
    <row r="172" spans="1:40" x14ac:dyDescent="0.25">
      <c r="A172" t="str">
        <f>"20190303170719568"</f>
        <v>20190303170719568</v>
      </c>
      <c r="B172" t="str">
        <f>"1551604039562376"</f>
        <v>1551604039562376</v>
      </c>
      <c r="C172" t="s">
        <v>40</v>
      </c>
      <c r="D172">
        <v>4.3790559999999896</v>
      </c>
      <c r="E172">
        <v>0.51574109999999995</v>
      </c>
      <c r="F172" t="s">
        <v>47</v>
      </c>
      <c r="G172">
        <v>-433.77030000000002</v>
      </c>
      <c r="H172">
        <v>0.92918880000000004</v>
      </c>
      <c r="I172">
        <v>367.42869999999999</v>
      </c>
      <c r="J172">
        <v>-434.16140000000001</v>
      </c>
      <c r="K172">
        <v>1.0860259999999999</v>
      </c>
      <c r="L172">
        <v>367.48419999999999</v>
      </c>
      <c r="M172">
        <v>0.99977210000000005</v>
      </c>
      <c r="N172">
        <v>-1.6749159999999999E-2</v>
      </c>
      <c r="O172">
        <v>-1.323625E-2</v>
      </c>
      <c r="P172">
        <v>0.97979179999999999</v>
      </c>
      <c r="Q172">
        <v>0.1910879</v>
      </c>
      <c r="R172">
        <v>-5.9105619999999998E-2</v>
      </c>
      <c r="S172">
        <v>3.179138</v>
      </c>
      <c r="T172">
        <v>-0.68596459999999904</v>
      </c>
      <c r="U172">
        <v>-0.25613399999999997</v>
      </c>
      <c r="V172">
        <v>4.6153930000000003E-2</v>
      </c>
      <c r="W172">
        <v>0.20747840000000001</v>
      </c>
      <c r="X172">
        <v>0.97715019999999997</v>
      </c>
      <c r="Y172">
        <v>6.5739019999999995E-2</v>
      </c>
      <c r="Z172">
        <v>-4.959237E-3</v>
      </c>
      <c r="AA172">
        <v>0.9978245</v>
      </c>
      <c r="AB172">
        <v>35</v>
      </c>
      <c r="AC172">
        <v>0.39109999999999401</v>
      </c>
      <c r="AD172">
        <v>-0.15683719999999901</v>
      </c>
      <c r="AE172">
        <v>-5.5499999999994998E-2</v>
      </c>
      <c r="AF172">
        <v>4.3465805991161198E-2</v>
      </c>
      <c r="AG172">
        <v>-0.15683719999999901</v>
      </c>
      <c r="AH172">
        <v>0.33844785600299598</v>
      </c>
      <c r="AI172">
        <v>114.68476299937301</v>
      </c>
      <c r="AJ172">
        <v>82.681740198052793</v>
      </c>
      <c r="AK172">
        <v>0.37554511689985498</v>
      </c>
      <c r="AL172">
        <v>78.025379072284196</v>
      </c>
      <c r="AM172">
        <v>87.295746881007204</v>
      </c>
      <c r="AN172">
        <v>0.99999999254052196</v>
      </c>
    </row>
    <row r="173" spans="1:40" x14ac:dyDescent="0.25">
      <c r="A173" t="str">
        <f>"20190303170719588"</f>
        <v>20190303170719588</v>
      </c>
      <c r="B173" t="str">
        <f>"1551604039581896"</f>
        <v>1551604039581896</v>
      </c>
      <c r="C173" t="s">
        <v>40</v>
      </c>
      <c r="D173">
        <v>4.4260359999999999</v>
      </c>
      <c r="E173">
        <v>0.50551999999999997</v>
      </c>
      <c r="F173" t="s">
        <v>47</v>
      </c>
      <c r="G173">
        <v>-433.45049999999998</v>
      </c>
      <c r="H173">
        <v>0.93300059999999996</v>
      </c>
      <c r="I173">
        <v>367.42669999999998</v>
      </c>
      <c r="J173">
        <v>-433.834</v>
      </c>
      <c r="K173">
        <v>1.084079</v>
      </c>
      <c r="L173">
        <v>367.47989999999999</v>
      </c>
      <c r="M173">
        <v>0.99978069999999997</v>
      </c>
      <c r="N173">
        <v>-1.624722E-2</v>
      </c>
      <c r="O173">
        <v>-1.322012E-2</v>
      </c>
      <c r="P173">
        <v>0.97967630000000006</v>
      </c>
      <c r="Q173">
        <v>0.1916815</v>
      </c>
      <c r="R173">
        <v>-5.9100369999999999E-2</v>
      </c>
      <c r="S173">
        <v>3.1799620000000002</v>
      </c>
      <c r="T173">
        <v>-0.68462060000000002</v>
      </c>
      <c r="U173">
        <v>-0.25640869999999999</v>
      </c>
      <c r="V173">
        <v>4.6160529999999998E-2</v>
      </c>
      <c r="W173">
        <v>0.2075806</v>
      </c>
      <c r="X173">
        <v>0.9771282</v>
      </c>
      <c r="Y173">
        <v>6.582818E-2</v>
      </c>
      <c r="Z173">
        <v>-4.9402029999999998E-3</v>
      </c>
      <c r="AA173">
        <v>0.99781880000000001</v>
      </c>
      <c r="AB173">
        <v>35</v>
      </c>
      <c r="AC173">
        <v>0.38350000000002599</v>
      </c>
      <c r="AD173">
        <v>-0.1510784</v>
      </c>
      <c r="AE173">
        <v>-5.3200000000003897E-2</v>
      </c>
      <c r="AF173">
        <v>4.1765415101773402E-2</v>
      </c>
      <c r="AG173">
        <v>-0.1510784</v>
      </c>
      <c r="AH173">
        <v>0.33340452850241697</v>
      </c>
      <c r="AI173">
        <v>114.209841576903</v>
      </c>
      <c r="AJ173">
        <v>82.859781089317195</v>
      </c>
      <c r="AK173">
        <v>0.36841228599369802</v>
      </c>
      <c r="AL173">
        <v>78.019393329796799</v>
      </c>
      <c r="AM173">
        <v>87.295299943269299</v>
      </c>
      <c r="AN173">
        <v>1.00000000963074</v>
      </c>
    </row>
    <row r="174" spans="1:40" x14ac:dyDescent="0.25">
      <c r="A174" t="str">
        <f>"20190303170719611"</f>
        <v>20190303170719611</v>
      </c>
      <c r="B174" t="str">
        <f>"1551604039602392"</f>
        <v>1551604039602392</v>
      </c>
      <c r="C174" t="s">
        <v>40</v>
      </c>
      <c r="D174">
        <v>4.4244269999999997</v>
      </c>
      <c r="E174">
        <v>0.49759229999999999</v>
      </c>
      <c r="F174" t="s">
        <v>47</v>
      </c>
      <c r="G174">
        <v>-433.12009999999998</v>
      </c>
      <c r="H174">
        <v>0.9569666</v>
      </c>
      <c r="I174">
        <v>367.43849999999998</v>
      </c>
      <c r="J174">
        <v>-433.47519999999997</v>
      </c>
      <c r="K174">
        <v>1.0821769999999999</v>
      </c>
      <c r="L174">
        <v>367.47519999999997</v>
      </c>
      <c r="M174">
        <v>0.99978940000000005</v>
      </c>
      <c r="N174">
        <v>-1.571585E-2</v>
      </c>
      <c r="O174">
        <v>-1.3198079999999999E-2</v>
      </c>
      <c r="P174">
        <v>0.97951880000000002</v>
      </c>
      <c r="Q174">
        <v>0.1924845</v>
      </c>
      <c r="R174">
        <v>-5.9100470000000002E-2</v>
      </c>
      <c r="S174">
        <v>3.1614990000000001</v>
      </c>
      <c r="T174">
        <v>-0.56313859999999905</v>
      </c>
      <c r="U174">
        <v>-0.1808167</v>
      </c>
      <c r="V174">
        <v>4.6179339999999999E-2</v>
      </c>
      <c r="W174">
        <v>0.20786279999999999</v>
      </c>
      <c r="X174">
        <v>0.97706729999999997</v>
      </c>
      <c r="Y174">
        <v>4.3347839999999999E-2</v>
      </c>
      <c r="Z174">
        <v>-2.0466630000000002E-3</v>
      </c>
      <c r="AA174">
        <v>0.99905790000000005</v>
      </c>
      <c r="AB174">
        <v>35</v>
      </c>
      <c r="AC174">
        <v>0.35509999999999298</v>
      </c>
      <c r="AD174">
        <v>-0.1252104</v>
      </c>
      <c r="AE174">
        <v>-3.6699999999996097E-2</v>
      </c>
      <c r="AF174">
        <v>2.85032064774637E-2</v>
      </c>
      <c r="AG174">
        <v>-0.1252104</v>
      </c>
      <c r="AH174">
        <v>0.31660561725890601</v>
      </c>
      <c r="AI174">
        <v>111.498712643833</v>
      </c>
      <c r="AJ174">
        <v>84.855673500776106</v>
      </c>
      <c r="AK174">
        <v>0.34165654380905702</v>
      </c>
      <c r="AL174">
        <v>78.002863704968405</v>
      </c>
      <c r="AM174">
        <v>87.294031039767603</v>
      </c>
      <c r="AN174">
        <v>0.99999999189798205</v>
      </c>
    </row>
    <row r="175" spans="1:40" x14ac:dyDescent="0.25">
      <c r="A175" t="str">
        <f>"20190303170719634"</f>
        <v>20190303170719634</v>
      </c>
      <c r="B175" t="str">
        <f>"1551604039621912"</f>
        <v>1551604039621912</v>
      </c>
      <c r="C175" t="s">
        <v>40</v>
      </c>
      <c r="D175">
        <v>4.5014379999999896</v>
      </c>
      <c r="E175">
        <v>0.49079840000000002</v>
      </c>
      <c r="F175" t="s">
        <v>47</v>
      </c>
      <c r="G175">
        <v>-432.48660000000001</v>
      </c>
      <c r="H175">
        <v>0.95098919999999998</v>
      </c>
      <c r="I175">
        <v>367.43610000000001</v>
      </c>
      <c r="J175">
        <v>-433.10860000000002</v>
      </c>
      <c r="K175">
        <v>1.080465</v>
      </c>
      <c r="L175">
        <v>367.47030000000001</v>
      </c>
      <c r="M175">
        <v>0.99979770000000001</v>
      </c>
      <c r="N175">
        <v>-1.520672E-2</v>
      </c>
      <c r="O175">
        <v>-1.3173880000000001E-2</v>
      </c>
      <c r="P175">
        <v>0.97946549999999999</v>
      </c>
      <c r="Q175">
        <v>0.19285389999999999</v>
      </c>
      <c r="R175">
        <v>-5.877814E-2</v>
      </c>
      <c r="S175">
        <v>3.1371769999999999</v>
      </c>
      <c r="T175">
        <v>-0.41653859999999898</v>
      </c>
      <c r="U175">
        <v>-0.12271120000000001</v>
      </c>
      <c r="V175">
        <v>4.5877590000000003E-2</v>
      </c>
      <c r="W175">
        <v>0.20773449999999999</v>
      </c>
      <c r="X175">
        <v>0.9771088</v>
      </c>
      <c r="Y175">
        <v>2.575527E-2</v>
      </c>
      <c r="Z175">
        <v>-3.5737820000000001E-4</v>
      </c>
      <c r="AA175">
        <v>0.99966820000000001</v>
      </c>
      <c r="AB175">
        <v>36</v>
      </c>
      <c r="AC175">
        <v>0.62200000000001399</v>
      </c>
      <c r="AD175">
        <v>-0.1294758</v>
      </c>
      <c r="AE175">
        <v>-3.4199999999998398E-2</v>
      </c>
      <c r="AF175">
        <v>2.4925160343637901E-2</v>
      </c>
      <c r="AG175">
        <v>-0.1294758</v>
      </c>
      <c r="AH175">
        <v>0.59662242021807999</v>
      </c>
      <c r="AI175">
        <v>102.233815204474</v>
      </c>
      <c r="AJ175">
        <v>87.607739041614806</v>
      </c>
      <c r="AK175">
        <v>0.61101846020449702</v>
      </c>
      <c r="AL175">
        <v>78.010378789686797</v>
      </c>
      <c r="AM175">
        <v>87.311800659615798</v>
      </c>
      <c r="AN175">
        <v>0.99999999139594897</v>
      </c>
    </row>
    <row r="176" spans="1:40" x14ac:dyDescent="0.25">
      <c r="A176" t="str">
        <f>"20190303170719655"</f>
        <v>20190303170719655</v>
      </c>
      <c r="B176" t="str">
        <f>"1551604039642408"</f>
        <v>1551604039642408</v>
      </c>
      <c r="C176" t="s">
        <v>40</v>
      </c>
      <c r="D176">
        <v>4.3983080000000001</v>
      </c>
      <c r="E176">
        <v>0.48692740000000001</v>
      </c>
      <c r="F176" t="s">
        <v>47</v>
      </c>
      <c r="G176">
        <v>-432.149</v>
      </c>
      <c r="H176">
        <v>0.98907789999999995</v>
      </c>
      <c r="I176">
        <v>367.4479</v>
      </c>
      <c r="J176">
        <v>-432.77929999999998</v>
      </c>
      <c r="K176">
        <v>1.0791029999999999</v>
      </c>
      <c r="L176">
        <v>367.46600000000001</v>
      </c>
      <c r="M176">
        <v>0.99980429999999998</v>
      </c>
      <c r="N176">
        <v>-1.4781000000000001E-2</v>
      </c>
      <c r="O176">
        <v>-1.3151410000000001E-2</v>
      </c>
      <c r="P176">
        <v>0.97964150000000005</v>
      </c>
      <c r="Q176">
        <v>0.19195039999999999</v>
      </c>
      <c r="R176">
        <v>-5.880287E-2</v>
      </c>
      <c r="S176">
        <v>3.1170960000000001</v>
      </c>
      <c r="T176">
        <v>-0.29698600000000003</v>
      </c>
      <c r="U176">
        <v>-7.1716310000000005E-2</v>
      </c>
      <c r="V176">
        <v>4.5918870000000001E-2</v>
      </c>
      <c r="W176">
        <v>0.2064185</v>
      </c>
      <c r="X176">
        <v>0.97738570000000002</v>
      </c>
      <c r="Y176">
        <v>9.8409569999999991E-3</v>
      </c>
      <c r="Z176">
        <v>5.1531609999999996E-4</v>
      </c>
      <c r="AA176">
        <v>0.99995140000000005</v>
      </c>
      <c r="AB176">
        <v>36</v>
      </c>
      <c r="AC176">
        <v>0.63029999999997699</v>
      </c>
      <c r="AD176">
        <v>-9.0025099999999997E-2</v>
      </c>
      <c r="AE176">
        <v>-1.8100000000003998E-2</v>
      </c>
      <c r="AF176">
        <v>9.6122654825991794E-3</v>
      </c>
      <c r="AG176">
        <v>-9.0025099999999997E-2</v>
      </c>
      <c r="AH176">
        <v>0.617888925039494</v>
      </c>
      <c r="AI176">
        <v>98.288555995234304</v>
      </c>
      <c r="AJ176">
        <v>89.108743012316793</v>
      </c>
      <c r="AK176">
        <v>0.62448669958949399</v>
      </c>
      <c r="AL176">
        <v>78.087450372625298</v>
      </c>
      <c r="AM176">
        <v>87.3101465588135</v>
      </c>
      <c r="AN176">
        <v>0.99999997316440803</v>
      </c>
    </row>
    <row r="177" spans="1:40" x14ac:dyDescent="0.25">
      <c r="A177" t="str">
        <f>"20190303170719678"</f>
        <v>20190303170719678</v>
      </c>
      <c r="B177" t="str">
        <f>"1551604039672664"</f>
        <v>1551604039672664</v>
      </c>
      <c r="C177" t="s">
        <v>40</v>
      </c>
      <c r="D177">
        <v>4.4690139999999996</v>
      </c>
      <c r="E177">
        <v>0.483962</v>
      </c>
      <c r="F177" t="s">
        <v>46</v>
      </c>
      <c r="G177">
        <v>-417.39249999999998</v>
      </c>
      <c r="H177">
        <v>-0.05</v>
      </c>
      <c r="I177">
        <v>367.24790000000002</v>
      </c>
      <c r="J177">
        <v>-432.40350000000001</v>
      </c>
      <c r="K177">
        <v>1.077769</v>
      </c>
      <c r="L177">
        <v>367.46109999999999</v>
      </c>
      <c r="M177">
        <v>0.99981109999999895</v>
      </c>
      <c r="N177">
        <v>-1.43424E-2</v>
      </c>
      <c r="O177">
        <v>-1.3125629999999999E-2</v>
      </c>
      <c r="P177">
        <v>0.97971209999999997</v>
      </c>
      <c r="Q177">
        <v>0.1915463</v>
      </c>
      <c r="R177">
        <v>-5.8944969999999999E-2</v>
      </c>
      <c r="S177">
        <v>3.1043090000000002</v>
      </c>
      <c r="T177">
        <v>-0.22779830000000001</v>
      </c>
      <c r="U177">
        <v>-4.400635E-2</v>
      </c>
      <c r="V177">
        <v>4.6082640000000001E-2</v>
      </c>
      <c r="W177">
        <v>0.20558699999999999</v>
      </c>
      <c r="X177">
        <v>0.97755320000000001</v>
      </c>
      <c r="Y177">
        <v>1.066993E-3</v>
      </c>
      <c r="Z177">
        <v>7.2697440000000005E-4</v>
      </c>
      <c r="AA177">
        <v>0.99999919999999998</v>
      </c>
      <c r="AB177">
        <v>36</v>
      </c>
      <c r="AC177">
        <v>15.010999999999999</v>
      </c>
      <c r="AD177">
        <v>-1.127769</v>
      </c>
      <c r="AE177">
        <v>-0.213199999999972</v>
      </c>
      <c r="AF177">
        <v>1.6042022140906501E-2</v>
      </c>
      <c r="AG177">
        <v>-1.127769</v>
      </c>
      <c r="AH177">
        <v>14.9282605718938</v>
      </c>
      <c r="AI177">
        <v>94.320252843861994</v>
      </c>
      <c r="AJ177">
        <v>89.938429544065002</v>
      </c>
      <c r="AK177">
        <v>14.9708077259109</v>
      </c>
      <c r="AL177">
        <v>78.136135674902505</v>
      </c>
      <c r="AM177">
        <v>87.301029194478105</v>
      </c>
      <c r="AN177">
        <v>0.99999994155430305</v>
      </c>
    </row>
    <row r="178" spans="1:40" x14ac:dyDescent="0.25">
      <c r="A178" t="str">
        <f>"20190303170719700"</f>
        <v>20190303170719700</v>
      </c>
      <c r="B178" t="str">
        <f>"1551604039692184"</f>
        <v>1551604039692184</v>
      </c>
      <c r="C178" t="s">
        <v>40</v>
      </c>
      <c r="D178">
        <v>4.5498329999999996</v>
      </c>
      <c r="E178">
        <v>0.48281800000000002</v>
      </c>
      <c r="F178" t="s">
        <v>46</v>
      </c>
      <c r="G178">
        <v>-412.15370000000001</v>
      </c>
      <c r="H178">
        <v>-0.05</v>
      </c>
      <c r="I178">
        <v>367.30689999999998</v>
      </c>
      <c r="J178">
        <v>-432.05329999999998</v>
      </c>
      <c r="K178">
        <v>1.0767</v>
      </c>
      <c r="L178">
        <v>367.45650000000001</v>
      </c>
      <c r="M178">
        <v>0.9998165</v>
      </c>
      <c r="N178">
        <v>-1.398691E-2</v>
      </c>
      <c r="O178">
        <v>-1.310031E-2</v>
      </c>
      <c r="P178">
        <v>0.9795973</v>
      </c>
      <c r="Q178">
        <v>0.1922122</v>
      </c>
      <c r="R178">
        <v>-5.8685279999999999E-2</v>
      </c>
      <c r="S178">
        <v>3.0943909999999999</v>
      </c>
      <c r="T178">
        <v>-0.17233479999999901</v>
      </c>
      <c r="U178">
        <v>-2.3559569999999998E-2</v>
      </c>
      <c r="V178">
        <v>4.5847550000000001E-2</v>
      </c>
      <c r="W178">
        <v>0.2059039</v>
      </c>
      <c r="X178">
        <v>0.97749759999999997</v>
      </c>
      <c r="Y178">
        <v>-5.4664639999999999E-3</v>
      </c>
      <c r="Z178">
        <v>7.3622110000000004E-4</v>
      </c>
      <c r="AA178">
        <v>0.99998480000000001</v>
      </c>
      <c r="AB178">
        <v>36</v>
      </c>
      <c r="AC178">
        <v>19.8995999999999</v>
      </c>
      <c r="AD178">
        <v>-1.1267</v>
      </c>
      <c r="AE178">
        <v>-0.14960000000001999</v>
      </c>
      <c r="AF178">
        <v>-0.11077414275068</v>
      </c>
      <c r="AG178">
        <v>-1.1267</v>
      </c>
      <c r="AH178">
        <v>19.836265766685099</v>
      </c>
      <c r="AI178">
        <v>93.250856929640804</v>
      </c>
      <c r="AJ178">
        <v>90.319960669868294</v>
      </c>
      <c r="AK178">
        <v>19.868547087476401</v>
      </c>
      <c r="AL178">
        <v>78.117582223841893</v>
      </c>
      <c r="AM178">
        <v>87.314625243897794</v>
      </c>
      <c r="AN178">
        <v>0.99999998594098605</v>
      </c>
    </row>
    <row r="179" spans="1:40" x14ac:dyDescent="0.25">
      <c r="A179" t="str">
        <f>"20190303170719724"</f>
        <v>20190303170719724</v>
      </c>
      <c r="B179" t="str">
        <f>"1551604039712680"</f>
        <v>1551604039712680</v>
      </c>
      <c r="C179" t="s">
        <v>40</v>
      </c>
      <c r="D179">
        <v>4.4855700000000001</v>
      </c>
      <c r="E179">
        <v>0.48193140000000001</v>
      </c>
      <c r="F179" t="s">
        <v>46</v>
      </c>
      <c r="G179">
        <v>-408.56470000000002</v>
      </c>
      <c r="H179">
        <v>-0.05</v>
      </c>
      <c r="I179">
        <v>367.3494</v>
      </c>
      <c r="J179">
        <v>-431.68900000000002</v>
      </c>
      <c r="K179">
        <v>1.0757429999999999</v>
      </c>
      <c r="L179">
        <v>367.45170000000002</v>
      </c>
      <c r="M179">
        <v>0.99982099999999996</v>
      </c>
      <c r="N179">
        <v>-1.3677750000000001E-2</v>
      </c>
      <c r="O179">
        <v>-1.3074179999999999E-2</v>
      </c>
      <c r="P179">
        <v>0.97945590000000005</v>
      </c>
      <c r="Q179">
        <v>0.192943</v>
      </c>
      <c r="R179">
        <v>-5.8647579999999998E-2</v>
      </c>
      <c r="S179">
        <v>3.0907589999999998</v>
      </c>
      <c r="T179">
        <v>-0.148258</v>
      </c>
      <c r="U179">
        <v>-1.409912E-2</v>
      </c>
      <c r="V179">
        <v>4.5835510000000003E-2</v>
      </c>
      <c r="W179">
        <v>0.2063313</v>
      </c>
      <c r="X179">
        <v>0.9774081</v>
      </c>
      <c r="Y179">
        <v>-8.4937729999999996E-3</v>
      </c>
      <c r="Z179">
        <v>7.0972899999999998E-4</v>
      </c>
      <c r="AA179">
        <v>0.99996370000000001</v>
      </c>
      <c r="AB179">
        <v>36</v>
      </c>
      <c r="AC179">
        <v>23.124300000000002</v>
      </c>
      <c r="AD179">
        <v>-1.1257429999999999</v>
      </c>
      <c r="AE179">
        <v>-0.10230000000001301</v>
      </c>
      <c r="AF179">
        <v>-0.19959525905820899</v>
      </c>
      <c r="AG179">
        <v>-1.1257429999999999</v>
      </c>
      <c r="AH179">
        <v>23.068989242773199</v>
      </c>
      <c r="AI179">
        <v>92.793654618512093</v>
      </c>
      <c r="AJ179">
        <v>90.4957165867188</v>
      </c>
      <c r="AK179">
        <v>23.097302878316199</v>
      </c>
      <c r="AL179">
        <v>78.092557371767398</v>
      </c>
      <c r="AM179">
        <v>87.315083944702096</v>
      </c>
      <c r="AN179">
        <v>1.0000000466411201</v>
      </c>
    </row>
    <row r="180" spans="1:40" x14ac:dyDescent="0.25">
      <c r="A180" t="str">
        <f>"20190303170719746"</f>
        <v>20190303170719746</v>
      </c>
      <c r="B180" t="str">
        <f>"1551604039741961"</f>
        <v>1551604039741961</v>
      </c>
      <c r="C180" t="s">
        <v>40</v>
      </c>
      <c r="D180">
        <v>4.5406269999999997</v>
      </c>
      <c r="E180">
        <v>0.48069600000000001</v>
      </c>
      <c r="F180" t="s">
        <v>46</v>
      </c>
      <c r="G180">
        <v>-405.23349999999999</v>
      </c>
      <c r="H180">
        <v>-0.05</v>
      </c>
      <c r="I180">
        <v>367.39109999999999</v>
      </c>
      <c r="J180">
        <v>-431.32499999999999</v>
      </c>
      <c r="K180">
        <v>1.0749409999999999</v>
      </c>
      <c r="L180">
        <v>367.447</v>
      </c>
      <c r="M180">
        <v>0.99982470000000001</v>
      </c>
      <c r="N180">
        <v>-1.3436750000000001E-2</v>
      </c>
      <c r="O180">
        <v>-1.304809E-2</v>
      </c>
      <c r="P180">
        <v>0.97958440000000002</v>
      </c>
      <c r="Q180">
        <v>0.19229499999999999</v>
      </c>
      <c r="R180">
        <v>-5.8629639999999997E-2</v>
      </c>
      <c r="S180">
        <v>3.0883790000000002</v>
      </c>
      <c r="T180">
        <v>-0.13141739999999999</v>
      </c>
      <c r="U180">
        <v>-7.0800780000000001E-3</v>
      </c>
      <c r="V180">
        <v>4.5840289999999999E-2</v>
      </c>
      <c r="W180">
        <v>0.2054494</v>
      </c>
      <c r="X180">
        <v>0.97759359999999995</v>
      </c>
      <c r="Y180">
        <v>-1.0738630000000001E-2</v>
      </c>
      <c r="Z180">
        <v>6.8024299999999997E-4</v>
      </c>
      <c r="AA180">
        <v>0.99994209999999994</v>
      </c>
      <c r="AB180">
        <v>36</v>
      </c>
      <c r="AC180">
        <v>26.0915</v>
      </c>
      <c r="AD180">
        <v>-1.124941</v>
      </c>
      <c r="AE180">
        <v>-5.5899999999951398E-2</v>
      </c>
      <c r="AF180">
        <v>-0.284051670132553</v>
      </c>
      <c r="AG180">
        <v>-1.124941</v>
      </c>
      <c r="AH180">
        <v>26.041598781100799</v>
      </c>
      <c r="AI180">
        <v>92.473369562008102</v>
      </c>
      <c r="AJ180">
        <v>90.624935381339498</v>
      </c>
      <c r="AK180">
        <v>26.0674326445973</v>
      </c>
      <c r="AL180">
        <v>78.144192453778302</v>
      </c>
      <c r="AM180">
        <v>87.315313130232695</v>
      </c>
      <c r="AN180">
        <v>1.0000000174543</v>
      </c>
    </row>
    <row r="181" spans="1:40" x14ac:dyDescent="0.25">
      <c r="A181" t="str">
        <f>"20190303170719770"</f>
        <v>20190303170719770</v>
      </c>
      <c r="B181" t="str">
        <f>"1551604039762456"</f>
        <v>1551604039762456</v>
      </c>
      <c r="C181" t="s">
        <v>40</v>
      </c>
      <c r="D181">
        <v>4.596978</v>
      </c>
      <c r="E181">
        <v>0.48020810000000003</v>
      </c>
      <c r="F181" t="s">
        <v>46</v>
      </c>
      <c r="G181">
        <v>-401.43209999999999</v>
      </c>
      <c r="H181">
        <v>-0.05</v>
      </c>
      <c r="I181">
        <v>367.46940000000001</v>
      </c>
      <c r="J181">
        <v>-430.95249999999999</v>
      </c>
      <c r="K181">
        <v>1.074257</v>
      </c>
      <c r="L181">
        <v>367.44209999999998</v>
      </c>
      <c r="M181">
        <v>0.99982729999999997</v>
      </c>
      <c r="N181">
        <v>-1.3266109999999999E-2</v>
      </c>
      <c r="O181">
        <v>-1.3019019999999999E-2</v>
      </c>
      <c r="P181">
        <v>0.97964609999999996</v>
      </c>
      <c r="Q181">
        <v>0.19207469999999999</v>
      </c>
      <c r="R181">
        <v>-5.8316189999999997E-2</v>
      </c>
      <c r="S181">
        <v>3.0854189999999999</v>
      </c>
      <c r="T181">
        <v>-0.1161116</v>
      </c>
      <c r="U181">
        <v>2.319336E-3</v>
      </c>
      <c r="V181">
        <v>4.5553209999999997E-2</v>
      </c>
      <c r="W181">
        <v>0.20506340000000001</v>
      </c>
      <c r="X181">
        <v>0.977688</v>
      </c>
      <c r="Y181">
        <v>-1.3754769999999999E-2</v>
      </c>
      <c r="Z181">
        <v>6.6707500000000005E-4</v>
      </c>
      <c r="AA181">
        <v>0.99990520000000005</v>
      </c>
      <c r="AB181">
        <v>36</v>
      </c>
      <c r="AC181">
        <v>29.520399999999899</v>
      </c>
      <c r="AD181">
        <v>-1.1242570000000001</v>
      </c>
      <c r="AE181">
        <v>2.73000000000252E-2</v>
      </c>
      <c r="AF181">
        <v>-0.41106196284269197</v>
      </c>
      <c r="AG181">
        <v>-1.1242570000000001</v>
      </c>
      <c r="AH181">
        <v>29.4747921280165</v>
      </c>
      <c r="AI181">
        <v>92.184161805501702</v>
      </c>
      <c r="AJ181">
        <v>90.799007800492902</v>
      </c>
      <c r="AK181">
        <v>29.499089761027001</v>
      </c>
      <c r="AL181">
        <v>78.166789061094903</v>
      </c>
      <c r="AM181">
        <v>87.332359141968894</v>
      </c>
      <c r="AN181">
        <v>0.99999995915243101</v>
      </c>
    </row>
    <row r="182" spans="1:40" x14ac:dyDescent="0.25">
      <c r="A182" t="str">
        <f>"20190303170719789"</f>
        <v>20190303170719789</v>
      </c>
      <c r="B182" t="str">
        <f>"1551604039781977"</f>
        <v>1551604039781977</v>
      </c>
      <c r="C182" t="s">
        <v>40</v>
      </c>
      <c r="D182">
        <v>4.6588960000000004</v>
      </c>
      <c r="E182">
        <v>0.48005750000000003</v>
      </c>
      <c r="F182" t="s">
        <v>46</v>
      </c>
      <c r="G182">
        <v>-399.25209999999998</v>
      </c>
      <c r="H182">
        <v>-0.05</v>
      </c>
      <c r="I182">
        <v>367.50889999999998</v>
      </c>
      <c r="J182">
        <v>-430.63990000000001</v>
      </c>
      <c r="K182">
        <v>1.07379</v>
      </c>
      <c r="L182">
        <v>367.43810000000002</v>
      </c>
      <c r="M182">
        <v>0.99982859999999996</v>
      </c>
      <c r="N182">
        <v>-1.318628E-2</v>
      </c>
      <c r="O182">
        <v>-1.299725E-2</v>
      </c>
      <c r="P182">
        <v>0.97966489999999995</v>
      </c>
      <c r="Q182">
        <v>0.19207399999999999</v>
      </c>
      <c r="R182">
        <v>-5.8001690000000002E-2</v>
      </c>
      <c r="S182">
        <v>3.0841980000000002</v>
      </c>
      <c r="T182">
        <v>-0.1093816</v>
      </c>
      <c r="U182">
        <v>6.5002439999999996E-3</v>
      </c>
      <c r="V182">
        <v>4.525879E-2</v>
      </c>
      <c r="W182">
        <v>0.20498549999999999</v>
      </c>
      <c r="X182">
        <v>0.97771810000000003</v>
      </c>
      <c r="Y182">
        <v>-1.508952E-2</v>
      </c>
      <c r="Z182">
        <v>6.5646050000000005E-4</v>
      </c>
      <c r="AA182">
        <v>0.99988589999999999</v>
      </c>
      <c r="AB182">
        <v>36</v>
      </c>
      <c r="AC182">
        <v>31.387799999999999</v>
      </c>
      <c r="AD182">
        <v>-1.1237900000000001</v>
      </c>
      <c r="AE182">
        <v>7.0799999999962795E-2</v>
      </c>
      <c r="AF182">
        <v>-0.47817160949975701</v>
      </c>
      <c r="AG182">
        <v>-1.1237900000000001</v>
      </c>
      <c r="AH182">
        <v>31.344048778656799</v>
      </c>
      <c r="AI182">
        <v>92.053128948680794</v>
      </c>
      <c r="AJ182">
        <v>90.874012486017406</v>
      </c>
      <c r="AK182">
        <v>31.367832980476098</v>
      </c>
      <c r="AL182">
        <v>78.171350344065402</v>
      </c>
      <c r="AM182">
        <v>87.349657481201206</v>
      </c>
      <c r="AN182">
        <v>1.0000000481750599</v>
      </c>
    </row>
    <row r="183" spans="1:40" x14ac:dyDescent="0.25">
      <c r="A183" t="str">
        <f>"20190303170719813"</f>
        <v>20190303170719813</v>
      </c>
      <c r="B183" t="str">
        <f>"1551604039802473"</f>
        <v>1551604039802473</v>
      </c>
      <c r="C183" t="s">
        <v>40</v>
      </c>
      <c r="D183">
        <v>4.5456949999999896</v>
      </c>
      <c r="E183">
        <v>0.47975299999999999</v>
      </c>
      <c r="F183" t="s">
        <v>43</v>
      </c>
      <c r="G183">
        <v>-398.30360000000002</v>
      </c>
      <c r="H183" s="1">
        <v>-1.1208590000000001E-6</v>
      </c>
      <c r="I183">
        <v>367.52100000000002</v>
      </c>
      <c r="J183">
        <v>-430.27629999999999</v>
      </c>
      <c r="K183">
        <v>1.0733410000000001</v>
      </c>
      <c r="L183">
        <v>367.43340000000001</v>
      </c>
      <c r="M183">
        <v>0.99982950000000004</v>
      </c>
      <c r="N183">
        <v>-1.314278E-2</v>
      </c>
      <c r="O183">
        <v>-1.2972869999999999E-2</v>
      </c>
      <c r="P183">
        <v>0.97952600000000001</v>
      </c>
      <c r="Q183">
        <v>0.19285849999999999</v>
      </c>
      <c r="R183">
        <v>-5.7746260000000001E-2</v>
      </c>
      <c r="S183">
        <v>3.0828250000000001</v>
      </c>
      <c r="T183">
        <v>-0.102371</v>
      </c>
      <c r="U183">
        <v>7.9040529999999994E-3</v>
      </c>
      <c r="V183">
        <v>4.5028440000000003E-2</v>
      </c>
      <c r="W183">
        <v>0.20572509999999999</v>
      </c>
      <c r="X183">
        <v>0.97757329999999998</v>
      </c>
      <c r="Y183">
        <v>-1.552307E-2</v>
      </c>
      <c r="Z183">
        <v>6.1989759999999999E-4</v>
      </c>
      <c r="AA183">
        <v>0.99987930000000003</v>
      </c>
      <c r="AB183">
        <v>36</v>
      </c>
      <c r="AC183">
        <v>31.9726999999999</v>
      </c>
      <c r="AD183">
        <v>-1.0733421208589999</v>
      </c>
      <c r="AE183">
        <v>8.7599999999952105E-2</v>
      </c>
      <c r="AF183">
        <v>-0.50184056135653798</v>
      </c>
      <c r="AG183">
        <v>-1.0733421208589999</v>
      </c>
      <c r="AH183">
        <v>31.932884894428199</v>
      </c>
      <c r="AI183">
        <v>91.924888560444998</v>
      </c>
      <c r="AJ183">
        <v>90.900356465401501</v>
      </c>
      <c r="AK183">
        <v>31.954859488632302</v>
      </c>
      <c r="AL183">
        <v>78.128050603731097</v>
      </c>
      <c r="AM183">
        <v>87.362737600249304</v>
      </c>
      <c r="AN183">
        <v>0.99999996702586602</v>
      </c>
    </row>
    <row r="184" spans="1:40" x14ac:dyDescent="0.25">
      <c r="A184" t="str">
        <f>"20190303170719835"</f>
        <v>20190303170719835</v>
      </c>
      <c r="B184" t="str">
        <f>"1551604039821993"</f>
        <v>1551604039821993</v>
      </c>
      <c r="C184" t="s">
        <v>40</v>
      </c>
      <c r="D184">
        <v>4.6070310000000001</v>
      </c>
      <c r="E184">
        <v>0.4795741</v>
      </c>
      <c r="F184" t="s">
        <v>43</v>
      </c>
      <c r="G184">
        <v>-395.54379999999998</v>
      </c>
      <c r="H184" s="1">
        <v>-2.2597429999999999E-6</v>
      </c>
      <c r="I184">
        <v>367.55439999999999</v>
      </c>
      <c r="J184">
        <v>-429.91309999999999</v>
      </c>
      <c r="K184">
        <v>1.0729630000000001</v>
      </c>
      <c r="L184">
        <v>367.42880000000002</v>
      </c>
      <c r="M184">
        <v>0.99982990000000005</v>
      </c>
      <c r="N184">
        <v>-1.3148119999999999E-2</v>
      </c>
      <c r="O184">
        <v>-1.29467E-2</v>
      </c>
      <c r="P184">
        <v>0.97950800000000005</v>
      </c>
      <c r="Q184">
        <v>0.19309019999999999</v>
      </c>
      <c r="R184">
        <v>-5.7277460000000002E-2</v>
      </c>
      <c r="S184">
        <v>3.0820919999999998</v>
      </c>
      <c r="T184">
        <v>-9.5246200000000003E-2</v>
      </c>
      <c r="U184">
        <v>1.074219E-2</v>
      </c>
      <c r="V184">
        <v>4.4585899999999998E-2</v>
      </c>
      <c r="W184">
        <v>0.2059618</v>
      </c>
      <c r="X184">
        <v>0.97754379999999996</v>
      </c>
      <c r="Y184">
        <v>-1.641956E-2</v>
      </c>
      <c r="Z184">
        <v>5.9141059999999999E-4</v>
      </c>
      <c r="AA184">
        <v>0.999865</v>
      </c>
      <c r="AB184">
        <v>36</v>
      </c>
      <c r="AC184">
        <v>34.369300000000003</v>
      </c>
      <c r="AD184">
        <v>-1.0729652597429999</v>
      </c>
      <c r="AE184">
        <v>0.12559999999996299</v>
      </c>
      <c r="AF184">
        <v>-0.57004132388435802</v>
      </c>
      <c r="AG184">
        <v>-1.0729652597429999</v>
      </c>
      <c r="AH184">
        <v>34.331333552505498</v>
      </c>
      <c r="AI184">
        <v>91.789849269736095</v>
      </c>
      <c r="AJ184">
        <v>90.951258154543297</v>
      </c>
      <c r="AK184">
        <v>34.3528261581626</v>
      </c>
      <c r="AL184">
        <v>78.114192585086002</v>
      </c>
      <c r="AM184">
        <v>87.388541890845403</v>
      </c>
      <c r="AN184">
        <v>1.00000002322824</v>
      </c>
    </row>
    <row r="185" spans="1:40" x14ac:dyDescent="0.25">
      <c r="A185" t="str">
        <f>"20190303170719855"</f>
        <v>20190303170719855</v>
      </c>
      <c r="B185" t="str">
        <f>"1551604039851779"</f>
        <v>1551604039851779</v>
      </c>
      <c r="C185" t="s">
        <v>40</v>
      </c>
      <c r="D185">
        <v>4.5913089999999999</v>
      </c>
      <c r="E185">
        <v>0.47930810000000001</v>
      </c>
      <c r="F185" t="s">
        <v>43</v>
      </c>
      <c r="G185">
        <v>-393.33620000000002</v>
      </c>
      <c r="H185" s="1">
        <v>-3.2002319999999999E-6</v>
      </c>
      <c r="I185">
        <v>367.59140000000002</v>
      </c>
      <c r="J185">
        <v>-429.5908</v>
      </c>
      <c r="K185">
        <v>1.0726800000000001</v>
      </c>
      <c r="L185">
        <v>367.4246</v>
      </c>
      <c r="M185">
        <v>0.99982950000000004</v>
      </c>
      <c r="N185">
        <v>-1.3187229999999999E-2</v>
      </c>
      <c r="O185">
        <v>-1.292277E-2</v>
      </c>
      <c r="P185">
        <v>0.97959450000000003</v>
      </c>
      <c r="Q185">
        <v>0.1926147</v>
      </c>
      <c r="R185">
        <v>-5.7393270000000003E-2</v>
      </c>
      <c r="S185">
        <v>3.0813600000000001</v>
      </c>
      <c r="T185">
        <v>-9.038997E-2</v>
      </c>
      <c r="U185">
        <v>1.370239E-2</v>
      </c>
      <c r="V185">
        <v>4.4724640000000003E-2</v>
      </c>
      <c r="W185">
        <v>0.2055254</v>
      </c>
      <c r="X185">
        <v>0.97762930000000003</v>
      </c>
      <c r="Y185">
        <v>-1.7357709999999998E-2</v>
      </c>
      <c r="Z185">
        <v>5.7761390000000002E-4</v>
      </c>
      <c r="AA185">
        <v>0.99984919999999999</v>
      </c>
      <c r="AB185">
        <v>36</v>
      </c>
      <c r="AC185">
        <v>36.254599999999897</v>
      </c>
      <c r="AD185">
        <v>-1.0726832002319999</v>
      </c>
      <c r="AE185">
        <v>0.16680000000002301</v>
      </c>
      <c r="AF185">
        <v>-0.63478099739490501</v>
      </c>
      <c r="AG185">
        <v>-1.0726832002319999</v>
      </c>
      <c r="AH185">
        <v>36.217711362093297</v>
      </c>
      <c r="AI185">
        <v>91.696209580745702</v>
      </c>
      <c r="AJ185">
        <v>91.004109514391303</v>
      </c>
      <c r="AK185">
        <v>36.239153031915798</v>
      </c>
      <c r="AL185">
        <v>78.139743003308595</v>
      </c>
      <c r="AM185">
        <v>87.380655777842804</v>
      </c>
      <c r="AN185">
        <v>1.0000000158433799</v>
      </c>
    </row>
    <row r="186" spans="1:40" x14ac:dyDescent="0.25">
      <c r="A186" t="str">
        <f>"20190303170719879"</f>
        <v>20190303170719879</v>
      </c>
      <c r="B186" t="str">
        <f>"1551604039872274"</f>
        <v>1551604039872274</v>
      </c>
      <c r="C186" t="s">
        <v>40</v>
      </c>
      <c r="D186">
        <v>4.5908110000000004</v>
      </c>
      <c r="E186">
        <v>0.47905809999999999</v>
      </c>
      <c r="F186" t="s">
        <v>43</v>
      </c>
      <c r="G186">
        <v>-391.56569999999999</v>
      </c>
      <c r="H186" s="1">
        <v>-3.9545110000000001E-6</v>
      </c>
      <c r="I186">
        <v>367.62119999999999</v>
      </c>
      <c r="J186">
        <v>-429.2122</v>
      </c>
      <c r="K186">
        <v>1.0724070000000001</v>
      </c>
      <c r="L186">
        <v>367.41969999999998</v>
      </c>
      <c r="M186">
        <v>0.99982890000000002</v>
      </c>
      <c r="N186">
        <v>-1.326331E-2</v>
      </c>
      <c r="O186">
        <v>-1.2894539999999999E-2</v>
      </c>
      <c r="P186">
        <v>0.97986039999999996</v>
      </c>
      <c r="Q186">
        <v>0.1912461</v>
      </c>
      <c r="R186">
        <v>-5.7432940000000002E-2</v>
      </c>
      <c r="S186">
        <v>3.080505</v>
      </c>
      <c r="T186">
        <v>-8.6900469999999994E-2</v>
      </c>
      <c r="U186">
        <v>1.5930179999999999E-2</v>
      </c>
      <c r="V186">
        <v>4.4788719999999997E-2</v>
      </c>
      <c r="W186">
        <v>0.20423540000000001</v>
      </c>
      <c r="X186">
        <v>0.9778966</v>
      </c>
      <c r="Y186">
        <v>-1.8054290000000001E-2</v>
      </c>
      <c r="Z186">
        <v>5.6703120000000003E-4</v>
      </c>
      <c r="AA186">
        <v>0.99983690000000003</v>
      </c>
      <c r="AB186">
        <v>36</v>
      </c>
      <c r="AC186">
        <v>37.646500000000003</v>
      </c>
      <c r="AD186">
        <v>-1.0724109545110001</v>
      </c>
      <c r="AE186">
        <v>0.20150000000001</v>
      </c>
      <c r="AF186">
        <v>-0.68640326407818597</v>
      </c>
      <c r="AG186">
        <v>-1.0724109545110001</v>
      </c>
      <c r="AH186">
        <v>37.610252341319203</v>
      </c>
      <c r="AI186">
        <v>91.633005672337205</v>
      </c>
      <c r="AJ186">
        <v>91.0455565189298</v>
      </c>
      <c r="AK186">
        <v>37.631798998639503</v>
      </c>
      <c r="AL186">
        <v>78.215255572091493</v>
      </c>
      <c r="AM186">
        <v>87.377624104783905</v>
      </c>
      <c r="AN186">
        <v>0.99999994417197702</v>
      </c>
    </row>
    <row r="187" spans="1:40" x14ac:dyDescent="0.25">
      <c r="A187" t="str">
        <f>"20190303170719901"</f>
        <v>20190303170719901</v>
      </c>
      <c r="B187" t="str">
        <f>"1551604039891795"</f>
        <v>1551604039891795</v>
      </c>
      <c r="C187" t="s">
        <v>40</v>
      </c>
      <c r="D187">
        <v>4.534205</v>
      </c>
      <c r="E187">
        <v>0.47888829999999999</v>
      </c>
      <c r="F187" t="s">
        <v>43</v>
      </c>
      <c r="G187">
        <v>-392.07859999999999</v>
      </c>
      <c r="H187" s="1">
        <v>-3.7327479999999999E-6</v>
      </c>
      <c r="I187">
        <v>367.63080000000002</v>
      </c>
      <c r="J187">
        <v>-428.86219999999997</v>
      </c>
      <c r="K187">
        <v>1.0722</v>
      </c>
      <c r="L187">
        <v>367.4153</v>
      </c>
      <c r="M187">
        <v>0.99982800000000005</v>
      </c>
      <c r="N187">
        <v>-1.3349659999999999E-2</v>
      </c>
      <c r="O187">
        <v>-1.2869240000000001E-2</v>
      </c>
      <c r="P187">
        <v>0.98003560000000001</v>
      </c>
      <c r="Q187">
        <v>0.19011239999999999</v>
      </c>
      <c r="R187">
        <v>-5.820061E-2</v>
      </c>
      <c r="S187">
        <v>3.0800779999999999</v>
      </c>
      <c r="T187">
        <v>-8.8951950000000002E-2</v>
      </c>
      <c r="U187">
        <v>1.7517089999999999E-2</v>
      </c>
      <c r="V187">
        <v>4.557903E-2</v>
      </c>
      <c r="W187">
        <v>0.2031888</v>
      </c>
      <c r="X187">
        <v>0.97807820000000001</v>
      </c>
      <c r="Y187">
        <v>-1.8543980000000002E-2</v>
      </c>
      <c r="Z187">
        <v>5.9132420000000002E-4</v>
      </c>
      <c r="AA187">
        <v>0.99982789999999999</v>
      </c>
      <c r="AB187">
        <v>36</v>
      </c>
      <c r="AC187">
        <v>36.7835999999999</v>
      </c>
      <c r="AD187">
        <v>-1.0722037327480001</v>
      </c>
      <c r="AE187">
        <v>0.21550000000002001</v>
      </c>
      <c r="AF187">
        <v>-0.68831653075189503</v>
      </c>
      <c r="AG187">
        <v>-1.0722037327480001</v>
      </c>
      <c r="AH187">
        <v>36.746558680032997</v>
      </c>
      <c r="AI187">
        <v>91.671028805872993</v>
      </c>
      <c r="AJ187">
        <v>91.073107853040696</v>
      </c>
      <c r="AK187">
        <v>36.768641194856997</v>
      </c>
      <c r="AL187">
        <v>78.276506974273701</v>
      </c>
      <c r="AM187">
        <v>87.331912590309699</v>
      </c>
      <c r="AN187">
        <v>1.0000000508682001</v>
      </c>
    </row>
    <row r="188" spans="1:40" x14ac:dyDescent="0.25">
      <c r="A188" t="str">
        <f>"20190303170719924"</f>
        <v>20190303170719924</v>
      </c>
      <c r="B188" t="str">
        <f>"1551604039912294"</f>
        <v>1551604039912294</v>
      </c>
      <c r="C188" t="s">
        <v>40</v>
      </c>
      <c r="D188">
        <v>4.5908309999999997</v>
      </c>
      <c r="E188">
        <v>0.47858000000000001</v>
      </c>
      <c r="F188" t="s">
        <v>43</v>
      </c>
      <c r="G188">
        <v>-392.22500000000002</v>
      </c>
      <c r="H188" s="1">
        <v>-3.6738509999999998E-6</v>
      </c>
      <c r="I188">
        <v>367.6087</v>
      </c>
      <c r="J188">
        <v>-428.5061</v>
      </c>
      <c r="K188">
        <v>1.0720259999999999</v>
      </c>
      <c r="L188">
        <v>367.41059999999999</v>
      </c>
      <c r="M188">
        <v>0.99982720000000003</v>
      </c>
      <c r="N188">
        <v>-1.344673E-2</v>
      </c>
      <c r="O188">
        <v>-1.2844370000000001E-2</v>
      </c>
      <c r="P188">
        <v>0.97985460000000002</v>
      </c>
      <c r="Q188">
        <v>0.1907923</v>
      </c>
      <c r="R188">
        <v>-5.9021700000000003E-2</v>
      </c>
      <c r="S188">
        <v>3.0795590000000002</v>
      </c>
      <c r="T188">
        <v>-9.0124609999999994E-2</v>
      </c>
      <c r="U188">
        <v>1.6265870000000002E-2</v>
      </c>
      <c r="V188">
        <v>4.6426420000000003E-2</v>
      </c>
      <c r="W188">
        <v>0.2039609</v>
      </c>
      <c r="X188">
        <v>0.97787760000000001</v>
      </c>
      <c r="Y188">
        <v>-1.8113799999999999E-2</v>
      </c>
      <c r="Z188">
        <v>5.8993019999999997E-4</v>
      </c>
      <c r="AA188">
        <v>0.99983569999999999</v>
      </c>
      <c r="AB188">
        <v>35</v>
      </c>
      <c r="AC188">
        <v>36.281099999999903</v>
      </c>
      <c r="AD188">
        <v>-1.072029673851</v>
      </c>
      <c r="AE188">
        <v>0.19810000000000999</v>
      </c>
      <c r="AF188">
        <v>-0.66355429518806497</v>
      </c>
      <c r="AG188">
        <v>-1.072029673851</v>
      </c>
      <c r="AH188">
        <v>36.243919046240997</v>
      </c>
      <c r="AI188">
        <v>91.693928034325694</v>
      </c>
      <c r="AJ188">
        <v>91.048854943990804</v>
      </c>
      <c r="AK188">
        <v>36.265840949228703</v>
      </c>
      <c r="AL188">
        <v>78.231322479419006</v>
      </c>
      <c r="AM188">
        <v>87.281825442241995</v>
      </c>
      <c r="AN188">
        <v>1.0000000308922901</v>
      </c>
    </row>
    <row r="189" spans="1:40" x14ac:dyDescent="0.25">
      <c r="A189" t="str">
        <f>"20190303170719947"</f>
        <v>20190303170719947</v>
      </c>
      <c r="B189" t="str">
        <f>"1551604039942078"</f>
        <v>1551604039942078</v>
      </c>
      <c r="C189" t="s">
        <v>40</v>
      </c>
      <c r="D189">
        <v>4.4762409999999999</v>
      </c>
      <c r="E189">
        <v>0.47840969999999999</v>
      </c>
      <c r="F189" t="s">
        <v>43</v>
      </c>
      <c r="G189">
        <v>-390.02600000000001</v>
      </c>
      <c r="H189" s="1">
        <v>-4.6181979999999996E-6</v>
      </c>
      <c r="I189">
        <v>367.60309999999998</v>
      </c>
      <c r="J189">
        <v>-428.1377</v>
      </c>
      <c r="K189">
        <v>1.0718810000000001</v>
      </c>
      <c r="L189">
        <v>367.40589999999997</v>
      </c>
      <c r="M189">
        <v>0.99982579999999999</v>
      </c>
      <c r="N189">
        <v>-1.3557299999999901E-2</v>
      </c>
      <c r="O189">
        <v>-1.281946E-2</v>
      </c>
      <c r="P189">
        <v>0.97963069999999997</v>
      </c>
      <c r="Q189">
        <v>0.1918156</v>
      </c>
      <c r="R189">
        <v>-5.9416139999999999E-2</v>
      </c>
      <c r="S189">
        <v>3.0793149999999998</v>
      </c>
      <c r="T189">
        <v>-8.5787530000000001E-2</v>
      </c>
      <c r="U189">
        <v>1.5411380000000001E-2</v>
      </c>
      <c r="V189">
        <v>4.6847850000000003E-2</v>
      </c>
      <c r="W189">
        <v>0.2050891</v>
      </c>
      <c r="X189">
        <v>0.97762150000000003</v>
      </c>
      <c r="Y189">
        <v>-1.7813229999999999E-2</v>
      </c>
      <c r="Z189">
        <v>5.5214909999999997E-4</v>
      </c>
      <c r="AA189">
        <v>0.99984119999999999</v>
      </c>
      <c r="AB189">
        <v>35</v>
      </c>
      <c r="AC189">
        <v>38.1116999999999</v>
      </c>
      <c r="AD189">
        <v>-1.0718856181980001</v>
      </c>
      <c r="AE189">
        <v>0.19720000000000901</v>
      </c>
      <c r="AF189">
        <v>-0.68525813925359302</v>
      </c>
      <c r="AG189">
        <v>-1.0718856181980001</v>
      </c>
      <c r="AH189">
        <v>38.075921945048101</v>
      </c>
      <c r="AI189">
        <v>91.612262221189894</v>
      </c>
      <c r="AJ189">
        <v>91.031049520988205</v>
      </c>
      <c r="AK189">
        <v>38.097169835321203</v>
      </c>
      <c r="AL189">
        <v>78.165285417415504</v>
      </c>
      <c r="AM189">
        <v>87.256471647853203</v>
      </c>
      <c r="AN189">
        <v>1.0000000286253401</v>
      </c>
    </row>
    <row r="190" spans="1:40" x14ac:dyDescent="0.25">
      <c r="A190" t="str">
        <f>"20190303170719970"</f>
        <v>20190303170719970</v>
      </c>
      <c r="B190" t="str">
        <f>"1551604039962573"</f>
        <v>1551604039962573</v>
      </c>
      <c r="C190" t="s">
        <v>40</v>
      </c>
      <c r="D190">
        <v>4.5026330000000003</v>
      </c>
      <c r="E190">
        <v>0.4782766</v>
      </c>
      <c r="F190" t="s">
        <v>43</v>
      </c>
      <c r="G190">
        <v>-386.50099999999998</v>
      </c>
      <c r="H190" s="1">
        <v>-1.8382560000000001E-6</v>
      </c>
      <c r="I190">
        <v>367.6155</v>
      </c>
      <c r="J190">
        <v>-427.77589999999998</v>
      </c>
      <c r="K190">
        <v>1.071766</v>
      </c>
      <c r="L190">
        <v>367.40129999999999</v>
      </c>
      <c r="M190">
        <v>0.99982479999999996</v>
      </c>
      <c r="N190">
        <v>-1.367064E-2</v>
      </c>
      <c r="O190">
        <v>-1.2794949999999999E-2</v>
      </c>
      <c r="P190">
        <v>0.97969689999999998</v>
      </c>
      <c r="Q190">
        <v>0.19156980000000001</v>
      </c>
      <c r="R190">
        <v>-5.9122939999999999E-2</v>
      </c>
      <c r="S190">
        <v>3.0788570000000002</v>
      </c>
      <c r="T190">
        <v>-7.9261180000000001E-2</v>
      </c>
      <c r="U190">
        <v>1.550293E-2</v>
      </c>
      <c r="V190">
        <v>4.6577500000000001E-2</v>
      </c>
      <c r="W190">
        <v>0.2049552</v>
      </c>
      <c r="X190">
        <v>0.97766249999999999</v>
      </c>
      <c r="Y190">
        <v>-1.7820820000000001E-2</v>
      </c>
      <c r="Z190">
        <v>5.0561349999999998E-4</v>
      </c>
      <c r="AA190">
        <v>0.99984110000000004</v>
      </c>
      <c r="AB190">
        <v>35</v>
      </c>
      <c r="AC190">
        <v>41.274900000000002</v>
      </c>
      <c r="AD190">
        <v>-1.0717678382560001</v>
      </c>
      <c r="AE190">
        <v>0.214200000000005</v>
      </c>
      <c r="AF190">
        <v>-0.74184185629039501</v>
      </c>
      <c r="AG190">
        <v>-1.0717678382560001</v>
      </c>
      <c r="AH190">
        <v>41.240973207632798</v>
      </c>
      <c r="AI190">
        <v>91.488423393689104</v>
      </c>
      <c r="AJ190">
        <v>91.030524273991404</v>
      </c>
      <c r="AK190">
        <v>41.261566702581199</v>
      </c>
      <c r="AL190">
        <v>78.173123855880704</v>
      </c>
      <c r="AM190">
        <v>87.2723942642438</v>
      </c>
      <c r="AN190">
        <v>1.0000000307097601</v>
      </c>
    </row>
    <row r="191" spans="1:40" x14ac:dyDescent="0.25">
      <c r="A191" t="str">
        <f>"20190303170719992"</f>
        <v>20190303170719992</v>
      </c>
      <c r="B191" t="str">
        <f>"1551604039982094"</f>
        <v>1551604039982094</v>
      </c>
      <c r="C191" t="s">
        <v>40</v>
      </c>
      <c r="D191">
        <v>4.4573929999999997</v>
      </c>
      <c r="E191">
        <v>0.47824080000000002</v>
      </c>
      <c r="F191" t="s">
        <v>43</v>
      </c>
      <c r="G191">
        <v>-385.6558</v>
      </c>
      <c r="H191" s="1">
        <v>-2.1965629999999999E-6</v>
      </c>
      <c r="I191">
        <v>367.6397</v>
      </c>
      <c r="J191">
        <v>-427.41059999999999</v>
      </c>
      <c r="K191">
        <v>1.071674</v>
      </c>
      <c r="L191">
        <v>367.39670000000001</v>
      </c>
      <c r="M191">
        <v>0.99982360000000003</v>
      </c>
      <c r="N191">
        <v>-1.378427E-2</v>
      </c>
      <c r="O191">
        <v>-1.276937E-2</v>
      </c>
      <c r="P191">
        <v>0.97989950000000003</v>
      </c>
      <c r="Q191">
        <v>0.1907237</v>
      </c>
      <c r="R191">
        <v>-5.8497069999999998E-2</v>
      </c>
      <c r="S191">
        <v>3.0785520000000002</v>
      </c>
      <c r="T191">
        <v>-7.8335290000000002E-2</v>
      </c>
      <c r="U191">
        <v>1.742554E-2</v>
      </c>
      <c r="V191">
        <v>4.5974189999999998E-2</v>
      </c>
      <c r="W191">
        <v>0.20422280000000001</v>
      </c>
      <c r="X191">
        <v>0.9778443</v>
      </c>
      <c r="Y191">
        <v>-1.842007E-2</v>
      </c>
      <c r="Z191">
        <v>5.1015809999999996E-4</v>
      </c>
      <c r="AA191">
        <v>0.9998302</v>
      </c>
      <c r="AB191">
        <v>35</v>
      </c>
      <c r="AC191">
        <v>41.754799999999904</v>
      </c>
      <c r="AD191">
        <v>-1.0716761965629999</v>
      </c>
      <c r="AE191">
        <v>0.242999999999995</v>
      </c>
      <c r="AF191">
        <v>-0.77570228808792296</v>
      </c>
      <c r="AG191">
        <v>-1.0716761965629999</v>
      </c>
      <c r="AH191">
        <v>41.720809506305301</v>
      </c>
      <c r="AI191">
        <v>91.4711704078248</v>
      </c>
      <c r="AJ191">
        <v>91.065160229223594</v>
      </c>
      <c r="AK191">
        <v>41.7417794274686</v>
      </c>
      <c r="AL191">
        <v>78.215994027965607</v>
      </c>
      <c r="AM191">
        <v>87.308171946237906</v>
      </c>
      <c r="AN191">
        <v>1.0000000266142399</v>
      </c>
    </row>
    <row r="192" spans="1:40" x14ac:dyDescent="0.25">
      <c r="A192" t="str">
        <f>"20190303170720014"</f>
        <v>20190303170720014</v>
      </c>
      <c r="B192" t="str">
        <f>"1551604040002589"</f>
        <v>1551604040002589</v>
      </c>
      <c r="C192" t="s">
        <v>40</v>
      </c>
      <c r="D192">
        <v>4.6108560000000001</v>
      </c>
      <c r="E192">
        <v>0.47840779999999999</v>
      </c>
      <c r="F192" t="s">
        <v>43</v>
      </c>
      <c r="G192">
        <v>-385.84350000000001</v>
      </c>
      <c r="H192" s="1">
        <v>-2.1139039999999999E-6</v>
      </c>
      <c r="I192">
        <v>367.65170000000001</v>
      </c>
      <c r="J192">
        <v>-427.07639999999998</v>
      </c>
      <c r="K192">
        <v>1.0716049999999999</v>
      </c>
      <c r="L192">
        <v>367.39240000000001</v>
      </c>
      <c r="M192">
        <v>0.99982249999999995</v>
      </c>
      <c r="N192">
        <v>-1.388322E-2</v>
      </c>
      <c r="O192">
        <v>-1.274585E-2</v>
      </c>
      <c r="P192">
        <v>0.97984360000000004</v>
      </c>
      <c r="Q192">
        <v>0.19095019999999999</v>
      </c>
      <c r="R192">
        <v>-5.86925999999999E-2</v>
      </c>
      <c r="S192">
        <v>3.0781559999999999</v>
      </c>
      <c r="T192">
        <v>-7.936037E-2</v>
      </c>
      <c r="U192">
        <v>1.8890379999999998E-2</v>
      </c>
      <c r="V192">
        <v>4.6193640000000001E-2</v>
      </c>
      <c r="W192">
        <v>0.20454530000000001</v>
      </c>
      <c r="X192">
        <v>0.97776649999999998</v>
      </c>
      <c r="Y192">
        <v>-1.8872590000000002E-2</v>
      </c>
      <c r="Z192">
        <v>5.2588999999999999E-4</v>
      </c>
      <c r="AA192">
        <v>0.99982179999999998</v>
      </c>
      <c r="AB192">
        <v>35</v>
      </c>
      <c r="AC192">
        <v>41.232899999999901</v>
      </c>
      <c r="AD192">
        <v>-1.071607113904</v>
      </c>
      <c r="AE192">
        <v>0.25929999999999598</v>
      </c>
      <c r="AF192">
        <v>-0.78434813042924301</v>
      </c>
      <c r="AG192">
        <v>-1.071607113904</v>
      </c>
      <c r="AH192">
        <v>41.198418877445597</v>
      </c>
      <c r="AI192">
        <v>91.489707830041993</v>
      </c>
      <c r="AJ192">
        <v>91.090682855298894</v>
      </c>
      <c r="AK192">
        <v>41.219816372683503</v>
      </c>
      <c r="AL192">
        <v>78.197117120196793</v>
      </c>
      <c r="AM192">
        <v>87.295127108011101</v>
      </c>
      <c r="AN192">
        <v>0.99999998032539394</v>
      </c>
    </row>
    <row r="193" spans="1:40" x14ac:dyDescent="0.25">
      <c r="A193" t="str">
        <f>"20190303170720036"</f>
        <v>20190303170720036</v>
      </c>
      <c r="B193" t="str">
        <f>"1551604040022113"</f>
        <v>1551604040022113</v>
      </c>
      <c r="C193" t="s">
        <v>40</v>
      </c>
      <c r="D193">
        <v>4.5495809999999999</v>
      </c>
      <c r="E193">
        <v>0.50015329999999902</v>
      </c>
      <c r="F193" t="s">
        <v>43</v>
      </c>
      <c r="G193">
        <v>-384.16930000000002</v>
      </c>
      <c r="H193" s="1">
        <v>-2.8331469999999998E-6</v>
      </c>
      <c r="I193">
        <v>367.64589999999998</v>
      </c>
      <c r="J193">
        <v>-426.7441</v>
      </c>
      <c r="K193">
        <v>1.0715509999999999</v>
      </c>
      <c r="L193">
        <v>367.38819999999998</v>
      </c>
      <c r="M193">
        <v>0.99982139999999997</v>
      </c>
      <c r="N193">
        <v>-1.3975080000000001E-2</v>
      </c>
      <c r="O193">
        <v>-1.272216E-2</v>
      </c>
      <c r="P193">
        <v>0.97973049999999995</v>
      </c>
      <c r="Q193">
        <v>0.19132540000000001</v>
      </c>
      <c r="R193">
        <v>-5.9355270000000002E-2</v>
      </c>
      <c r="S193">
        <v>3.0777589999999999</v>
      </c>
      <c r="T193">
        <v>-7.6867340000000006E-2</v>
      </c>
      <c r="U193">
        <v>1.818848E-2</v>
      </c>
      <c r="V193">
        <v>4.6880640000000001E-2</v>
      </c>
      <c r="W193">
        <v>0.20500879999999999</v>
      </c>
      <c r="X193">
        <v>0.97763679999999997</v>
      </c>
      <c r="Y193">
        <v>-1.8622420000000001E-2</v>
      </c>
      <c r="Z193">
        <v>5.0256580000000001E-4</v>
      </c>
      <c r="AA193">
        <v>0.99982649999999995</v>
      </c>
      <c r="AB193">
        <v>35</v>
      </c>
      <c r="AC193">
        <v>42.574799999999897</v>
      </c>
      <c r="AD193">
        <v>-1.07155383314699</v>
      </c>
      <c r="AE193">
        <v>0.25769999999999899</v>
      </c>
      <c r="AF193">
        <v>-0.79886942363589797</v>
      </c>
      <c r="AG193">
        <v>-1.07155383314699</v>
      </c>
      <c r="AH193">
        <v>42.541127593243303</v>
      </c>
      <c r="AI193">
        <v>91.442644341723096</v>
      </c>
      <c r="AJ193">
        <v>91.075816973611197</v>
      </c>
      <c r="AK193">
        <v>42.562118801558199</v>
      </c>
      <c r="AL193">
        <v>78.169986498595193</v>
      </c>
      <c r="AM193">
        <v>87.254597220095803</v>
      </c>
      <c r="AN193">
        <v>1.00000005759924</v>
      </c>
    </row>
    <row r="194" spans="1:40" x14ac:dyDescent="0.25">
      <c r="A194" t="str">
        <f>"20190303170720057"</f>
        <v>20190303170720057</v>
      </c>
      <c r="B194" t="str">
        <f>"1551604040051896"</f>
        <v>1551604040051896</v>
      </c>
      <c r="C194" t="s">
        <v>40</v>
      </c>
      <c r="D194">
        <v>4.4044679999999996</v>
      </c>
      <c r="E194">
        <v>0.50138899999999997</v>
      </c>
      <c r="F194" t="s">
        <v>41</v>
      </c>
      <c r="G194">
        <v>-250.1806</v>
      </c>
      <c r="H194">
        <v>0.12524589999999999</v>
      </c>
      <c r="I194">
        <v>358.21499999999997</v>
      </c>
      <c r="J194">
        <v>-426.40300000000002</v>
      </c>
      <c r="K194">
        <v>1.0714980000000001</v>
      </c>
      <c r="L194">
        <v>367.38389999999998</v>
      </c>
      <c r="M194">
        <v>0.9998205</v>
      </c>
      <c r="N194">
        <v>-1.406112E-2</v>
      </c>
      <c r="O194">
        <v>-1.269808E-2</v>
      </c>
      <c r="P194">
        <v>0.9796726</v>
      </c>
      <c r="Q194">
        <v>0.19160240000000001</v>
      </c>
      <c r="R194">
        <v>-5.9415610000000001E-2</v>
      </c>
      <c r="S194">
        <v>3.055634</v>
      </c>
      <c r="T194">
        <v>-1.6375420000000002E-2</v>
      </c>
      <c r="U194">
        <v>-0.15875239999999999</v>
      </c>
      <c r="V194">
        <v>4.6965529999999998E-2</v>
      </c>
      <c r="W194">
        <v>0.2053691</v>
      </c>
      <c r="X194">
        <v>0.97755709999999996</v>
      </c>
      <c r="Y194">
        <v>3.9196059999999998E-2</v>
      </c>
      <c r="Z194">
        <v>-4.9119430000000002E-4</v>
      </c>
      <c r="AA194">
        <v>0.99923139999999999</v>
      </c>
      <c r="AB194">
        <v>35</v>
      </c>
      <c r="AC194">
        <v>176.22239999999999</v>
      </c>
      <c r="AD194">
        <v>-0.94625210000000004</v>
      </c>
      <c r="AE194">
        <v>-9.1689000000000007</v>
      </c>
      <c r="AF194">
        <v>6.9300539553001901</v>
      </c>
      <c r="AG194">
        <v>-0.94625210000000004</v>
      </c>
      <c r="AH194">
        <v>176.31955828073001</v>
      </c>
      <c r="AI194">
        <v>90.307248411633296</v>
      </c>
      <c r="AJ194">
        <v>87.749208450167799</v>
      </c>
      <c r="AK194">
        <v>176.45823209239001</v>
      </c>
      <c r="AL194">
        <v>78.148894013642803</v>
      </c>
      <c r="AM194">
        <v>87.249409664476801</v>
      </c>
      <c r="AN194">
        <v>1.00000005600169</v>
      </c>
    </row>
    <row r="195" spans="1:40" x14ac:dyDescent="0.25">
      <c r="A195" t="str">
        <f>"20190303170720081"</f>
        <v>20190303170720081</v>
      </c>
      <c r="B195" t="str">
        <f>"1551604040072393"</f>
        <v>1551604040072393</v>
      </c>
      <c r="C195" t="s">
        <v>40</v>
      </c>
      <c r="D195">
        <v>4.5467459999999997</v>
      </c>
      <c r="E195">
        <v>0.50165490000000001</v>
      </c>
      <c r="F195" t="s">
        <v>44</v>
      </c>
      <c r="G195">
        <v>-158.78319999999999</v>
      </c>
      <c r="H195">
        <v>0.14733889999999999</v>
      </c>
      <c r="I195">
        <v>352.54239999999999</v>
      </c>
      <c r="J195">
        <v>-426.02249999999998</v>
      </c>
      <c r="K195">
        <v>1.071445</v>
      </c>
      <c r="L195">
        <v>367.37909999999999</v>
      </c>
      <c r="M195">
        <v>0.99981980000000004</v>
      </c>
      <c r="N195">
        <v>-1.4146809999999999E-2</v>
      </c>
      <c r="O195">
        <v>-1.26715E-2</v>
      </c>
      <c r="P195">
        <v>0.97976700000000005</v>
      </c>
      <c r="Q195">
        <v>0.1909285</v>
      </c>
      <c r="R195">
        <v>-6.0028079999999998E-2</v>
      </c>
      <c r="S195">
        <v>3.0540769999999999</v>
      </c>
      <c r="T195">
        <v>-1.0545489999999999E-2</v>
      </c>
      <c r="U195">
        <v>-0.16937260000000001</v>
      </c>
      <c r="V195">
        <v>4.760284E-2</v>
      </c>
      <c r="W195">
        <v>0.20478060000000001</v>
      </c>
      <c r="X195">
        <v>0.97764969999999995</v>
      </c>
      <c r="Y195">
        <v>4.2714420000000003E-2</v>
      </c>
      <c r="Z195">
        <v>-5.1151430000000002E-4</v>
      </c>
      <c r="AA195">
        <v>0.99908719999999995</v>
      </c>
      <c r="AB195">
        <v>35</v>
      </c>
      <c r="AC195">
        <v>267.23930000000001</v>
      </c>
      <c r="AD195">
        <v>-0.92410610000000004</v>
      </c>
      <c r="AE195">
        <v>-14.8367</v>
      </c>
      <c r="AF195">
        <v>11.4487109591036</v>
      </c>
      <c r="AG195">
        <v>-0.92410610000000004</v>
      </c>
      <c r="AH195">
        <v>267.40267432306302</v>
      </c>
      <c r="AI195">
        <v>90.197824152198194</v>
      </c>
      <c r="AJ195">
        <v>87.5484072860813</v>
      </c>
      <c r="AK195">
        <v>267.649242834414</v>
      </c>
      <c r="AL195">
        <v>78.183344475942604</v>
      </c>
      <c r="AM195">
        <v>87.212407002012299</v>
      </c>
      <c r="AN195">
        <v>1.0000000302112499</v>
      </c>
    </row>
    <row r="196" spans="1:40" x14ac:dyDescent="0.25">
      <c r="A196" t="str">
        <f>"20190303170720103"</f>
        <v>20190303170720103</v>
      </c>
      <c r="B196" t="str">
        <f>"1551604040091913"</f>
        <v>1551604040091913</v>
      </c>
      <c r="C196" t="s">
        <v>40</v>
      </c>
      <c r="D196">
        <v>4.4862289999999998</v>
      </c>
      <c r="E196">
        <v>0.50177829999999901</v>
      </c>
      <c r="F196" t="s">
        <v>44</v>
      </c>
      <c r="G196">
        <v>-158.78319999999999</v>
      </c>
      <c r="H196">
        <v>0.18548970000000001</v>
      </c>
      <c r="I196">
        <v>352.22919999999999</v>
      </c>
      <c r="J196">
        <v>-425.67469999999997</v>
      </c>
      <c r="K196">
        <v>1.0714079999999999</v>
      </c>
      <c r="L196">
        <v>367.37470000000002</v>
      </c>
      <c r="M196">
        <v>0.99981909999999896</v>
      </c>
      <c r="N196">
        <v>-1.4215520000000001E-2</v>
      </c>
      <c r="O196">
        <v>-1.264586E-2</v>
      </c>
      <c r="P196">
        <v>0.97999849999999999</v>
      </c>
      <c r="Q196">
        <v>0.1895897</v>
      </c>
      <c r="R196">
        <v>-6.0486819999999997E-2</v>
      </c>
      <c r="S196">
        <v>3.0533450000000002</v>
      </c>
      <c r="T196">
        <v>-1.0121460000000001E-2</v>
      </c>
      <c r="U196">
        <v>-0.17309569999999999</v>
      </c>
      <c r="V196">
        <v>4.8083550000000003E-2</v>
      </c>
      <c r="W196">
        <v>0.20351230000000001</v>
      </c>
      <c r="X196">
        <v>0.97789099999999995</v>
      </c>
      <c r="Y196">
        <v>4.3967739999999998E-2</v>
      </c>
      <c r="Z196">
        <v>-5.2337089999999998E-4</v>
      </c>
      <c r="AA196">
        <v>0.99903280000000005</v>
      </c>
      <c r="AB196">
        <v>35</v>
      </c>
      <c r="AC196">
        <v>266.89149999999898</v>
      </c>
      <c r="AD196">
        <v>-0.88591829999999905</v>
      </c>
      <c r="AE196">
        <v>-15.1455</v>
      </c>
      <c r="AF196">
        <v>11.768746209311599</v>
      </c>
      <c r="AG196">
        <v>-0.88591829999999905</v>
      </c>
      <c r="AH196">
        <v>267.05876858577699</v>
      </c>
      <c r="AI196">
        <v>90.189883218577606</v>
      </c>
      <c r="AJ196">
        <v>87.476722051065806</v>
      </c>
      <c r="AK196">
        <v>267.31942338170097</v>
      </c>
      <c r="AL196">
        <v>78.257576193427099</v>
      </c>
      <c r="AM196">
        <v>87.184995666650494</v>
      </c>
      <c r="AN196">
        <v>1.00000004595644</v>
      </c>
    </row>
    <row r="197" spans="1:40" x14ac:dyDescent="0.25">
      <c r="A197" t="str">
        <f>"20190303170720125"</f>
        <v>20190303170720125</v>
      </c>
      <c r="B197" t="str">
        <f>"1551604040112408"</f>
        <v>1551604040112408</v>
      </c>
      <c r="C197" t="s">
        <v>40</v>
      </c>
      <c r="D197">
        <v>4.5432439999999996</v>
      </c>
      <c r="E197">
        <v>0.50178739999999999</v>
      </c>
      <c r="F197" t="s">
        <v>48</v>
      </c>
      <c r="G197">
        <v>-179.989</v>
      </c>
      <c r="H197">
        <v>6.1013669999999999E-2</v>
      </c>
      <c r="I197">
        <v>353.19369999999998</v>
      </c>
      <c r="J197">
        <v>-425.33370000000002</v>
      </c>
      <c r="K197">
        <v>1.0713889999999999</v>
      </c>
      <c r="L197">
        <v>367.37049999999999</v>
      </c>
      <c r="M197">
        <v>0.9998186</v>
      </c>
      <c r="N197">
        <v>-1.4274449999999999E-2</v>
      </c>
      <c r="O197">
        <v>-1.261367E-2</v>
      </c>
      <c r="P197">
        <v>0.98010960000000003</v>
      </c>
      <c r="Q197">
        <v>0.18909690000000001</v>
      </c>
      <c r="R197">
        <v>-6.0230550000000001E-2</v>
      </c>
      <c r="S197">
        <v>3.0527950000000001</v>
      </c>
      <c r="T197">
        <v>-1.255476E-2</v>
      </c>
      <c r="U197">
        <v>-0.17620849999999999</v>
      </c>
      <c r="V197">
        <v>4.7855389999999998E-2</v>
      </c>
      <c r="W197">
        <v>0.2030795</v>
      </c>
      <c r="X197">
        <v>0.97799210000000003</v>
      </c>
      <c r="Y197">
        <v>4.5024839999999997E-2</v>
      </c>
      <c r="Z197">
        <v>-5.4225729999999998E-4</v>
      </c>
      <c r="AA197">
        <v>0.99898569999999998</v>
      </c>
      <c r="AB197">
        <v>35</v>
      </c>
      <c r="AC197">
        <v>245.34469999999999</v>
      </c>
      <c r="AD197">
        <v>-1.01037533</v>
      </c>
      <c r="AE197">
        <v>-14.1768</v>
      </c>
      <c r="AF197">
        <v>11.080472367374901</v>
      </c>
      <c r="AG197">
        <v>-1.01037533</v>
      </c>
      <c r="AH197">
        <v>245.49986750219699</v>
      </c>
      <c r="AI197">
        <v>90.235564452531705</v>
      </c>
      <c r="AJ197">
        <v>87.415747150592495</v>
      </c>
      <c r="AK197">
        <v>245.751872159274</v>
      </c>
      <c r="AL197">
        <v>78.282901962002001</v>
      </c>
      <c r="AM197">
        <v>87.198620899077497</v>
      </c>
      <c r="AN197">
        <v>0.99999998466735596</v>
      </c>
    </row>
    <row r="198" spans="1:40" x14ac:dyDescent="0.25">
      <c r="A198" t="str">
        <f>"20190303170720149"</f>
        <v>20190303170720149</v>
      </c>
      <c r="B198" t="str">
        <f>"1551604040142194"</f>
        <v>1551604040142194</v>
      </c>
      <c r="C198" t="s">
        <v>40</v>
      </c>
      <c r="D198">
        <v>4.3752170000000001</v>
      </c>
      <c r="E198">
        <v>0.50179499999999999</v>
      </c>
      <c r="F198" t="s">
        <v>48</v>
      </c>
      <c r="G198">
        <v>-179.97409999999999</v>
      </c>
      <c r="H198">
        <v>7.5908580000000003E-2</v>
      </c>
      <c r="I198">
        <v>353.26819999999998</v>
      </c>
      <c r="J198">
        <v>-424.97609999999997</v>
      </c>
      <c r="K198">
        <v>1.0713680000000001</v>
      </c>
      <c r="L198">
        <v>367.36599999999999</v>
      </c>
      <c r="M198">
        <v>0.99981850000000005</v>
      </c>
      <c r="N198">
        <v>-1.432815E-2</v>
      </c>
      <c r="O198">
        <v>-1.2563339999999999E-2</v>
      </c>
      <c r="P198">
        <v>0.97990149999999998</v>
      </c>
      <c r="Q198">
        <v>0.1903408</v>
      </c>
      <c r="R198">
        <v>-5.9696659999999999E-2</v>
      </c>
      <c r="S198">
        <v>3.0524900000000001</v>
      </c>
      <c r="T198">
        <v>-1.2384650000000001E-2</v>
      </c>
      <c r="U198">
        <v>-0.17544560000000001</v>
      </c>
      <c r="V198">
        <v>4.736887E-2</v>
      </c>
      <c r="W198">
        <v>0.204374</v>
      </c>
      <c r="X198">
        <v>0.97774609999999995</v>
      </c>
      <c r="Y198">
        <v>4.4832039999999997E-2</v>
      </c>
      <c r="Z198">
        <v>-5.4130620000000004E-4</v>
      </c>
      <c r="AA198">
        <v>0.99899439999999995</v>
      </c>
      <c r="AB198">
        <v>35</v>
      </c>
      <c r="AC198">
        <v>245.00200000000001</v>
      </c>
      <c r="AD198">
        <v>-0.99545941999999998</v>
      </c>
      <c r="AE198">
        <v>-14.097799999999999</v>
      </c>
      <c r="AF198">
        <v>11.018146679974301</v>
      </c>
      <c r="AG198">
        <v>-0.99545941999999998</v>
      </c>
      <c r="AH198">
        <v>245.15575983969501</v>
      </c>
      <c r="AI198">
        <v>90.232414667946799</v>
      </c>
      <c r="AJ198">
        <v>87.426661462544601</v>
      </c>
      <c r="AK198">
        <v>245.405250714602</v>
      </c>
      <c r="AL198">
        <v>78.207143801481905</v>
      </c>
      <c r="AM198">
        <v>87.226359753387499</v>
      </c>
      <c r="AN198">
        <v>0.99999998889314301</v>
      </c>
    </row>
    <row r="199" spans="1:40" x14ac:dyDescent="0.25">
      <c r="A199" t="str">
        <f>"20190303170720172"</f>
        <v>20190303170720172</v>
      </c>
      <c r="B199" t="str">
        <f>"1551604040162690"</f>
        <v>1551604040162690</v>
      </c>
      <c r="C199" t="s">
        <v>40</v>
      </c>
      <c r="D199">
        <v>4.5474709999999998</v>
      </c>
      <c r="E199">
        <v>0.50182629999999995</v>
      </c>
      <c r="F199" t="s">
        <v>44</v>
      </c>
      <c r="G199">
        <v>-158.78319999999999</v>
      </c>
      <c r="H199">
        <v>0.31721500000000002</v>
      </c>
      <c r="I199">
        <v>352.22669999999999</v>
      </c>
      <c r="J199">
        <v>-424.6069</v>
      </c>
      <c r="K199">
        <v>1.071366</v>
      </c>
      <c r="L199">
        <v>367.3614</v>
      </c>
      <c r="M199">
        <v>0.99981889999999995</v>
      </c>
      <c r="N199">
        <v>-1.4375209999999999E-2</v>
      </c>
      <c r="O199">
        <v>-1.247881E-2</v>
      </c>
      <c r="P199">
        <v>0.97980020000000001</v>
      </c>
      <c r="Q199">
        <v>0.19095500000000001</v>
      </c>
      <c r="R199">
        <v>-5.9399159999999999E-2</v>
      </c>
      <c r="S199">
        <v>3.0526430000000002</v>
      </c>
      <c r="T199">
        <v>-8.647442E-3</v>
      </c>
      <c r="U199">
        <v>-0.1736145</v>
      </c>
      <c r="V199">
        <v>4.7145340000000001E-2</v>
      </c>
      <c r="W199">
        <v>0.20503450000000001</v>
      </c>
      <c r="X199">
        <v>0.9776186</v>
      </c>
      <c r="Y199">
        <v>4.4317120000000002E-2</v>
      </c>
      <c r="Z199">
        <v>-5.2548410000000003E-4</v>
      </c>
      <c r="AA199">
        <v>0.99901740000000006</v>
      </c>
      <c r="AB199">
        <v>35</v>
      </c>
      <c r="AC199">
        <v>265.82369999999997</v>
      </c>
      <c r="AD199">
        <v>-0.75415100000000002</v>
      </c>
      <c r="AE199">
        <v>-15.1347</v>
      </c>
      <c r="AF199">
        <v>11.815920614253301</v>
      </c>
      <c r="AG199">
        <v>-0.75415100000000002</v>
      </c>
      <c r="AH199">
        <v>265.989746366367</v>
      </c>
      <c r="AI199">
        <v>90.162288146590399</v>
      </c>
      <c r="AJ199">
        <v>87.456452378736202</v>
      </c>
      <c r="AK199">
        <v>266.25313124118799</v>
      </c>
      <c r="AL199">
        <v>78.168481085206594</v>
      </c>
      <c r="AM199">
        <v>87.239068576808293</v>
      </c>
      <c r="AN199">
        <v>0.999999978169962</v>
      </c>
    </row>
    <row r="200" spans="1:40" x14ac:dyDescent="0.25">
      <c r="A200" t="str">
        <f>"20190303170720193"</f>
        <v>20190303170720193</v>
      </c>
      <c r="B200" t="str">
        <f>"1551604040182210"</f>
        <v>1551604040182210</v>
      </c>
      <c r="C200" t="s">
        <v>40</v>
      </c>
      <c r="D200">
        <v>4.3490960000000003</v>
      </c>
      <c r="E200">
        <v>0.50188650000000001</v>
      </c>
      <c r="F200" t="s">
        <v>44</v>
      </c>
      <c r="G200">
        <v>-158.78319999999999</v>
      </c>
      <c r="H200">
        <v>0.35478589999999999</v>
      </c>
      <c r="I200">
        <v>352.38069999999999</v>
      </c>
      <c r="J200">
        <v>-424.27170000000001</v>
      </c>
      <c r="K200">
        <v>1.071377</v>
      </c>
      <c r="L200">
        <v>367.35739999999998</v>
      </c>
      <c r="M200">
        <v>0.99981980000000004</v>
      </c>
      <c r="N200">
        <v>-1.441159E-2</v>
      </c>
      <c r="O200">
        <v>-1.236607E-2</v>
      </c>
      <c r="P200">
        <v>0.97990409999999994</v>
      </c>
      <c r="Q200">
        <v>0.1904903</v>
      </c>
      <c r="R200">
        <v>-5.9174940000000002E-2</v>
      </c>
      <c r="S200">
        <v>3.05307</v>
      </c>
      <c r="T200">
        <v>-8.2291359999999997E-3</v>
      </c>
      <c r="U200">
        <v>-0.17205809999999999</v>
      </c>
      <c r="V200">
        <v>4.7017320000000001E-2</v>
      </c>
      <c r="W200">
        <v>0.20461019999999999</v>
      </c>
      <c r="X200">
        <v>0.97771359999999996</v>
      </c>
      <c r="Y200">
        <v>4.3914259999999997E-2</v>
      </c>
      <c r="Z200">
        <v>-5.2064560000000001E-4</v>
      </c>
      <c r="AA200">
        <v>0.99903520000000001</v>
      </c>
      <c r="AB200">
        <v>35</v>
      </c>
      <c r="AC200">
        <v>265.48849999999999</v>
      </c>
      <c r="AD200">
        <v>-0.71659110000000004</v>
      </c>
      <c r="AE200">
        <v>-14.9766999999999</v>
      </c>
      <c r="AF200">
        <v>11.6920797326498</v>
      </c>
      <c r="AG200">
        <v>-0.71659110000000004</v>
      </c>
      <c r="AH200">
        <v>265.65148870699602</v>
      </c>
      <c r="AI200">
        <v>90.154404694778293</v>
      </c>
      <c r="AJ200">
        <v>87.479875750207796</v>
      </c>
      <c r="AK200">
        <v>265.90963067087802</v>
      </c>
      <c r="AL200">
        <v>78.193317592886601</v>
      </c>
      <c r="AM200">
        <v>87.246821275455005</v>
      </c>
      <c r="AN200">
        <v>0.99999992297448803</v>
      </c>
    </row>
    <row r="201" spans="1:40" x14ac:dyDescent="0.25">
      <c r="A201" t="str">
        <f>"20190303170720214"</f>
        <v>20190303170720214</v>
      </c>
      <c r="B201" t="str">
        <f>"1551604040202706"</f>
        <v>1551604040202706</v>
      </c>
      <c r="C201" t="s">
        <v>40</v>
      </c>
      <c r="D201">
        <v>4.544645</v>
      </c>
      <c r="E201">
        <v>0.50196640000000003</v>
      </c>
      <c r="F201" t="s">
        <v>44</v>
      </c>
      <c r="G201">
        <v>-158.78319999999999</v>
      </c>
      <c r="H201">
        <v>0.21519469999999999</v>
      </c>
      <c r="I201">
        <v>352.43290000000002</v>
      </c>
      <c r="J201">
        <v>-423.94049999999999</v>
      </c>
      <c r="K201">
        <v>1.0713950000000001</v>
      </c>
      <c r="L201">
        <v>367.35340000000002</v>
      </c>
      <c r="M201">
        <v>0.99982119999999997</v>
      </c>
      <c r="N201">
        <v>-1.444258E-2</v>
      </c>
      <c r="O201">
        <v>-1.222201E-2</v>
      </c>
      <c r="P201">
        <v>0.9802381</v>
      </c>
      <c r="Q201">
        <v>0.1888764</v>
      </c>
      <c r="R201">
        <v>-5.8816E-2</v>
      </c>
      <c r="S201">
        <v>3.0531009999999998</v>
      </c>
      <c r="T201">
        <v>-9.8450180000000005E-3</v>
      </c>
      <c r="U201">
        <v>-0.1716309</v>
      </c>
      <c r="V201">
        <v>4.678094E-2</v>
      </c>
      <c r="W201">
        <v>0.20303470000000001</v>
      </c>
      <c r="X201">
        <v>0.97805339999999996</v>
      </c>
      <c r="Y201">
        <v>4.3917949999999997E-2</v>
      </c>
      <c r="Z201">
        <v>-5.2519980000000001E-4</v>
      </c>
      <c r="AA201">
        <v>0.99903500000000001</v>
      </c>
      <c r="AB201">
        <v>35</v>
      </c>
      <c r="AC201">
        <v>265.15730000000002</v>
      </c>
      <c r="AD201">
        <v>-0.85620030000000003</v>
      </c>
      <c r="AE201">
        <v>-14.920500000000001</v>
      </c>
      <c r="AF201">
        <v>11.6781713809895</v>
      </c>
      <c r="AG201">
        <v>-0.85620030000000003</v>
      </c>
      <c r="AH201">
        <v>265.31711072165399</v>
      </c>
      <c r="AI201">
        <v>90.184718736907698</v>
      </c>
      <c r="AJ201">
        <v>87.479701473902693</v>
      </c>
      <c r="AK201">
        <v>265.57537914393299</v>
      </c>
      <c r="AL201">
        <v>78.285523602432903</v>
      </c>
      <c r="AM201">
        <v>87.261592041359506</v>
      </c>
      <c r="AN201">
        <v>0.99999999950146601</v>
      </c>
    </row>
    <row r="202" spans="1:40" x14ac:dyDescent="0.25">
      <c r="A202" t="str">
        <f>"20190303170720234"</f>
        <v>20190303170720234</v>
      </c>
      <c r="B202" t="str">
        <f>"1551604040222229"</f>
        <v>1551604040222229</v>
      </c>
      <c r="C202" t="s">
        <v>40</v>
      </c>
      <c r="D202">
        <v>4.4876579999999997</v>
      </c>
      <c r="E202">
        <v>0.50196960000000002</v>
      </c>
      <c r="F202" t="s">
        <v>41</v>
      </c>
      <c r="G202">
        <v>-250.1806</v>
      </c>
      <c r="H202">
        <v>0.165992</v>
      </c>
      <c r="I202">
        <v>357.5718</v>
      </c>
      <c r="J202">
        <v>-423.61779999999999</v>
      </c>
      <c r="K202">
        <v>1.0714250000000001</v>
      </c>
      <c r="L202">
        <v>367.34960000000001</v>
      </c>
      <c r="M202">
        <v>0.99982289999999996</v>
      </c>
      <c r="N202">
        <v>-1.44685E-2</v>
      </c>
      <c r="O202">
        <v>-1.2041039999999999E-2</v>
      </c>
      <c r="P202">
        <v>0.98030419999999996</v>
      </c>
      <c r="Q202">
        <v>0.18876129999999999</v>
      </c>
      <c r="R202">
        <v>-5.8081500000000001E-2</v>
      </c>
      <c r="S202">
        <v>3.0531920000000001</v>
      </c>
      <c r="T202">
        <v>-1.5907649999999999E-2</v>
      </c>
      <c r="U202">
        <v>-0.171875</v>
      </c>
      <c r="V202">
        <v>4.6207030000000003E-2</v>
      </c>
      <c r="W202">
        <v>0.2029493</v>
      </c>
      <c r="X202">
        <v>0.97809840000000003</v>
      </c>
      <c r="Y202">
        <v>4.4175470000000001E-2</v>
      </c>
      <c r="Z202">
        <v>-5.4627089999999896E-4</v>
      </c>
      <c r="AA202">
        <v>0.99902360000000001</v>
      </c>
      <c r="AB202">
        <v>35</v>
      </c>
      <c r="AC202">
        <v>173.43719999999999</v>
      </c>
      <c r="AD202">
        <v>-0.90543300000000004</v>
      </c>
      <c r="AE202">
        <v>-9.7778000000000098</v>
      </c>
      <c r="AF202">
        <v>7.68829940769937</v>
      </c>
      <c r="AG202">
        <v>-0.90543300000000004</v>
      </c>
      <c r="AH202">
        <v>173.53765648376299</v>
      </c>
      <c r="AI202">
        <v>90.298645169184198</v>
      </c>
      <c r="AJ202">
        <v>87.463263891078</v>
      </c>
      <c r="AK202">
        <v>173.710241421099</v>
      </c>
      <c r="AL202">
        <v>78.290520634702304</v>
      </c>
      <c r="AM202">
        <v>87.295260971971999</v>
      </c>
      <c r="AN202">
        <v>0.99999999403723505</v>
      </c>
    </row>
    <row r="203" spans="1:40" x14ac:dyDescent="0.25">
      <c r="A203" t="str">
        <f>"20190303170720258"</f>
        <v>20190303170720258</v>
      </c>
      <c r="B203" t="str">
        <f>"1551604040252012"</f>
        <v>1551604040252012</v>
      </c>
      <c r="C203" t="s">
        <v>40</v>
      </c>
      <c r="D203">
        <v>4.391699</v>
      </c>
      <c r="E203">
        <v>0.50200159999999905</v>
      </c>
      <c r="F203" t="s">
        <v>41</v>
      </c>
      <c r="G203">
        <v>-250.1806</v>
      </c>
      <c r="H203">
        <v>0.16204930000000001</v>
      </c>
      <c r="I203">
        <v>357.70260000000002</v>
      </c>
      <c r="J203">
        <v>-423.2543</v>
      </c>
      <c r="K203">
        <v>1.071464</v>
      </c>
      <c r="L203">
        <v>367.34550000000002</v>
      </c>
      <c r="M203">
        <v>0.99982570000000004</v>
      </c>
      <c r="N203">
        <v>-1.449318E-2</v>
      </c>
      <c r="O203">
        <v>-1.177895E-2</v>
      </c>
      <c r="P203">
        <v>0.98009650000000004</v>
      </c>
      <c r="Q203">
        <v>0.19013659999999999</v>
      </c>
      <c r="R203">
        <v>-5.7085690000000001E-2</v>
      </c>
      <c r="S203">
        <v>3.0532840000000001</v>
      </c>
      <c r="T203">
        <v>-1.600766E-2</v>
      </c>
      <c r="U203">
        <v>-0.16983029999999999</v>
      </c>
      <c r="V203">
        <v>4.544977E-2</v>
      </c>
      <c r="W203">
        <v>0.20434930000000001</v>
      </c>
      <c r="X203">
        <v>0.9778424</v>
      </c>
      <c r="Y203">
        <v>4.3768729999999999E-2</v>
      </c>
      <c r="Z203">
        <v>-5.4099949999999997E-4</v>
      </c>
      <c r="AA203">
        <v>0.99904159999999997</v>
      </c>
      <c r="AB203">
        <v>35</v>
      </c>
      <c r="AC203">
        <v>173.0737</v>
      </c>
      <c r="AD203">
        <v>-0.90941470000000002</v>
      </c>
      <c r="AE203">
        <v>-9.6428999999999903</v>
      </c>
      <c r="AF203">
        <v>7.6031812481351801</v>
      </c>
      <c r="AG203">
        <v>-0.90941470000000002</v>
      </c>
      <c r="AH203">
        <v>173.17051938797999</v>
      </c>
      <c r="AI203">
        <v>90.300599644853307</v>
      </c>
      <c r="AJ203">
        <v>87.486000517473599</v>
      </c>
      <c r="AK203">
        <v>173.33973631366601</v>
      </c>
      <c r="AL203">
        <v>78.208590113226194</v>
      </c>
      <c r="AM203">
        <v>87.338827627243106</v>
      </c>
      <c r="AN203">
        <v>1.00000003862065</v>
      </c>
    </row>
    <row r="204" spans="1:40" x14ac:dyDescent="0.25">
      <c r="A204" t="str">
        <f>"20190303170720281"</f>
        <v>20190303170720281</v>
      </c>
      <c r="B204" t="str">
        <f>"1551604040272509"</f>
        <v>1551604040272509</v>
      </c>
      <c r="C204" t="s">
        <v>40</v>
      </c>
      <c r="D204">
        <v>4.5476150000000004</v>
      </c>
      <c r="E204">
        <v>0.50192510000000001</v>
      </c>
      <c r="F204" t="s">
        <v>41</v>
      </c>
      <c r="G204">
        <v>-249.92080000000001</v>
      </c>
      <c r="H204">
        <v>0.36753249999999998</v>
      </c>
      <c r="I204">
        <v>357.88900000000001</v>
      </c>
      <c r="J204">
        <v>-422.90129999999999</v>
      </c>
      <c r="K204">
        <v>1.0715140000000001</v>
      </c>
      <c r="L204">
        <v>367.3417</v>
      </c>
      <c r="M204">
        <v>0.99982910000000003</v>
      </c>
      <c r="N204">
        <v>-1.451324E-2</v>
      </c>
      <c r="O204">
        <v>-1.1463599999999999E-2</v>
      </c>
      <c r="P204">
        <v>0.97987990000000003</v>
      </c>
      <c r="Q204">
        <v>0.1916861</v>
      </c>
      <c r="R204">
        <v>-5.5607169999999997E-2</v>
      </c>
      <c r="S204">
        <v>3.0536189999999999</v>
      </c>
      <c r="T204">
        <v>-1.239967E-2</v>
      </c>
      <c r="U204">
        <v>-0.16659549999999901</v>
      </c>
      <c r="V204">
        <v>4.4258779999999998E-2</v>
      </c>
      <c r="W204">
        <v>0.2059193</v>
      </c>
      <c r="X204">
        <v>0.97756759999999998</v>
      </c>
      <c r="Y204">
        <v>4.3023350000000002E-2</v>
      </c>
      <c r="Z204">
        <v>-5.195105E-4</v>
      </c>
      <c r="AA204">
        <v>0.99907389999999996</v>
      </c>
      <c r="AB204">
        <v>35</v>
      </c>
      <c r="AC204">
        <v>172.98049999999901</v>
      </c>
      <c r="AD204">
        <v>-0.70398149999999904</v>
      </c>
      <c r="AE204">
        <v>-9.4526999999999894</v>
      </c>
      <c r="AF204">
        <v>7.4687675467661698</v>
      </c>
      <c r="AG204">
        <v>-0.70398149999999904</v>
      </c>
      <c r="AH204">
        <v>173.07464653587601</v>
      </c>
      <c r="AI204">
        <v>90.232832732496604</v>
      </c>
      <c r="AJ204">
        <v>87.529022702029806</v>
      </c>
      <c r="AK204">
        <v>173.237153498141</v>
      </c>
      <c r="AL204">
        <v>78.116680777948304</v>
      </c>
      <c r="AM204">
        <v>87.4077385572878</v>
      </c>
      <c r="AN204">
        <v>1.00000000514466</v>
      </c>
    </row>
    <row r="205" spans="1:40" x14ac:dyDescent="0.25">
      <c r="A205" t="str">
        <f>"20190303170720303"</f>
        <v>20190303170720303</v>
      </c>
      <c r="B205" t="str">
        <f>"1551604040292032"</f>
        <v>1551604040292032</v>
      </c>
      <c r="C205" t="s">
        <v>40</v>
      </c>
      <c r="D205">
        <v>4.3512139999999997</v>
      </c>
      <c r="E205">
        <v>0.50203240000000005</v>
      </c>
      <c r="F205" t="s">
        <v>41</v>
      </c>
      <c r="G205">
        <v>-249.8537</v>
      </c>
      <c r="H205">
        <v>0.66723359999999998</v>
      </c>
      <c r="I205">
        <v>358.21460000000002</v>
      </c>
      <c r="J205">
        <v>-422.54969999999997</v>
      </c>
      <c r="K205">
        <v>1.071566</v>
      </c>
      <c r="L205">
        <v>367.33800000000002</v>
      </c>
      <c r="M205">
        <v>0.99983290000000002</v>
      </c>
      <c r="N205">
        <v>-1.4529759999999999E-2</v>
      </c>
      <c r="O205">
        <v>-1.10876E-2</v>
      </c>
      <c r="P205">
        <v>0.97989700000000002</v>
      </c>
      <c r="Q205">
        <v>0.19186310000000001</v>
      </c>
      <c r="R205">
        <v>-5.4688380000000002E-2</v>
      </c>
      <c r="S205">
        <v>3.0538940000000001</v>
      </c>
      <c r="T205">
        <v>-7.133126E-3</v>
      </c>
      <c r="U205">
        <v>-0.16107179999999999</v>
      </c>
      <c r="V205">
        <v>4.3683060000000003E-2</v>
      </c>
      <c r="W205">
        <v>0.20611760000000001</v>
      </c>
      <c r="X205">
        <v>0.97755170000000002</v>
      </c>
      <c r="Y205">
        <v>4.1593249999999998E-2</v>
      </c>
      <c r="Z205">
        <v>-4.8607529999999998E-4</v>
      </c>
      <c r="AA205">
        <v>0.99913450000000004</v>
      </c>
      <c r="AB205">
        <v>35</v>
      </c>
      <c r="AC205">
        <v>172.695999999999</v>
      </c>
      <c r="AD205">
        <v>-0.40433239999999998</v>
      </c>
      <c r="AE205">
        <v>-9.1234000000000002</v>
      </c>
      <c r="AF205">
        <v>7.2078132329289897</v>
      </c>
      <c r="AG205">
        <v>-0.40433239999999998</v>
      </c>
      <c r="AH205">
        <v>172.785605029067</v>
      </c>
      <c r="AI205">
        <v>90.133960044059194</v>
      </c>
      <c r="AJ205">
        <v>87.6112710480934</v>
      </c>
      <c r="AK205">
        <v>172.936350607821</v>
      </c>
      <c r="AL205">
        <v>78.105069894232798</v>
      </c>
      <c r="AM205">
        <v>87.441372133253196</v>
      </c>
      <c r="AN205">
        <v>1.0000000004667999</v>
      </c>
    </row>
    <row r="206" spans="1:40" x14ac:dyDescent="0.25">
      <c r="A206" t="str">
        <f>"20190303170720325"</f>
        <v>20190303170720325</v>
      </c>
      <c r="B206" t="str">
        <f>"1551604040312525"</f>
        <v>1551604040312525</v>
      </c>
      <c r="C206" t="s">
        <v>40</v>
      </c>
      <c r="D206">
        <v>4.5434400000000004</v>
      </c>
      <c r="E206">
        <v>0.50214979999999998</v>
      </c>
      <c r="F206" t="s">
        <v>44</v>
      </c>
      <c r="G206">
        <v>-169.2955</v>
      </c>
      <c r="H206">
        <v>0.49366379999999999</v>
      </c>
      <c r="I206">
        <v>354.12029999999999</v>
      </c>
      <c r="J206">
        <v>-422.23020000000002</v>
      </c>
      <c r="K206">
        <v>1.0716129999999999</v>
      </c>
      <c r="L206">
        <v>367.33479999999997</v>
      </c>
      <c r="M206">
        <v>0.99983719999999998</v>
      </c>
      <c r="N206">
        <v>-1.454223E-2</v>
      </c>
      <c r="O206">
        <v>-1.0691249999999999E-2</v>
      </c>
      <c r="P206">
        <v>0.97997160000000005</v>
      </c>
      <c r="Q206">
        <v>0.19183430000000001</v>
      </c>
      <c r="R206">
        <v>-5.3436070000000002E-2</v>
      </c>
      <c r="S206">
        <v>3.0540159999999998</v>
      </c>
      <c r="T206">
        <v>-6.9679019999999998E-3</v>
      </c>
      <c r="U206">
        <v>-0.15939329999999999</v>
      </c>
      <c r="V206">
        <v>4.2794680000000002E-2</v>
      </c>
      <c r="W206">
        <v>0.2061055</v>
      </c>
      <c r="X206">
        <v>0.9775935</v>
      </c>
      <c r="Y206">
        <v>4.1439620000000003E-2</v>
      </c>
      <c r="Z206">
        <v>-4.797944E-4</v>
      </c>
      <c r="AA206">
        <v>0.9991409</v>
      </c>
      <c r="AB206">
        <v>35</v>
      </c>
      <c r="AC206">
        <v>252.93469999999999</v>
      </c>
      <c r="AD206">
        <v>-0.57794919999999905</v>
      </c>
      <c r="AE206">
        <v>-13.2144999999999</v>
      </c>
      <c r="AF206">
        <v>10.5092160566331</v>
      </c>
      <c r="AG206">
        <v>-0.57794919999999905</v>
      </c>
      <c r="AH206">
        <v>253.06021774841801</v>
      </c>
      <c r="AI206">
        <v>90.130741509441606</v>
      </c>
      <c r="AJ206">
        <v>87.621957576194603</v>
      </c>
      <c r="AK206">
        <v>253.27899923657199</v>
      </c>
      <c r="AL206">
        <v>78.105777854992397</v>
      </c>
      <c r="AM206">
        <v>87.493446792465704</v>
      </c>
      <c r="AN206">
        <v>0.99999995650439999</v>
      </c>
    </row>
    <row r="207" spans="1:40" x14ac:dyDescent="0.25">
      <c r="A207" t="str">
        <f>"20190303170720349"</f>
        <v>20190303170720349</v>
      </c>
      <c r="B207" t="str">
        <f>"1551604040342146"</f>
        <v>1551604040342146</v>
      </c>
      <c r="C207" t="s">
        <v>40</v>
      </c>
      <c r="D207">
        <v>4.4054000000000002</v>
      </c>
      <c r="E207">
        <v>0.50230589999999997</v>
      </c>
      <c r="F207" t="s">
        <v>44</v>
      </c>
      <c r="G207">
        <v>-169.2955</v>
      </c>
      <c r="H207">
        <v>0.4704218</v>
      </c>
      <c r="I207">
        <v>354.36219999999997</v>
      </c>
      <c r="J207">
        <v>-421.85750000000002</v>
      </c>
      <c r="K207">
        <v>1.0716619999999999</v>
      </c>
      <c r="L207">
        <v>367.3313</v>
      </c>
      <c r="M207">
        <v>0.99984240000000002</v>
      </c>
      <c r="N207">
        <v>-1.455448E-2</v>
      </c>
      <c r="O207">
        <v>-1.016973E-2</v>
      </c>
      <c r="P207">
        <v>0.98007750000000005</v>
      </c>
      <c r="Q207">
        <v>0.1914884</v>
      </c>
      <c r="R207">
        <v>-5.2731060000000003E-2</v>
      </c>
      <c r="S207">
        <v>3.05423</v>
      </c>
      <c r="T207">
        <v>-7.2584149999999998E-3</v>
      </c>
      <c r="U207">
        <v>-0.1566467</v>
      </c>
      <c r="V207">
        <v>4.257271E-2</v>
      </c>
      <c r="W207">
        <v>0.2057784</v>
      </c>
      <c r="X207">
        <v>0.97767219999999999</v>
      </c>
      <c r="Y207">
        <v>4.1060949999999999E-2</v>
      </c>
      <c r="Z207">
        <v>-4.7157200000000002E-4</v>
      </c>
      <c r="AA207">
        <v>0.9991565</v>
      </c>
      <c r="AB207">
        <v>35</v>
      </c>
      <c r="AC207">
        <v>252.56200000000001</v>
      </c>
      <c r="AD207">
        <v>-0.6012402</v>
      </c>
      <c r="AE207">
        <v>-12.969099999999999</v>
      </c>
      <c r="AF207">
        <v>10.399611073518001</v>
      </c>
      <c r="AG207">
        <v>-0.6012402</v>
      </c>
      <c r="AH207">
        <v>252.67941450562</v>
      </c>
      <c r="AI207">
        <v>90.136217354855802</v>
      </c>
      <c r="AJ207">
        <v>87.643188616431701</v>
      </c>
      <c r="AK207">
        <v>252.89404879348399</v>
      </c>
      <c r="AL207">
        <v>78.124931067430495</v>
      </c>
      <c r="AM207">
        <v>87.506631951252501</v>
      </c>
      <c r="AN207">
        <v>1.0000000580980699</v>
      </c>
    </row>
    <row r="208" spans="1:40" x14ac:dyDescent="0.25">
      <c r="A208" t="str">
        <f>"20190303170720373"</f>
        <v>20190303170720373</v>
      </c>
      <c r="B208" t="str">
        <f>"1551604040362642"</f>
        <v>1551604040362642</v>
      </c>
      <c r="C208" t="s">
        <v>40</v>
      </c>
      <c r="D208">
        <v>4.5976229999999996</v>
      </c>
      <c r="E208">
        <v>0.50241369999999996</v>
      </c>
      <c r="F208" t="s">
        <v>44</v>
      </c>
      <c r="G208">
        <v>-169.2955</v>
      </c>
      <c r="H208">
        <v>0.35383799999999999</v>
      </c>
      <c r="I208">
        <v>354.4538</v>
      </c>
      <c r="J208">
        <v>-421.49009999999998</v>
      </c>
      <c r="K208">
        <v>1.0717099999999999</v>
      </c>
      <c r="L208">
        <v>367.32810000000001</v>
      </c>
      <c r="M208">
        <v>0.99984790000000001</v>
      </c>
      <c r="N208">
        <v>-1.456381E-2</v>
      </c>
      <c r="O208">
        <v>-9.5948060000000009E-3</v>
      </c>
      <c r="P208">
        <v>0.97997829999999997</v>
      </c>
      <c r="Q208">
        <v>0.19222629999999999</v>
      </c>
      <c r="R208">
        <v>-5.1880879999999997E-2</v>
      </c>
      <c r="S208">
        <v>3.0542910000000001</v>
      </c>
      <c r="T208">
        <v>-8.6797479999999993E-3</v>
      </c>
      <c r="U208">
        <v>-0.15573119999999999</v>
      </c>
      <c r="V208">
        <v>4.2262670000000002E-2</v>
      </c>
      <c r="W208">
        <v>0.2065282</v>
      </c>
      <c r="X208">
        <v>0.97752749999999999</v>
      </c>
      <c r="Y208">
        <v>4.1335450000000003E-2</v>
      </c>
      <c r="Z208">
        <v>-4.723296E-4</v>
      </c>
      <c r="AA208">
        <v>0.99914519999999996</v>
      </c>
      <c r="AB208">
        <v>35</v>
      </c>
      <c r="AC208">
        <v>252.19460000000001</v>
      </c>
      <c r="AD208">
        <v>-0.71787199999999995</v>
      </c>
      <c r="AE208">
        <v>-12.8743</v>
      </c>
      <c r="AF208">
        <v>10.453607836299501</v>
      </c>
      <c r="AG208">
        <v>-0.71787199999999995</v>
      </c>
      <c r="AH208">
        <v>252.30448922865401</v>
      </c>
      <c r="AI208">
        <v>90.162881234438103</v>
      </c>
      <c r="AJ208">
        <v>87.6274491359313</v>
      </c>
      <c r="AK208">
        <v>252.52197635440601</v>
      </c>
      <c r="AL208">
        <v>78.081027197759198</v>
      </c>
      <c r="AM208">
        <v>87.5244015411497</v>
      </c>
      <c r="AN208">
        <v>1.0000000219634999</v>
      </c>
    </row>
    <row r="209" spans="1:40" x14ac:dyDescent="0.25">
      <c r="A209" t="str">
        <f>"20190303170720395"</f>
        <v>20190303170720395</v>
      </c>
      <c r="B209" t="str">
        <f>"1551604040382163"</f>
        <v>1551604040382163</v>
      </c>
      <c r="C209" t="s">
        <v>40</v>
      </c>
      <c r="D209">
        <v>4.5966389999999997</v>
      </c>
      <c r="E209">
        <v>0.50257429999999903</v>
      </c>
      <c r="F209" t="s">
        <v>44</v>
      </c>
      <c r="G209">
        <v>-169.2955</v>
      </c>
      <c r="H209">
        <v>0.51691909999999996</v>
      </c>
      <c r="I209">
        <v>354.63150000000002</v>
      </c>
      <c r="J209">
        <v>-421.1352</v>
      </c>
      <c r="K209">
        <v>1.0717589999999999</v>
      </c>
      <c r="L209">
        <v>367.32530000000003</v>
      </c>
      <c r="M209">
        <v>0.99985349999999995</v>
      </c>
      <c r="N209">
        <v>-1.4570960000000001E-2</v>
      </c>
      <c r="O209">
        <v>-9.0021570000000002E-3</v>
      </c>
      <c r="P209">
        <v>0.97989910000000002</v>
      </c>
      <c r="Q209">
        <v>0.192685</v>
      </c>
      <c r="R209">
        <v>-5.167625E-2</v>
      </c>
      <c r="S209">
        <v>3.0545040000000001</v>
      </c>
      <c r="T209">
        <v>-6.7183969999999897E-3</v>
      </c>
      <c r="U209">
        <v>-0.1537781</v>
      </c>
      <c r="V209">
        <v>4.2620529999999997E-2</v>
      </c>
      <c r="W209">
        <v>0.2069966</v>
      </c>
      <c r="X209">
        <v>0.97741290000000003</v>
      </c>
      <c r="Y209">
        <v>4.128718E-2</v>
      </c>
      <c r="Z209">
        <v>-4.5769989999999998E-4</v>
      </c>
      <c r="AA209">
        <v>0.99914720000000001</v>
      </c>
      <c r="AB209">
        <v>35</v>
      </c>
      <c r="AC209">
        <v>251.83969999999999</v>
      </c>
      <c r="AD209">
        <v>-0.55483989999999905</v>
      </c>
      <c r="AE209">
        <v>-12.6938</v>
      </c>
      <c r="AF209">
        <v>10.425894256891899</v>
      </c>
      <c r="AG209">
        <v>-0.55483989999999905</v>
      </c>
      <c r="AH209">
        <v>251.942557130224</v>
      </c>
      <c r="AI209">
        <v>90.1260713904461</v>
      </c>
      <c r="AJ209">
        <v>87.630336422883303</v>
      </c>
      <c r="AK209">
        <v>252.15879760913899</v>
      </c>
      <c r="AL209">
        <v>78.0535973365931</v>
      </c>
      <c r="AM209">
        <v>87.5031734290271</v>
      </c>
      <c r="AN209">
        <v>1.00000003953772</v>
      </c>
    </row>
    <row r="210" spans="1:40" x14ac:dyDescent="0.25">
      <c r="A210" t="str">
        <f>"20190303170720439"</f>
        <v>20190303170720439</v>
      </c>
      <c r="B210" t="str">
        <f>"1551604040431938"</f>
        <v>1551604040431938</v>
      </c>
      <c r="C210" t="s">
        <v>40</v>
      </c>
      <c r="D210">
        <v>4.4265829999999999</v>
      </c>
      <c r="E210">
        <v>0.50295670000000003</v>
      </c>
      <c r="F210" t="s">
        <v>44</v>
      </c>
      <c r="G210">
        <v>-169.2955</v>
      </c>
      <c r="H210">
        <v>0.58124069999999906</v>
      </c>
      <c r="I210">
        <v>354.59399999999999</v>
      </c>
      <c r="J210">
        <v>-420.47699999999998</v>
      </c>
      <c r="K210">
        <v>1.0718099999999999</v>
      </c>
      <c r="L210">
        <v>367.32069999999999</v>
      </c>
      <c r="M210">
        <v>0.9998631</v>
      </c>
      <c r="N210">
        <v>-1.458022E-2</v>
      </c>
      <c r="O210">
        <v>-7.8410379999999998E-3</v>
      </c>
      <c r="P210">
        <v>0.9798017</v>
      </c>
      <c r="Q210">
        <v>0.19317770000000001</v>
      </c>
      <c r="R210">
        <v>-5.1685269999999998E-2</v>
      </c>
      <c r="S210">
        <v>3.0545650000000002</v>
      </c>
      <c r="T210">
        <v>-5.9484239999999999E-3</v>
      </c>
      <c r="U210">
        <v>-0.1544189</v>
      </c>
      <c r="V210">
        <v>4.374521E-2</v>
      </c>
      <c r="W210">
        <v>0.2075022</v>
      </c>
      <c r="X210">
        <v>0.97725589999999996</v>
      </c>
      <c r="Y210">
        <v>4.2655539999999999E-2</v>
      </c>
      <c r="Z210">
        <v>-4.516934E-4</v>
      </c>
      <c r="AA210">
        <v>0.99908969999999997</v>
      </c>
      <c r="AB210">
        <v>34</v>
      </c>
      <c r="AC210">
        <v>251.1815</v>
      </c>
      <c r="AD210">
        <v>-0.49056929999999999</v>
      </c>
      <c r="AE210">
        <v>-12.7266999999999</v>
      </c>
      <c r="AF210">
        <v>10.7565349715948</v>
      </c>
      <c r="AG210">
        <v>-0.49056929999999999</v>
      </c>
      <c r="AH210">
        <v>251.272621821032</v>
      </c>
      <c r="AI210">
        <v>90.111758279953705</v>
      </c>
      <c r="AJ210">
        <v>87.548765970363107</v>
      </c>
      <c r="AK210">
        <v>251.50322896465701</v>
      </c>
      <c r="AL210">
        <v>78.023984581659406</v>
      </c>
      <c r="AM210">
        <v>87.436962175027006</v>
      </c>
      <c r="AN210">
        <v>0.99999995024379496</v>
      </c>
    </row>
    <row r="211" spans="1:40" x14ac:dyDescent="0.25">
      <c r="A211" t="str">
        <f>"20190303170720460"</f>
        <v>20190303170720460</v>
      </c>
      <c r="B211" t="str">
        <f>"1551604040451965"</f>
        <v>1551604040451965</v>
      </c>
      <c r="C211" t="s">
        <v>40</v>
      </c>
      <c r="D211">
        <v>4.5441370000000001</v>
      </c>
      <c r="E211">
        <v>0.50311130000000004</v>
      </c>
      <c r="F211" t="s">
        <v>44</v>
      </c>
      <c r="G211">
        <v>-169.2955</v>
      </c>
      <c r="H211">
        <v>0.61709789999999998</v>
      </c>
      <c r="I211">
        <v>354.33429999999998</v>
      </c>
      <c r="J211">
        <v>-420.13979999999998</v>
      </c>
      <c r="K211">
        <v>1.07182</v>
      </c>
      <c r="L211">
        <v>367.31869999999998</v>
      </c>
      <c r="M211">
        <v>0.99986770000000003</v>
      </c>
      <c r="N211">
        <v>-1.458333E-2</v>
      </c>
      <c r="O211">
        <v>-7.2313489999999998E-3</v>
      </c>
      <c r="P211">
        <v>0.97990849999999996</v>
      </c>
      <c r="Q211">
        <v>0.1925704</v>
      </c>
      <c r="R211">
        <v>-5.1924900000000003E-2</v>
      </c>
      <c r="S211">
        <v>3.0546259999999998</v>
      </c>
      <c r="T211">
        <v>-5.5286880000000004E-3</v>
      </c>
      <c r="U211">
        <v>-0.1579285</v>
      </c>
      <c r="V211">
        <v>4.4575459999999997E-2</v>
      </c>
      <c r="W211">
        <v>0.2069018</v>
      </c>
      <c r="X211">
        <v>0.97734569999999998</v>
      </c>
      <c r="Y211">
        <v>4.4408549999999998E-2</v>
      </c>
      <c r="Z211">
        <v>-4.5652939999999998E-4</v>
      </c>
      <c r="AA211">
        <v>0.99901340000000005</v>
      </c>
      <c r="AB211">
        <v>34</v>
      </c>
      <c r="AC211">
        <v>250.8443</v>
      </c>
      <c r="AD211">
        <v>-0.45472209999999902</v>
      </c>
      <c r="AE211">
        <v>-12.9843999999999</v>
      </c>
      <c r="AF211">
        <v>11.1698885735241</v>
      </c>
      <c r="AG211">
        <v>-0.45472209999999902</v>
      </c>
      <c r="AH211">
        <v>250.93082220556599</v>
      </c>
      <c r="AI211">
        <v>90.103725219631002</v>
      </c>
      <c r="AJ211">
        <v>87.451228742307606</v>
      </c>
      <c r="AK211">
        <v>251.179717962447</v>
      </c>
      <c r="AL211">
        <v>78.059148344313698</v>
      </c>
      <c r="AM211">
        <v>87.388624064928706</v>
      </c>
      <c r="AN211">
        <v>0.99999997189296996</v>
      </c>
    </row>
    <row r="212" spans="1:40" x14ac:dyDescent="0.25">
      <c r="A212" t="str">
        <f>"20190303170720482"</f>
        <v>20190303170720482</v>
      </c>
      <c r="B212" t="str">
        <f>"1551604040472461"</f>
        <v>1551604040472461</v>
      </c>
      <c r="C212" t="s">
        <v>40</v>
      </c>
      <c r="D212">
        <v>4.4388620000000003</v>
      </c>
      <c r="E212">
        <v>0.50688250000000001</v>
      </c>
      <c r="F212" t="s">
        <v>44</v>
      </c>
      <c r="G212">
        <v>-169.2955</v>
      </c>
      <c r="H212">
        <v>0.40475939999999999</v>
      </c>
      <c r="I212">
        <v>354.21440000000001</v>
      </c>
      <c r="J212">
        <v>-419.80520000000001</v>
      </c>
      <c r="K212">
        <v>1.0718259999999999</v>
      </c>
      <c r="L212">
        <v>367.31689999999998</v>
      </c>
      <c r="M212">
        <v>0.99987190000000004</v>
      </c>
      <c r="N212">
        <v>-1.4585320000000001E-2</v>
      </c>
      <c r="O212">
        <v>-6.6237500000000003E-3</v>
      </c>
      <c r="P212">
        <v>0.97990969999999999</v>
      </c>
      <c r="Q212">
        <v>0.1924797</v>
      </c>
      <c r="R212">
        <v>-5.2240309999999998E-2</v>
      </c>
      <c r="S212">
        <v>3.0546259999999998</v>
      </c>
      <c r="T212">
        <v>-8.1219669999999904E-3</v>
      </c>
      <c r="U212">
        <v>-0.15957639999999901</v>
      </c>
      <c r="V212">
        <v>4.5481800000000003E-2</v>
      </c>
      <c r="W212">
        <v>0.2068151</v>
      </c>
      <c r="X212">
        <v>0.97732229999999998</v>
      </c>
      <c r="Y212">
        <v>4.5552599999999999E-2</v>
      </c>
      <c r="Z212">
        <v>-4.7192110000000002E-4</v>
      </c>
      <c r="AA212">
        <v>0.99896180000000001</v>
      </c>
      <c r="AB212">
        <v>34</v>
      </c>
      <c r="AC212">
        <v>250.50970000000001</v>
      </c>
      <c r="AD212">
        <v>-0.66706659999999995</v>
      </c>
      <c r="AE212">
        <v>-13.1024999999999</v>
      </c>
      <c r="AF212">
        <v>11.4426417933533</v>
      </c>
      <c r="AG212">
        <v>-0.66706659999999995</v>
      </c>
      <c r="AH212">
        <v>250.58922822593701</v>
      </c>
      <c r="AI212">
        <v>90.152361802868995</v>
      </c>
      <c r="AJ212">
        <v>87.385522195796796</v>
      </c>
      <c r="AK212">
        <v>250.85123147381699</v>
      </c>
      <c r="AL212">
        <v>78.064225792278606</v>
      </c>
      <c r="AM212">
        <v>87.335539760779994</v>
      </c>
      <c r="AN212">
        <v>0.99999997889826897</v>
      </c>
    </row>
    <row r="213" spans="1:40" x14ac:dyDescent="0.25">
      <c r="A213" t="str">
        <f>"20190303170720505"</f>
        <v>20190303170720505</v>
      </c>
      <c r="B213" t="str">
        <f>"1551604040491981"</f>
        <v>1551604040491981</v>
      </c>
      <c r="C213" t="s">
        <v>40</v>
      </c>
      <c r="D213">
        <v>4.4389099999999999</v>
      </c>
      <c r="E213">
        <v>0.50722</v>
      </c>
      <c r="F213" t="s">
        <v>46</v>
      </c>
      <c r="G213">
        <v>-271.82839999999999</v>
      </c>
      <c r="H213">
        <v>-0.05</v>
      </c>
      <c r="I213">
        <v>358.0942</v>
      </c>
      <c r="J213">
        <v>-419.44920000000002</v>
      </c>
      <c r="K213">
        <v>1.0718369999999999</v>
      </c>
      <c r="L213">
        <v>367.3152</v>
      </c>
      <c r="M213">
        <v>0.99987599999999999</v>
      </c>
      <c r="N213">
        <v>-1.458663E-2</v>
      </c>
      <c r="O213">
        <v>-5.9776830000000001E-3</v>
      </c>
      <c r="P213">
        <v>0.98000600000000004</v>
      </c>
      <c r="Q213">
        <v>0.1920606</v>
      </c>
      <c r="R213">
        <v>-5.1976010000000003E-2</v>
      </c>
      <c r="S213">
        <v>3.0559080000000001</v>
      </c>
      <c r="T213">
        <v>-2.3167130000000001E-2</v>
      </c>
      <c r="U213">
        <v>-0.1904602</v>
      </c>
      <c r="V213">
        <v>4.5847249999999999E-2</v>
      </c>
      <c r="W213">
        <v>0.20639940000000001</v>
      </c>
      <c r="X213">
        <v>0.97739319999999996</v>
      </c>
      <c r="Y213">
        <v>5.6232110000000002E-2</v>
      </c>
      <c r="Z213">
        <v>-6.6534549999999997E-4</v>
      </c>
      <c r="AA213">
        <v>0.99841749999999996</v>
      </c>
      <c r="AB213">
        <v>34</v>
      </c>
      <c r="AC213">
        <v>147.6208</v>
      </c>
      <c r="AD213">
        <v>-1.121837</v>
      </c>
      <c r="AE213">
        <v>-9.2210000000000001</v>
      </c>
      <c r="AF213">
        <v>8.3378315556220901</v>
      </c>
      <c r="AG213">
        <v>-1.121837</v>
      </c>
      <c r="AH213">
        <v>147.664793296375</v>
      </c>
      <c r="AI213">
        <v>90.434586151794605</v>
      </c>
      <c r="AJ213">
        <v>86.768249105347294</v>
      </c>
      <c r="AK213">
        <v>147.90425664113201</v>
      </c>
      <c r="AL213">
        <v>78.088570037760206</v>
      </c>
      <c r="AM213">
        <v>87.3143563739266</v>
      </c>
      <c r="AN213">
        <v>1.0000000750295699</v>
      </c>
    </row>
    <row r="214" spans="1:40" x14ac:dyDescent="0.25">
      <c r="A214" t="str">
        <f>"20190303170720526"</f>
        <v>20190303170720526</v>
      </c>
      <c r="B214" t="str">
        <f>"1551604040512477"</f>
        <v>1551604040512477</v>
      </c>
      <c r="C214" t="s">
        <v>40</v>
      </c>
      <c r="D214">
        <v>4.4380769999999998</v>
      </c>
      <c r="E214">
        <v>0.50731499999999996</v>
      </c>
      <c r="F214" t="s">
        <v>46</v>
      </c>
      <c r="G214">
        <v>-295.1875</v>
      </c>
      <c r="H214">
        <v>-0.05</v>
      </c>
      <c r="I214">
        <v>359.52100000000002</v>
      </c>
      <c r="J214">
        <v>-419.13440000000003</v>
      </c>
      <c r="K214">
        <v>1.0718430000000001</v>
      </c>
      <c r="L214">
        <v>367.31380000000001</v>
      </c>
      <c r="M214">
        <v>0.99987910000000002</v>
      </c>
      <c r="N214">
        <v>-1.458717E-2</v>
      </c>
      <c r="O214">
        <v>-5.4080639999999998E-3</v>
      </c>
      <c r="P214">
        <v>0.9800584</v>
      </c>
      <c r="Q214">
        <v>0.19186539999999999</v>
      </c>
      <c r="R214">
        <v>-5.170491E-2</v>
      </c>
      <c r="S214">
        <v>3.0564269999999998</v>
      </c>
      <c r="T214">
        <v>-2.7593489999999998E-2</v>
      </c>
      <c r="U214">
        <v>-0.1917114</v>
      </c>
      <c r="V214">
        <v>4.6132409999999999E-2</v>
      </c>
      <c r="W214">
        <v>0.20620620000000001</v>
      </c>
      <c r="X214">
        <v>0.97742050000000003</v>
      </c>
      <c r="Y214">
        <v>5.719606E-2</v>
      </c>
      <c r="Z214">
        <v>-7.0558980000000001E-4</v>
      </c>
      <c r="AA214">
        <v>0.99836270000000005</v>
      </c>
      <c r="AB214">
        <v>34</v>
      </c>
      <c r="AC214">
        <v>123.9469</v>
      </c>
      <c r="AD214">
        <v>-1.1218429999999999</v>
      </c>
      <c r="AE214">
        <v>-7.7928000000000504</v>
      </c>
      <c r="AF214">
        <v>7.1217208854729996</v>
      </c>
      <c r="AG214">
        <v>-1.1218429999999999</v>
      </c>
      <c r="AH214">
        <v>123.977119210335</v>
      </c>
      <c r="AI214">
        <v>90.517590144881098</v>
      </c>
      <c r="AJ214">
        <v>86.712323872727197</v>
      </c>
      <c r="AK214">
        <v>124.18656742088</v>
      </c>
      <c r="AL214">
        <v>78.099882217610002</v>
      </c>
      <c r="AM214">
        <v>87.297752300661998</v>
      </c>
      <c r="AN214">
        <v>1.0000000149955399</v>
      </c>
    </row>
    <row r="215" spans="1:40" x14ac:dyDescent="0.25">
      <c r="A215" t="str">
        <f>"20190303170720550"</f>
        <v>20190303170720550</v>
      </c>
      <c r="B215" t="str">
        <f>"1551604040542264"</f>
        <v>1551604040542264</v>
      </c>
      <c r="C215" t="s">
        <v>40</v>
      </c>
      <c r="D215">
        <v>4.6035570000000003</v>
      </c>
      <c r="E215">
        <v>0.50758630000000005</v>
      </c>
      <c r="F215" t="s">
        <v>46</v>
      </c>
      <c r="G215">
        <v>-288.42419999999998</v>
      </c>
      <c r="H215">
        <v>-0.05</v>
      </c>
      <c r="I215">
        <v>359.1037</v>
      </c>
      <c r="J215">
        <v>-418.77550000000002</v>
      </c>
      <c r="K215">
        <v>1.0718379999999901</v>
      </c>
      <c r="L215">
        <v>367.31259999999997</v>
      </c>
      <c r="M215">
        <v>0.99988239999999995</v>
      </c>
      <c r="N215">
        <v>-1.458715E-2</v>
      </c>
      <c r="O215">
        <v>-4.7606159999999996E-3</v>
      </c>
      <c r="P215">
        <v>0.98023579999999999</v>
      </c>
      <c r="Q215">
        <v>0.19121640000000001</v>
      </c>
      <c r="R215">
        <v>-5.0737770000000001E-2</v>
      </c>
      <c r="S215">
        <v>3.0560299999999998</v>
      </c>
      <c r="T215">
        <v>-2.6228899999999999E-2</v>
      </c>
      <c r="U215">
        <v>-0.1919556</v>
      </c>
      <c r="V215">
        <v>4.5798510000000001E-2</v>
      </c>
      <c r="W215">
        <v>0.20555899999999999</v>
      </c>
      <c r="X215">
        <v>0.97757249999999996</v>
      </c>
      <c r="Y215">
        <v>5.79304E-2</v>
      </c>
      <c r="Z215">
        <v>-6.9989520000000003E-4</v>
      </c>
      <c r="AA215">
        <v>0.9983204</v>
      </c>
      <c r="AB215">
        <v>34</v>
      </c>
      <c r="AC215">
        <v>130.35130000000001</v>
      </c>
      <c r="AD215">
        <v>-1.1218379999999999</v>
      </c>
      <c r="AE215">
        <v>-8.2088999999999697</v>
      </c>
      <c r="AF215">
        <v>7.5876287438801597</v>
      </c>
      <c r="AG215">
        <v>-1.1218379999999999</v>
      </c>
      <c r="AH215">
        <v>130.37928738286601</v>
      </c>
      <c r="AI215">
        <v>90.492152045096304</v>
      </c>
      <c r="AJ215">
        <v>86.669338284909998</v>
      </c>
      <c r="AK215">
        <v>130.60470592179001</v>
      </c>
      <c r="AL215">
        <v>78.137775665114603</v>
      </c>
      <c r="AM215">
        <v>87.317698637516102</v>
      </c>
      <c r="AN215">
        <v>0.99999999937773498</v>
      </c>
    </row>
    <row r="216" spans="1:40" x14ac:dyDescent="0.25">
      <c r="A216" t="str">
        <f>"20190303170720573"</f>
        <v>20190303170720573</v>
      </c>
      <c r="B216" t="str">
        <f>"1551604040562760"</f>
        <v>1551604040562760</v>
      </c>
      <c r="C216" t="s">
        <v>40</v>
      </c>
      <c r="D216">
        <v>4.6610180000000003</v>
      </c>
      <c r="E216">
        <v>0.50776270000000001</v>
      </c>
      <c r="F216" t="s">
        <v>46</v>
      </c>
      <c r="G216">
        <v>-307.06959999999998</v>
      </c>
      <c r="H216">
        <v>-0.05</v>
      </c>
      <c r="I216">
        <v>360.3442</v>
      </c>
      <c r="J216">
        <v>-418.4237</v>
      </c>
      <c r="K216">
        <v>1.071833</v>
      </c>
      <c r="L216">
        <v>367.3116</v>
      </c>
      <c r="M216">
        <v>0.99988520000000003</v>
      </c>
      <c r="N216">
        <v>-1.458661E-2</v>
      </c>
      <c r="O216">
        <v>-4.1268989999999998E-3</v>
      </c>
      <c r="P216">
        <v>0.98031140000000005</v>
      </c>
      <c r="Q216">
        <v>0.19107979999999999</v>
      </c>
      <c r="R216">
        <v>-4.9782079999999999E-2</v>
      </c>
      <c r="S216">
        <v>3.05661</v>
      </c>
      <c r="T216">
        <v>-3.0696870000000001E-2</v>
      </c>
      <c r="U216">
        <v>-0.1906738</v>
      </c>
      <c r="V216">
        <v>4.5463160000000002E-2</v>
      </c>
      <c r="W216">
        <v>0.2054223</v>
      </c>
      <c r="X216">
        <v>0.97761690000000001</v>
      </c>
      <c r="Y216">
        <v>5.8132799999999998E-2</v>
      </c>
      <c r="Z216">
        <v>-7.3479939999999998E-4</v>
      </c>
      <c r="AA216">
        <v>0.99830859999999999</v>
      </c>
      <c r="AB216">
        <v>34</v>
      </c>
      <c r="AC216">
        <v>111.3541</v>
      </c>
      <c r="AD216">
        <v>-1.1218330000000001</v>
      </c>
      <c r="AE216">
        <v>-6.9673999999999898</v>
      </c>
      <c r="AF216">
        <v>6.5070868235644896</v>
      </c>
      <c r="AG216">
        <v>-1.1218330000000001</v>
      </c>
      <c r="AH216">
        <v>111.370648887988</v>
      </c>
      <c r="AI216">
        <v>90.576136555267198</v>
      </c>
      <c r="AJ216">
        <v>86.656163588837202</v>
      </c>
      <c r="AK216">
        <v>111.56622303341101</v>
      </c>
      <c r="AL216">
        <v>78.145778940604004</v>
      </c>
      <c r="AM216">
        <v>87.337431613308695</v>
      </c>
      <c r="AN216">
        <v>1.00000001171004</v>
      </c>
    </row>
    <row r="217" spans="1:40" x14ac:dyDescent="0.25">
      <c r="A217" t="str">
        <f>"20190303170720595"</f>
        <v>20190303170720595</v>
      </c>
      <c r="B217" t="str">
        <f>"1551604040582281"</f>
        <v>1551604040582281</v>
      </c>
      <c r="C217" t="s">
        <v>40</v>
      </c>
      <c r="D217">
        <v>4.4330730000000003</v>
      </c>
      <c r="E217">
        <v>0.51582589999999995</v>
      </c>
      <c r="F217" t="s">
        <v>46</v>
      </c>
      <c r="G217">
        <v>-302.25830000000002</v>
      </c>
      <c r="H217">
        <v>-0.05</v>
      </c>
      <c r="I217">
        <v>360.12259999999998</v>
      </c>
      <c r="J217">
        <v>-418.07749999999999</v>
      </c>
      <c r="K217">
        <v>1.071842</v>
      </c>
      <c r="L217">
        <v>367.31079999999997</v>
      </c>
      <c r="M217">
        <v>0.99988750000000004</v>
      </c>
      <c r="N217">
        <v>-1.4585590000000001E-2</v>
      </c>
      <c r="O217">
        <v>-3.5038030000000002E-3</v>
      </c>
      <c r="P217">
        <v>0.98044200000000004</v>
      </c>
      <c r="Q217">
        <v>0.19067500000000001</v>
      </c>
      <c r="R217">
        <v>-4.8751620000000002E-2</v>
      </c>
      <c r="S217">
        <v>3.0563959999999999</v>
      </c>
      <c r="T217">
        <v>-2.9516219999999999E-2</v>
      </c>
      <c r="U217">
        <v>-0.18914790000000001</v>
      </c>
      <c r="V217">
        <v>4.5043220000000002E-2</v>
      </c>
      <c r="W217">
        <v>0.2050177</v>
      </c>
      <c r="X217">
        <v>0.97772130000000002</v>
      </c>
      <c r="Y217">
        <v>5.8263139999999998E-2</v>
      </c>
      <c r="Z217">
        <v>-7.2366679999999895E-4</v>
      </c>
      <c r="AA217">
        <v>0.99830099999999999</v>
      </c>
      <c r="AB217">
        <v>34</v>
      </c>
      <c r="AC217">
        <v>115.819199999999</v>
      </c>
      <c r="AD217">
        <v>-1.121842</v>
      </c>
      <c r="AE217">
        <v>-7.1881999999999904</v>
      </c>
      <c r="AF217">
        <v>6.7816712149388296</v>
      </c>
      <c r="AG217">
        <v>-1.121842</v>
      </c>
      <c r="AH217">
        <v>115.832851718735</v>
      </c>
      <c r="AI217">
        <v>90.553944165172894</v>
      </c>
      <c r="AJ217">
        <v>86.649326340244798</v>
      </c>
      <c r="AK217">
        <v>116.036628403427</v>
      </c>
      <c r="AL217">
        <v>78.169465345273295</v>
      </c>
      <c r="AM217">
        <v>87.362271951402107</v>
      </c>
      <c r="AN217">
        <v>1.0000000447274699</v>
      </c>
    </row>
    <row r="218" spans="1:40" x14ac:dyDescent="0.25">
      <c r="A218" t="str">
        <f>"20190303170720617"</f>
        <v>20190303170720617</v>
      </c>
      <c r="B218" t="str">
        <f>"1551604040612537"</f>
        <v>1551604040612537</v>
      </c>
      <c r="C218" t="s">
        <v>40</v>
      </c>
      <c r="D218">
        <v>4.6029350000000004</v>
      </c>
      <c r="E218">
        <v>0.51684779999999997</v>
      </c>
      <c r="F218" t="s">
        <v>46</v>
      </c>
      <c r="G218">
        <v>-296.42110000000002</v>
      </c>
      <c r="H218">
        <v>-0.05</v>
      </c>
      <c r="I218">
        <v>357.34960000000001</v>
      </c>
      <c r="J218">
        <v>-417.76420000000002</v>
      </c>
      <c r="K218">
        <v>1.071847</v>
      </c>
      <c r="L218">
        <v>367.31029999999998</v>
      </c>
      <c r="M218">
        <v>0.99988949999999999</v>
      </c>
      <c r="N218">
        <v>-1.458432E-2</v>
      </c>
      <c r="O218">
        <v>-2.9400799999999999E-3</v>
      </c>
      <c r="P218">
        <v>0.98050979999999999</v>
      </c>
      <c r="Q218">
        <v>0.19066230000000001</v>
      </c>
      <c r="R218">
        <v>-4.7421579999999998E-2</v>
      </c>
      <c r="S218">
        <v>3.0528870000000001</v>
      </c>
      <c r="T218">
        <v>-2.8151869999999999E-2</v>
      </c>
      <c r="U218">
        <v>-0.24996950000000001</v>
      </c>
      <c r="V218">
        <v>4.4265619999999999E-2</v>
      </c>
      <c r="W218">
        <v>0.2050032</v>
      </c>
      <c r="X218">
        <v>0.97775979999999996</v>
      </c>
      <c r="Y218">
        <v>7.8667100000000004E-2</v>
      </c>
      <c r="Z218">
        <v>-9.5251669999999995E-4</v>
      </c>
      <c r="AA218">
        <v>0.99690049999999997</v>
      </c>
      <c r="AB218">
        <v>34</v>
      </c>
      <c r="AC218">
        <v>121.34310000000001</v>
      </c>
      <c r="AD218">
        <v>-1.121847</v>
      </c>
      <c r="AE218">
        <v>-9.9606999999999708</v>
      </c>
      <c r="AF218">
        <v>9.6030453124776898</v>
      </c>
      <c r="AG218">
        <v>-1.121847</v>
      </c>
      <c r="AH218">
        <v>121.361559902496</v>
      </c>
      <c r="AI218">
        <v>90.527967832635497</v>
      </c>
      <c r="AJ218">
        <v>85.475750856405398</v>
      </c>
      <c r="AK218">
        <v>121.746068691896</v>
      </c>
      <c r="AL218">
        <v>78.170313528066501</v>
      </c>
      <c r="AM218">
        <v>87.407847430203603</v>
      </c>
      <c r="AN218">
        <v>0.99999999181013199</v>
      </c>
    </row>
    <row r="219" spans="1:40" x14ac:dyDescent="0.25">
      <c r="A219" t="str">
        <f>"20190303170720648"</f>
        <v>20190303170720648</v>
      </c>
      <c r="B219" t="str">
        <f>"1551604040641816"</f>
        <v>1551604040641816</v>
      </c>
      <c r="C219" t="s">
        <v>40</v>
      </c>
      <c r="D219">
        <v>4.6606009999999998</v>
      </c>
      <c r="E219">
        <v>0.51729559999999997</v>
      </c>
      <c r="F219" t="s">
        <v>46</v>
      </c>
      <c r="G219">
        <v>-306.4153</v>
      </c>
      <c r="H219">
        <v>-0.05</v>
      </c>
      <c r="I219">
        <v>358.053</v>
      </c>
      <c r="J219">
        <v>-417.26319999999998</v>
      </c>
      <c r="K219">
        <v>1.0718479999999999</v>
      </c>
      <c r="L219">
        <v>367.3098</v>
      </c>
      <c r="M219">
        <v>0.99989159999999999</v>
      </c>
      <c r="N219">
        <v>-1.4581729999999999E-2</v>
      </c>
      <c r="O219">
        <v>-2.0379389999999999E-3</v>
      </c>
      <c r="P219">
        <v>0.98072139999999997</v>
      </c>
      <c r="Q219">
        <v>0.19002910000000001</v>
      </c>
      <c r="R219">
        <v>-4.554739E-2</v>
      </c>
      <c r="S219">
        <v>3.0533139999999999</v>
      </c>
      <c r="T219">
        <v>-3.0762310000000001E-2</v>
      </c>
      <c r="U219">
        <v>-0.25384519999999999</v>
      </c>
      <c r="V219">
        <v>4.3276870000000002E-2</v>
      </c>
      <c r="W219">
        <v>0.20436889999999999</v>
      </c>
      <c r="X219">
        <v>0.9779369</v>
      </c>
      <c r="Y219">
        <v>8.0810469999999995E-2</v>
      </c>
      <c r="Z219">
        <v>-1.0058059999999999E-3</v>
      </c>
      <c r="AA219">
        <v>0.99672899999999998</v>
      </c>
      <c r="AB219">
        <v>34</v>
      </c>
      <c r="AC219">
        <v>110.847899999999</v>
      </c>
      <c r="AD219">
        <v>-1.121848</v>
      </c>
      <c r="AE219">
        <v>-9.2567999999999397</v>
      </c>
      <c r="AF219">
        <v>9.0299369926060198</v>
      </c>
      <c r="AG219">
        <v>-1.121848</v>
      </c>
      <c r="AH219">
        <v>110.85526066310101</v>
      </c>
      <c r="AI219">
        <v>90.577895815652795</v>
      </c>
      <c r="AJ219">
        <v>85.343139314598602</v>
      </c>
      <c r="AK219">
        <v>111.228086029157</v>
      </c>
      <c r="AL219">
        <v>78.207443132010795</v>
      </c>
      <c r="AM219">
        <v>87.466129693978004</v>
      </c>
      <c r="AN219">
        <v>1.0000000575729</v>
      </c>
    </row>
    <row r="220" spans="1:40" x14ac:dyDescent="0.25">
      <c r="A220" t="str">
        <f>"20190303170720672"</f>
        <v>20190303170720672</v>
      </c>
      <c r="B220" t="str">
        <f>"1551604040662312"</f>
        <v>1551604040662312</v>
      </c>
      <c r="C220" t="s">
        <v>40</v>
      </c>
      <c r="D220">
        <v>4.4937170000000002</v>
      </c>
      <c r="E220">
        <v>0.51732479999999903</v>
      </c>
      <c r="F220" t="s">
        <v>43</v>
      </c>
      <c r="G220">
        <v>-324.03160000000003</v>
      </c>
      <c r="H220">
        <v>5.9312620000000003E-2</v>
      </c>
      <c r="I220">
        <v>359.6071</v>
      </c>
      <c r="J220">
        <v>-416.91649999999998</v>
      </c>
      <c r="K220">
        <v>1.0718479999999999</v>
      </c>
      <c r="L220">
        <v>367.3098</v>
      </c>
      <c r="M220">
        <v>0.99989269999999997</v>
      </c>
      <c r="N220">
        <v>-1.457963E-2</v>
      </c>
      <c r="O220">
        <v>-1.420269E-3</v>
      </c>
      <c r="P220">
        <v>0.98076249999999998</v>
      </c>
      <c r="Q220">
        <v>0.19019849999999999</v>
      </c>
      <c r="R220">
        <v>-4.3926840000000002E-2</v>
      </c>
      <c r="S220">
        <v>3.0536799999999999</v>
      </c>
      <c r="T220">
        <v>-3.3164260000000001E-2</v>
      </c>
      <c r="U220">
        <v>-0.25228879999999998</v>
      </c>
      <c r="V220">
        <v>4.2263719999999998E-2</v>
      </c>
      <c r="W220">
        <v>0.20453460000000001</v>
      </c>
      <c r="X220">
        <v>0.97794650000000005</v>
      </c>
      <c r="Y220">
        <v>8.0910599999999999E-2</v>
      </c>
      <c r="Z220">
        <v>-1.0347760000000001E-3</v>
      </c>
      <c r="AA220">
        <v>0.99672090000000002</v>
      </c>
      <c r="AB220">
        <v>34</v>
      </c>
      <c r="AC220">
        <v>92.884899999999902</v>
      </c>
      <c r="AD220">
        <v>-1.0125353800000001</v>
      </c>
      <c r="AE220">
        <v>-7.7026999999999903</v>
      </c>
      <c r="AF220">
        <v>7.5698632703973496</v>
      </c>
      <c r="AG220">
        <v>-1.0125353800000001</v>
      </c>
      <c r="AH220">
        <v>92.884785150795906</v>
      </c>
      <c r="AI220">
        <v>90.622491874385403</v>
      </c>
      <c r="AJ220">
        <v>85.340843041088206</v>
      </c>
      <c r="AK220">
        <v>93.198236948655804</v>
      </c>
      <c r="AL220">
        <v>78.197743551007605</v>
      </c>
      <c r="AM220">
        <v>87.525399487017907</v>
      </c>
      <c r="AN220">
        <v>0.99999999074382395</v>
      </c>
    </row>
    <row r="221" spans="1:40" x14ac:dyDescent="0.25">
      <c r="A221" t="str">
        <f>"20190303170720694"</f>
        <v>20190303170720694</v>
      </c>
      <c r="B221" t="str">
        <f>"1551604040681832"</f>
        <v>1551604040681832</v>
      </c>
      <c r="C221" t="s">
        <v>40</v>
      </c>
      <c r="D221">
        <v>4.4746569999999997</v>
      </c>
      <c r="E221">
        <v>0.51771129999999999</v>
      </c>
      <c r="F221" t="s">
        <v>43</v>
      </c>
      <c r="G221">
        <v>-322.10579999999999</v>
      </c>
      <c r="H221">
        <v>6.0817299999999998E-2</v>
      </c>
      <c r="I221">
        <v>359.60559999999998</v>
      </c>
      <c r="J221">
        <v>-416.58170000000001</v>
      </c>
      <c r="K221">
        <v>1.071844</v>
      </c>
      <c r="L221">
        <v>367.30990000000003</v>
      </c>
      <c r="M221">
        <v>0.99989349999999999</v>
      </c>
      <c r="N221">
        <v>-1.4577329999999999E-2</v>
      </c>
      <c r="O221">
        <v>-8.3772960000000004E-4</v>
      </c>
      <c r="P221">
        <v>0.98067079999999995</v>
      </c>
      <c r="Q221">
        <v>0.19083910000000001</v>
      </c>
      <c r="R221">
        <v>-4.3193710000000003E-2</v>
      </c>
      <c r="S221">
        <v>3.0541079999999998</v>
      </c>
      <c r="T221">
        <v>-3.2567980000000003E-2</v>
      </c>
      <c r="U221">
        <v>-0.2481689</v>
      </c>
      <c r="V221">
        <v>4.2105379999999998E-2</v>
      </c>
      <c r="W221">
        <v>0.20516980000000001</v>
      </c>
      <c r="X221">
        <v>0.97782029999999998</v>
      </c>
      <c r="Y221">
        <v>8.0144640000000003E-2</v>
      </c>
      <c r="Z221">
        <v>-1.0150560000000001E-3</v>
      </c>
      <c r="AA221">
        <v>0.99678270000000002</v>
      </c>
      <c r="AB221">
        <v>34</v>
      </c>
      <c r="AC221">
        <v>94.475899999999996</v>
      </c>
      <c r="AD221">
        <v>-1.0110266999999999</v>
      </c>
      <c r="AE221">
        <v>-7.7043000000000399</v>
      </c>
      <c r="AF221">
        <v>7.6242762682415997</v>
      </c>
      <c r="AG221">
        <v>-1.0110266999999999</v>
      </c>
      <c r="AH221">
        <v>94.471574187775502</v>
      </c>
      <c r="AI221">
        <v>90.611164182246796</v>
      </c>
      <c r="AJ221">
        <v>85.385975755367596</v>
      </c>
      <c r="AK221">
        <v>94.784123634282594</v>
      </c>
      <c r="AL221">
        <v>78.160561136820505</v>
      </c>
      <c r="AM221">
        <v>87.534341266758005</v>
      </c>
      <c r="AN221">
        <v>1.00000002447453</v>
      </c>
    </row>
    <row r="222" spans="1:40" x14ac:dyDescent="0.25">
      <c r="A222" t="str">
        <f>"20190303170720715"</f>
        <v>20190303170720715</v>
      </c>
      <c r="B222" t="str">
        <f>"1551604040712088"</f>
        <v>1551604040712088</v>
      </c>
      <c r="C222" t="s">
        <v>40</v>
      </c>
      <c r="D222">
        <v>4.4811509999999997</v>
      </c>
      <c r="E222">
        <v>0.51810690000000004</v>
      </c>
      <c r="F222" t="s">
        <v>43</v>
      </c>
      <c r="G222">
        <v>-321.32510000000002</v>
      </c>
      <c r="H222">
        <v>7.9986429999999997E-2</v>
      </c>
      <c r="I222">
        <v>359.5444</v>
      </c>
      <c r="J222">
        <v>-416.25490000000002</v>
      </c>
      <c r="K222">
        <v>1.0718289999999999</v>
      </c>
      <c r="L222">
        <v>367.31020000000001</v>
      </c>
      <c r="M222">
        <v>0.99989380000000005</v>
      </c>
      <c r="N222">
        <v>-1.457485E-2</v>
      </c>
      <c r="O222">
        <v>-2.8290809999999999E-4</v>
      </c>
      <c r="P222">
        <v>0.98057709999999998</v>
      </c>
      <c r="Q222">
        <v>0.19148770000000001</v>
      </c>
      <c r="R222">
        <v>-4.2442100000000003E-2</v>
      </c>
      <c r="S222">
        <v>3.0543520000000002</v>
      </c>
      <c r="T222">
        <v>-3.1803369999999997E-2</v>
      </c>
      <c r="U222">
        <v>-0.24899289999999999</v>
      </c>
      <c r="V222">
        <v>4.1903469999999998E-2</v>
      </c>
      <c r="W222">
        <v>0.20581289999999999</v>
      </c>
      <c r="X222">
        <v>0.97769379999999995</v>
      </c>
      <c r="Y222">
        <v>8.0958660000000002E-2</v>
      </c>
      <c r="Z222">
        <v>-1.0129830000000001E-3</v>
      </c>
      <c r="AA222">
        <v>0.99671690000000002</v>
      </c>
      <c r="AB222">
        <v>34</v>
      </c>
      <c r="AC222">
        <v>94.9298</v>
      </c>
      <c r="AD222">
        <v>-0.99184256999999998</v>
      </c>
      <c r="AE222">
        <v>-7.7658000000000103</v>
      </c>
      <c r="AF222">
        <v>7.7381013200142403</v>
      </c>
      <c r="AG222">
        <v>-0.99184256999999998</v>
      </c>
      <c r="AH222">
        <v>94.921700270577702</v>
      </c>
      <c r="AI222">
        <v>90.596686010000099</v>
      </c>
      <c r="AJ222">
        <v>85.339502947570907</v>
      </c>
      <c r="AK222">
        <v>95.241751065275196</v>
      </c>
      <c r="AL222">
        <v>78.122910529608106</v>
      </c>
      <c r="AM222">
        <v>87.545833367899107</v>
      </c>
      <c r="AN222">
        <v>1.00000000858144</v>
      </c>
    </row>
    <row r="223" spans="1:40" x14ac:dyDescent="0.25">
      <c r="A223" t="str">
        <f>"20190303170720738"</f>
        <v>20190303170720738</v>
      </c>
      <c r="B223" t="str">
        <f>"1551604040732585"</f>
        <v>1551604040732585</v>
      </c>
      <c r="C223" t="s">
        <v>40</v>
      </c>
      <c r="D223">
        <v>4.5567010000000003</v>
      </c>
      <c r="E223">
        <v>0.51830790000000004</v>
      </c>
      <c r="F223" t="s">
        <v>46</v>
      </c>
      <c r="G223">
        <v>-301.37209999999999</v>
      </c>
      <c r="H223">
        <v>-0.05</v>
      </c>
      <c r="I223">
        <v>357.93029999999999</v>
      </c>
      <c r="J223">
        <v>-415.91669999999999</v>
      </c>
      <c r="K223">
        <v>1.071817</v>
      </c>
      <c r="L223">
        <v>367.3107</v>
      </c>
      <c r="M223">
        <v>0.99989380000000005</v>
      </c>
      <c r="N223">
        <v>-1.4572109999999999E-2</v>
      </c>
      <c r="O223">
        <v>2.6938279999999998E-4</v>
      </c>
      <c r="P223">
        <v>0.9805043</v>
      </c>
      <c r="Q223">
        <v>0.19185459999999999</v>
      </c>
      <c r="R223">
        <v>-4.2462119999999999E-2</v>
      </c>
      <c r="S223">
        <v>3.0544739999999999</v>
      </c>
      <c r="T223">
        <v>-2.982688E-2</v>
      </c>
      <c r="U223">
        <v>-0.24938959999999999</v>
      </c>
      <c r="V223">
        <v>4.2473789999999997E-2</v>
      </c>
      <c r="W223">
        <v>0.20617450000000001</v>
      </c>
      <c r="X223">
        <v>0.97759300000000005</v>
      </c>
      <c r="Y223">
        <v>8.1635390000000002E-2</v>
      </c>
      <c r="Z223">
        <v>-9.9247440000000005E-4</v>
      </c>
      <c r="AA223">
        <v>0.99666180000000004</v>
      </c>
      <c r="AB223">
        <v>34</v>
      </c>
      <c r="AC223">
        <v>114.5446</v>
      </c>
      <c r="AD223">
        <v>-1.1218170000000001</v>
      </c>
      <c r="AE223">
        <v>-9.3803999999999998</v>
      </c>
      <c r="AF223">
        <v>9.4103626817166006</v>
      </c>
      <c r="AG223">
        <v>-1.1218170000000001</v>
      </c>
      <c r="AH223">
        <v>114.531156374253</v>
      </c>
      <c r="AI223">
        <v>90.559301756176595</v>
      </c>
      <c r="AJ223">
        <v>85.302888231220905</v>
      </c>
      <c r="AK223">
        <v>114.922579067852</v>
      </c>
      <c r="AL223">
        <v>78.1017383245198</v>
      </c>
      <c r="AM223">
        <v>87.5122168619326</v>
      </c>
      <c r="AN223">
        <v>1.0000000104680999</v>
      </c>
    </row>
    <row r="224" spans="1:40" x14ac:dyDescent="0.25">
      <c r="A224" t="str">
        <f>"20190303170720761"</f>
        <v>20190303170720761</v>
      </c>
      <c r="B224" t="str">
        <f>"1551604040752104"</f>
        <v>1551604040752104</v>
      </c>
      <c r="C224" t="s">
        <v>40</v>
      </c>
      <c r="D224">
        <v>4.5733739999999896</v>
      </c>
      <c r="E224">
        <v>0.51866719999999999</v>
      </c>
      <c r="F224" t="s">
        <v>46</v>
      </c>
      <c r="G224">
        <v>-296.4819</v>
      </c>
      <c r="H224">
        <v>-0.05</v>
      </c>
      <c r="I224">
        <v>357.48860000000002</v>
      </c>
      <c r="J224">
        <v>-415.55450000000002</v>
      </c>
      <c r="K224">
        <v>1.07179</v>
      </c>
      <c r="L224">
        <v>367.31130000000002</v>
      </c>
      <c r="M224">
        <v>0.99989360000000005</v>
      </c>
      <c r="N224">
        <v>-1.456903E-2</v>
      </c>
      <c r="O224">
        <v>8.2662679999999996E-4</v>
      </c>
      <c r="P224">
        <v>0.98053880000000004</v>
      </c>
      <c r="Q224">
        <v>0.19167819999999999</v>
      </c>
      <c r="R224">
        <v>-4.246685E-2</v>
      </c>
      <c r="S224">
        <v>3.054443</v>
      </c>
      <c r="T224">
        <v>-2.86895E-2</v>
      </c>
      <c r="U224">
        <v>-0.25119019999999997</v>
      </c>
      <c r="V224">
        <v>4.3037829999999999E-2</v>
      </c>
      <c r="W224">
        <v>0.20599300000000001</v>
      </c>
      <c r="X224">
        <v>0.97760659999999999</v>
      </c>
      <c r="Y224">
        <v>8.2775559999999998E-2</v>
      </c>
      <c r="Z224">
        <v>-9.8786899999999994E-4</v>
      </c>
      <c r="AA224">
        <v>0.99656769999999995</v>
      </c>
      <c r="AB224">
        <v>34</v>
      </c>
      <c r="AC224">
        <v>119.07259999999999</v>
      </c>
      <c r="AD224">
        <v>-1.1217900000000001</v>
      </c>
      <c r="AE224">
        <v>-9.8226999999999904</v>
      </c>
      <c r="AF224">
        <v>9.9202611510206005</v>
      </c>
      <c r="AG224">
        <v>-1.1217900000000001</v>
      </c>
      <c r="AH224">
        <v>119.053943369843</v>
      </c>
      <c r="AI224">
        <v>90.537991191305693</v>
      </c>
      <c r="AJ224">
        <v>85.236788836164905</v>
      </c>
      <c r="AK224">
        <v>119.47180180284499</v>
      </c>
      <c r="AL224">
        <v>78.112365716518894</v>
      </c>
      <c r="AM224">
        <v>87.479257159981699</v>
      </c>
      <c r="AN224">
        <v>1.00000001761183</v>
      </c>
    </row>
    <row r="225" spans="1:40" x14ac:dyDescent="0.25">
      <c r="A225" t="str">
        <f>"20190303170720786"</f>
        <v>20190303170720786</v>
      </c>
      <c r="B225" t="str">
        <f>"1551604040782361"</f>
        <v>1551604040782361</v>
      </c>
      <c r="C225" t="s">
        <v>40</v>
      </c>
      <c r="D225">
        <v>4.5452909999999997</v>
      </c>
      <c r="E225">
        <v>0.51897760000000004</v>
      </c>
      <c r="F225" t="s">
        <v>46</v>
      </c>
      <c r="G225">
        <v>-298.72109999999998</v>
      </c>
      <c r="H225">
        <v>-0.05</v>
      </c>
      <c r="I225">
        <v>357.59640000000002</v>
      </c>
      <c r="J225">
        <v>-415.18939999999998</v>
      </c>
      <c r="K225">
        <v>1.071761</v>
      </c>
      <c r="L225">
        <v>367.31220000000002</v>
      </c>
      <c r="M225">
        <v>0.99989309999999998</v>
      </c>
      <c r="N225">
        <v>-1.4565730000000001E-2</v>
      </c>
      <c r="O225">
        <v>1.345929E-3</v>
      </c>
      <c r="P225">
        <v>0.9806108</v>
      </c>
      <c r="Q225">
        <v>0.19112560000000001</v>
      </c>
      <c r="R225">
        <v>-4.3287289999999999E-2</v>
      </c>
      <c r="S225">
        <v>3.0542600000000002</v>
      </c>
      <c r="T225">
        <v>-2.9325839999999999E-2</v>
      </c>
      <c r="U225">
        <v>-0.25396729999999901</v>
      </c>
      <c r="V225">
        <v>4.4383550000000001E-2</v>
      </c>
      <c r="W225">
        <v>0.20543629999999999</v>
      </c>
      <c r="X225">
        <v>0.97766359999999997</v>
      </c>
      <c r="Y225">
        <v>8.4197449999999993E-2</v>
      </c>
      <c r="Z225">
        <v>-1.011163E-3</v>
      </c>
      <c r="AA225">
        <v>0.99644860000000002</v>
      </c>
      <c r="AB225">
        <v>34</v>
      </c>
      <c r="AC225">
        <v>116.4683</v>
      </c>
      <c r="AD225">
        <v>-1.121761</v>
      </c>
      <c r="AE225">
        <v>-9.7157999999999998</v>
      </c>
      <c r="AF225">
        <v>9.8716564598054202</v>
      </c>
      <c r="AG225">
        <v>-1.121761</v>
      </c>
      <c r="AH225">
        <v>116.44438898254</v>
      </c>
      <c r="AI225">
        <v>90.549966233459699</v>
      </c>
      <c r="AJ225">
        <v>85.154295665089194</v>
      </c>
      <c r="AK225">
        <v>116.867462000844</v>
      </c>
      <c r="AL225">
        <v>78.144959704923494</v>
      </c>
      <c r="AM225">
        <v>87.400695628610194</v>
      </c>
      <c r="AN225">
        <v>1.0000000438166201</v>
      </c>
    </row>
    <row r="226" spans="1:40" x14ac:dyDescent="0.25">
      <c r="A226" t="str">
        <f>"20190303170720807"</f>
        <v>20190303170720807</v>
      </c>
      <c r="B226" t="str">
        <f>"1551604040801880"</f>
        <v>1551604040801880</v>
      </c>
      <c r="C226" t="s">
        <v>40</v>
      </c>
      <c r="D226">
        <v>4.5743859999999996</v>
      </c>
      <c r="E226">
        <v>0.51923759999999997</v>
      </c>
      <c r="F226" t="s">
        <v>46</v>
      </c>
      <c r="G226">
        <v>-307.02749999999997</v>
      </c>
      <c r="H226">
        <v>-0.05</v>
      </c>
      <c r="I226">
        <v>358.12970000000001</v>
      </c>
      <c r="J226">
        <v>-414.86950000000002</v>
      </c>
      <c r="K226">
        <v>1.0717299999999901</v>
      </c>
      <c r="L226">
        <v>367.31310000000002</v>
      </c>
      <c r="M226">
        <v>0.99989240000000001</v>
      </c>
      <c r="N226">
        <v>-1.45627E-2</v>
      </c>
      <c r="O226">
        <v>1.760799E-3</v>
      </c>
      <c r="P226">
        <v>0.98074640000000002</v>
      </c>
      <c r="Q226">
        <v>0.19027649999999999</v>
      </c>
      <c r="R226">
        <v>-4.3949599999999998E-2</v>
      </c>
      <c r="S226">
        <v>3.0540470000000002</v>
      </c>
      <c r="T226">
        <v>-3.167391E-2</v>
      </c>
      <c r="U226">
        <v>-0.25927729999999999</v>
      </c>
      <c r="V226">
        <v>4.5469339999999997E-2</v>
      </c>
      <c r="W226">
        <v>0.2045836</v>
      </c>
      <c r="X226">
        <v>0.97779240000000001</v>
      </c>
      <c r="Y226">
        <v>8.6335439999999999E-2</v>
      </c>
      <c r="Z226">
        <v>-1.0693549999999999E-3</v>
      </c>
      <c r="AA226">
        <v>0.99626550000000003</v>
      </c>
      <c r="AB226">
        <v>34</v>
      </c>
      <c r="AC226">
        <v>107.842</v>
      </c>
      <c r="AD226">
        <v>-1.1217299999999999</v>
      </c>
      <c r="AE226">
        <v>-9.1834000000000007</v>
      </c>
      <c r="AF226">
        <v>9.3722872668330908</v>
      </c>
      <c r="AG226">
        <v>-1.1217299999999999</v>
      </c>
      <c r="AH226">
        <v>107.814080156424</v>
      </c>
      <c r="AI226">
        <v>90.593861478486204</v>
      </c>
      <c r="AJ226">
        <v>85.031762560973704</v>
      </c>
      <c r="AK226">
        <v>108.226493645414</v>
      </c>
      <c r="AL226">
        <v>78.194874847506497</v>
      </c>
      <c r="AM226">
        <v>87.337547470734407</v>
      </c>
      <c r="AN226">
        <v>0.99999994388337599</v>
      </c>
    </row>
    <row r="227" spans="1:40" x14ac:dyDescent="0.25">
      <c r="A227" t="str">
        <f>"20190303170720830"</f>
        <v>20190303170720830</v>
      </c>
      <c r="B227" t="str">
        <f>"1551604040822376"</f>
        <v>1551604040822376</v>
      </c>
      <c r="C227" t="s">
        <v>40</v>
      </c>
      <c r="D227">
        <v>4.5388419999999998</v>
      </c>
      <c r="E227">
        <v>0.51935299999999995</v>
      </c>
      <c r="F227" t="s">
        <v>43</v>
      </c>
      <c r="G227">
        <v>-325.24790000000002</v>
      </c>
      <c r="H227">
        <v>4.6832319999999997E-2</v>
      </c>
      <c r="I227">
        <v>359.6164</v>
      </c>
      <c r="J227">
        <v>-414.53710000000001</v>
      </c>
      <c r="K227">
        <v>1.071696</v>
      </c>
      <c r="L227">
        <v>367.3141</v>
      </c>
      <c r="M227">
        <v>0.99989170000000005</v>
      </c>
      <c r="N227">
        <v>-1.455945E-2</v>
      </c>
      <c r="O227">
        <v>2.1492590000000002E-3</v>
      </c>
      <c r="P227">
        <v>0.98091609999999996</v>
      </c>
      <c r="Q227">
        <v>0.1892626</v>
      </c>
      <c r="R227">
        <v>-4.4536140000000002E-2</v>
      </c>
      <c r="S227">
        <v>3.053925</v>
      </c>
      <c r="T227">
        <v>-3.4924150000000001E-2</v>
      </c>
      <c r="U227">
        <v>-0.262268099999999</v>
      </c>
      <c r="V227">
        <v>4.645581E-2</v>
      </c>
      <c r="W227">
        <v>0.20356550000000001</v>
      </c>
      <c r="X227">
        <v>0.97795860000000001</v>
      </c>
      <c r="Y227">
        <v>8.7692480000000003E-2</v>
      </c>
      <c r="Z227">
        <v>-1.1334089999999999E-3</v>
      </c>
      <c r="AA227">
        <v>0.996147</v>
      </c>
      <c r="AB227">
        <v>34</v>
      </c>
      <c r="AC227">
        <v>89.289199999999994</v>
      </c>
      <c r="AD227">
        <v>-1.0248636799999999</v>
      </c>
      <c r="AE227">
        <v>-7.6976999999999904</v>
      </c>
      <c r="AF227">
        <v>7.8885765623972599</v>
      </c>
      <c r="AG227">
        <v>-1.0248636799999999</v>
      </c>
      <c r="AH227">
        <v>89.260774714445901</v>
      </c>
      <c r="AI227">
        <v>90.655269146338995</v>
      </c>
      <c r="AJ227">
        <v>84.949507205923595</v>
      </c>
      <c r="AK227">
        <v>89.614540607908296</v>
      </c>
      <c r="AL227">
        <v>78.254462806252903</v>
      </c>
      <c r="AM227">
        <v>87.280332237797396</v>
      </c>
      <c r="AN227">
        <v>1.00000003919348</v>
      </c>
    </row>
    <row r="228" spans="1:40" x14ac:dyDescent="0.25">
      <c r="A228" t="str">
        <f>"20190303170720850"</f>
        <v>20190303170720850</v>
      </c>
      <c r="B228" t="str">
        <f>"1551604040841896"</f>
        <v>1551604040841896</v>
      </c>
      <c r="C228" t="s">
        <v>40</v>
      </c>
      <c r="D228">
        <v>4.6028229999999999</v>
      </c>
      <c r="E228">
        <v>0.52742290000000003</v>
      </c>
      <c r="F228" t="s">
        <v>43</v>
      </c>
      <c r="G228">
        <v>-329.29669999999999</v>
      </c>
      <c r="H228" s="1">
        <v>-2.8076570000000001E-6</v>
      </c>
      <c r="I228">
        <v>359.91140000000001</v>
      </c>
      <c r="J228">
        <v>-414.22269999999997</v>
      </c>
      <c r="K228">
        <v>1.0716600000000001</v>
      </c>
      <c r="L228">
        <v>367.31509999999997</v>
      </c>
      <c r="M228">
        <v>0.99989110000000003</v>
      </c>
      <c r="N228">
        <v>-1.4556299999999999E-2</v>
      </c>
      <c r="O228">
        <v>2.4750200000000001E-3</v>
      </c>
      <c r="P228">
        <v>0.9807401</v>
      </c>
      <c r="Q228">
        <v>0.1900174</v>
      </c>
      <c r="R228">
        <v>-4.5191219999999997E-2</v>
      </c>
      <c r="S228">
        <v>3.053741</v>
      </c>
      <c r="T228">
        <v>-3.8393620000000003E-2</v>
      </c>
      <c r="U228">
        <v>-0.26519779999999998</v>
      </c>
      <c r="V228">
        <v>4.7446719999999998E-2</v>
      </c>
      <c r="W228">
        <v>0.20431199999999999</v>
      </c>
      <c r="X228">
        <v>0.97775529999999999</v>
      </c>
      <c r="Y228">
        <v>8.8968519999999995E-2</v>
      </c>
      <c r="Z228">
        <v>-1.2021429999999999E-3</v>
      </c>
      <c r="AA228">
        <v>0.99603370000000002</v>
      </c>
      <c r="AB228">
        <v>34</v>
      </c>
      <c r="AC228">
        <v>84.925999999999902</v>
      </c>
      <c r="AD228">
        <v>-1.0716628076570001</v>
      </c>
      <c r="AE228">
        <v>-7.40369999999995</v>
      </c>
      <c r="AF228">
        <v>7.6126900622225202</v>
      </c>
      <c r="AG228">
        <v>-1.0716628076570001</v>
      </c>
      <c r="AH228">
        <v>84.893997560064605</v>
      </c>
      <c r="AI228">
        <v>90.720347040402302</v>
      </c>
      <c r="AJ228">
        <v>84.875827444799299</v>
      </c>
      <c r="AK228">
        <v>85.241376882855604</v>
      </c>
      <c r="AL228">
        <v>78.210772912379696</v>
      </c>
      <c r="AM228">
        <v>87.221834554568304</v>
      </c>
      <c r="AN228">
        <v>1.0000000056304199</v>
      </c>
    </row>
    <row r="229" spans="1:40" x14ac:dyDescent="0.25">
      <c r="A229" t="str">
        <f>"20190303170720873"</f>
        <v>20190303170720873</v>
      </c>
      <c r="B229" t="str">
        <f>"1551604040862392"</f>
        <v>1551604040862392</v>
      </c>
      <c r="C229" t="s">
        <v>40</v>
      </c>
      <c r="D229">
        <v>4.6215590000000004</v>
      </c>
      <c r="E229">
        <v>0.53041319999999903</v>
      </c>
      <c r="F229" t="s">
        <v>47</v>
      </c>
      <c r="G229">
        <v>-413.21069999999997</v>
      </c>
      <c r="H229">
        <v>0.99714760000000002</v>
      </c>
      <c r="I229">
        <v>367.20839999999998</v>
      </c>
      <c r="J229">
        <v>-413.8793</v>
      </c>
      <c r="K229">
        <v>1.0716139999999901</v>
      </c>
      <c r="L229">
        <v>367.31630000000001</v>
      </c>
      <c r="M229">
        <v>0.99989030000000001</v>
      </c>
      <c r="N229">
        <v>-1.4552850000000001E-2</v>
      </c>
      <c r="O229">
        <v>2.7941540000000001E-3</v>
      </c>
      <c r="P229">
        <v>0.98065919999999895</v>
      </c>
      <c r="Q229">
        <v>0.1904197</v>
      </c>
      <c r="R229">
        <v>-4.5253660000000001E-2</v>
      </c>
      <c r="S229">
        <v>3.0880740000000002</v>
      </c>
      <c r="T229">
        <v>-0.22755230000000001</v>
      </c>
      <c r="U229">
        <v>-0.32421879999999997</v>
      </c>
      <c r="V229">
        <v>4.7838970000000001E-2</v>
      </c>
      <c r="W229">
        <v>0.20470540000000001</v>
      </c>
      <c r="X229">
        <v>0.97765389999999996</v>
      </c>
      <c r="Y229">
        <v>0.10684680000000001</v>
      </c>
      <c r="Z229">
        <v>-4.8660129999999998E-3</v>
      </c>
      <c r="AA229">
        <v>0.99426360000000003</v>
      </c>
      <c r="AB229">
        <v>34</v>
      </c>
      <c r="AC229">
        <v>0.66860000000002595</v>
      </c>
      <c r="AD229">
        <v>-7.4466399999999794E-2</v>
      </c>
      <c r="AE229">
        <v>-0.107900000000029</v>
      </c>
      <c r="AF229">
        <v>0.10845671921107899</v>
      </c>
      <c r="AG229">
        <v>-7.4466399999999794E-2</v>
      </c>
      <c r="AH229">
        <v>0.66031276741299905</v>
      </c>
      <c r="AI229">
        <v>96.349937650051501</v>
      </c>
      <c r="AJ229">
        <v>80.672423537060695</v>
      </c>
      <c r="AK229">
        <v>0.67329121149737603</v>
      </c>
      <c r="AL229">
        <v>78.187746103166504</v>
      </c>
      <c r="AM229">
        <v>87.198613362922202</v>
      </c>
      <c r="AN229">
        <v>1.00000000801251</v>
      </c>
    </row>
    <row r="230" spans="1:40" x14ac:dyDescent="0.25">
      <c r="A230" t="str">
        <f>"20190303170720894"</f>
        <v>20190303170720894</v>
      </c>
      <c r="B230" t="str">
        <f>"1551604040881912"</f>
        <v>1551604040881912</v>
      </c>
      <c r="C230" t="s">
        <v>40</v>
      </c>
      <c r="D230">
        <v>4.6463910000000004</v>
      </c>
      <c r="E230">
        <v>0.5325453</v>
      </c>
      <c r="F230" t="s">
        <v>47</v>
      </c>
      <c r="G230">
        <v>-412.93169999999998</v>
      </c>
      <c r="H230">
        <v>0.96185449999999995</v>
      </c>
      <c r="I230">
        <v>367.2122</v>
      </c>
      <c r="J230">
        <v>-413.56849999999997</v>
      </c>
      <c r="K230">
        <v>1.071582</v>
      </c>
      <c r="L230">
        <v>367.3175</v>
      </c>
      <c r="M230">
        <v>0.99988960000000005</v>
      </c>
      <c r="N230">
        <v>-1.4549690000000001E-2</v>
      </c>
      <c r="O230">
        <v>3.0531389999999999E-3</v>
      </c>
      <c r="P230">
        <v>0.98082860000000005</v>
      </c>
      <c r="Q230">
        <v>0.18963720000000001</v>
      </c>
      <c r="R230">
        <v>-4.4866099999999999E-2</v>
      </c>
      <c r="S230">
        <v>3.1133419999999998</v>
      </c>
      <c r="T230">
        <v>-0.36054960000000003</v>
      </c>
      <c r="U230">
        <v>-0.34252929999999998</v>
      </c>
      <c r="V230">
        <v>4.7720789999999999E-2</v>
      </c>
      <c r="W230">
        <v>0.20391889999999999</v>
      </c>
      <c r="X230">
        <v>0.97782400000000003</v>
      </c>
      <c r="Y230">
        <v>0.11154840000000001</v>
      </c>
      <c r="Z230">
        <v>-7.5426030000000002E-3</v>
      </c>
      <c r="AA230">
        <v>0.99373040000000001</v>
      </c>
      <c r="AB230">
        <v>34</v>
      </c>
      <c r="AC230">
        <v>0.63679999999999304</v>
      </c>
      <c r="AD230">
        <v>-0.10972749999999901</v>
      </c>
      <c r="AE230">
        <v>-0.10529999999999901</v>
      </c>
      <c r="AF230">
        <v>0.10423158162747501</v>
      </c>
      <c r="AG230">
        <v>-0.10972749999999901</v>
      </c>
      <c r="AH230">
        <v>0.618597561699747</v>
      </c>
      <c r="AI230">
        <v>99.921543996603006</v>
      </c>
      <c r="AJ230">
        <v>80.435694807246506</v>
      </c>
      <c r="AK230">
        <v>0.63684165237968504</v>
      </c>
      <c r="AL230">
        <v>78.233779994329396</v>
      </c>
      <c r="AM230">
        <v>87.206008194204202</v>
      </c>
      <c r="AN230">
        <v>0.99999998327571604</v>
      </c>
    </row>
    <row r="231" spans="1:40" x14ac:dyDescent="0.25">
      <c r="A231" t="str">
        <f>"20190303170720917"</f>
        <v>20190303170720917</v>
      </c>
      <c r="B231" t="str">
        <f>"1551604040912168"</f>
        <v>1551604040912168</v>
      </c>
      <c r="C231" t="s">
        <v>40</v>
      </c>
      <c r="D231">
        <v>4.566783</v>
      </c>
      <c r="E231">
        <v>0.53426189999999996</v>
      </c>
      <c r="F231" t="s">
        <v>47</v>
      </c>
      <c r="G231">
        <v>-412.64330000000001</v>
      </c>
      <c r="H231">
        <v>0.93960600000000005</v>
      </c>
      <c r="I231">
        <v>367.21249999999998</v>
      </c>
      <c r="J231">
        <v>-413.2244</v>
      </c>
      <c r="K231">
        <v>1.071558</v>
      </c>
      <c r="L231">
        <v>367.31880000000001</v>
      </c>
      <c r="M231">
        <v>0.99988889999999997</v>
      </c>
      <c r="N231">
        <v>-1.4546150000000001E-2</v>
      </c>
      <c r="O231">
        <v>3.307468E-3</v>
      </c>
      <c r="P231">
        <v>0.98104469999999999</v>
      </c>
      <c r="Q231">
        <v>0.18859719999999999</v>
      </c>
      <c r="R231">
        <v>-4.4530409999999999E-2</v>
      </c>
      <c r="S231">
        <v>3.1286930000000002</v>
      </c>
      <c r="T231">
        <v>-0.44639609999999902</v>
      </c>
      <c r="U231">
        <v>-0.35433959999999998</v>
      </c>
      <c r="V231">
        <v>4.7650140000000001E-2</v>
      </c>
      <c r="W231">
        <v>0.20287450000000001</v>
      </c>
      <c r="X231">
        <v>0.97804469999999999</v>
      </c>
      <c r="Y231">
        <v>0.1145304</v>
      </c>
      <c r="Z231">
        <v>-9.3644100000000001E-3</v>
      </c>
      <c r="AA231">
        <v>0.99337560000000003</v>
      </c>
      <c r="AB231">
        <v>34</v>
      </c>
      <c r="AC231">
        <v>0.58109999999999196</v>
      </c>
      <c r="AD231">
        <v>-0.13195200000000001</v>
      </c>
      <c r="AE231">
        <v>-0.10630000000003199</v>
      </c>
      <c r="AF231">
        <v>0.103078735249635</v>
      </c>
      <c r="AG231">
        <v>-0.13195200000000001</v>
      </c>
      <c r="AH231">
        <v>0.55314729783736205</v>
      </c>
      <c r="AI231">
        <v>103.197975030824</v>
      </c>
      <c r="AJ231">
        <v>79.444036725155797</v>
      </c>
      <c r="AK231">
        <v>0.57793467543437804</v>
      </c>
      <c r="AL231">
        <v>78.294897680424</v>
      </c>
      <c r="AM231">
        <v>87.210766672358204</v>
      </c>
      <c r="AN231">
        <v>1.0000000168951699</v>
      </c>
    </row>
    <row r="232" spans="1:40" x14ac:dyDescent="0.25">
      <c r="A232" t="str">
        <f>"20190303170720940"</f>
        <v>20190303170720940</v>
      </c>
      <c r="B232" t="str">
        <f>"1551604040932665"</f>
        <v>1551604040932665</v>
      </c>
      <c r="C232" t="s">
        <v>40</v>
      </c>
      <c r="D232">
        <v>4.5811539999999997</v>
      </c>
      <c r="E232">
        <v>0.53500159999999997</v>
      </c>
      <c r="F232" t="s">
        <v>47</v>
      </c>
      <c r="G232">
        <v>-412.34989999999999</v>
      </c>
      <c r="H232">
        <v>0.92848280000000005</v>
      </c>
      <c r="I232">
        <v>367.21730000000002</v>
      </c>
      <c r="J232">
        <v>-412.88319999999999</v>
      </c>
      <c r="K232">
        <v>1.0715410000000001</v>
      </c>
      <c r="L232">
        <v>367.3202</v>
      </c>
      <c r="M232">
        <v>0.99988809999999995</v>
      </c>
      <c r="N232">
        <v>-1.454255E-2</v>
      </c>
      <c r="O232">
        <v>3.530661E-3</v>
      </c>
      <c r="P232">
        <v>0.98096570000000005</v>
      </c>
      <c r="Q232">
        <v>0.18923880000000001</v>
      </c>
      <c r="R232">
        <v>-4.3535240000000003E-2</v>
      </c>
      <c r="S232">
        <v>3.1401979999999998</v>
      </c>
      <c r="T232">
        <v>-0.51376069999999996</v>
      </c>
      <c r="U232">
        <v>-0.36428830000000001</v>
      </c>
      <c r="V232">
        <v>4.688676E-2</v>
      </c>
      <c r="W232">
        <v>0.2035081</v>
      </c>
      <c r="X232">
        <v>0.97794990000000004</v>
      </c>
      <c r="Y232">
        <v>0.1170283</v>
      </c>
      <c r="Z232">
        <v>-1.085998E-2</v>
      </c>
      <c r="AA232">
        <v>0.99306919999999999</v>
      </c>
      <c r="AB232">
        <v>33</v>
      </c>
      <c r="AC232">
        <v>0.533299999999997</v>
      </c>
      <c r="AD232">
        <v>-0.143058199999999</v>
      </c>
      <c r="AE232">
        <v>-0.102899999999976</v>
      </c>
      <c r="AF232">
        <v>9.7984700362069396E-2</v>
      </c>
      <c r="AG232">
        <v>-0.143058199999999</v>
      </c>
      <c r="AH232">
        <v>0.49835929925981798</v>
      </c>
      <c r="AI232">
        <v>105.730710441555</v>
      </c>
      <c r="AJ232">
        <v>78.876698690758005</v>
      </c>
      <c r="AK232">
        <v>0.52766337872835301</v>
      </c>
      <c r="AL232">
        <v>78.257820967150806</v>
      </c>
      <c r="AM232">
        <v>87.255117108700205</v>
      </c>
      <c r="AN232">
        <v>0.99999996096945798</v>
      </c>
    </row>
    <row r="233" spans="1:40" x14ac:dyDescent="0.25">
      <c r="A233" t="str">
        <f>"20190303170720963"</f>
        <v>20190303170720963</v>
      </c>
      <c r="B233" t="str">
        <f>"1551604040952188"</f>
        <v>1551604040952188</v>
      </c>
      <c r="C233" t="s">
        <v>40</v>
      </c>
      <c r="D233">
        <v>4.559323</v>
      </c>
      <c r="E233">
        <v>0.53560640000000004</v>
      </c>
      <c r="F233" t="s">
        <v>47</v>
      </c>
      <c r="G233">
        <v>-412.05070000000001</v>
      </c>
      <c r="H233">
        <v>0.92991500000000005</v>
      </c>
      <c r="I233">
        <v>367.22289999999998</v>
      </c>
      <c r="J233">
        <v>-412.53570000000002</v>
      </c>
      <c r="K233">
        <v>1.071526</v>
      </c>
      <c r="L233">
        <v>367.32170000000002</v>
      </c>
      <c r="M233">
        <v>0.99988730000000003</v>
      </c>
      <c r="N233">
        <v>-1.4538860000000001E-2</v>
      </c>
      <c r="O233">
        <v>3.7350539999999998E-3</v>
      </c>
      <c r="P233">
        <v>0.98058060000000002</v>
      </c>
      <c r="Q233">
        <v>0.19131090000000001</v>
      </c>
      <c r="R233">
        <v>-4.3153089999999998E-2</v>
      </c>
      <c r="S233">
        <v>3.1451419999999999</v>
      </c>
      <c r="T233">
        <v>-0.53519300000000003</v>
      </c>
      <c r="U233">
        <v>-0.3665466</v>
      </c>
      <c r="V233">
        <v>4.6715E-2</v>
      </c>
      <c r="W233">
        <v>0.2055679</v>
      </c>
      <c r="X233">
        <v>0.97752729999999999</v>
      </c>
      <c r="Y233">
        <v>0.11761099999999999</v>
      </c>
      <c r="Z233">
        <v>-1.1342090000000001E-2</v>
      </c>
      <c r="AA233">
        <v>0.99299499999999996</v>
      </c>
      <c r="AB233">
        <v>33</v>
      </c>
      <c r="AC233">
        <v>0.48500000000001298</v>
      </c>
      <c r="AD233">
        <v>-0.14161099999999999</v>
      </c>
      <c r="AE233">
        <v>-9.8800000000039703E-2</v>
      </c>
      <c r="AF233">
        <v>9.2998493918057895E-2</v>
      </c>
      <c r="AG233">
        <v>-0.14161099999999999</v>
      </c>
      <c r="AH233">
        <v>0.447959279711233</v>
      </c>
      <c r="AI233">
        <v>107.19859597317</v>
      </c>
      <c r="AJ233">
        <v>78.271722753390193</v>
      </c>
      <c r="AK233">
        <v>0.47892578910665701</v>
      </c>
      <c r="AL233">
        <v>78.137255063496596</v>
      </c>
      <c r="AM233">
        <v>87.263976610253707</v>
      </c>
      <c r="AN233">
        <v>1.0000000374903399</v>
      </c>
    </row>
    <row r="234" spans="1:40" x14ac:dyDescent="0.25">
      <c r="A234" t="str">
        <f>"20190303170720987"</f>
        <v>20190303170720987</v>
      </c>
      <c r="B234" t="str">
        <f>"1551604040982440"</f>
        <v>1551604040982440</v>
      </c>
      <c r="C234" t="s">
        <v>40</v>
      </c>
      <c r="D234">
        <v>4.5615579999999998</v>
      </c>
      <c r="E234">
        <v>0.53595930000000003</v>
      </c>
      <c r="F234" t="s">
        <v>47</v>
      </c>
      <c r="G234">
        <v>-411.74950000000001</v>
      </c>
      <c r="H234">
        <v>0.93594259999999996</v>
      </c>
      <c r="I234">
        <v>367.2294</v>
      </c>
      <c r="J234">
        <v>-412.19450000000001</v>
      </c>
      <c r="K234">
        <v>1.071509</v>
      </c>
      <c r="L234">
        <v>367.32319999999999</v>
      </c>
      <c r="M234">
        <v>0.99988679999999996</v>
      </c>
      <c r="N234">
        <v>-1.453524E-2</v>
      </c>
      <c r="O234">
        <v>3.9208109999999997E-3</v>
      </c>
      <c r="P234">
        <v>0.98034750000000004</v>
      </c>
      <c r="Q234">
        <v>0.1924575</v>
      </c>
      <c r="R234">
        <v>-4.3349319999999997E-2</v>
      </c>
      <c r="S234">
        <v>3.1491389999999999</v>
      </c>
      <c r="T234">
        <v>-0.54314019999999996</v>
      </c>
      <c r="U234">
        <v>-0.368927</v>
      </c>
      <c r="V234">
        <v>4.7102030000000003E-2</v>
      </c>
      <c r="W234">
        <v>0.206705</v>
      </c>
      <c r="X234">
        <v>0.9772689</v>
      </c>
      <c r="Y234">
        <v>0.118329</v>
      </c>
      <c r="Z234">
        <v>-1.1578059999999999E-2</v>
      </c>
      <c r="AA234">
        <v>0.99290690000000004</v>
      </c>
      <c r="AB234">
        <v>33</v>
      </c>
      <c r="AC234">
        <v>0.44499999999999301</v>
      </c>
      <c r="AD234">
        <v>-0.1355664</v>
      </c>
      <c r="AE234">
        <v>-9.3799999999987393E-2</v>
      </c>
      <c r="AF234">
        <v>8.7747055351917402E-2</v>
      </c>
      <c r="AG234">
        <v>-0.1355664</v>
      </c>
      <c r="AH234">
        <v>0.408343524401652</v>
      </c>
      <c r="AI234">
        <v>107.98248331592001</v>
      </c>
      <c r="AJ234">
        <v>77.872396801000406</v>
      </c>
      <c r="AK234">
        <v>0.43911527922933302</v>
      </c>
      <c r="AL234">
        <v>78.070674004869602</v>
      </c>
      <c r="AM234">
        <v>87.240615459944394</v>
      </c>
      <c r="AN234">
        <v>1.00000003058116</v>
      </c>
    </row>
    <row r="235" spans="1:40" x14ac:dyDescent="0.25">
      <c r="A235" t="str">
        <f>"20190303170721007"</f>
        <v>20190303170721007</v>
      </c>
      <c r="B235" t="str">
        <f>"1551604041001960"</f>
        <v>1551604041001960</v>
      </c>
      <c r="C235" t="s">
        <v>40</v>
      </c>
      <c r="D235">
        <v>4.5464510000000002</v>
      </c>
      <c r="E235">
        <v>0.53620400000000001</v>
      </c>
      <c r="F235" t="s">
        <v>47</v>
      </c>
      <c r="G235">
        <v>-411.44959999999998</v>
      </c>
      <c r="H235">
        <v>0.94021589999999999</v>
      </c>
      <c r="I235">
        <v>367.23520000000002</v>
      </c>
      <c r="J235">
        <v>-411.88549999999998</v>
      </c>
      <c r="K235">
        <v>1.071496</v>
      </c>
      <c r="L235">
        <v>367.32459999999998</v>
      </c>
      <c r="M235">
        <v>0.9998861</v>
      </c>
      <c r="N235">
        <v>-1.453192E-2</v>
      </c>
      <c r="O235">
        <v>4.0804539999999999E-3</v>
      </c>
      <c r="P235">
        <v>0.98055590000000004</v>
      </c>
      <c r="Q235">
        <v>0.19148809999999999</v>
      </c>
      <c r="R235">
        <v>-4.2924419999999998E-2</v>
      </c>
      <c r="S235">
        <v>3.1529850000000001</v>
      </c>
      <c r="T235">
        <v>-0.55588669999999996</v>
      </c>
      <c r="U235">
        <v>-0.36929319999999999</v>
      </c>
      <c r="V235">
        <v>4.6841649999999999E-2</v>
      </c>
      <c r="W235">
        <v>0.205734</v>
      </c>
      <c r="X235">
        <v>0.97748630000000003</v>
      </c>
      <c r="Y235">
        <v>0.11837590000000001</v>
      </c>
      <c r="Z235">
        <v>-1.184381E-2</v>
      </c>
      <c r="AA235">
        <v>0.99289819999999995</v>
      </c>
      <c r="AB235">
        <v>33</v>
      </c>
      <c r="AC235">
        <v>0.43590000000000301</v>
      </c>
      <c r="AD235">
        <v>-0.13128010000000001</v>
      </c>
      <c r="AE235">
        <v>-8.9399999999955002E-2</v>
      </c>
      <c r="AF235">
        <v>8.3877249864510298E-2</v>
      </c>
      <c r="AG235">
        <v>-0.13128010000000001</v>
      </c>
      <c r="AH235">
        <v>0.40065742123070802</v>
      </c>
      <c r="AI235">
        <v>107.78152456276101</v>
      </c>
      <c r="AJ235">
        <v>78.175947015360194</v>
      </c>
      <c r="AK235">
        <v>0.429879316655366</v>
      </c>
      <c r="AL235">
        <v>78.127530437655494</v>
      </c>
      <c r="AM235">
        <v>87.256455342406497</v>
      </c>
      <c r="AN235">
        <v>1.0000000428092</v>
      </c>
    </row>
    <row r="236" spans="1:40" x14ac:dyDescent="0.25">
      <c r="A236" t="str">
        <f>"20190303170721028"</f>
        <v>20190303170721028</v>
      </c>
      <c r="B236" t="str">
        <f>"1551604041022456"</f>
        <v>1551604041022456</v>
      </c>
      <c r="C236" t="s">
        <v>40</v>
      </c>
      <c r="D236">
        <v>4.546386</v>
      </c>
      <c r="E236">
        <v>0.53645859999999901</v>
      </c>
      <c r="F236" t="s">
        <v>47</v>
      </c>
      <c r="G236">
        <v>-411.15230000000003</v>
      </c>
      <c r="H236">
        <v>0.93955429999999995</v>
      </c>
      <c r="I236">
        <v>367.2389</v>
      </c>
      <c r="J236">
        <v>-411.56330000000003</v>
      </c>
      <c r="K236">
        <v>1.0714809999999999</v>
      </c>
      <c r="L236">
        <v>367.32600000000002</v>
      </c>
      <c r="M236">
        <v>0.99988549999999998</v>
      </c>
      <c r="N236">
        <v>-1.452848E-2</v>
      </c>
      <c r="O236">
        <v>4.2416429999999998E-3</v>
      </c>
      <c r="P236">
        <v>0.98067669999999996</v>
      </c>
      <c r="Q236">
        <v>0.19103200000000001</v>
      </c>
      <c r="R236">
        <v>-4.2191409999999999E-2</v>
      </c>
      <c r="S236">
        <v>3.1542050000000001</v>
      </c>
      <c r="T236">
        <v>-0.5675306</v>
      </c>
      <c r="U236">
        <v>-0.368927</v>
      </c>
      <c r="V236">
        <v>4.6272540000000001E-2</v>
      </c>
      <c r="W236">
        <v>0.20527480000000001</v>
      </c>
      <c r="X236">
        <v>0.97760990000000003</v>
      </c>
      <c r="Y236">
        <v>0.11829729999999999</v>
      </c>
      <c r="Z236">
        <v>-1.2086019999999999E-2</v>
      </c>
      <c r="AA236">
        <v>0.99290469999999997</v>
      </c>
      <c r="AB236">
        <v>33</v>
      </c>
      <c r="AC236">
        <v>0.41100000000000098</v>
      </c>
      <c r="AD236">
        <v>-0.13192669999999901</v>
      </c>
      <c r="AE236">
        <v>-8.7099999999963901E-2</v>
      </c>
      <c r="AF236">
        <v>8.0868602375281706E-2</v>
      </c>
      <c r="AG236">
        <v>-0.13192669999999901</v>
      </c>
      <c r="AH236">
        <v>0.37377084325472798</v>
      </c>
      <c r="AI236">
        <v>109.03337766808001</v>
      </c>
      <c r="AJ236">
        <v>77.791728194510299</v>
      </c>
      <c r="AK236">
        <v>0.40453557110638899</v>
      </c>
      <c r="AL236">
        <v>78.154414000183095</v>
      </c>
      <c r="AM236">
        <v>87.290080613602797</v>
      </c>
      <c r="AN236">
        <v>1.0000000040255499</v>
      </c>
    </row>
    <row r="237" spans="1:40" x14ac:dyDescent="0.25">
      <c r="A237" t="str">
        <f>"20190303170721051"</f>
        <v>20190303170721051</v>
      </c>
      <c r="B237" t="str">
        <f>"1551604041041976"</f>
        <v>1551604041041976</v>
      </c>
      <c r="C237" t="s">
        <v>40</v>
      </c>
      <c r="D237">
        <v>4.5380449999999897</v>
      </c>
      <c r="E237">
        <v>0.53663890000000003</v>
      </c>
      <c r="F237" t="s">
        <v>47</v>
      </c>
      <c r="G237">
        <v>-410.85390000000001</v>
      </c>
      <c r="H237">
        <v>0.94208650000000005</v>
      </c>
      <c r="I237">
        <v>367.24279999999999</v>
      </c>
      <c r="J237">
        <v>-411.22590000000002</v>
      </c>
      <c r="K237">
        <v>1.0714729999999999</v>
      </c>
      <c r="L237">
        <v>367.32760000000002</v>
      </c>
      <c r="M237">
        <v>0.99988480000000002</v>
      </c>
      <c r="N237">
        <v>-1.452489E-2</v>
      </c>
      <c r="O237">
        <v>4.4065290000000002E-3</v>
      </c>
      <c r="P237">
        <v>0.9807034</v>
      </c>
      <c r="Q237">
        <v>0.19101409999999999</v>
      </c>
      <c r="R237">
        <v>-4.1648119999999997E-2</v>
      </c>
      <c r="S237">
        <v>3.1553960000000001</v>
      </c>
      <c r="T237">
        <v>-0.57562449999999998</v>
      </c>
      <c r="U237">
        <v>-0.36898799999999998</v>
      </c>
      <c r="V237">
        <v>4.5894270000000001E-2</v>
      </c>
      <c r="W237">
        <v>0.2052524</v>
      </c>
      <c r="X237">
        <v>0.97763239999999996</v>
      </c>
      <c r="Y237">
        <v>0.1183772</v>
      </c>
      <c r="Z237">
        <v>-1.227521E-2</v>
      </c>
      <c r="AA237">
        <v>0.99289280000000002</v>
      </c>
      <c r="AB237">
        <v>33</v>
      </c>
      <c r="AC237">
        <v>0.37200000000001399</v>
      </c>
      <c r="AD237">
        <v>-0.12938649999999899</v>
      </c>
      <c r="AE237">
        <v>-8.4800000000029699E-2</v>
      </c>
      <c r="AF237">
        <v>7.7523514279210906E-2</v>
      </c>
      <c r="AG237">
        <v>-0.12938649999999899</v>
      </c>
      <c r="AH237">
        <v>0.33329441894278999</v>
      </c>
      <c r="AI237">
        <v>110.71217223818201</v>
      </c>
      <c r="AJ237">
        <v>76.905956766126096</v>
      </c>
      <c r="AK237">
        <v>0.36583593501303402</v>
      </c>
      <c r="AL237">
        <v>78.155724947226901</v>
      </c>
      <c r="AM237">
        <v>87.312262883723903</v>
      </c>
      <c r="AN237">
        <v>0.99999997062717605</v>
      </c>
    </row>
    <row r="238" spans="1:40" x14ac:dyDescent="0.25">
      <c r="A238" t="str">
        <f>"20190303170721073"</f>
        <v>20190303170721073</v>
      </c>
      <c r="B238" t="str">
        <f>"1551604041062472"</f>
        <v>1551604041062472</v>
      </c>
      <c r="C238" t="s">
        <v>40</v>
      </c>
      <c r="D238">
        <v>4.5206059999999999</v>
      </c>
      <c r="E238">
        <v>0.55108089999999998</v>
      </c>
      <c r="F238" t="s">
        <v>47</v>
      </c>
      <c r="G238">
        <v>-410.28109999999998</v>
      </c>
      <c r="H238">
        <v>0.89837440000000002</v>
      </c>
      <c r="I238">
        <v>367.21660000000003</v>
      </c>
      <c r="J238">
        <v>-410.90179999999998</v>
      </c>
      <c r="K238">
        <v>1.0714680000000001</v>
      </c>
      <c r="L238">
        <v>367.32920000000001</v>
      </c>
      <c r="M238">
        <v>0.9998842</v>
      </c>
      <c r="N238">
        <v>-1.452146E-2</v>
      </c>
      <c r="O238">
        <v>4.5650680000000003E-3</v>
      </c>
      <c r="P238">
        <v>0.9804465</v>
      </c>
      <c r="Q238">
        <v>0.1924362</v>
      </c>
      <c r="R238">
        <v>-4.1146769999999999E-2</v>
      </c>
      <c r="S238">
        <v>3.1560060000000001</v>
      </c>
      <c r="T238">
        <v>-0.57843489999999997</v>
      </c>
      <c r="U238">
        <v>-0.36920170000000002</v>
      </c>
      <c r="V238">
        <v>4.5549449999999998E-2</v>
      </c>
      <c r="W238">
        <v>0.20666680000000001</v>
      </c>
      <c r="X238">
        <v>0.97735050000000001</v>
      </c>
      <c r="Y238">
        <v>0.11855400000000001</v>
      </c>
      <c r="Z238">
        <v>-1.2371729999999999E-2</v>
      </c>
      <c r="AA238">
        <v>0.99287049999999999</v>
      </c>
      <c r="AB238">
        <v>33</v>
      </c>
      <c r="AC238">
        <v>0.62069999999999903</v>
      </c>
      <c r="AD238">
        <v>-0.17309359999999999</v>
      </c>
      <c r="AE238">
        <v>-0.112599999999986</v>
      </c>
      <c r="AF238">
        <v>0.10735027517152999</v>
      </c>
      <c r="AG238">
        <v>-0.17309359999999999</v>
      </c>
      <c r="AH238">
        <v>0.57675559944111698</v>
      </c>
      <c r="AI238">
        <v>106.438629802625</v>
      </c>
      <c r="AJ238">
        <v>79.456312339860006</v>
      </c>
      <c r="AK238">
        <v>0.61166371269435804</v>
      </c>
      <c r="AL238">
        <v>78.072910142898195</v>
      </c>
      <c r="AM238">
        <v>87.331659226868595</v>
      </c>
      <c r="AN238">
        <v>0.99999995923389495</v>
      </c>
    </row>
    <row r="239" spans="1:40" x14ac:dyDescent="0.25">
      <c r="A239" t="str">
        <f>"20190303170721095"</f>
        <v>20190303170721095</v>
      </c>
      <c r="B239" t="str">
        <f>"1551604041082002"</f>
        <v>1551604041082002</v>
      </c>
      <c r="C239" t="s">
        <v>40</v>
      </c>
      <c r="D239">
        <v>4.5156890000000001</v>
      </c>
      <c r="E239">
        <v>0.55223440000000001</v>
      </c>
      <c r="F239" t="s">
        <v>47</v>
      </c>
      <c r="G239">
        <v>-409.99090000000001</v>
      </c>
      <c r="H239">
        <v>0.88355530000000004</v>
      </c>
      <c r="I239">
        <v>367.19080000000002</v>
      </c>
      <c r="J239">
        <v>-410.57810000000001</v>
      </c>
      <c r="K239">
        <v>1.071469</v>
      </c>
      <c r="L239">
        <v>367.33089999999999</v>
      </c>
      <c r="M239">
        <v>0.99988350000000004</v>
      </c>
      <c r="N239">
        <v>-1.4518059999999999E-2</v>
      </c>
      <c r="O239">
        <v>4.7238109999999996E-3</v>
      </c>
      <c r="P239">
        <v>0.98036089999999998</v>
      </c>
      <c r="Q239">
        <v>0.1930799</v>
      </c>
      <c r="R239">
        <v>-4.0160069999999999E-2</v>
      </c>
      <c r="S239">
        <v>3.167999</v>
      </c>
      <c r="T239">
        <v>-0.65366199999999997</v>
      </c>
      <c r="U239">
        <v>-0.48013309999999998</v>
      </c>
      <c r="V239">
        <v>4.4719380000000003E-2</v>
      </c>
      <c r="W239">
        <v>0.2073054</v>
      </c>
      <c r="X239">
        <v>0.97725359999999994</v>
      </c>
      <c r="Y239">
        <v>0.15109120000000001</v>
      </c>
      <c r="Z239">
        <v>-1.734697E-2</v>
      </c>
      <c r="AA239">
        <v>0.98836760000000001</v>
      </c>
      <c r="AB239">
        <v>33</v>
      </c>
      <c r="AC239">
        <v>0.58719999999999495</v>
      </c>
      <c r="AD239">
        <v>-0.18791369999999999</v>
      </c>
      <c r="AE239">
        <v>-0.14009999999996101</v>
      </c>
      <c r="AF239">
        <v>0.130251823540945</v>
      </c>
      <c r="AG239">
        <v>-0.18791369999999999</v>
      </c>
      <c r="AH239">
        <v>0.53471997545658301</v>
      </c>
      <c r="AI239">
        <v>108.85199234079199</v>
      </c>
      <c r="AJ239">
        <v>76.309998749350598</v>
      </c>
      <c r="AK239">
        <v>0.58155184492504197</v>
      </c>
      <c r="AL239">
        <v>78.035511333252202</v>
      </c>
      <c r="AM239">
        <v>87.379957934107495</v>
      </c>
      <c r="AN239">
        <v>0.99999997526485096</v>
      </c>
    </row>
    <row r="240" spans="1:40" x14ac:dyDescent="0.25">
      <c r="A240" t="str">
        <f>"20190303170721117"</f>
        <v>20190303170721117</v>
      </c>
      <c r="B240" t="str">
        <f>"1551604041112249"</f>
        <v>1551604041112249</v>
      </c>
      <c r="C240" t="s">
        <v>40</v>
      </c>
      <c r="D240">
        <v>4.5114570000000001</v>
      </c>
      <c r="E240">
        <v>0.55305319999999902</v>
      </c>
      <c r="F240" t="s">
        <v>47</v>
      </c>
      <c r="G240">
        <v>-409.6927</v>
      </c>
      <c r="H240">
        <v>0.88872870000000004</v>
      </c>
      <c r="I240">
        <v>367.19450000000001</v>
      </c>
      <c r="J240">
        <v>-410.25220000000002</v>
      </c>
      <c r="K240">
        <v>1.0714699999999999</v>
      </c>
      <c r="L240">
        <v>367.33260000000001</v>
      </c>
      <c r="M240">
        <v>0.99988279999999996</v>
      </c>
      <c r="N240">
        <v>-1.4514529999999999E-2</v>
      </c>
      <c r="O240">
        <v>4.8859000000000003E-3</v>
      </c>
      <c r="P240">
        <v>0.98043020000000003</v>
      </c>
      <c r="Q240">
        <v>0.1929544</v>
      </c>
      <c r="R240">
        <v>-3.905459E-2</v>
      </c>
      <c r="S240">
        <v>3.1689449999999999</v>
      </c>
      <c r="T240">
        <v>-0.65411009999999903</v>
      </c>
      <c r="U240">
        <v>-0.48699949999999997</v>
      </c>
      <c r="V240">
        <v>4.3774779999999999E-2</v>
      </c>
      <c r="W240">
        <v>0.20717659999999999</v>
      </c>
      <c r="X240">
        <v>0.97732370000000002</v>
      </c>
      <c r="Y240">
        <v>0.1532482</v>
      </c>
      <c r="Z240">
        <v>-1.7616139999999999E-2</v>
      </c>
      <c r="AA240">
        <v>0.98803070000000004</v>
      </c>
      <c r="AB240">
        <v>33</v>
      </c>
      <c r="AC240">
        <v>0.55950000000001399</v>
      </c>
      <c r="AD240">
        <v>-0.1827413</v>
      </c>
      <c r="AE240">
        <v>-0.13810000000000799</v>
      </c>
      <c r="AF240">
        <v>0.12796519367162801</v>
      </c>
      <c r="AG240">
        <v>-0.1827413</v>
      </c>
      <c r="AH240">
        <v>0.50776219914449705</v>
      </c>
      <c r="AI240">
        <v>109.23814611366301</v>
      </c>
      <c r="AJ240">
        <v>75.854988918920895</v>
      </c>
      <c r="AK240">
        <v>0.55460970456453795</v>
      </c>
      <c r="AL240">
        <v>78.043055035723</v>
      </c>
      <c r="AM240">
        <v>87.435409665779304</v>
      </c>
      <c r="AN240">
        <v>0.99999999476664903</v>
      </c>
    </row>
    <row r="241" spans="1:40" x14ac:dyDescent="0.25">
      <c r="A241" t="str">
        <f>"20190303170721140"</f>
        <v>20190303170721140</v>
      </c>
      <c r="B241" t="str">
        <f>"1551604041132745"</f>
        <v>1551604041132745</v>
      </c>
      <c r="C241" t="s">
        <v>40</v>
      </c>
      <c r="D241">
        <v>4.5115069999999999</v>
      </c>
      <c r="E241">
        <v>0.55343739999999997</v>
      </c>
      <c r="F241" t="s">
        <v>47</v>
      </c>
      <c r="G241">
        <v>-409.39510000000001</v>
      </c>
      <c r="H241">
        <v>0.89347180000000004</v>
      </c>
      <c r="I241">
        <v>367.20010000000002</v>
      </c>
      <c r="J241">
        <v>-409.90350000000001</v>
      </c>
      <c r="K241">
        <v>1.071469</v>
      </c>
      <c r="L241">
        <v>367.33449999999999</v>
      </c>
      <c r="M241">
        <v>0.99988189999999999</v>
      </c>
      <c r="N241">
        <v>-1.4510749999999999E-2</v>
      </c>
      <c r="O241">
        <v>5.0601029999999998E-3</v>
      </c>
      <c r="P241">
        <v>0.98064960000000001</v>
      </c>
      <c r="Q241">
        <v>0.19192400000000001</v>
      </c>
      <c r="R241">
        <v>-3.8624239999999997E-2</v>
      </c>
      <c r="S241">
        <v>3.1699220000000001</v>
      </c>
      <c r="T241">
        <v>-0.65827469999999999</v>
      </c>
      <c r="U241">
        <v>-0.49005130000000002</v>
      </c>
      <c r="V241">
        <v>4.351762E-2</v>
      </c>
      <c r="W241">
        <v>0.2061451</v>
      </c>
      <c r="X241">
        <v>0.97755329999999996</v>
      </c>
      <c r="Y241">
        <v>0.1542384</v>
      </c>
      <c r="Z241">
        <v>-1.7854749999999999E-2</v>
      </c>
      <c r="AA241">
        <v>0.98787230000000004</v>
      </c>
      <c r="AB241">
        <v>33</v>
      </c>
      <c r="AC241">
        <v>0.50839999999999397</v>
      </c>
      <c r="AD241">
        <v>-0.177997199999999</v>
      </c>
      <c r="AE241">
        <v>-0.13439999999997099</v>
      </c>
      <c r="AF241">
        <v>0.12289123046535499</v>
      </c>
      <c r="AG241">
        <v>-0.177997199999999</v>
      </c>
      <c r="AH241">
        <v>0.45552320360384102</v>
      </c>
      <c r="AI241">
        <v>110.669758361975</v>
      </c>
      <c r="AJ241">
        <v>74.902152952201902</v>
      </c>
      <c r="AK241">
        <v>0.50426842728316401</v>
      </c>
      <c r="AL241">
        <v>78.103459914708495</v>
      </c>
      <c r="AM241">
        <v>87.451053736293105</v>
      </c>
      <c r="AN241">
        <v>1.00000001992268</v>
      </c>
    </row>
    <row r="242" spans="1:40" x14ac:dyDescent="0.25">
      <c r="A242" t="str">
        <f>"20190303170721163"</f>
        <v>20190303170721163</v>
      </c>
      <c r="B242" t="str">
        <f>"1551604041152282"</f>
        <v>1551604041152282</v>
      </c>
      <c r="C242" t="s">
        <v>40</v>
      </c>
      <c r="D242">
        <v>4.4680790000000004</v>
      </c>
      <c r="E242">
        <v>0.55365839999999999</v>
      </c>
      <c r="F242" t="s">
        <v>47</v>
      </c>
      <c r="G242">
        <v>-409.09589999999997</v>
      </c>
      <c r="H242">
        <v>0.9024894</v>
      </c>
      <c r="I242">
        <v>367.209</v>
      </c>
      <c r="J242">
        <v>-409.57690000000002</v>
      </c>
      <c r="K242">
        <v>1.0714649999999999</v>
      </c>
      <c r="L242">
        <v>367.33640000000003</v>
      </c>
      <c r="M242">
        <v>0.99988109999999997</v>
      </c>
      <c r="N242">
        <v>-1.4507229999999999E-2</v>
      </c>
      <c r="O242">
        <v>5.2237070000000002E-3</v>
      </c>
      <c r="P242">
        <v>0.98072859999999995</v>
      </c>
      <c r="Q242">
        <v>0.1914844</v>
      </c>
      <c r="R242">
        <v>-3.8797770000000002E-2</v>
      </c>
      <c r="S242">
        <v>3.1696780000000002</v>
      </c>
      <c r="T242">
        <v>-0.66337069999999998</v>
      </c>
      <c r="U242">
        <v>-0.4910583</v>
      </c>
      <c r="V242">
        <v>4.3853049999999998E-2</v>
      </c>
      <c r="W242">
        <v>0.2057032</v>
      </c>
      <c r="X242">
        <v>0.97763140000000004</v>
      </c>
      <c r="Y242">
        <v>0.1546525</v>
      </c>
      <c r="Z242">
        <v>-1.805988E-2</v>
      </c>
      <c r="AA242">
        <v>0.98780389999999996</v>
      </c>
      <c r="AB242">
        <v>33</v>
      </c>
      <c r="AC242">
        <v>0.481000000000051</v>
      </c>
      <c r="AD242">
        <v>-0.168975599999999</v>
      </c>
      <c r="AE242">
        <v>-0.127400000000022</v>
      </c>
      <c r="AF242">
        <v>0.11647859548299901</v>
      </c>
      <c r="AG242">
        <v>-0.168975599999999</v>
      </c>
      <c r="AH242">
        <v>0.43066298939815401</v>
      </c>
      <c r="AI242">
        <v>110.744334964611</v>
      </c>
      <c r="AJ242">
        <v>74.865678573895906</v>
      </c>
      <c r="AK242">
        <v>0.47706459419915698</v>
      </c>
      <c r="AL242">
        <v>78.129333507635593</v>
      </c>
      <c r="AM242">
        <v>87.431637814630193</v>
      </c>
      <c r="AN242">
        <v>1.0000000253752499</v>
      </c>
    </row>
    <row r="243" spans="1:40" x14ac:dyDescent="0.25">
      <c r="A243" t="str">
        <f>"20190303170721187"</f>
        <v>20190303170721187</v>
      </c>
      <c r="B243" t="str">
        <f>"1551604041182521"</f>
        <v>1551604041182521</v>
      </c>
      <c r="C243" t="s">
        <v>40</v>
      </c>
      <c r="D243">
        <v>4.4561590000000004</v>
      </c>
      <c r="E243">
        <v>0.55370889999999995</v>
      </c>
      <c r="F243" t="s">
        <v>47</v>
      </c>
      <c r="G243">
        <v>-408.79860000000002</v>
      </c>
      <c r="H243">
        <v>0.90798849999999998</v>
      </c>
      <c r="I243">
        <v>367.21469999999999</v>
      </c>
      <c r="J243">
        <v>-409.22910000000002</v>
      </c>
      <c r="K243">
        <v>1.071464</v>
      </c>
      <c r="L243">
        <v>367.3383</v>
      </c>
      <c r="M243">
        <v>0.99988030000000006</v>
      </c>
      <c r="N243">
        <v>-1.4503439999999999E-2</v>
      </c>
      <c r="O243">
        <v>5.3984039999999999E-3</v>
      </c>
      <c r="P243">
        <v>0.980661</v>
      </c>
      <c r="Q243">
        <v>0.19184970000000001</v>
      </c>
      <c r="R243">
        <v>-3.8703750000000002E-2</v>
      </c>
      <c r="S243">
        <v>3.1693730000000002</v>
      </c>
      <c r="T243">
        <v>-0.66575519999999999</v>
      </c>
      <c r="U243">
        <v>-0.49407960000000001</v>
      </c>
      <c r="V243">
        <v>4.3930370000000003E-2</v>
      </c>
      <c r="W243">
        <v>0.20606340000000001</v>
      </c>
      <c r="X243">
        <v>0.97755210000000003</v>
      </c>
      <c r="Y243">
        <v>0.1557065</v>
      </c>
      <c r="Z243">
        <v>-1.827022E-2</v>
      </c>
      <c r="AA243">
        <v>0.98763440000000002</v>
      </c>
      <c r="AB243">
        <v>33</v>
      </c>
      <c r="AC243">
        <v>0.430499999999995</v>
      </c>
      <c r="AD243">
        <v>-0.1634755</v>
      </c>
      <c r="AE243">
        <v>-0.12360000000000999</v>
      </c>
      <c r="AF243">
        <v>0.111119480583396</v>
      </c>
      <c r="AG243">
        <v>-0.1634755</v>
      </c>
      <c r="AH243">
        <v>0.37929761936122602</v>
      </c>
      <c r="AI243">
        <v>112.470539734944</v>
      </c>
      <c r="AJ243">
        <v>73.671463550298697</v>
      </c>
      <c r="AK243">
        <v>0.42771306049554703</v>
      </c>
      <c r="AL243">
        <v>78.108244113099403</v>
      </c>
      <c r="AM243">
        <v>87.426907023292898</v>
      </c>
      <c r="AN243">
        <v>1.0000000552211501</v>
      </c>
    </row>
    <row r="244" spans="1:40" x14ac:dyDescent="0.25">
      <c r="A244" t="str">
        <f>"20190303170721208"</f>
        <v>20190303170721208</v>
      </c>
      <c r="B244" t="str">
        <f>"1551604041202041"</f>
        <v>1551604041202041</v>
      </c>
      <c r="C244" t="s">
        <v>40</v>
      </c>
      <c r="D244">
        <v>4.4432910000000003</v>
      </c>
      <c r="E244">
        <v>0.55388719999999902</v>
      </c>
      <c r="F244" t="s">
        <v>47</v>
      </c>
      <c r="G244">
        <v>-408.49939999999998</v>
      </c>
      <c r="H244">
        <v>0.91819980000000001</v>
      </c>
      <c r="I244">
        <v>367.22430000000003</v>
      </c>
      <c r="J244">
        <v>-408.90550000000002</v>
      </c>
      <c r="K244">
        <v>1.0714600000000001</v>
      </c>
      <c r="L244">
        <v>367.34030000000001</v>
      </c>
      <c r="M244">
        <v>0.99987939999999997</v>
      </c>
      <c r="N244">
        <v>-1.4499929999999999E-2</v>
      </c>
      <c r="O244">
        <v>5.5602960000000002E-3</v>
      </c>
      <c r="P244">
        <v>0.98055879999999995</v>
      </c>
      <c r="Q244">
        <v>0.1921938</v>
      </c>
      <c r="R244">
        <v>-3.9574459999999999E-2</v>
      </c>
      <c r="S244">
        <v>3.1699519999999999</v>
      </c>
      <c r="T244">
        <v>-0.66605709999999996</v>
      </c>
      <c r="U244">
        <v>-0.4936218</v>
      </c>
      <c r="V244">
        <v>4.4959539999999999E-2</v>
      </c>
      <c r="W244">
        <v>0.20640269999999999</v>
      </c>
      <c r="X244">
        <v>0.97743369999999996</v>
      </c>
      <c r="Y244">
        <v>0.1556949</v>
      </c>
      <c r="Z244">
        <v>-1.8304580000000001E-2</v>
      </c>
      <c r="AA244">
        <v>0.98763559999999995</v>
      </c>
      <c r="AB244">
        <v>33</v>
      </c>
      <c r="AC244">
        <v>0.40610000000003699</v>
      </c>
      <c r="AD244">
        <v>-0.15326020000000001</v>
      </c>
      <c r="AE244">
        <v>-0.115999999999985</v>
      </c>
      <c r="AF244">
        <v>0.104496133583369</v>
      </c>
      <c r="AG244">
        <v>-0.15326020000000001</v>
      </c>
      <c r="AH244">
        <v>0.35827057583805699</v>
      </c>
      <c r="AI244">
        <v>112.32631469620701</v>
      </c>
      <c r="AJ244">
        <v>73.739714382546694</v>
      </c>
      <c r="AK244">
        <v>0.40344260601632898</v>
      </c>
      <c r="AL244">
        <v>78.088376333332903</v>
      </c>
      <c r="AM244">
        <v>87.366391750667304</v>
      </c>
      <c r="AN244">
        <v>1.0000000363499899</v>
      </c>
    </row>
    <row r="245" spans="1:40" x14ac:dyDescent="0.25">
      <c r="A245" t="str">
        <f>"20190303170721231"</f>
        <v>20190303170721231</v>
      </c>
      <c r="B245" t="str">
        <f>"1551604041222537"</f>
        <v>1551604041222537</v>
      </c>
      <c r="C245" t="s">
        <v>40</v>
      </c>
      <c r="D245">
        <v>4.4057500000000003</v>
      </c>
      <c r="E245">
        <v>0.55393769999999998</v>
      </c>
      <c r="F245" t="s">
        <v>47</v>
      </c>
      <c r="G245">
        <v>-408.20260000000002</v>
      </c>
      <c r="H245">
        <v>0.92395389999999999</v>
      </c>
      <c r="I245">
        <v>367.22949999999997</v>
      </c>
      <c r="J245">
        <v>-408.5865</v>
      </c>
      <c r="K245">
        <v>1.071458</v>
      </c>
      <c r="L245">
        <v>367.34219999999999</v>
      </c>
      <c r="M245">
        <v>0.99987859999999995</v>
      </c>
      <c r="N245">
        <v>-1.4496500000000001E-2</v>
      </c>
      <c r="O245">
        <v>5.7206899999999996E-3</v>
      </c>
      <c r="P245">
        <v>0.98057819999999996</v>
      </c>
      <c r="Q245">
        <v>0.19204180000000001</v>
      </c>
      <c r="R245">
        <v>-3.9829749999999997E-2</v>
      </c>
      <c r="S245">
        <v>3.1698</v>
      </c>
      <c r="T245">
        <v>-0.66536719999999905</v>
      </c>
      <c r="U245">
        <v>-0.49835210000000002</v>
      </c>
      <c r="V245">
        <v>4.537277E-2</v>
      </c>
      <c r="W245">
        <v>0.20624770000000001</v>
      </c>
      <c r="X245">
        <v>0.97744730000000002</v>
      </c>
      <c r="Y245">
        <v>0.15726789999999999</v>
      </c>
      <c r="Z245">
        <v>-1.8490639999999999E-2</v>
      </c>
      <c r="AA245">
        <v>0.9873828</v>
      </c>
      <c r="AB245">
        <v>33</v>
      </c>
      <c r="AC245">
        <v>0.38389999999998198</v>
      </c>
      <c r="AD245">
        <v>-0.147504099999999</v>
      </c>
      <c r="AE245">
        <v>-0.11270000000001799</v>
      </c>
      <c r="AF245">
        <v>0.101147079029291</v>
      </c>
      <c r="AG245">
        <v>-0.147504099999999</v>
      </c>
      <c r="AH245">
        <v>0.33739203890196501</v>
      </c>
      <c r="AI245">
        <v>112.722728396332</v>
      </c>
      <c r="AJ245">
        <v>73.311745228087105</v>
      </c>
      <c r="AK245">
        <v>0.38186591760380001</v>
      </c>
      <c r="AL245">
        <v>78.097452185412905</v>
      </c>
      <c r="AM245">
        <v>87.342257332511494</v>
      </c>
      <c r="AN245">
        <v>1.00000001314502</v>
      </c>
    </row>
    <row r="246" spans="1:40" x14ac:dyDescent="0.25">
      <c r="A246" t="str">
        <f>"20190303170721252"</f>
        <v>20190303170721252</v>
      </c>
      <c r="B246" t="str">
        <f>"1551604041242060"</f>
        <v>1551604041242060</v>
      </c>
      <c r="C246" t="s">
        <v>40</v>
      </c>
      <c r="D246">
        <v>4.383286</v>
      </c>
      <c r="E246">
        <v>0.55386610000000003</v>
      </c>
      <c r="F246" t="s">
        <v>47</v>
      </c>
      <c r="G246">
        <v>-407.6379</v>
      </c>
      <c r="H246">
        <v>0.87211949999999905</v>
      </c>
      <c r="I246">
        <v>367.19260000000003</v>
      </c>
      <c r="J246">
        <v>-408.25889999999998</v>
      </c>
      <c r="K246">
        <v>1.071456</v>
      </c>
      <c r="L246">
        <v>367.34429999999998</v>
      </c>
      <c r="M246">
        <v>0.99987760000000003</v>
      </c>
      <c r="N246">
        <v>-1.4492939999999999E-2</v>
      </c>
      <c r="O246">
        <v>5.8855610000000001E-3</v>
      </c>
      <c r="P246">
        <v>0.98074329999999998</v>
      </c>
      <c r="Q246">
        <v>0.19115280000000001</v>
      </c>
      <c r="R246">
        <v>-4.0039709999999999E-2</v>
      </c>
      <c r="S246">
        <v>3.1696170000000001</v>
      </c>
      <c r="T246">
        <v>-0.66621409999999903</v>
      </c>
      <c r="U246">
        <v>-0.49877929999999998</v>
      </c>
      <c r="V246">
        <v>4.5745950000000001E-2</v>
      </c>
      <c r="W246">
        <v>0.2053574</v>
      </c>
      <c r="X246">
        <v>0.97761730000000002</v>
      </c>
      <c r="Y246">
        <v>0.15755050000000001</v>
      </c>
      <c r="Z246">
        <v>-1.8575930000000001E-2</v>
      </c>
      <c r="AA246">
        <v>0.9873362</v>
      </c>
      <c r="AB246">
        <v>33</v>
      </c>
      <c r="AC246">
        <v>0.62099999999998001</v>
      </c>
      <c r="AD246">
        <v>-0.1993365</v>
      </c>
      <c r="AE246">
        <v>-0.15169999999994799</v>
      </c>
      <c r="AF246">
        <v>0.14158574530489201</v>
      </c>
      <c r="AG246">
        <v>-0.1993365</v>
      </c>
      <c r="AH246">
        <v>0.56514501491259495</v>
      </c>
      <c r="AI246">
        <v>108.888047042427</v>
      </c>
      <c r="AJ246">
        <v>75.935182980840395</v>
      </c>
      <c r="AK246">
        <v>0.61576817990730004</v>
      </c>
      <c r="AL246">
        <v>78.149577933241702</v>
      </c>
      <c r="AM246">
        <v>87.320895052614404</v>
      </c>
      <c r="AN246">
        <v>0.99999996946772496</v>
      </c>
    </row>
    <row r="247" spans="1:40" x14ac:dyDescent="0.25">
      <c r="A247" t="str">
        <f>"20190303170721274"</f>
        <v>20190303170721274</v>
      </c>
      <c r="B247" t="str">
        <f>"1551604041262552"</f>
        <v>1551604041262552</v>
      </c>
      <c r="C247" t="s">
        <v>40</v>
      </c>
      <c r="D247">
        <v>4.3959729999999997</v>
      </c>
      <c r="E247">
        <v>0.55387089999999894</v>
      </c>
      <c r="F247" t="s">
        <v>47</v>
      </c>
      <c r="G247">
        <v>-407.34249999999997</v>
      </c>
      <c r="H247">
        <v>0.87795259999999997</v>
      </c>
      <c r="I247">
        <v>367.19959999999998</v>
      </c>
      <c r="J247">
        <v>-407.9393</v>
      </c>
      <c r="K247">
        <v>1.0714490000000001</v>
      </c>
      <c r="L247">
        <v>367.34629999999999</v>
      </c>
      <c r="M247">
        <v>0.99987669999999995</v>
      </c>
      <c r="N247">
        <v>-1.448956E-2</v>
      </c>
      <c r="O247">
        <v>6.0459060000000002E-3</v>
      </c>
      <c r="P247">
        <v>0.98084059999999995</v>
      </c>
      <c r="Q247">
        <v>0.19059190000000001</v>
      </c>
      <c r="R247">
        <v>-4.033262E-2</v>
      </c>
      <c r="S247">
        <v>3.169006</v>
      </c>
      <c r="T247">
        <v>-0.66932150000000001</v>
      </c>
      <c r="U247">
        <v>-0.49850460000000002</v>
      </c>
      <c r="V247">
        <v>4.619699E-2</v>
      </c>
      <c r="W247">
        <v>0.20479459999999999</v>
      </c>
      <c r="X247">
        <v>0.97771419999999998</v>
      </c>
      <c r="Y247">
        <v>0.15761520000000001</v>
      </c>
      <c r="Z247">
        <v>-1.86973E-2</v>
      </c>
      <c r="AA247">
        <v>0.98732359999999997</v>
      </c>
      <c r="AB247">
        <v>33</v>
      </c>
      <c r="AC247">
        <v>0.59680000000002997</v>
      </c>
      <c r="AD247">
        <v>-0.19349639999999901</v>
      </c>
      <c r="AE247">
        <v>-0.14670000000000899</v>
      </c>
      <c r="AF247">
        <v>0.13674976809140199</v>
      </c>
      <c r="AG247">
        <v>-0.19349639999999901</v>
      </c>
      <c r="AH247">
        <v>0.54215750786391603</v>
      </c>
      <c r="AI247">
        <v>109.088792372306</v>
      </c>
      <c r="AJ247">
        <v>75.843428938148094</v>
      </c>
      <c r="AK247">
        <v>0.59167230729452303</v>
      </c>
      <c r="AL247">
        <v>78.182524886014903</v>
      </c>
      <c r="AM247">
        <v>87.294786754900599</v>
      </c>
      <c r="AN247">
        <v>1.0000000234779201</v>
      </c>
    </row>
    <row r="248" spans="1:40" x14ac:dyDescent="0.25">
      <c r="A248" t="str">
        <f>"20190303170721296"</f>
        <v>20190303170721296</v>
      </c>
      <c r="B248" t="str">
        <f>"1551604041291833"</f>
        <v>1551604041291833</v>
      </c>
      <c r="C248" t="s">
        <v>40</v>
      </c>
      <c r="D248">
        <v>4.3704020000000003</v>
      </c>
      <c r="E248">
        <v>0.55378680000000002</v>
      </c>
      <c r="F248" t="s">
        <v>47</v>
      </c>
      <c r="G248">
        <v>-407.048</v>
      </c>
      <c r="H248">
        <v>0.88255309999999898</v>
      </c>
      <c r="I248">
        <v>367.20600000000002</v>
      </c>
      <c r="J248">
        <v>-407.6216</v>
      </c>
      <c r="K248">
        <v>1.0714520000000001</v>
      </c>
      <c r="L248">
        <v>367.34840000000003</v>
      </c>
      <c r="M248">
        <v>0.99987579999999998</v>
      </c>
      <c r="N248">
        <v>-1.4486229999999999E-2</v>
      </c>
      <c r="O248">
        <v>6.2057700000000002E-3</v>
      </c>
      <c r="P248">
        <v>0.98092480000000004</v>
      </c>
      <c r="Q248">
        <v>0.19011729999999999</v>
      </c>
      <c r="R248">
        <v>-4.0518690000000003E-2</v>
      </c>
      <c r="S248">
        <v>3.1686100000000001</v>
      </c>
      <c r="T248">
        <v>-0.6716413</v>
      </c>
      <c r="U248">
        <v>-0.49877929999999998</v>
      </c>
      <c r="V248">
        <v>4.6540999999999999E-2</v>
      </c>
      <c r="W248">
        <v>0.204318</v>
      </c>
      <c r="X248">
        <v>0.97779760000000004</v>
      </c>
      <c r="Y248">
        <v>0.15784139999999999</v>
      </c>
      <c r="Z248">
        <v>-1.881524E-2</v>
      </c>
      <c r="AA248">
        <v>0.98728519999999997</v>
      </c>
      <c r="AB248">
        <v>33</v>
      </c>
      <c r="AC248">
        <v>0.573599999999999</v>
      </c>
      <c r="AD248">
        <v>-0.18889890000000001</v>
      </c>
      <c r="AE248">
        <v>-0.142400000000066</v>
      </c>
      <c r="AF248">
        <v>0.132428774609433</v>
      </c>
      <c r="AG248">
        <v>-0.18889890000000001</v>
      </c>
      <c r="AH248">
        <v>0.51962226450371096</v>
      </c>
      <c r="AI248">
        <v>109.405877325437</v>
      </c>
      <c r="AJ248">
        <v>75.702203270201395</v>
      </c>
      <c r="AK248">
        <v>0.56853097763774496</v>
      </c>
      <c r="AL248">
        <v>78.210421999302795</v>
      </c>
      <c r="AM248">
        <v>87.274904505807399</v>
      </c>
      <c r="AN248">
        <v>1.00000002818537</v>
      </c>
    </row>
    <row r="249" spans="1:40" x14ac:dyDescent="0.25">
      <c r="A249" t="str">
        <f>"20190303170721319"</f>
        <v>20190303170721319</v>
      </c>
      <c r="B249" t="str">
        <f>"1551604041312329"</f>
        <v>1551604041312329</v>
      </c>
      <c r="C249" t="s">
        <v>40</v>
      </c>
      <c r="D249">
        <v>4.390136</v>
      </c>
      <c r="E249">
        <v>0.55385699999999904</v>
      </c>
      <c r="F249" t="s">
        <v>47</v>
      </c>
      <c r="G249">
        <v>-406.75369999999998</v>
      </c>
      <c r="H249">
        <v>0.88698009999999905</v>
      </c>
      <c r="I249">
        <v>367.21109999999999</v>
      </c>
      <c r="J249">
        <v>-407.29109999999997</v>
      </c>
      <c r="K249">
        <v>1.07145</v>
      </c>
      <c r="L249">
        <v>367.35059999999999</v>
      </c>
      <c r="M249">
        <v>0.99987490000000001</v>
      </c>
      <c r="N249">
        <v>-1.4482790000000001E-2</v>
      </c>
      <c r="O249">
        <v>6.371481E-3</v>
      </c>
      <c r="P249">
        <v>0.980877</v>
      </c>
      <c r="Q249">
        <v>0.1904613</v>
      </c>
      <c r="R249">
        <v>-4.0064610000000001E-2</v>
      </c>
      <c r="S249">
        <v>3.1682739999999998</v>
      </c>
      <c r="T249">
        <v>-0.67362549999999999</v>
      </c>
      <c r="U249">
        <v>-0.49942019999999998</v>
      </c>
      <c r="V249">
        <v>4.6248980000000002E-2</v>
      </c>
      <c r="W249">
        <v>0.2046579</v>
      </c>
      <c r="X249">
        <v>0.97774030000000001</v>
      </c>
      <c r="Y249">
        <v>0.15818270000000001</v>
      </c>
      <c r="Z249">
        <v>-1.8938380000000001E-2</v>
      </c>
      <c r="AA249">
        <v>0.9872282</v>
      </c>
      <c r="AB249">
        <v>33</v>
      </c>
      <c r="AC249">
        <v>0.537399999999991</v>
      </c>
      <c r="AD249">
        <v>-0.18446989999999999</v>
      </c>
      <c r="AE249">
        <v>-0.13949999999999799</v>
      </c>
      <c r="AF249">
        <v>0.12871277681917201</v>
      </c>
      <c r="AG249">
        <v>-0.18446989999999999</v>
      </c>
      <c r="AH249">
        <v>0.483163120900512</v>
      </c>
      <c r="AI249">
        <v>110.250519581202</v>
      </c>
      <c r="AJ249">
        <v>75.0830562880206</v>
      </c>
      <c r="AK249">
        <v>0.532956587651222</v>
      </c>
      <c r="AL249">
        <v>78.190525933363702</v>
      </c>
      <c r="AM249">
        <v>87.291819030511704</v>
      </c>
      <c r="AN249">
        <v>0.99999995921376905</v>
      </c>
    </row>
    <row r="250" spans="1:40" x14ac:dyDescent="0.25">
      <c r="A250" t="str">
        <f>"20190303170721342"</f>
        <v>20190303170721342</v>
      </c>
      <c r="B250" t="str">
        <f>"1551604041332825"</f>
        <v>1551604041332825</v>
      </c>
      <c r="C250" t="s">
        <v>40</v>
      </c>
      <c r="D250">
        <v>4.3843759999999996</v>
      </c>
      <c r="E250">
        <v>0.55383749999999998</v>
      </c>
      <c r="F250" t="s">
        <v>47</v>
      </c>
      <c r="G250">
        <v>-406.4581</v>
      </c>
      <c r="H250">
        <v>0.89484430000000004</v>
      </c>
      <c r="I250">
        <v>367.2192</v>
      </c>
      <c r="J250">
        <v>-406.94639999999998</v>
      </c>
      <c r="K250">
        <v>1.071456</v>
      </c>
      <c r="L250">
        <v>367.35300000000001</v>
      </c>
      <c r="M250">
        <v>0.99987389999999998</v>
      </c>
      <c r="N250">
        <v>-1.4479240000000001E-2</v>
      </c>
      <c r="O250">
        <v>6.5445800000000004E-3</v>
      </c>
      <c r="P250">
        <v>0.9808656</v>
      </c>
      <c r="Q250">
        <v>0.1907034</v>
      </c>
      <c r="R250">
        <v>-3.9183530000000001E-2</v>
      </c>
      <c r="S250">
        <v>3.168488</v>
      </c>
      <c r="T250">
        <v>-0.67173579999999999</v>
      </c>
      <c r="U250">
        <v>-0.50018309999999999</v>
      </c>
      <c r="V250">
        <v>4.5537880000000003E-2</v>
      </c>
      <c r="W250">
        <v>0.20489640000000001</v>
      </c>
      <c r="X250">
        <v>0.97772380000000003</v>
      </c>
      <c r="Y250">
        <v>0.1585839</v>
      </c>
      <c r="Z250">
        <v>-1.8965929999999999E-2</v>
      </c>
      <c r="AA250">
        <v>0.98716340000000002</v>
      </c>
      <c r="AB250">
        <v>33</v>
      </c>
      <c r="AC250">
        <v>0.48829999999998103</v>
      </c>
      <c r="AD250">
        <v>-0.17661169999999901</v>
      </c>
      <c r="AE250">
        <v>-0.133800000000007</v>
      </c>
      <c r="AF250">
        <v>0.122132010089135</v>
      </c>
      <c r="AG250">
        <v>-0.17661169999999901</v>
      </c>
      <c r="AH250">
        <v>0.43453858188313299</v>
      </c>
      <c r="AI250">
        <v>111.36912877165901</v>
      </c>
      <c r="AJ250">
        <v>74.301378011585399</v>
      </c>
      <c r="AK250">
        <v>0.48469753414919198</v>
      </c>
      <c r="AL250">
        <v>78.176565901758096</v>
      </c>
      <c r="AM250">
        <v>87.333353089355199</v>
      </c>
      <c r="AN250">
        <v>1.00000003116714</v>
      </c>
    </row>
    <row r="251" spans="1:40" x14ac:dyDescent="0.25">
      <c r="A251" t="str">
        <f>"20190303170721365"</f>
        <v>20190303170721365</v>
      </c>
      <c r="B251" t="str">
        <f>"1551604041352854"</f>
        <v>1551604041352854</v>
      </c>
      <c r="C251" t="s">
        <v>40</v>
      </c>
      <c r="D251">
        <v>4.5416309999999998</v>
      </c>
      <c r="E251">
        <v>0.55390539999999999</v>
      </c>
      <c r="F251" t="s">
        <v>47</v>
      </c>
      <c r="G251">
        <v>-406.16160000000002</v>
      </c>
      <c r="H251">
        <v>0.90549550000000001</v>
      </c>
      <c r="I251">
        <v>367.2294</v>
      </c>
      <c r="J251">
        <v>-406.6223</v>
      </c>
      <c r="K251">
        <v>1.071458</v>
      </c>
      <c r="L251">
        <v>367.3553</v>
      </c>
      <c r="M251">
        <v>0.99987269999999995</v>
      </c>
      <c r="N251">
        <v>-1.447591E-2</v>
      </c>
      <c r="O251">
        <v>6.707546E-3</v>
      </c>
      <c r="P251">
        <v>0.98106800000000005</v>
      </c>
      <c r="Q251">
        <v>0.18980820000000001</v>
      </c>
      <c r="R251">
        <v>-3.844624E-2</v>
      </c>
      <c r="S251">
        <v>3.1689759999999998</v>
      </c>
      <c r="T251">
        <v>-0.67029799999999995</v>
      </c>
      <c r="U251">
        <v>-0.49719239999999998</v>
      </c>
      <c r="V251">
        <v>4.4962549999999997E-2</v>
      </c>
      <c r="W251">
        <v>0.2040006</v>
      </c>
      <c r="X251">
        <v>0.97793770000000002</v>
      </c>
      <c r="Y251">
        <v>0.15784239999999999</v>
      </c>
      <c r="Z251">
        <v>-1.8875659999999999E-2</v>
      </c>
      <c r="AA251">
        <v>0.98728389999999999</v>
      </c>
      <c r="AB251">
        <v>33</v>
      </c>
      <c r="AC251">
        <v>0.46069999999997402</v>
      </c>
      <c r="AD251">
        <v>-0.16596250000000001</v>
      </c>
      <c r="AE251">
        <v>-0.12590000000000101</v>
      </c>
      <c r="AF251">
        <v>0.115090011844708</v>
      </c>
      <c r="AG251">
        <v>-0.16596250000000001</v>
      </c>
      <c r="AH251">
        <v>0.410299520507659</v>
      </c>
      <c r="AI251">
        <v>111.27889962026001</v>
      </c>
      <c r="AJ251">
        <v>74.331062828917595</v>
      </c>
      <c r="AK251">
        <v>0.45731275814422701</v>
      </c>
      <c r="AL251">
        <v>78.228998740587599</v>
      </c>
      <c r="AM251">
        <v>87.367571145494395</v>
      </c>
      <c r="AN251">
        <v>1.0000000103920701</v>
      </c>
    </row>
    <row r="252" spans="1:40" x14ac:dyDescent="0.25">
      <c r="A252" t="str">
        <f>"20190303170721388"</f>
        <v>20190303170721388</v>
      </c>
      <c r="B252" t="str">
        <f>"1551604041382133"</f>
        <v>1551604041382133</v>
      </c>
      <c r="C252" t="s">
        <v>40</v>
      </c>
      <c r="D252">
        <v>4.3555799999999998</v>
      </c>
      <c r="E252">
        <v>0.51933739999999995</v>
      </c>
      <c r="F252" t="s">
        <v>47</v>
      </c>
      <c r="G252">
        <v>-405.86759999999998</v>
      </c>
      <c r="H252">
        <v>0.91120140000000005</v>
      </c>
      <c r="I252">
        <v>367.23700000000002</v>
      </c>
      <c r="J252">
        <v>-406.28199999999998</v>
      </c>
      <c r="K252">
        <v>1.0714539999999999</v>
      </c>
      <c r="L252">
        <v>367.3578</v>
      </c>
      <c r="M252">
        <v>0.99987170000000003</v>
      </c>
      <c r="N252">
        <v>-1.4472399999999899E-2</v>
      </c>
      <c r="O252">
        <v>6.8785599999999997E-3</v>
      </c>
      <c r="P252">
        <v>0.98117580000000004</v>
      </c>
      <c r="Q252">
        <v>0.1894364</v>
      </c>
      <c r="R252">
        <v>-3.7525500000000003E-2</v>
      </c>
      <c r="S252">
        <v>3.168701</v>
      </c>
      <c r="T252">
        <v>-0.67305230000000005</v>
      </c>
      <c r="U252">
        <v>-0.49539179999999999</v>
      </c>
      <c r="V252">
        <v>4.4210529999999998E-2</v>
      </c>
      <c r="W252">
        <v>0.20362620000000001</v>
      </c>
      <c r="X252">
        <v>0.97804999999999997</v>
      </c>
      <c r="Y252">
        <v>0.1574517</v>
      </c>
      <c r="Z252">
        <v>-1.893895E-2</v>
      </c>
      <c r="AA252">
        <v>0.98734509999999998</v>
      </c>
      <c r="AB252">
        <v>33</v>
      </c>
      <c r="AC252">
        <v>0.41439999999999999</v>
      </c>
      <c r="AD252">
        <v>-0.1602526</v>
      </c>
      <c r="AE252">
        <v>-0.12080000000003099</v>
      </c>
      <c r="AF252">
        <v>0.10866972736328399</v>
      </c>
      <c r="AG252">
        <v>-0.1602526</v>
      </c>
      <c r="AH252">
        <v>0.363462359962411</v>
      </c>
      <c r="AI252">
        <v>112.90059841786</v>
      </c>
      <c r="AJ252">
        <v>73.354133666985106</v>
      </c>
      <c r="AK252">
        <v>0.41181900461418203</v>
      </c>
      <c r="AL252">
        <v>78.250910100218306</v>
      </c>
      <c r="AM252">
        <v>87.411836180520496</v>
      </c>
      <c r="AN252">
        <v>1.0000000013946599</v>
      </c>
    </row>
    <row r="253" spans="1:40" x14ac:dyDescent="0.25">
      <c r="A253" t="str">
        <f>"20190303170721411"</f>
        <v>20190303170721411</v>
      </c>
      <c r="B253" t="str">
        <f>"1551604041402628"</f>
        <v>1551604041402628</v>
      </c>
      <c r="C253" t="s">
        <v>40</v>
      </c>
      <c r="D253">
        <v>4.3009559999999896</v>
      </c>
      <c r="E253">
        <v>0.51084790000000002</v>
      </c>
      <c r="F253" t="s">
        <v>47</v>
      </c>
      <c r="G253">
        <v>-405.54590000000002</v>
      </c>
      <c r="H253">
        <v>0.97588710000000001</v>
      </c>
      <c r="I253">
        <v>367.3039</v>
      </c>
      <c r="J253">
        <v>-405.9581</v>
      </c>
      <c r="K253">
        <v>1.071453</v>
      </c>
      <c r="L253">
        <v>367.36020000000002</v>
      </c>
      <c r="M253">
        <v>0.99987060000000005</v>
      </c>
      <c r="N253">
        <v>-1.446889E-2</v>
      </c>
      <c r="O253">
        <v>7.041706E-3</v>
      </c>
      <c r="P253">
        <v>0.98133910000000002</v>
      </c>
      <c r="Q253">
        <v>0.18866250000000001</v>
      </c>
      <c r="R253">
        <v>-3.7147289999999999E-2</v>
      </c>
      <c r="S253">
        <v>3.127319</v>
      </c>
      <c r="T253">
        <v>-0.40635589999999999</v>
      </c>
      <c r="U253">
        <v>-0.22726440000000001</v>
      </c>
      <c r="V253">
        <v>4.3994199999999997E-2</v>
      </c>
      <c r="W253">
        <v>0.20285120000000001</v>
      </c>
      <c r="X253">
        <v>0.9782208</v>
      </c>
      <c r="Y253">
        <v>7.8722520000000004E-2</v>
      </c>
      <c r="Z253">
        <v>-6.4680479999999997E-3</v>
      </c>
      <c r="AA253">
        <v>0.99687559999999997</v>
      </c>
      <c r="AB253">
        <v>33</v>
      </c>
      <c r="AC253">
        <v>0.41219999999998402</v>
      </c>
      <c r="AD253">
        <v>-9.5565899999999995E-2</v>
      </c>
      <c r="AE253">
        <v>-5.63000000000215E-2</v>
      </c>
      <c r="AF253">
        <v>5.6234187268460099E-2</v>
      </c>
      <c r="AG253">
        <v>-9.5565899999999995E-2</v>
      </c>
      <c r="AH253">
        <v>0.39115328846560599</v>
      </c>
      <c r="AI253">
        <v>103.594937019325</v>
      </c>
      <c r="AJ253">
        <v>81.818923095099805</v>
      </c>
      <c r="AK253">
        <v>0.40656613255165702</v>
      </c>
      <c r="AL253">
        <v>78.296261012265205</v>
      </c>
      <c r="AM253">
        <v>87.4249325192214</v>
      </c>
      <c r="AN253">
        <v>1.00000001626385</v>
      </c>
    </row>
    <row r="254" spans="1:40" x14ac:dyDescent="0.25">
      <c r="A254" t="str">
        <f>"20190303170721430"</f>
        <v>20190303170721430</v>
      </c>
      <c r="B254" t="str">
        <f>"1551604041422149"</f>
        <v>1551604041422149</v>
      </c>
      <c r="C254" t="s">
        <v>40</v>
      </c>
      <c r="D254">
        <v>4.3148989999999996</v>
      </c>
      <c r="E254">
        <v>0.50680919999999996</v>
      </c>
      <c r="F254" t="s">
        <v>47</v>
      </c>
      <c r="G254">
        <v>-404.96390000000002</v>
      </c>
      <c r="H254">
        <v>0.97775529999999999</v>
      </c>
      <c r="I254">
        <v>367.30759999999998</v>
      </c>
      <c r="J254">
        <v>-405.65690000000001</v>
      </c>
      <c r="K254">
        <v>1.0714539999999999</v>
      </c>
      <c r="L254">
        <v>367.36250000000001</v>
      </c>
      <c r="M254">
        <v>0.99986949999999997</v>
      </c>
      <c r="N254">
        <v>-1.4465749999999999E-2</v>
      </c>
      <c r="O254">
        <v>7.1932300000000001E-3</v>
      </c>
      <c r="P254">
        <v>0.9815294</v>
      </c>
      <c r="Q254">
        <v>0.18767500000000001</v>
      </c>
      <c r="R254">
        <v>-3.7125900000000003E-2</v>
      </c>
      <c r="S254">
        <v>3.1071469999999999</v>
      </c>
      <c r="T254">
        <v>-0.29305959999999998</v>
      </c>
      <c r="U254">
        <v>-0.16314699999999999</v>
      </c>
      <c r="V254">
        <v>4.4123179999999998E-2</v>
      </c>
      <c r="W254">
        <v>0.20186309999999999</v>
      </c>
      <c r="X254">
        <v>0.97841940000000005</v>
      </c>
      <c r="Y254">
        <v>5.9291709999999997E-2</v>
      </c>
      <c r="Z254">
        <v>-3.7910190000000001E-3</v>
      </c>
      <c r="AA254">
        <v>0.9982335</v>
      </c>
      <c r="AB254">
        <v>33</v>
      </c>
      <c r="AC254">
        <v>0.69299999999998296</v>
      </c>
      <c r="AD254">
        <v>-9.3698700000000107E-2</v>
      </c>
      <c r="AE254">
        <v>-5.4900000000031902E-2</v>
      </c>
      <c r="AF254">
        <v>5.8815507141059598E-2</v>
      </c>
      <c r="AG254">
        <v>-9.3698700000000107E-2</v>
      </c>
      <c r="AH254">
        <v>0.68022938017516499</v>
      </c>
      <c r="AI254">
        <v>97.814101912732198</v>
      </c>
      <c r="AJ254">
        <v>85.058255222885293</v>
      </c>
      <c r="AK254">
        <v>0.68916668514622703</v>
      </c>
      <c r="AL254">
        <v>78.354071288195797</v>
      </c>
      <c r="AM254">
        <v>87.417916780687307</v>
      </c>
      <c r="AN254">
        <v>1.00000004422564</v>
      </c>
    </row>
    <row r="255" spans="1:40" x14ac:dyDescent="0.25">
      <c r="A255" t="str">
        <f>"20190303170721453"</f>
        <v>20190303170721453</v>
      </c>
      <c r="B255" t="str">
        <f>"1551604041442645"</f>
        <v>1551604041442645</v>
      </c>
      <c r="C255" t="s">
        <v>40</v>
      </c>
      <c r="D255">
        <v>4.3931820000000004</v>
      </c>
      <c r="E255">
        <v>0.5039479</v>
      </c>
      <c r="F255" t="s">
        <v>47</v>
      </c>
      <c r="G255">
        <v>-404.66239999999999</v>
      </c>
      <c r="H255">
        <v>0.99713960000000001</v>
      </c>
      <c r="I255">
        <v>367.31920000000002</v>
      </c>
      <c r="J255">
        <v>-405.33269999999999</v>
      </c>
      <c r="K255">
        <v>1.0714539999999999</v>
      </c>
      <c r="L255">
        <v>367.36500000000001</v>
      </c>
      <c r="M255">
        <v>0.99986850000000005</v>
      </c>
      <c r="N255">
        <v>-1.4462350000000001E-2</v>
      </c>
      <c r="O255">
        <v>7.3558440000000003E-3</v>
      </c>
      <c r="P255">
        <v>0.98157490000000003</v>
      </c>
      <c r="Q255">
        <v>0.1874178</v>
      </c>
      <c r="R255">
        <v>-3.7224529999999999E-2</v>
      </c>
      <c r="S255">
        <v>3.0956419999999998</v>
      </c>
      <c r="T255">
        <v>-0.2316251</v>
      </c>
      <c r="U255">
        <v>-0.13366700000000001</v>
      </c>
      <c r="V255">
        <v>4.4381709999999998E-2</v>
      </c>
      <c r="W255">
        <v>0.20160339999999999</v>
      </c>
      <c r="X255">
        <v>0.97846120000000003</v>
      </c>
      <c r="Y255">
        <v>5.0306499999999997E-2</v>
      </c>
      <c r="Z255">
        <v>-2.686276E-3</v>
      </c>
      <c r="AA255">
        <v>0.99873020000000001</v>
      </c>
      <c r="AB255">
        <v>32</v>
      </c>
      <c r="AC255">
        <v>0.67029999999999701</v>
      </c>
      <c r="AD255">
        <v>-7.43144000000001E-2</v>
      </c>
      <c r="AE255">
        <v>-4.5799999999985602E-2</v>
      </c>
      <c r="AF255">
        <v>5.0116746771488703E-2</v>
      </c>
      <c r="AG255">
        <v>-7.43144000000001E-2</v>
      </c>
      <c r="AH255">
        <v>0.66184758366424201</v>
      </c>
      <c r="AI255">
        <v>96.388385839353305</v>
      </c>
      <c r="AJ255">
        <v>85.669684839150705</v>
      </c>
      <c r="AK255">
        <v>0.66788961839252603</v>
      </c>
      <c r="AL255">
        <v>78.369262744180702</v>
      </c>
      <c r="AM255">
        <v>87.402919092335594</v>
      </c>
      <c r="AN255">
        <v>0.99999999348976198</v>
      </c>
    </row>
    <row r="256" spans="1:40" x14ac:dyDescent="0.25">
      <c r="A256" t="str">
        <f>"20190303170721475"</f>
        <v>20190303170721475</v>
      </c>
      <c r="B256" t="str">
        <f>"1551604041471925"</f>
        <v>1551604041471925</v>
      </c>
      <c r="C256" t="s">
        <v>40</v>
      </c>
      <c r="D256">
        <v>4.3728730000000002</v>
      </c>
      <c r="E256">
        <v>0.50118739999999995</v>
      </c>
      <c r="F256" t="s">
        <v>43</v>
      </c>
      <c r="G256">
        <v>-388.52390000000003</v>
      </c>
      <c r="H256" s="1">
        <v>-1.2504529999999999E-6</v>
      </c>
      <c r="I256">
        <v>366.75209999999998</v>
      </c>
      <c r="J256">
        <v>-405.0145</v>
      </c>
      <c r="K256">
        <v>1.0714520000000001</v>
      </c>
      <c r="L256">
        <v>367.36750000000001</v>
      </c>
      <c r="M256">
        <v>0.99986730000000001</v>
      </c>
      <c r="N256">
        <v>-1.4459E-2</v>
      </c>
      <c r="O256">
        <v>7.5164239999999998E-3</v>
      </c>
      <c r="P256">
        <v>0.98149759999999997</v>
      </c>
      <c r="Q256">
        <v>0.1877308</v>
      </c>
      <c r="R256">
        <v>-3.7679039999999997E-2</v>
      </c>
      <c r="S256">
        <v>3.089661</v>
      </c>
      <c r="T256">
        <v>-0.1969457</v>
      </c>
      <c r="U256">
        <v>-0.1126404</v>
      </c>
      <c r="V256">
        <v>4.499351E-2</v>
      </c>
      <c r="W256">
        <v>0.20191210000000001</v>
      </c>
      <c r="X256">
        <v>0.97836959999999995</v>
      </c>
      <c r="Y256">
        <v>4.382602E-2</v>
      </c>
      <c r="Z256">
        <v>-2.0822190000000002E-3</v>
      </c>
      <c r="AA256">
        <v>0.99903699999999995</v>
      </c>
      <c r="AB256">
        <v>32</v>
      </c>
      <c r="AC256">
        <v>16.490599999999901</v>
      </c>
      <c r="AD256">
        <v>-1.0714532504530001</v>
      </c>
      <c r="AE256">
        <v>-0.61540000000002204</v>
      </c>
      <c r="AF256">
        <v>0.73624212953177204</v>
      </c>
      <c r="AG256">
        <v>-1.0714532504530001</v>
      </c>
      <c r="AH256">
        <v>16.416301859227101</v>
      </c>
      <c r="AI256">
        <v>93.730524500172095</v>
      </c>
      <c r="AJ256">
        <v>87.432106268710697</v>
      </c>
      <c r="AK256">
        <v>16.467696598931699</v>
      </c>
      <c r="AL256">
        <v>78.351204166314801</v>
      </c>
      <c r="AM256">
        <v>87.366922322752501</v>
      </c>
      <c r="AN256">
        <v>0.99999999313634502</v>
      </c>
    </row>
    <row r="257" spans="1:40" x14ac:dyDescent="0.25">
      <c r="A257" t="str">
        <f>"20190303170721498"</f>
        <v>20190303170721498</v>
      </c>
      <c r="B257" t="str">
        <f>"1551604041492422"</f>
        <v>1551604041492422</v>
      </c>
      <c r="C257" t="s">
        <v>40</v>
      </c>
      <c r="D257">
        <v>4.4942469999999997</v>
      </c>
      <c r="E257">
        <v>0.50003839999999999</v>
      </c>
      <c r="F257" t="s">
        <v>43</v>
      </c>
      <c r="G257">
        <v>-384.8648</v>
      </c>
      <c r="H257" s="1">
        <v>-2.6924740000000002E-6</v>
      </c>
      <c r="I257">
        <v>366.75700000000001</v>
      </c>
      <c r="J257">
        <v>-404.6952</v>
      </c>
      <c r="K257">
        <v>1.0714570000000001</v>
      </c>
      <c r="L257">
        <v>367.37009999999998</v>
      </c>
      <c r="M257">
        <v>0.99986609999999998</v>
      </c>
      <c r="N257">
        <v>-1.4455640000000001E-2</v>
      </c>
      <c r="O257">
        <v>7.6770099999999997E-3</v>
      </c>
      <c r="P257">
        <v>0.98149209999999998</v>
      </c>
      <c r="Q257">
        <v>0.18765399999999999</v>
      </c>
      <c r="R257">
        <v>-3.820291E-2</v>
      </c>
      <c r="S257">
        <v>3.084381</v>
      </c>
      <c r="T257">
        <v>-0.16401099999999999</v>
      </c>
      <c r="U257">
        <v>-9.3444819999999998E-2</v>
      </c>
      <c r="V257">
        <v>4.567504E-2</v>
      </c>
      <c r="W257">
        <v>0.20183180000000001</v>
      </c>
      <c r="X257">
        <v>0.97835459999999996</v>
      </c>
      <c r="Y257">
        <v>3.7881850000000002E-2</v>
      </c>
      <c r="Z257">
        <v>-1.5773149999999999E-3</v>
      </c>
      <c r="AA257">
        <v>0.99928099999999997</v>
      </c>
      <c r="AB257">
        <v>32</v>
      </c>
      <c r="AC257">
        <v>19.830400000000001</v>
      </c>
      <c r="AD257">
        <v>-1.0714596924740001</v>
      </c>
      <c r="AE257">
        <v>-0.61310000000003095</v>
      </c>
      <c r="AF257">
        <v>0.76311033587140098</v>
      </c>
      <c r="AG257">
        <v>-1.0714596924740001</v>
      </c>
      <c r="AH257">
        <v>19.767454885371599</v>
      </c>
      <c r="AI257">
        <v>93.100274834581199</v>
      </c>
      <c r="AJ257">
        <v>87.789229766803402</v>
      </c>
      <c r="AK257">
        <v>19.811174521025102</v>
      </c>
      <c r="AL257">
        <v>78.355901860196894</v>
      </c>
      <c r="AM257">
        <v>87.327054806448999</v>
      </c>
      <c r="AN257">
        <v>1.0000000040557</v>
      </c>
    </row>
    <row r="258" spans="1:40" x14ac:dyDescent="0.25">
      <c r="A258" t="str">
        <f>"20190303170721519"</f>
        <v>20190303170721519</v>
      </c>
      <c r="B258" t="str">
        <f>"1551604041511942"</f>
        <v>1551604041511942</v>
      </c>
      <c r="C258" t="s">
        <v>40</v>
      </c>
      <c r="D258">
        <v>4.4042240000000001</v>
      </c>
      <c r="E258">
        <v>0.49899290000000002</v>
      </c>
      <c r="F258" t="s">
        <v>43</v>
      </c>
      <c r="G258">
        <v>-382.79930000000002</v>
      </c>
      <c r="H258" s="1">
        <v>-3.579186E-6</v>
      </c>
      <c r="I258">
        <v>366.7534</v>
      </c>
      <c r="J258">
        <v>-404.36660000000001</v>
      </c>
      <c r="K258">
        <v>1.07145</v>
      </c>
      <c r="L258">
        <v>367.37279999999998</v>
      </c>
      <c r="M258">
        <v>0.99986489999999995</v>
      </c>
      <c r="N258">
        <v>-1.445219E-2</v>
      </c>
      <c r="O258">
        <v>7.8424229999999994E-3</v>
      </c>
      <c r="P258">
        <v>0.98162000000000005</v>
      </c>
      <c r="Q258">
        <v>0.18703529999999999</v>
      </c>
      <c r="R258">
        <v>-3.7949669999999998E-2</v>
      </c>
      <c r="S258">
        <v>3.0820620000000001</v>
      </c>
      <c r="T258">
        <v>-0.1508186</v>
      </c>
      <c r="U258">
        <v>-8.6791989999999999E-2</v>
      </c>
      <c r="V258">
        <v>4.5585470000000003E-2</v>
      </c>
      <c r="W258">
        <v>0.20121159999999999</v>
      </c>
      <c r="X258">
        <v>0.97848650000000004</v>
      </c>
      <c r="Y258">
        <v>3.5928149999999999E-2</v>
      </c>
      <c r="Z258">
        <v>-1.408439E-3</v>
      </c>
      <c r="AA258">
        <v>0.99935339999999995</v>
      </c>
      <c r="AB258">
        <v>32</v>
      </c>
      <c r="AC258">
        <v>21.5672999999999</v>
      </c>
      <c r="AD258">
        <v>-1.071453579186</v>
      </c>
      <c r="AE258">
        <v>-0.61939999999998396</v>
      </c>
      <c r="AF258">
        <v>0.78659871786501101</v>
      </c>
      <c r="AG258">
        <v>-1.071453579186</v>
      </c>
      <c r="AH258">
        <v>21.508737475731898</v>
      </c>
      <c r="AI258">
        <v>92.849918713233194</v>
      </c>
      <c r="AJ258">
        <v>87.905562309758693</v>
      </c>
      <c r="AK258">
        <v>21.549768864543498</v>
      </c>
      <c r="AL258">
        <v>78.392180801960507</v>
      </c>
      <c r="AM258">
        <v>87.332648033338998</v>
      </c>
      <c r="AN258">
        <v>0.99999998686596503</v>
      </c>
    </row>
    <row r="259" spans="1:40" x14ac:dyDescent="0.25">
      <c r="A259" t="str">
        <f>"20190303170721543"</f>
        <v>20190303170721543</v>
      </c>
      <c r="B259" t="str">
        <f>"1551604041532437"</f>
        <v>1551604041532437</v>
      </c>
      <c r="C259" t="s">
        <v>40</v>
      </c>
      <c r="D259">
        <v>4.4927409999999997</v>
      </c>
      <c r="E259">
        <v>0.4983051</v>
      </c>
      <c r="F259" t="s">
        <v>43</v>
      </c>
      <c r="G259">
        <v>-381.11810000000003</v>
      </c>
      <c r="H259" s="1">
        <v>-4.2954579999999999E-6</v>
      </c>
      <c r="I259">
        <v>366.78149999999999</v>
      </c>
      <c r="J259">
        <v>-404.0351</v>
      </c>
      <c r="K259">
        <v>1.07145</v>
      </c>
      <c r="L259">
        <v>367.37549999999999</v>
      </c>
      <c r="M259">
        <v>0.99986350000000002</v>
      </c>
      <c r="N259">
        <v>-1.444864E-2</v>
      </c>
      <c r="O259">
        <v>8.0096839999999996E-3</v>
      </c>
      <c r="P259">
        <v>0.98169709999999999</v>
      </c>
      <c r="Q259">
        <v>0.18675510000000001</v>
      </c>
      <c r="R259">
        <v>-3.7328170000000001E-2</v>
      </c>
      <c r="S259">
        <v>3.0802309999999999</v>
      </c>
      <c r="T259">
        <v>-0.14195859999999999</v>
      </c>
      <c r="U259">
        <v>-7.8338619999999998E-2</v>
      </c>
      <c r="V259">
        <v>4.5128979999999999E-2</v>
      </c>
      <c r="W259">
        <v>0.200929</v>
      </c>
      <c r="X259">
        <v>0.97856580000000004</v>
      </c>
      <c r="Y259">
        <v>3.338108E-2</v>
      </c>
      <c r="Z259">
        <v>-1.263281E-3</v>
      </c>
      <c r="AA259">
        <v>0.99944189999999999</v>
      </c>
      <c r="AB259">
        <v>32</v>
      </c>
      <c r="AC259">
        <v>22.916999999999899</v>
      </c>
      <c r="AD259">
        <v>-1.071454295458</v>
      </c>
      <c r="AE259">
        <v>-0.59399999999999398</v>
      </c>
      <c r="AF259">
        <v>0.77586321221381505</v>
      </c>
      <c r="AG259">
        <v>-1.071454295458</v>
      </c>
      <c r="AH259">
        <v>22.861566746694201</v>
      </c>
      <c r="AI259">
        <v>92.6817792460254</v>
      </c>
      <c r="AJ259">
        <v>88.056273513553407</v>
      </c>
      <c r="AK259">
        <v>22.899808124630201</v>
      </c>
      <c r="AL259">
        <v>78.408710989139806</v>
      </c>
      <c r="AM259">
        <v>87.359534416393899</v>
      </c>
      <c r="AN259">
        <v>1.0000000564032301</v>
      </c>
    </row>
    <row r="260" spans="1:40" x14ac:dyDescent="0.25">
      <c r="A260" t="str">
        <f>"20190303170721564"</f>
        <v>20190303170721564</v>
      </c>
      <c r="B260" t="str">
        <f>"1551604041551956"</f>
        <v>1551604041551956</v>
      </c>
      <c r="C260" t="s">
        <v>40</v>
      </c>
      <c r="D260">
        <v>4.430606</v>
      </c>
      <c r="E260">
        <v>0.49759179999999997</v>
      </c>
      <c r="F260" t="s">
        <v>43</v>
      </c>
      <c r="G260">
        <v>-379.46409999999997</v>
      </c>
      <c r="H260" s="1">
        <v>-9.1612739999999998E-7</v>
      </c>
      <c r="I260">
        <v>366.80630000000002</v>
      </c>
      <c r="J260">
        <v>-403.73250000000002</v>
      </c>
      <c r="K260">
        <v>1.0714509999999999</v>
      </c>
      <c r="L260">
        <v>367.37810000000002</v>
      </c>
      <c r="M260">
        <v>0.99986249999999999</v>
      </c>
      <c r="N260">
        <v>-1.4445390000000001E-2</v>
      </c>
      <c r="O260">
        <v>8.1621049999999994E-3</v>
      </c>
      <c r="P260">
        <v>0.98155490000000001</v>
      </c>
      <c r="Q260">
        <v>0.1874236</v>
      </c>
      <c r="R260">
        <v>-3.7721009999999999E-2</v>
      </c>
      <c r="S260">
        <v>3.0787659999999999</v>
      </c>
      <c r="T260">
        <v>-0.13425309999999999</v>
      </c>
      <c r="U260">
        <v>-7.1319579999999994E-2</v>
      </c>
      <c r="V260">
        <v>4.5670200000000001E-2</v>
      </c>
      <c r="W260">
        <v>0.2015922</v>
      </c>
      <c r="X260">
        <v>0.97840419999999995</v>
      </c>
      <c r="Y260">
        <v>3.1275740000000003E-2</v>
      </c>
      <c r="Z260">
        <v>-1.145423E-3</v>
      </c>
      <c r="AA260">
        <v>0.99951009999999996</v>
      </c>
      <c r="AB260">
        <v>32</v>
      </c>
      <c r="AC260">
        <v>24.2684</v>
      </c>
      <c r="AD260">
        <v>-1.0714519161274001</v>
      </c>
      <c r="AE260">
        <v>-0.57179999999999598</v>
      </c>
      <c r="AF260">
        <v>0.768385887692424</v>
      </c>
      <c r="AG260">
        <v>-1.0714519161274001</v>
      </c>
      <c r="AH260">
        <v>24.215747987660599</v>
      </c>
      <c r="AI260">
        <v>92.532188444209694</v>
      </c>
      <c r="AJ260">
        <v>88.182566906819005</v>
      </c>
      <c r="AK260">
        <v>24.251615960237899</v>
      </c>
      <c r="AL260">
        <v>78.369917754407197</v>
      </c>
      <c r="AM260">
        <v>87.327472930593899</v>
      </c>
      <c r="AN260">
        <v>0.99999998042325899</v>
      </c>
    </row>
    <row r="261" spans="1:40" x14ac:dyDescent="0.25">
      <c r="A261" t="str">
        <f>"20190303170721586"</f>
        <v>20190303170721586</v>
      </c>
      <c r="B261" t="str">
        <f>"1551604041572453"</f>
        <v>1551604041572453</v>
      </c>
      <c r="C261" t="s">
        <v>40</v>
      </c>
      <c r="D261">
        <v>4.5515780000000001</v>
      </c>
      <c r="E261">
        <v>0.49712119999999999</v>
      </c>
      <c r="F261" t="s">
        <v>43</v>
      </c>
      <c r="G261">
        <v>-377.69819999999999</v>
      </c>
      <c r="H261" s="1">
        <v>-1.512919E-6</v>
      </c>
      <c r="I261">
        <v>366.8218</v>
      </c>
      <c r="J261">
        <v>-403.41730000000001</v>
      </c>
      <c r="K261">
        <v>1.07145</v>
      </c>
      <c r="L261">
        <v>367.3809</v>
      </c>
      <c r="M261">
        <v>0.99986109999999995</v>
      </c>
      <c r="N261">
        <v>-1.4441999999999899E-2</v>
      </c>
      <c r="O261">
        <v>8.3207869999999996E-3</v>
      </c>
      <c r="P261">
        <v>0.9815391</v>
      </c>
      <c r="Q261">
        <v>0.1874931</v>
      </c>
      <c r="R261">
        <v>-3.7784020000000001E-2</v>
      </c>
      <c r="S261">
        <v>3.0780029999999998</v>
      </c>
      <c r="T261">
        <v>-0.12667619999999999</v>
      </c>
      <c r="U261">
        <v>-6.5765379999999998E-2</v>
      </c>
      <c r="V261">
        <v>4.5888890000000002E-2</v>
      </c>
      <c r="W261">
        <v>0.20165810000000001</v>
      </c>
      <c r="X261">
        <v>0.97838040000000004</v>
      </c>
      <c r="Y261">
        <v>2.9643530000000001E-2</v>
      </c>
      <c r="Z261">
        <v>-1.0460199999999999E-3</v>
      </c>
      <c r="AA261">
        <v>0.99956</v>
      </c>
      <c r="AB261">
        <v>32</v>
      </c>
      <c r="AC261">
        <v>25.719100000000001</v>
      </c>
      <c r="AD261">
        <v>-1.0714515129189901</v>
      </c>
      <c r="AE261">
        <v>-0.55910000000000004</v>
      </c>
      <c r="AF261">
        <v>0.771767315009244</v>
      </c>
      <c r="AG261">
        <v>-1.0714515129189901</v>
      </c>
      <c r="AH261">
        <v>25.669028356334199</v>
      </c>
      <c r="AI261">
        <v>92.389118610109406</v>
      </c>
      <c r="AJ261">
        <v>88.277858736657905</v>
      </c>
      <c r="AK261">
        <v>25.702969670669201</v>
      </c>
      <c r="AL261">
        <v>78.366062944225405</v>
      </c>
      <c r="AM261">
        <v>87.314629097598299</v>
      </c>
      <c r="AN261">
        <v>0.99999999331260103</v>
      </c>
    </row>
    <row r="262" spans="1:40" x14ac:dyDescent="0.25">
      <c r="A262" t="str">
        <f>"20190303170721610"</f>
        <v>20190303170721610</v>
      </c>
      <c r="B262" t="str">
        <f>"1551604041602709"</f>
        <v>1551604041602709</v>
      </c>
      <c r="C262" t="s">
        <v>40</v>
      </c>
      <c r="D262">
        <v>4.5478620000000003</v>
      </c>
      <c r="E262">
        <v>0.49665949999999998</v>
      </c>
      <c r="F262" t="s">
        <v>43</v>
      </c>
      <c r="G262">
        <v>-376.1567</v>
      </c>
      <c r="H262" s="1">
        <v>-2.1251720000000001E-6</v>
      </c>
      <c r="I262">
        <v>366.83089999999999</v>
      </c>
      <c r="J262">
        <v>-403.0736</v>
      </c>
      <c r="K262">
        <v>1.0714549999999901</v>
      </c>
      <c r="L262">
        <v>367.38389999999998</v>
      </c>
      <c r="M262">
        <v>0.99985979999999997</v>
      </c>
      <c r="N262">
        <v>-1.4438299999999901E-2</v>
      </c>
      <c r="O262">
        <v>8.4938959999999904E-3</v>
      </c>
      <c r="P262">
        <v>0.98168800000000001</v>
      </c>
      <c r="Q262">
        <v>0.1867422</v>
      </c>
      <c r="R262">
        <v>-3.7633890000000003E-2</v>
      </c>
      <c r="S262">
        <v>3.077118</v>
      </c>
      <c r="T262">
        <v>-0.12094299999999999</v>
      </c>
      <c r="U262">
        <v>-6.2072750000000003E-2</v>
      </c>
      <c r="V262">
        <v>4.590992E-2</v>
      </c>
      <c r="W262">
        <v>0.2009061</v>
      </c>
      <c r="X262">
        <v>0.97853409999999996</v>
      </c>
      <c r="Y262">
        <v>2.862775E-2</v>
      </c>
      <c r="Z262">
        <v>-9.8021200000000005E-4</v>
      </c>
      <c r="AA262">
        <v>0.99958970000000003</v>
      </c>
      <c r="AB262">
        <v>32</v>
      </c>
      <c r="AC262">
        <v>26.916899999999998</v>
      </c>
      <c r="AD262">
        <v>-1.07145712517199</v>
      </c>
      <c r="AE262">
        <v>-0.55299999999999705</v>
      </c>
      <c r="AF262">
        <v>0.78039716592075004</v>
      </c>
      <c r="AG262">
        <v>-1.07145712517199</v>
      </c>
      <c r="AH262">
        <v>26.868675023864402</v>
      </c>
      <c r="AI262">
        <v>92.282644157074202</v>
      </c>
      <c r="AJ262">
        <v>88.336319272184994</v>
      </c>
      <c r="AK262">
        <v>26.901351966875101</v>
      </c>
      <c r="AL262">
        <v>78.410049516152</v>
      </c>
      <c r="AM262">
        <v>87.313821616800197</v>
      </c>
      <c r="AN262">
        <v>0.99999998331721296</v>
      </c>
    </row>
    <row r="263" spans="1:40" x14ac:dyDescent="0.25">
      <c r="A263" t="str">
        <f>"20190303170721633"</f>
        <v>20190303170721633</v>
      </c>
      <c r="B263" t="str">
        <f>"1551604041622229"</f>
        <v>1551604041622229</v>
      </c>
      <c r="C263" t="s">
        <v>40</v>
      </c>
      <c r="D263">
        <v>4.6058879999999904</v>
      </c>
      <c r="E263">
        <v>0.49634630000000002</v>
      </c>
      <c r="F263" t="s">
        <v>43</v>
      </c>
      <c r="G263">
        <v>-374.68979999999999</v>
      </c>
      <c r="H263" s="1">
        <v>-2.7522990000000001E-6</v>
      </c>
      <c r="I263">
        <v>366.84309999999999</v>
      </c>
      <c r="J263">
        <v>-402.73439999999999</v>
      </c>
      <c r="K263">
        <v>1.0714509999999999</v>
      </c>
      <c r="L263">
        <v>367.38690000000003</v>
      </c>
      <c r="M263">
        <v>0.99985840000000004</v>
      </c>
      <c r="N263">
        <v>-1.443462E-2</v>
      </c>
      <c r="O263">
        <v>8.6646199999999996E-3</v>
      </c>
      <c r="P263">
        <v>0.98188710000000001</v>
      </c>
      <c r="Q263">
        <v>0.18561610000000001</v>
      </c>
      <c r="R263">
        <v>-3.8006249999999998E-2</v>
      </c>
      <c r="S263">
        <v>3.0758359999999998</v>
      </c>
      <c r="T263">
        <v>-0.1161093</v>
      </c>
      <c r="U263">
        <v>-5.859375E-2</v>
      </c>
      <c r="V263">
        <v>4.6452350000000003E-2</v>
      </c>
      <c r="W263">
        <v>0.19977880000000001</v>
      </c>
      <c r="X263">
        <v>0.97873929999999998</v>
      </c>
      <c r="Y263">
        <v>2.767988E-2</v>
      </c>
      <c r="Z263">
        <v>-9.2400969999999996E-4</v>
      </c>
      <c r="AA263">
        <v>0.99961639999999996</v>
      </c>
      <c r="AB263">
        <v>32</v>
      </c>
      <c r="AC263">
        <v>28.044599999999999</v>
      </c>
      <c r="AD263">
        <v>-1.071453752299</v>
      </c>
      <c r="AE263">
        <v>-0.54380000000003204</v>
      </c>
      <c r="AF263">
        <v>0.78565432420289405</v>
      </c>
      <c r="AG263">
        <v>-1.071453752299</v>
      </c>
      <c r="AH263">
        <v>27.9979828565574</v>
      </c>
      <c r="AI263">
        <v>92.190719077366595</v>
      </c>
      <c r="AJ263">
        <v>88.392638944510196</v>
      </c>
      <c r="AK263">
        <v>28.029490004217699</v>
      </c>
      <c r="AL263">
        <v>78.475975880748095</v>
      </c>
      <c r="AM263">
        <v>87.282700445933898</v>
      </c>
      <c r="AN263">
        <v>1.0000000035572201</v>
      </c>
    </row>
    <row r="264" spans="1:40" x14ac:dyDescent="0.25">
      <c r="A264" t="str">
        <f>"20190303170721665"</f>
        <v>20190303170721665</v>
      </c>
      <c r="B264" t="str">
        <f>"1551604041652485"</f>
        <v>1551604041652485</v>
      </c>
      <c r="C264" t="s">
        <v>40</v>
      </c>
      <c r="D264">
        <v>4.6066060000000002</v>
      </c>
      <c r="E264">
        <v>0.49604120000000002</v>
      </c>
      <c r="F264" t="s">
        <v>43</v>
      </c>
      <c r="G264">
        <v>-374.42140000000001</v>
      </c>
      <c r="H264" s="1">
        <v>-2.8645170000000001E-6</v>
      </c>
      <c r="I264">
        <v>366.85939999999999</v>
      </c>
      <c r="J264">
        <v>-402.27910000000003</v>
      </c>
      <c r="K264">
        <v>1.071445</v>
      </c>
      <c r="L264">
        <v>367.39120000000003</v>
      </c>
      <c r="M264">
        <v>0.99985639999999998</v>
      </c>
      <c r="N264">
        <v>-1.442967E-2</v>
      </c>
      <c r="O264">
        <v>8.8944139999999998E-3</v>
      </c>
      <c r="P264">
        <v>0.98202929999999999</v>
      </c>
      <c r="Q264">
        <v>0.18462410000000001</v>
      </c>
      <c r="R264">
        <v>-3.9147639999999997E-2</v>
      </c>
      <c r="S264">
        <v>3.0751040000000001</v>
      </c>
      <c r="T264">
        <v>-0.1163715</v>
      </c>
      <c r="U264">
        <v>-5.7281489999999997E-2</v>
      </c>
      <c r="V264">
        <v>4.7820840000000003E-2</v>
      </c>
      <c r="W264">
        <v>0.1987844</v>
      </c>
      <c r="X264">
        <v>0.97887590000000002</v>
      </c>
      <c r="Y264">
        <v>2.748772E-2</v>
      </c>
      <c r="Z264">
        <v>-9.2646139999999998E-4</v>
      </c>
      <c r="AA264">
        <v>0.99962169999999895</v>
      </c>
      <c r="AB264">
        <v>32</v>
      </c>
      <c r="AC264">
        <v>27.857700000000001</v>
      </c>
      <c r="AD264">
        <v>-1.071447864517</v>
      </c>
      <c r="AE264">
        <v>-0.53180000000003202</v>
      </c>
      <c r="AF264">
        <v>0.77843155614069304</v>
      </c>
      <c r="AG264">
        <v>-1.071447864517</v>
      </c>
      <c r="AH264">
        <v>27.810742287244899</v>
      </c>
      <c r="AI264">
        <v>92.205446211420494</v>
      </c>
      <c r="AJ264">
        <v>88.3966914586575</v>
      </c>
      <c r="AK264">
        <v>27.842258219862899</v>
      </c>
      <c r="AL264">
        <v>78.534117513505706</v>
      </c>
      <c r="AM264">
        <v>87.203163633126906</v>
      </c>
      <c r="AN264">
        <v>1.00000004901123</v>
      </c>
    </row>
    <row r="265" spans="1:40" x14ac:dyDescent="0.25">
      <c r="A265" t="str">
        <f>"20190303170721687"</f>
        <v>20190303170721687</v>
      </c>
      <c r="B265" t="str">
        <f>"1551604041682741"</f>
        <v>1551604041682741</v>
      </c>
      <c r="C265" t="s">
        <v>40</v>
      </c>
      <c r="D265">
        <v>4.5477220000000003</v>
      </c>
      <c r="E265">
        <v>0.49583129999999997</v>
      </c>
      <c r="F265" t="s">
        <v>43</v>
      </c>
      <c r="G265">
        <v>-373.61799999999999</v>
      </c>
      <c r="H265" s="1">
        <v>-3.211167E-6</v>
      </c>
      <c r="I265">
        <v>366.84820000000002</v>
      </c>
      <c r="J265">
        <v>-401.96480000000003</v>
      </c>
      <c r="K265">
        <v>1.0714459999999999</v>
      </c>
      <c r="L265">
        <v>367.39420000000001</v>
      </c>
      <c r="M265">
        <v>0.99985500000000005</v>
      </c>
      <c r="N265">
        <v>-1.442624E-2</v>
      </c>
      <c r="O265">
        <v>9.0533260000000004E-3</v>
      </c>
      <c r="P265">
        <v>0.98181859999999999</v>
      </c>
      <c r="Q265">
        <v>0.1856729</v>
      </c>
      <c r="R265">
        <v>-3.9471869999999999E-2</v>
      </c>
      <c r="S265">
        <v>3.0741580000000002</v>
      </c>
      <c r="T265">
        <v>-0.1149222</v>
      </c>
      <c r="U265">
        <v>-5.8227540000000001E-2</v>
      </c>
      <c r="V265">
        <v>4.8299050000000003E-2</v>
      </c>
      <c r="W265">
        <v>0.1998269</v>
      </c>
      <c r="X265">
        <v>0.97864010000000001</v>
      </c>
      <c r="Y265">
        <v>2.7959990000000001E-2</v>
      </c>
      <c r="Z265">
        <v>-9.3192160000000004E-4</v>
      </c>
      <c r="AA265">
        <v>0.99960859999999996</v>
      </c>
      <c r="AB265">
        <v>32</v>
      </c>
      <c r="AC265">
        <v>28.346799999999899</v>
      </c>
      <c r="AD265">
        <v>-1.071449211167</v>
      </c>
      <c r="AE265">
        <v>-0.54599999999999205</v>
      </c>
      <c r="AF265">
        <v>0.80149248461877398</v>
      </c>
      <c r="AG265">
        <v>-1.071449211167</v>
      </c>
      <c r="AH265">
        <v>28.300277356041899</v>
      </c>
      <c r="AI265">
        <v>92.167315924815696</v>
      </c>
      <c r="AJ265">
        <v>88.377759190487893</v>
      </c>
      <c r="AK265">
        <v>28.331891783711001</v>
      </c>
      <c r="AL265">
        <v>78.473163394299704</v>
      </c>
      <c r="AM265">
        <v>87.174560737212502</v>
      </c>
      <c r="AN265">
        <v>1.0000000167612599</v>
      </c>
    </row>
    <row r="266" spans="1:40" x14ac:dyDescent="0.25">
      <c r="A266" t="str">
        <f>"20190303170721710"</f>
        <v>20190303170721710</v>
      </c>
      <c r="B266" t="str">
        <f>"1551604041702261"</f>
        <v>1551604041702261</v>
      </c>
      <c r="C266" t="s">
        <v>40</v>
      </c>
      <c r="D266">
        <v>4.5517250000000002</v>
      </c>
      <c r="E266">
        <v>0.49571169999999998</v>
      </c>
      <c r="F266" t="s">
        <v>43</v>
      </c>
      <c r="G266">
        <v>-371.39490000000001</v>
      </c>
      <c r="H266" s="1">
        <v>-4.1689010000000003E-6</v>
      </c>
      <c r="I266">
        <v>366.82560000000001</v>
      </c>
      <c r="J266">
        <v>-401.64260000000002</v>
      </c>
      <c r="K266">
        <v>1.071445</v>
      </c>
      <c r="L266">
        <v>367.3972</v>
      </c>
      <c r="M266">
        <v>0.99985360000000001</v>
      </c>
      <c r="N266">
        <v>-1.442271E-2</v>
      </c>
      <c r="O266">
        <v>9.2183449999999993E-3</v>
      </c>
      <c r="P266">
        <v>0.98170259999999998</v>
      </c>
      <c r="Q266">
        <v>0.18633340000000001</v>
      </c>
      <c r="R266">
        <v>-3.9243819999999999E-2</v>
      </c>
      <c r="S266">
        <v>3.073639</v>
      </c>
      <c r="T266">
        <v>-0.1077282</v>
      </c>
      <c r="U266">
        <v>-5.7159420000000002E-2</v>
      </c>
      <c r="V266">
        <v>4.8231160000000002E-2</v>
      </c>
      <c r="W266">
        <v>0.20048189999999999</v>
      </c>
      <c r="X266">
        <v>0.97850950000000003</v>
      </c>
      <c r="Y266">
        <v>2.7784329999999999E-2</v>
      </c>
      <c r="Z266">
        <v>-8.7724099999999996E-4</v>
      </c>
      <c r="AA266">
        <v>0.99961359999999999</v>
      </c>
      <c r="AB266">
        <v>32</v>
      </c>
      <c r="AC266">
        <v>30.247699999999998</v>
      </c>
      <c r="AD266">
        <v>-1.0714491689009999</v>
      </c>
      <c r="AE266">
        <v>-0.57159999999998901</v>
      </c>
      <c r="AF266">
        <v>0.849373043866536</v>
      </c>
      <c r="AG266">
        <v>-1.0714491689009999</v>
      </c>
      <c r="AH266">
        <v>30.203260639657799</v>
      </c>
      <c r="AI266">
        <v>92.030891758313999</v>
      </c>
      <c r="AJ266">
        <v>88.3891584283421</v>
      </c>
      <c r="AK266">
        <v>30.234192417795601</v>
      </c>
      <c r="AL266">
        <v>78.434859820540595</v>
      </c>
      <c r="AM266">
        <v>87.178149834037598</v>
      </c>
      <c r="AN266">
        <v>1.0000000393063999</v>
      </c>
    </row>
    <row r="267" spans="1:40" x14ac:dyDescent="0.25">
      <c r="A267" t="str">
        <f>"20190303170721733"</f>
        <v>20190303170721733</v>
      </c>
      <c r="B267" t="str">
        <f>"1551604041722757"</f>
        <v>1551604041722757</v>
      </c>
      <c r="C267" t="s">
        <v>40</v>
      </c>
      <c r="D267">
        <v>4.5508699999999997</v>
      </c>
      <c r="E267">
        <v>0.49560799999999999</v>
      </c>
      <c r="F267" t="s">
        <v>43</v>
      </c>
      <c r="G267">
        <v>-369.68099999999998</v>
      </c>
      <c r="H267" s="1">
        <v>-8.37683E-7</v>
      </c>
      <c r="I267">
        <v>366.8236</v>
      </c>
      <c r="J267">
        <v>-401.30759999999998</v>
      </c>
      <c r="K267">
        <v>1.071491</v>
      </c>
      <c r="L267">
        <v>367.40050000000002</v>
      </c>
      <c r="M267">
        <v>0.99985270000000004</v>
      </c>
      <c r="N267">
        <v>-1.4518400000000001E-2</v>
      </c>
      <c r="O267">
        <v>9.1529980000000007E-3</v>
      </c>
      <c r="P267">
        <v>0.98171169999999996</v>
      </c>
      <c r="Q267">
        <v>0.1862605</v>
      </c>
      <c r="R267">
        <v>-3.9359520000000002E-2</v>
      </c>
      <c r="S267">
        <v>3.0732729999999999</v>
      </c>
      <c r="T267">
        <v>-0.1030247</v>
      </c>
      <c r="U267">
        <v>-5.5145260000000001E-2</v>
      </c>
      <c r="V267">
        <v>4.8274299999999999E-2</v>
      </c>
      <c r="W267">
        <v>0.20050480000000001</v>
      </c>
      <c r="X267">
        <v>0.9785026</v>
      </c>
      <c r="Y267">
        <v>2.70689E-2</v>
      </c>
      <c r="Z267">
        <v>-8.2401849999999999E-4</v>
      </c>
      <c r="AA267">
        <v>0.99963329999999995</v>
      </c>
      <c r="AB267">
        <v>32</v>
      </c>
      <c r="AC267">
        <v>31.6266</v>
      </c>
      <c r="AD267">
        <v>-1.071491837683</v>
      </c>
      <c r="AE267">
        <v>-0.57690000000002295</v>
      </c>
      <c r="AF267">
        <v>0.86539157040641701</v>
      </c>
      <c r="AG267">
        <v>-1.071491837683</v>
      </c>
      <c r="AH267">
        <v>31.5837536581612</v>
      </c>
      <c r="AI267">
        <v>91.942309283596998</v>
      </c>
      <c r="AJ267">
        <v>88.430494283701705</v>
      </c>
      <c r="AK267">
        <v>31.613770614524299</v>
      </c>
      <c r="AL267">
        <v>78.433519629822896</v>
      </c>
      <c r="AM267">
        <v>87.175610052193093</v>
      </c>
      <c r="AN267">
        <v>0.99999996053514395</v>
      </c>
    </row>
    <row r="268" spans="1:40" x14ac:dyDescent="0.25">
      <c r="A268" t="str">
        <f>"20190303170721753"</f>
        <v>20190303170721753</v>
      </c>
      <c r="B268" t="str">
        <f>"1551604041742280"</f>
        <v>1551604041742280</v>
      </c>
      <c r="C268" t="s">
        <v>40</v>
      </c>
      <c r="D268">
        <v>4.5488619999999997</v>
      </c>
      <c r="E268">
        <v>0.49549609999999999</v>
      </c>
      <c r="F268" t="s">
        <v>43</v>
      </c>
      <c r="G268">
        <v>-368.86</v>
      </c>
      <c r="H268" s="1">
        <v>-1.115954E-6</v>
      </c>
      <c r="I268">
        <v>366.82780000000002</v>
      </c>
      <c r="J268">
        <v>-401.01639999999998</v>
      </c>
      <c r="K268">
        <v>1.0716810000000001</v>
      </c>
      <c r="L268">
        <v>367.40370000000001</v>
      </c>
      <c r="M268">
        <v>0.99985179999999996</v>
      </c>
      <c r="N268">
        <v>-1.5118400000000001E-2</v>
      </c>
      <c r="O268">
        <v>8.2372709999999991E-3</v>
      </c>
      <c r="P268">
        <v>0.98198620000000003</v>
      </c>
      <c r="Q268">
        <v>0.1846324</v>
      </c>
      <c r="R268">
        <v>-4.0179510000000002E-2</v>
      </c>
      <c r="S268">
        <v>3.072937</v>
      </c>
      <c r="T268">
        <v>-0.1014748</v>
      </c>
      <c r="U268">
        <v>-5.4229739999999999E-2</v>
      </c>
      <c r="V268">
        <v>4.8202589999999997E-2</v>
      </c>
      <c r="W268">
        <v>0.19946759999999999</v>
      </c>
      <c r="X268">
        <v>0.97871819999999998</v>
      </c>
      <c r="Y268">
        <v>2.5859239999999999E-2</v>
      </c>
      <c r="Z268">
        <v>-7.6979969999999996E-4</v>
      </c>
      <c r="AA268">
        <v>0.99966529999999998</v>
      </c>
      <c r="AB268">
        <v>32</v>
      </c>
      <c r="AC268">
        <v>32.156399999999898</v>
      </c>
      <c r="AD268">
        <v>-1.071682115954</v>
      </c>
      <c r="AE268">
        <v>-0.57589999999998998</v>
      </c>
      <c r="AF268">
        <v>0.83985917619164896</v>
      </c>
      <c r="AG268">
        <v>-1.071682115954</v>
      </c>
      <c r="AH268">
        <v>32.114905780093601</v>
      </c>
      <c r="AI268">
        <v>91.910611935870307</v>
      </c>
      <c r="AJ268">
        <v>88.501959775684199</v>
      </c>
      <c r="AK268">
        <v>32.143755836208399</v>
      </c>
      <c r="AL268">
        <v>78.494173282852003</v>
      </c>
      <c r="AM268">
        <v>87.180419073162</v>
      </c>
      <c r="AN268">
        <v>1.00000006407185</v>
      </c>
    </row>
    <row r="269" spans="1:40" x14ac:dyDescent="0.25">
      <c r="A269" t="str">
        <f>"20190303170721776"</f>
        <v>20190303170721776</v>
      </c>
      <c r="B269" t="str">
        <f>"1551604041772533"</f>
        <v>1551604041772533</v>
      </c>
      <c r="C269" t="s">
        <v>40</v>
      </c>
      <c r="D269">
        <v>4.557404</v>
      </c>
      <c r="E269">
        <v>0.51336850000000001</v>
      </c>
      <c r="F269" t="s">
        <v>43</v>
      </c>
      <c r="G269">
        <v>-369.52510000000001</v>
      </c>
      <c r="H269" s="1">
        <v>-8.9140249999999896E-7</v>
      </c>
      <c r="I269">
        <v>366.82119999999998</v>
      </c>
      <c r="J269">
        <v>-400.71019999999999</v>
      </c>
      <c r="K269">
        <v>1.0718299999999901</v>
      </c>
      <c r="L269">
        <v>367.40699999999998</v>
      </c>
      <c r="M269">
        <v>0.99983949999999999</v>
      </c>
      <c r="N269">
        <v>-1.6071249999999999E-2</v>
      </c>
      <c r="O269">
        <v>7.9236050000000002E-3</v>
      </c>
      <c r="P269">
        <v>0.98208260000000003</v>
      </c>
      <c r="Q269">
        <v>0.18409449999999999</v>
      </c>
      <c r="R269">
        <v>-4.0293330000000002E-2</v>
      </c>
      <c r="S269">
        <v>3.072327</v>
      </c>
      <c r="T269">
        <v>-0.1045542</v>
      </c>
      <c r="U269">
        <v>-5.6823730000000003E-2</v>
      </c>
      <c r="V269">
        <v>4.8197999999999998E-2</v>
      </c>
      <c r="W269">
        <v>0.19981850000000001</v>
      </c>
      <c r="X269">
        <v>0.97864680000000004</v>
      </c>
      <c r="Y269">
        <v>2.6391100000000001E-2</v>
      </c>
      <c r="Z269">
        <v>-8.0331059999999999E-4</v>
      </c>
      <c r="AA269">
        <v>0.99965139999999997</v>
      </c>
      <c r="AB269">
        <v>32</v>
      </c>
      <c r="AC269">
        <v>31.185099999999899</v>
      </c>
      <c r="AD269">
        <v>-1.0718308914025001</v>
      </c>
      <c r="AE269">
        <v>-0.58580000000000598</v>
      </c>
      <c r="AF269">
        <v>0.83192951811202898</v>
      </c>
      <c r="AG269">
        <v>-1.0718308914025001</v>
      </c>
      <c r="AH269">
        <v>31.142702796366802</v>
      </c>
      <c r="AI269">
        <v>91.970454596357598</v>
      </c>
      <c r="AJ269">
        <v>88.469795088349997</v>
      </c>
      <c r="AK269">
        <v>31.172245117182399</v>
      </c>
      <c r="AL269">
        <v>78.473654618873596</v>
      </c>
      <c r="AM269">
        <v>87.180481769991303</v>
      </c>
      <c r="AN269">
        <v>1.0000000196482399</v>
      </c>
    </row>
    <row r="270" spans="1:40" x14ac:dyDescent="0.25">
      <c r="A270" t="str">
        <f>"20190303170721800"</f>
        <v>20190303170721800</v>
      </c>
      <c r="B270" t="str">
        <f>"1551604041792053"</f>
        <v>1551604041792053</v>
      </c>
      <c r="C270" t="s">
        <v>40</v>
      </c>
      <c r="D270">
        <v>4.6467799999999997</v>
      </c>
      <c r="E270">
        <v>0.52258070000000001</v>
      </c>
      <c r="F270" t="s">
        <v>47</v>
      </c>
      <c r="G270">
        <v>-399.80099999999999</v>
      </c>
      <c r="H270">
        <v>0.98980690000000005</v>
      </c>
      <c r="I270">
        <v>367.34989999999999</v>
      </c>
      <c r="J270">
        <v>-400.37670000000003</v>
      </c>
      <c r="K270">
        <v>1.072028</v>
      </c>
      <c r="L270">
        <v>367.41030000000001</v>
      </c>
      <c r="M270">
        <v>0.99983049999999996</v>
      </c>
      <c r="N270">
        <v>-1.5943430000000001E-2</v>
      </c>
      <c r="O270">
        <v>9.2062150000000002E-3</v>
      </c>
      <c r="P270">
        <v>0.98180160000000005</v>
      </c>
      <c r="Q270">
        <v>0.18585570000000001</v>
      </c>
      <c r="R270">
        <v>-3.9033110000000003E-2</v>
      </c>
      <c r="S270">
        <v>3.0991819999999999</v>
      </c>
      <c r="T270">
        <v>-0.27971859999999998</v>
      </c>
      <c r="U270">
        <v>-0.19406129999999999</v>
      </c>
      <c r="V270">
        <v>4.8462129999999999E-2</v>
      </c>
      <c r="W270">
        <v>0.20138529999999999</v>
      </c>
      <c r="X270">
        <v>0.97831250000000003</v>
      </c>
      <c r="Y270">
        <v>7.1315820000000002E-2</v>
      </c>
      <c r="Z270">
        <v>-4.461212E-3</v>
      </c>
      <c r="AA270">
        <v>0.99744379999999999</v>
      </c>
      <c r="AB270">
        <v>31</v>
      </c>
      <c r="AC270">
        <v>0.57570000000003996</v>
      </c>
      <c r="AD270">
        <v>-8.2221100000000005E-2</v>
      </c>
      <c r="AE270">
        <v>-6.0400000000015497E-2</v>
      </c>
      <c r="AF270">
        <v>6.4398865636265998E-2</v>
      </c>
      <c r="AG270">
        <v>-8.2221100000000005E-2</v>
      </c>
      <c r="AH270">
        <v>0.56374573634434</v>
      </c>
      <c r="AI270">
        <v>98.245081111931995</v>
      </c>
      <c r="AJ270">
        <v>83.483129576118401</v>
      </c>
      <c r="AK270">
        <v>0.573338275738565</v>
      </c>
      <c r="AL270">
        <v>78.382020491111803</v>
      </c>
      <c r="AM270">
        <v>87.164088507271799</v>
      </c>
      <c r="AN270">
        <v>0.99999998237823795</v>
      </c>
    </row>
    <row r="271" spans="1:40" x14ac:dyDescent="0.25">
      <c r="A271" t="str">
        <f>"20190303170721823"</f>
        <v>20190303170721823</v>
      </c>
      <c r="B271" t="str">
        <f>"1551604041812549"</f>
        <v>1551604041812549</v>
      </c>
      <c r="C271" t="s">
        <v>40</v>
      </c>
      <c r="D271">
        <v>4.7149130000000001</v>
      </c>
      <c r="E271">
        <v>0.52536380000000005</v>
      </c>
      <c r="F271" t="s">
        <v>47</v>
      </c>
      <c r="G271">
        <v>-399.53879999999998</v>
      </c>
      <c r="H271">
        <v>0.95649280000000003</v>
      </c>
      <c r="I271">
        <v>367.34129999999999</v>
      </c>
      <c r="J271">
        <v>-400.05149999999998</v>
      </c>
      <c r="K271">
        <v>1.0729310000000001</v>
      </c>
      <c r="L271">
        <v>367.41359999999997</v>
      </c>
      <c r="M271">
        <v>0.99984709999999999</v>
      </c>
      <c r="N271">
        <v>-1.4242650000000001E-2</v>
      </c>
      <c r="O271">
        <v>1.016831E-2</v>
      </c>
      <c r="P271">
        <v>0.98116119999999996</v>
      </c>
      <c r="Q271">
        <v>0.18933910000000001</v>
      </c>
      <c r="R271">
        <v>-3.839041E-2</v>
      </c>
      <c r="S271">
        <v>3.127014</v>
      </c>
      <c r="T271">
        <v>-0.43127949999999998</v>
      </c>
      <c r="U271">
        <v>-0.2571716</v>
      </c>
      <c r="V271">
        <v>4.8704530000000003E-2</v>
      </c>
      <c r="W271">
        <v>0.203207</v>
      </c>
      <c r="X271">
        <v>0.97792369999999995</v>
      </c>
      <c r="Y271">
        <v>9.1072890000000004E-2</v>
      </c>
      <c r="Z271">
        <v>-8.1431330000000003E-3</v>
      </c>
      <c r="AA271">
        <v>0.99581090000000005</v>
      </c>
      <c r="AB271">
        <v>31</v>
      </c>
      <c r="AC271">
        <v>0.51269999999999505</v>
      </c>
      <c r="AD271">
        <v>-0.11643819999999901</v>
      </c>
      <c r="AE271">
        <v>-7.2299999999984196E-2</v>
      </c>
      <c r="AF271">
        <v>7.3778912742261102E-2</v>
      </c>
      <c r="AG271">
        <v>-0.11643819999999901</v>
      </c>
      <c r="AH271">
        <v>0.48729463797012301</v>
      </c>
      <c r="AI271">
        <v>103.29271234072699</v>
      </c>
      <c r="AJ271">
        <v>81.390513673803397</v>
      </c>
      <c r="AK271">
        <v>0.506416080490247</v>
      </c>
      <c r="AL271">
        <v>78.275441243692299</v>
      </c>
      <c r="AM271">
        <v>87.148795796478893</v>
      </c>
      <c r="AN271">
        <v>0.99999998955660496</v>
      </c>
    </row>
    <row r="272" spans="1:40" x14ac:dyDescent="0.25">
      <c r="A272" t="str">
        <f>"20190303170721844"</f>
        <v>20190303170721844</v>
      </c>
      <c r="B272" t="str">
        <f>"1551604041832069"</f>
        <v>1551604041832069</v>
      </c>
      <c r="C272" t="s">
        <v>40</v>
      </c>
      <c r="D272">
        <v>4.6809750000000001</v>
      </c>
      <c r="E272">
        <v>0.52684299999999995</v>
      </c>
      <c r="F272" t="s">
        <v>47</v>
      </c>
      <c r="G272">
        <v>-399.26510000000002</v>
      </c>
      <c r="H272">
        <v>0.94331149999999997</v>
      </c>
      <c r="I272">
        <v>367.3451</v>
      </c>
      <c r="J272">
        <v>-399.7534</v>
      </c>
      <c r="K272">
        <v>1.074265</v>
      </c>
      <c r="L272">
        <v>367.4171</v>
      </c>
      <c r="M272">
        <v>0.99987320000000002</v>
      </c>
      <c r="N272">
        <v>-1.232949E-2</v>
      </c>
      <c r="O272">
        <v>1.0090470000000001E-2</v>
      </c>
      <c r="P272">
        <v>0.98072369999999998</v>
      </c>
      <c r="Q272">
        <v>0.1914633</v>
      </c>
      <c r="R272">
        <v>-3.9025310000000001E-2</v>
      </c>
      <c r="S272">
        <v>3.1470639999999999</v>
      </c>
      <c r="T272">
        <v>-0.51893480000000003</v>
      </c>
      <c r="U272">
        <v>-0.272644</v>
      </c>
      <c r="V272">
        <v>4.9098719999999998E-2</v>
      </c>
      <c r="W272">
        <v>0.20349220000000001</v>
      </c>
      <c r="X272">
        <v>0.97784470000000001</v>
      </c>
      <c r="Y272">
        <v>9.4875520000000005E-2</v>
      </c>
      <c r="Z272">
        <v>-9.8721690000000001E-3</v>
      </c>
      <c r="AA272">
        <v>0.9954402</v>
      </c>
      <c r="AB272">
        <v>31</v>
      </c>
      <c r="AC272">
        <v>0.48829999999998103</v>
      </c>
      <c r="AD272">
        <v>-0.1309535</v>
      </c>
      <c r="AE272">
        <v>-7.2000000000002701E-2</v>
      </c>
      <c r="AF272">
        <v>7.1865191812145401E-2</v>
      </c>
      <c r="AG272">
        <v>-0.1309535</v>
      </c>
      <c r="AH272">
        <v>0.455486246467731</v>
      </c>
      <c r="AI272">
        <v>105.85399602675299</v>
      </c>
      <c r="AJ272">
        <v>81.033962813345696</v>
      </c>
      <c r="AK272">
        <v>0.47935492662296603</v>
      </c>
      <c r="AL272">
        <v>78.2587520068289</v>
      </c>
      <c r="AM272">
        <v>87.125526301736102</v>
      </c>
      <c r="AN272">
        <v>1.00000000854228</v>
      </c>
    </row>
    <row r="273" spans="1:40" x14ac:dyDescent="0.25">
      <c r="A273" t="str">
        <f>"20190303170721866"</f>
        <v>20190303170721866</v>
      </c>
      <c r="B273" t="str">
        <f>"1551604041862325"</f>
        <v>1551604041862325</v>
      </c>
      <c r="C273" t="s">
        <v>40</v>
      </c>
      <c r="D273">
        <v>4.6644220000000001</v>
      </c>
      <c r="E273">
        <v>0.52848519999999999</v>
      </c>
      <c r="F273" t="s">
        <v>47</v>
      </c>
      <c r="G273">
        <v>-398.98759999999999</v>
      </c>
      <c r="H273">
        <v>0.93758929999999996</v>
      </c>
      <c r="I273">
        <v>367.34840000000003</v>
      </c>
      <c r="J273">
        <v>-399.4581</v>
      </c>
      <c r="K273">
        <v>1.0757030000000001</v>
      </c>
      <c r="L273">
        <v>367.42079999999999</v>
      </c>
      <c r="M273">
        <v>0.99989689999999998</v>
      </c>
      <c r="N273">
        <v>-1.055508E-2</v>
      </c>
      <c r="O273">
        <v>9.7342279999999993E-3</v>
      </c>
      <c r="P273">
        <v>0.9804003</v>
      </c>
      <c r="Q273">
        <v>0.1930045</v>
      </c>
      <c r="R273">
        <v>-3.9555100000000003E-2</v>
      </c>
      <c r="S273">
        <v>3.1577760000000001</v>
      </c>
      <c r="T273">
        <v>-0.56374380000000002</v>
      </c>
      <c r="U273">
        <v>-0.28247070000000002</v>
      </c>
      <c r="V273">
        <v>4.9200140000000003E-2</v>
      </c>
      <c r="W273">
        <v>0.20331299999999999</v>
      </c>
      <c r="X273">
        <v>0.97787690000000005</v>
      </c>
      <c r="Y273">
        <v>9.7038799999999995E-2</v>
      </c>
      <c r="Z273">
        <v>-1.071388E-2</v>
      </c>
      <c r="AA273">
        <v>0.99522290000000002</v>
      </c>
      <c r="AB273">
        <v>32</v>
      </c>
      <c r="AC273">
        <v>0.47050000000001502</v>
      </c>
      <c r="AD273">
        <v>-0.13811370000000001</v>
      </c>
      <c r="AE273">
        <v>-7.2399999999959094E-2</v>
      </c>
      <c r="AF273">
        <v>7.1000231559341195E-2</v>
      </c>
      <c r="AG273">
        <v>-0.13811370000000001</v>
      </c>
      <c r="AH273">
        <v>0.433299311397219</v>
      </c>
      <c r="AI273">
        <v>107.46117921949801</v>
      </c>
      <c r="AJ273">
        <v>80.694237512691103</v>
      </c>
      <c r="AK273">
        <v>0.46028764948287898</v>
      </c>
      <c r="AL273">
        <v>78.2692388944009</v>
      </c>
      <c r="AM273">
        <v>87.119693366637705</v>
      </c>
      <c r="AN273">
        <v>1.00000003064931</v>
      </c>
    </row>
    <row r="274" spans="1:40" x14ac:dyDescent="0.25">
      <c r="A274" t="str">
        <f>"20190303170721888"</f>
        <v>20190303170721888</v>
      </c>
      <c r="B274" t="str">
        <f>"1551604041882822"</f>
        <v>1551604041882822</v>
      </c>
      <c r="C274" t="s">
        <v>40</v>
      </c>
      <c r="D274">
        <v>4.6207839999999996</v>
      </c>
      <c r="E274">
        <v>0.52923669999999901</v>
      </c>
      <c r="F274" t="s">
        <v>47</v>
      </c>
      <c r="G274">
        <v>-398.7097</v>
      </c>
      <c r="H274">
        <v>0.93330939999999996</v>
      </c>
      <c r="I274">
        <v>367.35090000000002</v>
      </c>
      <c r="J274">
        <v>-399.13029999999998</v>
      </c>
      <c r="K274">
        <v>1.0772870000000001</v>
      </c>
      <c r="L274">
        <v>367.42469999999997</v>
      </c>
      <c r="M274">
        <v>0.9999169</v>
      </c>
      <c r="N274">
        <v>-8.6739460000000001E-3</v>
      </c>
      <c r="O274">
        <v>9.5475569999999999E-3</v>
      </c>
      <c r="P274">
        <v>0.98003790000000002</v>
      </c>
      <c r="Q274">
        <v>0.19470309999999999</v>
      </c>
      <c r="R274">
        <v>-4.0207809999999997E-2</v>
      </c>
      <c r="S274">
        <v>3.1667480000000001</v>
      </c>
      <c r="T274">
        <v>-0.60263940000000005</v>
      </c>
      <c r="U274">
        <v>-0.29461670000000001</v>
      </c>
      <c r="V274">
        <v>4.9681959999999997E-2</v>
      </c>
      <c r="W274">
        <v>0.20316400000000001</v>
      </c>
      <c r="X274">
        <v>0.97788350000000002</v>
      </c>
      <c r="Y274">
        <v>0.1001172</v>
      </c>
      <c r="Z274">
        <v>-1.1576120000000001E-2</v>
      </c>
      <c r="AA274">
        <v>0.99490829999999997</v>
      </c>
      <c r="AB274">
        <v>32</v>
      </c>
      <c r="AC274">
        <v>0.42059999999997899</v>
      </c>
      <c r="AD274">
        <v>-0.14397760000000001</v>
      </c>
      <c r="AE274">
        <v>-7.3799999999948795E-2</v>
      </c>
      <c r="AF274">
        <v>6.9869732341359403E-2</v>
      </c>
      <c r="AG274">
        <v>-0.14397760000000001</v>
      </c>
      <c r="AH274">
        <v>0.37701707604061102</v>
      </c>
      <c r="AI274">
        <v>110.58078283121399</v>
      </c>
      <c r="AJ274">
        <v>79.500918640766699</v>
      </c>
      <c r="AK274">
        <v>0.40957686021725498</v>
      </c>
      <c r="AL274">
        <v>78.277957856838796</v>
      </c>
      <c r="AM274">
        <v>87.091554139700904</v>
      </c>
      <c r="AN274">
        <v>1.00000002380884</v>
      </c>
    </row>
    <row r="275" spans="1:40" x14ac:dyDescent="0.25">
      <c r="A275" t="str">
        <f>"20190303170721912"</f>
        <v>20190303170721912</v>
      </c>
      <c r="B275" t="str">
        <f>"1551604041902341"</f>
        <v>1551604041902341</v>
      </c>
      <c r="C275" t="s">
        <v>40</v>
      </c>
      <c r="D275">
        <v>4.6266559999999997</v>
      </c>
      <c r="E275">
        <v>0.52963939999999998</v>
      </c>
      <c r="F275" t="s">
        <v>47</v>
      </c>
      <c r="G275">
        <v>-398.4264</v>
      </c>
      <c r="H275">
        <v>0.94082390000000005</v>
      </c>
      <c r="I275">
        <v>367.35759999999999</v>
      </c>
      <c r="J275">
        <v>-398.81279999999998</v>
      </c>
      <c r="K275">
        <v>1.07881</v>
      </c>
      <c r="L275">
        <v>367.4282</v>
      </c>
      <c r="M275">
        <v>0.99992879999999995</v>
      </c>
      <c r="N275">
        <v>-6.9224830000000001E-3</v>
      </c>
      <c r="O275">
        <v>9.7370189999999995E-3</v>
      </c>
      <c r="P275">
        <v>0.97946610000000001</v>
      </c>
      <c r="Q275">
        <v>0.19763259999999999</v>
      </c>
      <c r="R275">
        <v>-3.985006E-2</v>
      </c>
      <c r="S275">
        <v>3.1708980000000002</v>
      </c>
      <c r="T275">
        <v>-0.614761</v>
      </c>
      <c r="U275">
        <v>-0.30163570000000001</v>
      </c>
      <c r="V275">
        <v>4.9564219999999999E-2</v>
      </c>
      <c r="W275">
        <v>0.20436190000000001</v>
      </c>
      <c r="X275">
        <v>0.97763979999999995</v>
      </c>
      <c r="Y275">
        <v>0.1022638</v>
      </c>
      <c r="Z275">
        <v>-1.19582E-2</v>
      </c>
      <c r="AA275">
        <v>0.99468540000000005</v>
      </c>
      <c r="AB275">
        <v>32</v>
      </c>
      <c r="AC275">
        <v>0.38639999999997998</v>
      </c>
      <c r="AD275">
        <v>-0.1379861</v>
      </c>
      <c r="AE275">
        <v>-7.0600000000013097E-2</v>
      </c>
      <c r="AF275">
        <v>6.6190810905585595E-2</v>
      </c>
      <c r="AG275">
        <v>-0.1379861</v>
      </c>
      <c r="AH275">
        <v>0.34332589827269899</v>
      </c>
      <c r="AI275">
        <v>111.53630504345</v>
      </c>
      <c r="AJ275">
        <v>79.087663992757399</v>
      </c>
      <c r="AK275">
        <v>0.37589102099718302</v>
      </c>
      <c r="AL275">
        <v>78.207852021177601</v>
      </c>
      <c r="AM275">
        <v>87.097712950571506</v>
      </c>
      <c r="AN275">
        <v>0.99999998830992898</v>
      </c>
    </row>
    <row r="276" spans="1:40" x14ac:dyDescent="0.25">
      <c r="A276" t="str">
        <f>"20190303170721933"</f>
        <v>20190303170721933</v>
      </c>
      <c r="B276" t="str">
        <f>"1551604041922837"</f>
        <v>1551604041922837</v>
      </c>
      <c r="C276" t="s">
        <v>40</v>
      </c>
      <c r="D276">
        <v>4.6191740000000001</v>
      </c>
      <c r="E276">
        <v>0.52994819999999998</v>
      </c>
      <c r="F276" t="s">
        <v>47</v>
      </c>
      <c r="G276">
        <v>-397.887</v>
      </c>
      <c r="H276">
        <v>0.89877489999999904</v>
      </c>
      <c r="I276">
        <v>367.33969999999999</v>
      </c>
      <c r="J276">
        <v>-398.50209999999998</v>
      </c>
      <c r="K276">
        <v>1.080398</v>
      </c>
      <c r="L276">
        <v>367.4314</v>
      </c>
      <c r="M276">
        <v>0.99993460000000001</v>
      </c>
      <c r="N276">
        <v>-5.4804469999999899E-3</v>
      </c>
      <c r="O276">
        <v>1.005138E-2</v>
      </c>
      <c r="P276">
        <v>0.97898160000000001</v>
      </c>
      <c r="Q276">
        <v>0.20017869999999999</v>
      </c>
      <c r="R276">
        <v>-3.9037769999999999E-2</v>
      </c>
      <c r="S276">
        <v>3.1751710000000002</v>
      </c>
      <c r="T276">
        <v>-0.61756350000000004</v>
      </c>
      <c r="U276">
        <v>-0.30307009999999901</v>
      </c>
      <c r="V276">
        <v>4.9086949999999997E-2</v>
      </c>
      <c r="W276">
        <v>0.20548859999999999</v>
      </c>
      <c r="X276">
        <v>0.97742770000000001</v>
      </c>
      <c r="Y276">
        <v>0.1028768</v>
      </c>
      <c r="Z276">
        <v>-1.205343E-2</v>
      </c>
      <c r="AA276">
        <v>0.99462110000000004</v>
      </c>
      <c r="AB276">
        <v>31</v>
      </c>
      <c r="AC276">
        <v>0.61510000000003995</v>
      </c>
      <c r="AD276">
        <v>-0.18162310000000001</v>
      </c>
      <c r="AE276">
        <v>-9.1700000000003001E-2</v>
      </c>
      <c r="AF276">
        <v>9.0185993965782002E-2</v>
      </c>
      <c r="AG276">
        <v>-0.18162310000000001</v>
      </c>
      <c r="AH276">
        <v>0.56588242427815805</v>
      </c>
      <c r="AI276">
        <v>107.586299279632</v>
      </c>
      <c r="AJ276">
        <v>80.944792323793493</v>
      </c>
      <c r="AK276">
        <v>0.60111844262851499</v>
      </c>
      <c r="AL276">
        <v>78.141897295875793</v>
      </c>
      <c r="AM276">
        <v>87.124990231797696</v>
      </c>
      <c r="AN276">
        <v>1.00000000105877</v>
      </c>
    </row>
    <row r="277" spans="1:40" x14ac:dyDescent="0.25">
      <c r="A277" t="str">
        <f>"20190303170721954"</f>
        <v>20190303170721954</v>
      </c>
      <c r="B277" t="str">
        <f>"1551604041942361"</f>
        <v>1551604041942361</v>
      </c>
      <c r="C277" t="s">
        <v>40</v>
      </c>
      <c r="D277">
        <v>4.5831019999999896</v>
      </c>
      <c r="E277">
        <v>0.53024230000000006</v>
      </c>
      <c r="F277" t="s">
        <v>47</v>
      </c>
      <c r="G277">
        <v>-397.60680000000002</v>
      </c>
      <c r="H277">
        <v>0.90617930000000002</v>
      </c>
      <c r="I277">
        <v>367.34550000000002</v>
      </c>
      <c r="J277">
        <v>-398.21699999999998</v>
      </c>
      <c r="K277">
        <v>1.082184</v>
      </c>
      <c r="L277">
        <v>367.43419999999998</v>
      </c>
      <c r="M277">
        <v>0.99993399999999999</v>
      </c>
      <c r="N277">
        <v>-5.0270200000000001E-3</v>
      </c>
      <c r="O277">
        <v>1.033324E-2</v>
      </c>
      <c r="P277">
        <v>0.97888949999999997</v>
      </c>
      <c r="Q277">
        <v>0.20074629999999999</v>
      </c>
      <c r="R277">
        <v>-3.842346E-2</v>
      </c>
      <c r="S277">
        <v>3.178833</v>
      </c>
      <c r="T277">
        <v>-0.61870729999999996</v>
      </c>
      <c r="U277">
        <v>-0.30334470000000002</v>
      </c>
      <c r="V277">
        <v>4.8736160000000001E-2</v>
      </c>
      <c r="W277">
        <v>0.20561499999999999</v>
      </c>
      <c r="X277">
        <v>0.97741869999999997</v>
      </c>
      <c r="Y277">
        <v>0.10312490000000001</v>
      </c>
      <c r="Z277">
        <v>-1.21198E-2</v>
      </c>
      <c r="AA277">
        <v>0.9945946</v>
      </c>
      <c r="AB277">
        <v>31</v>
      </c>
      <c r="AC277">
        <v>0.61019999999996299</v>
      </c>
      <c r="AD277">
        <v>-0.17600469999999999</v>
      </c>
      <c r="AE277">
        <v>-8.86999999999602E-2</v>
      </c>
      <c r="AF277">
        <v>8.7843647840933403E-2</v>
      </c>
      <c r="AG277">
        <v>-0.17600469999999999</v>
      </c>
      <c r="AH277">
        <v>0.56335189783102002</v>
      </c>
      <c r="AI277">
        <v>107.155132242058</v>
      </c>
      <c r="AJ277">
        <v>81.137220907482501</v>
      </c>
      <c r="AK277">
        <v>0.59670723280173499</v>
      </c>
      <c r="AL277">
        <v>78.134497415133495</v>
      </c>
      <c r="AM277">
        <v>87.145475567099197</v>
      </c>
      <c r="AN277">
        <v>1.0000000283131101</v>
      </c>
    </row>
    <row r="278" spans="1:40" x14ac:dyDescent="0.25">
      <c r="A278" t="str">
        <f>"20190303170721977"</f>
        <v>20190303170721977</v>
      </c>
      <c r="B278" t="str">
        <f>"1551604041972144"</f>
        <v>1551604041972144</v>
      </c>
      <c r="C278" t="s">
        <v>40</v>
      </c>
      <c r="D278">
        <v>4.5503519999999904</v>
      </c>
      <c r="E278">
        <v>0.5292441</v>
      </c>
      <c r="F278" t="s">
        <v>47</v>
      </c>
      <c r="G278">
        <v>-397.33139999999997</v>
      </c>
      <c r="H278">
        <v>0.9083021</v>
      </c>
      <c r="I278">
        <v>367.3494</v>
      </c>
      <c r="J278">
        <v>-397.89879999999999</v>
      </c>
      <c r="K278">
        <v>1.0847180000000001</v>
      </c>
      <c r="L278">
        <v>367.43740000000003</v>
      </c>
      <c r="M278">
        <v>0.99993100000000001</v>
      </c>
      <c r="N278">
        <v>-5.2159880000000004E-3</v>
      </c>
      <c r="O278">
        <v>1.0533239999999999E-2</v>
      </c>
      <c r="P278">
        <v>0.97899899999999995</v>
      </c>
      <c r="Q278">
        <v>0.20028000000000001</v>
      </c>
      <c r="R278">
        <v>-3.806959E-2</v>
      </c>
      <c r="S278">
        <v>3.180847</v>
      </c>
      <c r="T278">
        <v>-0.62464929999999996</v>
      </c>
      <c r="U278">
        <v>-0.30377199999999999</v>
      </c>
      <c r="V278">
        <v>4.8533659999999999E-2</v>
      </c>
      <c r="W278">
        <v>0.20534530000000001</v>
      </c>
      <c r="X278">
        <v>0.97748539999999995</v>
      </c>
      <c r="Y278">
        <v>0.1033491</v>
      </c>
      <c r="Z278">
        <v>-1.229266E-2</v>
      </c>
      <c r="AA278">
        <v>0.99456920000000004</v>
      </c>
      <c r="AB278">
        <v>31</v>
      </c>
      <c r="AC278">
        <v>0.56740000000002</v>
      </c>
      <c r="AD278">
        <v>-0.17641589999999899</v>
      </c>
      <c r="AE278">
        <v>-8.8000000000022199E-2</v>
      </c>
      <c r="AF278">
        <v>8.5865974783636403E-2</v>
      </c>
      <c r="AG278">
        <v>-0.17641589999999899</v>
      </c>
      <c r="AH278">
        <v>0.51758165674527601</v>
      </c>
      <c r="AI278">
        <v>108.585255510126</v>
      </c>
      <c r="AJ278">
        <v>80.580511217572294</v>
      </c>
      <c r="AK278">
        <v>0.55352173109783098</v>
      </c>
      <c r="AL278">
        <v>78.150286168597006</v>
      </c>
      <c r="AM278">
        <v>87.157510351022694</v>
      </c>
      <c r="AN278">
        <v>0.99999995779912099</v>
      </c>
    </row>
    <row r="279" spans="1:40" x14ac:dyDescent="0.25">
      <c r="A279" t="str">
        <f>"20190303170722002"</f>
        <v>20190303170722002</v>
      </c>
      <c r="B279" t="str">
        <f>"1551604041992639"</f>
        <v>1551604041992639</v>
      </c>
      <c r="C279" t="s">
        <v>40</v>
      </c>
      <c r="D279">
        <v>4.5557889999999999</v>
      </c>
      <c r="E279">
        <v>0.52852509999999997</v>
      </c>
      <c r="F279" t="s">
        <v>47</v>
      </c>
      <c r="G279">
        <v>-397.053</v>
      </c>
      <c r="H279">
        <v>0.9166358</v>
      </c>
      <c r="I279">
        <v>367.35899999999998</v>
      </c>
      <c r="J279">
        <v>-397.5564</v>
      </c>
      <c r="K279">
        <v>1.0877319999999999</v>
      </c>
      <c r="L279">
        <v>367.4409</v>
      </c>
      <c r="M279">
        <v>0.99993010000000004</v>
      </c>
      <c r="N279">
        <v>-5.2549459999999999E-3</v>
      </c>
      <c r="O279">
        <v>1.059977E-2</v>
      </c>
      <c r="P279">
        <v>0.97916840000000005</v>
      </c>
      <c r="Q279">
        <v>0.19946759999999999</v>
      </c>
      <c r="R279">
        <v>-3.7976879999999998E-2</v>
      </c>
      <c r="S279">
        <v>3.182312</v>
      </c>
      <c r="T279">
        <v>-0.63241510000000001</v>
      </c>
      <c r="U279">
        <v>-0.29406739999999998</v>
      </c>
      <c r="V279">
        <v>4.8444380000000002E-2</v>
      </c>
      <c r="W279">
        <v>0.2045864</v>
      </c>
      <c r="X279">
        <v>0.97764899999999999</v>
      </c>
      <c r="Y279">
        <v>0.1003701</v>
      </c>
      <c r="Z279">
        <v>-1.2150040000000001E-2</v>
      </c>
      <c r="AA279">
        <v>0.99487599999999998</v>
      </c>
      <c r="AB279">
        <v>31</v>
      </c>
      <c r="AC279">
        <v>0.503399999999942</v>
      </c>
      <c r="AD279">
        <v>-0.171096199999999</v>
      </c>
      <c r="AE279">
        <v>-8.1899999999961795E-2</v>
      </c>
      <c r="AF279">
        <v>7.8407398036296497E-2</v>
      </c>
      <c r="AG279">
        <v>-0.171096199999999</v>
      </c>
      <c r="AH279">
        <v>0.45167222297369403</v>
      </c>
      <c r="AI279">
        <v>110.466798711111</v>
      </c>
      <c r="AJ279">
        <v>80.1519605778346</v>
      </c>
      <c r="AK279">
        <v>0.48931526312517598</v>
      </c>
      <c r="AL279">
        <v>78.194711745820399</v>
      </c>
      <c r="AM279">
        <v>87.163204709138995</v>
      </c>
      <c r="AN279">
        <v>1.0000000101097699</v>
      </c>
    </row>
    <row r="280" spans="1:40" x14ac:dyDescent="0.25">
      <c r="A280" t="str">
        <f>"20190303170722024"</f>
        <v>20190303170722024</v>
      </c>
      <c r="B280" t="str">
        <f>"1551604042012159"</f>
        <v>1551604042012159</v>
      </c>
      <c r="C280" t="s">
        <v>40</v>
      </c>
      <c r="D280">
        <v>4.5342989999999999</v>
      </c>
      <c r="E280">
        <v>0.52791509999999997</v>
      </c>
      <c r="F280" t="s">
        <v>47</v>
      </c>
      <c r="G280">
        <v>-396.77069999999998</v>
      </c>
      <c r="H280">
        <v>0.93046819999999997</v>
      </c>
      <c r="I280">
        <v>367.36989999999997</v>
      </c>
      <c r="J280">
        <v>-397.24590000000001</v>
      </c>
      <c r="K280">
        <v>1.090598</v>
      </c>
      <c r="L280">
        <v>367.44420000000002</v>
      </c>
      <c r="M280">
        <v>0.99992999999999999</v>
      </c>
      <c r="N280">
        <v>-5.1754590000000003E-3</v>
      </c>
      <c r="O280">
        <v>1.064638E-2</v>
      </c>
      <c r="P280">
        <v>0.97911219999999999</v>
      </c>
      <c r="Q280">
        <v>0.19977729999999999</v>
      </c>
      <c r="R280">
        <v>-3.7794809999999998E-2</v>
      </c>
      <c r="S280">
        <v>3.1824650000000001</v>
      </c>
      <c r="T280">
        <v>-0.63699209999999995</v>
      </c>
      <c r="U280">
        <v>-0.28701779999999999</v>
      </c>
      <c r="V280">
        <v>4.8261789999999999E-2</v>
      </c>
      <c r="W280">
        <v>0.20482909999999999</v>
      </c>
      <c r="X280">
        <v>0.97760720000000001</v>
      </c>
      <c r="Y280">
        <v>9.8237599999999994E-2</v>
      </c>
      <c r="Z280">
        <v>-1.2024679999999999E-2</v>
      </c>
      <c r="AA280">
        <v>0.99509040000000004</v>
      </c>
      <c r="AB280">
        <v>31</v>
      </c>
      <c r="AC280">
        <v>0.47520000000002899</v>
      </c>
      <c r="AD280">
        <v>-0.16012979999999999</v>
      </c>
      <c r="AE280">
        <v>-7.4300000000050603E-2</v>
      </c>
      <c r="AF280">
        <v>7.1436855465455307E-2</v>
      </c>
      <c r="AG280">
        <v>-0.16012979999999999</v>
      </c>
      <c r="AH280">
        <v>0.42704749141505099</v>
      </c>
      <c r="AI280">
        <v>110.295944848145</v>
      </c>
      <c r="AJ280">
        <v>80.503443728777796</v>
      </c>
      <c r="AK280">
        <v>0.46164308409280902</v>
      </c>
      <c r="AL280">
        <v>78.180505077639495</v>
      </c>
      <c r="AM280">
        <v>87.173758765600098</v>
      </c>
      <c r="AN280">
        <v>0.99999999903632697</v>
      </c>
    </row>
    <row r="281" spans="1:40" x14ac:dyDescent="0.25">
      <c r="A281" t="str">
        <f>"20190303170722044"</f>
        <v>20190303170722044</v>
      </c>
      <c r="B281" t="str">
        <f>"1551604042032656"</f>
        <v>1551604042032656</v>
      </c>
      <c r="C281" t="s">
        <v>40</v>
      </c>
      <c r="D281">
        <v>4.5230259999999998</v>
      </c>
      <c r="E281">
        <v>0.52749099999999904</v>
      </c>
      <c r="F281" t="s">
        <v>47</v>
      </c>
      <c r="G281">
        <v>-396.4898</v>
      </c>
      <c r="H281">
        <v>0.93903119999999995</v>
      </c>
      <c r="I281">
        <v>367.37709999999998</v>
      </c>
      <c r="J281">
        <v>-396.96899999999999</v>
      </c>
      <c r="K281">
        <v>1.093242</v>
      </c>
      <c r="L281">
        <v>367.44729999999998</v>
      </c>
      <c r="M281">
        <v>0.99992899999999996</v>
      </c>
      <c r="N281">
        <v>-5.2446740000000004E-3</v>
      </c>
      <c r="O281">
        <v>1.071109E-2</v>
      </c>
      <c r="P281">
        <v>0.9790643</v>
      </c>
      <c r="Q281">
        <v>0.20003389999999999</v>
      </c>
      <c r="R281">
        <v>-3.7680699999999998E-2</v>
      </c>
      <c r="S281">
        <v>3.1833499999999999</v>
      </c>
      <c r="T281">
        <v>-0.63832239999999996</v>
      </c>
      <c r="U281">
        <v>-0.28112789999999999</v>
      </c>
      <c r="V281">
        <v>4.818418E-2</v>
      </c>
      <c r="W281">
        <v>0.20515910000000001</v>
      </c>
      <c r="X281">
        <v>0.97754180000000002</v>
      </c>
      <c r="Y281">
        <v>9.6476270000000003E-2</v>
      </c>
      <c r="Z281">
        <v>-1.18826E-2</v>
      </c>
      <c r="AA281">
        <v>0.99526440000000005</v>
      </c>
      <c r="AB281">
        <v>31</v>
      </c>
      <c r="AC281">
        <v>0.47919999999999102</v>
      </c>
      <c r="AD281">
        <v>-0.15421080000000001</v>
      </c>
      <c r="AE281">
        <v>-7.0199999999999804E-2</v>
      </c>
      <c r="AF281">
        <v>6.8394600041130196E-2</v>
      </c>
      <c r="AG281">
        <v>-0.15421080000000001</v>
      </c>
      <c r="AH281">
        <v>0.43438081486615299</v>
      </c>
      <c r="AI281">
        <v>109.325382761078</v>
      </c>
      <c r="AJ281">
        <v>81.052064241272802</v>
      </c>
      <c r="AK281">
        <v>0.46598871711148698</v>
      </c>
      <c r="AL281">
        <v>78.161186885845098</v>
      </c>
      <c r="AM281">
        <v>87.178107831787401</v>
      </c>
      <c r="AN281">
        <v>0.99999997113116001</v>
      </c>
    </row>
    <row r="282" spans="1:40" x14ac:dyDescent="0.25">
      <c r="A282" t="str">
        <f>"20190303170722067"</f>
        <v>20190303170722067</v>
      </c>
      <c r="B282" t="str">
        <f>"1551604042062445"</f>
        <v>1551604042062445</v>
      </c>
      <c r="C282" t="s">
        <v>40</v>
      </c>
      <c r="D282">
        <v>4.4996159999999996</v>
      </c>
      <c r="E282">
        <v>0.5270222</v>
      </c>
      <c r="F282" t="s">
        <v>47</v>
      </c>
      <c r="G282">
        <v>-396.21159999999998</v>
      </c>
      <c r="H282">
        <v>0.94123210000000002</v>
      </c>
      <c r="I282">
        <v>367.38130000000001</v>
      </c>
      <c r="J282">
        <v>-396.64830000000001</v>
      </c>
      <c r="K282">
        <v>1.096319</v>
      </c>
      <c r="L282">
        <v>367.45069999999998</v>
      </c>
      <c r="M282">
        <v>0.99992610000000004</v>
      </c>
      <c r="N282">
        <v>-5.5464109999999898E-3</v>
      </c>
      <c r="O282">
        <v>1.082047E-2</v>
      </c>
      <c r="P282">
        <v>0.97910989999999998</v>
      </c>
      <c r="Q282">
        <v>0.19969490000000001</v>
      </c>
      <c r="R282">
        <v>-3.8286340000000002E-2</v>
      </c>
      <c r="S282">
        <v>3.1840519999999999</v>
      </c>
      <c r="T282">
        <v>-0.63910290000000003</v>
      </c>
      <c r="U282">
        <v>-0.277099599999999</v>
      </c>
      <c r="V282">
        <v>4.8879939999999997E-2</v>
      </c>
      <c r="W282">
        <v>0.20511940000000001</v>
      </c>
      <c r="X282">
        <v>0.97751560000000004</v>
      </c>
      <c r="Y282">
        <v>9.5330700000000004E-2</v>
      </c>
      <c r="Z282">
        <v>-1.18105E-2</v>
      </c>
      <c r="AA282">
        <v>0.99537560000000003</v>
      </c>
      <c r="AB282">
        <v>31</v>
      </c>
      <c r="AC282">
        <v>0.43670000000003001</v>
      </c>
      <c r="AD282">
        <v>-0.1550869</v>
      </c>
      <c r="AE282">
        <v>-6.9399999999973205E-2</v>
      </c>
      <c r="AF282">
        <v>6.60021688199912E-2</v>
      </c>
      <c r="AG282">
        <v>-0.1550869</v>
      </c>
      <c r="AH282">
        <v>0.388173059439192</v>
      </c>
      <c r="AI282">
        <v>111.498346915898</v>
      </c>
      <c r="AJ282">
        <v>80.350125791559506</v>
      </c>
      <c r="AK282">
        <v>0.42318619650803202</v>
      </c>
      <c r="AL282">
        <v>78.163511091526203</v>
      </c>
      <c r="AM282">
        <v>87.137351549123096</v>
      </c>
      <c r="AN282">
        <v>0.99999998251706101</v>
      </c>
    </row>
    <row r="283" spans="1:40" x14ac:dyDescent="0.25">
      <c r="A283" t="str">
        <f>"20190303170722089"</f>
        <v>20190303170722089</v>
      </c>
      <c r="B283" t="str">
        <f>"1551604042081966"</f>
        <v>1551604042081966</v>
      </c>
      <c r="C283" t="s">
        <v>40</v>
      </c>
      <c r="D283">
        <v>4.4587879999999904</v>
      </c>
      <c r="E283">
        <v>0.52672140000000001</v>
      </c>
      <c r="F283" t="s">
        <v>47</v>
      </c>
      <c r="G283">
        <v>-395.92950000000002</v>
      </c>
      <c r="H283">
        <v>0.95139249999999997</v>
      </c>
      <c r="I283">
        <v>367.38830000000002</v>
      </c>
      <c r="J283">
        <v>-396.33789999999999</v>
      </c>
      <c r="K283">
        <v>1.099218</v>
      </c>
      <c r="L283">
        <v>367.45429999999999</v>
      </c>
      <c r="M283">
        <v>0.99992190000000003</v>
      </c>
      <c r="N283">
        <v>-6.0243930000000003E-3</v>
      </c>
      <c r="O283">
        <v>1.0955329999999999E-2</v>
      </c>
      <c r="P283">
        <v>0.97930510000000004</v>
      </c>
      <c r="Q283">
        <v>0.19868479999999999</v>
      </c>
      <c r="R283">
        <v>-3.8546070000000002E-2</v>
      </c>
      <c r="S283">
        <v>3.1842039999999998</v>
      </c>
      <c r="T283">
        <v>-0.642190699999999</v>
      </c>
      <c r="U283">
        <v>-0.27468870000000001</v>
      </c>
      <c r="V283">
        <v>4.9265030000000001E-2</v>
      </c>
      <c r="W283">
        <v>0.20457990000000001</v>
      </c>
      <c r="X283">
        <v>0.97760930000000001</v>
      </c>
      <c r="Y283">
        <v>9.4699290000000005E-2</v>
      </c>
      <c r="Z283">
        <v>-1.1844489999999999E-2</v>
      </c>
      <c r="AA283">
        <v>0.99543550000000003</v>
      </c>
      <c r="AB283">
        <v>31</v>
      </c>
      <c r="AC283">
        <v>0.40839999999997101</v>
      </c>
      <c r="AD283">
        <v>-0.1478255</v>
      </c>
      <c r="AE283">
        <v>-6.5999999999973996E-2</v>
      </c>
      <c r="AF283">
        <v>6.2491252821268703E-2</v>
      </c>
      <c r="AG283">
        <v>-0.1478255</v>
      </c>
      <c r="AH283">
        <v>0.36149582414903703</v>
      </c>
      <c r="AI283">
        <v>111.94700931108601</v>
      </c>
      <c r="AJ283">
        <v>80.192292372867001</v>
      </c>
      <c r="AK283">
        <v>0.39552087935608798</v>
      </c>
      <c r="AL283">
        <v>78.195091628213902</v>
      </c>
      <c r="AM283">
        <v>87.115112815502698</v>
      </c>
      <c r="AN283">
        <v>0.99999996105569899</v>
      </c>
    </row>
    <row r="284" spans="1:40" x14ac:dyDescent="0.25">
      <c r="A284" t="str">
        <f>"20190303170722113"</f>
        <v>20190303170722113</v>
      </c>
      <c r="B284" t="str">
        <f>"1551604042102461"</f>
        <v>1551604042102461</v>
      </c>
      <c r="C284" t="s">
        <v>40</v>
      </c>
      <c r="D284">
        <v>4.4608650000000001</v>
      </c>
      <c r="E284">
        <v>0.52642290000000003</v>
      </c>
      <c r="F284" t="s">
        <v>47</v>
      </c>
      <c r="G284">
        <v>-395.3954</v>
      </c>
      <c r="H284">
        <v>0.90786080000000002</v>
      </c>
      <c r="I284">
        <v>367.37290000000002</v>
      </c>
      <c r="J284">
        <v>-396.0138</v>
      </c>
      <c r="K284">
        <v>1.1020749999999999</v>
      </c>
      <c r="L284">
        <v>367.4579</v>
      </c>
      <c r="M284">
        <v>0.99991649999999999</v>
      </c>
      <c r="N284">
        <v>-6.6317579999999998E-3</v>
      </c>
      <c r="O284">
        <v>1.110775E-2</v>
      </c>
      <c r="P284">
        <v>0.97946880000000003</v>
      </c>
      <c r="Q284">
        <v>0.19788310000000001</v>
      </c>
      <c r="R284">
        <v>-3.851359E-2</v>
      </c>
      <c r="S284">
        <v>3.1837770000000001</v>
      </c>
      <c r="T284">
        <v>-0.6465516</v>
      </c>
      <c r="U284">
        <v>-0.27340700000000001</v>
      </c>
      <c r="V284">
        <v>4.9377709999999998E-2</v>
      </c>
      <c r="W284">
        <v>0.20437449999999999</v>
      </c>
      <c r="X284">
        <v>0.97764660000000003</v>
      </c>
      <c r="Y284">
        <v>9.4433290000000003E-2</v>
      </c>
      <c r="Z284">
        <v>-1.1948159999999999E-2</v>
      </c>
      <c r="AA284">
        <v>0.99545950000000005</v>
      </c>
      <c r="AB284">
        <v>31</v>
      </c>
      <c r="AC284">
        <v>0.61840000000000805</v>
      </c>
      <c r="AD284">
        <v>-0.194214199999999</v>
      </c>
      <c r="AE284">
        <v>-8.4999999999979495E-2</v>
      </c>
      <c r="AF284">
        <v>8.3756000796171098E-2</v>
      </c>
      <c r="AG284">
        <v>-0.194214199999999</v>
      </c>
      <c r="AH284">
        <v>0.56292420812489596</v>
      </c>
      <c r="AI284">
        <v>108.842356196249</v>
      </c>
      <c r="AJ284">
        <v>81.537197319706905</v>
      </c>
      <c r="AK284">
        <v>0.60134672797318001</v>
      </c>
      <c r="AL284">
        <v>78.207114483245803</v>
      </c>
      <c r="AM284">
        <v>87.108635757059901</v>
      </c>
      <c r="AN284">
        <v>0.99999998449332606</v>
      </c>
    </row>
    <row r="285" spans="1:40" x14ac:dyDescent="0.25">
      <c r="A285" t="str">
        <f>"20190303170722132"</f>
        <v>20190303170722132</v>
      </c>
      <c r="B285" t="str">
        <f>"1551604042121981"</f>
        <v>1551604042121981</v>
      </c>
      <c r="C285" t="s">
        <v>40</v>
      </c>
      <c r="D285">
        <v>4.4222659999999996</v>
      </c>
      <c r="E285">
        <v>0.52615679999999998</v>
      </c>
      <c r="F285" t="s">
        <v>47</v>
      </c>
      <c r="G285">
        <v>-395.11369999999999</v>
      </c>
      <c r="H285">
        <v>0.91827669999999995</v>
      </c>
      <c r="I285">
        <v>367.38099999999997</v>
      </c>
      <c r="J285">
        <v>-395.73360000000002</v>
      </c>
      <c r="K285">
        <v>1.1043719999999999</v>
      </c>
      <c r="L285">
        <v>367.46109999999999</v>
      </c>
      <c r="M285">
        <v>0.99991099999999999</v>
      </c>
      <c r="N285">
        <v>-7.1926480000000003E-3</v>
      </c>
      <c r="O285">
        <v>1.123733E-2</v>
      </c>
      <c r="P285">
        <v>0.9795758</v>
      </c>
      <c r="Q285">
        <v>0.19735949999999999</v>
      </c>
      <c r="R285">
        <v>-3.8480710000000001E-2</v>
      </c>
      <c r="S285">
        <v>3.1835629999999999</v>
      </c>
      <c r="T285">
        <v>-0.6501633</v>
      </c>
      <c r="U285">
        <v>-0.27163700000000002</v>
      </c>
      <c r="V285">
        <v>4.9467440000000001E-2</v>
      </c>
      <c r="W285">
        <v>0.2044011</v>
      </c>
      <c r="X285">
        <v>0.97763650000000002</v>
      </c>
      <c r="Y285">
        <v>9.3996689999999994E-2</v>
      </c>
      <c r="Z285">
        <v>-1.201355E-2</v>
      </c>
      <c r="AA285">
        <v>0.99550000000000005</v>
      </c>
      <c r="AB285">
        <v>31</v>
      </c>
      <c r="AC285">
        <v>0.61990000000002898</v>
      </c>
      <c r="AD285">
        <v>-0.18609529999999999</v>
      </c>
      <c r="AE285">
        <v>-8.0100000000015797E-2</v>
      </c>
      <c r="AF285">
        <v>7.9972292686960197E-2</v>
      </c>
      <c r="AG285">
        <v>-0.18609529999999999</v>
      </c>
      <c r="AH285">
        <v>0.56856257974244095</v>
      </c>
      <c r="AI285">
        <v>107.958435056399</v>
      </c>
      <c r="AJ285">
        <v>81.993474632610997</v>
      </c>
      <c r="AK285">
        <v>0.60356477312967705</v>
      </c>
      <c r="AL285">
        <v>78.205557515373599</v>
      </c>
      <c r="AM285">
        <v>87.103360587614603</v>
      </c>
      <c r="AN285">
        <v>0.99999998171680604</v>
      </c>
    </row>
    <row r="286" spans="1:40" x14ac:dyDescent="0.25">
      <c r="A286" t="str">
        <f>"20190303170722155"</f>
        <v>20190303170722155</v>
      </c>
      <c r="B286" t="str">
        <f>"1551604042142477"</f>
        <v>1551604042142477</v>
      </c>
      <c r="C286" t="s">
        <v>40</v>
      </c>
      <c r="D286">
        <v>4.411098</v>
      </c>
      <c r="E286">
        <v>0.52594160000000001</v>
      </c>
      <c r="F286" t="s">
        <v>47</v>
      </c>
      <c r="G286">
        <v>-394.83580000000001</v>
      </c>
      <c r="H286">
        <v>0.92040239999999995</v>
      </c>
      <c r="I286">
        <v>367.38479999999998</v>
      </c>
      <c r="J286">
        <v>-395.4237</v>
      </c>
      <c r="K286">
        <v>1.106695</v>
      </c>
      <c r="L286">
        <v>367.46480000000003</v>
      </c>
      <c r="M286">
        <v>0.99990489999999999</v>
      </c>
      <c r="N286">
        <v>-7.8221190000000006E-3</v>
      </c>
      <c r="O286">
        <v>1.13729E-2</v>
      </c>
      <c r="P286">
        <v>0.97963960000000005</v>
      </c>
      <c r="Q286">
        <v>0.1970943</v>
      </c>
      <c r="R286">
        <v>-3.8215739999999998E-2</v>
      </c>
      <c r="S286">
        <v>3.183411</v>
      </c>
      <c r="T286">
        <v>-0.65242889999999998</v>
      </c>
      <c r="U286">
        <v>-0.26983639999999998</v>
      </c>
      <c r="V286">
        <v>4.932955E-2</v>
      </c>
      <c r="W286">
        <v>0.2047535</v>
      </c>
      <c r="X286">
        <v>0.97756980000000004</v>
      </c>
      <c r="Y286">
        <v>9.3563220000000002E-2</v>
      </c>
      <c r="Z286">
        <v>-1.2058289999999999E-2</v>
      </c>
      <c r="AA286">
        <v>0.99554030000000004</v>
      </c>
      <c r="AB286">
        <v>31</v>
      </c>
      <c r="AC286">
        <v>0.58789999999998999</v>
      </c>
      <c r="AD286">
        <v>-0.1862926</v>
      </c>
      <c r="AE286">
        <v>-8.00000000000409E-2</v>
      </c>
      <c r="AF286">
        <v>7.8902465833989605E-2</v>
      </c>
      <c r="AG286">
        <v>-0.1862926</v>
      </c>
      <c r="AH286">
        <v>0.53427954633658203</v>
      </c>
      <c r="AI286">
        <v>109.031303076393</v>
      </c>
      <c r="AJ286">
        <v>81.599273056419506</v>
      </c>
      <c r="AK286">
        <v>0.57130129140679098</v>
      </c>
      <c r="AL286">
        <v>78.184931126556606</v>
      </c>
      <c r="AM286">
        <v>87.111224492424498</v>
      </c>
      <c r="AN286">
        <v>1.00000005706874</v>
      </c>
    </row>
    <row r="287" spans="1:40" x14ac:dyDescent="0.25">
      <c r="A287" t="str">
        <f>"20190303170722178"</f>
        <v>20190303170722178</v>
      </c>
      <c r="B287" t="str">
        <f>"1551604042172263"</f>
        <v>1551604042172263</v>
      </c>
      <c r="C287" t="s">
        <v>40</v>
      </c>
      <c r="D287">
        <v>4.3984059999999996</v>
      </c>
      <c r="E287">
        <v>0.52563479999999996</v>
      </c>
      <c r="F287" t="s">
        <v>47</v>
      </c>
      <c r="G287">
        <v>-394.55549999999999</v>
      </c>
      <c r="H287">
        <v>0.92836879999999999</v>
      </c>
      <c r="I287">
        <v>367.39179999999999</v>
      </c>
      <c r="J287">
        <v>-395.10599999999999</v>
      </c>
      <c r="K287">
        <v>1.1088260000000001</v>
      </c>
      <c r="L287">
        <v>367.46850000000001</v>
      </c>
      <c r="M287">
        <v>0.99989810000000001</v>
      </c>
      <c r="N287">
        <v>-8.4518140000000002E-3</v>
      </c>
      <c r="O287">
        <v>1.150672E-2</v>
      </c>
      <c r="P287">
        <v>0.979769</v>
      </c>
      <c r="Q287">
        <v>0.19654179999999999</v>
      </c>
      <c r="R287">
        <v>-3.7740669999999997E-2</v>
      </c>
      <c r="S287">
        <v>3.1835019999999998</v>
      </c>
      <c r="T287">
        <v>-0.65396999999999905</v>
      </c>
      <c r="U287">
        <v>-0.26708979999999999</v>
      </c>
      <c r="V287">
        <v>4.8980879999999997E-2</v>
      </c>
      <c r="W287">
        <v>0.20481930000000001</v>
      </c>
      <c r="X287">
        <v>0.97757349999999998</v>
      </c>
      <c r="Y287">
        <v>9.2839270000000002E-2</v>
      </c>
      <c r="Z287">
        <v>-1.205787E-2</v>
      </c>
      <c r="AA287">
        <v>0.9956081</v>
      </c>
      <c r="AB287">
        <v>31</v>
      </c>
      <c r="AC287">
        <v>0.55049999999999899</v>
      </c>
      <c r="AD287">
        <v>-0.18045720000000001</v>
      </c>
      <c r="AE287">
        <v>-7.6700000000016602E-2</v>
      </c>
      <c r="AF287">
        <v>7.5112002443597101E-2</v>
      </c>
      <c r="AG287">
        <v>-0.18045720000000001</v>
      </c>
      <c r="AH287">
        <v>0.49717362736550902</v>
      </c>
      <c r="AI287">
        <v>109.74273093984699</v>
      </c>
      <c r="AJ287">
        <v>81.408837659663206</v>
      </c>
      <c r="AK287">
        <v>0.53421739927739598</v>
      </c>
      <c r="AL287">
        <v>78.181078871002299</v>
      </c>
      <c r="AM287">
        <v>87.131619487748395</v>
      </c>
      <c r="AN287">
        <v>1.00000001008015</v>
      </c>
    </row>
    <row r="288" spans="1:40" x14ac:dyDescent="0.25">
      <c r="A288" t="str">
        <f>"20190303170722202"</f>
        <v>20190303170722202</v>
      </c>
      <c r="B288" t="str">
        <f>"1551604042192759"</f>
        <v>1551604042192759</v>
      </c>
      <c r="C288" t="s">
        <v>40</v>
      </c>
      <c r="D288">
        <v>4.3876879999999998</v>
      </c>
      <c r="E288">
        <v>0.525404599999999</v>
      </c>
      <c r="F288" t="s">
        <v>47</v>
      </c>
      <c r="G288">
        <v>-394.2747</v>
      </c>
      <c r="H288">
        <v>0.93754110000000002</v>
      </c>
      <c r="I288">
        <v>367.39940000000001</v>
      </c>
      <c r="J288">
        <v>-394.7758</v>
      </c>
      <c r="K288">
        <v>1.1107830000000001</v>
      </c>
      <c r="L288">
        <v>367.47239999999999</v>
      </c>
      <c r="M288">
        <v>0.99989099999999997</v>
      </c>
      <c r="N288">
        <v>-9.0727559999999995E-3</v>
      </c>
      <c r="O288">
        <v>1.164491E-2</v>
      </c>
      <c r="P288">
        <v>0.98001470000000002</v>
      </c>
      <c r="Q288">
        <v>0.19541900000000001</v>
      </c>
      <c r="R288">
        <v>-3.7183800000000003E-2</v>
      </c>
      <c r="S288">
        <v>3.1834410000000002</v>
      </c>
      <c r="T288">
        <v>-0.656066699999999</v>
      </c>
      <c r="U288">
        <v>-0.26321409999999901</v>
      </c>
      <c r="V288">
        <v>4.8557490000000002E-2</v>
      </c>
      <c r="W288">
        <v>0.20430680000000001</v>
      </c>
      <c r="X288">
        <v>0.97770179999999995</v>
      </c>
      <c r="Y288">
        <v>9.177631E-2</v>
      </c>
      <c r="Z288">
        <v>-1.203153E-2</v>
      </c>
      <c r="AA288">
        <v>0.99570700000000001</v>
      </c>
      <c r="AB288">
        <v>31</v>
      </c>
      <c r="AC288">
        <v>0.50110000000000798</v>
      </c>
      <c r="AD288">
        <v>-0.1732419</v>
      </c>
      <c r="AE288">
        <v>-7.2999999999978998E-2</v>
      </c>
      <c r="AF288">
        <v>7.0570892261844098E-2</v>
      </c>
      <c r="AG288">
        <v>-0.1732419</v>
      </c>
      <c r="AH288">
        <v>0.44780457315983702</v>
      </c>
      <c r="AI288">
        <v>110.914508413777</v>
      </c>
      <c r="AJ288">
        <v>81.044238624869607</v>
      </c>
      <c r="AK288">
        <v>0.48530602973083597</v>
      </c>
      <c r="AL288">
        <v>78.211076653551004</v>
      </c>
      <c r="AM288">
        <v>87.156745399726603</v>
      </c>
      <c r="AN288">
        <v>0.99999995404228803</v>
      </c>
    </row>
    <row r="289" spans="1:40" x14ac:dyDescent="0.25">
      <c r="A289" t="str">
        <f>"20190303170722224"</f>
        <v>20190303170722224</v>
      </c>
      <c r="B289" t="str">
        <f>"1551604042212278"</f>
        <v>1551604042212278</v>
      </c>
      <c r="C289" t="s">
        <v>40</v>
      </c>
      <c r="D289">
        <v>4.413049</v>
      </c>
      <c r="E289">
        <v>0.52533200000000002</v>
      </c>
      <c r="F289" t="s">
        <v>47</v>
      </c>
      <c r="G289">
        <v>-393.99329999999998</v>
      </c>
      <c r="H289">
        <v>0.94855809999999996</v>
      </c>
      <c r="I289">
        <v>367.40820000000002</v>
      </c>
      <c r="J289">
        <v>-394.4708</v>
      </c>
      <c r="K289">
        <v>1.112363</v>
      </c>
      <c r="L289">
        <v>367.47609999999997</v>
      </c>
      <c r="M289">
        <v>0.99988460000000001</v>
      </c>
      <c r="N289">
        <v>-9.6071469999999999E-3</v>
      </c>
      <c r="O289">
        <v>1.1774049999999999E-2</v>
      </c>
      <c r="P289">
        <v>0.98015770000000002</v>
      </c>
      <c r="Q289">
        <v>0.19478989999999999</v>
      </c>
      <c r="R289">
        <v>-3.6710819999999998E-2</v>
      </c>
      <c r="S289">
        <v>3.1829529999999999</v>
      </c>
      <c r="T289">
        <v>-0.66005480000000005</v>
      </c>
      <c r="U289">
        <v>-0.26025389999999998</v>
      </c>
      <c r="V289">
        <v>4.8209799999999997E-2</v>
      </c>
      <c r="W289">
        <v>0.20420179999999999</v>
      </c>
      <c r="X289">
        <v>0.97774099999999997</v>
      </c>
      <c r="Y289">
        <v>9.0981510000000002E-2</v>
      </c>
      <c r="Z289">
        <v>-1.2062170000000001E-2</v>
      </c>
      <c r="AA289">
        <v>0.99577950000000004</v>
      </c>
      <c r="AB289">
        <v>31</v>
      </c>
      <c r="AC289">
        <v>0.47750000000002002</v>
      </c>
      <c r="AD289">
        <v>-0.1638049</v>
      </c>
      <c r="AE289">
        <v>-6.7899999999951804E-2</v>
      </c>
      <c r="AF289">
        <v>6.5914504059425505E-2</v>
      </c>
      <c r="AG289">
        <v>-0.1638049</v>
      </c>
      <c r="AH289">
        <v>0.42737071751198102</v>
      </c>
      <c r="AI289">
        <v>110.747002417321</v>
      </c>
      <c r="AJ289">
        <v>81.232208274439301</v>
      </c>
      <c r="AK289">
        <v>0.462409447671774</v>
      </c>
      <c r="AL289">
        <v>78.217222960339001</v>
      </c>
      <c r="AM289">
        <v>87.177184123999695</v>
      </c>
      <c r="AN289">
        <v>1.00000001151014</v>
      </c>
    </row>
    <row r="290" spans="1:40" x14ac:dyDescent="0.25">
      <c r="A290" t="str">
        <f>"20190303170722244"</f>
        <v>20190303170722244</v>
      </c>
      <c r="B290" t="str">
        <f>"1551604042232775"</f>
        <v>1551604042232775</v>
      </c>
      <c r="C290" t="s">
        <v>40</v>
      </c>
      <c r="D290">
        <v>4.353586</v>
      </c>
      <c r="E290">
        <v>0.54291869999999998</v>
      </c>
      <c r="F290" t="s">
        <v>47</v>
      </c>
      <c r="G290">
        <v>-393.71429999999998</v>
      </c>
      <c r="H290">
        <v>0.9549723</v>
      </c>
      <c r="I290">
        <v>367.41410000000002</v>
      </c>
      <c r="J290">
        <v>-394.18990000000002</v>
      </c>
      <c r="K290">
        <v>1.11364</v>
      </c>
      <c r="L290">
        <v>367.4796</v>
      </c>
      <c r="M290">
        <v>0.99987859999999995</v>
      </c>
      <c r="N290">
        <v>-1.006251E-2</v>
      </c>
      <c r="O290">
        <v>1.189489E-2</v>
      </c>
      <c r="P290">
        <v>0.98022629999999999</v>
      </c>
      <c r="Q290">
        <v>0.19441439999999999</v>
      </c>
      <c r="R290">
        <v>-3.6872040000000002E-2</v>
      </c>
      <c r="S290">
        <v>3.182617</v>
      </c>
      <c r="T290">
        <v>-0.6622441</v>
      </c>
      <c r="U290">
        <v>-0.25949100000000003</v>
      </c>
      <c r="V290">
        <v>4.8488099999999999E-2</v>
      </c>
      <c r="W290">
        <v>0.2042727</v>
      </c>
      <c r="X290">
        <v>0.97771240000000004</v>
      </c>
      <c r="Y290">
        <v>9.0855430000000001E-2</v>
      </c>
      <c r="Z290">
        <v>-1.212735E-2</v>
      </c>
      <c r="AA290">
        <v>0.99579019999999996</v>
      </c>
      <c r="AB290">
        <v>31</v>
      </c>
      <c r="AC290">
        <v>0.47560000000004199</v>
      </c>
      <c r="AD290">
        <v>-0.158667699999999</v>
      </c>
      <c r="AE290">
        <v>-6.5499999999985903E-2</v>
      </c>
      <c r="AF290">
        <v>6.4146301639330605E-2</v>
      </c>
      <c r="AG290">
        <v>-0.158667699999999</v>
      </c>
      <c r="AH290">
        <v>0.42803397939718801</v>
      </c>
      <c r="AI290">
        <v>110.132719228517</v>
      </c>
      <c r="AJ290">
        <v>81.476931580083004</v>
      </c>
      <c r="AK290">
        <v>0.46098077460550002</v>
      </c>
      <c r="AL290">
        <v>78.2130728955526</v>
      </c>
      <c r="AM290">
        <v>87.160832567742105</v>
      </c>
      <c r="AN290">
        <v>0.99999998446032901</v>
      </c>
    </row>
    <row r="291" spans="1:40" x14ac:dyDescent="0.25">
      <c r="A291" t="str">
        <f>"20190303170722267"</f>
        <v>20190303170722267</v>
      </c>
      <c r="B291" t="str">
        <f>"1551604042262561"</f>
        <v>1551604042262561</v>
      </c>
      <c r="C291" t="s">
        <v>40</v>
      </c>
      <c r="D291">
        <v>4.3510109999999997</v>
      </c>
      <c r="E291">
        <v>0.54877929999999997</v>
      </c>
      <c r="F291" t="s">
        <v>47</v>
      </c>
      <c r="G291">
        <v>-393.43700000000001</v>
      </c>
      <c r="H291">
        <v>0.95662740000000002</v>
      </c>
      <c r="I291">
        <v>367.3852</v>
      </c>
      <c r="J291">
        <v>-393.87529999999998</v>
      </c>
      <c r="K291">
        <v>1.114887</v>
      </c>
      <c r="L291">
        <v>367.48340000000002</v>
      </c>
      <c r="M291">
        <v>0.99987210000000004</v>
      </c>
      <c r="N291">
        <v>-1.053143E-2</v>
      </c>
      <c r="O291">
        <v>1.2031109999999999E-2</v>
      </c>
      <c r="P291">
        <v>0.98048270000000004</v>
      </c>
      <c r="Q291">
        <v>0.19309190000000001</v>
      </c>
      <c r="R291">
        <v>-3.700237E-2</v>
      </c>
      <c r="S291">
        <v>3.1768800000000001</v>
      </c>
      <c r="T291">
        <v>-0.66242539999999905</v>
      </c>
      <c r="U291">
        <v>-0.3984375</v>
      </c>
      <c r="V291">
        <v>4.875384E-2</v>
      </c>
      <c r="W291">
        <v>0.20341190000000001</v>
      </c>
      <c r="X291">
        <v>0.97787860000000004</v>
      </c>
      <c r="Y291">
        <v>0.13317370000000001</v>
      </c>
      <c r="Z291">
        <v>-1.6744479999999999E-2</v>
      </c>
      <c r="AA291">
        <v>0.99095120000000003</v>
      </c>
      <c r="AB291">
        <v>31</v>
      </c>
      <c r="AC291">
        <v>0.438300000000026</v>
      </c>
      <c r="AD291">
        <v>-0.1582596</v>
      </c>
      <c r="AE291">
        <v>-9.8200000000019799E-2</v>
      </c>
      <c r="AF291">
        <v>9.2040170258364598E-2</v>
      </c>
      <c r="AG291">
        <v>-0.1582596</v>
      </c>
      <c r="AH291">
        <v>0.38881734900114201</v>
      </c>
      <c r="AI291">
        <v>111.607629491829</v>
      </c>
      <c r="AJ291">
        <v>76.682187292849406</v>
      </c>
      <c r="AK291">
        <v>0.42976321947977902</v>
      </c>
      <c r="AL291">
        <v>78.263450409987897</v>
      </c>
      <c r="AM291">
        <v>87.145782504483805</v>
      </c>
      <c r="AN291">
        <v>0.99999994715715601</v>
      </c>
    </row>
    <row r="292" spans="1:40" x14ac:dyDescent="0.25">
      <c r="A292" t="str">
        <f>"20190303170722290"</f>
        <v>20190303170722290</v>
      </c>
      <c r="B292" t="str">
        <f>"1551604042282081"</f>
        <v>1551604042282081</v>
      </c>
      <c r="C292" t="s">
        <v>40</v>
      </c>
      <c r="D292">
        <v>4.3773879999999998</v>
      </c>
      <c r="E292">
        <v>0.55003500000000005</v>
      </c>
      <c r="F292" t="s">
        <v>47</v>
      </c>
      <c r="G292">
        <v>-393.15710000000001</v>
      </c>
      <c r="H292">
        <v>0.96539390000000003</v>
      </c>
      <c r="I292">
        <v>367.38200000000001</v>
      </c>
      <c r="J292">
        <v>-393.55079999999998</v>
      </c>
      <c r="K292">
        <v>1.115982</v>
      </c>
      <c r="L292">
        <v>367.48750000000001</v>
      </c>
      <c r="M292">
        <v>0.99986589999999997</v>
      </c>
      <c r="N292">
        <v>-1.096743E-2</v>
      </c>
      <c r="O292">
        <v>1.217175E-2</v>
      </c>
      <c r="P292">
        <v>0.98074700000000004</v>
      </c>
      <c r="Q292">
        <v>0.19187789999999999</v>
      </c>
      <c r="R292">
        <v>-3.6311900000000001E-2</v>
      </c>
      <c r="S292">
        <v>3.172974</v>
      </c>
      <c r="T292">
        <v>-0.6606052</v>
      </c>
      <c r="U292">
        <v>-0.44607540000000001</v>
      </c>
      <c r="V292">
        <v>4.8203620000000003E-2</v>
      </c>
      <c r="W292">
        <v>0.20262749999999999</v>
      </c>
      <c r="X292">
        <v>0.97806879999999996</v>
      </c>
      <c r="Y292">
        <v>0.1477521</v>
      </c>
      <c r="Z292">
        <v>-1.8332950000000001E-2</v>
      </c>
      <c r="AA292">
        <v>0.98885449999999997</v>
      </c>
      <c r="AB292">
        <v>31</v>
      </c>
      <c r="AC292">
        <v>0.39369999999996702</v>
      </c>
      <c r="AD292">
        <v>-0.1505881</v>
      </c>
      <c r="AE292">
        <v>-0.105500000000063</v>
      </c>
      <c r="AF292">
        <v>9.7038685935224606E-2</v>
      </c>
      <c r="AG292">
        <v>-0.1505881</v>
      </c>
      <c r="AH292">
        <v>0.34525873641759502</v>
      </c>
      <c r="AI292">
        <v>112.777080905346</v>
      </c>
      <c r="AJ292">
        <v>74.301410045103793</v>
      </c>
      <c r="AK292">
        <v>0.38896899298314203</v>
      </c>
      <c r="AL292">
        <v>78.309350122010201</v>
      </c>
      <c r="AM292">
        <v>87.178489812320294</v>
      </c>
      <c r="AN292">
        <v>1.0000000351353899</v>
      </c>
    </row>
    <row r="293" spans="1:40" x14ac:dyDescent="0.25">
      <c r="A293" t="str">
        <f>"20190303170722313"</f>
        <v>20190303170722313</v>
      </c>
      <c r="B293" t="str">
        <f>"1551604042302577"</f>
        <v>1551604042302577</v>
      </c>
      <c r="C293" t="s">
        <v>40</v>
      </c>
      <c r="D293">
        <v>4.3848050000000001</v>
      </c>
      <c r="E293">
        <v>0.55057699999999998</v>
      </c>
      <c r="F293" t="s">
        <v>47</v>
      </c>
      <c r="G293">
        <v>-392.62549999999999</v>
      </c>
      <c r="H293">
        <v>0.92288740000000002</v>
      </c>
      <c r="I293">
        <v>367.3544</v>
      </c>
      <c r="J293">
        <v>-393.24900000000002</v>
      </c>
      <c r="K293">
        <v>1.116843</v>
      </c>
      <c r="L293">
        <v>367.49130000000002</v>
      </c>
      <c r="M293">
        <v>0.99986019999999998</v>
      </c>
      <c r="N293">
        <v>-1.133178E-2</v>
      </c>
      <c r="O293">
        <v>1.230261E-2</v>
      </c>
      <c r="P293">
        <v>0.98083739999999997</v>
      </c>
      <c r="Q293">
        <v>0.19139149999999999</v>
      </c>
      <c r="R293">
        <v>-3.6437410000000003E-2</v>
      </c>
      <c r="S293">
        <v>3.1715089999999999</v>
      </c>
      <c r="T293">
        <v>-0.66200519999999996</v>
      </c>
      <c r="U293">
        <v>-0.4548645</v>
      </c>
      <c r="V293">
        <v>4.8457609999999998E-2</v>
      </c>
      <c r="W293">
        <v>0.2024986</v>
      </c>
      <c r="X293">
        <v>0.97808289999999998</v>
      </c>
      <c r="Y293">
        <v>0.15054439999999999</v>
      </c>
      <c r="Z293">
        <v>-1.8725809999999999E-2</v>
      </c>
      <c r="AA293">
        <v>0.98842589999999997</v>
      </c>
      <c r="AB293">
        <v>31</v>
      </c>
      <c r="AC293">
        <v>0.62350000000003503</v>
      </c>
      <c r="AD293">
        <v>-0.19395560000000001</v>
      </c>
      <c r="AE293">
        <v>-0.136900000000025</v>
      </c>
      <c r="AF293">
        <v>0.13234322450548699</v>
      </c>
      <c r="AG293">
        <v>-0.19395560000000001</v>
      </c>
      <c r="AH293">
        <v>0.56921959738975003</v>
      </c>
      <c r="AI293">
        <v>108.360350353114</v>
      </c>
      <c r="AJ293">
        <v>76.911298903800002</v>
      </c>
      <c r="AK293">
        <v>0.61574706974245397</v>
      </c>
      <c r="AL293">
        <v>78.316891373053707</v>
      </c>
      <c r="AM293">
        <v>87.163688010302494</v>
      </c>
      <c r="AN293">
        <v>0.99999999112064097</v>
      </c>
    </row>
    <row r="294" spans="1:40" x14ac:dyDescent="0.25">
      <c r="A294" t="str">
        <f>"20190303170722334"</f>
        <v>20190303170722334</v>
      </c>
      <c r="B294" t="str">
        <f>"1551604042322101"</f>
        <v>1551604042322101</v>
      </c>
      <c r="C294" t="s">
        <v>40</v>
      </c>
      <c r="D294">
        <v>4.3896670000000002</v>
      </c>
      <c r="E294">
        <v>0.55087779999999997</v>
      </c>
      <c r="F294" t="s">
        <v>47</v>
      </c>
      <c r="G294">
        <v>-392.3485</v>
      </c>
      <c r="H294">
        <v>0.92895970000000005</v>
      </c>
      <c r="I294">
        <v>367.3605</v>
      </c>
      <c r="J294">
        <v>-392.952</v>
      </c>
      <c r="K294">
        <v>1.11757</v>
      </c>
      <c r="L294">
        <v>367.49509999999998</v>
      </c>
      <c r="M294">
        <v>0.99985480000000004</v>
      </c>
      <c r="N294">
        <v>-1.16556E-2</v>
      </c>
      <c r="O294">
        <v>1.243113E-2</v>
      </c>
      <c r="P294">
        <v>0.98094740000000002</v>
      </c>
      <c r="Q294">
        <v>0.190802</v>
      </c>
      <c r="R294">
        <v>-3.656562E-2</v>
      </c>
      <c r="S294">
        <v>3.1706850000000002</v>
      </c>
      <c r="T294">
        <v>-0.66177769999999903</v>
      </c>
      <c r="U294">
        <v>-0.4596558</v>
      </c>
      <c r="V294">
        <v>4.8712579999999998E-2</v>
      </c>
      <c r="W294">
        <v>0.2022273</v>
      </c>
      <c r="X294">
        <v>0.9781263</v>
      </c>
      <c r="Y294">
        <v>0.15212979999999901</v>
      </c>
      <c r="Z294">
        <v>-1.894059E-2</v>
      </c>
      <c r="AA294">
        <v>0.98817900000000003</v>
      </c>
      <c r="AB294">
        <v>31</v>
      </c>
      <c r="AC294">
        <v>0.60349999999999604</v>
      </c>
      <c r="AD294">
        <v>-0.18861030000000001</v>
      </c>
      <c r="AE294">
        <v>-0.13459999999997699</v>
      </c>
      <c r="AF294">
        <v>0.129996745683786</v>
      </c>
      <c r="AG294">
        <v>-0.18861030000000001</v>
      </c>
      <c r="AH294">
        <v>0.55055373760577597</v>
      </c>
      <c r="AI294">
        <v>108.439138805525</v>
      </c>
      <c r="AJ294">
        <v>76.714651393358807</v>
      </c>
      <c r="AK294">
        <v>0.59630731770300704</v>
      </c>
      <c r="AL294">
        <v>78.332763363568901</v>
      </c>
      <c r="AM294">
        <v>87.148915015242906</v>
      </c>
      <c r="AN294">
        <v>0.999999927533615</v>
      </c>
    </row>
    <row r="295" spans="1:40" x14ac:dyDescent="0.25">
      <c r="A295" t="str">
        <f>"20190303170722356"</f>
        <v>20190303170722356</v>
      </c>
      <c r="B295" t="str">
        <f>"1551604042352862"</f>
        <v>1551604042352862</v>
      </c>
      <c r="C295" t="s">
        <v>40</v>
      </c>
      <c r="D295">
        <v>4.42408</v>
      </c>
      <c r="E295">
        <v>0.55125489999999999</v>
      </c>
      <c r="F295" t="s">
        <v>47</v>
      </c>
      <c r="G295">
        <v>-392.07229999999998</v>
      </c>
      <c r="H295">
        <v>0.93355509999999997</v>
      </c>
      <c r="I295">
        <v>367.36649999999997</v>
      </c>
      <c r="J295">
        <v>-392.64830000000001</v>
      </c>
      <c r="K295">
        <v>1.1182000000000001</v>
      </c>
      <c r="L295">
        <v>367.4991</v>
      </c>
      <c r="M295">
        <v>0.99984980000000001</v>
      </c>
      <c r="N295">
        <v>-1.1953399999999999E-2</v>
      </c>
      <c r="O295">
        <v>1.2562429999999999E-2</v>
      </c>
      <c r="P295">
        <v>0.98103119999999999</v>
      </c>
      <c r="Q295">
        <v>0.1903357</v>
      </c>
      <c r="R295">
        <v>-3.6749179999999999E-2</v>
      </c>
      <c r="S295">
        <v>3.1700740000000001</v>
      </c>
      <c r="T295">
        <v>-0.66321160000000001</v>
      </c>
      <c r="U295">
        <v>-0.46224979999999899</v>
      </c>
      <c r="V295">
        <v>4.9025680000000002E-2</v>
      </c>
      <c r="W295">
        <v>0.2020536</v>
      </c>
      <c r="X295">
        <v>0.97814659999999998</v>
      </c>
      <c r="Y295">
        <v>0.15303539999999999</v>
      </c>
      <c r="Z295">
        <v>-1.912527E-2</v>
      </c>
      <c r="AA295">
        <v>0.98803560000000001</v>
      </c>
      <c r="AB295">
        <v>31</v>
      </c>
      <c r="AC295">
        <v>0.57600000000002105</v>
      </c>
      <c r="AD295">
        <v>-0.1846449</v>
      </c>
      <c r="AE295">
        <v>-0.132600000000024</v>
      </c>
      <c r="AF295">
        <v>0.12739372350466599</v>
      </c>
      <c r="AG295">
        <v>-0.1846449</v>
      </c>
      <c r="AH295">
        <v>0.523227176954003</v>
      </c>
      <c r="AI295">
        <v>108.925787103446</v>
      </c>
      <c r="AJ295">
        <v>76.316054635254702</v>
      </c>
      <c r="AK295">
        <v>0.56928866016077395</v>
      </c>
      <c r="AL295">
        <v>78.342925956691801</v>
      </c>
      <c r="AM295">
        <v>87.130679650387407</v>
      </c>
      <c r="AN295">
        <v>0.99999997283199005</v>
      </c>
    </row>
    <row r="296" spans="1:40" x14ac:dyDescent="0.25">
      <c r="A296" t="str">
        <f>"20190303170722380"</f>
        <v>20190303170722380</v>
      </c>
      <c r="B296" t="str">
        <f>"1551604042372381"</f>
        <v>1551604042372381</v>
      </c>
      <c r="C296" t="s">
        <v>40</v>
      </c>
      <c r="D296">
        <v>4.4502769999999998</v>
      </c>
      <c r="E296">
        <v>0.55130140000000005</v>
      </c>
      <c r="F296" t="s">
        <v>47</v>
      </c>
      <c r="G296">
        <v>-391.79579999999999</v>
      </c>
      <c r="H296">
        <v>0.93949199999999999</v>
      </c>
      <c r="I296">
        <v>367.3734</v>
      </c>
      <c r="J296">
        <v>-392.32389999999998</v>
      </c>
      <c r="K296">
        <v>1.118768</v>
      </c>
      <c r="L296">
        <v>367.50330000000002</v>
      </c>
      <c r="M296">
        <v>0.99984459999999997</v>
      </c>
      <c r="N296">
        <v>-1.223775E-2</v>
      </c>
      <c r="O296">
        <v>1.2702939999999999E-2</v>
      </c>
      <c r="P296">
        <v>0.9812362</v>
      </c>
      <c r="Q296">
        <v>0.18937029999999999</v>
      </c>
      <c r="R296">
        <v>-3.625515E-2</v>
      </c>
      <c r="S296">
        <v>3.169495</v>
      </c>
      <c r="T296">
        <v>-0.66452440000000002</v>
      </c>
      <c r="U296">
        <v>-0.46658329999999998</v>
      </c>
      <c r="V296">
        <v>4.8672220000000002E-2</v>
      </c>
      <c r="W296">
        <v>0.20136850000000001</v>
      </c>
      <c r="X296">
        <v>0.9783056</v>
      </c>
      <c r="Y296">
        <v>0.15446879999999999</v>
      </c>
      <c r="Z296">
        <v>-1.9365199999999999E-2</v>
      </c>
      <c r="AA296">
        <v>0.98780789999999996</v>
      </c>
      <c r="AB296">
        <v>31</v>
      </c>
      <c r="AC296">
        <v>0.52809999999999402</v>
      </c>
      <c r="AD296">
        <v>-0.17927599999999999</v>
      </c>
      <c r="AE296">
        <v>-0.12990000000002</v>
      </c>
      <c r="AF296">
        <v>0.12320956910056299</v>
      </c>
      <c r="AG296">
        <v>-0.17927599999999999</v>
      </c>
      <c r="AH296">
        <v>0.47481067391702197</v>
      </c>
      <c r="AI296">
        <v>110.075814007316</v>
      </c>
      <c r="AJ296">
        <v>75.453050692408794</v>
      </c>
      <c r="AK296">
        <v>0.52226971782737297</v>
      </c>
      <c r="AL296">
        <v>78.383004016679905</v>
      </c>
      <c r="AM296">
        <v>87.151794585343794</v>
      </c>
      <c r="AN296">
        <v>1.0000000523916599</v>
      </c>
    </row>
    <row r="297" spans="1:40" x14ac:dyDescent="0.25">
      <c r="A297" t="str">
        <f>"20190303170722403"</f>
        <v>20190303170722403</v>
      </c>
      <c r="B297" t="str">
        <f>"1551604042392877"</f>
        <v>1551604042392877</v>
      </c>
      <c r="C297" t="s">
        <v>40</v>
      </c>
      <c r="D297">
        <v>4.4534510000000003</v>
      </c>
      <c r="E297">
        <v>0.55108619999999997</v>
      </c>
      <c r="F297" t="s">
        <v>47</v>
      </c>
      <c r="G297">
        <v>-391.5181</v>
      </c>
      <c r="H297">
        <v>0.9489959</v>
      </c>
      <c r="I297">
        <v>367.38440000000003</v>
      </c>
      <c r="J297">
        <v>-392.0052</v>
      </c>
      <c r="K297">
        <v>1.119237</v>
      </c>
      <c r="L297">
        <v>367.50749999999999</v>
      </c>
      <c r="M297">
        <v>0.9998397</v>
      </c>
      <c r="N297">
        <v>-1.2486219999999999E-2</v>
      </c>
      <c r="O297">
        <v>1.2841129999999999E-2</v>
      </c>
      <c r="P297">
        <v>0.98124210000000001</v>
      </c>
      <c r="Q297">
        <v>0.18942120000000001</v>
      </c>
      <c r="R297">
        <v>-3.5831969999999998E-2</v>
      </c>
      <c r="S297">
        <v>3.1690670000000001</v>
      </c>
      <c r="T297">
        <v>-0.66789639999999995</v>
      </c>
      <c r="U297">
        <v>-0.46615600000000001</v>
      </c>
      <c r="V297">
        <v>4.8384200000000002E-2</v>
      </c>
      <c r="W297">
        <v>0.2016627</v>
      </c>
      <c r="X297">
        <v>0.9782592</v>
      </c>
      <c r="Y297">
        <v>0.1544507</v>
      </c>
      <c r="Z297">
        <v>-1.950149E-2</v>
      </c>
      <c r="AA297">
        <v>0.98780800000000002</v>
      </c>
      <c r="AB297">
        <v>31</v>
      </c>
      <c r="AC297">
        <v>0.48709999999999798</v>
      </c>
      <c r="AD297">
        <v>-0.17024109999999901</v>
      </c>
      <c r="AE297">
        <v>-0.123099999999965</v>
      </c>
      <c r="AF297">
        <v>0.11602378294606799</v>
      </c>
      <c r="AG297">
        <v>-0.17024109999999901</v>
      </c>
      <c r="AH297">
        <v>0.43547873706207402</v>
      </c>
      <c r="AI297">
        <v>110.694123744998</v>
      </c>
      <c r="AJ297">
        <v>75.081343683816698</v>
      </c>
      <c r="AK297">
        <v>0.48175230230016097</v>
      </c>
      <c r="AL297">
        <v>78.365793567148799</v>
      </c>
      <c r="AM297">
        <v>87.168487381628594</v>
      </c>
      <c r="AN297">
        <v>0.99999996888278397</v>
      </c>
    </row>
    <row r="298" spans="1:40" x14ac:dyDescent="0.25">
      <c r="A298" t="str">
        <f>"20190303170722425"</f>
        <v>20190303170722425</v>
      </c>
      <c r="B298" t="str">
        <f>"1551604042412398"</f>
        <v>1551604042412398</v>
      </c>
      <c r="C298" t="s">
        <v>40</v>
      </c>
      <c r="D298">
        <v>4.5167060000000001</v>
      </c>
      <c r="E298">
        <v>0.55107740000000005</v>
      </c>
      <c r="F298" t="s">
        <v>47</v>
      </c>
      <c r="G298">
        <v>-391.24090000000001</v>
      </c>
      <c r="H298">
        <v>0.95792790000000005</v>
      </c>
      <c r="I298">
        <v>367.3956</v>
      </c>
      <c r="J298">
        <v>-391.714</v>
      </c>
      <c r="K298">
        <v>1.119594</v>
      </c>
      <c r="L298">
        <v>367.51139999999998</v>
      </c>
      <c r="M298">
        <v>0.99983549999999999</v>
      </c>
      <c r="N298">
        <v>-1.26885E-2</v>
      </c>
      <c r="O298">
        <v>1.296747E-2</v>
      </c>
      <c r="P298">
        <v>0.98123170000000004</v>
      </c>
      <c r="Q298">
        <v>0.18950059999999999</v>
      </c>
      <c r="R298">
        <v>-3.5694969999999999E-2</v>
      </c>
      <c r="S298">
        <v>3.1695859999999998</v>
      </c>
      <c r="T298">
        <v>-0.66899059999999999</v>
      </c>
      <c r="U298">
        <v>-0.46307369999999998</v>
      </c>
      <c r="V298">
        <v>4.8370829999999997E-2</v>
      </c>
      <c r="W298">
        <v>0.20194019999999999</v>
      </c>
      <c r="X298">
        <v>0.97820260000000003</v>
      </c>
      <c r="Y298">
        <v>0.15361429999999901</v>
      </c>
      <c r="Z298">
        <v>-1.947546E-2</v>
      </c>
      <c r="AA298">
        <v>0.98793889999999995</v>
      </c>
      <c r="AB298">
        <v>31</v>
      </c>
      <c r="AC298">
        <v>0.47309999999998797</v>
      </c>
      <c r="AD298">
        <v>-0.16166609999999901</v>
      </c>
      <c r="AE298">
        <v>-0.115799999999978</v>
      </c>
      <c r="AF298">
        <v>0.109826146164143</v>
      </c>
      <c r="AG298">
        <v>-0.16166609999999901</v>
      </c>
      <c r="AH298">
        <v>0.42476248423489898</v>
      </c>
      <c r="AI298">
        <v>110.22811785024901</v>
      </c>
      <c r="AJ298">
        <v>75.503148402049106</v>
      </c>
      <c r="AK298">
        <v>0.46756911605010898</v>
      </c>
      <c r="AL298">
        <v>78.349559831268806</v>
      </c>
      <c r="AM298">
        <v>87.169105017211095</v>
      </c>
      <c r="AN298">
        <v>0.99999995410884301</v>
      </c>
    </row>
    <row r="299" spans="1:40" x14ac:dyDescent="0.25">
      <c r="A299" t="str">
        <f>"20190303170722448"</f>
        <v>20190303170722448</v>
      </c>
      <c r="B299" t="str">
        <f>"1551604042442653"</f>
        <v>1551604042442653</v>
      </c>
      <c r="C299" t="s">
        <v>40</v>
      </c>
      <c r="D299">
        <v>4.5220479999999998</v>
      </c>
      <c r="E299">
        <v>0.55091610000000002</v>
      </c>
      <c r="F299" t="s">
        <v>47</v>
      </c>
      <c r="G299">
        <v>-390.96620000000001</v>
      </c>
      <c r="H299">
        <v>0.96180449999999995</v>
      </c>
      <c r="I299">
        <v>367.40170000000001</v>
      </c>
      <c r="J299">
        <v>-391.39</v>
      </c>
      <c r="K299">
        <v>1.1199319999999999</v>
      </c>
      <c r="L299">
        <v>367.51569999999998</v>
      </c>
      <c r="M299">
        <v>0.99983100000000003</v>
      </c>
      <c r="N299">
        <v>-1.2889309999999999E-2</v>
      </c>
      <c r="O299">
        <v>1.310805E-2</v>
      </c>
      <c r="P299">
        <v>0.98127980000000004</v>
      </c>
      <c r="Q299">
        <v>0.18932760000000001</v>
      </c>
      <c r="R299">
        <v>-3.5288680000000003E-2</v>
      </c>
      <c r="S299">
        <v>3.1697690000000001</v>
      </c>
      <c r="T299">
        <v>-0.66899109999999995</v>
      </c>
      <c r="U299">
        <v>-0.46231080000000002</v>
      </c>
      <c r="V299">
        <v>4.8103090000000001E-2</v>
      </c>
      <c r="W299">
        <v>0.2019639</v>
      </c>
      <c r="X299">
        <v>0.97821089999999999</v>
      </c>
      <c r="Y299">
        <v>0.15350939999999999</v>
      </c>
      <c r="Z299">
        <v>-1.9503690000000001E-2</v>
      </c>
      <c r="AA299">
        <v>0.98795469999999996</v>
      </c>
      <c r="AB299">
        <v>31</v>
      </c>
      <c r="AC299">
        <v>0.42379999999997098</v>
      </c>
      <c r="AD299">
        <v>-0.158127499999999</v>
      </c>
      <c r="AE299">
        <v>-0.113999999999975</v>
      </c>
      <c r="AF299">
        <v>0.10580932900497</v>
      </c>
      <c r="AG299">
        <v>-0.158127499999999</v>
      </c>
      <c r="AH299">
        <v>0.37374791186599499</v>
      </c>
      <c r="AI299">
        <v>112.150592434394</v>
      </c>
      <c r="AJ299">
        <v>74.192998528574606</v>
      </c>
      <c r="AK299">
        <v>0.41938934414804002</v>
      </c>
      <c r="AL299">
        <v>78.348173240184906</v>
      </c>
      <c r="AM299">
        <v>87.184773027781404</v>
      </c>
      <c r="AN299">
        <v>0.99999994452478203</v>
      </c>
    </row>
    <row r="300" spans="1:40" x14ac:dyDescent="0.25">
      <c r="A300" t="str">
        <f>"20190303170722469"</f>
        <v>20190303170722469</v>
      </c>
      <c r="B300" t="str">
        <f>"1551604042462544"</f>
        <v>1551604042462544</v>
      </c>
      <c r="C300" t="s">
        <v>40</v>
      </c>
      <c r="D300">
        <v>4.5406930000000001</v>
      </c>
      <c r="E300">
        <v>0.55084509999999998</v>
      </c>
      <c r="F300" t="s">
        <v>47</v>
      </c>
      <c r="G300">
        <v>-390.6891</v>
      </c>
      <c r="H300">
        <v>0.9717578</v>
      </c>
      <c r="I300">
        <v>367.41410000000002</v>
      </c>
      <c r="J300">
        <v>-391.10719999999998</v>
      </c>
      <c r="K300">
        <v>1.1201779999999999</v>
      </c>
      <c r="L300">
        <v>367.51960000000003</v>
      </c>
      <c r="M300">
        <v>0.99982749999999998</v>
      </c>
      <c r="N300">
        <v>-1.304369E-2</v>
      </c>
      <c r="O300">
        <v>1.323061E-2</v>
      </c>
      <c r="P300">
        <v>0.98128419999999905</v>
      </c>
      <c r="Q300">
        <v>0.18928490000000001</v>
      </c>
      <c r="R300">
        <v>-3.5391510000000001E-2</v>
      </c>
      <c r="S300">
        <v>3.170013</v>
      </c>
      <c r="T300">
        <v>-0.67006330000000003</v>
      </c>
      <c r="U300">
        <v>-0.45996090000000001</v>
      </c>
      <c r="V300">
        <v>4.8326250000000001E-2</v>
      </c>
      <c r="W300">
        <v>0.20207230000000001</v>
      </c>
      <c r="X300">
        <v>0.97817750000000003</v>
      </c>
      <c r="Y300">
        <v>0.15290039999999999</v>
      </c>
      <c r="Z300">
        <v>-1.949911E-2</v>
      </c>
      <c r="AA300">
        <v>0.98804919999999996</v>
      </c>
      <c r="AB300">
        <v>31</v>
      </c>
      <c r="AC300">
        <v>0.41809999999998099</v>
      </c>
      <c r="AD300">
        <v>-0.1484202</v>
      </c>
      <c r="AE300">
        <v>-0.10550000000000601</v>
      </c>
      <c r="AF300">
        <v>9.9262999169624402E-2</v>
      </c>
      <c r="AG300">
        <v>-0.1484202</v>
      </c>
      <c r="AH300">
        <v>0.37253252520948099</v>
      </c>
      <c r="AI300">
        <v>111.05554432301901</v>
      </c>
      <c r="AJ300">
        <v>75.079928107858507</v>
      </c>
      <c r="AK300">
        <v>0.41311279465920803</v>
      </c>
      <c r="AL300">
        <v>78.341831466864804</v>
      </c>
      <c r="AM300">
        <v>87.171637360313994</v>
      </c>
      <c r="AN300">
        <v>0.99999993118629804</v>
      </c>
    </row>
    <row r="301" spans="1:40" x14ac:dyDescent="0.25">
      <c r="A301" t="str">
        <f>"20190303170722490"</f>
        <v>20190303170722490</v>
      </c>
      <c r="B301" t="str">
        <f>"1551604042482064"</f>
        <v>1551604042482064</v>
      </c>
      <c r="C301" t="s">
        <v>40</v>
      </c>
      <c r="D301">
        <v>4.5762729999999996</v>
      </c>
      <c r="E301">
        <v>0.55083719999999903</v>
      </c>
      <c r="F301" t="s">
        <v>47</v>
      </c>
      <c r="G301">
        <v>-390.16660000000002</v>
      </c>
      <c r="H301">
        <v>0.92113509999999998</v>
      </c>
      <c r="I301">
        <v>367.38279999999997</v>
      </c>
      <c r="J301">
        <v>-390.80790000000002</v>
      </c>
      <c r="K301">
        <v>1.1203920000000001</v>
      </c>
      <c r="L301">
        <v>367.52370000000002</v>
      </c>
      <c r="M301">
        <v>0.99982380000000004</v>
      </c>
      <c r="N301">
        <v>-1.318924E-2</v>
      </c>
      <c r="O301">
        <v>1.3361430000000001E-2</v>
      </c>
      <c r="P301">
        <v>0.98128550000000003</v>
      </c>
      <c r="Q301">
        <v>0.18927089999999999</v>
      </c>
      <c r="R301">
        <v>-3.5432020000000002E-2</v>
      </c>
      <c r="S301">
        <v>3.1700740000000001</v>
      </c>
      <c r="T301">
        <v>-0.67094489999999996</v>
      </c>
      <c r="U301">
        <v>-0.4595032</v>
      </c>
      <c r="V301">
        <v>4.8495209999999997E-2</v>
      </c>
      <c r="W301">
        <v>0.20220070000000001</v>
      </c>
      <c r="X301">
        <v>0.97814270000000003</v>
      </c>
      <c r="Y301">
        <v>0.1528737</v>
      </c>
      <c r="Z301">
        <v>-1.9555030000000001E-2</v>
      </c>
      <c r="AA301">
        <v>0.98805220000000005</v>
      </c>
      <c r="AB301">
        <v>30</v>
      </c>
      <c r="AC301">
        <v>0.64130000000000098</v>
      </c>
      <c r="AD301">
        <v>-0.19925689999999999</v>
      </c>
      <c r="AE301">
        <v>-0.14090000000004399</v>
      </c>
      <c r="AF301">
        <v>0.13685350016134401</v>
      </c>
      <c r="AG301">
        <v>-0.19925689999999999</v>
      </c>
      <c r="AH301">
        <v>0.58544421037670302</v>
      </c>
      <c r="AI301">
        <v>108.33608085899399</v>
      </c>
      <c r="AJ301">
        <v>76.842790211182006</v>
      </c>
      <c r="AK301">
        <v>0.63338544044493394</v>
      </c>
      <c r="AL301">
        <v>78.334320733956005</v>
      </c>
      <c r="AM301">
        <v>87.161664063904794</v>
      </c>
      <c r="AN301">
        <v>1.0000000250183601</v>
      </c>
    </row>
    <row r="302" spans="1:40" x14ac:dyDescent="0.25">
      <c r="A302" t="str">
        <f>"20190303170722524"</f>
        <v>20190303170722524</v>
      </c>
      <c r="B302" t="str">
        <f>"1551604042512323"</f>
        <v>1551604042512323</v>
      </c>
      <c r="C302" t="s">
        <v>40</v>
      </c>
      <c r="D302">
        <v>4.5766260000000001</v>
      </c>
      <c r="E302">
        <v>0.55081279999999999</v>
      </c>
      <c r="F302" t="s">
        <v>47</v>
      </c>
      <c r="G302">
        <v>-389.89280000000002</v>
      </c>
      <c r="H302">
        <v>0.92667909999999998</v>
      </c>
      <c r="I302">
        <v>367.3904</v>
      </c>
      <c r="J302">
        <v>-390.3657</v>
      </c>
      <c r="K302">
        <v>1.120652</v>
      </c>
      <c r="L302">
        <v>367.52980000000002</v>
      </c>
      <c r="M302">
        <v>0.99981869999999995</v>
      </c>
      <c r="N302">
        <v>-1.3374240000000001E-2</v>
      </c>
      <c r="O302">
        <v>1.355427E-2</v>
      </c>
      <c r="P302">
        <v>0.98108280000000003</v>
      </c>
      <c r="Q302">
        <v>0.19038910000000001</v>
      </c>
      <c r="R302">
        <v>-3.5053849999999998E-2</v>
      </c>
      <c r="S302">
        <v>3.1700439999999999</v>
      </c>
      <c r="T302">
        <v>-0.67110899999999996</v>
      </c>
      <c r="U302">
        <v>-0.46066279999999998</v>
      </c>
      <c r="V302">
        <v>4.830309E-2</v>
      </c>
      <c r="W302">
        <v>0.20349690000000001</v>
      </c>
      <c r="X302">
        <v>0.97788330000000001</v>
      </c>
      <c r="Y302">
        <v>0.15339949999999999</v>
      </c>
      <c r="Z302">
        <v>-1.9667190000000001E-2</v>
      </c>
      <c r="AA302">
        <v>0.98796850000000003</v>
      </c>
      <c r="AB302">
        <v>30</v>
      </c>
      <c r="AC302">
        <v>0.472899999999981</v>
      </c>
      <c r="AD302">
        <v>-0.1939729</v>
      </c>
      <c r="AE302">
        <v>-0.13940000000002301</v>
      </c>
      <c r="AF302">
        <v>0.12625409492798201</v>
      </c>
      <c r="AG302">
        <v>-0.1939729</v>
      </c>
      <c r="AH302">
        <v>0.40783600041596801</v>
      </c>
      <c r="AI302">
        <v>114.434303934033</v>
      </c>
      <c r="AJ302">
        <v>72.799004665308004</v>
      </c>
      <c r="AK302">
        <v>0.46893046995880699</v>
      </c>
      <c r="AL302">
        <v>78.258476414721997</v>
      </c>
      <c r="AM302">
        <v>87.172141496487001</v>
      </c>
      <c r="AN302">
        <v>0.99999996261602297</v>
      </c>
    </row>
    <row r="303" spans="1:40" x14ac:dyDescent="0.25">
      <c r="A303" t="str">
        <f>"20190303170722546"</f>
        <v>20190303170722546</v>
      </c>
      <c r="B303" t="str">
        <f>"1551604042542576"</f>
        <v>1551604042542576</v>
      </c>
      <c r="C303" t="s">
        <v>40</v>
      </c>
      <c r="D303">
        <v>4.6072629999999997</v>
      </c>
      <c r="E303">
        <v>0.55071340000000002</v>
      </c>
      <c r="F303" t="s">
        <v>47</v>
      </c>
      <c r="G303">
        <v>-389.60680000000002</v>
      </c>
      <c r="H303">
        <v>0.96070299999999997</v>
      </c>
      <c r="I303">
        <v>367.41969999999998</v>
      </c>
      <c r="J303">
        <v>-390.06560000000002</v>
      </c>
      <c r="K303">
        <v>1.1207929999999999</v>
      </c>
      <c r="L303">
        <v>367.53399999999999</v>
      </c>
      <c r="M303">
        <v>0.99981549999999997</v>
      </c>
      <c r="N303">
        <v>-1.348246E-2</v>
      </c>
      <c r="O303">
        <v>1.3685030000000001E-2</v>
      </c>
      <c r="P303">
        <v>0.98101099999999997</v>
      </c>
      <c r="Q303">
        <v>0.19079370000000001</v>
      </c>
      <c r="R303">
        <v>-3.4862410000000003E-2</v>
      </c>
      <c r="S303">
        <v>3.1711119999999999</v>
      </c>
      <c r="T303">
        <v>-0.66842679999999999</v>
      </c>
      <c r="U303">
        <v>-0.45910640000000003</v>
      </c>
      <c r="V303">
        <v>4.8238959999999997E-2</v>
      </c>
      <c r="W303">
        <v>0.2040062</v>
      </c>
      <c r="X303">
        <v>0.97778039999999999</v>
      </c>
      <c r="Y303">
        <v>0.15304209999999999</v>
      </c>
      <c r="Z303">
        <v>-1.9580879999999998E-2</v>
      </c>
      <c r="AA303">
        <v>0.98802570000000001</v>
      </c>
      <c r="AB303">
        <v>30</v>
      </c>
      <c r="AC303">
        <v>0.45879999999999599</v>
      </c>
      <c r="AD303">
        <v>-0.16008999999999901</v>
      </c>
      <c r="AE303">
        <v>-0.114300000000014</v>
      </c>
      <c r="AF303">
        <v>0.108168302892017</v>
      </c>
      <c r="AG303">
        <v>-0.16008999999999901</v>
      </c>
      <c r="AH303">
        <v>0.41017126193277798</v>
      </c>
      <c r="AI303">
        <v>110.67639458367</v>
      </c>
      <c r="AJ303">
        <v>75.226590316976001</v>
      </c>
      <c r="AK303">
        <v>0.45339789806092701</v>
      </c>
      <c r="AL303">
        <v>78.228671091664197</v>
      </c>
      <c r="AM303">
        <v>87.175593120891904</v>
      </c>
      <c r="AN303">
        <v>1.00000001876224</v>
      </c>
    </row>
    <row r="304" spans="1:40" x14ac:dyDescent="0.25">
      <c r="A304" t="str">
        <f>"20190303170722569"</f>
        <v>20190303170722569</v>
      </c>
      <c r="B304" t="str">
        <f>"1551604042562604"</f>
        <v>1551604042562604</v>
      </c>
      <c r="C304" t="s">
        <v>40</v>
      </c>
      <c r="D304">
        <v>4.5966940000000003</v>
      </c>
      <c r="E304">
        <v>0.55066759999999904</v>
      </c>
      <c r="F304" t="s">
        <v>47</v>
      </c>
      <c r="G304">
        <v>-389.33319999999998</v>
      </c>
      <c r="H304">
        <v>0.96640709999999996</v>
      </c>
      <c r="I304">
        <v>367.428</v>
      </c>
      <c r="J304">
        <v>-389.75369999999998</v>
      </c>
      <c r="K304">
        <v>1.120916</v>
      </c>
      <c r="L304">
        <v>367.53840000000002</v>
      </c>
      <c r="M304">
        <v>0.99981220000000004</v>
      </c>
      <c r="N304">
        <v>-1.358181E-2</v>
      </c>
      <c r="O304">
        <v>1.382127E-2</v>
      </c>
      <c r="P304">
        <v>0.98108379999999995</v>
      </c>
      <c r="Q304">
        <v>0.1904931</v>
      </c>
      <c r="R304">
        <v>-3.4451959999999997E-2</v>
      </c>
      <c r="S304">
        <v>3.1718440000000001</v>
      </c>
      <c r="T304">
        <v>-0.6687573</v>
      </c>
      <c r="U304">
        <v>-0.45748899999999998</v>
      </c>
      <c r="V304">
        <v>4.7963159999999998E-2</v>
      </c>
      <c r="W304">
        <v>0.2038036</v>
      </c>
      <c r="X304">
        <v>0.97783620000000004</v>
      </c>
      <c r="Y304">
        <v>0.1526536</v>
      </c>
      <c r="Z304">
        <v>-1.9576219999999998E-2</v>
      </c>
      <c r="AA304">
        <v>0.98808589999999996</v>
      </c>
      <c r="AB304">
        <v>30</v>
      </c>
      <c r="AC304">
        <v>0.42050000000000398</v>
      </c>
      <c r="AD304">
        <v>-0.1545089</v>
      </c>
      <c r="AE304">
        <v>-0.11039999999996999</v>
      </c>
      <c r="AF304">
        <v>0.103170698240654</v>
      </c>
      <c r="AG304">
        <v>-0.1545089</v>
      </c>
      <c r="AH304">
        <v>0.37195363743149901</v>
      </c>
      <c r="AI304">
        <v>111.815495554853</v>
      </c>
      <c r="AJ304">
        <v>74.497307276508593</v>
      </c>
      <c r="AK304">
        <v>0.41577241557515199</v>
      </c>
      <c r="AL304">
        <v>78.240528141348094</v>
      </c>
      <c r="AM304">
        <v>87.191875374534604</v>
      </c>
      <c r="AN304">
        <v>1.00000000306029</v>
      </c>
    </row>
    <row r="305" spans="1:40" x14ac:dyDescent="0.25">
      <c r="A305" t="str">
        <f>"20190303170722591"</f>
        <v>20190303170722591</v>
      </c>
      <c r="B305" t="str">
        <f>"1551604042582126"</f>
        <v>1551604042582126</v>
      </c>
      <c r="C305" t="s">
        <v>40</v>
      </c>
      <c r="D305">
        <v>4.6181859999999997</v>
      </c>
      <c r="E305">
        <v>0.55070850000000005</v>
      </c>
      <c r="F305" t="s">
        <v>47</v>
      </c>
      <c r="G305">
        <v>-388.81119999999999</v>
      </c>
      <c r="H305">
        <v>0.92169710000000005</v>
      </c>
      <c r="I305">
        <v>367.40289999999999</v>
      </c>
      <c r="J305">
        <v>-389.4477</v>
      </c>
      <c r="K305">
        <v>1.1210100000000001</v>
      </c>
      <c r="L305">
        <v>367.5428</v>
      </c>
      <c r="M305">
        <v>0.99980939999999996</v>
      </c>
      <c r="N305">
        <v>-1.3666019999999999E-2</v>
      </c>
      <c r="O305">
        <v>1.3953780000000001E-2</v>
      </c>
      <c r="P305">
        <v>0.98124149999999999</v>
      </c>
      <c r="Q305">
        <v>0.18971679999999999</v>
      </c>
      <c r="R305">
        <v>-3.4246060000000002E-2</v>
      </c>
      <c r="S305">
        <v>3.1720579999999998</v>
      </c>
      <c r="T305">
        <v>-0.67054569999999902</v>
      </c>
      <c r="U305">
        <v>-0.4555054</v>
      </c>
      <c r="V305">
        <v>4.7889950000000001E-2</v>
      </c>
      <c r="W305">
        <v>0.20311219999999999</v>
      </c>
      <c r="X305">
        <v>0.97798370000000001</v>
      </c>
      <c r="Y305">
        <v>0.15215809999999999</v>
      </c>
      <c r="Z305">
        <v>-1.960098E-2</v>
      </c>
      <c r="AA305">
        <v>0.98816179999999998</v>
      </c>
      <c r="AB305">
        <v>30</v>
      </c>
      <c r="AC305">
        <v>0.63650000000001195</v>
      </c>
      <c r="AD305">
        <v>-0.19931289999999999</v>
      </c>
      <c r="AE305">
        <v>-0.13990000000001099</v>
      </c>
      <c r="AF305">
        <v>0.13604364894026</v>
      </c>
      <c r="AG305">
        <v>-0.19931289999999999</v>
      </c>
      <c r="AH305">
        <v>0.58021412032490804</v>
      </c>
      <c r="AI305">
        <v>108.49229139326999</v>
      </c>
      <c r="AJ305">
        <v>76.804150711707706</v>
      </c>
      <c r="AK305">
        <v>0.628396317579757</v>
      </c>
      <c r="AL305">
        <v>78.280989469625794</v>
      </c>
      <c r="AM305">
        <v>87.196576997032295</v>
      </c>
      <c r="AN305">
        <v>1.0000000652827601</v>
      </c>
    </row>
    <row r="306" spans="1:40" x14ac:dyDescent="0.25">
      <c r="A306" t="str">
        <f>"20190303170722615"</f>
        <v>20190303170722615</v>
      </c>
      <c r="B306" t="str">
        <f>"1551604042602620"</f>
        <v>1551604042602620</v>
      </c>
      <c r="C306" t="s">
        <v>40</v>
      </c>
      <c r="D306">
        <v>4.6175069999999998</v>
      </c>
      <c r="E306">
        <v>0.55068149999999905</v>
      </c>
      <c r="F306" t="s">
        <v>47</v>
      </c>
      <c r="G306">
        <v>-388.53879999999998</v>
      </c>
      <c r="H306">
        <v>0.92811169999999998</v>
      </c>
      <c r="I306">
        <v>367.41199999999998</v>
      </c>
      <c r="J306">
        <v>-389.13839999999999</v>
      </c>
      <c r="K306">
        <v>1.121073</v>
      </c>
      <c r="L306">
        <v>367.54730000000001</v>
      </c>
      <c r="M306">
        <v>0.99980650000000004</v>
      </c>
      <c r="N306">
        <v>-1.374091E-2</v>
      </c>
      <c r="O306">
        <v>1.4087479999999999E-2</v>
      </c>
      <c r="P306">
        <v>0.98114950000000001</v>
      </c>
      <c r="Q306">
        <v>0.19021950000000001</v>
      </c>
      <c r="R306">
        <v>-3.4092020000000001E-2</v>
      </c>
      <c r="S306">
        <v>3.1716310000000001</v>
      </c>
      <c r="T306">
        <v>-0.67314849999999904</v>
      </c>
      <c r="U306">
        <v>-0.45590209999999998</v>
      </c>
      <c r="V306">
        <v>4.7865970000000001E-2</v>
      </c>
      <c r="W306">
        <v>0.20368639999999999</v>
      </c>
      <c r="X306">
        <v>0.9778654</v>
      </c>
      <c r="Y306">
        <v>0.15239159999999999</v>
      </c>
      <c r="Z306">
        <v>-1.9731470000000001E-2</v>
      </c>
      <c r="AA306">
        <v>0.98812319999999998</v>
      </c>
      <c r="AB306">
        <v>30</v>
      </c>
      <c r="AC306">
        <v>0.59960000000000901</v>
      </c>
      <c r="AD306">
        <v>-0.192961299999999</v>
      </c>
      <c r="AE306">
        <v>-0.13530000000002901</v>
      </c>
      <c r="AF306">
        <v>0.13084016892359801</v>
      </c>
      <c r="AG306">
        <v>-0.192961299999999</v>
      </c>
      <c r="AH306">
        <v>0.54402193821399703</v>
      </c>
      <c r="AI306">
        <v>109.027282515363</v>
      </c>
      <c r="AJ306">
        <v>76.476894146791807</v>
      </c>
      <c r="AK306">
        <v>0.59187252205163199</v>
      </c>
      <c r="AL306">
        <v>78.247387288602795</v>
      </c>
      <c r="AM306">
        <v>87.197640079107799</v>
      </c>
      <c r="AN306">
        <v>1.0000000205730799</v>
      </c>
    </row>
    <row r="307" spans="1:40" x14ac:dyDescent="0.25">
      <c r="A307" t="str">
        <f>"20190303170722637"</f>
        <v>20190303170722637</v>
      </c>
      <c r="B307" t="str">
        <f>"1551604042632876"</f>
        <v>1551604042632876</v>
      </c>
      <c r="C307" t="s">
        <v>40</v>
      </c>
      <c r="D307">
        <v>4.5911999999999997</v>
      </c>
      <c r="E307">
        <v>0.55064639999999998</v>
      </c>
      <c r="F307" t="s">
        <v>47</v>
      </c>
      <c r="G307">
        <v>-388.26560000000001</v>
      </c>
      <c r="H307">
        <v>0.93627150000000003</v>
      </c>
      <c r="I307">
        <v>367.42169999999999</v>
      </c>
      <c r="J307">
        <v>-388.84309999999999</v>
      </c>
      <c r="K307">
        <v>1.1211390000000001</v>
      </c>
      <c r="L307">
        <v>367.55160000000001</v>
      </c>
      <c r="M307">
        <v>0.99980369999999996</v>
      </c>
      <c r="N307">
        <v>-1.3803620000000001E-2</v>
      </c>
      <c r="O307">
        <v>1.421411E-2</v>
      </c>
      <c r="P307">
        <v>0.98110629999999999</v>
      </c>
      <c r="Q307">
        <v>0.1904431</v>
      </c>
      <c r="R307">
        <v>-3.4085530000000003E-2</v>
      </c>
      <c r="S307">
        <v>3.1720280000000001</v>
      </c>
      <c r="T307">
        <v>-0.6717417</v>
      </c>
      <c r="U307">
        <v>-0.45501710000000001</v>
      </c>
      <c r="V307">
        <v>4.7983240000000003E-2</v>
      </c>
      <c r="W307">
        <v>0.20397029999999999</v>
      </c>
      <c r="X307">
        <v>0.97780049999999996</v>
      </c>
      <c r="Y307">
        <v>0.15224550000000001</v>
      </c>
      <c r="Z307">
        <v>-1.970332E-2</v>
      </c>
      <c r="AA307">
        <v>0.98814630000000003</v>
      </c>
      <c r="AB307">
        <v>30</v>
      </c>
      <c r="AC307">
        <v>0.57749999999998602</v>
      </c>
      <c r="AD307">
        <v>-0.18486749999999899</v>
      </c>
      <c r="AE307">
        <v>-0.12990000000002</v>
      </c>
      <c r="AF307">
        <v>0.12582351446599499</v>
      </c>
      <c r="AG307">
        <v>-0.18486749999999899</v>
      </c>
      <c r="AH307">
        <v>0.52444120898079805</v>
      </c>
      <c r="AI307">
        <v>108.92050818711201</v>
      </c>
      <c r="AJ307">
        <v>76.508644249088505</v>
      </c>
      <c r="AK307">
        <v>0.57012817070029598</v>
      </c>
      <c r="AL307">
        <v>78.230772516738995</v>
      </c>
      <c r="AM307">
        <v>87.190599218409702</v>
      </c>
      <c r="AN307">
        <v>1.0000000462016101</v>
      </c>
    </row>
    <row r="308" spans="1:40" x14ac:dyDescent="0.25">
      <c r="A308" t="str">
        <f>"20190303170722658"</f>
        <v>20190303170722658</v>
      </c>
      <c r="B308" t="str">
        <f>"1551604042652396"</f>
        <v>1551604042652396</v>
      </c>
      <c r="C308" t="s">
        <v>40</v>
      </c>
      <c r="D308">
        <v>4.6053389999999998</v>
      </c>
      <c r="E308">
        <v>0.55065010000000003</v>
      </c>
      <c r="F308" t="s">
        <v>47</v>
      </c>
      <c r="G308">
        <v>-387.99400000000003</v>
      </c>
      <c r="H308">
        <v>0.94140400000000002</v>
      </c>
      <c r="I308">
        <v>367.42970000000003</v>
      </c>
      <c r="J308">
        <v>-388.54719999999998</v>
      </c>
      <c r="K308">
        <v>1.1212009999999999</v>
      </c>
      <c r="L308">
        <v>367.55590000000001</v>
      </c>
      <c r="M308">
        <v>0.99980119999999895</v>
      </c>
      <c r="N308">
        <v>-1.3858830000000001E-2</v>
      </c>
      <c r="O308">
        <v>1.433533E-2</v>
      </c>
      <c r="P308">
        <v>0.98109860000000004</v>
      </c>
      <c r="Q308">
        <v>0.1906196</v>
      </c>
      <c r="R308">
        <v>-3.331195E-2</v>
      </c>
      <c r="S308">
        <v>3.1723330000000001</v>
      </c>
      <c r="T308">
        <v>-0.67150909999999997</v>
      </c>
      <c r="U308">
        <v>-0.4555054</v>
      </c>
      <c r="V308">
        <v>4.7329919999999998E-2</v>
      </c>
      <c r="W308">
        <v>0.2042004</v>
      </c>
      <c r="X308">
        <v>0.97778430000000005</v>
      </c>
      <c r="Y308">
        <v>0.1524954</v>
      </c>
      <c r="Z308">
        <v>-1.9749889999999999E-2</v>
      </c>
      <c r="AA308">
        <v>0.98810679999999995</v>
      </c>
      <c r="AB308">
        <v>30</v>
      </c>
      <c r="AC308">
        <v>0.55319999999994696</v>
      </c>
      <c r="AD308">
        <v>-0.17979699999999901</v>
      </c>
      <c r="AE308">
        <v>-0.12619999999998299</v>
      </c>
      <c r="AF308">
        <v>0.12188035759896899</v>
      </c>
      <c r="AG308">
        <v>-0.17979699999999901</v>
      </c>
      <c r="AH308">
        <v>0.50102684942944198</v>
      </c>
      <c r="AI308">
        <v>109.22306594148</v>
      </c>
      <c r="AJ308">
        <v>76.3277252805362</v>
      </c>
      <c r="AK308">
        <v>0.54608578687477805</v>
      </c>
      <c r="AL308">
        <v>78.217305134023206</v>
      </c>
      <c r="AM308">
        <v>87.228744980070999</v>
      </c>
      <c r="AN308">
        <v>1.0000000310069199</v>
      </c>
    </row>
    <row r="309" spans="1:40" x14ac:dyDescent="0.25">
      <c r="A309" t="str">
        <f>"20190303170722680"</f>
        <v>20190303170722680</v>
      </c>
      <c r="B309" t="str">
        <f>"1551604042672892"</f>
        <v>1551604042672892</v>
      </c>
      <c r="C309" t="s">
        <v>40</v>
      </c>
      <c r="D309">
        <v>4.6059739999999998</v>
      </c>
      <c r="E309">
        <v>0.55068109999999904</v>
      </c>
      <c r="F309" t="s">
        <v>47</v>
      </c>
      <c r="G309">
        <v>-387.7226</v>
      </c>
      <c r="H309">
        <v>0.94673879999999999</v>
      </c>
      <c r="I309">
        <v>367.43779999999998</v>
      </c>
      <c r="J309">
        <v>-388.24189999999999</v>
      </c>
      <c r="K309">
        <v>1.121238</v>
      </c>
      <c r="L309">
        <v>367.56049999999999</v>
      </c>
      <c r="M309">
        <v>0.99979890000000005</v>
      </c>
      <c r="N309">
        <v>-1.390883E-2</v>
      </c>
      <c r="O309">
        <v>1.44502E-2</v>
      </c>
      <c r="P309">
        <v>0.98108039999999996</v>
      </c>
      <c r="Q309">
        <v>0.1907703</v>
      </c>
      <c r="R309">
        <v>-3.2983430000000001E-2</v>
      </c>
      <c r="S309">
        <v>3.172882</v>
      </c>
      <c r="T309">
        <v>-0.6713884</v>
      </c>
      <c r="U309">
        <v>-0.45349119999999998</v>
      </c>
      <c r="V309">
        <v>4.7116970000000001E-2</v>
      </c>
      <c r="W309">
        <v>0.20439879999999999</v>
      </c>
      <c r="X309">
        <v>0.97775310000000004</v>
      </c>
      <c r="Y309">
        <v>0.15198139999999999</v>
      </c>
      <c r="Z309">
        <v>-1.9712529999999999E-2</v>
      </c>
      <c r="AA309">
        <v>0.98818680000000003</v>
      </c>
      <c r="AB309">
        <v>30</v>
      </c>
      <c r="AC309">
        <v>0.51929999999998699</v>
      </c>
      <c r="AD309">
        <v>-0.17449919999999899</v>
      </c>
      <c r="AE309">
        <v>-0.122700000000008</v>
      </c>
      <c r="AF309">
        <v>0.11761379354487</v>
      </c>
      <c r="AG309">
        <v>-0.17449919999999899</v>
      </c>
      <c r="AH309">
        <v>0.46747847034851298</v>
      </c>
      <c r="AI309">
        <v>109.900072689616</v>
      </c>
      <c r="AJ309">
        <v>75.877945179102397</v>
      </c>
      <c r="AK309">
        <v>0.51265884901368897</v>
      </c>
      <c r="AL309">
        <v>78.205692373754403</v>
      </c>
      <c r="AM309">
        <v>87.241106395862602</v>
      </c>
      <c r="AN309">
        <v>1.00000000143151</v>
      </c>
    </row>
    <row r="310" spans="1:40" x14ac:dyDescent="0.25">
      <c r="A310" t="str">
        <f>"20190303170722703"</f>
        <v>20190303170722703</v>
      </c>
      <c r="B310" t="str">
        <f>"1551604042692427"</f>
        <v>1551604042692427</v>
      </c>
      <c r="C310" t="s">
        <v>40</v>
      </c>
      <c r="D310">
        <v>4.6052580000000001</v>
      </c>
      <c r="E310">
        <v>0.55070479999999999</v>
      </c>
      <c r="F310" t="s">
        <v>47</v>
      </c>
      <c r="G310">
        <v>-387.45049999999998</v>
      </c>
      <c r="H310">
        <v>0.95390989999999998</v>
      </c>
      <c r="I310">
        <v>367.44709999999998</v>
      </c>
      <c r="J310">
        <v>-387.95119999999997</v>
      </c>
      <c r="K310">
        <v>1.1212629999999999</v>
      </c>
      <c r="L310">
        <v>367.56479999999999</v>
      </c>
      <c r="M310">
        <v>0.99979689999999999</v>
      </c>
      <c r="N310">
        <v>-1.3950270000000001E-2</v>
      </c>
      <c r="O310">
        <v>1.454665E-2</v>
      </c>
      <c r="P310">
        <v>0.98110900000000001</v>
      </c>
      <c r="Q310">
        <v>0.19062570000000001</v>
      </c>
      <c r="R310">
        <v>-3.2974499999999997E-2</v>
      </c>
      <c r="S310">
        <v>3.173035</v>
      </c>
      <c r="T310">
        <v>-0.67097189999999995</v>
      </c>
      <c r="U310">
        <v>-0.45352170000000003</v>
      </c>
      <c r="V310">
        <v>4.7208119999999999E-2</v>
      </c>
      <c r="W310">
        <v>0.20429420000000001</v>
      </c>
      <c r="X310">
        <v>0.97777060000000005</v>
      </c>
      <c r="Y310">
        <v>0.15207970000000001</v>
      </c>
      <c r="Z310">
        <v>-1.973248E-2</v>
      </c>
      <c r="AA310">
        <v>0.98817120000000003</v>
      </c>
      <c r="AB310">
        <v>30</v>
      </c>
      <c r="AC310">
        <v>0.50069999999999404</v>
      </c>
      <c r="AD310">
        <v>-0.16735309999999901</v>
      </c>
      <c r="AE310">
        <v>-0.117700000000013</v>
      </c>
      <c r="AF310">
        <v>0.113008123558052</v>
      </c>
      <c r="AG310">
        <v>-0.16735309999999901</v>
      </c>
      <c r="AH310">
        <v>0.45117132544715699</v>
      </c>
      <c r="AI310">
        <v>109.78948105161901</v>
      </c>
      <c r="AJ310">
        <v>75.938027010939805</v>
      </c>
      <c r="AK310">
        <v>0.49430098217125401</v>
      </c>
      <c r="AL310">
        <v>78.211815121018006</v>
      </c>
      <c r="AM310">
        <v>87.235826852993995</v>
      </c>
      <c r="AN310">
        <v>1.00000003648596</v>
      </c>
    </row>
    <row r="311" spans="1:40" x14ac:dyDescent="0.25">
      <c r="A311" t="str">
        <f>"20190303170722725"</f>
        <v>20190303170722725</v>
      </c>
      <c r="B311" t="str">
        <f>"1551604042711932"</f>
        <v>1551604042711932</v>
      </c>
      <c r="C311" t="s">
        <v>40</v>
      </c>
      <c r="D311">
        <v>4.589245</v>
      </c>
      <c r="E311">
        <v>0.55069760000000001</v>
      </c>
      <c r="F311" t="s">
        <v>47</v>
      </c>
      <c r="G311">
        <v>-387.18020000000001</v>
      </c>
      <c r="H311">
        <v>0.95807620000000004</v>
      </c>
      <c r="I311">
        <v>367.45440000000002</v>
      </c>
      <c r="J311">
        <v>-387.65949999999998</v>
      </c>
      <c r="K311">
        <v>1.1212879999999901</v>
      </c>
      <c r="L311">
        <v>367.56920000000002</v>
      </c>
      <c r="M311">
        <v>0.9997954</v>
      </c>
      <c r="N311">
        <v>-1.398658E-2</v>
      </c>
      <c r="O311">
        <v>1.462364E-2</v>
      </c>
      <c r="P311">
        <v>0.98102529999999999</v>
      </c>
      <c r="Q311">
        <v>0.1910326</v>
      </c>
      <c r="R311">
        <v>-3.3113049999999998E-2</v>
      </c>
      <c r="S311">
        <v>3.1730040000000002</v>
      </c>
      <c r="T311">
        <v>-0.67159259999999998</v>
      </c>
      <c r="U311">
        <v>-0.45367429999999997</v>
      </c>
      <c r="V311">
        <v>4.7428049999999999E-2</v>
      </c>
      <c r="W311">
        <v>0.20473350000000001</v>
      </c>
      <c r="X311">
        <v>0.97766799999999998</v>
      </c>
      <c r="Y311">
        <v>0.1521922</v>
      </c>
      <c r="Z311">
        <v>-1.9779479999999999E-2</v>
      </c>
      <c r="AA311">
        <v>0.98815299999999995</v>
      </c>
      <c r="AB311">
        <v>30</v>
      </c>
      <c r="AC311">
        <v>0.47929999999996598</v>
      </c>
      <c r="AD311">
        <v>-0.16321179999999899</v>
      </c>
      <c r="AE311">
        <v>-0.114800000000002</v>
      </c>
      <c r="AF311">
        <v>0.10976076651776601</v>
      </c>
      <c r="AG311">
        <v>-0.16321179999999899</v>
      </c>
      <c r="AH311">
        <v>0.430373511399812</v>
      </c>
      <c r="AI311">
        <v>110.17688621317301</v>
      </c>
      <c r="AJ311">
        <v>75.692507998741902</v>
      </c>
      <c r="AK311">
        <v>0.473187993127902</v>
      </c>
      <c r="AL311">
        <v>78.186100824485194</v>
      </c>
      <c r="AM311">
        <v>87.222678446246604</v>
      </c>
      <c r="AN311">
        <v>0.99999997208652502</v>
      </c>
    </row>
    <row r="312" spans="1:40" x14ac:dyDescent="0.25">
      <c r="A312" t="str">
        <f>"20190303170722747"</f>
        <v>20190303170722747</v>
      </c>
      <c r="B312" t="str">
        <f>"1551604042742189"</f>
        <v>1551604042742189</v>
      </c>
      <c r="C312" t="s">
        <v>40</v>
      </c>
      <c r="D312">
        <v>4.5886809999999896</v>
      </c>
      <c r="E312">
        <v>0.55067929999999998</v>
      </c>
      <c r="F312" t="s">
        <v>47</v>
      </c>
      <c r="G312">
        <v>-386.90989999999999</v>
      </c>
      <c r="H312">
        <v>0.96296179999999998</v>
      </c>
      <c r="I312">
        <v>367.46159999999998</v>
      </c>
      <c r="J312">
        <v>-387.35700000000003</v>
      </c>
      <c r="K312">
        <v>1.1213</v>
      </c>
      <c r="L312">
        <v>367.5736</v>
      </c>
      <c r="M312">
        <v>0.99979390000000001</v>
      </c>
      <c r="N312">
        <v>-1.401926E-2</v>
      </c>
      <c r="O312">
        <v>1.4679950000000001E-2</v>
      </c>
      <c r="P312">
        <v>0.98078089999999996</v>
      </c>
      <c r="Q312">
        <v>0.19233130000000001</v>
      </c>
      <c r="R312">
        <v>-3.2826859999999999E-2</v>
      </c>
      <c r="S312">
        <v>3.1732179999999999</v>
      </c>
      <c r="T312">
        <v>-0.6702766</v>
      </c>
      <c r="U312">
        <v>-0.45462039999999998</v>
      </c>
      <c r="V312">
        <v>4.7202880000000003E-2</v>
      </c>
      <c r="W312">
        <v>0.20605879999999999</v>
      </c>
      <c r="X312">
        <v>0.97740050000000001</v>
      </c>
      <c r="Y312">
        <v>0.1525329</v>
      </c>
      <c r="Z312">
        <v>-1.979243E-2</v>
      </c>
      <c r="AA312">
        <v>0.98810019999999998</v>
      </c>
      <c r="AB312">
        <v>30</v>
      </c>
      <c r="AC312">
        <v>0.44709999999997702</v>
      </c>
      <c r="AD312">
        <v>-0.15833819999999901</v>
      </c>
      <c r="AE312">
        <v>-0.112000000000023</v>
      </c>
      <c r="AF312">
        <v>0.106038096448883</v>
      </c>
      <c r="AG312">
        <v>-0.15833819999999901</v>
      </c>
      <c r="AH312">
        <v>0.39839202239395199</v>
      </c>
      <c r="AI312">
        <v>111.01035518475101</v>
      </c>
      <c r="AJ312">
        <v>75.0954100245512</v>
      </c>
      <c r="AK312">
        <v>0.44162344478626298</v>
      </c>
      <c r="AL312">
        <v>78.108513260287097</v>
      </c>
      <c r="AM312">
        <v>87.235088259396093</v>
      </c>
      <c r="AN312">
        <v>1.0000000391689901</v>
      </c>
    </row>
    <row r="313" spans="1:40" x14ac:dyDescent="0.25">
      <c r="A313" t="str">
        <f>"20190303170722782"</f>
        <v>20190303170722782</v>
      </c>
      <c r="B313" t="str">
        <f>"1551604042771974"</f>
        <v>1551604042771974</v>
      </c>
      <c r="C313" t="s">
        <v>40</v>
      </c>
      <c r="D313">
        <v>4.6069630000000004</v>
      </c>
      <c r="E313">
        <v>0.52911049999999904</v>
      </c>
      <c r="F313" t="s">
        <v>47</v>
      </c>
      <c r="G313">
        <v>-386.6386</v>
      </c>
      <c r="H313">
        <v>0.97049700000000005</v>
      </c>
      <c r="I313">
        <v>367.47070000000002</v>
      </c>
      <c r="J313">
        <v>-386.8886</v>
      </c>
      <c r="K313">
        <v>1.1213029999999999</v>
      </c>
      <c r="L313">
        <v>367.5806</v>
      </c>
      <c r="M313">
        <v>0.99979280000000004</v>
      </c>
      <c r="N313">
        <v>-1.4060619999999999E-2</v>
      </c>
      <c r="O313">
        <v>1.472205E-2</v>
      </c>
      <c r="P313">
        <v>0.98073129999999997</v>
      </c>
      <c r="Q313">
        <v>0.1925576</v>
      </c>
      <c r="R313">
        <v>-3.2978880000000002E-2</v>
      </c>
      <c r="S313">
        <v>3.1742249999999999</v>
      </c>
      <c r="T313">
        <v>-0.66632630000000004</v>
      </c>
      <c r="U313">
        <v>-0.45449830000000002</v>
      </c>
      <c r="V313">
        <v>4.7409189999999997E-2</v>
      </c>
      <c r="W313">
        <v>0.20632149999999999</v>
      </c>
      <c r="X313">
        <v>0.97733499999999995</v>
      </c>
      <c r="Y313">
        <v>0.15253729999999999</v>
      </c>
      <c r="Z313">
        <v>-1.9688649999999999E-2</v>
      </c>
      <c r="AA313">
        <v>0.98810160000000002</v>
      </c>
      <c r="AB313">
        <v>30</v>
      </c>
      <c r="AC313">
        <v>0.25</v>
      </c>
      <c r="AD313">
        <v>-0.150806</v>
      </c>
      <c r="AE313">
        <v>-0.109899999999981</v>
      </c>
      <c r="AF313">
        <v>8.7029462477788797E-2</v>
      </c>
      <c r="AG313">
        <v>-0.150806</v>
      </c>
      <c r="AH313">
        <v>0.19031769790001701</v>
      </c>
      <c r="AI313">
        <v>125.77729284972</v>
      </c>
      <c r="AJ313">
        <v>65.426084164525193</v>
      </c>
      <c r="AK313">
        <v>0.25794845048795101</v>
      </c>
      <c r="AL313">
        <v>78.093130019239297</v>
      </c>
      <c r="AM313">
        <v>87.222836694265297</v>
      </c>
      <c r="AN313">
        <v>0.99999994744185094</v>
      </c>
    </row>
    <row r="314" spans="1:40" x14ac:dyDescent="0.25">
      <c r="A314" t="str">
        <f>"20190303170722803"</f>
        <v>20190303170722803</v>
      </c>
      <c r="B314" t="str">
        <f>"1551604042792470"</f>
        <v>1551604042792470</v>
      </c>
      <c r="C314" t="s">
        <v>40</v>
      </c>
      <c r="D314">
        <v>4.5730360000000001</v>
      </c>
      <c r="E314">
        <v>0.52243890000000004</v>
      </c>
      <c r="F314" t="s">
        <v>47</v>
      </c>
      <c r="G314">
        <v>-386.09129999999999</v>
      </c>
      <c r="H314">
        <v>0.99770990000000004</v>
      </c>
      <c r="I314">
        <v>367.50700000000001</v>
      </c>
      <c r="J314">
        <v>-386.61219999999997</v>
      </c>
      <c r="K314">
        <v>1.1213059999999999</v>
      </c>
      <c r="L314">
        <v>367.5847</v>
      </c>
      <c r="M314">
        <v>0.99979249999999997</v>
      </c>
      <c r="N314">
        <v>-1.4081059999999999E-2</v>
      </c>
      <c r="O314">
        <v>1.472993E-2</v>
      </c>
      <c r="P314">
        <v>0.98072150000000002</v>
      </c>
      <c r="Q314">
        <v>0.19249849999999999</v>
      </c>
      <c r="R314">
        <v>-3.3612530000000002E-2</v>
      </c>
      <c r="S314">
        <v>3.1450200000000001</v>
      </c>
      <c r="T314">
        <v>-0.48778919999999998</v>
      </c>
      <c r="U314">
        <v>-0.28875729999999999</v>
      </c>
      <c r="V314">
        <v>4.8056059999999998E-2</v>
      </c>
      <c r="W314">
        <v>0.20628089999999999</v>
      </c>
      <c r="X314">
        <v>0.97731199999999996</v>
      </c>
      <c r="Y314">
        <v>0.10458969999999999</v>
      </c>
      <c r="Z314">
        <v>-1.0849549999999999E-2</v>
      </c>
      <c r="AA314">
        <v>0.99445629999999996</v>
      </c>
      <c r="AB314">
        <v>30</v>
      </c>
      <c r="AC314">
        <v>0.52089999999998304</v>
      </c>
      <c r="AD314">
        <v>-0.123596099999999</v>
      </c>
      <c r="AE314">
        <v>-7.7700000000049799E-2</v>
      </c>
      <c r="AF314">
        <v>8.0909186903133298E-2</v>
      </c>
      <c r="AG314">
        <v>-0.123596099999999</v>
      </c>
      <c r="AH314">
        <v>0.49257116914524901</v>
      </c>
      <c r="AI314">
        <v>103.906870726807</v>
      </c>
      <c r="AJ314">
        <v>80.671957637145397</v>
      </c>
      <c r="AK314">
        <v>0.51424570891126897</v>
      </c>
      <c r="AL314">
        <v>78.095507640456603</v>
      </c>
      <c r="AM314">
        <v>87.184938362704699</v>
      </c>
      <c r="AN314">
        <v>0.99999996997576601</v>
      </c>
    </row>
    <row r="315" spans="1:40" x14ac:dyDescent="0.25">
      <c r="A315" t="str">
        <f>"20190303170722828"</f>
        <v>20190303170722828</v>
      </c>
      <c r="B315" t="str">
        <f>"1551604042822726"</f>
        <v>1551604042822726</v>
      </c>
      <c r="C315" t="s">
        <v>40</v>
      </c>
      <c r="D315">
        <v>4.5661290000000001</v>
      </c>
      <c r="E315">
        <v>0.51572429999999903</v>
      </c>
      <c r="F315" t="s">
        <v>47</v>
      </c>
      <c r="G315">
        <v>-385.80930000000001</v>
      </c>
      <c r="H315">
        <v>1.0286660000000001</v>
      </c>
      <c r="I315">
        <v>367.5222</v>
      </c>
      <c r="J315">
        <v>-386.27859999999998</v>
      </c>
      <c r="K315">
        <v>1.12131</v>
      </c>
      <c r="L315">
        <v>367.58960000000002</v>
      </c>
      <c r="M315">
        <v>0.99979229999999997</v>
      </c>
      <c r="N315">
        <v>-1.4102450000000001E-2</v>
      </c>
      <c r="O315">
        <v>1.472706E-2</v>
      </c>
      <c r="P315">
        <v>0.98074170000000005</v>
      </c>
      <c r="Q315">
        <v>0.1921881</v>
      </c>
      <c r="R315">
        <v>-3.4782609999999999E-2</v>
      </c>
      <c r="S315">
        <v>3.1213989999999998</v>
      </c>
      <c r="T315">
        <v>-0.36029820000000001</v>
      </c>
      <c r="U315">
        <v>-0.2419434</v>
      </c>
      <c r="V315">
        <v>4.922816E-2</v>
      </c>
      <c r="W315">
        <v>0.2059897</v>
      </c>
      <c r="X315">
        <v>0.97731509999999999</v>
      </c>
      <c r="Y315">
        <v>9.1204019999999997E-2</v>
      </c>
      <c r="Z315">
        <v>-7.3702589999999997E-3</v>
      </c>
      <c r="AA315">
        <v>0.99580500000000005</v>
      </c>
      <c r="AB315">
        <v>30</v>
      </c>
      <c r="AC315">
        <v>0.46929999999997501</v>
      </c>
      <c r="AD315">
        <v>-9.2643999999999893E-2</v>
      </c>
      <c r="AE315">
        <v>-6.7400000000020499E-2</v>
      </c>
      <c r="AF315">
        <v>7.1571972210908205E-2</v>
      </c>
      <c r="AG315">
        <v>-9.2643999999999893E-2</v>
      </c>
      <c r="AH315">
        <v>0.45103466513752299</v>
      </c>
      <c r="AI315">
        <v>101.467685573267</v>
      </c>
      <c r="AJ315">
        <v>80.983258851423003</v>
      </c>
      <c r="AK315">
        <v>0.46598039346937897</v>
      </c>
      <c r="AL315">
        <v>78.112558560762594</v>
      </c>
      <c r="AM315">
        <v>87.116401904026603</v>
      </c>
      <c r="AN315">
        <v>0.999999986465542</v>
      </c>
    </row>
    <row r="316" spans="1:40" x14ac:dyDescent="0.25">
      <c r="A316" t="str">
        <f>"20190303170722850"</f>
        <v>20190303170722850</v>
      </c>
      <c r="B316" t="str">
        <f>"1551604042842246"</f>
        <v>1551604042842246</v>
      </c>
      <c r="C316" t="s">
        <v>40</v>
      </c>
      <c r="D316">
        <v>4.7211179999999997</v>
      </c>
      <c r="E316">
        <v>0.51308069999999995</v>
      </c>
      <c r="F316" t="s">
        <v>43</v>
      </c>
      <c r="G316">
        <v>-372.63639999999998</v>
      </c>
      <c r="H316" s="1">
        <v>-3.6538110000000002E-6</v>
      </c>
      <c r="I316">
        <v>366.7269</v>
      </c>
      <c r="J316">
        <v>-385.99130000000002</v>
      </c>
      <c r="K316">
        <v>1.121316</v>
      </c>
      <c r="L316">
        <v>367.59379999999999</v>
      </c>
      <c r="M316">
        <v>0.99979209999999996</v>
      </c>
      <c r="N316">
        <v>-1.411781E-2</v>
      </c>
      <c r="O316">
        <v>1.4712100000000001E-2</v>
      </c>
      <c r="P316">
        <v>0.98076079999999999</v>
      </c>
      <c r="Q316">
        <v>0.19196379999999999</v>
      </c>
      <c r="R316">
        <v>-3.547165E-2</v>
      </c>
      <c r="S316">
        <v>3.1018979999999998</v>
      </c>
      <c r="T316">
        <v>-0.25495790000000002</v>
      </c>
      <c r="U316">
        <v>-0.19613649999999999</v>
      </c>
      <c r="V316">
        <v>4.9906310000000002E-2</v>
      </c>
      <c r="W316">
        <v>0.2057802</v>
      </c>
      <c r="X316">
        <v>0.97732479999999999</v>
      </c>
      <c r="Y316">
        <v>7.7443440000000002E-2</v>
      </c>
      <c r="Z316">
        <v>-4.7214249999999996E-3</v>
      </c>
      <c r="AA316">
        <v>0.99698560000000003</v>
      </c>
      <c r="AB316">
        <v>30</v>
      </c>
      <c r="AC316">
        <v>13.354900000000001</v>
      </c>
      <c r="AD316">
        <v>-1.121319653811</v>
      </c>
      <c r="AE316">
        <v>-0.86689999999998602</v>
      </c>
      <c r="AF316">
        <v>1.05589175983907</v>
      </c>
      <c r="AG316">
        <v>-1.121319653811</v>
      </c>
      <c r="AH316">
        <v>13.2476972262321</v>
      </c>
      <c r="AI316">
        <v>94.822909687716802</v>
      </c>
      <c r="AJ316">
        <v>85.442942439157406</v>
      </c>
      <c r="AK316">
        <v>13.336931692576</v>
      </c>
      <c r="AL316">
        <v>78.124824348174897</v>
      </c>
      <c r="AM316">
        <v>87.076775856136294</v>
      </c>
      <c r="AN316">
        <v>0.99999994759244604</v>
      </c>
    </row>
    <row r="317" spans="1:40" x14ac:dyDescent="0.25">
      <c r="A317" t="str">
        <f>"20190303170722872"</f>
        <v>20190303170722872</v>
      </c>
      <c r="B317" t="str">
        <f>"1551604042862273"</f>
        <v>1551604042862273</v>
      </c>
      <c r="C317" t="s">
        <v>40</v>
      </c>
      <c r="D317">
        <v>4.7871499999999996</v>
      </c>
      <c r="E317">
        <v>0.51116700000000004</v>
      </c>
      <c r="F317" t="s">
        <v>47</v>
      </c>
      <c r="G317">
        <v>-384.99619999999999</v>
      </c>
      <c r="H317">
        <v>1.051555</v>
      </c>
      <c r="I317">
        <v>367.53620000000001</v>
      </c>
      <c r="J317">
        <v>-385.69799999999998</v>
      </c>
      <c r="K317">
        <v>1.121313</v>
      </c>
      <c r="L317">
        <v>367.59809999999999</v>
      </c>
      <c r="M317">
        <v>0.99979240000000003</v>
      </c>
      <c r="N317">
        <v>-1.4131110000000001E-2</v>
      </c>
      <c r="O317">
        <v>1.46807E-2</v>
      </c>
      <c r="P317">
        <v>0.98060769999999997</v>
      </c>
      <c r="Q317">
        <v>0.19265579999999999</v>
      </c>
      <c r="R317">
        <v>-3.5950250000000003E-2</v>
      </c>
      <c r="S317">
        <v>3.0949399999999998</v>
      </c>
      <c r="T317">
        <v>-0.21717439999999999</v>
      </c>
      <c r="U317">
        <v>-0.17852779999999999</v>
      </c>
      <c r="V317">
        <v>5.0357359999999997E-2</v>
      </c>
      <c r="W317">
        <v>0.20648150000000001</v>
      </c>
      <c r="X317">
        <v>0.97715379999999996</v>
      </c>
      <c r="Y317">
        <v>7.2004470000000001E-2</v>
      </c>
      <c r="Z317">
        <v>-3.8521110000000001E-3</v>
      </c>
      <c r="AA317">
        <v>0.99739690000000003</v>
      </c>
      <c r="AB317">
        <v>30</v>
      </c>
      <c r="AC317">
        <v>0.70180000000004805</v>
      </c>
      <c r="AD317">
        <v>-6.9757999999999903E-2</v>
      </c>
      <c r="AE317">
        <v>-6.1899999999979999E-2</v>
      </c>
      <c r="AF317">
        <v>7.1496333791552999E-2</v>
      </c>
      <c r="AG317">
        <v>-6.9757999999999903E-2</v>
      </c>
      <c r="AH317">
        <v>0.69401155645714296</v>
      </c>
      <c r="AI317">
        <v>95.709742840199397</v>
      </c>
      <c r="AJ317">
        <v>84.118198715885299</v>
      </c>
      <c r="AK317">
        <v>0.70116327970430603</v>
      </c>
      <c r="AL317">
        <v>78.083761724425798</v>
      </c>
      <c r="AM317">
        <v>87.049887129222199</v>
      </c>
      <c r="AN317">
        <v>1.00000001120142</v>
      </c>
    </row>
    <row r="318" spans="1:40" x14ac:dyDescent="0.25">
      <c r="A318" t="str">
        <f>"20190303170722894"</f>
        <v>20190303170722894</v>
      </c>
      <c r="B318" t="str">
        <f>"1551604042882769"</f>
        <v>1551604042882769</v>
      </c>
      <c r="C318" t="s">
        <v>40</v>
      </c>
      <c r="D318">
        <v>4.6667860000000001</v>
      </c>
      <c r="E318">
        <v>0.50971929999999999</v>
      </c>
      <c r="F318" t="s">
        <v>43</v>
      </c>
      <c r="G318">
        <v>-367.53359999999998</v>
      </c>
      <c r="H318" s="1">
        <v>-1.623784E-6</v>
      </c>
      <c r="I318">
        <v>366.6157</v>
      </c>
      <c r="J318">
        <v>-385.404</v>
      </c>
      <c r="K318">
        <v>1.1213109999999999</v>
      </c>
      <c r="L318">
        <v>367.60239999999999</v>
      </c>
      <c r="M318">
        <v>0.99979289999999998</v>
      </c>
      <c r="N318">
        <v>-1.4142389999999999E-2</v>
      </c>
      <c r="O318">
        <v>1.463657E-2</v>
      </c>
      <c r="P318">
        <v>0.98044260000000005</v>
      </c>
      <c r="Q318">
        <v>0.19336300000000001</v>
      </c>
      <c r="R318">
        <v>-3.6646629999999999E-2</v>
      </c>
      <c r="S318">
        <v>3.0906980000000002</v>
      </c>
      <c r="T318">
        <v>-0.19079270000000001</v>
      </c>
      <c r="U318">
        <v>-0.16714479999999901</v>
      </c>
      <c r="V318">
        <v>5.101518E-2</v>
      </c>
      <c r="W318">
        <v>0.2071953</v>
      </c>
      <c r="X318">
        <v>0.97696859999999996</v>
      </c>
      <c r="Y318">
        <v>6.8435609999999994E-2</v>
      </c>
      <c r="Z318">
        <v>-3.2890200000000001E-3</v>
      </c>
      <c r="AA318">
        <v>0.99765009999999998</v>
      </c>
      <c r="AB318">
        <v>30</v>
      </c>
      <c r="AC318">
        <v>17.8704</v>
      </c>
      <c r="AD318">
        <v>-1.1213126237839901</v>
      </c>
      <c r="AE318">
        <v>-0.98669999999998403</v>
      </c>
      <c r="AF318">
        <v>1.24330157462977</v>
      </c>
      <c r="AG318">
        <v>-1.1213126237839901</v>
      </c>
      <c r="AH318">
        <v>17.784235129117299</v>
      </c>
      <c r="AI318">
        <v>93.599015507091295</v>
      </c>
      <c r="AJ318">
        <v>86.000940303307402</v>
      </c>
      <c r="AK318">
        <v>17.862870987986899</v>
      </c>
      <c r="AL318">
        <v>78.041960427869299</v>
      </c>
      <c r="AM318">
        <v>87.010853605752303</v>
      </c>
      <c r="AN318">
        <v>1.00000004315924</v>
      </c>
    </row>
    <row r="319" spans="1:40" x14ac:dyDescent="0.25">
      <c r="A319" t="str">
        <f>"20190303170722914"</f>
        <v>20190303170722914</v>
      </c>
      <c r="B319" t="str">
        <f>"1551604042902289"</f>
        <v>1551604042902289</v>
      </c>
      <c r="C319" t="s">
        <v>40</v>
      </c>
      <c r="D319">
        <v>4.6655759999999997</v>
      </c>
      <c r="E319">
        <v>0.50859679999999996</v>
      </c>
      <c r="F319" t="s">
        <v>43</v>
      </c>
      <c r="G319">
        <v>-365.45530000000002</v>
      </c>
      <c r="H319" s="1">
        <v>-2.468324E-6</v>
      </c>
      <c r="I319">
        <v>366.5926</v>
      </c>
      <c r="J319">
        <v>-385.12819999999999</v>
      </c>
      <c r="K319">
        <v>1.1213070000000001</v>
      </c>
      <c r="L319">
        <v>367.60629999999998</v>
      </c>
      <c r="M319">
        <v>0.99979359999999995</v>
      </c>
      <c r="N319">
        <v>-1.415139E-2</v>
      </c>
      <c r="O319">
        <v>1.458071E-2</v>
      </c>
      <c r="P319">
        <v>0.9805353</v>
      </c>
      <c r="Q319">
        <v>0.1928764</v>
      </c>
      <c r="R319">
        <v>-3.673307E-2</v>
      </c>
      <c r="S319">
        <v>3.0881959999999999</v>
      </c>
      <c r="T319">
        <v>-0.17358670000000001</v>
      </c>
      <c r="U319">
        <v>-0.15631099999999901</v>
      </c>
      <c r="V319">
        <v>5.1055330000000003E-2</v>
      </c>
      <c r="W319">
        <v>0.20671709999999999</v>
      </c>
      <c r="X319">
        <v>0.97706780000000004</v>
      </c>
      <c r="Y319">
        <v>6.4968079999999997E-2</v>
      </c>
      <c r="Z319">
        <v>-2.8961619999999999E-3</v>
      </c>
      <c r="AA319">
        <v>0.99788310000000002</v>
      </c>
      <c r="AB319">
        <v>30</v>
      </c>
      <c r="AC319">
        <v>19.672899999999899</v>
      </c>
      <c r="AD319">
        <v>-1.1213094683239999</v>
      </c>
      <c r="AE319">
        <v>-1.0136999999999701</v>
      </c>
      <c r="AF319">
        <v>1.29626570801605</v>
      </c>
      <c r="AG319">
        <v>-1.1213094683239999</v>
      </c>
      <c r="AH319">
        <v>19.592543905042501</v>
      </c>
      <c r="AI319">
        <v>93.268416639234204</v>
      </c>
      <c r="AJ319">
        <v>86.214760569314905</v>
      </c>
      <c r="AK319">
        <v>19.667369330455699</v>
      </c>
      <c r="AL319">
        <v>78.069965608365607</v>
      </c>
      <c r="AM319">
        <v>87.008808526861699</v>
      </c>
      <c r="AN319">
        <v>1.00000004597532</v>
      </c>
    </row>
    <row r="320" spans="1:40" x14ac:dyDescent="0.25">
      <c r="A320" t="str">
        <f>"20190303170722937"</f>
        <v>20190303170722937</v>
      </c>
      <c r="B320" t="str">
        <f>"1551604042922786"</f>
        <v>1551604042922786</v>
      </c>
      <c r="C320" t="s">
        <v>40</v>
      </c>
      <c r="D320">
        <v>4.659122</v>
      </c>
      <c r="E320">
        <v>0.50783279999999997</v>
      </c>
      <c r="F320" t="s">
        <v>43</v>
      </c>
      <c r="G320">
        <v>-363.887</v>
      </c>
      <c r="H320" s="1">
        <v>-3.1410909999999998E-6</v>
      </c>
      <c r="I320">
        <v>366.59280000000001</v>
      </c>
      <c r="J320">
        <v>-384.82440000000003</v>
      </c>
      <c r="K320">
        <v>1.121291</v>
      </c>
      <c r="L320">
        <v>367.61070000000001</v>
      </c>
      <c r="M320">
        <v>0.99979479999999998</v>
      </c>
      <c r="N320">
        <v>-1.4159629999999999E-2</v>
      </c>
      <c r="O320">
        <v>1.4497319999999999E-2</v>
      </c>
      <c r="P320">
        <v>0.98058659999999997</v>
      </c>
      <c r="Q320">
        <v>0.19261120000000001</v>
      </c>
      <c r="R320">
        <v>-3.6756289999999997E-2</v>
      </c>
      <c r="S320">
        <v>3.08609</v>
      </c>
      <c r="T320">
        <v>-0.16291220000000001</v>
      </c>
      <c r="U320">
        <v>-0.1472473</v>
      </c>
      <c r="V320">
        <v>5.1006250000000003E-2</v>
      </c>
      <c r="W320">
        <v>0.2064587</v>
      </c>
      <c r="X320">
        <v>0.97712500000000002</v>
      </c>
      <c r="Y320">
        <v>6.2016160000000001E-2</v>
      </c>
      <c r="Z320">
        <v>-2.6338749999999999E-3</v>
      </c>
      <c r="AA320">
        <v>0.99807170000000001</v>
      </c>
      <c r="AB320">
        <v>30</v>
      </c>
      <c r="AC320">
        <v>20.9374</v>
      </c>
      <c r="AD320">
        <v>-1.121294141091</v>
      </c>
      <c r="AE320">
        <v>-1.01789999999999</v>
      </c>
      <c r="AF320">
        <v>1.3175895180743999</v>
      </c>
      <c r="AG320">
        <v>-1.121294141091</v>
      </c>
      <c r="AH320">
        <v>20.860751366305699</v>
      </c>
      <c r="AI320">
        <v>93.070659163808003</v>
      </c>
      <c r="AJ320">
        <v>86.385932185221193</v>
      </c>
      <c r="AK320">
        <v>20.932374214498701</v>
      </c>
      <c r="AL320">
        <v>78.085097292740997</v>
      </c>
      <c r="AM320">
        <v>87.011853391395903</v>
      </c>
      <c r="AN320">
        <v>1.0000000489848699</v>
      </c>
    </row>
    <row r="321" spans="1:40" x14ac:dyDescent="0.25">
      <c r="A321" t="str">
        <f>"20190303170722961"</f>
        <v>20190303170722961</v>
      </c>
      <c r="B321" t="str">
        <f>"1551604042952571"</f>
        <v>1551604042952571</v>
      </c>
      <c r="C321" t="s">
        <v>40</v>
      </c>
      <c r="D321">
        <v>4.7762070000000003</v>
      </c>
      <c r="E321">
        <v>0.50694050000000002</v>
      </c>
      <c r="F321" t="s">
        <v>43</v>
      </c>
      <c r="G321">
        <v>-362.529</v>
      </c>
      <c r="H321" s="1">
        <v>-3.7260840000000002E-6</v>
      </c>
      <c r="I321">
        <v>366.57920000000001</v>
      </c>
      <c r="J321">
        <v>-384.51459999999997</v>
      </c>
      <c r="K321">
        <v>1.1212709999999999</v>
      </c>
      <c r="L321">
        <v>367.61509999999998</v>
      </c>
      <c r="M321">
        <v>0.99979629999999997</v>
      </c>
      <c r="N321">
        <v>-1.416651E-2</v>
      </c>
      <c r="O321">
        <v>1.438446E-2</v>
      </c>
      <c r="P321">
        <v>0.98072389999999998</v>
      </c>
      <c r="Q321">
        <v>0.19203500000000001</v>
      </c>
      <c r="R321">
        <v>-3.6109380000000003E-2</v>
      </c>
      <c r="S321">
        <v>3.0845030000000002</v>
      </c>
      <c r="T321">
        <v>-0.1551273</v>
      </c>
      <c r="U321">
        <v>-0.1427002</v>
      </c>
      <c r="V321">
        <v>5.0260239999999998E-2</v>
      </c>
      <c r="W321">
        <v>0.2058894</v>
      </c>
      <c r="X321">
        <v>0.97728369999999998</v>
      </c>
      <c r="Y321">
        <v>6.0472730000000002E-2</v>
      </c>
      <c r="Z321">
        <v>-2.4668849999999998E-3</v>
      </c>
      <c r="AA321">
        <v>0.99816680000000002</v>
      </c>
      <c r="AB321">
        <v>30</v>
      </c>
      <c r="AC321">
        <v>21.985599999999899</v>
      </c>
      <c r="AD321">
        <v>-1.1212747260839999</v>
      </c>
      <c r="AE321">
        <v>-1.0358999999999601</v>
      </c>
      <c r="AF321">
        <v>1.3485755545168201</v>
      </c>
      <c r="AG321">
        <v>-1.1212747260839999</v>
      </c>
      <c r="AH321">
        <v>21.911555881825699</v>
      </c>
      <c r="AI321">
        <v>92.923904800113604</v>
      </c>
      <c r="AJ321">
        <v>86.478098261930796</v>
      </c>
      <c r="AK321">
        <v>21.981633110393901</v>
      </c>
      <c r="AL321">
        <v>78.118431173938205</v>
      </c>
      <c r="AM321">
        <v>87.055957425692696</v>
      </c>
      <c r="AN321">
        <v>0.99999998352145303</v>
      </c>
    </row>
    <row r="322" spans="1:40" x14ac:dyDescent="0.25">
      <c r="A322" t="str">
        <f>"20190303170722984"</f>
        <v>20190303170722984</v>
      </c>
      <c r="B322" t="str">
        <f>"1551604042972092"</f>
        <v>1551604042972092</v>
      </c>
      <c r="C322" t="s">
        <v>40</v>
      </c>
      <c r="D322">
        <v>4.6543029999999996</v>
      </c>
      <c r="E322">
        <v>0.50636939999999997</v>
      </c>
      <c r="F322" t="s">
        <v>43</v>
      </c>
      <c r="G322">
        <v>-360.96730000000002</v>
      </c>
      <c r="H322" s="1">
        <v>-4.3944940000000003E-6</v>
      </c>
      <c r="I322">
        <v>366.58800000000002</v>
      </c>
      <c r="J322">
        <v>-384.22070000000002</v>
      </c>
      <c r="K322">
        <v>1.121251</v>
      </c>
      <c r="L322">
        <v>367.61919999999998</v>
      </c>
      <c r="M322">
        <v>0.99979799999999996</v>
      </c>
      <c r="N322">
        <v>-1.4171799999999899E-2</v>
      </c>
      <c r="O322">
        <v>1.424834E-2</v>
      </c>
      <c r="P322">
        <v>0.98072519999999996</v>
      </c>
      <c r="Q322">
        <v>0.1918811</v>
      </c>
      <c r="R322">
        <v>-3.6873839999999998E-2</v>
      </c>
      <c r="S322">
        <v>3.0827330000000002</v>
      </c>
      <c r="T322">
        <v>-0.14679310000000001</v>
      </c>
      <c r="U322">
        <v>-0.13446040000000001</v>
      </c>
      <c r="V322">
        <v>5.0901870000000002E-2</v>
      </c>
      <c r="W322">
        <v>0.2057377</v>
      </c>
      <c r="X322">
        <v>0.97728250000000005</v>
      </c>
      <c r="Y322">
        <v>5.7714960000000003E-2</v>
      </c>
      <c r="Z322">
        <v>-2.2582359999999998E-3</v>
      </c>
      <c r="AA322">
        <v>0.99833050000000001</v>
      </c>
      <c r="AB322">
        <v>30</v>
      </c>
      <c r="AC322">
        <v>23.253399999999999</v>
      </c>
      <c r="AD322">
        <v>-1.121255394494</v>
      </c>
      <c r="AE322">
        <v>-1.0311999999999499</v>
      </c>
      <c r="AF322">
        <v>1.3592966842096601</v>
      </c>
      <c r="AG322">
        <v>-1.121255394494</v>
      </c>
      <c r="AH322">
        <v>23.182549370686399</v>
      </c>
      <c r="AI322">
        <v>92.764289754301899</v>
      </c>
      <c r="AJ322">
        <v>86.644333945117793</v>
      </c>
      <c r="AK322">
        <v>23.249419271450599</v>
      </c>
      <c r="AL322">
        <v>78.127313813636206</v>
      </c>
      <c r="AM322">
        <v>87.018437056068606</v>
      </c>
      <c r="AN322">
        <v>1.0000000431885101</v>
      </c>
    </row>
    <row r="323" spans="1:40" x14ac:dyDescent="0.25">
      <c r="A323" t="str">
        <f>"20190303170723004"</f>
        <v>20190303170723004</v>
      </c>
      <c r="B323" t="str">
        <f>"1551604042992588"</f>
        <v>1551604042992588</v>
      </c>
      <c r="C323" t="s">
        <v>40</v>
      </c>
      <c r="D323">
        <v>4.7718150000000001</v>
      </c>
      <c r="E323">
        <v>0.50592040000000005</v>
      </c>
      <c r="F323" t="s">
        <v>43</v>
      </c>
      <c r="G323">
        <v>-359.90480000000002</v>
      </c>
      <c r="H323" s="1">
        <v>-8.265858E-7</v>
      </c>
      <c r="I323">
        <v>366.57920000000001</v>
      </c>
      <c r="J323">
        <v>-383.94470000000001</v>
      </c>
      <c r="K323">
        <v>1.1212249999999999</v>
      </c>
      <c r="L323">
        <v>367.62299999999999</v>
      </c>
      <c r="M323">
        <v>0.99980020000000003</v>
      </c>
      <c r="N323">
        <v>-1.4175780000000001E-2</v>
      </c>
      <c r="O323">
        <v>1.409345E-2</v>
      </c>
      <c r="P323">
        <v>0.98072809999999999</v>
      </c>
      <c r="Q323">
        <v>0.19178410000000001</v>
      </c>
      <c r="R323">
        <v>-3.729876E-2</v>
      </c>
      <c r="S323">
        <v>3.0818180000000002</v>
      </c>
      <c r="T323">
        <v>-0.14210780000000001</v>
      </c>
      <c r="U323">
        <v>-0.13180539999999999</v>
      </c>
      <c r="V323">
        <v>5.1185509999999997E-2</v>
      </c>
      <c r="W323">
        <v>0.20564160000000001</v>
      </c>
      <c r="X323">
        <v>0.97728789999999999</v>
      </c>
      <c r="Y323">
        <v>5.6721529999999999E-2</v>
      </c>
      <c r="Z323">
        <v>-2.1586349999999999E-3</v>
      </c>
      <c r="AA323">
        <v>0.99838769999999999</v>
      </c>
      <c r="AB323">
        <v>30</v>
      </c>
      <c r="AC323">
        <v>24.0398999999999</v>
      </c>
      <c r="AD323">
        <v>-1.1212258265857999</v>
      </c>
      <c r="AE323">
        <v>-1.04380000000003</v>
      </c>
      <c r="AF323">
        <v>1.3795402053152499</v>
      </c>
      <c r="AG323">
        <v>-1.1212258265857999</v>
      </c>
      <c r="AH323">
        <v>23.9707540460182</v>
      </c>
      <c r="AI323">
        <v>92.673625762229406</v>
      </c>
      <c r="AJ323">
        <v>86.706205441222195</v>
      </c>
      <c r="AK323">
        <v>24.036583119632098</v>
      </c>
      <c r="AL323">
        <v>78.132940108982595</v>
      </c>
      <c r="AM323">
        <v>87.001869685492807</v>
      </c>
      <c r="AN323">
        <v>1.00000003178546</v>
      </c>
    </row>
    <row r="324" spans="1:40" x14ac:dyDescent="0.25">
      <c r="A324" t="str">
        <f>"20190303170723028"</f>
        <v>20190303170723028</v>
      </c>
      <c r="B324" t="str">
        <f>"1551604043022844"</f>
        <v>1551604043022844</v>
      </c>
      <c r="C324" t="s">
        <v>40</v>
      </c>
      <c r="D324">
        <v>4.6529369999999997</v>
      </c>
      <c r="E324">
        <v>0.50532820000000001</v>
      </c>
      <c r="F324" t="s">
        <v>43</v>
      </c>
      <c r="G324">
        <v>-358.92910000000001</v>
      </c>
      <c r="H324" s="1">
        <v>-1.160371E-6</v>
      </c>
      <c r="I324">
        <v>366.57260000000002</v>
      </c>
      <c r="J324">
        <v>-383.62920000000003</v>
      </c>
      <c r="K324">
        <v>1.1212040000000001</v>
      </c>
      <c r="L324">
        <v>367.62720000000002</v>
      </c>
      <c r="M324">
        <v>0.9998032</v>
      </c>
      <c r="N324">
        <v>-1.417939E-2</v>
      </c>
      <c r="O324">
        <v>1.388641E-2</v>
      </c>
      <c r="P324">
        <v>0.98075400000000001</v>
      </c>
      <c r="Q324">
        <v>0.19163720000000001</v>
      </c>
      <c r="R324">
        <v>-3.7378550000000003E-2</v>
      </c>
      <c r="S324">
        <v>3.0810240000000002</v>
      </c>
      <c r="T324">
        <v>-0.1380941</v>
      </c>
      <c r="U324">
        <v>-0.12936400000000001</v>
      </c>
      <c r="V324">
        <v>5.1075000000000002E-2</v>
      </c>
      <c r="W324">
        <v>0.2054956</v>
      </c>
      <c r="X324">
        <v>0.97732439999999998</v>
      </c>
      <c r="Y324">
        <v>5.5741829999999999E-2</v>
      </c>
      <c r="Z324">
        <v>-2.068767E-3</v>
      </c>
      <c r="AA324">
        <v>0.99844310000000003</v>
      </c>
      <c r="AB324">
        <v>30</v>
      </c>
      <c r="AC324">
        <v>24.700099999999999</v>
      </c>
      <c r="AD324">
        <v>-1.121205160371</v>
      </c>
      <c r="AE324">
        <v>-1.05459999999999</v>
      </c>
      <c r="AF324">
        <v>1.39465997092334</v>
      </c>
      <c r="AG324">
        <v>-1.121205160371</v>
      </c>
      <c r="AH324">
        <v>24.632409101176499</v>
      </c>
      <c r="AI324">
        <v>92.601999039509295</v>
      </c>
      <c r="AJ324">
        <v>86.759435646167802</v>
      </c>
      <c r="AK324">
        <v>24.697322842240698</v>
      </c>
      <c r="AL324">
        <v>78.1414879484078</v>
      </c>
      <c r="AM324">
        <v>87.008442432316002</v>
      </c>
      <c r="AN324">
        <v>1.0000000400398501</v>
      </c>
    </row>
    <row r="325" spans="1:40" x14ac:dyDescent="0.25">
      <c r="A325" t="str">
        <f>"20190303170723052"</f>
        <v>20190303170723052</v>
      </c>
      <c r="B325" t="str">
        <f>"1551604043042364"</f>
        <v>1551604043042364</v>
      </c>
      <c r="C325" t="s">
        <v>40</v>
      </c>
      <c r="D325">
        <v>4.7171279999999998</v>
      </c>
      <c r="E325">
        <v>0.50497820000000004</v>
      </c>
      <c r="F325" t="s">
        <v>43</v>
      </c>
      <c r="G325">
        <v>-357.77300000000002</v>
      </c>
      <c r="H325" s="1">
        <v>-1.554173E-6</v>
      </c>
      <c r="I325">
        <v>366.57119999999998</v>
      </c>
      <c r="J325">
        <v>-383.32909999999998</v>
      </c>
      <c r="K325">
        <v>1.1211880000000001</v>
      </c>
      <c r="L325">
        <v>367.6311</v>
      </c>
      <c r="M325">
        <v>0.99980619999999998</v>
      </c>
      <c r="N325">
        <v>-1.4181879999999999E-2</v>
      </c>
      <c r="O325">
        <v>1.365916E-2</v>
      </c>
      <c r="P325">
        <v>0.98074380000000005</v>
      </c>
      <c r="Q325">
        <v>0.19177559999999999</v>
      </c>
      <c r="R325">
        <v>-3.6934910000000001E-2</v>
      </c>
      <c r="S325">
        <v>3.0801699999999999</v>
      </c>
      <c r="T325">
        <v>-0.13356479999999901</v>
      </c>
      <c r="U325">
        <v>-0.1257935</v>
      </c>
      <c r="V325">
        <v>5.041926E-2</v>
      </c>
      <c r="W325">
        <v>0.2056346</v>
      </c>
      <c r="X325">
        <v>0.97732920000000001</v>
      </c>
      <c r="Y325">
        <v>5.4377559999999998E-2</v>
      </c>
      <c r="Z325">
        <v>-1.9621769999999998E-3</v>
      </c>
      <c r="AA325">
        <v>0.99851849999999998</v>
      </c>
      <c r="AB325">
        <v>29</v>
      </c>
      <c r="AC325">
        <v>25.556099999999901</v>
      </c>
      <c r="AD325">
        <v>-1.1211895541729999</v>
      </c>
      <c r="AE325">
        <v>-1.05990000000002</v>
      </c>
      <c r="AF325">
        <v>1.4062091258109499</v>
      </c>
      <c r="AG325">
        <v>-1.1211895541729999</v>
      </c>
      <c r="AH325">
        <v>25.490259053649599</v>
      </c>
      <c r="AI325">
        <v>92.514713912550803</v>
      </c>
      <c r="AJ325">
        <v>86.842391330684094</v>
      </c>
      <c r="AK325">
        <v>25.553625902092001</v>
      </c>
      <c r="AL325">
        <v>78.133349890684897</v>
      </c>
      <c r="AM325">
        <v>87.046796389288801</v>
      </c>
      <c r="AN325">
        <v>1.0000000278343699</v>
      </c>
    </row>
    <row r="326" spans="1:40" x14ac:dyDescent="0.25">
      <c r="A326" t="str">
        <f>"20190303170723072"</f>
        <v>20190303170723072</v>
      </c>
      <c r="B326" t="str">
        <f>"1551604043061884"</f>
        <v>1551604043061884</v>
      </c>
      <c r="C326" t="s">
        <v>40</v>
      </c>
      <c r="D326">
        <v>4.7087969999999997</v>
      </c>
      <c r="E326">
        <v>0.50474049999999904</v>
      </c>
      <c r="F326" t="s">
        <v>43</v>
      </c>
      <c r="G326">
        <v>-356.72340000000003</v>
      </c>
      <c r="H326" s="1">
        <v>-1.926933E-6</v>
      </c>
      <c r="I326">
        <v>366.57810000000001</v>
      </c>
      <c r="J326">
        <v>-383.04809999999998</v>
      </c>
      <c r="K326">
        <v>1.1211660000000001</v>
      </c>
      <c r="L326">
        <v>367.63470000000001</v>
      </c>
      <c r="M326">
        <v>0.99980939999999996</v>
      </c>
      <c r="N326">
        <v>-1.418341E-2</v>
      </c>
      <c r="O326">
        <v>1.342172E-2</v>
      </c>
      <c r="P326">
        <v>0.98064870000000004</v>
      </c>
      <c r="Q326">
        <v>0.19211549999999999</v>
      </c>
      <c r="R326">
        <v>-3.7679709999999998E-2</v>
      </c>
      <c r="S326">
        <v>3.0796809999999999</v>
      </c>
      <c r="T326">
        <v>-0.1297799</v>
      </c>
      <c r="U326">
        <v>-0.1218872</v>
      </c>
      <c r="V326">
        <v>5.0939760000000001E-2</v>
      </c>
      <c r="W326">
        <v>0.20597199999999999</v>
      </c>
      <c r="X326">
        <v>0.97723110000000002</v>
      </c>
      <c r="Y326">
        <v>5.2887990000000003E-2</v>
      </c>
      <c r="Z326">
        <v>-1.86381E-3</v>
      </c>
      <c r="AA326">
        <v>0.99859869999999995</v>
      </c>
      <c r="AB326">
        <v>29</v>
      </c>
      <c r="AC326">
        <v>26.324699999999901</v>
      </c>
      <c r="AD326">
        <v>-1.1211679269329999</v>
      </c>
      <c r="AE326">
        <v>-1.0566</v>
      </c>
      <c r="AF326">
        <v>1.4073144492762399</v>
      </c>
      <c r="AG326">
        <v>-1.1211679269329999</v>
      </c>
      <c r="AH326">
        <v>26.260587912781101</v>
      </c>
      <c r="AI326">
        <v>92.441199123103104</v>
      </c>
      <c r="AJ326">
        <v>86.932432718953393</v>
      </c>
      <c r="AK326">
        <v>26.322158517196701</v>
      </c>
      <c r="AL326">
        <v>78.113594761801906</v>
      </c>
      <c r="AM326">
        <v>87.016065012862995</v>
      </c>
      <c r="AN326">
        <v>0.99999997337003299</v>
      </c>
    </row>
    <row r="327" spans="1:40" x14ac:dyDescent="0.25">
      <c r="A327" t="str">
        <f>"20190303170723094"</f>
        <v>20190303170723094</v>
      </c>
      <c r="B327" t="str">
        <f>"1551604043082380"</f>
        <v>1551604043082380</v>
      </c>
      <c r="C327" t="s">
        <v>40</v>
      </c>
      <c r="D327">
        <v>4.6636150000000001</v>
      </c>
      <c r="E327">
        <v>0.50457759999999996</v>
      </c>
      <c r="F327" t="s">
        <v>43</v>
      </c>
      <c r="G327">
        <v>-355.6069</v>
      </c>
      <c r="H327" s="1">
        <v>-2.4116260000000002E-6</v>
      </c>
      <c r="I327">
        <v>366.54570000000001</v>
      </c>
      <c r="J327">
        <v>-382.76209999999998</v>
      </c>
      <c r="K327">
        <v>1.121154</v>
      </c>
      <c r="L327">
        <v>367.63819999999998</v>
      </c>
      <c r="M327">
        <v>0.9998129</v>
      </c>
      <c r="N327">
        <v>-1.4184540000000001E-2</v>
      </c>
      <c r="O327">
        <v>1.316119E-2</v>
      </c>
      <c r="P327">
        <v>0.98068330000000004</v>
      </c>
      <c r="Q327">
        <v>0.1918415</v>
      </c>
      <c r="R327">
        <v>-3.8174180000000002E-2</v>
      </c>
      <c r="S327">
        <v>3.0791629999999999</v>
      </c>
      <c r="T327">
        <v>-0.12580539999999901</v>
      </c>
      <c r="U327">
        <v>-0.12219240000000001</v>
      </c>
      <c r="V327">
        <v>5.1187459999999997E-2</v>
      </c>
      <c r="W327">
        <v>0.20569760000000001</v>
      </c>
      <c r="X327">
        <v>0.97727600000000003</v>
      </c>
      <c r="Y327">
        <v>5.2737270000000003E-2</v>
      </c>
      <c r="Z327">
        <v>-1.8016270000000001E-3</v>
      </c>
      <c r="AA327">
        <v>0.99860680000000002</v>
      </c>
      <c r="AB327">
        <v>29</v>
      </c>
      <c r="AC327">
        <v>27.155199999999901</v>
      </c>
      <c r="AD327">
        <v>-1.121156411626</v>
      </c>
      <c r="AE327">
        <v>-1.0924999999999701</v>
      </c>
      <c r="AF327">
        <v>1.44737279119123</v>
      </c>
      <c r="AG327">
        <v>-1.121156411626</v>
      </c>
      <c r="AH327">
        <v>27.092360086146499</v>
      </c>
      <c r="AI327">
        <v>92.366334293675607</v>
      </c>
      <c r="AJ327">
        <v>86.941957364138702</v>
      </c>
      <c r="AK327">
        <v>27.154149862100901</v>
      </c>
      <c r="AL327">
        <v>78.129661303980001</v>
      </c>
      <c r="AM327">
        <v>87.001719232842206</v>
      </c>
      <c r="AN327">
        <v>1.0000000194415</v>
      </c>
    </row>
    <row r="328" spans="1:40" x14ac:dyDescent="0.25">
      <c r="A328" t="str">
        <f>"20190303170723115"</f>
        <v>20190303170723115</v>
      </c>
      <c r="B328" t="str">
        <f>"1551604043101900"</f>
        <v>1551604043101900</v>
      </c>
      <c r="C328" t="s">
        <v>40</v>
      </c>
      <c r="D328">
        <v>4.6687659999999997</v>
      </c>
      <c r="E328">
        <v>0.4834851</v>
      </c>
      <c r="F328" t="s">
        <v>43</v>
      </c>
      <c r="G328">
        <v>-355.16739999999999</v>
      </c>
      <c r="H328" s="1">
        <v>-2.601447E-6</v>
      </c>
      <c r="I328">
        <v>366.53859999999997</v>
      </c>
      <c r="J328">
        <v>-382.48239999999998</v>
      </c>
      <c r="K328">
        <v>1.121149</v>
      </c>
      <c r="L328">
        <v>367.64170000000001</v>
      </c>
      <c r="M328">
        <v>0.99981640000000005</v>
      </c>
      <c r="N328">
        <v>-1.4185130000000001E-2</v>
      </c>
      <c r="O328">
        <v>1.288897E-2</v>
      </c>
      <c r="P328">
        <v>0.98064110000000004</v>
      </c>
      <c r="Q328">
        <v>0.1919631</v>
      </c>
      <c r="R328">
        <v>-3.8646600000000003E-2</v>
      </c>
      <c r="S328">
        <v>3.0787659999999999</v>
      </c>
      <c r="T328">
        <v>-0.1250879</v>
      </c>
      <c r="U328">
        <v>-0.1226807</v>
      </c>
      <c r="V328">
        <v>5.139958E-2</v>
      </c>
      <c r="W328">
        <v>0.20581759999999999</v>
      </c>
      <c r="X328">
        <v>0.97723959999999999</v>
      </c>
      <c r="Y328">
        <v>5.2629469999999998E-2</v>
      </c>
      <c r="Z328">
        <v>-1.7824920000000001E-3</v>
      </c>
      <c r="AA328">
        <v>0.99861250000000001</v>
      </c>
      <c r="AB328">
        <v>29</v>
      </c>
      <c r="AC328">
        <v>27.315000000000001</v>
      </c>
      <c r="AD328">
        <v>-1.121151601447</v>
      </c>
      <c r="AE328">
        <v>-1.1031000000000399</v>
      </c>
      <c r="AF328">
        <v>1.4526626248116501</v>
      </c>
      <c r="AG328">
        <v>-1.121151601447</v>
      </c>
      <c r="AH328">
        <v>27.252673125851</v>
      </c>
      <c r="AI328">
        <v>92.352435029821606</v>
      </c>
      <c r="AJ328">
        <v>86.948822460887399</v>
      </c>
      <c r="AK328">
        <v>27.3143808664856</v>
      </c>
      <c r="AL328">
        <v>78.122635468186402</v>
      </c>
      <c r="AM328">
        <v>86.989205282570794</v>
      </c>
      <c r="AN328">
        <v>1.00000001855104</v>
      </c>
    </row>
    <row r="329" spans="1:40" x14ac:dyDescent="0.25">
      <c r="A329" t="str">
        <f>"20190303170723138"</f>
        <v>20190303170723138</v>
      </c>
      <c r="B329" t="str">
        <f>"1551604043132156"</f>
        <v>1551604043132156</v>
      </c>
      <c r="C329" t="s">
        <v>40</v>
      </c>
      <c r="D329">
        <v>4.6695880000000001</v>
      </c>
      <c r="E329">
        <v>0.47787429999999997</v>
      </c>
      <c r="F329" t="s">
        <v>46</v>
      </c>
      <c r="G329">
        <v>-312.50700000000001</v>
      </c>
      <c r="H329">
        <v>-0.05</v>
      </c>
      <c r="I329">
        <v>368.59230000000002</v>
      </c>
      <c r="J329">
        <v>-382.17739999999998</v>
      </c>
      <c r="K329">
        <v>1.12114</v>
      </c>
      <c r="L329">
        <v>367.64530000000002</v>
      </c>
      <c r="M329">
        <v>0.99982040000000005</v>
      </c>
      <c r="N329">
        <v>-1.418527E-2</v>
      </c>
      <c r="O329">
        <v>1.257161E-2</v>
      </c>
      <c r="P329">
        <v>0.98044100000000001</v>
      </c>
      <c r="Q329">
        <v>0.192884</v>
      </c>
      <c r="R329">
        <v>-3.9130430000000001E-2</v>
      </c>
      <c r="S329">
        <v>3.0709230000000001</v>
      </c>
      <c r="T329">
        <v>-5.1396730000000002E-2</v>
      </c>
      <c r="U329">
        <v>4.1717530000000003E-2</v>
      </c>
      <c r="V329">
        <v>5.1578159999999998E-2</v>
      </c>
      <c r="W329">
        <v>0.20673349999999999</v>
      </c>
      <c r="X329">
        <v>0.97703680000000004</v>
      </c>
      <c r="Y329">
        <v>-1.010424E-3</v>
      </c>
      <c r="Z329" s="1">
        <v>-1.6412040000000001E-5</v>
      </c>
      <c r="AA329">
        <v>0.99999950000000004</v>
      </c>
      <c r="AB329">
        <v>29</v>
      </c>
      <c r="AC329">
        <v>69.670399999999901</v>
      </c>
      <c r="AD329">
        <v>-1.1711400000000001</v>
      </c>
      <c r="AE329">
        <v>0.94700000000000195</v>
      </c>
      <c r="AF329">
        <v>-7.0947914619966704E-2</v>
      </c>
      <c r="AG329">
        <v>-1.1711400000000001</v>
      </c>
      <c r="AH329">
        <v>69.657120495904095</v>
      </c>
      <c r="AI329">
        <v>90.963218439147695</v>
      </c>
      <c r="AJ329">
        <v>90.058357489347102</v>
      </c>
      <c r="AK329">
        <v>69.667001071433305</v>
      </c>
      <c r="AL329">
        <v>78.069004384136605</v>
      </c>
      <c r="AM329">
        <v>86.978138136927797</v>
      </c>
      <c r="AN329">
        <v>0.99999997758273695</v>
      </c>
    </row>
    <row r="330" spans="1:40" x14ac:dyDescent="0.25">
      <c r="A330" t="str">
        <f>"20190303170723161"</f>
        <v>20190303170723161</v>
      </c>
      <c r="B330" t="str">
        <f>"1551604043152652"</f>
        <v>1551604043152652</v>
      </c>
      <c r="C330" t="s">
        <v>40</v>
      </c>
      <c r="D330">
        <v>4.6599120000000003</v>
      </c>
      <c r="E330">
        <v>0.47709629999999997</v>
      </c>
      <c r="F330" t="s">
        <v>46</v>
      </c>
      <c r="G330">
        <v>-298.89299999999997</v>
      </c>
      <c r="H330">
        <v>-0.05</v>
      </c>
      <c r="I330">
        <v>369.95460000000003</v>
      </c>
      <c r="J330">
        <v>-381.87310000000002</v>
      </c>
      <c r="K330">
        <v>1.121127</v>
      </c>
      <c r="L330">
        <v>367.64870000000002</v>
      </c>
      <c r="M330">
        <v>0.99982459999999995</v>
      </c>
      <c r="N330">
        <v>-1.418495E-2</v>
      </c>
      <c r="O330">
        <v>1.22338E-2</v>
      </c>
      <c r="P330">
        <v>0.9803096</v>
      </c>
      <c r="Q330">
        <v>0.19347249999999999</v>
      </c>
      <c r="R330">
        <v>-3.9517120000000003E-2</v>
      </c>
      <c r="S330">
        <v>3.071777</v>
      </c>
      <c r="T330">
        <v>-4.3195129999999998E-2</v>
      </c>
      <c r="U330">
        <v>8.5174559999999996E-2</v>
      </c>
      <c r="V330">
        <v>5.1640610000000003E-2</v>
      </c>
      <c r="W330">
        <v>0.207318</v>
      </c>
      <c r="X330">
        <v>0.97690969999999999</v>
      </c>
      <c r="Y330">
        <v>-1.5481979999999999E-2</v>
      </c>
      <c r="Z330">
        <v>2.2021310000000001E-4</v>
      </c>
      <c r="AA330">
        <v>0.99988010000000005</v>
      </c>
      <c r="AB330">
        <v>29</v>
      </c>
      <c r="AC330">
        <v>82.980099999999993</v>
      </c>
      <c r="AD330">
        <v>-1.171127</v>
      </c>
      <c r="AE330">
        <v>2.3058999999999998</v>
      </c>
      <c r="AF330">
        <v>-1.29020656901219</v>
      </c>
      <c r="AG330">
        <v>-1.171127</v>
      </c>
      <c r="AH330">
        <v>82.985584770220896</v>
      </c>
      <c r="AI330">
        <v>90.808430449567695</v>
      </c>
      <c r="AJ330">
        <v>90.890726213602406</v>
      </c>
      <c r="AK330">
        <v>83.003876120916004</v>
      </c>
      <c r="AL330">
        <v>78.034774085437306</v>
      </c>
      <c r="AM330">
        <v>86.974093208726501</v>
      </c>
      <c r="AN330">
        <v>1.00000003383963</v>
      </c>
    </row>
    <row r="331" spans="1:40" x14ac:dyDescent="0.25">
      <c r="A331" t="str">
        <f>"20190303170723182"</f>
        <v>20190303170723182</v>
      </c>
      <c r="B331" t="str">
        <f>"1551604043172172"</f>
        <v>1551604043172172</v>
      </c>
      <c r="C331" t="s">
        <v>40</v>
      </c>
      <c r="D331">
        <v>4.6321110000000001</v>
      </c>
      <c r="E331">
        <v>0.47620309999999999</v>
      </c>
      <c r="F331" t="s">
        <v>46</v>
      </c>
      <c r="G331">
        <v>-290.44110000000001</v>
      </c>
      <c r="H331">
        <v>-0.05</v>
      </c>
      <c r="I331">
        <v>370.3322</v>
      </c>
      <c r="J331">
        <v>-381.6003</v>
      </c>
      <c r="K331">
        <v>1.1211180000000001</v>
      </c>
      <c r="L331">
        <v>367.65170000000001</v>
      </c>
      <c r="M331">
        <v>0.99982850000000001</v>
      </c>
      <c r="N331">
        <v>-1.4184449999999999E-2</v>
      </c>
      <c r="O331">
        <v>1.191234E-2</v>
      </c>
      <c r="P331">
        <v>0.9803056</v>
      </c>
      <c r="Q331">
        <v>0.19345180000000001</v>
      </c>
      <c r="R331">
        <v>-3.971856E-2</v>
      </c>
      <c r="S331">
        <v>3.071625</v>
      </c>
      <c r="T331">
        <v>-3.9343599999999999E-2</v>
      </c>
      <c r="U331">
        <v>9.0148930000000002E-2</v>
      </c>
      <c r="V331">
        <v>5.1534330000000003E-2</v>
      </c>
      <c r="W331">
        <v>0.2072956</v>
      </c>
      <c r="X331">
        <v>0.97692000000000001</v>
      </c>
      <c r="Y331">
        <v>-1.7422819999999999E-2</v>
      </c>
      <c r="Z331">
        <v>2.5158320000000001E-4</v>
      </c>
      <c r="AA331">
        <v>0.99984819999999996</v>
      </c>
      <c r="AB331">
        <v>29</v>
      </c>
      <c r="AC331">
        <v>91.159199999999998</v>
      </c>
      <c r="AD331">
        <v>-1.1711180000000001</v>
      </c>
      <c r="AE331">
        <v>2.6804999999999901</v>
      </c>
      <c r="AF331">
        <v>-1.59401834001434</v>
      </c>
      <c r="AG331">
        <v>-1.1711180000000001</v>
      </c>
      <c r="AH331">
        <v>91.169630766111297</v>
      </c>
      <c r="AI331">
        <v>90.735839071289405</v>
      </c>
      <c r="AJ331">
        <v>91.001662701771707</v>
      </c>
      <c r="AK331">
        <v>91.191085013104697</v>
      </c>
      <c r="AL331">
        <v>78.036085232127206</v>
      </c>
      <c r="AM331">
        <v>86.980340978562495</v>
      </c>
      <c r="AN331">
        <v>0.99999996967395399</v>
      </c>
    </row>
    <row r="332" spans="1:40" x14ac:dyDescent="0.25">
      <c r="A332" t="str">
        <f>"20190303170723205"</f>
        <v>20190303170723205</v>
      </c>
      <c r="B332" t="str">
        <f>"1551604043192668"</f>
        <v>1551604043192668</v>
      </c>
      <c r="C332" t="s">
        <v>40</v>
      </c>
      <c r="D332">
        <v>4.6560899999999998</v>
      </c>
      <c r="E332">
        <v>0.47579379999999999</v>
      </c>
      <c r="F332" t="s">
        <v>46</v>
      </c>
      <c r="G332">
        <v>-288.69529999999997</v>
      </c>
      <c r="H332">
        <v>-0.05</v>
      </c>
      <c r="I332">
        <v>370.57670000000002</v>
      </c>
      <c r="J332">
        <v>-381.31049999999999</v>
      </c>
      <c r="K332">
        <v>1.1211009999999999</v>
      </c>
      <c r="L332">
        <v>367.65480000000002</v>
      </c>
      <c r="M332">
        <v>0.99983279999999997</v>
      </c>
      <c r="N332">
        <v>-1.418357E-2</v>
      </c>
      <c r="O332">
        <v>1.1549830000000001E-2</v>
      </c>
      <c r="P332">
        <v>0.98026780000000002</v>
      </c>
      <c r="Q332">
        <v>0.19344629999999999</v>
      </c>
      <c r="R332">
        <v>-4.0668099999999999E-2</v>
      </c>
      <c r="S332">
        <v>3.0718079999999999</v>
      </c>
      <c r="T332">
        <v>-3.8721800000000001E-2</v>
      </c>
      <c r="U332">
        <v>9.6710210000000005E-2</v>
      </c>
      <c r="V332">
        <v>5.2137000000000003E-2</v>
      </c>
      <c r="W332">
        <v>0.20728530000000001</v>
      </c>
      <c r="X332">
        <v>0.97689020000000004</v>
      </c>
      <c r="Y332">
        <v>-1.991685E-2</v>
      </c>
      <c r="Z332">
        <v>2.8505069999999998E-4</v>
      </c>
      <c r="AA332">
        <v>0.99980159999999996</v>
      </c>
      <c r="AB332">
        <v>29</v>
      </c>
      <c r="AC332">
        <v>92.615200000000002</v>
      </c>
      <c r="AD332">
        <v>-1.1711009999999999</v>
      </c>
      <c r="AE332">
        <v>2.9218999999999902</v>
      </c>
      <c r="AF332">
        <v>-1.85161198260681</v>
      </c>
      <c r="AG332">
        <v>-1.1711009999999999</v>
      </c>
      <c r="AH332">
        <v>92.627976366097698</v>
      </c>
      <c r="AI332">
        <v>90.724210681412004</v>
      </c>
      <c r="AJ332">
        <v>91.145176961004296</v>
      </c>
      <c r="AK332">
        <v>92.6538825423128</v>
      </c>
      <c r="AL332">
        <v>78.0366883958377</v>
      </c>
      <c r="AM332">
        <v>86.945000962006304</v>
      </c>
      <c r="AN332">
        <v>0.99999996261056401</v>
      </c>
    </row>
    <row r="333" spans="1:40" x14ac:dyDescent="0.25">
      <c r="A333" t="str">
        <f>"20190303170723230"</f>
        <v>20190303170723230</v>
      </c>
      <c r="B333" t="str">
        <f>"1551604043221948"</f>
        <v>1551604043221948</v>
      </c>
      <c r="C333" t="s">
        <v>40</v>
      </c>
      <c r="D333">
        <v>4.6212400000000002</v>
      </c>
      <c r="E333">
        <v>0.47530020000000001</v>
      </c>
      <c r="F333" t="s">
        <v>46</v>
      </c>
      <c r="G333">
        <v>-289.0675</v>
      </c>
      <c r="H333">
        <v>-0.05</v>
      </c>
      <c r="I333">
        <v>370.56310000000002</v>
      </c>
      <c r="J333">
        <v>-380.98390000000001</v>
      </c>
      <c r="K333">
        <v>1.1210850000000001</v>
      </c>
      <c r="L333">
        <v>367.65809999999999</v>
      </c>
      <c r="M333">
        <v>0.9998378</v>
      </c>
      <c r="N333">
        <v>-1.4182419999999999E-2</v>
      </c>
      <c r="O333">
        <v>1.111402E-2</v>
      </c>
      <c r="P333">
        <v>0.98019270000000003</v>
      </c>
      <c r="Q333">
        <v>0.19366510000000001</v>
      </c>
      <c r="R333">
        <v>-4.1431860000000001E-2</v>
      </c>
      <c r="S333">
        <v>3.0721440000000002</v>
      </c>
      <c r="T333">
        <v>-3.9003370000000002E-2</v>
      </c>
      <c r="U333">
        <v>9.6862790000000004E-2</v>
      </c>
      <c r="V333">
        <v>5.2483160000000001E-2</v>
      </c>
      <c r="W333">
        <v>0.2074994</v>
      </c>
      <c r="X333">
        <v>0.97682630000000004</v>
      </c>
      <c r="Y333">
        <v>-2.0398690000000001E-2</v>
      </c>
      <c r="Z333">
        <v>2.9070860000000002E-4</v>
      </c>
      <c r="AA333">
        <v>0.99979189999999996</v>
      </c>
      <c r="AB333">
        <v>29</v>
      </c>
      <c r="AC333">
        <v>91.916399999999996</v>
      </c>
      <c r="AD333">
        <v>-1.1710849999999999</v>
      </c>
      <c r="AE333">
        <v>2.9050000000000198</v>
      </c>
      <c r="AF333">
        <v>-1.8828518959959599</v>
      </c>
      <c r="AG333">
        <v>-1.1710849999999999</v>
      </c>
      <c r="AH333">
        <v>91.928103807257799</v>
      </c>
      <c r="AI333">
        <v>90.729706461530796</v>
      </c>
      <c r="AJ333">
        <v>91.173355928618093</v>
      </c>
      <c r="AK333">
        <v>91.954841313209002</v>
      </c>
      <c r="AL333">
        <v>78.024149812654997</v>
      </c>
      <c r="AM333">
        <v>86.924555528431299</v>
      </c>
      <c r="AN333">
        <v>1.00000005172781</v>
      </c>
    </row>
    <row r="334" spans="1:40" x14ac:dyDescent="0.25">
      <c r="A334" t="str">
        <f>"20190303170723252"</f>
        <v>20190303170723252</v>
      </c>
      <c r="B334" t="str">
        <f>"1551604043242444"</f>
        <v>1551604043242444</v>
      </c>
      <c r="C334" t="s">
        <v>40</v>
      </c>
      <c r="D334">
        <v>4.6169289999999998</v>
      </c>
      <c r="E334">
        <v>0.47509950000000001</v>
      </c>
      <c r="F334" t="s">
        <v>46</v>
      </c>
      <c r="G334">
        <v>-282.21440000000001</v>
      </c>
      <c r="H334">
        <v>-0.05</v>
      </c>
      <c r="I334">
        <v>370.8272</v>
      </c>
      <c r="J334">
        <v>-380.6979</v>
      </c>
      <c r="K334">
        <v>1.121075</v>
      </c>
      <c r="L334">
        <v>367.66079999999999</v>
      </c>
      <c r="M334">
        <v>0.99984209999999996</v>
      </c>
      <c r="N334">
        <v>-1.4181040000000001E-2</v>
      </c>
      <c r="O334">
        <v>1.070867E-2</v>
      </c>
      <c r="P334">
        <v>0.98005520000000002</v>
      </c>
      <c r="Q334">
        <v>0.19408520000000001</v>
      </c>
      <c r="R334">
        <v>-4.2693200000000001E-2</v>
      </c>
      <c r="S334">
        <v>3.0720519999999998</v>
      </c>
      <c r="T334">
        <v>-3.6424520000000002E-2</v>
      </c>
      <c r="U334">
        <v>9.8571779999999998E-2</v>
      </c>
      <c r="V334">
        <v>5.3354859999999997E-2</v>
      </c>
      <c r="W334">
        <v>0.2079136</v>
      </c>
      <c r="X334">
        <v>0.97669090000000003</v>
      </c>
      <c r="Y334">
        <v>-2.1360779999999999E-2</v>
      </c>
      <c r="Z334">
        <v>3.0302790000000002E-4</v>
      </c>
      <c r="AA334">
        <v>0.99977179999999999</v>
      </c>
      <c r="AB334">
        <v>29</v>
      </c>
      <c r="AC334">
        <v>98.483500000000006</v>
      </c>
      <c r="AD334">
        <v>-1.1710750000000001</v>
      </c>
      <c r="AE334">
        <v>3.1663999999999999</v>
      </c>
      <c r="AF334">
        <v>-2.1111868346318201</v>
      </c>
      <c r="AG334">
        <v>-1.1710750000000001</v>
      </c>
      <c r="AH334">
        <v>98.497850225695203</v>
      </c>
      <c r="AI334">
        <v>90.681020838362898</v>
      </c>
      <c r="AJ334">
        <v>91.227880370069997</v>
      </c>
      <c r="AK334">
        <v>98.527432858010897</v>
      </c>
      <c r="AL334">
        <v>77.999887682735306</v>
      </c>
      <c r="AM334">
        <v>86.873142997957601</v>
      </c>
      <c r="AN334">
        <v>0.99999996014669301</v>
      </c>
    </row>
    <row r="335" spans="1:40" x14ac:dyDescent="0.25">
      <c r="A335" t="str">
        <f>"20190303170723273"</f>
        <v>20190303170723273</v>
      </c>
      <c r="B335" t="str">
        <f>"1551604043261964"</f>
        <v>1551604043261964</v>
      </c>
      <c r="C335" t="s">
        <v>40</v>
      </c>
      <c r="D335">
        <v>4.6584269999999997</v>
      </c>
      <c r="E335">
        <v>0.47500619999999999</v>
      </c>
      <c r="F335" t="s">
        <v>43</v>
      </c>
      <c r="G335">
        <v>-279.95209999999997</v>
      </c>
      <c r="H335" s="1">
        <v>-3.2353869999999999E-7</v>
      </c>
      <c r="I335">
        <v>370.82139999999998</v>
      </c>
      <c r="J335">
        <v>-380.4255</v>
      </c>
      <c r="K335">
        <v>1.1210599999999999</v>
      </c>
      <c r="L335">
        <v>367.66329999999999</v>
      </c>
      <c r="M335">
        <v>0.99984649999999997</v>
      </c>
      <c r="N335">
        <v>-1.417936E-2</v>
      </c>
      <c r="O335">
        <v>1.030666E-2</v>
      </c>
      <c r="P335">
        <v>0.97997389999999995</v>
      </c>
      <c r="Q335">
        <v>0.19429489999999999</v>
      </c>
      <c r="R335">
        <v>-4.3602040000000002E-2</v>
      </c>
      <c r="S335">
        <v>3.0719910000000001</v>
      </c>
      <c r="T335">
        <v>-3.4184340000000001E-2</v>
      </c>
      <c r="U335">
        <v>9.6374509999999997E-2</v>
      </c>
      <c r="V335">
        <v>5.3875979999999997E-2</v>
      </c>
      <c r="W335">
        <v>0.20811840000000001</v>
      </c>
      <c r="X335">
        <v>0.97661869999999995</v>
      </c>
      <c r="Y335">
        <v>-2.1049370000000001E-2</v>
      </c>
      <c r="Z335">
        <v>2.9784199999999999E-4</v>
      </c>
      <c r="AA335">
        <v>0.99977839999999996</v>
      </c>
      <c r="AB335">
        <v>29</v>
      </c>
      <c r="AC335">
        <v>100.4734</v>
      </c>
      <c r="AD335">
        <v>-1.1210603235387</v>
      </c>
      <c r="AE335">
        <v>3.1580999999999899</v>
      </c>
      <c r="AF335">
        <v>-2.1220191704397702</v>
      </c>
      <c r="AG335">
        <v>-1.1210603235387</v>
      </c>
      <c r="AH335">
        <v>100.48811697988199</v>
      </c>
      <c r="AI335">
        <v>90.639031235490506</v>
      </c>
      <c r="AJ335">
        <v>91.209741792675899</v>
      </c>
      <c r="AK335">
        <v>100.516771713834</v>
      </c>
      <c r="AL335">
        <v>77.9878914185349</v>
      </c>
      <c r="AM335">
        <v>86.842431351433206</v>
      </c>
      <c r="AN335">
        <v>0.99999998741460505</v>
      </c>
    </row>
    <row r="336" spans="1:40" x14ac:dyDescent="0.25">
      <c r="A336" t="str">
        <f>"20190303170723294"</f>
        <v>20190303170723294</v>
      </c>
      <c r="B336" t="str">
        <f>"1551604043282460"</f>
        <v>1551604043282460</v>
      </c>
      <c r="C336" t="s">
        <v>40</v>
      </c>
      <c r="D336">
        <v>4.6113460000000002</v>
      </c>
      <c r="E336">
        <v>0.47478039999999999</v>
      </c>
      <c r="F336" t="s">
        <v>43</v>
      </c>
      <c r="G336">
        <v>-278.30009999999999</v>
      </c>
      <c r="H336" s="1">
        <v>-1.0264949999999999E-6</v>
      </c>
      <c r="I336">
        <v>370.7998</v>
      </c>
      <c r="J336">
        <v>-380.15809999999999</v>
      </c>
      <c r="K336">
        <v>1.121046</v>
      </c>
      <c r="L336">
        <v>367.66559999999998</v>
      </c>
      <c r="M336">
        <v>0.99985049999999998</v>
      </c>
      <c r="N336">
        <v>-1.4177479999999999E-2</v>
      </c>
      <c r="O336">
        <v>9.8977230000000006E-3</v>
      </c>
      <c r="P336">
        <v>0.98002359999999999</v>
      </c>
      <c r="Q336">
        <v>0.19392719999999999</v>
      </c>
      <c r="R336">
        <v>-4.4114689999999998E-2</v>
      </c>
      <c r="S336">
        <v>3.0722659999999999</v>
      </c>
      <c r="T336">
        <v>-3.3725140000000001E-2</v>
      </c>
      <c r="U336">
        <v>9.4360349999999996E-2</v>
      </c>
      <c r="V336">
        <v>5.3993760000000002E-2</v>
      </c>
      <c r="W336">
        <v>0.20774809999999999</v>
      </c>
      <c r="X336">
        <v>0.97669110000000003</v>
      </c>
      <c r="Y336">
        <v>-2.080075E-2</v>
      </c>
      <c r="Z336">
        <v>2.933322E-4</v>
      </c>
      <c r="AA336">
        <v>0.99978359999999999</v>
      </c>
      <c r="AB336">
        <v>29</v>
      </c>
      <c r="AC336">
        <v>101.857999999999</v>
      </c>
      <c r="AD336">
        <v>-1.1210470264950001</v>
      </c>
      <c r="AE336">
        <v>3.1342000000000199</v>
      </c>
      <c r="AF336">
        <v>-2.1255256084814498</v>
      </c>
      <c r="AG336">
        <v>-1.1210470264950001</v>
      </c>
      <c r="AH336">
        <v>101.871705972982</v>
      </c>
      <c r="AI336">
        <v>90.630348683992906</v>
      </c>
      <c r="AJ336">
        <v>91.195287521276697</v>
      </c>
      <c r="AK336">
        <v>101.900044570126</v>
      </c>
      <c r="AL336">
        <v>78.009582925679794</v>
      </c>
      <c r="AM336">
        <v>86.835776601241093</v>
      </c>
      <c r="AN336">
        <v>1.0000000519958701</v>
      </c>
    </row>
    <row r="337" spans="1:40" x14ac:dyDescent="0.25">
      <c r="A337" t="str">
        <f>"20190303170723316"</f>
        <v>20190303170723316</v>
      </c>
      <c r="B337" t="str">
        <f>"1551604043301980"</f>
        <v>1551604043301980</v>
      </c>
      <c r="C337" t="s">
        <v>40</v>
      </c>
      <c r="D337">
        <v>4.6927089999999998</v>
      </c>
      <c r="E337">
        <v>0.47494950000000002</v>
      </c>
      <c r="F337" t="s">
        <v>46</v>
      </c>
      <c r="G337">
        <v>-279.02030000000002</v>
      </c>
      <c r="H337">
        <v>-0.05</v>
      </c>
      <c r="I337">
        <v>370.7756</v>
      </c>
      <c r="J337">
        <v>-379.86779999999999</v>
      </c>
      <c r="K337">
        <v>1.1210279999999999</v>
      </c>
      <c r="L337">
        <v>367.66789999999997</v>
      </c>
      <c r="M337">
        <v>0.99985500000000005</v>
      </c>
      <c r="N337">
        <v>-1.417534E-2</v>
      </c>
      <c r="O337">
        <v>9.4377179999999995E-3</v>
      </c>
      <c r="P337">
        <v>0.98001300000000002</v>
      </c>
      <c r="Q337">
        <v>0.19380310000000001</v>
      </c>
      <c r="R337">
        <v>-4.4887589999999998E-2</v>
      </c>
      <c r="S337">
        <v>3.072479</v>
      </c>
      <c r="T337">
        <v>-3.5575389999999998E-2</v>
      </c>
      <c r="U337">
        <v>9.4482419999999998E-2</v>
      </c>
      <c r="V337">
        <v>5.4321130000000002E-2</v>
      </c>
      <c r="W337">
        <v>0.20762069999999999</v>
      </c>
      <c r="X337">
        <v>0.97669989999999995</v>
      </c>
      <c r="Y337">
        <v>-2.129795E-2</v>
      </c>
      <c r="Z337">
        <v>2.9879899999999998E-4</v>
      </c>
      <c r="AA337">
        <v>0.99977309999999997</v>
      </c>
      <c r="AB337">
        <v>29</v>
      </c>
      <c r="AC337">
        <v>100.847499999999</v>
      </c>
      <c r="AD337">
        <v>-1.171028</v>
      </c>
      <c r="AE337">
        <v>3.1077000000000199</v>
      </c>
      <c r="AF337">
        <v>-2.1554053276569598</v>
      </c>
      <c r="AG337">
        <v>-1.171028</v>
      </c>
      <c r="AH337">
        <v>100.85875383097201</v>
      </c>
      <c r="AI337">
        <v>90.665055149424106</v>
      </c>
      <c r="AJ337">
        <v>91.224254997573993</v>
      </c>
      <c r="AK337">
        <v>100.888578655068</v>
      </c>
      <c r="AL337">
        <v>78.017043477783602</v>
      </c>
      <c r="AM337">
        <v>86.816659535076496</v>
      </c>
      <c r="AN337">
        <v>0.99999991744648498</v>
      </c>
    </row>
    <row r="338" spans="1:40" x14ac:dyDescent="0.25">
      <c r="A338" t="str">
        <f>"20190303170723340"</f>
        <v>20190303170723340</v>
      </c>
      <c r="B338" t="str">
        <f>"1551604043332237"</f>
        <v>1551604043332237</v>
      </c>
      <c r="C338" t="s">
        <v>40</v>
      </c>
      <c r="D338">
        <v>4.6474419999999999</v>
      </c>
      <c r="E338">
        <v>0.47508640000000002</v>
      </c>
      <c r="F338" t="s">
        <v>46</v>
      </c>
      <c r="G338">
        <v>-277.8664</v>
      </c>
      <c r="H338">
        <v>-0.05</v>
      </c>
      <c r="I338">
        <v>370.69330000000002</v>
      </c>
      <c r="J338">
        <v>-379.55630000000002</v>
      </c>
      <c r="K338">
        <v>1.1210209999999901</v>
      </c>
      <c r="L338">
        <v>367.6703</v>
      </c>
      <c r="M338">
        <v>0.99985979999999997</v>
      </c>
      <c r="N338">
        <v>-1.417298E-2</v>
      </c>
      <c r="O338">
        <v>8.9301559999999999E-3</v>
      </c>
      <c r="P338">
        <v>0.97989539999999997</v>
      </c>
      <c r="Q338">
        <v>0.19413349999999999</v>
      </c>
      <c r="R338">
        <v>-4.6018650000000001E-2</v>
      </c>
      <c r="S338">
        <v>3.0723569999999998</v>
      </c>
      <c r="T338">
        <v>-3.5272240000000003E-2</v>
      </c>
      <c r="U338">
        <v>9.1125490000000003E-2</v>
      </c>
      <c r="V338">
        <v>5.4959239999999999E-2</v>
      </c>
      <c r="W338">
        <v>0.20794489999999999</v>
      </c>
      <c r="X338">
        <v>0.97659530000000006</v>
      </c>
      <c r="Y338">
        <v>-2.0715440000000002E-2</v>
      </c>
      <c r="Z338">
        <v>2.8979150000000003E-4</v>
      </c>
      <c r="AA338">
        <v>0.99978540000000005</v>
      </c>
      <c r="AB338">
        <v>29</v>
      </c>
      <c r="AC338">
        <v>101.68989999999999</v>
      </c>
      <c r="AD338">
        <v>-1.1710210000000001</v>
      </c>
      <c r="AE338">
        <v>3.0230000000000201</v>
      </c>
      <c r="AF338">
        <v>-2.1144015109485599</v>
      </c>
      <c r="AG338">
        <v>-1.1710210000000001</v>
      </c>
      <c r="AH338">
        <v>101.699368542065</v>
      </c>
      <c r="AI338">
        <v>90.659562617545902</v>
      </c>
      <c r="AJ338">
        <v>91.191048024569099</v>
      </c>
      <c r="AK338">
        <v>101.72808631733299</v>
      </c>
      <c r="AL338">
        <v>77.998054613543502</v>
      </c>
      <c r="AM338">
        <v>86.778998890084395</v>
      </c>
      <c r="AN338">
        <v>0.99999998973973903</v>
      </c>
    </row>
    <row r="339" spans="1:40" x14ac:dyDescent="0.25">
      <c r="A339" t="str">
        <f>"20190303170723363"</f>
        <v>20190303170723363</v>
      </c>
      <c r="B339" t="str">
        <f>"1551604043352732"</f>
        <v>1551604043352732</v>
      </c>
      <c r="C339" t="s">
        <v>40</v>
      </c>
      <c r="D339">
        <v>4.6303839999999896</v>
      </c>
      <c r="E339">
        <v>0.47486499999999998</v>
      </c>
      <c r="F339" t="s">
        <v>46</v>
      </c>
      <c r="G339">
        <v>-276.55579999999998</v>
      </c>
      <c r="H339">
        <v>-0.05</v>
      </c>
      <c r="I339">
        <v>370.589</v>
      </c>
      <c r="J339">
        <v>-379.25810000000001</v>
      </c>
      <c r="K339">
        <v>1.1210119999999999</v>
      </c>
      <c r="L339">
        <v>367.67239999999998</v>
      </c>
      <c r="M339">
        <v>0.99986399999999998</v>
      </c>
      <c r="N339">
        <v>-1.4170510000000001E-2</v>
      </c>
      <c r="O339">
        <v>8.434726E-3</v>
      </c>
      <c r="P339">
        <v>0.97981779999999996</v>
      </c>
      <c r="Q339">
        <v>0.1941319</v>
      </c>
      <c r="R339">
        <v>-4.7642579999999997E-2</v>
      </c>
      <c r="S339">
        <v>3.0726010000000001</v>
      </c>
      <c r="T339">
        <v>-3.4932610000000003E-2</v>
      </c>
      <c r="U339">
        <v>8.7066649999999995E-2</v>
      </c>
      <c r="V339">
        <v>5.6101610000000003E-2</v>
      </c>
      <c r="W339">
        <v>0.20793829999999999</v>
      </c>
      <c r="X339">
        <v>0.9765317</v>
      </c>
      <c r="Y339">
        <v>-1.9889049999999998E-2</v>
      </c>
      <c r="Z339">
        <v>2.7764130000000001E-4</v>
      </c>
      <c r="AA339">
        <v>0.99980219999999997</v>
      </c>
      <c r="AB339">
        <v>29</v>
      </c>
      <c r="AC339">
        <v>102.70229999999999</v>
      </c>
      <c r="AD339">
        <v>-1.1710119999999999</v>
      </c>
      <c r="AE339">
        <v>2.9166000000000101</v>
      </c>
      <c r="AF339">
        <v>-2.04987718395616</v>
      </c>
      <c r="AG339">
        <v>-1.1710119999999999</v>
      </c>
      <c r="AH339">
        <v>102.70990692463501</v>
      </c>
      <c r="AI339">
        <v>90.653079958880198</v>
      </c>
      <c r="AJ339">
        <v>91.143353395070406</v>
      </c>
      <c r="AK339">
        <v>102.737034442506</v>
      </c>
      <c r="AL339">
        <v>77.9984406613993</v>
      </c>
      <c r="AM339">
        <v>86.711979633482798</v>
      </c>
      <c r="AN339">
        <v>0.99999994417818405</v>
      </c>
    </row>
    <row r="340" spans="1:40" x14ac:dyDescent="0.25">
      <c r="A340" t="str">
        <f>"20190303170723384"</f>
        <v>20190303170723384</v>
      </c>
      <c r="B340" t="str">
        <f>"1551604043372252"</f>
        <v>1551604043372252</v>
      </c>
      <c r="C340" t="s">
        <v>40</v>
      </c>
      <c r="D340">
        <v>4.6612669999999996</v>
      </c>
      <c r="E340">
        <v>0.4749411</v>
      </c>
      <c r="F340" t="s">
        <v>43</v>
      </c>
      <c r="G340">
        <v>-278.44560000000001</v>
      </c>
      <c r="H340" s="1">
        <v>-8.6910069999999901E-7</v>
      </c>
      <c r="I340">
        <v>370.44290000000001</v>
      </c>
      <c r="J340">
        <v>-378.98439999999999</v>
      </c>
      <c r="K340">
        <v>1.1210089999999999</v>
      </c>
      <c r="L340">
        <v>367.67419999999998</v>
      </c>
      <c r="M340">
        <v>0.99986790000000003</v>
      </c>
      <c r="N340">
        <v>-1.4168139999999999E-2</v>
      </c>
      <c r="O340">
        <v>7.9744519999999999E-3</v>
      </c>
      <c r="P340">
        <v>0.9798403</v>
      </c>
      <c r="Q340">
        <v>0.19375210000000001</v>
      </c>
      <c r="R340">
        <v>-4.871706E-2</v>
      </c>
      <c r="S340">
        <v>3.0726619999999998</v>
      </c>
      <c r="T340">
        <v>-3.4167290000000003E-2</v>
      </c>
      <c r="U340">
        <v>8.4442139999999999E-2</v>
      </c>
      <c r="V340">
        <v>5.6728019999999997E-2</v>
      </c>
      <c r="W340">
        <v>0.2075554</v>
      </c>
      <c r="X340">
        <v>0.97657700000000003</v>
      </c>
      <c r="Y340">
        <v>-1.949557E-2</v>
      </c>
      <c r="Z340">
        <v>2.7084089999999998E-4</v>
      </c>
      <c r="AA340">
        <v>0.99980990000000003</v>
      </c>
      <c r="AB340">
        <v>29</v>
      </c>
      <c r="AC340">
        <v>100.538799999999</v>
      </c>
      <c r="AD340">
        <v>-1.1210098691007</v>
      </c>
      <c r="AE340">
        <v>2.7687000000000199</v>
      </c>
      <c r="AF340">
        <v>-1.9665453881636099</v>
      </c>
      <c r="AG340">
        <v>-1.1210098691007</v>
      </c>
      <c r="AH340">
        <v>100.545193054549</v>
      </c>
      <c r="AI340">
        <v>90.638659998179506</v>
      </c>
      <c r="AJ340">
        <v>91.120495003527196</v>
      </c>
      <c r="AK340">
        <v>100.570670725947</v>
      </c>
      <c r="AL340">
        <v>78.020868904284598</v>
      </c>
      <c r="AM340">
        <v>86.675502577366402</v>
      </c>
      <c r="AN340">
        <v>0.99999997462563905</v>
      </c>
    </row>
    <row r="341" spans="1:40" x14ac:dyDescent="0.25">
      <c r="A341" t="str">
        <f>"20190303170723407"</f>
        <v>20190303170723407</v>
      </c>
      <c r="B341" t="str">
        <f>"1551604043392748"</f>
        <v>1551604043392748</v>
      </c>
      <c r="C341" t="s">
        <v>40</v>
      </c>
      <c r="D341">
        <v>4.7134</v>
      </c>
      <c r="E341">
        <v>0.49921369999999998</v>
      </c>
      <c r="F341" t="s">
        <v>46</v>
      </c>
      <c r="G341">
        <v>-275.78699999999998</v>
      </c>
      <c r="H341">
        <v>-0.05</v>
      </c>
      <c r="I341">
        <v>370.37909999999999</v>
      </c>
      <c r="J341">
        <v>-378.69459999999998</v>
      </c>
      <c r="K341">
        <v>1.121011</v>
      </c>
      <c r="L341">
        <v>367.67599999999999</v>
      </c>
      <c r="M341">
        <v>0.99987170000000003</v>
      </c>
      <c r="N341">
        <v>-1.4165499999999999E-2</v>
      </c>
      <c r="O341">
        <v>7.4835889999999997E-3</v>
      </c>
      <c r="P341">
        <v>0.97976640000000004</v>
      </c>
      <c r="Q341">
        <v>0.1938028</v>
      </c>
      <c r="R341">
        <v>-4.998271E-2</v>
      </c>
      <c r="S341">
        <v>3.072632</v>
      </c>
      <c r="T341">
        <v>-3.4865979999999998E-2</v>
      </c>
      <c r="U341">
        <v>8.0535889999999999E-2</v>
      </c>
      <c r="V341">
        <v>5.7514089999999997E-2</v>
      </c>
      <c r="W341">
        <v>0.20760110000000001</v>
      </c>
      <c r="X341">
        <v>0.97652130000000004</v>
      </c>
      <c r="Y341">
        <v>-1.871654E-2</v>
      </c>
      <c r="Z341">
        <v>2.5987459999999999E-4</v>
      </c>
      <c r="AA341">
        <v>0.99982479999999996</v>
      </c>
      <c r="AB341">
        <v>29</v>
      </c>
      <c r="AC341">
        <v>102.90759999999899</v>
      </c>
      <c r="AD341">
        <v>-1.171011</v>
      </c>
      <c r="AE341">
        <v>2.7031000000000001</v>
      </c>
      <c r="AF341">
        <v>-1.9325787896795401</v>
      </c>
      <c r="AG341">
        <v>-1.171011</v>
      </c>
      <c r="AH341">
        <v>102.91163211849801</v>
      </c>
      <c r="AI341">
        <v>90.6518142358006</v>
      </c>
      <c r="AJ341">
        <v>91.075831686891206</v>
      </c>
      <c r="AK341">
        <v>102.93643743997301</v>
      </c>
      <c r="AL341">
        <v>78.018192107107097</v>
      </c>
      <c r="AM341">
        <v>86.629349286078096</v>
      </c>
      <c r="AN341">
        <v>0.99999996831171301</v>
      </c>
    </row>
    <row r="342" spans="1:40" x14ac:dyDescent="0.25">
      <c r="A342" t="str">
        <f>"20190303170723431"</f>
        <v>20190303170723431</v>
      </c>
      <c r="B342" t="str">
        <f>"1551604043422029"</f>
        <v>1551604043422029</v>
      </c>
      <c r="C342" t="s">
        <v>40</v>
      </c>
      <c r="D342">
        <v>4.7255019999999996</v>
      </c>
      <c r="E342">
        <v>0.50594929999999905</v>
      </c>
      <c r="F342" t="s">
        <v>44</v>
      </c>
      <c r="G342">
        <v>-158.19499999999999</v>
      </c>
      <c r="H342">
        <v>0.13922979999999999</v>
      </c>
      <c r="I342">
        <v>359.18380000000002</v>
      </c>
      <c r="J342">
        <v>-378.39249999999998</v>
      </c>
      <c r="K342">
        <v>1.121011</v>
      </c>
      <c r="L342">
        <v>367.67759999999998</v>
      </c>
      <c r="M342">
        <v>0.99987539999999997</v>
      </c>
      <c r="N342">
        <v>-1.4162660000000001E-2</v>
      </c>
      <c r="O342">
        <v>6.9687550000000001E-3</v>
      </c>
      <c r="P342">
        <v>0.97977499999999995</v>
      </c>
      <c r="Q342">
        <v>0.1935046</v>
      </c>
      <c r="R342">
        <v>-5.0959749999999998E-2</v>
      </c>
      <c r="S342">
        <v>3.058624</v>
      </c>
      <c r="T342">
        <v>-1.36174E-2</v>
      </c>
      <c r="U342">
        <v>-0.1177979</v>
      </c>
      <c r="V342">
        <v>5.7987080000000003E-2</v>
      </c>
      <c r="W342">
        <v>0.20730029999999999</v>
      </c>
      <c r="X342">
        <v>0.97655729999999996</v>
      </c>
      <c r="Y342">
        <v>4.5445970000000002E-2</v>
      </c>
      <c r="Z342">
        <v>-3.554397E-4</v>
      </c>
      <c r="AA342">
        <v>0.99896680000000004</v>
      </c>
      <c r="AB342">
        <v>29</v>
      </c>
      <c r="AC342">
        <v>220.19749999999999</v>
      </c>
      <c r="AD342">
        <v>-0.98178120000000002</v>
      </c>
      <c r="AE342">
        <v>-8.4937999999999594</v>
      </c>
      <c r="AF342">
        <v>10.028051034420001</v>
      </c>
      <c r="AG342">
        <v>-0.98178120000000002</v>
      </c>
      <c r="AH342">
        <v>220.128585390198</v>
      </c>
      <c r="AI342">
        <v>90.255274744197095</v>
      </c>
      <c r="AJ342">
        <v>87.391669828327096</v>
      </c>
      <c r="AK342">
        <v>220.35907017357701</v>
      </c>
      <c r="AL342">
        <v>78.035810792128899</v>
      </c>
      <c r="AM342">
        <v>86.601819081485203</v>
      </c>
      <c r="AN342">
        <v>1.0000000380051499</v>
      </c>
    </row>
    <row r="343" spans="1:40" x14ac:dyDescent="0.25">
      <c r="A343" t="str">
        <f>"20190303170723454"</f>
        <v>20190303170723454</v>
      </c>
      <c r="B343" t="str">
        <f>"1551604043442525"</f>
        <v>1551604043442525</v>
      </c>
      <c r="C343" t="s">
        <v>40</v>
      </c>
      <c r="D343">
        <v>4.7174160000000001</v>
      </c>
      <c r="E343">
        <v>0.50751539999999995</v>
      </c>
      <c r="F343" t="s">
        <v>44</v>
      </c>
      <c r="G343">
        <v>-169.2955</v>
      </c>
      <c r="H343">
        <v>0.31678489999999998</v>
      </c>
      <c r="I343">
        <v>355.74740000000003</v>
      </c>
      <c r="J343">
        <v>-378.09570000000002</v>
      </c>
      <c r="K343">
        <v>1.1210150000000001</v>
      </c>
      <c r="L343">
        <v>367.67910000000001</v>
      </c>
      <c r="M343">
        <v>0.99987899999999996</v>
      </c>
      <c r="N343">
        <v>-1.4159959999999999E-2</v>
      </c>
      <c r="O343">
        <v>6.4625840000000004E-3</v>
      </c>
      <c r="P343">
        <v>0.9796414</v>
      </c>
      <c r="Q343">
        <v>0.1940586</v>
      </c>
      <c r="R343">
        <v>-5.142559E-2</v>
      </c>
      <c r="S343">
        <v>3.0551759999999999</v>
      </c>
      <c r="T343">
        <v>-1.1749509999999999E-2</v>
      </c>
      <c r="U343">
        <v>-0.17431640000000001</v>
      </c>
      <c r="V343">
        <v>5.7956390000000003E-2</v>
      </c>
      <c r="W343">
        <v>0.20785020000000001</v>
      </c>
      <c r="X343">
        <v>0.97644219999999904</v>
      </c>
      <c r="Y343">
        <v>6.3412469999999999E-2</v>
      </c>
      <c r="Z343">
        <v>-5.0458640000000004E-4</v>
      </c>
      <c r="AA343">
        <v>0.99798730000000002</v>
      </c>
      <c r="AB343">
        <v>29</v>
      </c>
      <c r="AC343">
        <v>208.80019999999999</v>
      </c>
      <c r="AD343">
        <v>-0.80423009999999895</v>
      </c>
      <c r="AE343">
        <v>-11.9316999999999</v>
      </c>
      <c r="AF343">
        <v>13.280778339212</v>
      </c>
      <c r="AG343">
        <v>-0.80423009999999895</v>
      </c>
      <c r="AH343">
        <v>208.71563517910801</v>
      </c>
      <c r="AI343">
        <v>90.220327343847501</v>
      </c>
      <c r="AJ343">
        <v>86.359122523311598</v>
      </c>
      <c r="AK343">
        <v>209.139289057718</v>
      </c>
      <c r="AL343">
        <v>78.003601963834399</v>
      </c>
      <c r="AM343">
        <v>86.603213958990594</v>
      </c>
      <c r="AN343">
        <v>1.0000000093613499</v>
      </c>
    </row>
    <row r="344" spans="1:40" x14ac:dyDescent="0.25">
      <c r="A344" t="str">
        <f>"20190303170723474"</f>
        <v>20190303170723474</v>
      </c>
      <c r="B344" t="str">
        <f>"1551604043462044"</f>
        <v>1551604043462044</v>
      </c>
      <c r="C344" t="s">
        <v>40</v>
      </c>
      <c r="D344">
        <v>4.8327239999999998</v>
      </c>
      <c r="E344">
        <v>0.50814490000000001</v>
      </c>
      <c r="F344" t="s">
        <v>44</v>
      </c>
      <c r="G344">
        <v>-169.2955</v>
      </c>
      <c r="H344">
        <v>0.47108840000000002</v>
      </c>
      <c r="I344">
        <v>354.81549999999999</v>
      </c>
      <c r="J344">
        <v>-377.82589999999999</v>
      </c>
      <c r="K344">
        <v>1.1210169999999999</v>
      </c>
      <c r="L344">
        <v>367.68029999999999</v>
      </c>
      <c r="M344">
        <v>0.99988189999999999</v>
      </c>
      <c r="N344">
        <v>-1.4157390000000001E-2</v>
      </c>
      <c r="O344">
        <v>6.0033839999999996E-3</v>
      </c>
      <c r="P344">
        <v>0.97957490000000003</v>
      </c>
      <c r="Q344">
        <v>0.1943078</v>
      </c>
      <c r="R344">
        <v>-5.1751360000000003E-2</v>
      </c>
      <c r="S344">
        <v>3.0543819999999999</v>
      </c>
      <c r="T344">
        <v>-9.5059870000000005E-3</v>
      </c>
      <c r="U344">
        <v>-0.18817139999999999</v>
      </c>
      <c r="V344">
        <v>5.7831889999999997E-2</v>
      </c>
      <c r="W344">
        <v>0.208096</v>
      </c>
      <c r="X344">
        <v>0.97639719999999997</v>
      </c>
      <c r="Y344">
        <v>6.7479780000000003E-2</v>
      </c>
      <c r="Z344">
        <v>-5.1681239999999999E-4</v>
      </c>
      <c r="AA344">
        <v>0.99772050000000001</v>
      </c>
      <c r="AB344">
        <v>29</v>
      </c>
      <c r="AC344">
        <v>208.53039999999999</v>
      </c>
      <c r="AD344">
        <v>-0.64992859999999997</v>
      </c>
      <c r="AE344">
        <v>-12.864800000000001</v>
      </c>
      <c r="AF344">
        <v>14.1164448838701</v>
      </c>
      <c r="AG344">
        <v>-0.64992859999999997</v>
      </c>
      <c r="AH344">
        <v>208.44738421225901</v>
      </c>
      <c r="AI344">
        <v>90.178236569789505</v>
      </c>
      <c r="AJ344">
        <v>86.125738706644995</v>
      </c>
      <c r="AK344">
        <v>208.92584428039899</v>
      </c>
      <c r="AL344">
        <v>77.989203511665494</v>
      </c>
      <c r="AM344">
        <v>86.610337940998306</v>
      </c>
      <c r="AN344">
        <v>0.99999998244240496</v>
      </c>
    </row>
    <row r="345" spans="1:40" x14ac:dyDescent="0.25">
      <c r="A345" t="str">
        <f>"20190303170723496"</f>
        <v>20190303170723496</v>
      </c>
      <c r="B345" t="str">
        <f>"1551604043482540"</f>
        <v>1551604043482540</v>
      </c>
      <c r="C345" t="s">
        <v>40</v>
      </c>
      <c r="D345">
        <v>4.7784740000000001</v>
      </c>
      <c r="E345">
        <v>0.50849909999999998</v>
      </c>
      <c r="F345" t="s">
        <v>44</v>
      </c>
      <c r="G345">
        <v>-169.2955</v>
      </c>
      <c r="H345">
        <v>0.57970519999999903</v>
      </c>
      <c r="I345">
        <v>354.42270000000002</v>
      </c>
      <c r="J345">
        <v>-377.55419999999998</v>
      </c>
      <c r="K345">
        <v>1.121022</v>
      </c>
      <c r="L345">
        <v>367.6814</v>
      </c>
      <c r="M345">
        <v>0.99988449999999995</v>
      </c>
      <c r="N345">
        <v>-1.4154770000000001E-2</v>
      </c>
      <c r="O345">
        <v>5.5421610000000003E-3</v>
      </c>
      <c r="P345">
        <v>0.97960119999999895</v>
      </c>
      <c r="Q345">
        <v>0.19418099999999999</v>
      </c>
      <c r="R345">
        <v>-5.172823E-2</v>
      </c>
      <c r="S345">
        <v>3.053833</v>
      </c>
      <c r="T345">
        <v>-7.9259869999999902E-3</v>
      </c>
      <c r="U345">
        <v>-0.19415279999999999</v>
      </c>
      <c r="V345">
        <v>5.7356629999999999E-2</v>
      </c>
      <c r="W345">
        <v>0.20796870000000001</v>
      </c>
      <c r="X345">
        <v>0.9764524</v>
      </c>
      <c r="Y345">
        <v>6.897739E-2</v>
      </c>
      <c r="Z345">
        <v>-5.1412389999999999E-4</v>
      </c>
      <c r="AA345">
        <v>0.99761809999999995</v>
      </c>
      <c r="AB345">
        <v>29</v>
      </c>
      <c r="AC345">
        <v>208.2587</v>
      </c>
      <c r="AD345">
        <v>-0.54131680000000004</v>
      </c>
      <c r="AE345">
        <v>-13.2586999999999</v>
      </c>
      <c r="AF345">
        <v>14.412718191894999</v>
      </c>
      <c r="AG345">
        <v>-0.54131680000000004</v>
      </c>
      <c r="AH345">
        <v>208.18061092200699</v>
      </c>
      <c r="AI345">
        <v>90.148625926849704</v>
      </c>
      <c r="AJ345">
        <v>86.039629454800604</v>
      </c>
      <c r="AK345">
        <v>208.67962582249601</v>
      </c>
      <c r="AL345">
        <v>77.996660941477202</v>
      </c>
      <c r="AM345">
        <v>86.638319497759099</v>
      </c>
      <c r="AN345">
        <v>1.0000000263252</v>
      </c>
    </row>
    <row r="346" spans="1:40" x14ac:dyDescent="0.25">
      <c r="A346" t="str">
        <f>"20190303170723517"</f>
        <v>20190303170723517</v>
      </c>
      <c r="B346" t="str">
        <f>"1551604043502061"</f>
        <v>1551604043502061</v>
      </c>
      <c r="C346" t="s">
        <v>40</v>
      </c>
      <c r="D346">
        <v>4.5768110000000002</v>
      </c>
      <c r="E346">
        <v>0.50881679999999996</v>
      </c>
      <c r="F346" t="s">
        <v>44</v>
      </c>
      <c r="G346">
        <v>-169.2955</v>
      </c>
      <c r="H346">
        <v>0.60398200000000002</v>
      </c>
      <c r="I346">
        <v>354.24430000000001</v>
      </c>
      <c r="J346">
        <v>-377.26940000000002</v>
      </c>
      <c r="K346">
        <v>1.1210119999999999</v>
      </c>
      <c r="L346">
        <v>367.6825</v>
      </c>
      <c r="M346">
        <v>0.99988719999999998</v>
      </c>
      <c r="N346">
        <v>-1.4152079999999999E-2</v>
      </c>
      <c r="O346">
        <v>5.0593690000000002E-3</v>
      </c>
      <c r="P346">
        <v>0.97974410000000001</v>
      </c>
      <c r="Q346">
        <v>0.1934633</v>
      </c>
      <c r="R346">
        <v>-5.1708959999999998E-2</v>
      </c>
      <c r="S346">
        <v>3.0535890000000001</v>
      </c>
      <c r="T346">
        <v>-7.5798030000000004E-3</v>
      </c>
      <c r="U346">
        <v>-0.19702149999999999</v>
      </c>
      <c r="V346">
        <v>5.6864190000000002E-2</v>
      </c>
      <c r="W346">
        <v>0.2072513</v>
      </c>
      <c r="X346">
        <v>0.97663370000000005</v>
      </c>
      <c r="Y346">
        <v>6.9434179999999998E-2</v>
      </c>
      <c r="Z346">
        <v>-5.189646E-4</v>
      </c>
      <c r="AA346">
        <v>0.99758639999999998</v>
      </c>
      <c r="AB346">
        <v>29</v>
      </c>
      <c r="AC346">
        <v>207.97389999999999</v>
      </c>
      <c r="AD346">
        <v>-0.51702999999999999</v>
      </c>
      <c r="AE346">
        <v>-13.438199999999901</v>
      </c>
      <c r="AF346">
        <v>14.4902607262537</v>
      </c>
      <c r="AG346">
        <v>-0.51702999999999999</v>
      </c>
      <c r="AH346">
        <v>207.90196249537601</v>
      </c>
      <c r="AI346">
        <v>90.142143368273906</v>
      </c>
      <c r="AJ346">
        <v>86.013071126928097</v>
      </c>
      <c r="AK346">
        <v>208.406960021408</v>
      </c>
      <c r="AL346">
        <v>78.038680279112896</v>
      </c>
      <c r="AM346">
        <v>86.667733448856396</v>
      </c>
      <c r="AN346">
        <v>1.00000001071586</v>
      </c>
    </row>
    <row r="347" spans="1:40" x14ac:dyDescent="0.25">
      <c r="A347" t="str">
        <f>"20190303170723542"</f>
        <v>20190303170723542</v>
      </c>
      <c r="B347" t="str">
        <f>"1551604043532317"</f>
        <v>1551604043532317</v>
      </c>
      <c r="C347" t="s">
        <v>40</v>
      </c>
      <c r="D347">
        <v>4.8307989999999998</v>
      </c>
      <c r="E347">
        <v>0.50897119999999996</v>
      </c>
      <c r="F347" t="s">
        <v>44</v>
      </c>
      <c r="G347">
        <v>-169.2955</v>
      </c>
      <c r="H347">
        <v>0.56986619999999999</v>
      </c>
      <c r="I347">
        <v>354.04320000000001</v>
      </c>
      <c r="J347">
        <v>-376.96859999999998</v>
      </c>
      <c r="K347">
        <v>1.12101299999999</v>
      </c>
      <c r="L347">
        <v>367.68340000000001</v>
      </c>
      <c r="M347">
        <v>0.99988960000000005</v>
      </c>
      <c r="N347">
        <v>-1.414924E-2</v>
      </c>
      <c r="O347">
        <v>4.5501750000000001E-3</v>
      </c>
      <c r="P347">
        <v>0.97973849999999996</v>
      </c>
      <c r="Q347">
        <v>0.19345570000000001</v>
      </c>
      <c r="R347">
        <v>-5.1845670000000003E-2</v>
      </c>
      <c r="S347">
        <v>3.05307</v>
      </c>
      <c r="T347">
        <v>-8.0895419999999999E-3</v>
      </c>
      <c r="U347">
        <v>-0.20022580000000001</v>
      </c>
      <c r="V347">
        <v>5.6501250000000003E-2</v>
      </c>
      <c r="W347">
        <v>0.2072415</v>
      </c>
      <c r="X347">
        <v>0.97665690000000005</v>
      </c>
      <c r="Y347">
        <v>6.9979559999999996E-2</v>
      </c>
      <c r="Z347">
        <v>-5.3598090000000001E-4</v>
      </c>
      <c r="AA347">
        <v>0.99754830000000005</v>
      </c>
      <c r="AB347">
        <v>29</v>
      </c>
      <c r="AC347">
        <v>207.67310000000001</v>
      </c>
      <c r="AD347">
        <v>-0.55114679999999905</v>
      </c>
      <c r="AE347">
        <v>-13.640199999999901</v>
      </c>
      <c r="AF347">
        <v>14.5849999786833</v>
      </c>
      <c r="AG347">
        <v>-0.55114679999999905</v>
      </c>
      <c r="AH347">
        <v>207.607422256701</v>
      </c>
      <c r="AI347">
        <v>90.151731917804796</v>
      </c>
      <c r="AJ347">
        <v>85.981414318980697</v>
      </c>
      <c r="AK347">
        <v>208.11983990779299</v>
      </c>
      <c r="AL347">
        <v>78.039254903407297</v>
      </c>
      <c r="AM347">
        <v>86.689032898932396</v>
      </c>
      <c r="AN347">
        <v>1.0000000654457</v>
      </c>
    </row>
    <row r="348" spans="1:40" x14ac:dyDescent="0.25">
      <c r="A348" t="str">
        <f>"20190303170723563"</f>
        <v>20190303170723563</v>
      </c>
      <c r="B348" t="str">
        <f>"1551604043552813"</f>
        <v>1551604043552813</v>
      </c>
      <c r="C348" t="s">
        <v>40</v>
      </c>
      <c r="D348">
        <v>4.4350360000000002</v>
      </c>
      <c r="E348">
        <v>0.50897219999999999</v>
      </c>
      <c r="F348" t="s">
        <v>44</v>
      </c>
      <c r="G348">
        <v>-169.2955</v>
      </c>
      <c r="H348">
        <v>0.67047599999999996</v>
      </c>
      <c r="I348">
        <v>354.02530000000002</v>
      </c>
      <c r="J348">
        <v>-376.69209999999998</v>
      </c>
      <c r="K348">
        <v>1.1210180000000001</v>
      </c>
      <c r="L348">
        <v>367.68419999999998</v>
      </c>
      <c r="M348">
        <v>0.99989159999999999</v>
      </c>
      <c r="N348">
        <v>-1.414661E-2</v>
      </c>
      <c r="O348">
        <v>4.0825810000000001E-3</v>
      </c>
      <c r="P348">
        <v>0.97976300000000005</v>
      </c>
      <c r="Q348">
        <v>0.19320999999999999</v>
      </c>
      <c r="R348">
        <v>-5.2292890000000002E-2</v>
      </c>
      <c r="S348">
        <v>3.0527950000000001</v>
      </c>
      <c r="T348">
        <v>-6.6215989999999997E-3</v>
      </c>
      <c r="U348">
        <v>-0.20077510000000001</v>
      </c>
      <c r="V348">
        <v>5.6489879999999999E-2</v>
      </c>
      <c r="W348">
        <v>0.20699419999999999</v>
      </c>
      <c r="X348">
        <v>0.97670990000000002</v>
      </c>
      <c r="Y348">
        <v>6.9697980000000007E-2</v>
      </c>
      <c r="Z348">
        <v>-5.2021499999999998E-4</v>
      </c>
      <c r="AA348">
        <v>0.99756800000000001</v>
      </c>
      <c r="AB348">
        <v>29</v>
      </c>
      <c r="AC348">
        <v>207.39660000000001</v>
      </c>
      <c r="AD348">
        <v>-0.450542</v>
      </c>
      <c r="AE348">
        <v>-13.6588999999999</v>
      </c>
      <c r="AF348">
        <v>14.5055161422921</v>
      </c>
      <c r="AG348">
        <v>-0.450542</v>
      </c>
      <c r="AH348">
        <v>207.33812787061001</v>
      </c>
      <c r="AI348">
        <v>90.124198922494998</v>
      </c>
      <c r="AJ348">
        <v>85.998069025445304</v>
      </c>
      <c r="AK348">
        <v>207.845404701517</v>
      </c>
      <c r="AL348">
        <v>78.053737012066904</v>
      </c>
      <c r="AM348">
        <v>86.689876928000203</v>
      </c>
      <c r="AN348">
        <v>0.99999996706703098</v>
      </c>
    </row>
    <row r="349" spans="1:40" x14ac:dyDescent="0.25">
      <c r="A349" t="str">
        <f>"20190303170723585"</f>
        <v>20190303170723585</v>
      </c>
      <c r="B349" t="str">
        <f>"1551604043572332"</f>
        <v>1551604043572332</v>
      </c>
      <c r="C349" t="s">
        <v>40</v>
      </c>
      <c r="D349">
        <v>4.7761879999999897</v>
      </c>
      <c r="E349">
        <v>0.50911899999999999</v>
      </c>
      <c r="F349" t="s">
        <v>44</v>
      </c>
      <c r="G349">
        <v>-169.2955</v>
      </c>
      <c r="H349">
        <v>0.63188359999999899</v>
      </c>
      <c r="I349">
        <v>353.97919999999999</v>
      </c>
      <c r="J349">
        <v>-376.4153</v>
      </c>
      <c r="K349">
        <v>1.1210169999999999</v>
      </c>
      <c r="L349">
        <v>367.6848</v>
      </c>
      <c r="M349">
        <v>0.99989349999999999</v>
      </c>
      <c r="N349">
        <v>-1.4143940000000001E-2</v>
      </c>
      <c r="O349">
        <v>3.614211E-3</v>
      </c>
      <c r="P349">
        <v>0.97966730000000002</v>
      </c>
      <c r="Q349">
        <v>0.19348589999999999</v>
      </c>
      <c r="R349">
        <v>-5.3061369999999997E-2</v>
      </c>
      <c r="S349">
        <v>3.0526430000000002</v>
      </c>
      <c r="T349">
        <v>-7.198215E-3</v>
      </c>
      <c r="U349">
        <v>-0.20172119999999999</v>
      </c>
      <c r="V349">
        <v>5.6798910000000001E-2</v>
      </c>
      <c r="W349">
        <v>0.20726620000000001</v>
      </c>
      <c r="X349">
        <v>0.97663429999999996</v>
      </c>
      <c r="Y349">
        <v>6.9541720000000001E-2</v>
      </c>
      <c r="Z349">
        <v>-5.3171139999999995E-4</v>
      </c>
      <c r="AA349">
        <v>0.99757890000000005</v>
      </c>
      <c r="AB349">
        <v>29</v>
      </c>
      <c r="AC349">
        <v>207.1198</v>
      </c>
      <c r="AD349">
        <v>-0.4891334</v>
      </c>
      <c r="AE349">
        <v>-13.7056</v>
      </c>
      <c r="AF349">
        <v>14.454079706528001</v>
      </c>
      <c r="AG349">
        <v>-0.4891334</v>
      </c>
      <c r="AH349">
        <v>207.06775727828</v>
      </c>
      <c r="AI349">
        <v>90.135014737851293</v>
      </c>
      <c r="AJ349">
        <v>86.007023910160797</v>
      </c>
      <c r="AK349">
        <v>207.57219412990301</v>
      </c>
      <c r="AL349">
        <v>78.037807188382004</v>
      </c>
      <c r="AM349">
        <v>86.671552320171898</v>
      </c>
      <c r="AN349">
        <v>0.99999997488805803</v>
      </c>
    </row>
    <row r="350" spans="1:40" x14ac:dyDescent="0.25">
      <c r="A350" t="str">
        <f>"20190303170723607"</f>
        <v>20190303170723607</v>
      </c>
      <c r="B350" t="str">
        <f>"1551604043592830"</f>
        <v>1551604043592830</v>
      </c>
      <c r="C350" t="s">
        <v>40</v>
      </c>
      <c r="D350">
        <v>4.6156280000000001</v>
      </c>
      <c r="E350">
        <v>0.50921369999999999</v>
      </c>
      <c r="F350" t="s">
        <v>44</v>
      </c>
      <c r="G350">
        <v>-169.2955</v>
      </c>
      <c r="H350">
        <v>0.72245789999999999</v>
      </c>
      <c r="I350">
        <v>353.74810000000002</v>
      </c>
      <c r="J350">
        <v>-376.12790000000001</v>
      </c>
      <c r="K350">
        <v>1.1210180000000001</v>
      </c>
      <c r="L350">
        <v>367.68529999999998</v>
      </c>
      <c r="M350">
        <v>0.99989499999999998</v>
      </c>
      <c r="N350">
        <v>-1.414111E-2</v>
      </c>
      <c r="O350">
        <v>3.1282599999999999E-3</v>
      </c>
      <c r="P350">
        <v>0.9795992</v>
      </c>
      <c r="Q350">
        <v>0.19347439999999999</v>
      </c>
      <c r="R350">
        <v>-5.4342040000000001E-2</v>
      </c>
      <c r="S350">
        <v>3.0523069999999999</v>
      </c>
      <c r="T350">
        <v>-5.8722499999999999E-3</v>
      </c>
      <c r="U350">
        <v>-0.20538329999999999</v>
      </c>
      <c r="V350">
        <v>5.7602710000000001E-2</v>
      </c>
      <c r="W350">
        <v>0.2072513</v>
      </c>
      <c r="X350">
        <v>0.97659039999999997</v>
      </c>
      <c r="Y350">
        <v>7.0255940000000003E-2</v>
      </c>
      <c r="Z350">
        <v>-5.2666659999999995E-4</v>
      </c>
      <c r="AA350">
        <v>0.99752890000000005</v>
      </c>
      <c r="AB350">
        <v>29</v>
      </c>
      <c r="AC350">
        <v>206.83240000000001</v>
      </c>
      <c r="AD350">
        <v>-0.39856009999999997</v>
      </c>
      <c r="AE350">
        <v>-13.937199999999899</v>
      </c>
      <c r="AF350">
        <v>14.584168183528099</v>
      </c>
      <c r="AG350">
        <v>-0.39856009999999997</v>
      </c>
      <c r="AH350">
        <v>206.787019837922</v>
      </c>
      <c r="AI350">
        <v>90.110157786800599</v>
      </c>
      <c r="AJ350">
        <v>85.965752942445505</v>
      </c>
      <c r="AK350">
        <v>207.30105736635301</v>
      </c>
      <c r="AL350">
        <v>78.038680045401193</v>
      </c>
      <c r="AM350">
        <v>86.624405964782696</v>
      </c>
      <c r="AN350">
        <v>0.99999999146159702</v>
      </c>
    </row>
    <row r="351" spans="1:40" x14ac:dyDescent="0.25">
      <c r="A351" t="str">
        <f>"20190303170723643"</f>
        <v>20190303170723643</v>
      </c>
      <c r="B351" t="str">
        <f>"1551604043632845"</f>
        <v>1551604043632845</v>
      </c>
      <c r="C351" t="s">
        <v>40</v>
      </c>
      <c r="D351">
        <v>4.7695400000000001</v>
      </c>
      <c r="E351">
        <v>0.50931680000000001</v>
      </c>
      <c r="F351" t="s">
        <v>44</v>
      </c>
      <c r="G351">
        <v>-158.78319999999999</v>
      </c>
      <c r="H351">
        <v>0.69289209999999901</v>
      </c>
      <c r="I351">
        <v>352.75290000000001</v>
      </c>
      <c r="J351">
        <v>-375.67529999999999</v>
      </c>
      <c r="K351">
        <v>1.121014</v>
      </c>
      <c r="L351">
        <v>367.68579999999997</v>
      </c>
      <c r="M351">
        <v>0.99989720000000004</v>
      </c>
      <c r="N351">
        <v>-1.4131909999999999E-2</v>
      </c>
      <c r="O351">
        <v>2.3643959999999999E-3</v>
      </c>
      <c r="P351">
        <v>0.97992829999999997</v>
      </c>
      <c r="Q351">
        <v>0.19099720000000001</v>
      </c>
      <c r="R351">
        <v>-5.7103220000000003E-2</v>
      </c>
      <c r="S351">
        <v>3.0520320000000001</v>
      </c>
      <c r="T351">
        <v>-6.0106519999999896E-3</v>
      </c>
      <c r="U351">
        <v>-0.20968629999999999</v>
      </c>
      <c r="V351">
        <v>5.9612890000000002E-2</v>
      </c>
      <c r="W351">
        <v>0.20476839999999999</v>
      </c>
      <c r="X351">
        <v>0.97699340000000001</v>
      </c>
      <c r="Y351">
        <v>7.0899829999999997E-2</v>
      </c>
      <c r="Z351">
        <v>-5.4260210000000003E-4</v>
      </c>
      <c r="AA351">
        <v>0.99748329999999996</v>
      </c>
      <c r="AB351">
        <v>28</v>
      </c>
      <c r="AC351">
        <v>216.8921</v>
      </c>
      <c r="AD351">
        <v>-0.4281219</v>
      </c>
      <c r="AE351">
        <v>-14.932899999999901</v>
      </c>
      <c r="AF351">
        <v>15.4456684580455</v>
      </c>
      <c r="AG351">
        <v>-0.4281219</v>
      </c>
      <c r="AH351">
        <v>216.855341866678</v>
      </c>
      <c r="AI351">
        <v>90.1128289551271</v>
      </c>
      <c r="AJ351">
        <v>85.925949391325403</v>
      </c>
      <c r="AK351">
        <v>217.405131628926</v>
      </c>
      <c r="AL351">
        <v>78.184057643873601</v>
      </c>
      <c r="AM351">
        <v>86.508330878338001</v>
      </c>
      <c r="AN351">
        <v>0.99999994896813404</v>
      </c>
    </row>
    <row r="352" spans="1:40" x14ac:dyDescent="0.25">
      <c r="A352" t="str">
        <f>"20190303170723664"</f>
        <v>20190303170723664</v>
      </c>
      <c r="B352" t="str">
        <f>"1551604043652364"</f>
        <v>1551604043652364</v>
      </c>
      <c r="C352" t="s">
        <v>40</v>
      </c>
      <c r="D352">
        <v>4.7586300000000001</v>
      </c>
      <c r="E352">
        <v>0.52318819999999999</v>
      </c>
      <c r="F352" t="s">
        <v>44</v>
      </c>
      <c r="G352">
        <v>-158.78319999999999</v>
      </c>
      <c r="H352">
        <v>0.1306515</v>
      </c>
      <c r="I352">
        <v>352.14589999999998</v>
      </c>
      <c r="J352">
        <v>-375.41199999999998</v>
      </c>
      <c r="K352">
        <v>1.1210100000000001</v>
      </c>
      <c r="L352">
        <v>367.6859</v>
      </c>
      <c r="M352">
        <v>0.99989859999999997</v>
      </c>
      <c r="N352">
        <v>-1.411857E-2</v>
      </c>
      <c r="O352">
        <v>1.9221749999999999E-3</v>
      </c>
      <c r="P352">
        <v>0.98007840000000002</v>
      </c>
      <c r="Q352">
        <v>0.18993950000000001</v>
      </c>
      <c r="R352">
        <v>-5.8044970000000001E-2</v>
      </c>
      <c r="S352">
        <v>3.0514220000000001</v>
      </c>
      <c r="T352">
        <v>-1.393199E-2</v>
      </c>
      <c r="U352">
        <v>-0.21862789999999999</v>
      </c>
      <c r="V352">
        <v>6.0119800000000001E-2</v>
      </c>
      <c r="W352">
        <v>0.2037004</v>
      </c>
      <c r="X352">
        <v>0.97718559999999999</v>
      </c>
      <c r="Y352">
        <v>7.3378799999999994E-2</v>
      </c>
      <c r="Z352">
        <v>-6.6766099999999995E-4</v>
      </c>
      <c r="AA352">
        <v>0.99730390000000002</v>
      </c>
      <c r="AB352">
        <v>28</v>
      </c>
      <c r="AC352">
        <v>216.62880000000001</v>
      </c>
      <c r="AD352">
        <v>-0.99035849999999903</v>
      </c>
      <c r="AE352">
        <v>-15.54</v>
      </c>
      <c r="AF352">
        <v>15.956079427766801</v>
      </c>
      <c r="AG352">
        <v>-0.99035849999999903</v>
      </c>
      <c r="AH352">
        <v>216.594022447524</v>
      </c>
      <c r="AI352">
        <v>90.261270464808007</v>
      </c>
      <c r="AJ352">
        <v>85.786737106091394</v>
      </c>
      <c r="AK352">
        <v>217.183212612445</v>
      </c>
      <c r="AL352">
        <v>78.246567368542898</v>
      </c>
      <c r="AM352">
        <v>86.479405194236406</v>
      </c>
      <c r="AN352">
        <v>0.99999997007977903</v>
      </c>
    </row>
    <row r="353" spans="1:40" x14ac:dyDescent="0.25">
      <c r="A353" t="str">
        <f>"20190303170723685"</f>
        <v>20190303170723685</v>
      </c>
      <c r="B353" t="str">
        <f>"1551604043672860"</f>
        <v>1551604043672860</v>
      </c>
      <c r="C353" t="s">
        <v>40</v>
      </c>
      <c r="D353">
        <v>4.7171159999999999</v>
      </c>
      <c r="E353">
        <v>0.53134780000000004</v>
      </c>
      <c r="F353" t="s">
        <v>43</v>
      </c>
      <c r="G353">
        <v>-359.35059999999999</v>
      </c>
      <c r="H353" s="1">
        <v>-1.169149E-6</v>
      </c>
      <c r="I353">
        <v>366.00049999999999</v>
      </c>
      <c r="J353">
        <v>-375.13479999999998</v>
      </c>
      <c r="K353">
        <v>1.121011</v>
      </c>
      <c r="L353">
        <v>367.6859</v>
      </c>
      <c r="M353">
        <v>0.9998996</v>
      </c>
      <c r="N353">
        <v>-1.409823E-2</v>
      </c>
      <c r="O353">
        <v>1.462936E-3</v>
      </c>
      <c r="P353">
        <v>0.97981960000000001</v>
      </c>
      <c r="Q353">
        <v>0.19108729999999999</v>
      </c>
      <c r="R353">
        <v>-5.8648579999999999E-2</v>
      </c>
      <c r="S353">
        <v>3.0835569999999999</v>
      </c>
      <c r="T353">
        <v>-0.2152154</v>
      </c>
      <c r="U353">
        <v>-0.32354739999999999</v>
      </c>
      <c r="V353">
        <v>6.0271579999999998E-2</v>
      </c>
      <c r="W353">
        <v>0.20482539999999999</v>
      </c>
      <c r="X353">
        <v>0.97694110000000001</v>
      </c>
      <c r="Y353">
        <v>0.10550080000000001</v>
      </c>
      <c r="Z353">
        <v>-4.495181E-3</v>
      </c>
      <c r="AA353">
        <v>0.99440910000000005</v>
      </c>
      <c r="AB353">
        <v>28</v>
      </c>
      <c r="AC353">
        <v>15.784199999999901</v>
      </c>
      <c r="AD353">
        <v>-1.121012169149</v>
      </c>
      <c r="AE353">
        <v>-1.68540000000001</v>
      </c>
      <c r="AF353">
        <v>1.70001355171846</v>
      </c>
      <c r="AG353">
        <v>-1.121012169149</v>
      </c>
      <c r="AH353">
        <v>15.7034020985339</v>
      </c>
      <c r="AI353">
        <v>94.059583746865499</v>
      </c>
      <c r="AJ353">
        <v>83.821355385377103</v>
      </c>
      <c r="AK353">
        <v>15.8348840168675</v>
      </c>
      <c r="AL353">
        <v>78.180721799768406</v>
      </c>
      <c r="AM353">
        <v>86.469658361641905</v>
      </c>
      <c r="AN353">
        <v>1.0000000103550299</v>
      </c>
    </row>
    <row r="354" spans="1:40" x14ac:dyDescent="0.25">
      <c r="A354" t="str">
        <f>"20190303170723709"</f>
        <v>20190303170723709</v>
      </c>
      <c r="B354" t="str">
        <f>"1551604043702141"</f>
        <v>1551604043702141</v>
      </c>
      <c r="C354" t="s">
        <v>40</v>
      </c>
      <c r="D354">
        <v>4.7126070000000002</v>
      </c>
      <c r="E354">
        <v>0.53520659999999998</v>
      </c>
      <c r="F354" t="s">
        <v>47</v>
      </c>
      <c r="G354">
        <v>-374.36829999999998</v>
      </c>
      <c r="H354">
        <v>1.0316620000000001</v>
      </c>
      <c r="I354">
        <v>367.59120000000001</v>
      </c>
      <c r="J354">
        <v>-374.83370000000002</v>
      </c>
      <c r="K354">
        <v>1.121014</v>
      </c>
      <c r="L354">
        <v>367.68579999999997</v>
      </c>
      <c r="M354">
        <v>0.99990049999999997</v>
      </c>
      <c r="N354">
        <v>-1.407166E-2</v>
      </c>
      <c r="O354">
        <v>9.7892310000000007E-4</v>
      </c>
      <c r="P354">
        <v>0.97965970000000002</v>
      </c>
      <c r="Q354">
        <v>0.191691</v>
      </c>
      <c r="R354">
        <v>-5.9343170000000001E-2</v>
      </c>
      <c r="S354">
        <v>3.1095280000000001</v>
      </c>
      <c r="T354">
        <v>-0.3624713</v>
      </c>
      <c r="U354">
        <v>-0.3839417</v>
      </c>
      <c r="V354">
        <v>6.0487770000000003E-2</v>
      </c>
      <c r="W354">
        <v>0.20540169999999999</v>
      </c>
      <c r="X354">
        <v>0.97680670000000003</v>
      </c>
      <c r="Y354">
        <v>0.1225904</v>
      </c>
      <c r="Z354">
        <v>-8.062952E-3</v>
      </c>
      <c r="AA354">
        <v>0.99242459999999999</v>
      </c>
      <c r="AB354">
        <v>28</v>
      </c>
      <c r="AC354">
        <v>0.465400000000045</v>
      </c>
      <c r="AD354">
        <v>-8.9351999999999807E-2</v>
      </c>
      <c r="AE354">
        <v>-9.4599999999957093E-2</v>
      </c>
      <c r="AF354">
        <v>9.1805889957086995E-2</v>
      </c>
      <c r="AG354">
        <v>-8.9351999999999807E-2</v>
      </c>
      <c r="AH354">
        <v>0.44939953362093299</v>
      </c>
      <c r="AI354">
        <v>101.02328241258201</v>
      </c>
      <c r="AJ354">
        <v>78.454156120174602</v>
      </c>
      <c r="AK354">
        <v>0.467302944730209</v>
      </c>
      <c r="AL354">
        <v>78.146984556852402</v>
      </c>
      <c r="AM354">
        <v>86.456541228169797</v>
      </c>
      <c r="AN354">
        <v>0.99999997892367598</v>
      </c>
    </row>
    <row r="355" spans="1:40" x14ac:dyDescent="0.25">
      <c r="A355" t="str">
        <f>"20190303170723731"</f>
        <v>20190303170723731</v>
      </c>
      <c r="B355" t="str">
        <f>"1551604043722636"</f>
        <v>1551604043722636</v>
      </c>
      <c r="C355" t="s">
        <v>40</v>
      </c>
      <c r="D355">
        <v>4.7091240000000001</v>
      </c>
      <c r="E355">
        <v>0.53648240000000003</v>
      </c>
      <c r="F355" t="s">
        <v>47</v>
      </c>
      <c r="G355">
        <v>-373.89179999999999</v>
      </c>
      <c r="H355">
        <v>0.97029480000000001</v>
      </c>
      <c r="I355">
        <v>367.56299999999999</v>
      </c>
      <c r="J355">
        <v>-374.5548</v>
      </c>
      <c r="K355">
        <v>1.1210260000000001</v>
      </c>
      <c r="L355">
        <v>367.68549999999999</v>
      </c>
      <c r="M355">
        <v>0.99990120000000005</v>
      </c>
      <c r="N355">
        <v>-1.4046690000000001E-2</v>
      </c>
      <c r="O355">
        <v>5.5497839999999897E-4</v>
      </c>
      <c r="P355">
        <v>0.97975950000000001</v>
      </c>
      <c r="Q355">
        <v>0.1909952</v>
      </c>
      <c r="R355">
        <v>-5.9937129999999998E-2</v>
      </c>
      <c r="S355">
        <v>3.1357119999999998</v>
      </c>
      <c r="T355">
        <v>-0.50181279999999995</v>
      </c>
      <c r="U355">
        <v>-0.4084778</v>
      </c>
      <c r="V355">
        <v>6.0657500000000003E-2</v>
      </c>
      <c r="W355">
        <v>0.20468629999999999</v>
      </c>
      <c r="X355">
        <v>0.97694639999999999</v>
      </c>
      <c r="Y355">
        <v>0.1279739</v>
      </c>
      <c r="Z355">
        <v>-1.1122089999999999E-2</v>
      </c>
      <c r="AA355">
        <v>0.99171520000000002</v>
      </c>
      <c r="AB355">
        <v>28</v>
      </c>
      <c r="AC355">
        <v>0.66300000000001003</v>
      </c>
      <c r="AD355">
        <v>-0.15073120000000001</v>
      </c>
      <c r="AE355">
        <v>-0.122499999999945</v>
      </c>
      <c r="AF355">
        <v>0.117019286591552</v>
      </c>
      <c r="AG355">
        <v>-0.15073120000000001</v>
      </c>
      <c r="AH355">
        <v>0.63137545064610601</v>
      </c>
      <c r="AI355">
        <v>103.210268541063</v>
      </c>
      <c r="AJ355">
        <v>79.499933008588798</v>
      </c>
      <c r="AK355">
        <v>0.65958196440352201</v>
      </c>
      <c r="AL355">
        <v>78.188864522331301</v>
      </c>
      <c r="AM355">
        <v>86.447130465188195</v>
      </c>
      <c r="AN355">
        <v>1.00000004109344</v>
      </c>
    </row>
    <row r="356" spans="1:40" x14ac:dyDescent="0.25">
      <c r="A356" t="str">
        <f>"20190303170723753"</f>
        <v>20190303170723753</v>
      </c>
      <c r="B356" t="str">
        <f>"1551604043742156"</f>
        <v>1551604043742156</v>
      </c>
      <c r="C356" t="s">
        <v>40</v>
      </c>
      <c r="D356">
        <v>4.7224760000000003</v>
      </c>
      <c r="E356">
        <v>0.5370298</v>
      </c>
      <c r="F356" t="s">
        <v>47</v>
      </c>
      <c r="G356">
        <v>-373.64359999999999</v>
      </c>
      <c r="H356">
        <v>0.9611459</v>
      </c>
      <c r="I356">
        <v>367.56420000000003</v>
      </c>
      <c r="J356">
        <v>-374.27940000000001</v>
      </c>
      <c r="K356">
        <v>1.121032</v>
      </c>
      <c r="L356">
        <v>367.68520000000001</v>
      </c>
      <c r="M356">
        <v>0.9999017</v>
      </c>
      <c r="N356">
        <v>-1.4023580000000001E-2</v>
      </c>
      <c r="O356">
        <v>1.573546E-4</v>
      </c>
      <c r="P356">
        <v>0.9799639</v>
      </c>
      <c r="Q356">
        <v>0.18994159999999999</v>
      </c>
      <c r="R356">
        <v>-5.9941979999999999E-2</v>
      </c>
      <c r="S356">
        <v>3.144012</v>
      </c>
      <c r="T356">
        <v>-0.55175090000000004</v>
      </c>
      <c r="U356">
        <v>-0.41705320000000001</v>
      </c>
      <c r="V356">
        <v>6.0262709999999997E-2</v>
      </c>
      <c r="W356">
        <v>0.2036164</v>
      </c>
      <c r="X356">
        <v>0.97719429999999996</v>
      </c>
      <c r="Y356">
        <v>0.1295463</v>
      </c>
      <c r="Z356">
        <v>-1.217771E-2</v>
      </c>
      <c r="AA356">
        <v>0.99149860000000001</v>
      </c>
      <c r="AB356">
        <v>28</v>
      </c>
      <c r="AC356">
        <v>0.63580000000001702</v>
      </c>
      <c r="AD356">
        <v>-0.159886099999999</v>
      </c>
      <c r="AE356">
        <v>-0.12099999999998</v>
      </c>
      <c r="AF356">
        <v>0.114134646487399</v>
      </c>
      <c r="AG356">
        <v>-0.159886099999999</v>
      </c>
      <c r="AH356">
        <v>0.59921223303038096</v>
      </c>
      <c r="AI356">
        <v>104.687648691908</v>
      </c>
      <c r="AJ356">
        <v>79.2157959669901</v>
      </c>
      <c r="AK356">
        <v>0.63059145467986599</v>
      </c>
      <c r="AL356">
        <v>78.251483195454</v>
      </c>
      <c r="AM356">
        <v>86.471088896472196</v>
      </c>
      <c r="AN356">
        <v>0.99999996625899601</v>
      </c>
    </row>
    <row r="357" spans="1:40" x14ac:dyDescent="0.25">
      <c r="A357" t="str">
        <f>"20190303170723774"</f>
        <v>20190303170723774</v>
      </c>
      <c r="B357" t="str">
        <f>"1551604043762652"</f>
        <v>1551604043762652</v>
      </c>
      <c r="C357" t="s">
        <v>40</v>
      </c>
      <c r="D357">
        <v>4.7251149999999997</v>
      </c>
      <c r="E357">
        <v>0.537271099999999</v>
      </c>
      <c r="F357" t="s">
        <v>47</v>
      </c>
      <c r="G357">
        <v>-373.39339999999999</v>
      </c>
      <c r="H357">
        <v>0.95701150000000001</v>
      </c>
      <c r="I357">
        <v>367.56670000000003</v>
      </c>
      <c r="J357">
        <v>-374.0129</v>
      </c>
      <c r="K357">
        <v>1.1210500000000001</v>
      </c>
      <c r="L357">
        <v>367.6848</v>
      </c>
      <c r="M357">
        <v>0.99990199999999996</v>
      </c>
      <c r="N357">
        <v>-1.400231E-2</v>
      </c>
      <c r="O357">
        <v>-2.0018060000000001E-4</v>
      </c>
      <c r="P357">
        <v>0.97984990000000005</v>
      </c>
      <c r="Q357">
        <v>0.19044420000000001</v>
      </c>
      <c r="R357">
        <v>-6.0207110000000001E-2</v>
      </c>
      <c r="S357">
        <v>3.1487120000000002</v>
      </c>
      <c r="T357">
        <v>-0.58296840000000005</v>
      </c>
      <c r="U357">
        <v>-0.42004390000000003</v>
      </c>
      <c r="V357">
        <v>6.0167159999999997E-2</v>
      </c>
      <c r="W357">
        <v>0.2041</v>
      </c>
      <c r="X357">
        <v>0.9770993</v>
      </c>
      <c r="Y357">
        <v>0.12969990000000001</v>
      </c>
      <c r="Z357">
        <v>-1.2740659999999999E-2</v>
      </c>
      <c r="AA357">
        <v>0.9914714</v>
      </c>
      <c r="AB357">
        <v>28</v>
      </c>
      <c r="AC357">
        <v>0.61950000000001604</v>
      </c>
      <c r="AD357">
        <v>-0.1640385</v>
      </c>
      <c r="AE357">
        <v>-0.11809999999996899</v>
      </c>
      <c r="AF357">
        <v>0.110499998642189</v>
      </c>
      <c r="AG357">
        <v>-0.1640385</v>
      </c>
      <c r="AH357">
        <v>0.58026527199589595</v>
      </c>
      <c r="AI357">
        <v>105.52025271863801</v>
      </c>
      <c r="AJ357">
        <v>79.2182481175563</v>
      </c>
      <c r="AK357">
        <v>0.61304703332341803</v>
      </c>
      <c r="AL357">
        <v>78.223180652943697</v>
      </c>
      <c r="AM357">
        <v>86.476328384124102</v>
      </c>
      <c r="AN357">
        <v>0.99999996960147697</v>
      </c>
    </row>
    <row r="358" spans="1:40" x14ac:dyDescent="0.25">
      <c r="A358" t="str">
        <f>"20190303170723797"</f>
        <v>20190303170723797</v>
      </c>
      <c r="B358" t="str">
        <f>"1551604043792909"</f>
        <v>1551604043792909</v>
      </c>
      <c r="C358" t="s">
        <v>40</v>
      </c>
      <c r="D358">
        <v>4.7577749999999996</v>
      </c>
      <c r="E358">
        <v>0.53801339999999997</v>
      </c>
      <c r="F358" t="s">
        <v>47</v>
      </c>
      <c r="G358">
        <v>-373.14229999999998</v>
      </c>
      <c r="H358">
        <v>0.95498839999999996</v>
      </c>
      <c r="I358">
        <v>367.56799999999998</v>
      </c>
      <c r="J358">
        <v>-373.72649999999999</v>
      </c>
      <c r="K358">
        <v>1.121086</v>
      </c>
      <c r="L358">
        <v>367.68439999999998</v>
      </c>
      <c r="M358">
        <v>0.99990219999999996</v>
      </c>
      <c r="N358">
        <v>-1.398084E-2</v>
      </c>
      <c r="O358">
        <v>-5.4221209999999996E-4</v>
      </c>
      <c r="P358">
        <v>0.97969410000000001</v>
      </c>
      <c r="Q358">
        <v>0.19108629999999999</v>
      </c>
      <c r="R358">
        <v>-6.071124E-2</v>
      </c>
      <c r="S358">
        <v>3.152679</v>
      </c>
      <c r="T358">
        <v>-0.60141499999999903</v>
      </c>
      <c r="U358">
        <v>-0.42163089999999998</v>
      </c>
      <c r="V358">
        <v>6.0321890000000003E-2</v>
      </c>
      <c r="W358">
        <v>0.20472319999999999</v>
      </c>
      <c r="X358">
        <v>0.97695940000000003</v>
      </c>
      <c r="Y358">
        <v>0.1295587</v>
      </c>
      <c r="Z358">
        <v>-1.301793E-2</v>
      </c>
      <c r="AA358">
        <v>0.99148630000000004</v>
      </c>
      <c r="AB358">
        <v>28</v>
      </c>
      <c r="AC358">
        <v>0.58420000000000905</v>
      </c>
      <c r="AD358">
        <v>-0.16609760000000001</v>
      </c>
      <c r="AE358">
        <v>-0.116399999999941</v>
      </c>
      <c r="AF358">
        <v>0.107708911334715</v>
      </c>
      <c r="AG358">
        <v>-0.16609760000000001</v>
      </c>
      <c r="AH358">
        <v>0.54211410290666096</v>
      </c>
      <c r="AI358">
        <v>106.726292365986</v>
      </c>
      <c r="AJ358">
        <v>78.762636563205803</v>
      </c>
      <c r="AK358">
        <v>0.57712851504406104</v>
      </c>
      <c r="AL358">
        <v>78.186704005797694</v>
      </c>
      <c r="AM358">
        <v>86.466784987129998</v>
      </c>
      <c r="AN358">
        <v>0.99999999413988605</v>
      </c>
    </row>
    <row r="359" spans="1:40" x14ac:dyDescent="0.25">
      <c r="A359" t="str">
        <f>"20190303170723822"</f>
        <v>20190303170723822</v>
      </c>
      <c r="B359" t="str">
        <f>"1551604043812430"</f>
        <v>1551604043812430</v>
      </c>
      <c r="C359" t="s">
        <v>40</v>
      </c>
      <c r="D359">
        <v>4.7545769999999896</v>
      </c>
      <c r="E359">
        <v>0.53838039999999998</v>
      </c>
      <c r="F359" t="s">
        <v>47</v>
      </c>
      <c r="G359">
        <v>-372.8897</v>
      </c>
      <c r="H359">
        <v>0.95665560000000005</v>
      </c>
      <c r="I359">
        <v>367.57100000000003</v>
      </c>
      <c r="J359">
        <v>-373.41489999999999</v>
      </c>
      <c r="K359">
        <v>1.121129</v>
      </c>
      <c r="L359">
        <v>367.68380000000002</v>
      </c>
      <c r="M359">
        <v>0.99990219999999996</v>
      </c>
      <c r="N359">
        <v>-1.395627E-2</v>
      </c>
      <c r="O359">
        <v>-8.5759140000000002E-4</v>
      </c>
      <c r="P359">
        <v>0.97947700000000004</v>
      </c>
      <c r="Q359">
        <v>0.19209560000000001</v>
      </c>
      <c r="R359">
        <v>-6.1024839999999997E-2</v>
      </c>
      <c r="S359">
        <v>3.1566770000000002</v>
      </c>
      <c r="T359">
        <v>-0.62039899999999903</v>
      </c>
      <c r="U359">
        <v>-0.4268188</v>
      </c>
      <c r="V359">
        <v>6.0308109999999998E-2</v>
      </c>
      <c r="W359">
        <v>0.20571159999999999</v>
      </c>
      <c r="X359">
        <v>0.97675259999999997</v>
      </c>
      <c r="Y359">
        <v>0.13052359999999999</v>
      </c>
      <c r="Z359">
        <v>-1.341847E-2</v>
      </c>
      <c r="AA359">
        <v>0.99135439999999997</v>
      </c>
      <c r="AB359">
        <v>28</v>
      </c>
      <c r="AC359">
        <v>0.52519999999998301</v>
      </c>
      <c r="AD359">
        <v>-0.16447339999999999</v>
      </c>
      <c r="AE359">
        <v>-0.112800000000049</v>
      </c>
      <c r="AF359">
        <v>0.102719841339004</v>
      </c>
      <c r="AG359">
        <v>-0.16447339999999999</v>
      </c>
      <c r="AH359">
        <v>0.48027249676897998</v>
      </c>
      <c r="AI359">
        <v>108.514908678541</v>
      </c>
      <c r="AJ359">
        <v>77.927565800019394</v>
      </c>
      <c r="AK359">
        <v>0.51794259939203702</v>
      </c>
      <c r="AL359">
        <v>78.128841231634098</v>
      </c>
      <c r="AM359">
        <v>86.466844080234907</v>
      </c>
      <c r="AN359">
        <v>0.99999998605654605</v>
      </c>
    </row>
    <row r="360" spans="1:40" x14ac:dyDescent="0.25">
      <c r="A360" t="str">
        <f>"20190303170723864"</f>
        <v>20190303170723864</v>
      </c>
      <c r="B360" t="str">
        <f>"1551604043852444"</f>
        <v>1551604043852444</v>
      </c>
      <c r="C360" t="s">
        <v>40</v>
      </c>
      <c r="D360">
        <v>4.768262</v>
      </c>
      <c r="E360">
        <v>0.5388773</v>
      </c>
      <c r="F360" t="s">
        <v>47</v>
      </c>
      <c r="G360">
        <v>-372.63380000000001</v>
      </c>
      <c r="H360">
        <v>0.96611829999999999</v>
      </c>
      <c r="I360">
        <v>367.577</v>
      </c>
      <c r="J360">
        <v>-372.89</v>
      </c>
      <c r="K360">
        <v>1.1212009999999999</v>
      </c>
      <c r="L360">
        <v>367.68279999999999</v>
      </c>
      <c r="M360">
        <v>0.99990250000000003</v>
      </c>
      <c r="N360">
        <v>-1.39077E-2</v>
      </c>
      <c r="O360">
        <v>-1.237347E-3</v>
      </c>
      <c r="P360">
        <v>0.97976830000000004</v>
      </c>
      <c r="Q360">
        <v>0.1910346</v>
      </c>
      <c r="R360">
        <v>-5.9663679999999997E-2</v>
      </c>
      <c r="S360">
        <v>3.1590579999999999</v>
      </c>
      <c r="T360">
        <v>-0.62700159999999905</v>
      </c>
      <c r="U360">
        <v>-0.42956539999999999</v>
      </c>
      <c r="V360">
        <v>5.8535709999999998E-2</v>
      </c>
      <c r="W360">
        <v>0.20461960000000001</v>
      </c>
      <c r="X360">
        <v>0.97708980000000001</v>
      </c>
      <c r="Y360">
        <v>0.13084519999999999</v>
      </c>
      <c r="Z360">
        <v>-1.3500470000000001E-2</v>
      </c>
      <c r="AA360">
        <v>0.99131089999999999</v>
      </c>
      <c r="AB360">
        <v>28</v>
      </c>
      <c r="AC360">
        <v>0.256199999999978</v>
      </c>
      <c r="AD360">
        <v>-0.15508269999999999</v>
      </c>
      <c r="AE360">
        <v>-0.105799999999987</v>
      </c>
      <c r="AF360">
        <v>8.0335549716756799E-2</v>
      </c>
      <c r="AG360">
        <v>-0.15508269999999999</v>
      </c>
      <c r="AH360">
        <v>0.19522096783683099</v>
      </c>
      <c r="AI360">
        <v>126.30196954850599</v>
      </c>
      <c r="AJ360">
        <v>67.632301524812306</v>
      </c>
      <c r="AK360">
        <v>0.26194593081537398</v>
      </c>
      <c r="AL360">
        <v>78.192768816672299</v>
      </c>
      <c r="AM360">
        <v>86.571609450645497</v>
      </c>
      <c r="AN360">
        <v>1.0000000436567</v>
      </c>
    </row>
    <row r="361" spans="1:40" x14ac:dyDescent="0.25">
      <c r="A361" t="str">
        <f>"20190303170723886"</f>
        <v>20190303170723886</v>
      </c>
      <c r="B361" t="str">
        <f>"1551604043882701"</f>
        <v>1551604043882701</v>
      </c>
      <c r="C361" t="s">
        <v>40</v>
      </c>
      <c r="D361">
        <v>4.7951079999999999</v>
      </c>
      <c r="E361">
        <v>0.5390355</v>
      </c>
      <c r="F361" t="s">
        <v>47</v>
      </c>
      <c r="G361">
        <v>-372.1311</v>
      </c>
      <c r="H361">
        <v>0.96675290000000003</v>
      </c>
      <c r="I361">
        <v>367.57870000000003</v>
      </c>
      <c r="J361">
        <v>-372.61079999999998</v>
      </c>
      <c r="K361">
        <v>1.1212390000000001</v>
      </c>
      <c r="L361">
        <v>367.6823</v>
      </c>
      <c r="M361">
        <v>0.99990279999999998</v>
      </c>
      <c r="N361">
        <v>-1.3883589999999999E-2</v>
      </c>
      <c r="O361">
        <v>-1.367254E-3</v>
      </c>
      <c r="P361">
        <v>0.97986289999999998</v>
      </c>
      <c r="Q361">
        <v>0.19084699999999999</v>
      </c>
      <c r="R361">
        <v>-5.8709900000000002E-2</v>
      </c>
      <c r="S361">
        <v>3.1611630000000002</v>
      </c>
      <c r="T361">
        <v>-0.64353039999999995</v>
      </c>
      <c r="U361">
        <v>-0.43157960000000001</v>
      </c>
      <c r="V361">
        <v>5.7434619999999999E-2</v>
      </c>
      <c r="W361">
        <v>0.2044156</v>
      </c>
      <c r="X361">
        <v>0.97719780000000001</v>
      </c>
      <c r="Y361">
        <v>0.1311128</v>
      </c>
      <c r="Z361">
        <v>-1.381949E-2</v>
      </c>
      <c r="AA361">
        <v>0.99127109999999996</v>
      </c>
      <c r="AB361">
        <v>28</v>
      </c>
      <c r="AC361">
        <v>0.47969999999997898</v>
      </c>
      <c r="AD361">
        <v>-0.15448609999999899</v>
      </c>
      <c r="AE361">
        <v>-0.10359999999997099</v>
      </c>
      <c r="AF361">
        <v>9.36626914093555E-2</v>
      </c>
      <c r="AG361">
        <v>-0.15448609999999899</v>
      </c>
      <c r="AH361">
        <v>0.436579434324877</v>
      </c>
      <c r="AI361">
        <v>109.084752599905</v>
      </c>
      <c r="AJ361">
        <v>77.891446832299593</v>
      </c>
      <c r="AK361">
        <v>0.472483076237323</v>
      </c>
      <c r="AL361">
        <v>78.204709105725001</v>
      </c>
      <c r="AM361">
        <v>86.636320845060098</v>
      </c>
      <c r="AN361">
        <v>1.0000000067113699</v>
      </c>
    </row>
    <row r="362" spans="1:40" x14ac:dyDescent="0.25">
      <c r="A362" t="str">
        <f>"20190303170723909"</f>
        <v>20190303170723909</v>
      </c>
      <c r="B362" t="str">
        <f>"1551604043902221"</f>
        <v>1551604043902221</v>
      </c>
      <c r="C362" t="s">
        <v>40</v>
      </c>
      <c r="D362">
        <v>4.798006</v>
      </c>
      <c r="E362">
        <v>0.53921750000000002</v>
      </c>
      <c r="F362" t="s">
        <v>47</v>
      </c>
      <c r="G362">
        <v>-371.87869999999998</v>
      </c>
      <c r="H362">
        <v>0.97039129999999996</v>
      </c>
      <c r="I362">
        <v>367.58260000000001</v>
      </c>
      <c r="J362">
        <v>-372.31939999999997</v>
      </c>
      <c r="K362">
        <v>1.1212819999999999</v>
      </c>
      <c r="L362">
        <v>367.68180000000001</v>
      </c>
      <c r="M362">
        <v>0.99990279999999998</v>
      </c>
      <c r="N362">
        <v>-1.386076E-2</v>
      </c>
      <c r="O362">
        <v>-1.451658E-3</v>
      </c>
      <c r="P362">
        <v>0.97977769999999997</v>
      </c>
      <c r="Q362">
        <v>0.1915665</v>
      </c>
      <c r="R362">
        <v>-5.7776279999999999E-2</v>
      </c>
      <c r="S362">
        <v>3.162811</v>
      </c>
      <c r="T362">
        <v>-0.65175569999999905</v>
      </c>
      <c r="U362">
        <v>-0.43014530000000001</v>
      </c>
      <c r="V362">
        <v>5.6399379999999999E-2</v>
      </c>
      <c r="W362">
        <v>0.20511760000000001</v>
      </c>
      <c r="X362">
        <v>0.97711099999999995</v>
      </c>
      <c r="Y362">
        <v>0.13046830000000001</v>
      </c>
      <c r="Z362">
        <v>-1.388724E-2</v>
      </c>
      <c r="AA362">
        <v>0.99135519999999999</v>
      </c>
      <c r="AB362">
        <v>28</v>
      </c>
      <c r="AC362">
        <v>0.44069999999999199</v>
      </c>
      <c r="AD362">
        <v>-0.15089069999999899</v>
      </c>
      <c r="AE362">
        <v>-9.9199999999996097E-2</v>
      </c>
      <c r="AF362">
        <v>8.8666932303652607E-2</v>
      </c>
      <c r="AG362">
        <v>-0.15089069999999899</v>
      </c>
      <c r="AH362">
        <v>0.39659304530127398</v>
      </c>
      <c r="AI362">
        <v>110.370006096791</v>
      </c>
      <c r="AJ362">
        <v>77.397539307099294</v>
      </c>
      <c r="AK362">
        <v>0.43349264331931697</v>
      </c>
      <c r="AL362">
        <v>78.163616831781894</v>
      </c>
      <c r="AM362">
        <v>86.696521784307905</v>
      </c>
      <c r="AN362">
        <v>1.0000000131075699</v>
      </c>
    </row>
    <row r="363" spans="1:40" x14ac:dyDescent="0.25">
      <c r="A363" t="str">
        <f>"20190303170723932"</f>
        <v>20190303170723932</v>
      </c>
      <c r="B363" t="str">
        <f>"1551604043922717"</f>
        <v>1551604043922717</v>
      </c>
      <c r="C363" t="s">
        <v>40</v>
      </c>
      <c r="D363">
        <v>4.7877409999999996</v>
      </c>
      <c r="E363">
        <v>0.53935469999999996</v>
      </c>
      <c r="F363" t="s">
        <v>47</v>
      </c>
      <c r="G363">
        <v>-371.39620000000002</v>
      </c>
      <c r="H363">
        <v>0.93063180000000001</v>
      </c>
      <c r="I363">
        <v>367.55669999999998</v>
      </c>
      <c r="J363">
        <v>-372.03250000000003</v>
      </c>
      <c r="K363">
        <v>1.121319</v>
      </c>
      <c r="L363">
        <v>367.68119999999999</v>
      </c>
      <c r="M363">
        <v>0.99990310000000004</v>
      </c>
      <c r="N363">
        <v>-1.38403E-2</v>
      </c>
      <c r="O363">
        <v>-1.4864800000000001E-3</v>
      </c>
      <c r="P363">
        <v>0.97975100000000004</v>
      </c>
      <c r="Q363">
        <v>0.19196949999999999</v>
      </c>
      <c r="R363">
        <v>-5.688468E-2</v>
      </c>
      <c r="S363">
        <v>3.1644589999999999</v>
      </c>
      <c r="T363">
        <v>-0.6535474</v>
      </c>
      <c r="U363">
        <v>-0.42803960000000002</v>
      </c>
      <c r="V363">
        <v>5.545742E-2</v>
      </c>
      <c r="W363">
        <v>0.2055044</v>
      </c>
      <c r="X363">
        <v>0.97708360000000005</v>
      </c>
      <c r="Y363">
        <v>0.129722</v>
      </c>
      <c r="Z363">
        <v>-1.3826939999999999E-2</v>
      </c>
      <c r="AA363">
        <v>0.99145399999999995</v>
      </c>
      <c r="AB363">
        <v>28</v>
      </c>
      <c r="AC363">
        <v>0.63630000000000497</v>
      </c>
      <c r="AD363">
        <v>-0.190687199999999</v>
      </c>
      <c r="AE363">
        <v>-0.124500000000011</v>
      </c>
      <c r="AF363">
        <v>0.113717641696231</v>
      </c>
      <c r="AG363">
        <v>-0.190687199999999</v>
      </c>
      <c r="AH363">
        <v>0.58581306153274504</v>
      </c>
      <c r="AI363">
        <v>107.72095380155299</v>
      </c>
      <c r="AJ363">
        <v>79.014409043972904</v>
      </c>
      <c r="AK363">
        <v>0.626474463437386</v>
      </c>
      <c r="AL363">
        <v>78.140971938601396</v>
      </c>
      <c r="AM363">
        <v>86.751485106610701</v>
      </c>
      <c r="AN363">
        <v>0.99999997262068696</v>
      </c>
    </row>
    <row r="364" spans="1:40" x14ac:dyDescent="0.25">
      <c r="A364" t="str">
        <f>"20190303170723952"</f>
        <v>20190303170723952</v>
      </c>
      <c r="B364" t="str">
        <f>"1551604043942237"</f>
        <v>1551604043942237</v>
      </c>
      <c r="C364" t="s">
        <v>40</v>
      </c>
      <c r="D364">
        <v>4.7976479999999997</v>
      </c>
      <c r="E364">
        <v>0.53964080000000003</v>
      </c>
      <c r="F364" t="s">
        <v>47</v>
      </c>
      <c r="G364">
        <v>-371.14330000000001</v>
      </c>
      <c r="H364">
        <v>0.93708749999999996</v>
      </c>
      <c r="I364">
        <v>367.56150000000002</v>
      </c>
      <c r="J364">
        <v>-371.76609999999999</v>
      </c>
      <c r="K364">
        <v>1.121332</v>
      </c>
      <c r="L364">
        <v>367.68079999999998</v>
      </c>
      <c r="M364">
        <v>0.9999034</v>
      </c>
      <c r="N364">
        <v>-1.382298E-2</v>
      </c>
      <c r="O364">
        <v>-1.4945410000000001E-3</v>
      </c>
      <c r="P364">
        <v>0.97981200000000002</v>
      </c>
      <c r="Q364">
        <v>0.19173399999999999</v>
      </c>
      <c r="R364">
        <v>-5.6630010000000001E-2</v>
      </c>
      <c r="S364">
        <v>3.1658019999999998</v>
      </c>
      <c r="T364">
        <v>-0.65595789999999998</v>
      </c>
      <c r="U364">
        <v>-0.42562870000000003</v>
      </c>
      <c r="V364">
        <v>5.5182920000000003E-2</v>
      </c>
      <c r="W364">
        <v>0.2052561</v>
      </c>
      <c r="X364">
        <v>0.97715129999999994</v>
      </c>
      <c r="Y364">
        <v>0.1289167</v>
      </c>
      <c r="Z364">
        <v>-1.377829E-2</v>
      </c>
      <c r="AA364">
        <v>0.99155970000000004</v>
      </c>
      <c r="AB364">
        <v>28</v>
      </c>
      <c r="AC364">
        <v>0.62279999999998303</v>
      </c>
      <c r="AD364">
        <v>-0.18424450000000001</v>
      </c>
      <c r="AE364">
        <v>-0.119299999999952</v>
      </c>
      <c r="AF364">
        <v>0.109154253570566</v>
      </c>
      <c r="AG364">
        <v>-0.18424450000000001</v>
      </c>
      <c r="AH364">
        <v>0.57448039529720596</v>
      </c>
      <c r="AI364">
        <v>107.488492508005</v>
      </c>
      <c r="AJ364">
        <v>79.241746205001903</v>
      </c>
      <c r="AK364">
        <v>0.61309739147514797</v>
      </c>
      <c r="AL364">
        <v>78.155507999051096</v>
      </c>
      <c r="AM364">
        <v>86.7677537201739</v>
      </c>
      <c r="AN364">
        <v>0.99999994216931098</v>
      </c>
    </row>
    <row r="365" spans="1:40" x14ac:dyDescent="0.25">
      <c r="A365" t="str">
        <f>"20190303170723976"</f>
        <v>20190303170723976</v>
      </c>
      <c r="B365" t="str">
        <f>"1551604043972493"</f>
        <v>1551604043972493</v>
      </c>
      <c r="C365" t="s">
        <v>40</v>
      </c>
      <c r="D365">
        <v>4.8167650000000002</v>
      </c>
      <c r="E365">
        <v>0.53992580000000001</v>
      </c>
      <c r="F365" t="s">
        <v>47</v>
      </c>
      <c r="G365">
        <v>-370.89240000000001</v>
      </c>
      <c r="H365">
        <v>0.93946949999999996</v>
      </c>
      <c r="I365">
        <v>367.56279999999998</v>
      </c>
      <c r="J365">
        <v>-371.48070000000001</v>
      </c>
      <c r="K365">
        <v>1.1213420000000001</v>
      </c>
      <c r="L365">
        <v>367.68040000000002</v>
      </c>
      <c r="M365">
        <v>0.9999036</v>
      </c>
      <c r="N365">
        <v>-1.380606E-2</v>
      </c>
      <c r="O365">
        <v>-1.4872240000000001E-3</v>
      </c>
      <c r="P365">
        <v>0.97991539999999999</v>
      </c>
      <c r="Q365">
        <v>0.19108159999999999</v>
      </c>
      <c r="R365">
        <v>-5.7044249999999998E-2</v>
      </c>
      <c r="S365">
        <v>3.1661069999999998</v>
      </c>
      <c r="T365">
        <v>-0.65916989999999998</v>
      </c>
      <c r="U365">
        <v>-0.42663570000000001</v>
      </c>
      <c r="V365">
        <v>5.559559E-2</v>
      </c>
      <c r="W365">
        <v>0.20459060000000001</v>
      </c>
      <c r="X365">
        <v>0.97726749999999996</v>
      </c>
      <c r="Y365">
        <v>0.129189</v>
      </c>
      <c r="Z365">
        <v>-1.386866E-2</v>
      </c>
      <c r="AA365">
        <v>0.99152300000000004</v>
      </c>
      <c r="AB365">
        <v>28</v>
      </c>
      <c r="AC365">
        <v>0.58830000000000304</v>
      </c>
      <c r="AD365">
        <v>-0.18187249999999999</v>
      </c>
      <c r="AE365">
        <v>-0.11760000000003799</v>
      </c>
      <c r="AF365">
        <v>0.10690058573028</v>
      </c>
      <c r="AG365">
        <v>-0.18187249999999999</v>
      </c>
      <c r="AH365">
        <v>0.53894472360538004</v>
      </c>
      <c r="AI365">
        <v>108.31514535818</v>
      </c>
      <c r="AJ365">
        <v>78.780906222600805</v>
      </c>
      <c r="AK365">
        <v>0.57876312649287398</v>
      </c>
      <c r="AL365">
        <v>78.194465481807995</v>
      </c>
      <c r="AM365">
        <v>86.744020456186107</v>
      </c>
      <c r="AN365">
        <v>0.99999997489602799</v>
      </c>
    </row>
    <row r="366" spans="1:40" x14ac:dyDescent="0.25">
      <c r="A366" t="str">
        <f>"20190303170723998"</f>
        <v>20190303170723998</v>
      </c>
      <c r="B366" t="str">
        <f>"1551604043992989"</f>
        <v>1551604043992989</v>
      </c>
      <c r="C366" t="s">
        <v>40</v>
      </c>
      <c r="D366">
        <v>4.793336</v>
      </c>
      <c r="E366">
        <v>0.54013849999999997</v>
      </c>
      <c r="F366" t="s">
        <v>47</v>
      </c>
      <c r="G366">
        <v>-370.64030000000002</v>
      </c>
      <c r="H366">
        <v>0.94507850000000004</v>
      </c>
      <c r="I366">
        <v>367.56549999999999</v>
      </c>
      <c r="J366">
        <v>-371.20729999999998</v>
      </c>
      <c r="K366">
        <v>1.1213470000000001</v>
      </c>
      <c r="L366">
        <v>367.68</v>
      </c>
      <c r="M366">
        <v>0.99990389999999996</v>
      </c>
      <c r="N366">
        <v>-1.379154E-2</v>
      </c>
      <c r="O366">
        <v>-1.472552E-3</v>
      </c>
      <c r="P366">
        <v>0.97995350000000003</v>
      </c>
      <c r="Q366">
        <v>0.19069179999999999</v>
      </c>
      <c r="R366">
        <v>-5.7687280000000001E-2</v>
      </c>
      <c r="S366">
        <v>3.165924</v>
      </c>
      <c r="T366">
        <v>-0.66412329999999997</v>
      </c>
      <c r="U366">
        <v>-0.4309692</v>
      </c>
      <c r="V366">
        <v>5.6248880000000001E-2</v>
      </c>
      <c r="W366">
        <v>0.2041887</v>
      </c>
      <c r="X366">
        <v>0.97731420000000002</v>
      </c>
      <c r="Y366">
        <v>0.13047300000000001</v>
      </c>
      <c r="Z366">
        <v>-1.4107160000000001E-2</v>
      </c>
      <c r="AA366">
        <v>0.99135150000000005</v>
      </c>
      <c r="AB366">
        <v>28</v>
      </c>
      <c r="AC366">
        <v>0.56699999999994999</v>
      </c>
      <c r="AD366">
        <v>-0.176268499999999</v>
      </c>
      <c r="AE366">
        <v>-0.11450000000002</v>
      </c>
      <c r="AF366">
        <v>0.104006875049557</v>
      </c>
      <c r="AG366">
        <v>-0.176268499999999</v>
      </c>
      <c r="AH366">
        <v>0.51897633474162996</v>
      </c>
      <c r="AI366">
        <v>108.41903044310899</v>
      </c>
      <c r="AJ366">
        <v>78.667605963986304</v>
      </c>
      <c r="AK366">
        <v>0.55787494133692805</v>
      </c>
      <c r="AL366">
        <v>78.2179895955435</v>
      </c>
      <c r="AM366">
        <v>86.706001079443993</v>
      </c>
      <c r="AN366">
        <v>1.0000000036152901</v>
      </c>
    </row>
    <row r="367" spans="1:40" x14ac:dyDescent="0.25">
      <c r="A367" t="str">
        <f>"20190303170724021"</f>
        <v>20190303170724021</v>
      </c>
      <c r="B367" t="str">
        <f>"1551604044012513"</f>
        <v>1551604044012513</v>
      </c>
      <c r="C367" t="s">
        <v>40</v>
      </c>
      <c r="D367">
        <v>4.7884799999999998</v>
      </c>
      <c r="E367">
        <v>0.54030540000000005</v>
      </c>
      <c r="F367" t="s">
        <v>47</v>
      </c>
      <c r="G367">
        <v>-370.38920000000002</v>
      </c>
      <c r="H367">
        <v>0.94896440000000004</v>
      </c>
      <c r="I367">
        <v>367.56700000000001</v>
      </c>
      <c r="J367">
        <v>-370.91390000000001</v>
      </c>
      <c r="K367">
        <v>1.1213580000000001</v>
      </c>
      <c r="L367">
        <v>367.67950000000002</v>
      </c>
      <c r="M367">
        <v>0.99990409999999996</v>
      </c>
      <c r="N367">
        <v>-1.3777609999999999E-2</v>
      </c>
      <c r="O367">
        <v>-1.4546330000000001E-3</v>
      </c>
      <c r="P367">
        <v>0.97984179999999999</v>
      </c>
      <c r="Q367">
        <v>0.1910144</v>
      </c>
      <c r="R367">
        <v>-5.8512479999999999E-2</v>
      </c>
      <c r="S367">
        <v>3.1654659999999999</v>
      </c>
      <c r="T367">
        <v>-0.66699790000000003</v>
      </c>
      <c r="U367">
        <v>-0.4360657</v>
      </c>
      <c r="V367">
        <v>5.7089920000000002E-2</v>
      </c>
      <c r="W367">
        <v>0.20449629999999999</v>
      </c>
      <c r="X367">
        <v>0.97720110000000004</v>
      </c>
      <c r="Y367">
        <v>0.1320162</v>
      </c>
      <c r="Z367">
        <v>-1.4337030000000001E-2</v>
      </c>
      <c r="AA367">
        <v>0.99114389999999997</v>
      </c>
      <c r="AB367">
        <v>28</v>
      </c>
      <c r="AC367">
        <v>0.52469999999999495</v>
      </c>
      <c r="AD367">
        <v>-0.17239360000000001</v>
      </c>
      <c r="AE367">
        <v>-0.112500000000068</v>
      </c>
      <c r="AF367">
        <v>0.101283593825929</v>
      </c>
      <c r="AG367">
        <v>-0.17239360000000001</v>
      </c>
      <c r="AH367">
        <v>0.475762100110944</v>
      </c>
      <c r="AI367">
        <v>109.51485691905501</v>
      </c>
      <c r="AJ367">
        <v>77.981883724009705</v>
      </c>
      <c r="AK367">
        <v>0.51606927403327496</v>
      </c>
      <c r="AL367">
        <v>78.199985387964603</v>
      </c>
      <c r="AM367">
        <v>86.656473652467994</v>
      </c>
      <c r="AN367">
        <v>0.99999999276025298</v>
      </c>
    </row>
    <row r="368" spans="1:40" x14ac:dyDescent="0.25">
      <c r="A368" t="str">
        <f>"20190303170724044"</f>
        <v>20190303170724044</v>
      </c>
      <c r="B368" t="str">
        <f>"1551604044033005"</f>
        <v>1551604044033005</v>
      </c>
      <c r="C368" t="s">
        <v>40</v>
      </c>
      <c r="D368">
        <v>4.7902250000000004</v>
      </c>
      <c r="E368">
        <v>0.54050810000000005</v>
      </c>
      <c r="F368" t="s">
        <v>47</v>
      </c>
      <c r="G368">
        <v>-370.13619999999997</v>
      </c>
      <c r="H368">
        <v>0.95732139999999999</v>
      </c>
      <c r="I368">
        <v>367.57100000000003</v>
      </c>
      <c r="J368">
        <v>-370.63690000000003</v>
      </c>
      <c r="K368">
        <v>1.1213599999999999</v>
      </c>
      <c r="L368">
        <v>367.67910000000001</v>
      </c>
      <c r="M368">
        <v>0.99990440000000003</v>
      </c>
      <c r="N368">
        <v>-1.3762E-2</v>
      </c>
      <c r="O368">
        <v>-1.4398600000000001E-3</v>
      </c>
      <c r="P368">
        <v>0.97979660000000002</v>
      </c>
      <c r="Q368">
        <v>0.19112460000000001</v>
      </c>
      <c r="R368">
        <v>-5.8908820000000001E-2</v>
      </c>
      <c r="S368">
        <v>3.165619</v>
      </c>
      <c r="T368">
        <v>-0.6677883</v>
      </c>
      <c r="U368">
        <v>-0.4398804</v>
      </c>
      <c r="V368">
        <v>5.7500740000000002E-2</v>
      </c>
      <c r="W368">
        <v>0.20459060000000001</v>
      </c>
      <c r="X368">
        <v>0.97715730000000001</v>
      </c>
      <c r="Y368">
        <v>0.1331637</v>
      </c>
      <c r="Z368">
        <v>-1.447995E-2</v>
      </c>
      <c r="AA368">
        <v>0.99098830000000004</v>
      </c>
      <c r="AB368">
        <v>28</v>
      </c>
      <c r="AC368">
        <v>0.50070000000005099</v>
      </c>
      <c r="AD368">
        <v>-0.16403860000000001</v>
      </c>
      <c r="AE368">
        <v>-0.108100000000035</v>
      </c>
      <c r="AF368">
        <v>9.7391068560242294E-2</v>
      </c>
      <c r="AG368">
        <v>-0.16403860000000001</v>
      </c>
      <c r="AH368">
        <v>0.45426825905968499</v>
      </c>
      <c r="AI368">
        <v>109.44720149760001</v>
      </c>
      <c r="AJ368">
        <v>77.899470366033896</v>
      </c>
      <c r="AK368">
        <v>0.49270004436206699</v>
      </c>
      <c r="AL368">
        <v>78.194466007892004</v>
      </c>
      <c r="AM368">
        <v>86.632318157673296</v>
      </c>
      <c r="AN368">
        <v>1.00000001882609</v>
      </c>
    </row>
    <row r="369" spans="1:40" x14ac:dyDescent="0.25">
      <c r="A369" t="str">
        <f>"20190303170724066"</f>
        <v>20190303170724066</v>
      </c>
      <c r="B369" t="str">
        <f>"1551604044062285"</f>
        <v>1551604044062285</v>
      </c>
      <c r="C369" t="s">
        <v>40</v>
      </c>
      <c r="D369">
        <v>4.8195969999999999</v>
      </c>
      <c r="E369">
        <v>0.54096690000000003</v>
      </c>
      <c r="F369" t="s">
        <v>47</v>
      </c>
      <c r="G369">
        <v>-369.88490000000002</v>
      </c>
      <c r="H369">
        <v>0.96239240000000004</v>
      </c>
      <c r="I369">
        <v>367.57369999999997</v>
      </c>
      <c r="J369">
        <v>-370.36079999999998</v>
      </c>
      <c r="K369">
        <v>1.1213569999999999</v>
      </c>
      <c r="L369">
        <v>367.67869999999999</v>
      </c>
      <c r="M369">
        <v>0.99990469999999998</v>
      </c>
      <c r="N369">
        <v>-1.373836E-2</v>
      </c>
      <c r="O369">
        <v>-1.4294640000000001E-3</v>
      </c>
      <c r="P369">
        <v>0.97986309999999999</v>
      </c>
      <c r="Q369">
        <v>0.1907372</v>
      </c>
      <c r="R369">
        <v>-5.9059170000000001E-2</v>
      </c>
      <c r="S369">
        <v>3.1658330000000001</v>
      </c>
      <c r="T369">
        <v>-0.6693635</v>
      </c>
      <c r="U369">
        <v>-0.44250489999999998</v>
      </c>
      <c r="V369">
        <v>5.7661589999999999E-2</v>
      </c>
      <c r="W369">
        <v>0.2041808</v>
      </c>
      <c r="X369">
        <v>0.97723349999999998</v>
      </c>
      <c r="Y369">
        <v>0.1339399</v>
      </c>
      <c r="Z369">
        <v>-1.459623E-2</v>
      </c>
      <c r="AA369">
        <v>0.99088200000000004</v>
      </c>
      <c r="AB369">
        <v>28</v>
      </c>
      <c r="AC369">
        <v>0.47589999999996702</v>
      </c>
      <c r="AD369">
        <v>-0.15896459999999901</v>
      </c>
      <c r="AE369">
        <v>-0.105000000000018</v>
      </c>
      <c r="AF369">
        <v>9.4287684079594702E-2</v>
      </c>
      <c r="AG369">
        <v>-0.15896459999999901</v>
      </c>
      <c r="AH369">
        <v>0.43027043126731102</v>
      </c>
      <c r="AI369">
        <v>109.843971607932</v>
      </c>
      <c r="AJ369">
        <v>77.639815478391697</v>
      </c>
      <c r="AK369">
        <v>0.46828683031365698</v>
      </c>
      <c r="AL369">
        <v>78.218451760338098</v>
      </c>
      <c r="AM369">
        <v>86.623182047297604</v>
      </c>
      <c r="AN369">
        <v>0.99999998578610805</v>
      </c>
    </row>
    <row r="370" spans="1:40" x14ac:dyDescent="0.25">
      <c r="A370" t="str">
        <f>"20190303170724088"</f>
        <v>20190303170724088</v>
      </c>
      <c r="B370" t="str">
        <f>"1551604044082781"</f>
        <v>1551604044082781</v>
      </c>
      <c r="C370" t="s">
        <v>40</v>
      </c>
      <c r="D370">
        <v>4.7983840000000004</v>
      </c>
      <c r="E370">
        <v>0.54122689999999996</v>
      </c>
      <c r="F370" t="s">
        <v>47</v>
      </c>
      <c r="G370">
        <v>-369.63420000000002</v>
      </c>
      <c r="H370">
        <v>0.96683609999999998</v>
      </c>
      <c r="I370">
        <v>367.57589999999999</v>
      </c>
      <c r="J370">
        <v>-370.08760000000001</v>
      </c>
      <c r="K370">
        <v>1.121345</v>
      </c>
      <c r="L370">
        <v>367.67829999999998</v>
      </c>
      <c r="M370">
        <v>0.9999053</v>
      </c>
      <c r="N370">
        <v>-1.370042E-2</v>
      </c>
      <c r="O370">
        <v>-1.4243369999999999E-3</v>
      </c>
      <c r="P370">
        <v>0.98001780000000005</v>
      </c>
      <c r="Q370">
        <v>0.1899498</v>
      </c>
      <c r="R370">
        <v>-5.9027999999999997E-2</v>
      </c>
      <c r="S370">
        <v>3.1657410000000001</v>
      </c>
      <c r="T370">
        <v>-0.67320360000000001</v>
      </c>
      <c r="U370">
        <v>-0.44680789999999998</v>
      </c>
      <c r="V370">
        <v>5.7636010000000001E-2</v>
      </c>
      <c r="W370">
        <v>0.2033587</v>
      </c>
      <c r="X370">
        <v>0.97740640000000001</v>
      </c>
      <c r="Y370">
        <v>0.13520699999999999</v>
      </c>
      <c r="Z370">
        <v>-1.4811929999999999E-2</v>
      </c>
      <c r="AA370">
        <v>0.99070659999999999</v>
      </c>
      <c r="AB370">
        <v>28</v>
      </c>
      <c r="AC370">
        <v>0.45339999999998698</v>
      </c>
      <c r="AD370">
        <v>-0.1545089</v>
      </c>
      <c r="AE370">
        <v>-0.102399999999988</v>
      </c>
      <c r="AF370">
        <v>9.1629542384409707E-2</v>
      </c>
      <c r="AG370">
        <v>-0.1545089</v>
      </c>
      <c r="AH370">
        <v>0.40841776394301399</v>
      </c>
      <c r="AI370">
        <v>110.260865547015</v>
      </c>
      <c r="AJ370">
        <v>77.354933313954106</v>
      </c>
      <c r="AK370">
        <v>0.44617714320771501</v>
      </c>
      <c r="AL370">
        <v>78.266563894844396</v>
      </c>
      <c r="AM370">
        <v>86.625272320282207</v>
      </c>
      <c r="AN370">
        <v>0.99999997063768398</v>
      </c>
    </row>
    <row r="371" spans="1:40" x14ac:dyDescent="0.25">
      <c r="A371" t="str">
        <f>"20190303170724112"</f>
        <v>20190303170724112</v>
      </c>
      <c r="B371" t="str">
        <f>"1551604044102302"</f>
        <v>1551604044102302</v>
      </c>
      <c r="C371" t="s">
        <v>40</v>
      </c>
      <c r="D371">
        <v>4.8016459999999999</v>
      </c>
      <c r="E371">
        <v>0.54141090000000003</v>
      </c>
      <c r="F371" t="s">
        <v>47</v>
      </c>
      <c r="G371">
        <v>-369.38389999999998</v>
      </c>
      <c r="H371">
        <v>0.97076249999999997</v>
      </c>
      <c r="I371">
        <v>367.57859999999999</v>
      </c>
      <c r="J371">
        <v>-369.79539999999997</v>
      </c>
      <c r="K371">
        <v>1.121337</v>
      </c>
      <c r="L371">
        <v>367.67790000000002</v>
      </c>
      <c r="M371">
        <v>0.99990590000000001</v>
      </c>
      <c r="N371">
        <v>-1.3643799999999999E-2</v>
      </c>
      <c r="O371">
        <v>-1.4221940000000001E-3</v>
      </c>
      <c r="P371">
        <v>0.98003309999999999</v>
      </c>
      <c r="Q371">
        <v>0.18982679999999999</v>
      </c>
      <c r="R371">
        <v>-5.9170849999999997E-2</v>
      </c>
      <c r="S371">
        <v>3.1654969999999998</v>
      </c>
      <c r="T371">
        <v>-0.67737169999999902</v>
      </c>
      <c r="U371">
        <v>-0.44778440000000003</v>
      </c>
      <c r="V371">
        <v>5.778167E-2</v>
      </c>
      <c r="W371">
        <v>0.20318040000000001</v>
      </c>
      <c r="X371">
        <v>0.9774349</v>
      </c>
      <c r="Y371">
        <v>0.13547619999999999</v>
      </c>
      <c r="Z371">
        <v>-1.492337E-2</v>
      </c>
      <c r="AA371">
        <v>0.9906682</v>
      </c>
      <c r="AB371">
        <v>28</v>
      </c>
      <c r="AC371">
        <v>0.41149999999998899</v>
      </c>
      <c r="AD371">
        <v>-0.1505745</v>
      </c>
      <c r="AE371">
        <v>-9.9300000000027894E-2</v>
      </c>
      <c r="AF371">
        <v>8.7627399687520299E-2</v>
      </c>
      <c r="AG371">
        <v>-0.1505745</v>
      </c>
      <c r="AH371">
        <v>0.365407044715582</v>
      </c>
      <c r="AI371">
        <v>111.836586636462</v>
      </c>
      <c r="AJ371">
        <v>76.514688530932105</v>
      </c>
      <c r="AK371">
        <v>0.40481298096037099</v>
      </c>
      <c r="AL371">
        <v>78.276997788785707</v>
      </c>
      <c r="AM371">
        <v>86.616861780675805</v>
      </c>
      <c r="AN371">
        <v>0.999999990035079</v>
      </c>
    </row>
    <row r="372" spans="1:40" x14ac:dyDescent="0.25">
      <c r="A372" t="str">
        <f>"20190303170724132"</f>
        <v>20190303170724132</v>
      </c>
      <c r="B372" t="str">
        <f>"1551604044122797"</f>
        <v>1551604044122797</v>
      </c>
      <c r="C372" t="s">
        <v>40</v>
      </c>
      <c r="D372">
        <v>4.807887</v>
      </c>
      <c r="E372">
        <v>0.54157809999999995</v>
      </c>
      <c r="F372" t="s">
        <v>47</v>
      </c>
      <c r="G372">
        <v>-368.90589999999997</v>
      </c>
      <c r="H372">
        <v>0.93056039999999995</v>
      </c>
      <c r="I372">
        <v>367.55130000000003</v>
      </c>
      <c r="J372">
        <v>-369.53539999999998</v>
      </c>
      <c r="K372">
        <v>1.1213299999999999</v>
      </c>
      <c r="L372">
        <v>367.67750000000001</v>
      </c>
      <c r="M372">
        <v>0.99990670000000004</v>
      </c>
      <c r="N372">
        <v>-1.358563E-2</v>
      </c>
      <c r="O372">
        <v>-1.4226579999999901E-3</v>
      </c>
      <c r="P372">
        <v>0.97988359999999997</v>
      </c>
      <c r="Q372">
        <v>0.19053619999999999</v>
      </c>
      <c r="R372">
        <v>-5.9364760000000003E-2</v>
      </c>
      <c r="S372">
        <v>3.1654969999999998</v>
      </c>
      <c r="T372">
        <v>-0.67900419999999995</v>
      </c>
      <c r="U372">
        <v>-0.4493103</v>
      </c>
      <c r="V372">
        <v>5.7976100000000003E-2</v>
      </c>
      <c r="W372">
        <v>0.2038307</v>
      </c>
      <c r="X372">
        <v>0.97728800000000005</v>
      </c>
      <c r="Y372">
        <v>0.1359197</v>
      </c>
      <c r="Z372">
        <v>-1.50016E-2</v>
      </c>
      <c r="AA372">
        <v>0.99060619999999999</v>
      </c>
      <c r="AB372">
        <v>28</v>
      </c>
      <c r="AC372">
        <v>0.62950000000000705</v>
      </c>
      <c r="AD372">
        <v>-0.19076960000000001</v>
      </c>
      <c r="AE372">
        <v>-0.12619999999998299</v>
      </c>
      <c r="AF372">
        <v>0.11513858627771401</v>
      </c>
      <c r="AG372">
        <v>-0.19076960000000001</v>
      </c>
      <c r="AH372">
        <v>0.57859453436294095</v>
      </c>
      <c r="AI372">
        <v>107.91972918884299</v>
      </c>
      <c r="AJ372">
        <v>78.745334615002804</v>
      </c>
      <c r="AK372">
        <v>0.62001739453732996</v>
      </c>
      <c r="AL372">
        <v>78.238942200944606</v>
      </c>
      <c r="AM372">
        <v>86.604995360604093</v>
      </c>
      <c r="AN372">
        <v>1.0000000086888401</v>
      </c>
    </row>
    <row r="373" spans="1:40" x14ac:dyDescent="0.25">
      <c r="A373" t="str">
        <f>"20190303170724154"</f>
        <v>20190303170724154</v>
      </c>
      <c r="B373" t="str">
        <f>"1551604044142317"</f>
        <v>1551604044142317</v>
      </c>
      <c r="C373" t="s">
        <v>40</v>
      </c>
      <c r="D373">
        <v>4.7929940000000002</v>
      </c>
      <c r="E373">
        <v>0.54177580000000003</v>
      </c>
      <c r="F373" t="s">
        <v>47</v>
      </c>
      <c r="G373">
        <v>-368.65660000000003</v>
      </c>
      <c r="H373">
        <v>0.93324220000000002</v>
      </c>
      <c r="I373">
        <v>367.55169999999998</v>
      </c>
      <c r="J373">
        <v>-369.26920000000001</v>
      </c>
      <c r="K373">
        <v>1.121316</v>
      </c>
      <c r="L373">
        <v>367.6771</v>
      </c>
      <c r="M373">
        <v>0.99990760000000001</v>
      </c>
      <c r="N373">
        <v>-1.3524370000000001E-2</v>
      </c>
      <c r="O373">
        <v>-1.4238180000000001E-3</v>
      </c>
      <c r="P373">
        <v>0.97982570000000002</v>
      </c>
      <c r="Q373">
        <v>0.1908184</v>
      </c>
      <c r="R373">
        <v>-5.941697E-2</v>
      </c>
      <c r="S373">
        <v>3.1660159999999999</v>
      </c>
      <c r="T373">
        <v>-0.67772509999999997</v>
      </c>
      <c r="U373">
        <v>-0.45178220000000002</v>
      </c>
      <c r="V373">
        <v>5.8028080000000003E-2</v>
      </c>
      <c r="W373">
        <v>0.2040515</v>
      </c>
      <c r="X373">
        <v>0.97723879999999996</v>
      </c>
      <c r="Y373">
        <v>0.13665070000000001</v>
      </c>
      <c r="Z373">
        <v>-1.505021E-2</v>
      </c>
      <c r="AA373">
        <v>0.99050499999999997</v>
      </c>
      <c r="AB373">
        <v>28</v>
      </c>
      <c r="AC373">
        <v>0.61259999999998604</v>
      </c>
      <c r="AD373">
        <v>-0.18807380000000001</v>
      </c>
      <c r="AE373">
        <v>-0.125400000000013</v>
      </c>
      <c r="AF373">
        <v>0.11419686423565099</v>
      </c>
      <c r="AG373">
        <v>-0.18807380000000001</v>
      </c>
      <c r="AH373">
        <v>0.56194241814502</v>
      </c>
      <c r="AI373">
        <v>108.158521876617</v>
      </c>
      <c r="AJ373">
        <v>78.512886485408004</v>
      </c>
      <c r="AK373">
        <v>0.60348318896085995</v>
      </c>
      <c r="AL373">
        <v>78.226019270329601</v>
      </c>
      <c r="AM373">
        <v>86.601787932417494</v>
      </c>
      <c r="AN373">
        <v>0.99999997247308703</v>
      </c>
    </row>
    <row r="374" spans="1:40" x14ac:dyDescent="0.25">
      <c r="A374" t="str">
        <f>"20190303170724176"</f>
        <v>20190303170724176</v>
      </c>
      <c r="B374" t="str">
        <f>"1551604044172573"</f>
        <v>1551604044172573</v>
      </c>
      <c r="C374" t="s">
        <v>40</v>
      </c>
      <c r="D374">
        <v>4.8100500000000004</v>
      </c>
      <c r="E374">
        <v>0.54198329999999995</v>
      </c>
      <c r="F374" t="s">
        <v>47</v>
      </c>
      <c r="G374">
        <v>-368.40710000000001</v>
      </c>
      <c r="H374">
        <v>0.93683989999999995</v>
      </c>
      <c r="I374">
        <v>367.55329999999998</v>
      </c>
      <c r="J374">
        <v>-368.99329999999998</v>
      </c>
      <c r="K374">
        <v>1.1213029999999999</v>
      </c>
      <c r="L374">
        <v>367.67669999999998</v>
      </c>
      <c r="M374">
        <v>0.99990860000000004</v>
      </c>
      <c r="N374">
        <v>-1.3456950000000001E-2</v>
      </c>
      <c r="O374">
        <v>-1.423861E-3</v>
      </c>
      <c r="P374">
        <v>0.97981700000000005</v>
      </c>
      <c r="Q374">
        <v>0.19089</v>
      </c>
      <c r="R374">
        <v>-5.9329439999999997E-2</v>
      </c>
      <c r="S374">
        <v>3.1662599999999999</v>
      </c>
      <c r="T374">
        <v>-0.67754190000000003</v>
      </c>
      <c r="U374">
        <v>-0.454071</v>
      </c>
      <c r="V374">
        <v>5.7941180000000002E-2</v>
      </c>
      <c r="W374">
        <v>0.20405760000000001</v>
      </c>
      <c r="X374">
        <v>0.97724270000000002</v>
      </c>
      <c r="Y374">
        <v>0.13732900000000001</v>
      </c>
      <c r="Z374">
        <v>-1.5116040000000001E-2</v>
      </c>
      <c r="AA374">
        <v>0.99041009999999996</v>
      </c>
      <c r="AB374">
        <v>28</v>
      </c>
      <c r="AC374">
        <v>0.58619999999996197</v>
      </c>
      <c r="AD374">
        <v>-0.18446309999999999</v>
      </c>
      <c r="AE374">
        <v>-0.12340000000000299</v>
      </c>
      <c r="AF374">
        <v>0.111950110121309</v>
      </c>
      <c r="AG374">
        <v>-0.18446309999999999</v>
      </c>
      <c r="AH374">
        <v>0.53559082254511103</v>
      </c>
      <c r="AI374">
        <v>108.630233377484</v>
      </c>
      <c r="AJ374">
        <v>78.193915779798701</v>
      </c>
      <c r="AK374">
        <v>0.577422714839252</v>
      </c>
      <c r="AL374">
        <v>78.225662458586896</v>
      </c>
      <c r="AM374">
        <v>86.606878538317005</v>
      </c>
      <c r="AN374">
        <v>0.99999998958042102</v>
      </c>
    </row>
    <row r="375" spans="1:40" x14ac:dyDescent="0.25">
      <c r="A375" t="str">
        <f>"20190303170724198"</f>
        <v>20190303170724198</v>
      </c>
      <c r="B375" t="str">
        <f>"1551604044192093"</f>
        <v>1551604044192093</v>
      </c>
      <c r="C375" t="s">
        <v>40</v>
      </c>
      <c r="D375">
        <v>4.8340290000000001</v>
      </c>
      <c r="E375">
        <v>0.54213549999999999</v>
      </c>
      <c r="F375" t="s">
        <v>47</v>
      </c>
      <c r="G375">
        <v>-368.15690000000001</v>
      </c>
      <c r="H375">
        <v>0.94211100000000003</v>
      </c>
      <c r="I375">
        <v>367.55599999999998</v>
      </c>
      <c r="J375">
        <v>-368.70960000000002</v>
      </c>
      <c r="K375">
        <v>1.121291</v>
      </c>
      <c r="L375">
        <v>367.67630000000003</v>
      </c>
      <c r="M375">
        <v>0.99990950000000001</v>
      </c>
      <c r="N375">
        <v>-1.3380680000000001E-2</v>
      </c>
      <c r="O375">
        <v>-1.4203589999999999E-3</v>
      </c>
      <c r="P375">
        <v>0.97984970000000005</v>
      </c>
      <c r="Q375">
        <v>0.1907944</v>
      </c>
      <c r="R375">
        <v>-5.9095469999999997E-2</v>
      </c>
      <c r="S375">
        <v>3.166382</v>
      </c>
      <c r="T375">
        <v>-0.67840219999999996</v>
      </c>
      <c r="U375">
        <v>-0.45578000000000002</v>
      </c>
      <c r="V375">
        <v>5.7710329999999997E-2</v>
      </c>
      <c r="W375">
        <v>0.20388770000000001</v>
      </c>
      <c r="X375">
        <v>0.97729180000000004</v>
      </c>
      <c r="Y375">
        <v>0.1378327</v>
      </c>
      <c r="Z375">
        <v>-1.5184400000000001E-2</v>
      </c>
      <c r="AA375">
        <v>0.99033910000000003</v>
      </c>
      <c r="AB375">
        <v>28</v>
      </c>
      <c r="AC375">
        <v>0.55270000000001496</v>
      </c>
      <c r="AD375">
        <v>-0.17918000000000001</v>
      </c>
      <c r="AE375">
        <v>-0.120300000000042</v>
      </c>
      <c r="AF375">
        <v>0.108615683623751</v>
      </c>
      <c r="AG375">
        <v>-0.17918000000000001</v>
      </c>
      <c r="AH375">
        <v>0.50245158416481805</v>
      </c>
      <c r="AI375">
        <v>109.21652814091701</v>
      </c>
      <c r="AJ375">
        <v>77.801982080129704</v>
      </c>
      <c r="AK375">
        <v>0.54438996460147004</v>
      </c>
      <c r="AL375">
        <v>78.235605818967201</v>
      </c>
      <c r="AM375">
        <v>86.620535460673906</v>
      </c>
      <c r="AN375">
        <v>0.99999996937361901</v>
      </c>
    </row>
    <row r="376" spans="1:40" x14ac:dyDescent="0.25">
      <c r="A376" t="str">
        <f>"20190303170724222"</f>
        <v>20190303170724222</v>
      </c>
      <c r="B376" t="str">
        <f>"1551604044212589"</f>
        <v>1551604044212589</v>
      </c>
      <c r="C376" t="s">
        <v>40</v>
      </c>
      <c r="D376">
        <v>4.8270169999999997</v>
      </c>
      <c r="E376">
        <v>0.54227740000000002</v>
      </c>
      <c r="F376" t="s">
        <v>47</v>
      </c>
      <c r="G376">
        <v>-367.90609999999998</v>
      </c>
      <c r="H376">
        <v>0.94877080000000003</v>
      </c>
      <c r="I376">
        <v>367.56079999999997</v>
      </c>
      <c r="J376">
        <v>-368.42720000000003</v>
      </c>
      <c r="K376">
        <v>1.1212819999999999</v>
      </c>
      <c r="L376">
        <v>367.67590000000001</v>
      </c>
      <c r="M376">
        <v>0.99991059999999998</v>
      </c>
      <c r="N376">
        <v>-1.3297899999999901E-2</v>
      </c>
      <c r="O376">
        <v>-1.409481E-3</v>
      </c>
      <c r="P376">
        <v>0.98000480000000001</v>
      </c>
      <c r="Q376">
        <v>0.1900464</v>
      </c>
      <c r="R376">
        <v>-5.8930419999999997E-2</v>
      </c>
      <c r="S376">
        <v>3.1667179999999999</v>
      </c>
      <c r="T376">
        <v>-0.6799946</v>
      </c>
      <c r="U376">
        <v>-0.45452880000000001</v>
      </c>
      <c r="V376">
        <v>5.755362E-2</v>
      </c>
      <c r="W376">
        <v>0.2030613</v>
      </c>
      <c r="X376">
        <v>0.97747309999999998</v>
      </c>
      <c r="Y376">
        <v>0.13744149999999999</v>
      </c>
      <c r="Z376">
        <v>-1.5168269999999999E-2</v>
      </c>
      <c r="AA376">
        <v>0.99039379999999999</v>
      </c>
      <c r="AB376">
        <v>28</v>
      </c>
      <c r="AC376">
        <v>0.52110000000004597</v>
      </c>
      <c r="AD376">
        <v>-0.172511199999999</v>
      </c>
      <c r="AE376">
        <v>-0.11510000000004</v>
      </c>
      <c r="AF376">
        <v>0.103545154183219</v>
      </c>
      <c r="AG376">
        <v>-0.172511199999999</v>
      </c>
      <c r="AH376">
        <v>0.47194478597159201</v>
      </c>
      <c r="AI376">
        <v>109.648607557422</v>
      </c>
      <c r="AJ376">
        <v>77.625321785987495</v>
      </c>
      <c r="AK376">
        <v>0.51304346218038699</v>
      </c>
      <c r="AL376">
        <v>78.283966950406494</v>
      </c>
      <c r="AM376">
        <v>86.630314751684395</v>
      </c>
      <c r="AN376">
        <v>0.99999998597820206</v>
      </c>
    </row>
    <row r="377" spans="1:40" x14ac:dyDescent="0.25">
      <c r="A377" t="str">
        <f>"20190303170724244"</f>
        <v>20190303170724244</v>
      </c>
      <c r="B377" t="str">
        <f>"1551604044232109"</f>
        <v>1551604044232109</v>
      </c>
      <c r="C377" t="s">
        <v>40</v>
      </c>
      <c r="D377">
        <v>4.8535789999999999</v>
      </c>
      <c r="E377">
        <v>0.54240699999999997</v>
      </c>
      <c r="F377" t="s">
        <v>47</v>
      </c>
      <c r="G377">
        <v>-367.65570000000002</v>
      </c>
      <c r="H377">
        <v>0.95486879999999996</v>
      </c>
      <c r="I377">
        <v>367.56459999999998</v>
      </c>
      <c r="J377">
        <v>-368.14589999999998</v>
      </c>
      <c r="K377">
        <v>1.121278</v>
      </c>
      <c r="L377">
        <v>367.67559999999997</v>
      </c>
      <c r="M377">
        <v>0.99991180000000002</v>
      </c>
      <c r="N377">
        <v>-1.320986E-2</v>
      </c>
      <c r="O377">
        <v>-1.3833509999999999E-3</v>
      </c>
      <c r="P377">
        <v>0.9800953</v>
      </c>
      <c r="Q377">
        <v>0.18966450000000001</v>
      </c>
      <c r="R377">
        <v>-5.866002E-2</v>
      </c>
      <c r="S377">
        <v>3.16629</v>
      </c>
      <c r="T377">
        <v>-0.68308150000000001</v>
      </c>
      <c r="U377">
        <v>-0.45602419999999999</v>
      </c>
      <c r="V377">
        <v>5.7303560000000003E-2</v>
      </c>
      <c r="W377">
        <v>0.2025962</v>
      </c>
      <c r="X377">
        <v>0.97758429999999996</v>
      </c>
      <c r="Y377">
        <v>0.13790520000000001</v>
      </c>
      <c r="Z377">
        <v>-1.528417E-2</v>
      </c>
      <c r="AA377">
        <v>0.99032750000000003</v>
      </c>
      <c r="AB377">
        <v>28</v>
      </c>
      <c r="AC377">
        <v>0.490199999999958</v>
      </c>
      <c r="AD377">
        <v>-0.16640920000000001</v>
      </c>
      <c r="AE377">
        <v>-0.11099999999999</v>
      </c>
      <c r="AF377">
        <v>9.9422919640159299E-2</v>
      </c>
      <c r="AG377">
        <v>-0.16640920000000001</v>
      </c>
      <c r="AH377">
        <v>0.44191060721118097</v>
      </c>
      <c r="AI377">
        <v>110.17253586108799</v>
      </c>
      <c r="AJ377">
        <v>77.320476286822199</v>
      </c>
      <c r="AK377">
        <v>0.48255768935969501</v>
      </c>
      <c r="AL377">
        <v>78.311180939403101</v>
      </c>
      <c r="AM377">
        <v>86.645302670541994</v>
      </c>
      <c r="AN377">
        <v>0.99999999092480096</v>
      </c>
    </row>
    <row r="378" spans="1:40" x14ac:dyDescent="0.25">
      <c r="A378" t="str">
        <f>"20190303170724268"</f>
        <v>20190303170724268</v>
      </c>
      <c r="B378" t="str">
        <f>"1551604044262365"</f>
        <v>1551604044262365</v>
      </c>
      <c r="C378" t="s">
        <v>40</v>
      </c>
      <c r="D378">
        <v>4.8659919999999897</v>
      </c>
      <c r="E378">
        <v>0.54256179999999998</v>
      </c>
      <c r="F378" t="s">
        <v>47</v>
      </c>
      <c r="G378">
        <v>-367.40519999999998</v>
      </c>
      <c r="H378">
        <v>0.96105240000000003</v>
      </c>
      <c r="I378">
        <v>367.5686</v>
      </c>
      <c r="J378">
        <v>-367.86509999999998</v>
      </c>
      <c r="K378">
        <v>1.1212819999999999</v>
      </c>
      <c r="L378">
        <v>367.67520000000002</v>
      </c>
      <c r="M378">
        <v>0.99991300000000005</v>
      </c>
      <c r="N378">
        <v>-1.311728E-2</v>
      </c>
      <c r="O378">
        <v>-1.333978E-3</v>
      </c>
      <c r="P378">
        <v>0.98005810000000004</v>
      </c>
      <c r="Q378">
        <v>0.19003919999999999</v>
      </c>
      <c r="R378">
        <v>-5.8059640000000003E-2</v>
      </c>
      <c r="S378">
        <v>3.166229</v>
      </c>
      <c r="T378">
        <v>-0.68501230000000002</v>
      </c>
      <c r="U378">
        <v>-0.4555054</v>
      </c>
      <c r="V378">
        <v>5.674423E-2</v>
      </c>
      <c r="W378">
        <v>0.20288200000000001</v>
      </c>
      <c r="X378">
        <v>0.97755769999999997</v>
      </c>
      <c r="Y378">
        <v>0.13778319999999999</v>
      </c>
      <c r="Z378">
        <v>-1.5313729999999999E-2</v>
      </c>
      <c r="AA378">
        <v>0.990344</v>
      </c>
      <c r="AB378">
        <v>28</v>
      </c>
      <c r="AC378">
        <v>0.45990000000000397</v>
      </c>
      <c r="AD378">
        <v>-0.160229599999999</v>
      </c>
      <c r="AE378">
        <v>-0.106600000000014</v>
      </c>
      <c r="AF378">
        <v>9.5038469970480696E-2</v>
      </c>
      <c r="AG378">
        <v>-0.160229599999999</v>
      </c>
      <c r="AH378">
        <v>0.41252167728692402</v>
      </c>
      <c r="AI378">
        <v>110.731656592115</v>
      </c>
      <c r="AJ378">
        <v>77.026331061747598</v>
      </c>
      <c r="AK378">
        <v>0.45263668623091902</v>
      </c>
      <c r="AL378">
        <v>78.294459053110302</v>
      </c>
      <c r="AM378">
        <v>86.677883394588903</v>
      </c>
      <c r="AN378">
        <v>1.0000000351957901</v>
      </c>
    </row>
    <row r="379" spans="1:40" x14ac:dyDescent="0.25">
      <c r="A379" t="str">
        <f>"20190303170724288"</f>
        <v>20190303170724288</v>
      </c>
      <c r="B379" t="str">
        <f>"1551604044282862"</f>
        <v>1551604044282862</v>
      </c>
      <c r="C379" t="s">
        <v>40</v>
      </c>
      <c r="D379">
        <v>4.8564309999999997</v>
      </c>
      <c r="E379">
        <v>0.54263039999999996</v>
      </c>
      <c r="F379" t="s">
        <v>47</v>
      </c>
      <c r="G379">
        <v>-367.15449999999998</v>
      </c>
      <c r="H379">
        <v>0.96766810000000003</v>
      </c>
      <c r="I379">
        <v>367.5727</v>
      </c>
      <c r="J379">
        <v>-367.60480000000001</v>
      </c>
      <c r="K379">
        <v>1.1212839999999999</v>
      </c>
      <c r="L379">
        <v>367.67489999999998</v>
      </c>
      <c r="M379">
        <v>0.99991450000000004</v>
      </c>
      <c r="N379">
        <v>-1.3022499999999999E-2</v>
      </c>
      <c r="O379">
        <v>-1.2698049999999999E-3</v>
      </c>
      <c r="P379">
        <v>0.98004009999999997</v>
      </c>
      <c r="Q379">
        <v>0.19023209999999999</v>
      </c>
      <c r="R379">
        <v>-5.7738940000000002E-2</v>
      </c>
      <c r="S379">
        <v>3.1668400000000001</v>
      </c>
      <c r="T379">
        <v>-0.68466640000000001</v>
      </c>
      <c r="U379">
        <v>-0.45526119999999998</v>
      </c>
      <c r="V379">
        <v>5.6477979999999997E-2</v>
      </c>
      <c r="W379">
        <v>0.20298430000000001</v>
      </c>
      <c r="X379">
        <v>0.97755190000000003</v>
      </c>
      <c r="Y379">
        <v>0.13775029999999999</v>
      </c>
      <c r="Z379">
        <v>-1.530635E-2</v>
      </c>
      <c r="AA379">
        <v>0.99034869999999997</v>
      </c>
      <c r="AB379">
        <v>28</v>
      </c>
      <c r="AC379">
        <v>0.45030000000002701</v>
      </c>
      <c r="AD379">
        <v>-0.153615899999999</v>
      </c>
      <c r="AE379">
        <v>-0.102199999999982</v>
      </c>
      <c r="AF379">
        <v>9.1501073488362006E-2</v>
      </c>
      <c r="AG379">
        <v>-0.153615899999999</v>
      </c>
      <c r="AH379">
        <v>0.4055451729042</v>
      </c>
      <c r="AI379">
        <v>110.2792900263</v>
      </c>
      <c r="AJ379">
        <v>77.285544279773404</v>
      </c>
      <c r="AK379">
        <v>0.44321234013532401</v>
      </c>
      <c r="AL379">
        <v>78.288473352125607</v>
      </c>
      <c r="AM379">
        <v>86.693416878242502</v>
      </c>
      <c r="AN379">
        <v>1.0000000527324799</v>
      </c>
    </row>
    <row r="380" spans="1:40" x14ac:dyDescent="0.25">
      <c r="A380" t="str">
        <f>"20190303170724312"</f>
        <v>20190303170724312</v>
      </c>
      <c r="B380" t="str">
        <f>"1551604044302385"</f>
        <v>1551604044302385</v>
      </c>
      <c r="C380" t="s">
        <v>40</v>
      </c>
      <c r="D380">
        <v>4.9042320000000004</v>
      </c>
      <c r="E380">
        <v>0.54266259999999999</v>
      </c>
      <c r="F380" t="s">
        <v>47</v>
      </c>
      <c r="G380">
        <v>-366.90570000000002</v>
      </c>
      <c r="H380">
        <v>0.97024739999999998</v>
      </c>
      <c r="I380">
        <v>367.57420000000002</v>
      </c>
      <c r="J380">
        <v>-367.31310000000002</v>
      </c>
      <c r="K380">
        <v>1.121281</v>
      </c>
      <c r="L380">
        <v>367.67469999999997</v>
      </c>
      <c r="M380">
        <v>0.99991609999999997</v>
      </c>
      <c r="N380">
        <v>-1.2907129999999999E-2</v>
      </c>
      <c r="O380">
        <v>-1.1767769999999999E-3</v>
      </c>
      <c r="P380">
        <v>0.97998399999999997</v>
      </c>
      <c r="Q380">
        <v>0.19062680000000001</v>
      </c>
      <c r="R380">
        <v>-5.7383799999999999E-2</v>
      </c>
      <c r="S380">
        <v>3.1671450000000001</v>
      </c>
      <c r="T380">
        <v>-0.68441819999999998</v>
      </c>
      <c r="U380">
        <v>-0.45480350000000003</v>
      </c>
      <c r="V380">
        <v>5.620621E-2</v>
      </c>
      <c r="W380">
        <v>0.20326720000000001</v>
      </c>
      <c r="X380">
        <v>0.97750870000000001</v>
      </c>
      <c r="Y380">
        <v>0.137692799999999</v>
      </c>
      <c r="Z380">
        <v>-1.53039E-2</v>
      </c>
      <c r="AA380">
        <v>0.99035669999999998</v>
      </c>
      <c r="AB380">
        <v>28</v>
      </c>
      <c r="AC380">
        <v>0.40739999999999499</v>
      </c>
      <c r="AD380">
        <v>-0.15103359999999999</v>
      </c>
      <c r="AE380">
        <v>-0.100499999999954</v>
      </c>
      <c r="AF380">
        <v>8.85486736617003E-2</v>
      </c>
      <c r="AG380">
        <v>-0.15103359999999999</v>
      </c>
      <c r="AH380">
        <v>0.360777921581318</v>
      </c>
      <c r="AI380">
        <v>112.125010009178</v>
      </c>
      <c r="AJ380">
        <v>76.210017913581595</v>
      </c>
      <c r="AK380">
        <v>0.40101461898133101</v>
      </c>
      <c r="AL380">
        <v>78.271918350917304</v>
      </c>
      <c r="AM380">
        <v>86.709147875842405</v>
      </c>
      <c r="AN380">
        <v>0.99999997560704601</v>
      </c>
    </row>
    <row r="381" spans="1:40" x14ac:dyDescent="0.25">
      <c r="A381" t="str">
        <f>"20190303170724334"</f>
        <v>20190303170724334</v>
      </c>
      <c r="B381" t="str">
        <f>"1551604044322877"</f>
        <v>1551604044322877</v>
      </c>
      <c r="C381" t="s">
        <v>40</v>
      </c>
      <c r="D381">
        <v>4.8290240000000004</v>
      </c>
      <c r="E381">
        <v>0.51176679999999997</v>
      </c>
      <c r="F381" t="s">
        <v>47</v>
      </c>
      <c r="G381">
        <v>-366.42880000000002</v>
      </c>
      <c r="H381">
        <v>0.93052199999999996</v>
      </c>
      <c r="I381">
        <v>367.54750000000001</v>
      </c>
      <c r="J381">
        <v>-367.0367</v>
      </c>
      <c r="K381">
        <v>1.1212850000000001</v>
      </c>
      <c r="L381">
        <v>367.67450000000002</v>
      </c>
      <c r="M381">
        <v>0.99991770000000002</v>
      </c>
      <c r="N381">
        <v>-1.2795320000000001E-2</v>
      </c>
      <c r="O381">
        <v>-1.0690630000000001E-3</v>
      </c>
      <c r="P381">
        <v>0.97983980000000004</v>
      </c>
      <c r="Q381">
        <v>0.19176360000000001</v>
      </c>
      <c r="R381">
        <v>-5.6044669999999998E-2</v>
      </c>
      <c r="S381">
        <v>3.1675110000000002</v>
      </c>
      <c r="T381">
        <v>-0.68325459999999905</v>
      </c>
      <c r="U381">
        <v>-0.45556639999999998</v>
      </c>
      <c r="V381">
        <v>5.4966189999999998E-2</v>
      </c>
      <c r="W381">
        <v>0.20429420000000001</v>
      </c>
      <c r="X381">
        <v>0.97736509999999999</v>
      </c>
      <c r="Y381">
        <v>0.13802029999999901</v>
      </c>
      <c r="Z381">
        <v>-1.532854E-2</v>
      </c>
      <c r="AA381">
        <v>0.99031080000000005</v>
      </c>
      <c r="AB381">
        <v>28</v>
      </c>
      <c r="AC381">
        <v>0.60789999999997202</v>
      </c>
      <c r="AD381">
        <v>-0.19076299999999999</v>
      </c>
      <c r="AE381">
        <v>-0.12700000000000899</v>
      </c>
      <c r="AF381">
        <v>0.11545599218762601</v>
      </c>
      <c r="AG381">
        <v>-0.19076299999999999</v>
      </c>
      <c r="AH381">
        <v>0.55561012624254502</v>
      </c>
      <c r="AI381">
        <v>108.580510679721</v>
      </c>
      <c r="AJ381">
        <v>78.260980255472703</v>
      </c>
      <c r="AK381">
        <v>0.59868457528508801</v>
      </c>
      <c r="AL381">
        <v>78.211814331369396</v>
      </c>
      <c r="AM381">
        <v>86.781124361559904</v>
      </c>
      <c r="AN381">
        <v>0.99999997044738198</v>
      </c>
    </row>
    <row r="382" spans="1:40" x14ac:dyDescent="0.25">
      <c r="A382" t="str">
        <f>"20190303170724357"</f>
        <v>20190303170724357</v>
      </c>
      <c r="B382" t="str">
        <f>"1551604044353134"</f>
        <v>1551604044353134</v>
      </c>
      <c r="C382" t="s">
        <v>40</v>
      </c>
      <c r="D382">
        <v>4.916658</v>
      </c>
      <c r="E382">
        <v>0.47980879999999998</v>
      </c>
      <c r="F382" t="s">
        <v>47</v>
      </c>
      <c r="G382">
        <v>-366.15960000000001</v>
      </c>
      <c r="H382">
        <v>0.97758630000000002</v>
      </c>
      <c r="I382">
        <v>367.61470000000003</v>
      </c>
      <c r="J382">
        <v>-366.76519999999999</v>
      </c>
      <c r="K382">
        <v>1.1212879999999901</v>
      </c>
      <c r="L382">
        <v>367.67430000000002</v>
      </c>
      <c r="M382">
        <v>0.99991909999999895</v>
      </c>
      <c r="N382">
        <v>-1.268707E-2</v>
      </c>
      <c r="O382">
        <v>-9.4868090000000001E-4</v>
      </c>
      <c r="P382">
        <v>0.97980860000000003</v>
      </c>
      <c r="Q382">
        <v>0.19228819999999999</v>
      </c>
      <c r="R382">
        <v>-5.4777819999999998E-2</v>
      </c>
      <c r="S382">
        <v>3.1506349999999999</v>
      </c>
      <c r="T382">
        <v>-0.51642920000000003</v>
      </c>
      <c r="U382">
        <v>-0.2128601</v>
      </c>
      <c r="V382">
        <v>5.3812699999999998E-2</v>
      </c>
      <c r="W382">
        <v>0.2047139</v>
      </c>
      <c r="X382">
        <v>0.97734149999999997</v>
      </c>
      <c r="Y382">
        <v>6.5532359999999998E-2</v>
      </c>
      <c r="Z382">
        <v>-5.6060509999999999E-3</v>
      </c>
      <c r="AA382">
        <v>0.99783469999999996</v>
      </c>
      <c r="AB382">
        <v>28</v>
      </c>
      <c r="AC382">
        <v>0.60559999999998104</v>
      </c>
      <c r="AD382">
        <v>-0.14370169999999899</v>
      </c>
      <c r="AE382">
        <v>-5.9599999999989002E-2</v>
      </c>
      <c r="AF382">
        <v>5.5907683226849997E-2</v>
      </c>
      <c r="AG382">
        <v>-0.14370169999999899</v>
      </c>
      <c r="AH382">
        <v>0.57366550246557002</v>
      </c>
      <c r="AI382">
        <v>103.999362474319</v>
      </c>
      <c r="AJ382">
        <v>84.433706977298101</v>
      </c>
      <c r="AK382">
        <v>0.59402689867190295</v>
      </c>
      <c r="AL382">
        <v>78.187248427248505</v>
      </c>
      <c r="AM382">
        <v>86.848460342385295</v>
      </c>
      <c r="AN382">
        <v>0.99999999757837399</v>
      </c>
    </row>
    <row r="383" spans="1:40" x14ac:dyDescent="0.25">
      <c r="A383" t="str">
        <f>"20190303170724378"</f>
        <v>20190303170724378</v>
      </c>
      <c r="B383" t="str">
        <f>"1551604044372653"</f>
        <v>1551604044372653</v>
      </c>
      <c r="C383" t="s">
        <v>40</v>
      </c>
      <c r="D383">
        <v>4.0637790000000003</v>
      </c>
      <c r="E383">
        <v>0.47732370000000002</v>
      </c>
      <c r="F383" t="s">
        <v>43</v>
      </c>
      <c r="G383">
        <v>-349.79239999999999</v>
      </c>
      <c r="H383" s="1">
        <v>-5.3455190000000004E-7</v>
      </c>
      <c r="I383">
        <v>367.84769999999997</v>
      </c>
      <c r="J383">
        <v>-366.49059999999997</v>
      </c>
      <c r="K383">
        <v>1.1212850000000001</v>
      </c>
      <c r="L383">
        <v>367.67419999999998</v>
      </c>
      <c r="M383">
        <v>0.9999207</v>
      </c>
      <c r="N383">
        <v>-1.25711E-2</v>
      </c>
      <c r="O383">
        <v>-8.1780539999999895E-4</v>
      </c>
      <c r="P383">
        <v>0.97977440000000005</v>
      </c>
      <c r="Q383">
        <v>0.19281010000000001</v>
      </c>
      <c r="R383">
        <v>-5.3540419999999998E-2</v>
      </c>
      <c r="S383">
        <v>3.1038209999999999</v>
      </c>
      <c r="T383">
        <v>-0.2050507</v>
      </c>
      <c r="U383">
        <v>3.1707760000000001E-2</v>
      </c>
      <c r="V383">
        <v>5.2700219999999999E-2</v>
      </c>
      <c r="W383">
        <v>0.20512269999999999</v>
      </c>
      <c r="X383">
        <v>0.97731639999999997</v>
      </c>
      <c r="Y383">
        <v>-1.1003280000000001E-2</v>
      </c>
      <c r="Z383">
        <v>4.7600669999999998E-4</v>
      </c>
      <c r="AA383">
        <v>0.99993929999999998</v>
      </c>
      <c r="AB383">
        <v>28</v>
      </c>
      <c r="AC383">
        <v>16.6981999999999</v>
      </c>
      <c r="AD383">
        <v>-1.1212855345518999</v>
      </c>
      <c r="AE383">
        <v>0.173499999999989</v>
      </c>
      <c r="AF383">
        <v>-0.18631686156395</v>
      </c>
      <c r="AG383">
        <v>-1.1212855345518999</v>
      </c>
      <c r="AH383">
        <v>16.623104802376801</v>
      </c>
      <c r="AI383">
        <v>93.858709939072995</v>
      </c>
      <c r="AJ383">
        <v>90.642161795496307</v>
      </c>
      <c r="AK383">
        <v>16.661920912478902</v>
      </c>
      <c r="AL383">
        <v>78.163318003280594</v>
      </c>
      <c r="AM383">
        <v>86.913406295453996</v>
      </c>
      <c r="AN383">
        <v>0.99999999047614896</v>
      </c>
    </row>
    <row r="384" spans="1:40" x14ac:dyDescent="0.25">
      <c r="A384" t="str">
        <f>"20190303170724401"</f>
        <v>20190303170724401</v>
      </c>
      <c r="B384" t="str">
        <f>"1551604044392173"</f>
        <v>1551604044392173</v>
      </c>
      <c r="C384" t="s">
        <v>40</v>
      </c>
      <c r="D384">
        <v>5.0361039999999999</v>
      </c>
      <c r="E384">
        <v>0.47818939999999999</v>
      </c>
      <c r="F384" t="s">
        <v>47</v>
      </c>
      <c r="G384">
        <v>-365.62849999999997</v>
      </c>
      <c r="H384">
        <v>1.0343309999999999</v>
      </c>
      <c r="I384">
        <v>367.6902</v>
      </c>
      <c r="J384">
        <v>-366.19979999999998</v>
      </c>
      <c r="K384">
        <v>1.1212759999999999</v>
      </c>
      <c r="L384">
        <v>367.67410000000001</v>
      </c>
      <c r="M384">
        <v>0.99992250000000005</v>
      </c>
      <c r="N384">
        <v>-1.2437760000000001E-2</v>
      </c>
      <c r="O384">
        <v>-6.7410899999999999E-4</v>
      </c>
      <c r="P384">
        <v>0.97959479999999999</v>
      </c>
      <c r="Q384">
        <v>0.1937083</v>
      </c>
      <c r="R384">
        <v>-5.3585800000000003E-2</v>
      </c>
      <c r="S384">
        <v>3.127319</v>
      </c>
      <c r="T384">
        <v>-0.3157488</v>
      </c>
      <c r="U384">
        <v>5.9143069999999999E-2</v>
      </c>
      <c r="V384">
        <v>5.288408E-2</v>
      </c>
      <c r="W384">
        <v>0.2058885</v>
      </c>
      <c r="X384">
        <v>0.97714540000000005</v>
      </c>
      <c r="Y384">
        <v>-1.9468570000000001E-2</v>
      </c>
      <c r="Z384">
        <v>1.161191E-3</v>
      </c>
      <c r="AA384">
        <v>0.99980979999999997</v>
      </c>
      <c r="AB384">
        <v>28</v>
      </c>
      <c r="AC384">
        <v>0.57130000000000702</v>
      </c>
      <c r="AD384">
        <v>-8.6944999999999995E-2</v>
      </c>
      <c r="AE384">
        <v>1.60999999999944E-2</v>
      </c>
      <c r="AF384">
        <v>-1.6112261641002799E-2</v>
      </c>
      <c r="AG384">
        <v>-8.6944999999999995E-2</v>
      </c>
      <c r="AH384">
        <v>0.55836684111164703</v>
      </c>
      <c r="AI384">
        <v>98.847000270789493</v>
      </c>
      <c r="AJ384">
        <v>91.652871229870598</v>
      </c>
      <c r="AK384">
        <v>0.56532518717388502</v>
      </c>
      <c r="AL384">
        <v>78.118483664473004</v>
      </c>
      <c r="AM384">
        <v>86.902117771537505</v>
      </c>
      <c r="AN384">
        <v>0.999999966545427</v>
      </c>
    </row>
    <row r="385" spans="1:40" x14ac:dyDescent="0.25">
      <c r="A385" t="str">
        <f>"20190303170724423"</f>
        <v>20190303170724423</v>
      </c>
      <c r="B385" t="str">
        <f>"1551604044412669"</f>
        <v>1551604044412669</v>
      </c>
      <c r="C385" t="s">
        <v>40</v>
      </c>
      <c r="D385">
        <v>4.1074080000000004</v>
      </c>
      <c r="E385">
        <v>0.47578019999999999</v>
      </c>
      <c r="F385" t="s">
        <v>47</v>
      </c>
      <c r="G385">
        <v>-365.38529999999997</v>
      </c>
      <c r="H385">
        <v>1.032619</v>
      </c>
      <c r="I385">
        <v>367.6875</v>
      </c>
      <c r="J385">
        <v>-365.93970000000002</v>
      </c>
      <c r="K385">
        <v>1.1212690000000001</v>
      </c>
      <c r="L385">
        <v>367.67399999999998</v>
      </c>
      <c r="M385">
        <v>0.99992409999999998</v>
      </c>
      <c r="N385">
        <v>-1.2314790000000001E-2</v>
      </c>
      <c r="O385">
        <v>-5.441081E-4</v>
      </c>
      <c r="P385">
        <v>0.97958020000000001</v>
      </c>
      <c r="Q385">
        <v>0.19398879999999999</v>
      </c>
      <c r="R385">
        <v>-5.2829920000000002E-2</v>
      </c>
      <c r="S385">
        <v>3.1328429999999998</v>
      </c>
      <c r="T385">
        <v>-0.34117999999999998</v>
      </c>
      <c r="U385">
        <v>5.2581790000000003E-2</v>
      </c>
      <c r="V385">
        <v>5.2254389999999998E-2</v>
      </c>
      <c r="W385">
        <v>0.20604900000000001</v>
      </c>
      <c r="X385">
        <v>0.9771455</v>
      </c>
      <c r="Y385">
        <v>-1.720992E-2</v>
      </c>
      <c r="Z385">
        <v>1.0930110000000001E-3</v>
      </c>
      <c r="AA385">
        <v>0.9998513</v>
      </c>
      <c r="AB385">
        <v>28</v>
      </c>
      <c r="AC385">
        <v>0.55440000000004297</v>
      </c>
      <c r="AD385">
        <v>-8.8650000000000104E-2</v>
      </c>
      <c r="AE385">
        <v>1.3499999999964899E-2</v>
      </c>
      <c r="AF385">
        <v>-1.3457778504823201E-2</v>
      </c>
      <c r="AG385">
        <v>-8.8650000000000104E-2</v>
      </c>
      <c r="AH385">
        <v>0.54057878990360697</v>
      </c>
      <c r="AI385">
        <v>99.310256821916099</v>
      </c>
      <c r="AJ385">
        <v>91.426091234169405</v>
      </c>
      <c r="AK385">
        <v>0.54796474557760799</v>
      </c>
      <c r="AL385">
        <v>78.109086840346805</v>
      </c>
      <c r="AM385">
        <v>86.938933953133798</v>
      </c>
      <c r="AN385">
        <v>1.0000000199227601</v>
      </c>
    </row>
    <row r="386" spans="1:40" x14ac:dyDescent="0.25">
      <c r="A386" t="str">
        <f>"20190303170724445"</f>
        <v>20190303170724445</v>
      </c>
      <c r="B386" t="str">
        <f>"1551604044442926"</f>
        <v>1551604044442926</v>
      </c>
      <c r="C386" t="s">
        <v>40</v>
      </c>
      <c r="D386">
        <v>5.0666679999999999</v>
      </c>
      <c r="E386">
        <v>0.47519169999999999</v>
      </c>
      <c r="F386" t="s">
        <v>43</v>
      </c>
      <c r="G386">
        <v>-353.69290000000001</v>
      </c>
      <c r="H386" s="1">
        <v>-2.9826270000000001E-6</v>
      </c>
      <c r="I386">
        <v>367.9556</v>
      </c>
      <c r="J386">
        <v>-365.66520000000003</v>
      </c>
      <c r="K386">
        <v>1.121248</v>
      </c>
      <c r="L386">
        <v>367.67399999999998</v>
      </c>
      <c r="M386">
        <v>0.99992570000000003</v>
      </c>
      <c r="N386">
        <v>-1.218121E-2</v>
      </c>
      <c r="O386">
        <v>-4.0703469999999999E-4</v>
      </c>
      <c r="P386">
        <v>0.9796146</v>
      </c>
      <c r="Q386">
        <v>0.19378970000000001</v>
      </c>
      <c r="R386">
        <v>-5.2923659999999997E-2</v>
      </c>
      <c r="S386">
        <v>3.1230470000000001</v>
      </c>
      <c r="T386">
        <v>-0.28593210000000002</v>
      </c>
      <c r="U386">
        <v>7.1807860000000001E-2</v>
      </c>
      <c r="V386">
        <v>5.2481720000000003E-2</v>
      </c>
      <c r="W386">
        <v>0.2057195</v>
      </c>
      <c r="X386">
        <v>0.97720269999999998</v>
      </c>
      <c r="Y386">
        <v>-2.3282150000000001E-2</v>
      </c>
      <c r="Z386">
        <v>1.2378370000000001E-3</v>
      </c>
      <c r="AA386">
        <v>0.99972810000000001</v>
      </c>
      <c r="AB386">
        <v>28</v>
      </c>
      <c r="AC386">
        <v>11.972300000000001</v>
      </c>
      <c r="AD386">
        <v>-1.1212509826270001</v>
      </c>
      <c r="AE386">
        <v>0.28159999999996899</v>
      </c>
      <c r="AF386">
        <v>-0.283984025355069</v>
      </c>
      <c r="AG386">
        <v>-1.1212509826270001</v>
      </c>
      <c r="AH386">
        <v>11.868146095934501</v>
      </c>
      <c r="AI386">
        <v>95.395502207556007</v>
      </c>
      <c r="AJ386">
        <v>91.370726450309704</v>
      </c>
      <c r="AK386">
        <v>11.924375977263701</v>
      </c>
      <c r="AL386">
        <v>78.128378632386699</v>
      </c>
      <c r="AM386">
        <v>86.925822046614101</v>
      </c>
      <c r="AN386">
        <v>0.99999998025084902</v>
      </c>
    </row>
    <row r="387" spans="1:40" x14ac:dyDescent="0.25">
      <c r="A387" t="str">
        <f>"20190303170724470"</f>
        <v>20190303170724470</v>
      </c>
      <c r="B387" t="str">
        <f>"1551604044462445"</f>
        <v>1551604044462445</v>
      </c>
      <c r="C387" t="s">
        <v>40</v>
      </c>
      <c r="D387">
        <v>4.9811930000000002</v>
      </c>
      <c r="E387">
        <v>0.47569159999999999</v>
      </c>
      <c r="F387" t="s">
        <v>43</v>
      </c>
      <c r="G387">
        <v>-347.5446</v>
      </c>
      <c r="H387" s="1">
        <v>-1.410204E-6</v>
      </c>
      <c r="I387">
        <v>368.09960000000001</v>
      </c>
      <c r="J387">
        <v>-365.3655</v>
      </c>
      <c r="K387">
        <v>1.121229</v>
      </c>
      <c r="L387">
        <v>367.67399999999998</v>
      </c>
      <c r="M387">
        <v>0.99992769999999997</v>
      </c>
      <c r="N387">
        <v>-1.2034929999999999E-2</v>
      </c>
      <c r="O387">
        <v>-2.5858169999999999E-4</v>
      </c>
      <c r="P387">
        <v>0.97959700000000005</v>
      </c>
      <c r="Q387">
        <v>0.1936708</v>
      </c>
      <c r="R387">
        <v>-5.368034E-2</v>
      </c>
      <c r="S387">
        <v>3.1043400000000001</v>
      </c>
      <c r="T387">
        <v>-0.19208739999999999</v>
      </c>
      <c r="U387">
        <v>7.2906490000000004E-2</v>
      </c>
      <c r="V387">
        <v>5.3383699999999999E-2</v>
      </c>
      <c r="W387">
        <v>0.2054578</v>
      </c>
      <c r="X387">
        <v>0.97720890000000005</v>
      </c>
      <c r="Y387">
        <v>-2.3682990000000001E-2</v>
      </c>
      <c r="Z387">
        <v>8.8748859999999996E-4</v>
      </c>
      <c r="AA387">
        <v>0.99971909999999997</v>
      </c>
      <c r="AB387">
        <v>28</v>
      </c>
      <c r="AC387">
        <v>17.820899999999899</v>
      </c>
      <c r="AD387">
        <v>-1.121230410204</v>
      </c>
      <c r="AE387">
        <v>0.425599999999974</v>
      </c>
      <c r="AF387">
        <v>-0.428513175641623</v>
      </c>
      <c r="AG387">
        <v>-1.121230410204</v>
      </c>
      <c r="AH387">
        <v>17.750563819268798</v>
      </c>
      <c r="AI387">
        <v>93.613287894628101</v>
      </c>
      <c r="AJ387">
        <v>91.382898531143297</v>
      </c>
      <c r="AK387">
        <v>17.791101626273701</v>
      </c>
      <c r="AL387">
        <v>78.143700235092894</v>
      </c>
      <c r="AM387">
        <v>86.873111279119101</v>
      </c>
      <c r="AN387">
        <v>0.99999998062286899</v>
      </c>
    </row>
    <row r="388" spans="1:40" x14ac:dyDescent="0.25">
      <c r="A388" t="str">
        <f>"20190303170724490"</f>
        <v>20190303170724490</v>
      </c>
      <c r="B388" t="str">
        <f>"1551604044482942"</f>
        <v>1551604044482942</v>
      </c>
      <c r="C388" t="s">
        <v>40</v>
      </c>
      <c r="D388">
        <v>4.897418</v>
      </c>
      <c r="E388">
        <v>0.4769002</v>
      </c>
      <c r="F388" t="s">
        <v>43</v>
      </c>
      <c r="G388">
        <v>-342.32240000000002</v>
      </c>
      <c r="H388" s="1">
        <v>-3.868789E-6</v>
      </c>
      <c r="I388">
        <v>368.1558</v>
      </c>
      <c r="J388">
        <v>-365.09140000000002</v>
      </c>
      <c r="K388">
        <v>1.121218</v>
      </c>
      <c r="L388">
        <v>367.67410000000001</v>
      </c>
      <c r="M388">
        <v>0.99992910000000002</v>
      </c>
      <c r="N388">
        <v>-1.1911140000000001E-2</v>
      </c>
      <c r="O388">
        <v>-1.2422019999999999E-4</v>
      </c>
      <c r="P388">
        <v>0.97950300000000001</v>
      </c>
      <c r="Q388">
        <v>0.19401869999999999</v>
      </c>
      <c r="R388">
        <v>-5.4136480000000001E-2</v>
      </c>
      <c r="S388">
        <v>3.095764</v>
      </c>
      <c r="T388">
        <v>-0.15063409999999999</v>
      </c>
      <c r="U388">
        <v>6.4727779999999999E-2</v>
      </c>
      <c r="V388">
        <v>5.3971280000000003E-2</v>
      </c>
      <c r="W388">
        <v>0.20568359999999999</v>
      </c>
      <c r="X388">
        <v>0.97712920000000003</v>
      </c>
      <c r="Y388">
        <v>-2.0997129999999999E-2</v>
      </c>
      <c r="Z388">
        <v>6.4020389999999998E-4</v>
      </c>
      <c r="AA388">
        <v>0.99977930000000004</v>
      </c>
      <c r="AB388">
        <v>28</v>
      </c>
      <c r="AC388">
        <v>22.768999999999998</v>
      </c>
      <c r="AD388">
        <v>-1.1212218687890001</v>
      </c>
      <c r="AE388">
        <v>0.48169999999998903</v>
      </c>
      <c r="AF388">
        <v>-0.483356994826806</v>
      </c>
      <c r="AG388">
        <v>-1.1212218687890001</v>
      </c>
      <c r="AH388">
        <v>22.713885549089898</v>
      </c>
      <c r="AI388">
        <v>92.825349841028498</v>
      </c>
      <c r="AJ388">
        <v>91.219084089869</v>
      </c>
      <c r="AK388">
        <v>22.7466782014573</v>
      </c>
      <c r="AL388">
        <v>78.130481435300894</v>
      </c>
      <c r="AM388">
        <v>86.838506558721903</v>
      </c>
      <c r="AN388">
        <v>1.00000005793321</v>
      </c>
    </row>
    <row r="389" spans="1:40" x14ac:dyDescent="0.25">
      <c r="A389" t="str">
        <f>"20190303170724512"</f>
        <v>20190303170724512</v>
      </c>
      <c r="B389" t="str">
        <f>"1551604044502465"</f>
        <v>1551604044502465</v>
      </c>
      <c r="C389" t="s">
        <v>40</v>
      </c>
      <c r="D389">
        <v>4.8317300000000003</v>
      </c>
      <c r="E389">
        <v>0.4776397</v>
      </c>
      <c r="F389" t="s">
        <v>43</v>
      </c>
      <c r="G389">
        <v>-339.1979</v>
      </c>
      <c r="H389" s="1">
        <v>-6.5706880000000003E-7</v>
      </c>
      <c r="I389">
        <v>368.12049999999999</v>
      </c>
      <c r="J389">
        <v>-364.83179999999999</v>
      </c>
      <c r="K389">
        <v>1.1212070000000001</v>
      </c>
      <c r="L389">
        <v>367.67419999999998</v>
      </c>
      <c r="M389">
        <v>0.99993030000000005</v>
      </c>
      <c r="N389">
        <v>-1.180455E-2</v>
      </c>
      <c r="O389" s="1">
        <v>1.8678619999999999E-6</v>
      </c>
      <c r="P389">
        <v>0.97943809999999998</v>
      </c>
      <c r="Q389">
        <v>0.1941368</v>
      </c>
      <c r="R389">
        <v>-5.4880129999999999E-2</v>
      </c>
      <c r="S389">
        <v>3.0922550000000002</v>
      </c>
      <c r="T389">
        <v>-0.13389770000000001</v>
      </c>
      <c r="U389">
        <v>5.3314210000000001E-2</v>
      </c>
      <c r="V389">
        <v>5.4838419999999999E-2</v>
      </c>
      <c r="W389">
        <v>0.20569709999999999</v>
      </c>
      <c r="X389">
        <v>0.977078</v>
      </c>
      <c r="Y389">
        <v>-1.7216249999999999E-2</v>
      </c>
      <c r="Z389">
        <v>4.7416599999999999E-4</v>
      </c>
      <c r="AA389">
        <v>0.99985170000000001</v>
      </c>
      <c r="AB389">
        <v>28</v>
      </c>
      <c r="AC389">
        <v>25.633899999999901</v>
      </c>
      <c r="AD389">
        <v>-1.1212076570688001</v>
      </c>
      <c r="AE389">
        <v>0.44630000000000702</v>
      </c>
      <c r="AF389">
        <v>-0.44540026909560798</v>
      </c>
      <c r="AG389">
        <v>-1.1212076570688001</v>
      </c>
      <c r="AH389">
        <v>25.5849684920715</v>
      </c>
      <c r="AI389">
        <v>92.508882394160395</v>
      </c>
      <c r="AJ389">
        <v>90.997342564211294</v>
      </c>
      <c r="AK389">
        <v>25.613396899870001</v>
      </c>
      <c r="AL389">
        <v>78.129690147075095</v>
      </c>
      <c r="AM389">
        <v>86.787649373352593</v>
      </c>
      <c r="AN389">
        <v>0.999999983670253</v>
      </c>
    </row>
    <row r="390" spans="1:40" x14ac:dyDescent="0.25">
      <c r="A390" t="str">
        <f>"20190303170724534"</f>
        <v>20190303170724534</v>
      </c>
      <c r="B390" t="str">
        <f>"1551604044522957"</f>
        <v>1551604044522957</v>
      </c>
      <c r="C390" t="s">
        <v>40</v>
      </c>
      <c r="D390">
        <v>4.8231809999999999</v>
      </c>
      <c r="E390">
        <v>0.47818850000000002</v>
      </c>
      <c r="F390" t="s">
        <v>43</v>
      </c>
      <c r="G390">
        <v>-337.09739999999999</v>
      </c>
      <c r="H390" s="1">
        <v>-1.5009920000000001E-6</v>
      </c>
      <c r="I390">
        <v>368.07479999999998</v>
      </c>
      <c r="J390">
        <v>-364.5598</v>
      </c>
      <c r="K390">
        <v>1.1211979999999999</v>
      </c>
      <c r="L390">
        <v>367.67430000000002</v>
      </c>
      <c r="M390">
        <v>0.99993160000000003</v>
      </c>
      <c r="N390">
        <v>-1.1703399999999999E-2</v>
      </c>
      <c r="O390">
        <v>1.3292330000000001E-4</v>
      </c>
      <c r="P390">
        <v>0.97958630000000002</v>
      </c>
      <c r="Q390">
        <v>0.19335730000000001</v>
      </c>
      <c r="R390">
        <v>-5.4990249999999997E-2</v>
      </c>
      <c r="S390">
        <v>3.0902400000000001</v>
      </c>
      <c r="T390">
        <v>-0.1249276</v>
      </c>
      <c r="U390">
        <v>4.4647220000000001E-2</v>
      </c>
      <c r="V390">
        <v>5.507695E-2</v>
      </c>
      <c r="W390">
        <v>0.20482030000000001</v>
      </c>
      <c r="X390">
        <v>0.97724880000000003</v>
      </c>
      <c r="Y390">
        <v>-1.4298379999999999E-2</v>
      </c>
      <c r="Z390">
        <v>3.6878900000000001E-4</v>
      </c>
      <c r="AA390">
        <v>0.9998977</v>
      </c>
      <c r="AB390">
        <v>28</v>
      </c>
      <c r="AC390">
        <v>27.462399999999999</v>
      </c>
      <c r="AD390">
        <v>-1.1211995009919999</v>
      </c>
      <c r="AE390">
        <v>0.400499999999965</v>
      </c>
      <c r="AF390">
        <v>-0.39618911825917902</v>
      </c>
      <c r="AG390">
        <v>-1.1211995009919999</v>
      </c>
      <c r="AH390">
        <v>27.416763891825699</v>
      </c>
      <c r="AI390">
        <v>92.341542910736607</v>
      </c>
      <c r="AJ390">
        <v>90.8279016656263</v>
      </c>
      <c r="AK390">
        <v>27.442539905019199</v>
      </c>
      <c r="AL390">
        <v>78.181020470034497</v>
      </c>
      <c r="AM390">
        <v>86.774268794078097</v>
      </c>
      <c r="AN390">
        <v>1.0000000214074101</v>
      </c>
    </row>
    <row r="391" spans="1:40" x14ac:dyDescent="0.25">
      <c r="A391" t="str">
        <f>"20190303170724556"</f>
        <v>20190303170724556</v>
      </c>
      <c r="B391" t="str">
        <f>"1551604044542477"</f>
        <v>1551604044542477</v>
      </c>
      <c r="C391" t="s">
        <v>40</v>
      </c>
      <c r="D391">
        <v>4.8218239999999897</v>
      </c>
      <c r="E391">
        <v>0.47896909999999998</v>
      </c>
      <c r="F391" t="s">
        <v>43</v>
      </c>
      <c r="G391">
        <v>-333.11680000000001</v>
      </c>
      <c r="H391" s="1">
        <v>-3.2093389999999999E-6</v>
      </c>
      <c r="I391">
        <v>368.07100000000003</v>
      </c>
      <c r="J391">
        <v>-364.28399999999999</v>
      </c>
      <c r="K391">
        <v>1.1211880000000001</v>
      </c>
      <c r="L391">
        <v>367.67450000000002</v>
      </c>
      <c r="M391">
        <v>0.9999325</v>
      </c>
      <c r="N391">
        <v>-1.161125E-2</v>
      </c>
      <c r="O391">
        <v>2.6540940000000001E-4</v>
      </c>
      <c r="P391">
        <v>0.97975080000000003</v>
      </c>
      <c r="Q391">
        <v>0.19251840000000001</v>
      </c>
      <c r="R391">
        <v>-5.5002879999999997E-2</v>
      </c>
      <c r="S391">
        <v>3.086395</v>
      </c>
      <c r="T391">
        <v>-0.1100549</v>
      </c>
      <c r="U391">
        <v>3.8940429999999998E-2</v>
      </c>
      <c r="V391">
        <v>5.5219480000000001E-2</v>
      </c>
      <c r="W391">
        <v>0.2038932</v>
      </c>
      <c r="X391">
        <v>0.97743460000000004</v>
      </c>
      <c r="Y391">
        <v>-1.234007E-2</v>
      </c>
      <c r="Z391">
        <v>2.8523049999999999E-4</v>
      </c>
      <c r="AA391">
        <v>0.99992380000000003</v>
      </c>
      <c r="AB391">
        <v>28</v>
      </c>
      <c r="AC391">
        <v>31.167199999999902</v>
      </c>
      <c r="AD391">
        <v>-1.121191209339</v>
      </c>
      <c r="AE391">
        <v>0.39649999999994601</v>
      </c>
      <c r="AF391">
        <v>-0.38772569011913699</v>
      </c>
      <c r="AG391">
        <v>-1.121191209339</v>
      </c>
      <c r="AH391">
        <v>31.127029548379799</v>
      </c>
      <c r="AI391">
        <v>92.0627341626614</v>
      </c>
      <c r="AJ391">
        <v>90.713652961285007</v>
      </c>
      <c r="AK391">
        <v>31.149628720811201</v>
      </c>
      <c r="AL391">
        <v>78.235284446630203</v>
      </c>
      <c r="AM391">
        <v>86.766552290295806</v>
      </c>
      <c r="AN391">
        <v>1.00000001262743</v>
      </c>
    </row>
    <row r="392" spans="1:40" x14ac:dyDescent="0.25">
      <c r="A392" t="str">
        <f>"20190303170724579"</f>
        <v>20190303170724579</v>
      </c>
      <c r="B392" t="str">
        <f>"1551604044572734"</f>
        <v>1551604044572734</v>
      </c>
      <c r="C392" t="s">
        <v>40</v>
      </c>
      <c r="D392">
        <v>4.9573039999999997</v>
      </c>
      <c r="E392">
        <v>0.47958859999999998</v>
      </c>
      <c r="F392" t="s">
        <v>43</v>
      </c>
      <c r="G392">
        <v>-331.92090000000002</v>
      </c>
      <c r="H392" s="1">
        <v>-3.73381E-6</v>
      </c>
      <c r="I392">
        <v>368.00639999999999</v>
      </c>
      <c r="J392">
        <v>-363.99400000000003</v>
      </c>
      <c r="K392">
        <v>1.1211880000000001</v>
      </c>
      <c r="L392">
        <v>367.67469999999997</v>
      </c>
      <c r="M392">
        <v>0.99993359999999998</v>
      </c>
      <c r="N392">
        <v>-1.152535E-2</v>
      </c>
      <c r="O392">
        <v>4.0447090000000002E-4</v>
      </c>
      <c r="P392">
        <v>0.97983450000000005</v>
      </c>
      <c r="Q392">
        <v>0.19218579999999999</v>
      </c>
      <c r="R392">
        <v>-5.4672720000000001E-2</v>
      </c>
      <c r="S392">
        <v>3.0848080000000002</v>
      </c>
      <c r="T392">
        <v>-0.1068702</v>
      </c>
      <c r="U392">
        <v>3.1646729999999998E-2</v>
      </c>
      <c r="V392">
        <v>5.5026110000000003E-2</v>
      </c>
      <c r="W392">
        <v>0.20347770000000001</v>
      </c>
      <c r="X392">
        <v>0.97753210000000001</v>
      </c>
      <c r="Y392">
        <v>-9.8461150000000008E-3</v>
      </c>
      <c r="Z392">
        <v>2.1791780000000001E-4</v>
      </c>
      <c r="AA392">
        <v>0.99995149999999999</v>
      </c>
      <c r="AB392">
        <v>28</v>
      </c>
      <c r="AC392">
        <v>32.073099999999997</v>
      </c>
      <c r="AD392">
        <v>-1.1211917338099999</v>
      </c>
      <c r="AE392">
        <v>0.33170000000001199</v>
      </c>
      <c r="AF392">
        <v>-0.31833750404163202</v>
      </c>
      <c r="AG392">
        <v>-1.1211917338099999</v>
      </c>
      <c r="AH392">
        <v>32.034089474025102</v>
      </c>
      <c r="AI392">
        <v>92.004432646298199</v>
      </c>
      <c r="AJ392">
        <v>90.569355813705201</v>
      </c>
      <c r="AK392">
        <v>32.055285026034099</v>
      </c>
      <c r="AL392">
        <v>78.259600766811502</v>
      </c>
      <c r="AM392">
        <v>86.778172122389606</v>
      </c>
      <c r="AN392">
        <v>1.00000002685471</v>
      </c>
    </row>
    <row r="393" spans="1:40" x14ac:dyDescent="0.25">
      <c r="A393" t="str">
        <f>"20190303170724602"</f>
        <v>20190303170724602</v>
      </c>
      <c r="B393" t="str">
        <f>"1551604044592253"</f>
        <v>1551604044592253</v>
      </c>
      <c r="C393" t="s">
        <v>40</v>
      </c>
      <c r="D393">
        <v>4.9561099999999998</v>
      </c>
      <c r="E393">
        <v>0.47990319999999997</v>
      </c>
      <c r="F393" t="s">
        <v>43</v>
      </c>
      <c r="G393">
        <v>-329.59370000000001</v>
      </c>
      <c r="H393" s="1">
        <v>-5.6034459999999996E-7</v>
      </c>
      <c r="I393">
        <v>367.97770000000003</v>
      </c>
      <c r="J393">
        <v>-363.70760000000001</v>
      </c>
      <c r="K393">
        <v>1.121183</v>
      </c>
      <c r="L393">
        <v>367.67500000000001</v>
      </c>
      <c r="M393">
        <v>0.9999344</v>
      </c>
      <c r="N393">
        <v>-1.1451019999999999E-2</v>
      </c>
      <c r="O393">
        <v>5.4173510000000004E-4</v>
      </c>
      <c r="P393">
        <v>0.979742</v>
      </c>
      <c r="Q393">
        <v>0.19262760000000001</v>
      </c>
      <c r="R393">
        <v>-5.4774139999999999E-2</v>
      </c>
      <c r="S393">
        <v>3.0829770000000001</v>
      </c>
      <c r="T393">
        <v>-0.1004815</v>
      </c>
      <c r="U393">
        <v>2.716064E-2</v>
      </c>
      <c r="V393">
        <v>5.5261989999999997E-2</v>
      </c>
      <c r="W393">
        <v>0.2038451</v>
      </c>
      <c r="X393">
        <v>0.97744219999999904</v>
      </c>
      <c r="Y393">
        <v>-8.2619749999999995E-3</v>
      </c>
      <c r="Z393">
        <v>1.704748E-4</v>
      </c>
      <c r="AA393">
        <v>0.99996580000000002</v>
      </c>
      <c r="AB393">
        <v>28</v>
      </c>
      <c r="AC393">
        <v>34.113900000000001</v>
      </c>
      <c r="AD393">
        <v>-1.1211835603446001</v>
      </c>
      <c r="AE393">
        <v>0.30270000000001501</v>
      </c>
      <c r="AF393">
        <v>-0.28391140141057603</v>
      </c>
      <c r="AG393">
        <v>-1.1211835603446001</v>
      </c>
      <c r="AH393">
        <v>34.077252778998897</v>
      </c>
      <c r="AI393">
        <v>91.884356557470596</v>
      </c>
      <c r="AJ393">
        <v>90.4773433117591</v>
      </c>
      <c r="AK393">
        <v>34.096873980229098</v>
      </c>
      <c r="AL393">
        <v>78.238099145384197</v>
      </c>
      <c r="AM393">
        <v>86.764093457622906</v>
      </c>
      <c r="AN393">
        <v>0.99999998333680395</v>
      </c>
    </row>
    <row r="394" spans="1:40" x14ac:dyDescent="0.25">
      <c r="A394" t="str">
        <f>"20190303170724623"</f>
        <v>20190303170724623</v>
      </c>
      <c r="B394" t="str">
        <f>"1551604044612749"</f>
        <v>1551604044612749</v>
      </c>
      <c r="C394" t="s">
        <v>40</v>
      </c>
      <c r="D394">
        <v>4.9548420000000002</v>
      </c>
      <c r="E394">
        <v>0.48025780000000001</v>
      </c>
      <c r="F394" t="s">
        <v>43</v>
      </c>
      <c r="G394">
        <v>-327.6001</v>
      </c>
      <c r="H394" s="1">
        <v>-1.306357E-6</v>
      </c>
      <c r="I394">
        <v>367.9563</v>
      </c>
      <c r="J394">
        <v>-363.44720000000001</v>
      </c>
      <c r="K394">
        <v>1.121181</v>
      </c>
      <c r="L394">
        <v>367.67529999999999</v>
      </c>
      <c r="M394">
        <v>0.99993509999999997</v>
      </c>
      <c r="N394">
        <v>-1.139189E-2</v>
      </c>
      <c r="O394">
        <v>6.6657469999999999E-4</v>
      </c>
      <c r="P394">
        <v>0.97977499999999995</v>
      </c>
      <c r="Q394">
        <v>0.1926223</v>
      </c>
      <c r="R394">
        <v>-5.4201369999999999E-2</v>
      </c>
      <c r="S394">
        <v>3.0821839999999998</v>
      </c>
      <c r="T394">
        <v>-9.570563E-2</v>
      </c>
      <c r="U394">
        <v>2.401733E-2</v>
      </c>
      <c r="V394">
        <v>5.4811560000000002E-2</v>
      </c>
      <c r="W394">
        <v>0.20378260000000001</v>
      </c>
      <c r="X394">
        <v>0.97748060000000003</v>
      </c>
      <c r="Y394">
        <v>-7.1209119999999897E-3</v>
      </c>
      <c r="Z394">
        <v>1.3800370000000001E-4</v>
      </c>
      <c r="AA394">
        <v>0.99997460000000005</v>
      </c>
      <c r="AB394">
        <v>28</v>
      </c>
      <c r="AC394">
        <v>35.847099999999998</v>
      </c>
      <c r="AD394">
        <v>-1.1211823063569999</v>
      </c>
      <c r="AE394">
        <v>0.28100000000000502</v>
      </c>
      <c r="AF394">
        <v>-0.25685237482508999</v>
      </c>
      <c r="AG394">
        <v>-1.1211823063569999</v>
      </c>
      <c r="AH394">
        <v>35.812248613959099</v>
      </c>
      <c r="AI394">
        <v>91.793140355089804</v>
      </c>
      <c r="AJ394">
        <v>90.410929368333001</v>
      </c>
      <c r="AK394">
        <v>35.830715506315997</v>
      </c>
      <c r="AL394">
        <v>78.241756980188597</v>
      </c>
      <c r="AM394">
        <v>86.790539173868197</v>
      </c>
      <c r="AN394">
        <v>0.99999998927437606</v>
      </c>
    </row>
    <row r="395" spans="1:40" x14ac:dyDescent="0.25">
      <c r="A395" t="str">
        <f>"20190303170724645"</f>
        <v>20190303170724645</v>
      </c>
      <c r="B395" t="str">
        <f>"1551604044632270"</f>
        <v>1551604044632270</v>
      </c>
      <c r="C395" t="s">
        <v>40</v>
      </c>
      <c r="D395">
        <v>4.8112269999999997</v>
      </c>
      <c r="E395">
        <v>0.4805605</v>
      </c>
      <c r="F395" t="s">
        <v>43</v>
      </c>
      <c r="G395">
        <v>-326.33330000000001</v>
      </c>
      <c r="H395" s="1">
        <v>-1.851285E-6</v>
      </c>
      <c r="I395">
        <v>367.9479</v>
      </c>
      <c r="J395">
        <v>-363.16449999999998</v>
      </c>
      <c r="K395">
        <v>1.121176</v>
      </c>
      <c r="L395">
        <v>367.67559999999997</v>
      </c>
      <c r="M395">
        <v>0.99993560000000004</v>
      </c>
      <c r="N395">
        <v>-1.1331610000000001E-2</v>
      </c>
      <c r="O395">
        <v>8.0238659999999997E-4</v>
      </c>
      <c r="P395">
        <v>0.97965429999999998</v>
      </c>
      <c r="Q395">
        <v>0.19321459999999999</v>
      </c>
      <c r="R395">
        <v>-5.427597E-2</v>
      </c>
      <c r="S395">
        <v>3.0814509999999999</v>
      </c>
      <c r="T395">
        <v>-9.3088030000000002E-2</v>
      </c>
      <c r="U395">
        <v>2.2644040000000001E-2</v>
      </c>
      <c r="V395">
        <v>5.5019070000000003E-2</v>
      </c>
      <c r="W395">
        <v>0.2043143</v>
      </c>
      <c r="X395">
        <v>0.97735799999999995</v>
      </c>
      <c r="Y395">
        <v>-6.5419229999999998E-3</v>
      </c>
      <c r="Z395">
        <v>1.2072539999999999E-4</v>
      </c>
      <c r="AA395">
        <v>0.99997860000000005</v>
      </c>
      <c r="AB395">
        <v>28</v>
      </c>
      <c r="AC395">
        <v>36.831199999999903</v>
      </c>
      <c r="AD395">
        <v>-1.1211778512849999</v>
      </c>
      <c r="AE395">
        <v>0.27230000000002902</v>
      </c>
      <c r="AF395">
        <v>-0.24252043709565399</v>
      </c>
      <c r="AG395">
        <v>-1.1211778512849999</v>
      </c>
      <c r="AH395">
        <v>36.797310160339499</v>
      </c>
      <c r="AI395">
        <v>91.745168246914602</v>
      </c>
      <c r="AJ395">
        <v>90.377614457206207</v>
      </c>
      <c r="AK395">
        <v>36.815185602857497</v>
      </c>
      <c r="AL395">
        <v>78.210638771605502</v>
      </c>
      <c r="AM395">
        <v>86.778010819841597</v>
      </c>
      <c r="AN395">
        <v>1.00000004570607</v>
      </c>
    </row>
    <row r="396" spans="1:40" x14ac:dyDescent="0.25">
      <c r="A396" t="str">
        <f>"20190303170724670"</f>
        <v>20190303170724670</v>
      </c>
      <c r="B396" t="str">
        <f>"1551604044663032"</f>
        <v>1551604044663032</v>
      </c>
      <c r="C396" t="s">
        <v>40</v>
      </c>
      <c r="D396">
        <v>4.8408499999999997</v>
      </c>
      <c r="E396">
        <v>0.48087550000000001</v>
      </c>
      <c r="F396" t="s">
        <v>43</v>
      </c>
      <c r="G396">
        <v>-324.24299999999999</v>
      </c>
      <c r="H396" s="1">
        <v>-2.751628E-6</v>
      </c>
      <c r="I396">
        <v>367.92770000000002</v>
      </c>
      <c r="J396">
        <v>-362.86619999999999</v>
      </c>
      <c r="K396">
        <v>1.121173</v>
      </c>
      <c r="L396">
        <v>367.67599999999999</v>
      </c>
      <c r="M396">
        <v>0.99993609999999999</v>
      </c>
      <c r="N396">
        <v>-1.127091E-2</v>
      </c>
      <c r="O396">
        <v>9.4612340000000002E-4</v>
      </c>
      <c r="P396">
        <v>0.9797283</v>
      </c>
      <c r="Q396">
        <v>0.192743</v>
      </c>
      <c r="R396">
        <v>-5.4617800000000001E-2</v>
      </c>
      <c r="S396">
        <v>3.0809329999999999</v>
      </c>
      <c r="T396">
        <v>-8.8749649999999999E-2</v>
      </c>
      <c r="U396">
        <v>1.9958500000000001E-2</v>
      </c>
      <c r="V396">
        <v>5.5501889999999998E-2</v>
      </c>
      <c r="W396">
        <v>0.20378399999999999</v>
      </c>
      <c r="X396">
        <v>0.97744140000000002</v>
      </c>
      <c r="Y396">
        <v>-5.5287210000000003E-3</v>
      </c>
      <c r="Z396" s="1">
        <v>9.4194660000000005E-5</v>
      </c>
      <c r="AA396">
        <v>0.99998469999999995</v>
      </c>
      <c r="AB396">
        <v>28</v>
      </c>
      <c r="AC396">
        <v>38.623199999999997</v>
      </c>
      <c r="AD396">
        <v>-1.1211757516280001</v>
      </c>
      <c r="AE396">
        <v>0.25170000000002801</v>
      </c>
      <c r="AF396">
        <v>-0.21497411341261499</v>
      </c>
      <c r="AG396">
        <v>-1.1211757516280001</v>
      </c>
      <c r="AH396">
        <v>38.590903347496798</v>
      </c>
      <c r="AI396">
        <v>91.664111810363295</v>
      </c>
      <c r="AJ396">
        <v>90.3191680145069</v>
      </c>
      <c r="AK396">
        <v>38.607785097196597</v>
      </c>
      <c r="AL396">
        <v>78.241675585484302</v>
      </c>
      <c r="AM396">
        <v>86.750073328607499</v>
      </c>
      <c r="AN396">
        <v>1.0000000344417601</v>
      </c>
    </row>
    <row r="397" spans="1:40" x14ac:dyDescent="0.25">
      <c r="A397" t="str">
        <f>"20190303170724692"</f>
        <v>20190303170724692</v>
      </c>
      <c r="B397" t="str">
        <f>"1551604044682551"</f>
        <v>1551604044682551</v>
      </c>
      <c r="C397" t="s">
        <v>40</v>
      </c>
      <c r="D397">
        <v>4.8792350000000004</v>
      </c>
      <c r="E397">
        <v>0.48104580000000002</v>
      </c>
      <c r="F397" t="s">
        <v>43</v>
      </c>
      <c r="G397">
        <v>-323.0847</v>
      </c>
      <c r="H397" s="1">
        <v>-3.2555380000000002E-6</v>
      </c>
      <c r="I397">
        <v>367.88799999999998</v>
      </c>
      <c r="J397">
        <v>-362.58710000000002</v>
      </c>
      <c r="K397">
        <v>1.1211530000000001</v>
      </c>
      <c r="L397">
        <v>367.6764</v>
      </c>
      <c r="M397">
        <v>0.99993639999999995</v>
      </c>
      <c r="N397">
        <v>-1.1220310000000001E-2</v>
      </c>
      <c r="O397">
        <v>1.0805680000000001E-3</v>
      </c>
      <c r="P397">
        <v>0.97979680000000002</v>
      </c>
      <c r="Q397">
        <v>0.19231580000000001</v>
      </c>
      <c r="R397">
        <v>-5.4889819999999999E-2</v>
      </c>
      <c r="S397">
        <v>3.0800779999999999</v>
      </c>
      <c r="T397">
        <v>-8.6806889999999998E-2</v>
      </c>
      <c r="U397">
        <v>1.6418459999999999E-2</v>
      </c>
      <c r="V397">
        <v>5.5905820000000002E-2</v>
      </c>
      <c r="W397">
        <v>0.20330870000000001</v>
      </c>
      <c r="X397">
        <v>0.97751730000000003</v>
      </c>
      <c r="Y397">
        <v>-4.247631E-3</v>
      </c>
      <c r="Z397" s="1">
        <v>6.5356729999999999E-5</v>
      </c>
      <c r="AA397">
        <v>0.99999099999999996</v>
      </c>
      <c r="AB397">
        <v>28</v>
      </c>
      <c r="AC397">
        <v>39.502400000000002</v>
      </c>
      <c r="AD397">
        <v>-1.1211562555379999</v>
      </c>
      <c r="AE397">
        <v>0.21160000000003201</v>
      </c>
      <c r="AF397">
        <v>-0.16877620554614001</v>
      </c>
      <c r="AG397">
        <v>-1.1211562555379999</v>
      </c>
      <c r="AH397">
        <v>39.470811323374598</v>
      </c>
      <c r="AI397">
        <v>91.627016645117294</v>
      </c>
      <c r="AJ397">
        <v>90.244993832154506</v>
      </c>
      <c r="AK397">
        <v>39.487091856482998</v>
      </c>
      <c r="AL397">
        <v>78.269489919114804</v>
      </c>
      <c r="AM397">
        <v>86.726725984569796</v>
      </c>
      <c r="AN397">
        <v>0.99999998000242596</v>
      </c>
    </row>
    <row r="398" spans="1:40" x14ac:dyDescent="0.25">
      <c r="A398" t="str">
        <f>"20190303170724712"</f>
        <v>20190303170724712</v>
      </c>
      <c r="B398" t="str">
        <f>"1551604044702072"</f>
        <v>1551604044702072</v>
      </c>
      <c r="C398" t="s">
        <v>40</v>
      </c>
      <c r="D398">
        <v>4.8780970000000003</v>
      </c>
      <c r="E398">
        <v>0.48120849999999998</v>
      </c>
      <c r="F398" t="s">
        <v>43</v>
      </c>
      <c r="G398">
        <v>-322.65809999999999</v>
      </c>
      <c r="H398" s="1">
        <v>-3.4445869999999999E-6</v>
      </c>
      <c r="I398">
        <v>367.85399999999998</v>
      </c>
      <c r="J398">
        <v>-362.3252</v>
      </c>
      <c r="K398">
        <v>1.1211420000000001</v>
      </c>
      <c r="L398">
        <v>367.67680000000001</v>
      </c>
      <c r="M398">
        <v>0.99993679999999996</v>
      </c>
      <c r="N398">
        <v>-1.117839E-2</v>
      </c>
      <c r="O398">
        <v>1.206621E-3</v>
      </c>
      <c r="P398">
        <v>0.97987020000000002</v>
      </c>
      <c r="Q398">
        <v>0.1917073</v>
      </c>
      <c r="R398">
        <v>-5.5705419999999999E-2</v>
      </c>
      <c r="S398">
        <v>3.07959</v>
      </c>
      <c r="T398">
        <v>-8.6470959999999999E-2</v>
      </c>
      <c r="U398">
        <v>1.370239E-2</v>
      </c>
      <c r="V398">
        <v>5.6845100000000003E-2</v>
      </c>
      <c r="W398">
        <v>0.2026597</v>
      </c>
      <c r="X398">
        <v>0.97759790000000002</v>
      </c>
      <c r="Y398">
        <v>-3.2410759999999999E-3</v>
      </c>
      <c r="Z398" s="1">
        <v>4.322742E-5</v>
      </c>
      <c r="AA398">
        <v>0.99999479999999996</v>
      </c>
      <c r="AB398">
        <v>28</v>
      </c>
      <c r="AC398">
        <v>39.667099999999998</v>
      </c>
      <c r="AD398">
        <v>-1.1211454445869999</v>
      </c>
      <c r="AE398">
        <v>0.177200000000027</v>
      </c>
      <c r="AF398">
        <v>-0.129230491637254</v>
      </c>
      <c r="AG398">
        <v>-1.1211454445869999</v>
      </c>
      <c r="AH398">
        <v>39.635622823640801</v>
      </c>
      <c r="AI398">
        <v>91.620245435009394</v>
      </c>
      <c r="AJ398">
        <v>90.186810121558395</v>
      </c>
      <c r="AK398">
        <v>39.651686776804397</v>
      </c>
      <c r="AL398">
        <v>78.307465535698498</v>
      </c>
      <c r="AM398">
        <v>86.672127721005296</v>
      </c>
      <c r="AN398">
        <v>0.99999998674125401</v>
      </c>
    </row>
    <row r="399" spans="1:40" x14ac:dyDescent="0.25">
      <c r="A399" t="str">
        <f>"20190303170724735"</f>
        <v>20190303170724735</v>
      </c>
      <c r="B399" t="str">
        <f>"1551604044722568"</f>
        <v>1551604044722568</v>
      </c>
      <c r="C399" t="s">
        <v>40</v>
      </c>
      <c r="D399">
        <v>4.9974319999999999</v>
      </c>
      <c r="E399">
        <v>0.48130099999999998</v>
      </c>
      <c r="F399" t="s">
        <v>43</v>
      </c>
      <c r="G399">
        <v>-322.63920000000002</v>
      </c>
      <c r="H399" s="1">
        <v>-3.4617459999999998E-6</v>
      </c>
      <c r="I399">
        <v>367.803</v>
      </c>
      <c r="J399">
        <v>-362.04660000000001</v>
      </c>
      <c r="K399">
        <v>1.1211390000000001</v>
      </c>
      <c r="L399">
        <v>367.67720000000003</v>
      </c>
      <c r="M399">
        <v>0.99993710000000002</v>
      </c>
      <c r="N399">
        <v>-1.1139059999999999E-2</v>
      </c>
      <c r="O399">
        <v>1.342326E-3</v>
      </c>
      <c r="P399">
        <v>0.97989859999999895</v>
      </c>
      <c r="Q399">
        <v>0.1912827</v>
      </c>
      <c r="R399">
        <v>-5.6656629999999999E-2</v>
      </c>
      <c r="S399">
        <v>3.079224</v>
      </c>
      <c r="T399">
        <v>-8.6989159999999996E-2</v>
      </c>
      <c r="U399">
        <v>9.7961430000000002E-3</v>
      </c>
      <c r="V399">
        <v>5.7929050000000003E-2</v>
      </c>
      <c r="W399">
        <v>0.2021975</v>
      </c>
      <c r="X399">
        <v>0.97763</v>
      </c>
      <c r="Y399">
        <v>-1.8381199999999999E-3</v>
      </c>
      <c r="Z399" s="1">
        <v>1.3236569999999999E-5</v>
      </c>
      <c r="AA399">
        <v>0.99999830000000001</v>
      </c>
      <c r="AB399">
        <v>28</v>
      </c>
      <c r="AC399">
        <v>39.407400000000003</v>
      </c>
      <c r="AD399">
        <v>-1.121142461746</v>
      </c>
      <c r="AE399">
        <v>0.125800000000026</v>
      </c>
      <c r="AF399">
        <v>-7.2840072697005098E-2</v>
      </c>
      <c r="AG399">
        <v>-1.121142461746</v>
      </c>
      <c r="AH399">
        <v>39.375662822793899</v>
      </c>
      <c r="AI399">
        <v>91.630938152462207</v>
      </c>
      <c r="AJ399">
        <v>90.105989936047806</v>
      </c>
      <c r="AK399">
        <v>39.39168806779</v>
      </c>
      <c r="AL399">
        <v>78.334507774165402</v>
      </c>
      <c r="AM399">
        <v>86.608928038556698</v>
      </c>
      <c r="AN399">
        <v>1.0000000103700699</v>
      </c>
    </row>
    <row r="400" spans="1:40" x14ac:dyDescent="0.25">
      <c r="A400" t="str">
        <f>"20190303170724757"</f>
        <v>20190303170724757</v>
      </c>
      <c r="B400" t="str">
        <f>"1551604044752824"</f>
        <v>1551604044752824</v>
      </c>
      <c r="C400" t="s">
        <v>40</v>
      </c>
      <c r="D400">
        <v>4.9382109999999999</v>
      </c>
      <c r="E400">
        <v>0.48144710000000002</v>
      </c>
      <c r="F400" t="s">
        <v>43</v>
      </c>
      <c r="G400">
        <v>-322.24639999999999</v>
      </c>
      <c r="H400" s="1">
        <v>-3.6375229999999999E-6</v>
      </c>
      <c r="I400">
        <v>367.762</v>
      </c>
      <c r="J400">
        <v>-361.77089999999998</v>
      </c>
      <c r="K400">
        <v>1.1211420000000001</v>
      </c>
      <c r="L400">
        <v>367.67779999999999</v>
      </c>
      <c r="M400">
        <v>0.99993719999999997</v>
      </c>
      <c r="N400">
        <v>-1.11047E-2</v>
      </c>
      <c r="O400">
        <v>1.4811869999999999E-3</v>
      </c>
      <c r="P400">
        <v>0.97979090000000002</v>
      </c>
      <c r="Q400">
        <v>0.19143019999999999</v>
      </c>
      <c r="R400">
        <v>-5.8002409999999997E-2</v>
      </c>
      <c r="S400">
        <v>3.0788570000000002</v>
      </c>
      <c r="T400">
        <v>-8.6729050000000002E-2</v>
      </c>
      <c r="U400">
        <v>6.5612789999999997E-3</v>
      </c>
      <c r="V400">
        <v>5.9409289999999997E-2</v>
      </c>
      <c r="W400">
        <v>0.20231089999999999</v>
      </c>
      <c r="X400">
        <v>0.97751770000000004</v>
      </c>
      <c r="Y400">
        <v>-6.4965070000000001E-4</v>
      </c>
      <c r="Z400" s="1">
        <v>-1.2512429999999999E-5</v>
      </c>
      <c r="AA400">
        <v>0.99999979999999999</v>
      </c>
      <c r="AB400">
        <v>28</v>
      </c>
      <c r="AC400">
        <v>39.524499999999897</v>
      </c>
      <c r="AD400">
        <v>-1.121145637523</v>
      </c>
      <c r="AE400">
        <v>8.4199999999952896E-2</v>
      </c>
      <c r="AF400">
        <v>-2.5632495185225802E-2</v>
      </c>
      <c r="AG400">
        <v>-1.121145637523</v>
      </c>
      <c r="AH400">
        <v>39.4928047708121</v>
      </c>
      <c r="AI400">
        <v>91.626110173493501</v>
      </c>
      <c r="AJ400">
        <v>90.037187371087001</v>
      </c>
      <c r="AK400">
        <v>39.508723761098899</v>
      </c>
      <c r="AL400">
        <v>78.327873301594906</v>
      </c>
      <c r="AM400">
        <v>86.522088686251493</v>
      </c>
      <c r="AN400">
        <v>1.0000000089051999</v>
      </c>
    </row>
    <row r="401" spans="1:40" x14ac:dyDescent="0.25">
      <c r="A401" t="str">
        <f>"20190303170724780"</f>
        <v>20190303170724780</v>
      </c>
      <c r="B401" t="str">
        <f>"1551604044772850"</f>
        <v>1551604044772850</v>
      </c>
      <c r="C401" t="s">
        <v>40</v>
      </c>
      <c r="D401">
        <v>4.9409190000000001</v>
      </c>
      <c r="E401">
        <v>0.48155019999999998</v>
      </c>
      <c r="F401" t="s">
        <v>43</v>
      </c>
      <c r="G401">
        <v>-320.87119999999999</v>
      </c>
      <c r="H401" s="1">
        <v>-4.2392689999999996E-6</v>
      </c>
      <c r="I401">
        <v>367.69560000000001</v>
      </c>
      <c r="J401">
        <v>-361.47669999999999</v>
      </c>
      <c r="K401">
        <v>1.1211530000000001</v>
      </c>
      <c r="L401">
        <v>367.67840000000001</v>
      </c>
      <c r="M401">
        <v>0.99993739999999998</v>
      </c>
      <c r="N401">
        <v>-1.107023E-2</v>
      </c>
      <c r="O401">
        <v>1.6364140000000001E-3</v>
      </c>
      <c r="P401">
        <v>0.97956469999999995</v>
      </c>
      <c r="Q401">
        <v>0.1923349</v>
      </c>
      <c r="R401">
        <v>-5.8826009999999998E-2</v>
      </c>
      <c r="S401">
        <v>3.0783999999999998</v>
      </c>
      <c r="T401">
        <v>-8.4385160000000001E-2</v>
      </c>
      <c r="U401">
        <v>1.34277299999999E-3</v>
      </c>
      <c r="V401">
        <v>6.0381740000000003E-2</v>
      </c>
      <c r="W401">
        <v>0.20318030000000001</v>
      </c>
      <c r="X401">
        <v>0.97727779999999997</v>
      </c>
      <c r="Y401">
        <v>1.199472E-3</v>
      </c>
      <c r="Z401" s="1">
        <v>-4.9813030000000001E-5</v>
      </c>
      <c r="AA401">
        <v>0.99999930000000004</v>
      </c>
      <c r="AB401">
        <v>28</v>
      </c>
      <c r="AC401">
        <v>40.605499999999999</v>
      </c>
      <c r="AD401">
        <v>-1.1211572392689999</v>
      </c>
      <c r="AE401">
        <v>1.7200000000002501E-2</v>
      </c>
      <c r="AF401">
        <v>4.9213983548562497E-2</v>
      </c>
      <c r="AG401">
        <v>-1.1211572392689999</v>
      </c>
      <c r="AH401">
        <v>40.574541142317997</v>
      </c>
      <c r="AI401">
        <v>91.5827952047362</v>
      </c>
      <c r="AJ401">
        <v>89.930504397876803</v>
      </c>
      <c r="AK401">
        <v>40.590057951190403</v>
      </c>
      <c r="AL401">
        <v>78.277004277312003</v>
      </c>
      <c r="AM401">
        <v>86.4644376533914</v>
      </c>
      <c r="AN401">
        <v>1.00000004360317</v>
      </c>
    </row>
    <row r="402" spans="1:40" x14ac:dyDescent="0.25">
      <c r="A402" t="str">
        <f>"20190303170724803"</f>
        <v>20190303170724803</v>
      </c>
      <c r="B402" t="str">
        <f>"1551604044792373"</f>
        <v>1551604044792373</v>
      </c>
      <c r="C402" t="s">
        <v>40</v>
      </c>
      <c r="D402">
        <v>4.9319569999999997</v>
      </c>
      <c r="E402">
        <v>0.48158220000000002</v>
      </c>
      <c r="F402" t="s">
        <v>46</v>
      </c>
      <c r="G402">
        <v>-316.81009999999998</v>
      </c>
      <c r="H402">
        <v>-0.05</v>
      </c>
      <c r="I402">
        <v>367.64699999999999</v>
      </c>
      <c r="J402">
        <v>-361.19409999999999</v>
      </c>
      <c r="K402">
        <v>1.121165</v>
      </c>
      <c r="L402">
        <v>367.67899999999997</v>
      </c>
      <c r="M402">
        <v>0.99993759999999998</v>
      </c>
      <c r="N402">
        <v>-1.103605E-2</v>
      </c>
      <c r="O402">
        <v>1.793324E-3</v>
      </c>
      <c r="P402">
        <v>0.97917209999999999</v>
      </c>
      <c r="Q402">
        <v>0.1942305</v>
      </c>
      <c r="R402">
        <v>-5.9134180000000001E-2</v>
      </c>
      <c r="S402">
        <v>3.0782780000000001</v>
      </c>
      <c r="T402">
        <v>-8.0711959999999999E-2</v>
      </c>
      <c r="U402">
        <v>-2.166748E-3</v>
      </c>
      <c r="V402">
        <v>6.083918E-2</v>
      </c>
      <c r="W402">
        <v>0.20503869999999999</v>
      </c>
      <c r="X402">
        <v>0.97686119999999999</v>
      </c>
      <c r="Y402">
        <v>2.4958889999999998E-3</v>
      </c>
      <c r="Z402" s="1">
        <v>-7.3714180000000005E-5</v>
      </c>
      <c r="AA402">
        <v>0.99999689999999997</v>
      </c>
      <c r="AB402">
        <v>28</v>
      </c>
      <c r="AC402">
        <v>44.384</v>
      </c>
      <c r="AD402">
        <v>-1.171165</v>
      </c>
      <c r="AE402">
        <v>-3.2000000000039101E-2</v>
      </c>
      <c r="AF402">
        <v>0.111522029566234</v>
      </c>
      <c r="AG402">
        <v>-1.171165</v>
      </c>
      <c r="AH402">
        <v>44.352989193171197</v>
      </c>
      <c r="AI402">
        <v>91.512570212361197</v>
      </c>
      <c r="AJ402">
        <v>89.855934667151004</v>
      </c>
      <c r="AK402">
        <v>44.3685892832966</v>
      </c>
      <c r="AL402">
        <v>78.168235951788802</v>
      </c>
      <c r="AM402">
        <v>86.436206369643102</v>
      </c>
      <c r="AN402">
        <v>1.0000000391931001</v>
      </c>
    </row>
    <row r="403" spans="1:40" x14ac:dyDescent="0.25">
      <c r="A403" t="str">
        <f>"20190303170724824"</f>
        <v>20190303170724824</v>
      </c>
      <c r="B403" t="str">
        <f>"1551604044812866"</f>
        <v>1551604044812866</v>
      </c>
      <c r="C403" t="s">
        <v>40</v>
      </c>
      <c r="D403">
        <v>5.0062870000000004</v>
      </c>
      <c r="E403">
        <v>0.4816375</v>
      </c>
      <c r="F403" t="s">
        <v>46</v>
      </c>
      <c r="G403">
        <v>-312.73390000000001</v>
      </c>
      <c r="H403">
        <v>-0.05</v>
      </c>
      <c r="I403">
        <v>367.61700000000002</v>
      </c>
      <c r="J403">
        <v>-360.92349999999999</v>
      </c>
      <c r="K403">
        <v>1.1211690000000001</v>
      </c>
      <c r="L403">
        <v>367.67970000000003</v>
      </c>
      <c r="M403">
        <v>0.99993770000000004</v>
      </c>
      <c r="N403">
        <v>-1.1004979999999999E-2</v>
      </c>
      <c r="O403">
        <v>1.9520620000000001E-3</v>
      </c>
      <c r="P403">
        <v>0.97891349999999999</v>
      </c>
      <c r="Q403">
        <v>0.1955287</v>
      </c>
      <c r="R403">
        <v>-5.9137830000000002E-2</v>
      </c>
      <c r="S403">
        <v>3.0783689999999999</v>
      </c>
      <c r="T403">
        <v>-7.4396729999999994E-2</v>
      </c>
      <c r="U403">
        <v>-3.9367680000000002E-3</v>
      </c>
      <c r="V403">
        <v>6.0994159999999999E-2</v>
      </c>
      <c r="W403">
        <v>0.20630470000000001</v>
      </c>
      <c r="X403">
        <v>0.97658489999999998</v>
      </c>
      <c r="Y403">
        <v>3.2294820000000001E-3</v>
      </c>
      <c r="Z403" s="1">
        <v>-8.2481549999999996E-5</v>
      </c>
      <c r="AA403">
        <v>0.99999479999999996</v>
      </c>
      <c r="AB403">
        <v>28</v>
      </c>
      <c r="AC403">
        <v>48.189599999999899</v>
      </c>
      <c r="AD403">
        <v>-1.1711689999999999</v>
      </c>
      <c r="AE403">
        <v>-6.2700000000063399E-2</v>
      </c>
      <c r="AF403">
        <v>0.156682104473675</v>
      </c>
      <c r="AG403">
        <v>-1.1711689999999999</v>
      </c>
      <c r="AH403">
        <v>48.160939412379399</v>
      </c>
      <c r="AI403">
        <v>91.393026467954797</v>
      </c>
      <c r="AJ403">
        <v>89.813600155027501</v>
      </c>
      <c r="AK403">
        <v>48.175432236683697</v>
      </c>
      <c r="AL403">
        <v>78.0941142888841</v>
      </c>
      <c r="AM403">
        <v>86.426143321388807</v>
      </c>
      <c r="AN403">
        <v>0.99999999185210198</v>
      </c>
    </row>
    <row r="404" spans="1:40" x14ac:dyDescent="0.25">
      <c r="A404" t="str">
        <f>"20190303170724848"</f>
        <v>20190303170724848</v>
      </c>
      <c r="B404" t="str">
        <f>"1551604044842146"</f>
        <v>1551604044842146</v>
      </c>
      <c r="C404" t="s">
        <v>40</v>
      </c>
      <c r="D404">
        <v>4.9374510000000003</v>
      </c>
      <c r="E404">
        <v>0.48169119999999999</v>
      </c>
      <c r="F404" t="s">
        <v>46</v>
      </c>
      <c r="G404">
        <v>-308.91300000000001</v>
      </c>
      <c r="H404">
        <v>-0.05</v>
      </c>
      <c r="I404">
        <v>367.61880000000002</v>
      </c>
      <c r="J404">
        <v>-360.6379</v>
      </c>
      <c r="K404">
        <v>1.121178</v>
      </c>
      <c r="L404">
        <v>367.68040000000002</v>
      </c>
      <c r="M404">
        <v>0.99993750000000003</v>
      </c>
      <c r="N404">
        <v>-1.097125E-2</v>
      </c>
      <c r="O404">
        <v>2.127618E-3</v>
      </c>
      <c r="P404">
        <v>0.97914000000000001</v>
      </c>
      <c r="Q404">
        <v>0.19454469999999999</v>
      </c>
      <c r="R404">
        <v>-5.8628260000000001E-2</v>
      </c>
      <c r="S404">
        <v>3.0782470000000002</v>
      </c>
      <c r="T404">
        <v>-6.9315790000000002E-2</v>
      </c>
      <c r="U404">
        <v>-3.6010740000000001E-3</v>
      </c>
      <c r="V404">
        <v>6.0653949999999998E-2</v>
      </c>
      <c r="W404">
        <v>0.20529120000000001</v>
      </c>
      <c r="X404">
        <v>0.97681960000000001</v>
      </c>
      <c r="Y404">
        <v>3.2962030000000002E-3</v>
      </c>
      <c r="Z404" s="1">
        <v>-7.9754510000000004E-5</v>
      </c>
      <c r="AA404">
        <v>0.99999459999999996</v>
      </c>
      <c r="AB404">
        <v>28</v>
      </c>
      <c r="AC404">
        <v>51.724899999999899</v>
      </c>
      <c r="AD404">
        <v>-1.1711780000000001</v>
      </c>
      <c r="AE404">
        <v>-6.1599999999998503E-2</v>
      </c>
      <c r="AF404">
        <v>0.17156935824372199</v>
      </c>
      <c r="AG404">
        <v>-1.1711780000000001</v>
      </c>
      <c r="AH404">
        <v>51.6981472678766</v>
      </c>
      <c r="AI404">
        <v>91.297758522872897</v>
      </c>
      <c r="AJ404">
        <v>89.809854616611503</v>
      </c>
      <c r="AK404">
        <v>51.711696209691603</v>
      </c>
      <c r="AL404">
        <v>78.153453309003197</v>
      </c>
      <c r="AM404">
        <v>86.446877879219301</v>
      </c>
      <c r="AN404">
        <v>0.99999995469610004</v>
      </c>
    </row>
    <row r="405" spans="1:40" x14ac:dyDescent="0.25">
      <c r="A405" t="str">
        <f>"20190303170724871"</f>
        <v>20190303170724871</v>
      </c>
      <c r="B405" t="str">
        <f>"1551604044862642"</f>
        <v>1551604044862642</v>
      </c>
      <c r="C405" t="s">
        <v>40</v>
      </c>
      <c r="D405">
        <v>4.9331579999999997</v>
      </c>
      <c r="E405">
        <v>0.48175380000000001</v>
      </c>
      <c r="F405" t="s">
        <v>46</v>
      </c>
      <c r="G405">
        <v>-309.76929999999999</v>
      </c>
      <c r="H405">
        <v>-0.05</v>
      </c>
      <c r="I405">
        <v>367.64510000000001</v>
      </c>
      <c r="J405">
        <v>-360.34070000000003</v>
      </c>
      <c r="K405">
        <v>1.1211770000000001</v>
      </c>
      <c r="L405">
        <v>367.68130000000002</v>
      </c>
      <c r="M405">
        <v>0.99993770000000004</v>
      </c>
      <c r="N405">
        <v>-1.093482E-2</v>
      </c>
      <c r="O405">
        <v>2.317651E-3</v>
      </c>
      <c r="P405">
        <v>0.97907659999999996</v>
      </c>
      <c r="Q405">
        <v>0.19490950000000001</v>
      </c>
      <c r="R405">
        <v>-5.8478500000000003E-2</v>
      </c>
      <c r="S405">
        <v>3.0778810000000001</v>
      </c>
      <c r="T405">
        <v>-7.0863839999999997E-2</v>
      </c>
      <c r="U405">
        <v>-2.1362299999999998E-3</v>
      </c>
      <c r="V405">
        <v>6.0687539999999998E-2</v>
      </c>
      <c r="W405">
        <v>0.20561969999999999</v>
      </c>
      <c r="X405">
        <v>0.97674850000000002</v>
      </c>
      <c r="Y405">
        <v>3.0104989999999998E-3</v>
      </c>
      <c r="Z405" s="1">
        <v>-7.9126410000000003E-5</v>
      </c>
      <c r="AA405">
        <v>0.99999550000000004</v>
      </c>
      <c r="AB405">
        <v>28</v>
      </c>
      <c r="AC405">
        <v>50.571399999999997</v>
      </c>
      <c r="AD405">
        <v>-1.1711769999999999</v>
      </c>
      <c r="AE405">
        <v>-3.6200000000007997E-2</v>
      </c>
      <c r="AF405">
        <v>0.15333150932190301</v>
      </c>
      <c r="AG405">
        <v>-1.1711769999999999</v>
      </c>
      <c r="AH405">
        <v>50.544071780325901</v>
      </c>
      <c r="AI405">
        <v>91.327379897649607</v>
      </c>
      <c r="AJ405">
        <v>89.826186907950898</v>
      </c>
      <c r="AK405">
        <v>50.557871377776799</v>
      </c>
      <c r="AL405">
        <v>78.134222330540695</v>
      </c>
      <c r="AM405">
        <v>86.444657094649301</v>
      </c>
      <c r="AN405">
        <v>1.0000000353957901</v>
      </c>
    </row>
    <row r="406" spans="1:40" x14ac:dyDescent="0.25">
      <c r="A406" t="str">
        <f>"20190303170724893"</f>
        <v>20190303170724893</v>
      </c>
      <c r="B406" t="str">
        <f>"1551604044882161"</f>
        <v>1551604044882161</v>
      </c>
      <c r="C406" t="s">
        <v>40</v>
      </c>
      <c r="D406">
        <v>4.8174839999999897</v>
      </c>
      <c r="E406">
        <v>0.48178029999999999</v>
      </c>
      <c r="F406" t="s">
        <v>46</v>
      </c>
      <c r="G406">
        <v>-308.10059999999999</v>
      </c>
      <c r="H406">
        <v>-0.05</v>
      </c>
      <c r="I406">
        <v>367.62900000000002</v>
      </c>
      <c r="J406">
        <v>-360.05290000000002</v>
      </c>
      <c r="K406">
        <v>1.1211679999999999</v>
      </c>
      <c r="L406">
        <v>367.68209999999999</v>
      </c>
      <c r="M406">
        <v>0.99993750000000003</v>
      </c>
      <c r="N406">
        <v>-1.0901900000000001E-2</v>
      </c>
      <c r="O406">
        <v>2.5063249999999998E-3</v>
      </c>
      <c r="P406">
        <v>0.97912929999999998</v>
      </c>
      <c r="Q406">
        <v>0.19472419999999999</v>
      </c>
      <c r="R406">
        <v>-5.8209999999999998E-2</v>
      </c>
      <c r="S406">
        <v>3.0776669999999999</v>
      </c>
      <c r="T406">
        <v>-6.8998580000000004E-2</v>
      </c>
      <c r="U406">
        <v>-3.0822750000000002E-3</v>
      </c>
      <c r="V406">
        <v>6.0602719999999999E-2</v>
      </c>
      <c r="W406">
        <v>0.20540359999999999</v>
      </c>
      <c r="X406">
        <v>0.97679919999999998</v>
      </c>
      <c r="Y406">
        <v>3.5064900000000001E-3</v>
      </c>
      <c r="Z406" s="1">
        <v>-8.7278830000000004E-5</v>
      </c>
      <c r="AA406">
        <v>0.99999389999999999</v>
      </c>
      <c r="AB406">
        <v>28</v>
      </c>
      <c r="AC406">
        <v>51.952300000000001</v>
      </c>
      <c r="AD406">
        <v>-1.171168</v>
      </c>
      <c r="AE406">
        <v>-5.30999999999721E-2</v>
      </c>
      <c r="AF406">
        <v>0.18322379806335301</v>
      </c>
      <c r="AG406">
        <v>-1.171168</v>
      </c>
      <c r="AH406">
        <v>51.925615496776103</v>
      </c>
      <c r="AI406">
        <v>91.292063464670704</v>
      </c>
      <c r="AJ406">
        <v>89.797827976314494</v>
      </c>
      <c r="AK406">
        <v>51.939144680707201</v>
      </c>
      <c r="AL406">
        <v>78.146873610720803</v>
      </c>
      <c r="AM406">
        <v>86.449797312544902</v>
      </c>
      <c r="AN406">
        <v>1.00000000284249</v>
      </c>
    </row>
    <row r="407" spans="1:40" x14ac:dyDescent="0.25">
      <c r="A407" t="str">
        <f>"20190303170724914"</f>
        <v>20190303170724914</v>
      </c>
      <c r="B407" t="str">
        <f>"1551604044902658"</f>
        <v>1551604044902658</v>
      </c>
      <c r="C407" t="s">
        <v>40</v>
      </c>
      <c r="D407">
        <v>4.8766870000000004</v>
      </c>
      <c r="E407">
        <v>0.48180770000000001</v>
      </c>
      <c r="F407" t="s">
        <v>46</v>
      </c>
      <c r="G407">
        <v>-307.58640000000003</v>
      </c>
      <c r="H407">
        <v>-0.05</v>
      </c>
      <c r="I407">
        <v>367.63639999999998</v>
      </c>
      <c r="J407">
        <v>-359.79590000000002</v>
      </c>
      <c r="K407">
        <v>1.1211599999999999</v>
      </c>
      <c r="L407">
        <v>367.68290000000002</v>
      </c>
      <c r="M407">
        <v>0.99993739999999998</v>
      </c>
      <c r="N407">
        <v>-1.087549E-2</v>
      </c>
      <c r="O407">
        <v>2.6758189999999999E-3</v>
      </c>
      <c r="P407">
        <v>0.97925700000000004</v>
      </c>
      <c r="Q407">
        <v>0.19379440000000001</v>
      </c>
      <c r="R407">
        <v>-5.9157790000000002E-2</v>
      </c>
      <c r="S407">
        <v>3.077423</v>
      </c>
      <c r="T407">
        <v>-6.8694829999999998E-2</v>
      </c>
      <c r="U407">
        <v>-2.6855469999999999E-3</v>
      </c>
      <c r="V407">
        <v>6.171608E-2</v>
      </c>
      <c r="W407">
        <v>0.2044502</v>
      </c>
      <c r="X407">
        <v>0.97692950000000001</v>
      </c>
      <c r="Y407">
        <v>3.5471439999999999E-3</v>
      </c>
      <c r="Z407" s="1">
        <v>-8.9500509999999894E-5</v>
      </c>
      <c r="AA407">
        <v>0.99999369999999999</v>
      </c>
      <c r="AB407">
        <v>28</v>
      </c>
      <c r="AC407">
        <v>52.209499999999899</v>
      </c>
      <c r="AD407">
        <v>-1.17116</v>
      </c>
      <c r="AE407">
        <v>-4.6500000000037199E-2</v>
      </c>
      <c r="AF407">
        <v>0.18611759858701801</v>
      </c>
      <c r="AG407">
        <v>-1.17116</v>
      </c>
      <c r="AH407">
        <v>52.182930642260402</v>
      </c>
      <c r="AI407">
        <v>91.285685463088001</v>
      </c>
      <c r="AJ407">
        <v>89.795647589284002</v>
      </c>
      <c r="AK407">
        <v>52.196403189502099</v>
      </c>
      <c r="AL407">
        <v>78.202683860868305</v>
      </c>
      <c r="AM407">
        <v>86.385227270024302</v>
      </c>
      <c r="AN407">
        <v>1.0000000033904199</v>
      </c>
    </row>
    <row r="408" spans="1:40" x14ac:dyDescent="0.25">
      <c r="A408" t="str">
        <f>"20190303170724947"</f>
        <v>20190303170724947</v>
      </c>
      <c r="B408" t="str">
        <f>"1551604044942674"</f>
        <v>1551604044942674</v>
      </c>
      <c r="C408" t="s">
        <v>40</v>
      </c>
      <c r="D408">
        <v>4.7520829999999998</v>
      </c>
      <c r="E408">
        <v>0.48188320000000001</v>
      </c>
      <c r="F408" t="s">
        <v>46</v>
      </c>
      <c r="G408">
        <v>-308.58370000000002</v>
      </c>
      <c r="H408">
        <v>-0.05</v>
      </c>
      <c r="I408">
        <v>367.6062</v>
      </c>
      <c r="J408">
        <v>-359.3809</v>
      </c>
      <c r="K408">
        <v>1.121149</v>
      </c>
      <c r="L408">
        <v>367.68439999999998</v>
      </c>
      <c r="M408">
        <v>0.99993710000000002</v>
      </c>
      <c r="N408">
        <v>-1.083811E-2</v>
      </c>
      <c r="O408">
        <v>2.9504449999999999E-3</v>
      </c>
      <c r="P408">
        <v>0.97926139999999995</v>
      </c>
      <c r="Q408">
        <v>0.19319629999999999</v>
      </c>
      <c r="R408">
        <v>-6.1013909999999998E-2</v>
      </c>
      <c r="S408">
        <v>3.0772089999999999</v>
      </c>
      <c r="T408">
        <v>-7.0371870000000003E-2</v>
      </c>
      <c r="U408">
        <v>-4.6081539999999997E-3</v>
      </c>
      <c r="V408">
        <v>6.3840789999999994E-2</v>
      </c>
      <c r="W408">
        <v>0.20381579999999999</v>
      </c>
      <c r="X408">
        <v>0.97692559999999995</v>
      </c>
      <c r="Y408">
        <v>4.44619E-3</v>
      </c>
      <c r="Z408">
        <v>-1.104202E-4</v>
      </c>
      <c r="AA408">
        <v>0.99999009999999999</v>
      </c>
      <c r="AB408">
        <v>28</v>
      </c>
      <c r="AC408">
        <v>50.797199999999897</v>
      </c>
      <c r="AD408">
        <v>-1.171149</v>
      </c>
      <c r="AE408">
        <v>-7.8199999999981104E-2</v>
      </c>
      <c r="AF408">
        <v>0.227961606694393</v>
      </c>
      <c r="AG408">
        <v>-1.171149</v>
      </c>
      <c r="AH408">
        <v>50.769761495208101</v>
      </c>
      <c r="AI408">
        <v>91.321442497304702</v>
      </c>
      <c r="AJ408">
        <v>89.742737610047499</v>
      </c>
      <c r="AK408">
        <v>50.783779287826199</v>
      </c>
      <c r="AL408">
        <v>78.239815032797395</v>
      </c>
      <c r="AM408">
        <v>86.261113127310196</v>
      </c>
      <c r="AN408">
        <v>1.0000000773664</v>
      </c>
    </row>
    <row r="409" spans="1:40" x14ac:dyDescent="0.25">
      <c r="A409" t="str">
        <f>"20190303170724970"</f>
        <v>20190303170724970</v>
      </c>
      <c r="B409" t="str">
        <f>"1551604044963170"</f>
        <v>1551604044963170</v>
      </c>
      <c r="C409" t="s">
        <v>40</v>
      </c>
      <c r="D409">
        <v>4.7120600000000001</v>
      </c>
      <c r="E409">
        <v>0.48196430000000001</v>
      </c>
      <c r="F409" t="s">
        <v>46</v>
      </c>
      <c r="G409">
        <v>-308.1694</v>
      </c>
      <c r="H409">
        <v>-0.05</v>
      </c>
      <c r="I409">
        <v>367.50760000000002</v>
      </c>
      <c r="J409">
        <v>-359.08370000000002</v>
      </c>
      <c r="K409">
        <v>1.1211439999999999</v>
      </c>
      <c r="L409">
        <v>367.68540000000002</v>
      </c>
      <c r="M409">
        <v>0.99993679999999996</v>
      </c>
      <c r="N409">
        <v>-1.081507E-2</v>
      </c>
      <c r="O409">
        <v>3.1470180000000001E-3</v>
      </c>
      <c r="P409">
        <v>0.97924889999999998</v>
      </c>
      <c r="Q409">
        <v>0.1928598</v>
      </c>
      <c r="R409">
        <v>-6.2265599999999997E-2</v>
      </c>
      <c r="S409">
        <v>3.0767820000000001</v>
      </c>
      <c r="T409">
        <v>-7.0362450000000007E-2</v>
      </c>
      <c r="U409">
        <v>-1.062012E-2</v>
      </c>
      <c r="V409">
        <v>6.5284930000000005E-2</v>
      </c>
      <c r="W409">
        <v>0.2034572</v>
      </c>
      <c r="X409">
        <v>0.97690480000000002</v>
      </c>
      <c r="Y409">
        <v>6.596073E-3</v>
      </c>
      <c r="Z409">
        <v>-1.4901399999999999E-4</v>
      </c>
      <c r="AA409">
        <v>0.99997820000000004</v>
      </c>
      <c r="AB409">
        <v>28</v>
      </c>
      <c r="AC409">
        <v>50.914299999999997</v>
      </c>
      <c r="AD409">
        <v>-1.171144</v>
      </c>
      <c r="AE409">
        <v>-0.17779999999998999</v>
      </c>
      <c r="AF409">
        <v>0.33785791171169199</v>
      </c>
      <c r="AG409">
        <v>-1.171144</v>
      </c>
      <c r="AH409">
        <v>50.886564320901499</v>
      </c>
      <c r="AI409">
        <v>91.318388997637399</v>
      </c>
      <c r="AJ409">
        <v>89.619594125922305</v>
      </c>
      <c r="AK409">
        <v>50.901160641212201</v>
      </c>
      <c r="AL409">
        <v>78.260799763487796</v>
      </c>
      <c r="AM409">
        <v>86.176702826263906</v>
      </c>
      <c r="AN409">
        <v>0.99999997128999196</v>
      </c>
    </row>
    <row r="410" spans="1:40" x14ac:dyDescent="0.25">
      <c r="A410" t="str">
        <f>"20190303170724993"</f>
        <v>20190303170724993</v>
      </c>
      <c r="B410" t="str">
        <f>"1551604044982690"</f>
        <v>1551604044982690</v>
      </c>
      <c r="C410" t="s">
        <v>40</v>
      </c>
      <c r="D410">
        <v>4.7547920000000001</v>
      </c>
      <c r="E410">
        <v>0.48199510000000001</v>
      </c>
      <c r="F410" t="s">
        <v>46</v>
      </c>
      <c r="G410">
        <v>-308.40600000000001</v>
      </c>
      <c r="H410">
        <v>-0.05</v>
      </c>
      <c r="I410">
        <v>367.42759999999998</v>
      </c>
      <c r="J410">
        <v>-358.80250000000001</v>
      </c>
      <c r="K410">
        <v>1.121132</v>
      </c>
      <c r="L410">
        <v>367.68650000000002</v>
      </c>
      <c r="M410">
        <v>0.99993620000000005</v>
      </c>
      <c r="N410">
        <v>-1.079629E-2</v>
      </c>
      <c r="O410">
        <v>3.3315900000000002E-3</v>
      </c>
      <c r="P410">
        <v>0.97930669999999997</v>
      </c>
      <c r="Q410">
        <v>0.19218869999999999</v>
      </c>
      <c r="R410">
        <v>-6.3419400000000001E-2</v>
      </c>
      <c r="S410">
        <v>3.0765690000000001</v>
      </c>
      <c r="T410">
        <v>-7.1098330000000001E-2</v>
      </c>
      <c r="U410">
        <v>-1.5655519999999999E-2</v>
      </c>
      <c r="V410">
        <v>6.661984E-2</v>
      </c>
      <c r="W410">
        <v>0.202768</v>
      </c>
      <c r="X410">
        <v>0.97695799999999999</v>
      </c>
      <c r="Y410">
        <v>8.4167280000000001E-3</v>
      </c>
      <c r="Z410">
        <v>-1.836993E-4</v>
      </c>
      <c r="AA410">
        <v>0.99996450000000003</v>
      </c>
      <c r="AB410">
        <v>28</v>
      </c>
      <c r="AC410">
        <v>50.396500000000003</v>
      </c>
      <c r="AD410">
        <v>-1.1711320000000001</v>
      </c>
      <c r="AE410">
        <v>-0.25890000000003899</v>
      </c>
      <c r="AF410">
        <v>0.42657846378710201</v>
      </c>
      <c r="AG410">
        <v>-1.1711320000000001</v>
      </c>
      <c r="AH410">
        <v>50.368158516002701</v>
      </c>
      <c r="AI410">
        <v>91.3319213854287</v>
      </c>
      <c r="AJ410">
        <v>89.514761667212397</v>
      </c>
      <c r="AK410">
        <v>50.383577797139097</v>
      </c>
      <c r="AL410">
        <v>78.301128989742494</v>
      </c>
      <c r="AM410">
        <v>86.098976949089902</v>
      </c>
      <c r="AN410">
        <v>0.99999999933481198</v>
      </c>
    </row>
    <row r="411" spans="1:40" x14ac:dyDescent="0.25">
      <c r="A411" t="str">
        <f>"20190303170725013"</f>
        <v>20190303170725013</v>
      </c>
      <c r="B411" t="str">
        <f>"1551604045002210"</f>
        <v>1551604045002210</v>
      </c>
      <c r="C411" t="s">
        <v>40</v>
      </c>
      <c r="D411">
        <v>4.7273519999999998</v>
      </c>
      <c r="E411">
        <v>0.48198990000000003</v>
      </c>
      <c r="F411" t="s">
        <v>46</v>
      </c>
      <c r="G411">
        <v>-309.07530000000003</v>
      </c>
      <c r="H411">
        <v>-0.05</v>
      </c>
      <c r="I411">
        <v>367.3639</v>
      </c>
      <c r="J411">
        <v>-358.53769999999997</v>
      </c>
      <c r="K411">
        <v>1.1211279999999999</v>
      </c>
      <c r="L411">
        <v>367.68759999999997</v>
      </c>
      <c r="M411">
        <v>0.99993569999999998</v>
      </c>
      <c r="N411">
        <v>-1.0780939999999999E-2</v>
      </c>
      <c r="O411">
        <v>3.5044630000000002E-3</v>
      </c>
      <c r="P411">
        <v>0.97949679999999995</v>
      </c>
      <c r="Q411">
        <v>0.19097149999999999</v>
      </c>
      <c r="R411">
        <v>-6.4158590000000001E-2</v>
      </c>
      <c r="S411">
        <v>3.0763240000000001</v>
      </c>
      <c r="T411">
        <v>-7.2451000000000002E-2</v>
      </c>
      <c r="U411">
        <v>-1.9958500000000001E-2</v>
      </c>
      <c r="V411">
        <v>6.7529060000000002E-2</v>
      </c>
      <c r="W411">
        <v>0.20153889999999999</v>
      </c>
      <c r="X411">
        <v>0.97714990000000002</v>
      </c>
      <c r="Y411">
        <v>9.9878680000000004E-3</v>
      </c>
      <c r="Z411">
        <v>-2.1619050000000001E-4</v>
      </c>
      <c r="AA411">
        <v>0.99995009999999995</v>
      </c>
      <c r="AB411">
        <v>28</v>
      </c>
      <c r="AC411">
        <v>49.462399999999903</v>
      </c>
      <c r="AD411">
        <v>-1.1711279999999999</v>
      </c>
      <c r="AE411">
        <v>-0.32369999999997301</v>
      </c>
      <c r="AF411">
        <v>0.496768764530024</v>
      </c>
      <c r="AG411">
        <v>-1.1711279999999999</v>
      </c>
      <c r="AH411">
        <v>49.433250343503097</v>
      </c>
      <c r="AI411">
        <v>91.357077585907405</v>
      </c>
      <c r="AJ411">
        <v>89.424237829222605</v>
      </c>
      <c r="AK411">
        <v>49.449616373853203</v>
      </c>
      <c r="AL411">
        <v>78.373036016571703</v>
      </c>
      <c r="AM411">
        <v>86.046678055153393</v>
      </c>
      <c r="AN411">
        <v>1.0000000146138499</v>
      </c>
    </row>
    <row r="412" spans="1:40" x14ac:dyDescent="0.25">
      <c r="A412" t="str">
        <f>"20190303170725036"</f>
        <v>20190303170725036</v>
      </c>
      <c r="B412" t="str">
        <f>"1551604045022706"</f>
        <v>1551604045022706</v>
      </c>
      <c r="C412" t="s">
        <v>40</v>
      </c>
      <c r="D412">
        <v>4.8127230000000001</v>
      </c>
      <c r="E412">
        <v>0.4820159</v>
      </c>
      <c r="F412" t="s">
        <v>46</v>
      </c>
      <c r="G412">
        <v>-310.94920000000002</v>
      </c>
      <c r="H412">
        <v>-0.05</v>
      </c>
      <c r="I412">
        <v>367.33249999999998</v>
      </c>
      <c r="J412">
        <v>-358.2552</v>
      </c>
      <c r="K412">
        <v>1.1211260000000001</v>
      </c>
      <c r="L412">
        <v>367.68880000000001</v>
      </c>
      <c r="M412">
        <v>0.99993529999999997</v>
      </c>
      <c r="N412">
        <v>-1.0766980000000001E-2</v>
      </c>
      <c r="O412">
        <v>3.688649E-3</v>
      </c>
      <c r="P412">
        <v>0.97970250000000003</v>
      </c>
      <c r="Q412">
        <v>0.18977959999999999</v>
      </c>
      <c r="R412">
        <v>-6.4552709999999999E-2</v>
      </c>
      <c r="S412">
        <v>3.0760190000000001</v>
      </c>
      <c r="T412">
        <v>-7.5699210000000003E-2</v>
      </c>
      <c r="U412">
        <v>-2.2949219999999999E-2</v>
      </c>
      <c r="V412">
        <v>6.8104780000000004E-2</v>
      </c>
      <c r="W412">
        <v>0.20033570000000001</v>
      </c>
      <c r="X412">
        <v>0.97735729999999998</v>
      </c>
      <c r="Y412">
        <v>1.1143989999999999E-2</v>
      </c>
      <c r="Z412">
        <v>-2.4815839999999998E-4</v>
      </c>
      <c r="AA412">
        <v>0.99993790000000005</v>
      </c>
      <c r="AB412">
        <v>28</v>
      </c>
      <c r="AC412">
        <v>47.305999999999898</v>
      </c>
      <c r="AD412">
        <v>-1.1711259999999999</v>
      </c>
      <c r="AE412">
        <v>-0.35630000000003198</v>
      </c>
      <c r="AF412">
        <v>0.53047780832005598</v>
      </c>
      <c r="AG412">
        <v>-1.1711259999999999</v>
      </c>
      <c r="AH412">
        <v>47.275391339728799</v>
      </c>
      <c r="AI412">
        <v>91.418975769979696</v>
      </c>
      <c r="AJ412">
        <v>89.357110261311206</v>
      </c>
      <c r="AK412">
        <v>47.292870172336798</v>
      </c>
      <c r="AL412">
        <v>78.443409145499004</v>
      </c>
      <c r="AM412">
        <v>86.013925501949203</v>
      </c>
      <c r="AN412">
        <v>0.99999997280831299</v>
      </c>
    </row>
    <row r="413" spans="1:40" x14ac:dyDescent="0.25">
      <c r="A413" t="str">
        <f>"20190303170725060"</f>
        <v>20190303170725060</v>
      </c>
      <c r="B413" t="str">
        <f>"1551604045052964"</f>
        <v>1551604045052964</v>
      </c>
      <c r="C413" t="s">
        <v>40</v>
      </c>
      <c r="D413">
        <v>4.7742089999999999</v>
      </c>
      <c r="E413">
        <v>0.48284860000000002</v>
      </c>
      <c r="F413" t="s">
        <v>46</v>
      </c>
      <c r="G413">
        <v>-312.43169999999998</v>
      </c>
      <c r="H413">
        <v>-0.05</v>
      </c>
      <c r="I413">
        <v>367.3141</v>
      </c>
      <c r="J413">
        <v>-357.93630000000002</v>
      </c>
      <c r="K413">
        <v>1.12112099999999</v>
      </c>
      <c r="L413">
        <v>367.6902</v>
      </c>
      <c r="M413">
        <v>0.99993460000000001</v>
      </c>
      <c r="N413">
        <v>-1.0756480000000001E-2</v>
      </c>
      <c r="O413">
        <v>3.8960029999999999E-3</v>
      </c>
      <c r="P413">
        <v>0.97973109999999997</v>
      </c>
      <c r="Q413">
        <v>0.18917510000000001</v>
      </c>
      <c r="R413">
        <v>-6.5878290000000006E-2</v>
      </c>
      <c r="S413">
        <v>3.0757140000000001</v>
      </c>
      <c r="T413">
        <v>-7.8606960000000003E-2</v>
      </c>
      <c r="U413">
        <v>-2.5146479999999999E-2</v>
      </c>
      <c r="V413">
        <v>6.9633810000000004E-2</v>
      </c>
      <c r="W413">
        <v>0.19972129999999999</v>
      </c>
      <c r="X413">
        <v>0.97737529999999995</v>
      </c>
      <c r="Y413">
        <v>1.2065559999999999E-2</v>
      </c>
      <c r="Z413">
        <v>-2.7671320000000001E-4</v>
      </c>
      <c r="AA413">
        <v>0.99992720000000002</v>
      </c>
      <c r="AB413">
        <v>28</v>
      </c>
      <c r="AC413">
        <v>45.504600000000003</v>
      </c>
      <c r="AD413">
        <v>-1.1711210000000001</v>
      </c>
      <c r="AE413">
        <v>-0.37610000000000798</v>
      </c>
      <c r="AF413">
        <v>0.55302717583310002</v>
      </c>
      <c r="AG413">
        <v>-1.1711210000000001</v>
      </c>
      <c r="AH413">
        <v>45.472672092700002</v>
      </c>
      <c r="AI413">
        <v>91.475182770061906</v>
      </c>
      <c r="AJ413">
        <v>89.303217523840402</v>
      </c>
      <c r="AK413">
        <v>45.491111996785399</v>
      </c>
      <c r="AL413">
        <v>78.479337769281798</v>
      </c>
      <c r="AM413">
        <v>85.924806612320907</v>
      </c>
      <c r="AN413">
        <v>0.99999997110944705</v>
      </c>
    </row>
    <row r="414" spans="1:40" x14ac:dyDescent="0.25">
      <c r="A414" t="str">
        <f>"20190303170725083"</f>
        <v>20190303170725083</v>
      </c>
      <c r="B414" t="str">
        <f>"1551604045072482"</f>
        <v>1551604045072482</v>
      </c>
      <c r="C414" t="s">
        <v>40</v>
      </c>
      <c r="D414">
        <v>4.7340299999999997</v>
      </c>
      <c r="E414">
        <v>0.54162589999999999</v>
      </c>
      <c r="F414" t="s">
        <v>46</v>
      </c>
      <c r="G414">
        <v>-315.43759999999997</v>
      </c>
      <c r="H414">
        <v>-0.05</v>
      </c>
      <c r="I414">
        <v>367.20490000000001</v>
      </c>
      <c r="J414">
        <v>-357.65769999999998</v>
      </c>
      <c r="K414">
        <v>1.1211279999999999</v>
      </c>
      <c r="L414">
        <v>367.69139999999999</v>
      </c>
      <c r="M414">
        <v>0.99993379999999998</v>
      </c>
      <c r="N414">
        <v>-1.0754339999999999E-2</v>
      </c>
      <c r="O414">
        <v>4.0763730000000003E-3</v>
      </c>
      <c r="P414">
        <v>0.97967400000000004</v>
      </c>
      <c r="Q414">
        <v>0.1889295</v>
      </c>
      <c r="R414">
        <v>-6.7415420000000004E-2</v>
      </c>
      <c r="S414">
        <v>3.076111</v>
      </c>
      <c r="T414">
        <v>-8.4767099999999998E-2</v>
      </c>
      <c r="U414">
        <v>-3.5125730000000001E-2</v>
      </c>
      <c r="V414">
        <v>7.1347339999999995E-2</v>
      </c>
      <c r="W414">
        <v>0.19947319999999999</v>
      </c>
      <c r="X414">
        <v>0.97730240000000002</v>
      </c>
      <c r="Y414">
        <v>1.548564E-2</v>
      </c>
      <c r="Z414">
        <v>-3.6508720000000001E-4</v>
      </c>
      <c r="AA414">
        <v>0.99987999999999999</v>
      </c>
      <c r="AB414">
        <v>28</v>
      </c>
      <c r="AC414">
        <v>42.220100000000002</v>
      </c>
      <c r="AD414">
        <v>-1.1711279999999999</v>
      </c>
      <c r="AE414">
        <v>-0.48649999999997801</v>
      </c>
      <c r="AF414">
        <v>0.65810449768639601</v>
      </c>
      <c r="AG414">
        <v>-1.1711279999999999</v>
      </c>
      <c r="AH414">
        <v>42.185311488751402</v>
      </c>
      <c r="AI414">
        <v>91.590015616658505</v>
      </c>
      <c r="AJ414">
        <v>89.106239816063805</v>
      </c>
      <c r="AK414">
        <v>42.206695531932397</v>
      </c>
      <c r="AL414">
        <v>78.493844991051304</v>
      </c>
      <c r="AM414">
        <v>85.824565402667403</v>
      </c>
      <c r="AN414">
        <v>0.99999999074453705</v>
      </c>
    </row>
    <row r="415" spans="1:40" x14ac:dyDescent="0.25">
      <c r="A415" t="str">
        <f>"20190303170725102"</f>
        <v>20190303170725102</v>
      </c>
      <c r="B415" t="str">
        <f>"1551604045092978"</f>
        <v>1551604045092978</v>
      </c>
      <c r="C415" t="s">
        <v>40</v>
      </c>
      <c r="D415">
        <v>4.7759289999999996</v>
      </c>
      <c r="E415">
        <v>0.54272559999999903</v>
      </c>
      <c r="F415" t="s">
        <v>47</v>
      </c>
      <c r="G415">
        <v>-356.87860000000001</v>
      </c>
      <c r="H415">
        <v>0.99001229999999996</v>
      </c>
      <c r="I415">
        <v>367.5693</v>
      </c>
      <c r="J415">
        <v>-357.40320000000003</v>
      </c>
      <c r="K415">
        <v>1.1211409999999999</v>
      </c>
      <c r="L415">
        <v>367.6927</v>
      </c>
      <c r="M415">
        <v>0.99993319999999997</v>
      </c>
      <c r="N415">
        <v>-1.0758820000000001E-2</v>
      </c>
      <c r="O415">
        <v>4.2407349999999998E-3</v>
      </c>
      <c r="P415">
        <v>0.9793615</v>
      </c>
      <c r="Q415">
        <v>0.19002839999999999</v>
      </c>
      <c r="R415">
        <v>-6.8852979999999994E-2</v>
      </c>
      <c r="S415">
        <v>3.130096</v>
      </c>
      <c r="T415">
        <v>-0.52680609999999894</v>
      </c>
      <c r="U415">
        <v>-0.49041750000000001</v>
      </c>
      <c r="V415">
        <v>7.2944129999999996E-2</v>
      </c>
      <c r="W415">
        <v>0.20057340000000001</v>
      </c>
      <c r="X415">
        <v>0.97695929999999997</v>
      </c>
      <c r="Y415">
        <v>0.156634299999999</v>
      </c>
      <c r="Z415">
        <v>-1.452467E-2</v>
      </c>
      <c r="AA415">
        <v>0.98754980000000003</v>
      </c>
      <c r="AB415">
        <v>28</v>
      </c>
      <c r="AC415">
        <v>0.52460000000002005</v>
      </c>
      <c r="AD415">
        <v>-0.13112869999999999</v>
      </c>
      <c r="AE415">
        <v>-0.12340000000000299</v>
      </c>
      <c r="AF415">
        <v>0.11860201238927701</v>
      </c>
      <c r="AG415">
        <v>-0.13112869999999999</v>
      </c>
      <c r="AH415">
        <v>0.49477911546865</v>
      </c>
      <c r="AI415">
        <v>104.45199022969101</v>
      </c>
      <c r="AJ415">
        <v>76.520141684449797</v>
      </c>
      <c r="AK415">
        <v>0.52542130372722495</v>
      </c>
      <c r="AL415">
        <v>78.429508152617302</v>
      </c>
      <c r="AM415">
        <v>85.729965139066906</v>
      </c>
      <c r="AN415">
        <v>1.0000000043727499</v>
      </c>
    </row>
    <row r="416" spans="1:40" x14ac:dyDescent="0.25">
      <c r="A416" t="str">
        <f>"20190303170725126"</f>
        <v>20190303170725126</v>
      </c>
      <c r="B416" t="str">
        <f>"1551604045112498"</f>
        <v>1551604045112498</v>
      </c>
      <c r="C416" t="s">
        <v>40</v>
      </c>
      <c r="D416">
        <v>4.7634499999999997</v>
      </c>
      <c r="E416">
        <v>0.54178990000000005</v>
      </c>
      <c r="F416" t="s">
        <v>47</v>
      </c>
      <c r="G416">
        <v>-356.63279999999997</v>
      </c>
      <c r="H416">
        <v>0.97257159999999998</v>
      </c>
      <c r="I416">
        <v>367.56959999999998</v>
      </c>
      <c r="J416">
        <v>-357.11720000000003</v>
      </c>
      <c r="K416">
        <v>1.121138</v>
      </c>
      <c r="L416">
        <v>367.69400000000002</v>
      </c>
      <c r="M416">
        <v>0.99993240000000005</v>
      </c>
      <c r="N416">
        <v>-1.076942E-2</v>
      </c>
      <c r="O416">
        <v>4.4246750000000003E-3</v>
      </c>
      <c r="P416">
        <v>0.97926009999999997</v>
      </c>
      <c r="Q416">
        <v>0.1901641</v>
      </c>
      <c r="R416">
        <v>-6.9911669999999995E-2</v>
      </c>
      <c r="S416">
        <v>3.1457820000000001</v>
      </c>
      <c r="T416">
        <v>-0.60690409999999995</v>
      </c>
      <c r="U416">
        <v>-0.50054929999999997</v>
      </c>
      <c r="V416">
        <v>7.4182429999999994E-2</v>
      </c>
      <c r="W416">
        <v>0.2007187</v>
      </c>
      <c r="X416">
        <v>0.97683620000000004</v>
      </c>
      <c r="Y416">
        <v>0.1584227</v>
      </c>
      <c r="Z416">
        <v>-1.6710490000000001E-2</v>
      </c>
      <c r="AA416">
        <v>0.98722989999999999</v>
      </c>
      <c r="AB416">
        <v>28</v>
      </c>
      <c r="AC416">
        <v>0.48440000000005001</v>
      </c>
      <c r="AD416">
        <v>-0.14856639999999999</v>
      </c>
      <c r="AE416">
        <v>-0.124400000000036</v>
      </c>
      <c r="AF416">
        <v>0.11628089534069801</v>
      </c>
      <c r="AG416">
        <v>-0.14856639999999999</v>
      </c>
      <c r="AH416">
        <v>0.444609765361903</v>
      </c>
      <c r="AI416">
        <v>107.914818167078</v>
      </c>
      <c r="AJ416">
        <v>75.343448949194595</v>
      </c>
      <c r="AK416">
        <v>0.48298143368597601</v>
      </c>
      <c r="AL416">
        <v>78.421010157383293</v>
      </c>
      <c r="AM416">
        <v>85.657206831221899</v>
      </c>
      <c r="AN416">
        <v>0.99999999554041696</v>
      </c>
    </row>
    <row r="417" spans="1:40" x14ac:dyDescent="0.25">
      <c r="A417" t="str">
        <f>"20190303170725149"</f>
        <v>20190303170725149</v>
      </c>
      <c r="B417" t="str">
        <f>"1551604045142754"</f>
        <v>1551604045142754</v>
      </c>
      <c r="C417" t="s">
        <v>40</v>
      </c>
      <c r="D417">
        <v>4.7990190000000004</v>
      </c>
      <c r="E417">
        <v>0.54113049999999996</v>
      </c>
      <c r="F417" t="s">
        <v>47</v>
      </c>
      <c r="G417">
        <v>-356.37979999999999</v>
      </c>
      <c r="H417">
        <v>0.97011879999999995</v>
      </c>
      <c r="I417">
        <v>367.5779</v>
      </c>
      <c r="J417">
        <v>-356.81779999999998</v>
      </c>
      <c r="K417">
        <v>1.1211100000000001</v>
      </c>
      <c r="L417">
        <v>367.69560000000001</v>
      </c>
      <c r="M417">
        <v>0.99993120000000002</v>
      </c>
      <c r="N417">
        <v>-1.07829E-2</v>
      </c>
      <c r="O417">
        <v>4.6173619999999999E-3</v>
      </c>
      <c r="P417">
        <v>0.97958579999999995</v>
      </c>
      <c r="Q417">
        <v>0.18821750000000001</v>
      </c>
      <c r="R417">
        <v>-7.0609710000000006E-2</v>
      </c>
      <c r="S417">
        <v>3.1535950000000001</v>
      </c>
      <c r="T417">
        <v>-0.64595880000000006</v>
      </c>
      <c r="U417">
        <v>-0.49551390000000001</v>
      </c>
      <c r="V417">
        <v>7.5071260000000001E-2</v>
      </c>
      <c r="W417">
        <v>0.19878860000000001</v>
      </c>
      <c r="X417">
        <v>0.977163</v>
      </c>
      <c r="Y417">
        <v>0.156355299999999</v>
      </c>
      <c r="Z417">
        <v>-1.7493729999999999E-2</v>
      </c>
      <c r="AA417">
        <v>0.98754600000000003</v>
      </c>
      <c r="AB417">
        <v>28</v>
      </c>
      <c r="AC417">
        <v>0.43799999999998801</v>
      </c>
      <c r="AD417">
        <v>-0.15099119999999999</v>
      </c>
      <c r="AE417">
        <v>-0.117700000000013</v>
      </c>
      <c r="AF417">
        <v>0.107775977919256</v>
      </c>
      <c r="AG417">
        <v>-0.15099119999999999</v>
      </c>
      <c r="AH417">
        <v>0.39380471319573601</v>
      </c>
      <c r="AI417">
        <v>110.295242604444</v>
      </c>
      <c r="AJ417">
        <v>74.694152595058199</v>
      </c>
      <c r="AK417">
        <v>0.435311562020891</v>
      </c>
      <c r="AL417">
        <v>78.533872157518203</v>
      </c>
      <c r="AM417">
        <v>85.606839491747095</v>
      </c>
      <c r="AN417">
        <v>1.0000000650684699</v>
      </c>
    </row>
    <row r="418" spans="1:40" x14ac:dyDescent="0.25">
      <c r="A418" t="str">
        <f>"20190303170725172"</f>
        <v>20190303170725172</v>
      </c>
      <c r="B418" t="str">
        <f>"1551604045162274"</f>
        <v>1551604045162274</v>
      </c>
      <c r="C418" t="s">
        <v>40</v>
      </c>
      <c r="D418">
        <v>4.8294009999999998</v>
      </c>
      <c r="E418">
        <v>0.54151090000000002</v>
      </c>
      <c r="F418" t="s">
        <v>47</v>
      </c>
      <c r="G418">
        <v>-355.89150000000001</v>
      </c>
      <c r="H418">
        <v>0.92194909999999997</v>
      </c>
      <c r="I418">
        <v>367.5514</v>
      </c>
      <c r="J418">
        <v>-356.52569999999997</v>
      </c>
      <c r="K418">
        <v>1.1211150000000001</v>
      </c>
      <c r="L418">
        <v>367.69709999999998</v>
      </c>
      <c r="M418">
        <v>0.99993010000000004</v>
      </c>
      <c r="N418">
        <v>-1.0796180000000001E-2</v>
      </c>
      <c r="O418">
        <v>4.8055169999999996E-3</v>
      </c>
      <c r="P418">
        <v>0.97925070000000003</v>
      </c>
      <c r="Q418">
        <v>0.18935730000000001</v>
      </c>
      <c r="R418">
        <v>-7.2195399999999896E-2</v>
      </c>
      <c r="S418">
        <v>3.1575009999999999</v>
      </c>
      <c r="T418">
        <v>-0.6788824</v>
      </c>
      <c r="U418">
        <v>-0.49151610000000001</v>
      </c>
      <c r="V418">
        <v>7.6839000000000005E-2</v>
      </c>
      <c r="W418">
        <v>0.19993859999999999</v>
      </c>
      <c r="X418">
        <v>0.97679079999999996</v>
      </c>
      <c r="Y418">
        <v>0.15482699999999999</v>
      </c>
      <c r="Z418">
        <v>-1.8176290000000001E-2</v>
      </c>
      <c r="AA418">
        <v>0.98777440000000005</v>
      </c>
      <c r="AB418">
        <v>28</v>
      </c>
      <c r="AC418">
        <v>0.63419999999996401</v>
      </c>
      <c r="AD418">
        <v>-0.19916589999999901</v>
      </c>
      <c r="AE418">
        <v>-0.14569999999997599</v>
      </c>
      <c r="AF418">
        <v>0.13600537269089</v>
      </c>
      <c r="AG418">
        <v>-0.19916589999999901</v>
      </c>
      <c r="AH418">
        <v>0.579230973492461</v>
      </c>
      <c r="AI418">
        <v>108.507536883528</v>
      </c>
      <c r="AJ418">
        <v>76.7861268517387</v>
      </c>
      <c r="AK418">
        <v>0.62743369193614595</v>
      </c>
      <c r="AL418">
        <v>78.466631112765398</v>
      </c>
      <c r="AM418">
        <v>85.502104679471998</v>
      </c>
      <c r="AN418">
        <v>0.99999997132779905</v>
      </c>
    </row>
    <row r="419" spans="1:40" x14ac:dyDescent="0.25">
      <c r="A419" t="str">
        <f>"20190303170725192"</f>
        <v>20190303170725192</v>
      </c>
      <c r="B419" t="str">
        <f>"1551604045182770"</f>
        <v>1551604045182770</v>
      </c>
      <c r="C419" t="s">
        <v>40</v>
      </c>
      <c r="D419">
        <v>4.8163049999999998</v>
      </c>
      <c r="E419">
        <v>0.54172779999999998</v>
      </c>
      <c r="F419" t="s">
        <v>47</v>
      </c>
      <c r="G419">
        <v>-355.63389999999998</v>
      </c>
      <c r="H419">
        <v>0.92858039999999997</v>
      </c>
      <c r="I419">
        <v>367.55610000000001</v>
      </c>
      <c r="J419">
        <v>-356.26369999999997</v>
      </c>
      <c r="K419">
        <v>1.1211150000000001</v>
      </c>
      <c r="L419">
        <v>367.69850000000002</v>
      </c>
      <c r="M419">
        <v>0.99992939999999997</v>
      </c>
      <c r="N419">
        <v>-1.080797E-2</v>
      </c>
      <c r="O419">
        <v>4.973954E-3</v>
      </c>
      <c r="P419">
        <v>0.9791822</v>
      </c>
      <c r="Q419">
        <v>0.1892402</v>
      </c>
      <c r="R419">
        <v>-7.3422459999999995E-2</v>
      </c>
      <c r="S419">
        <v>3.158722</v>
      </c>
      <c r="T419">
        <v>-0.6820908</v>
      </c>
      <c r="U419">
        <v>-0.49865720000000002</v>
      </c>
      <c r="V419">
        <v>7.8230720000000004E-2</v>
      </c>
      <c r="W419">
        <v>0.19983210000000001</v>
      </c>
      <c r="X419">
        <v>0.97670219999999996</v>
      </c>
      <c r="Y419">
        <v>0.157028799999999</v>
      </c>
      <c r="Z419">
        <v>-1.8527930000000001E-2</v>
      </c>
      <c r="AA419">
        <v>0.98742019999999997</v>
      </c>
      <c r="AB419">
        <v>28</v>
      </c>
      <c r="AC419">
        <v>0.62979999999998804</v>
      </c>
      <c r="AD419">
        <v>-0.192534599999999</v>
      </c>
      <c r="AE419">
        <v>-0.14240000000000899</v>
      </c>
      <c r="AF419">
        <v>0.13364813690515601</v>
      </c>
      <c r="AG419">
        <v>-0.192534599999999</v>
      </c>
      <c r="AH419">
        <v>0.57771799968309001</v>
      </c>
      <c r="AI419">
        <v>107.988217117464</v>
      </c>
      <c r="AJ419">
        <v>76.974445732524202</v>
      </c>
      <c r="AK419">
        <v>0.62344966424981696</v>
      </c>
      <c r="AL419">
        <v>78.472859718919395</v>
      </c>
      <c r="AM419">
        <v>85.420567866271497</v>
      </c>
      <c r="AN419">
        <v>1.0000000506134801</v>
      </c>
    </row>
    <row r="420" spans="1:40" x14ac:dyDescent="0.25">
      <c r="A420" t="str">
        <f>"20190303170725214"</f>
        <v>20190303170725214</v>
      </c>
      <c r="B420" t="str">
        <f>"1551604045202290"</f>
        <v>1551604045202290</v>
      </c>
      <c r="C420" t="s">
        <v>40</v>
      </c>
      <c r="D420">
        <v>4.866244</v>
      </c>
      <c r="E420">
        <v>0.54172019999999999</v>
      </c>
      <c r="F420" t="s">
        <v>47</v>
      </c>
      <c r="G420">
        <v>-355.37869999999998</v>
      </c>
      <c r="H420">
        <v>0.92897960000000002</v>
      </c>
      <c r="I420">
        <v>367.55770000000001</v>
      </c>
      <c r="J420">
        <v>-355.98149999999998</v>
      </c>
      <c r="K420">
        <v>1.121103</v>
      </c>
      <c r="L420">
        <v>367.7002</v>
      </c>
      <c r="M420">
        <v>0.99992820000000004</v>
      </c>
      <c r="N420">
        <v>-1.082166E-2</v>
      </c>
      <c r="O420">
        <v>5.1553170000000004E-3</v>
      </c>
      <c r="P420">
        <v>0.97976459999999999</v>
      </c>
      <c r="Q420">
        <v>0.1860349</v>
      </c>
      <c r="R420">
        <v>-7.3842969999999994E-2</v>
      </c>
      <c r="S420">
        <v>3.15863</v>
      </c>
      <c r="T420">
        <v>-0.68577219999999905</v>
      </c>
      <c r="U420">
        <v>-0.50277709999999998</v>
      </c>
      <c r="V420">
        <v>7.8832529999999998E-2</v>
      </c>
      <c r="W420">
        <v>0.19664690000000001</v>
      </c>
      <c r="X420">
        <v>0.9773001</v>
      </c>
      <c r="Y420">
        <v>0.15839249999999999</v>
      </c>
      <c r="Z420">
        <v>-1.881114E-2</v>
      </c>
      <c r="AA420">
        <v>0.98719699999999999</v>
      </c>
      <c r="AB420">
        <v>29</v>
      </c>
      <c r="AC420">
        <v>0.602800000000002</v>
      </c>
      <c r="AD420">
        <v>-0.192123399999999</v>
      </c>
      <c r="AE420">
        <v>-0.142499999999984</v>
      </c>
      <c r="AF420">
        <v>0.132827254887456</v>
      </c>
      <c r="AG420">
        <v>-0.192123399999999</v>
      </c>
      <c r="AH420">
        <v>0.54921959200516302</v>
      </c>
      <c r="AI420">
        <v>108.778512728081</v>
      </c>
      <c r="AJ420">
        <v>76.404232780862102</v>
      </c>
      <c r="AK420">
        <v>0.59682211814812502</v>
      </c>
      <c r="AL420">
        <v>78.659053335621095</v>
      </c>
      <c r="AM420">
        <v>85.3883018847296</v>
      </c>
      <c r="AN420">
        <v>1.00000002826291</v>
      </c>
    </row>
    <row r="421" spans="1:40" x14ac:dyDescent="0.25">
      <c r="A421" t="str">
        <f>"20190303170725238"</f>
        <v>20190303170725238</v>
      </c>
      <c r="B421" t="str">
        <f>"1551604045232546"</f>
        <v>1551604045232546</v>
      </c>
      <c r="C421" t="s">
        <v>40</v>
      </c>
      <c r="D421">
        <v>4.9006160000000003</v>
      </c>
      <c r="E421">
        <v>0.54146039999999995</v>
      </c>
      <c r="F421" t="s">
        <v>47</v>
      </c>
      <c r="G421">
        <v>-355.12270000000001</v>
      </c>
      <c r="H421">
        <v>0.93111670000000002</v>
      </c>
      <c r="I421">
        <v>367.56290000000001</v>
      </c>
      <c r="J421">
        <v>-355.68950000000001</v>
      </c>
      <c r="K421">
        <v>1.1210979999999999</v>
      </c>
      <c r="L421">
        <v>367.70190000000002</v>
      </c>
      <c r="M421">
        <v>0.99992709999999996</v>
      </c>
      <c r="N421">
        <v>-1.084064E-2</v>
      </c>
      <c r="O421">
        <v>5.3432059999999997E-3</v>
      </c>
      <c r="P421">
        <v>0.98006479999999996</v>
      </c>
      <c r="Q421">
        <v>0.18462999999999999</v>
      </c>
      <c r="R421">
        <v>-7.3384569999999996E-2</v>
      </c>
      <c r="S421">
        <v>3.1565859999999999</v>
      </c>
      <c r="T421">
        <v>-0.69838089999999997</v>
      </c>
      <c r="U421">
        <v>-0.50418090000000004</v>
      </c>
      <c r="V421">
        <v>7.8560130000000006E-2</v>
      </c>
      <c r="W421">
        <v>0.19526370000000001</v>
      </c>
      <c r="X421">
        <v>0.97759929999999995</v>
      </c>
      <c r="Y421">
        <v>0.158943</v>
      </c>
      <c r="Z421">
        <v>-1.9248729999999999E-2</v>
      </c>
      <c r="AA421">
        <v>0.98710010000000004</v>
      </c>
      <c r="AB421">
        <v>29</v>
      </c>
      <c r="AC421">
        <v>0.56679999999999997</v>
      </c>
      <c r="AD421">
        <v>-0.18998129999999999</v>
      </c>
      <c r="AE421">
        <v>-0.13900000000001</v>
      </c>
      <c r="AF421">
        <v>0.128417801981521</v>
      </c>
      <c r="AG421">
        <v>-0.18998129999999999</v>
      </c>
      <c r="AH421">
        <v>0.51181064824408096</v>
      </c>
      <c r="AI421">
        <v>109.800623404117</v>
      </c>
      <c r="AJ421">
        <v>75.914758907457298</v>
      </c>
      <c r="AK421">
        <v>0.56083345644806304</v>
      </c>
      <c r="AL421">
        <v>78.739871368119907</v>
      </c>
      <c r="AM421">
        <v>85.405569444005707</v>
      </c>
      <c r="AN421">
        <v>0.99999999896189795</v>
      </c>
    </row>
    <row r="422" spans="1:40" x14ac:dyDescent="0.25">
      <c r="A422" t="str">
        <f>"20190303170725261"</f>
        <v>20190303170725261</v>
      </c>
      <c r="B422" t="str">
        <f>"1551604045252066"</f>
        <v>1551604045252066</v>
      </c>
      <c r="C422" t="s">
        <v>40</v>
      </c>
      <c r="D422">
        <v>4.9246080000000001</v>
      </c>
      <c r="E422">
        <v>0.54126809999999903</v>
      </c>
      <c r="F422" t="s">
        <v>47</v>
      </c>
      <c r="G422">
        <v>-354.86520000000002</v>
      </c>
      <c r="H422">
        <v>0.93659369999999997</v>
      </c>
      <c r="I422">
        <v>367.57100000000003</v>
      </c>
      <c r="J422">
        <v>-355.38350000000003</v>
      </c>
      <c r="K422">
        <v>1.1211070000000001</v>
      </c>
      <c r="L422">
        <v>367.70370000000003</v>
      </c>
      <c r="M422">
        <v>0.99992570000000003</v>
      </c>
      <c r="N422">
        <v>-1.086256E-2</v>
      </c>
      <c r="O422">
        <v>5.5399619999999998E-3</v>
      </c>
      <c r="P422">
        <v>0.9800316</v>
      </c>
      <c r="Q422">
        <v>0.1846477</v>
      </c>
      <c r="R422">
        <v>-7.3780860000000004E-2</v>
      </c>
      <c r="S422">
        <v>3.1566770000000002</v>
      </c>
      <c r="T422">
        <v>-0.70669890000000002</v>
      </c>
      <c r="U422">
        <v>-0.50009159999999997</v>
      </c>
      <c r="V422">
        <v>7.9148899999999994E-2</v>
      </c>
      <c r="W422">
        <v>0.19530259999999999</v>
      </c>
      <c r="X422">
        <v>0.97754410000000003</v>
      </c>
      <c r="Y422">
        <v>0.1578146</v>
      </c>
      <c r="Z422">
        <v>-1.9377060000000002E-2</v>
      </c>
      <c r="AA422">
        <v>0.98727860000000001</v>
      </c>
      <c r="AB422">
        <v>29</v>
      </c>
      <c r="AC422">
        <v>0.51830000000000997</v>
      </c>
      <c r="AD422">
        <v>-0.18451329999999999</v>
      </c>
      <c r="AE422">
        <v>-0.132700000000056</v>
      </c>
      <c r="AF422">
        <v>0.121159134361347</v>
      </c>
      <c r="AG422">
        <v>-0.18451329999999999</v>
      </c>
      <c r="AH422">
        <v>0.46254313943447201</v>
      </c>
      <c r="AI422">
        <v>111.101175310041</v>
      </c>
      <c r="AJ422">
        <v>75.321649741536802</v>
      </c>
      <c r="AK422">
        <v>0.512514243269373</v>
      </c>
      <c r="AL422">
        <v>78.737599512804195</v>
      </c>
      <c r="AM422">
        <v>85.3710252492736</v>
      </c>
      <c r="AN422">
        <v>1.0000000606913799</v>
      </c>
    </row>
    <row r="423" spans="1:40" x14ac:dyDescent="0.25">
      <c r="A423" t="str">
        <f>"20190303170725285"</f>
        <v>20190303170725285</v>
      </c>
      <c r="B423" t="str">
        <f>"1551604045272562"</f>
        <v>1551604045272562</v>
      </c>
      <c r="C423" t="s">
        <v>40</v>
      </c>
      <c r="D423">
        <v>4.9118740000000001</v>
      </c>
      <c r="E423">
        <v>0.54108429999999996</v>
      </c>
      <c r="F423" t="s">
        <v>47</v>
      </c>
      <c r="G423">
        <v>-354.60539999999997</v>
      </c>
      <c r="H423">
        <v>0.94647720000000002</v>
      </c>
      <c r="I423">
        <v>367.58049999999997</v>
      </c>
      <c r="J423">
        <v>-355.09359999999998</v>
      </c>
      <c r="K423">
        <v>1.1211120000000001</v>
      </c>
      <c r="L423">
        <v>367.7056</v>
      </c>
      <c r="M423">
        <v>0.99992440000000005</v>
      </c>
      <c r="N423">
        <v>-1.088219E-2</v>
      </c>
      <c r="O423">
        <v>5.7261209999999998E-3</v>
      </c>
      <c r="P423">
        <v>0.98011269999999995</v>
      </c>
      <c r="Q423">
        <v>0.1844673</v>
      </c>
      <c r="R423">
        <v>-7.3150919999999994E-2</v>
      </c>
      <c r="S423">
        <v>3.1570429999999998</v>
      </c>
      <c r="T423">
        <v>-0.70864700000000003</v>
      </c>
      <c r="U423">
        <v>-0.49942019999999998</v>
      </c>
      <c r="V423">
        <v>7.8701549999999995E-2</v>
      </c>
      <c r="W423">
        <v>0.19514210000000001</v>
      </c>
      <c r="X423">
        <v>0.97761220000000004</v>
      </c>
      <c r="Y423">
        <v>0.15775159999999999</v>
      </c>
      <c r="Z423">
        <v>-1.94585E-2</v>
      </c>
      <c r="AA423">
        <v>0.98728709999999997</v>
      </c>
      <c r="AB423">
        <v>29</v>
      </c>
      <c r="AC423">
        <v>0.48820000000000602</v>
      </c>
      <c r="AD423">
        <v>-0.17463480000000001</v>
      </c>
      <c r="AE423">
        <v>-0.12510000000003099</v>
      </c>
      <c r="AF423">
        <v>0.114183252937557</v>
      </c>
      <c r="AG423">
        <v>-0.17463480000000001</v>
      </c>
      <c r="AH423">
        <v>0.43521762301856498</v>
      </c>
      <c r="AI423">
        <v>111.21238556743801</v>
      </c>
      <c r="AJ423">
        <v>75.299255193088698</v>
      </c>
      <c r="AK423">
        <v>0.48264843106382499</v>
      </c>
      <c r="AL423">
        <v>78.746975128360702</v>
      </c>
      <c r="AM423">
        <v>85.397394757809593</v>
      </c>
      <c r="AN423">
        <v>0.99999999337682599</v>
      </c>
    </row>
    <row r="424" spans="1:40" x14ac:dyDescent="0.25">
      <c r="A424" t="str">
        <f>"20190303170725304"</f>
        <v>20190303170725304</v>
      </c>
      <c r="B424" t="str">
        <f>"1551604045292082"</f>
        <v>1551604045292082</v>
      </c>
      <c r="C424" t="s">
        <v>40</v>
      </c>
      <c r="D424">
        <v>4.9002299999999996</v>
      </c>
      <c r="E424">
        <v>0.5408828</v>
      </c>
      <c r="F424" t="s">
        <v>47</v>
      </c>
      <c r="G424">
        <v>-354.34679999999997</v>
      </c>
      <c r="H424">
        <v>0.95316780000000001</v>
      </c>
      <c r="I424">
        <v>367.5883</v>
      </c>
      <c r="J424">
        <v>-354.83929999999998</v>
      </c>
      <c r="K424">
        <v>1.121116</v>
      </c>
      <c r="L424">
        <v>367.7072</v>
      </c>
      <c r="M424">
        <v>0.99992349999999997</v>
      </c>
      <c r="N424">
        <v>-1.089097E-2</v>
      </c>
      <c r="O424">
        <v>5.8894480000000003E-3</v>
      </c>
      <c r="P424">
        <v>0.98027280000000006</v>
      </c>
      <c r="Q424">
        <v>0.1843321</v>
      </c>
      <c r="R424">
        <v>-7.1324449999999998E-2</v>
      </c>
      <c r="S424">
        <v>3.1575009999999999</v>
      </c>
      <c r="T424">
        <v>-0.71003769999999999</v>
      </c>
      <c r="U424">
        <v>-0.49533080000000002</v>
      </c>
      <c r="V424">
        <v>7.7036160000000006E-2</v>
      </c>
      <c r="W424">
        <v>0.19501679999999999</v>
      </c>
      <c r="X424">
        <v>0.97776989999999997</v>
      </c>
      <c r="Y424">
        <v>0.1566517</v>
      </c>
      <c r="Z424">
        <v>-1.9400810000000001E-2</v>
      </c>
      <c r="AA424">
        <v>0.98746339999999999</v>
      </c>
      <c r="AB424">
        <v>29</v>
      </c>
      <c r="AC424">
        <v>0.49250000000000599</v>
      </c>
      <c r="AD424">
        <v>-0.16794819999999999</v>
      </c>
      <c r="AE424">
        <v>-0.118899999999996</v>
      </c>
      <c r="AF424">
        <v>0.109739956919944</v>
      </c>
      <c r="AG424">
        <v>-0.16794819999999999</v>
      </c>
      <c r="AH424">
        <v>0.44310126013759998</v>
      </c>
      <c r="AI424">
        <v>110.199248429232</v>
      </c>
      <c r="AJ424">
        <v>76.089828762606899</v>
      </c>
      <c r="AK424">
        <v>0.48640331286244398</v>
      </c>
      <c r="AL424">
        <v>78.754295564188695</v>
      </c>
      <c r="AM424">
        <v>85.495108066222102</v>
      </c>
      <c r="AN424">
        <v>1.00000004978789</v>
      </c>
    </row>
    <row r="425" spans="1:40" x14ac:dyDescent="0.25">
      <c r="A425" t="str">
        <f>"20190303170725328"</f>
        <v>20190303170725328</v>
      </c>
      <c r="B425" t="str">
        <f>"1551604045322338"</f>
        <v>1551604045322338</v>
      </c>
      <c r="C425" t="s">
        <v>40</v>
      </c>
      <c r="D425">
        <v>4.9066289999999997</v>
      </c>
      <c r="E425">
        <v>0.54069049999999996</v>
      </c>
      <c r="F425" t="s">
        <v>47</v>
      </c>
      <c r="G425">
        <v>-354.09120000000001</v>
      </c>
      <c r="H425">
        <v>0.95267840000000004</v>
      </c>
      <c r="I425">
        <v>367.59140000000002</v>
      </c>
      <c r="J425">
        <v>-354.53930000000003</v>
      </c>
      <c r="K425">
        <v>1.121108</v>
      </c>
      <c r="L425">
        <v>367.70920000000001</v>
      </c>
      <c r="M425">
        <v>0.99992230000000004</v>
      </c>
      <c r="N425">
        <v>-1.0890769999999999E-2</v>
      </c>
      <c r="O425">
        <v>6.0822059999999997E-3</v>
      </c>
      <c r="P425">
        <v>0.98025280000000004</v>
      </c>
      <c r="Q425">
        <v>0.18479499999999999</v>
      </c>
      <c r="R425">
        <v>-7.039455E-2</v>
      </c>
      <c r="S425">
        <v>3.1585079999999999</v>
      </c>
      <c r="T425">
        <v>-0.71120059999999996</v>
      </c>
      <c r="U425">
        <v>-0.48855589999999999</v>
      </c>
      <c r="V425">
        <v>7.6294920000000002E-2</v>
      </c>
      <c r="W425">
        <v>0.1954784</v>
      </c>
      <c r="X425">
        <v>0.97773580000000004</v>
      </c>
      <c r="Y425">
        <v>0.1547578</v>
      </c>
      <c r="Z425">
        <v>-1.9248290000000001E-2</v>
      </c>
      <c r="AA425">
        <v>0.98776489999999995</v>
      </c>
      <c r="AB425">
        <v>29</v>
      </c>
      <c r="AC425">
        <v>0.44810000000000999</v>
      </c>
      <c r="AD425">
        <v>-0.16842960000000001</v>
      </c>
      <c r="AE425">
        <v>-0.117799999999988</v>
      </c>
      <c r="AF425">
        <v>0.10645541924662399</v>
      </c>
      <c r="AG425">
        <v>-0.16842960000000001</v>
      </c>
      <c r="AH425">
        <v>0.39515567451584199</v>
      </c>
      <c r="AI425">
        <v>112.37023554847001</v>
      </c>
      <c r="AJ425">
        <v>74.922406385424395</v>
      </c>
      <c r="AK425">
        <v>0.44254863410161499</v>
      </c>
      <c r="AL425">
        <v>78.727328344232106</v>
      </c>
      <c r="AM425">
        <v>85.538123176843001</v>
      </c>
      <c r="AN425">
        <v>1.000000007143</v>
      </c>
    </row>
    <row r="426" spans="1:40" x14ac:dyDescent="0.25">
      <c r="A426" t="str">
        <f>"20190303170725350"</f>
        <v>20190303170725350</v>
      </c>
      <c r="B426" t="str">
        <f>"1551604045342834"</f>
        <v>1551604045342834</v>
      </c>
      <c r="C426" t="s">
        <v>40</v>
      </c>
      <c r="D426">
        <v>4.8961110000000003</v>
      </c>
      <c r="E426">
        <v>0.54035769999999905</v>
      </c>
      <c r="F426" t="s">
        <v>47</v>
      </c>
      <c r="G426">
        <v>-353.83100000000002</v>
      </c>
      <c r="H426">
        <v>0.96194489999999999</v>
      </c>
      <c r="I426">
        <v>367.60019999999997</v>
      </c>
      <c r="J426">
        <v>-354.2482</v>
      </c>
      <c r="K426">
        <v>1.1211059999999999</v>
      </c>
      <c r="L426">
        <v>367.71120000000002</v>
      </c>
      <c r="M426">
        <v>0.99992110000000001</v>
      </c>
      <c r="N426">
        <v>-1.0886349999999999E-2</v>
      </c>
      <c r="O426">
        <v>6.2696189999999997E-3</v>
      </c>
      <c r="P426">
        <v>0.98006700000000002</v>
      </c>
      <c r="Q426">
        <v>0.1859336</v>
      </c>
      <c r="R426">
        <v>-6.9981749999999995E-2</v>
      </c>
      <c r="S426">
        <v>3.1593930000000001</v>
      </c>
      <c r="T426">
        <v>-0.71007529999999996</v>
      </c>
      <c r="U426">
        <v>-0.48544310000000002</v>
      </c>
      <c r="V426">
        <v>7.6064339999999994E-2</v>
      </c>
      <c r="W426">
        <v>0.19661090000000001</v>
      </c>
      <c r="X426">
        <v>0.97752669999999997</v>
      </c>
      <c r="Y426">
        <v>0.15398020000000001</v>
      </c>
      <c r="Z426">
        <v>-1.916495E-2</v>
      </c>
      <c r="AA426">
        <v>0.98788799999999999</v>
      </c>
      <c r="AB426">
        <v>29</v>
      </c>
      <c r="AC426">
        <v>0.41720000000003599</v>
      </c>
      <c r="AD426">
        <v>-0.159161099999999</v>
      </c>
      <c r="AE426">
        <v>-0.11100000000004601</v>
      </c>
      <c r="AF426">
        <v>0.100019106452276</v>
      </c>
      <c r="AG426">
        <v>-0.159161099999999</v>
      </c>
      <c r="AH426">
        <v>0.36665962061901503</v>
      </c>
      <c r="AI426">
        <v>112.723082812304</v>
      </c>
      <c r="AJ426">
        <v>74.741822889722499</v>
      </c>
      <c r="AK426">
        <v>0.41203805018614698</v>
      </c>
      <c r="AL426">
        <v>78.661157181702904</v>
      </c>
      <c r="AM426">
        <v>85.550606007378903</v>
      </c>
      <c r="AN426">
        <v>1.0000000395156601</v>
      </c>
    </row>
    <row r="427" spans="1:40" x14ac:dyDescent="0.25">
      <c r="A427" t="str">
        <f>"20190303170725374"</f>
        <v>20190303170725374</v>
      </c>
      <c r="B427" t="str">
        <f>"1551604045362353"</f>
        <v>1551604045362353</v>
      </c>
      <c r="C427" t="s">
        <v>40</v>
      </c>
      <c r="D427">
        <v>4.8778689999999996</v>
      </c>
      <c r="E427">
        <v>0.52991739999999998</v>
      </c>
      <c r="F427" t="s">
        <v>47</v>
      </c>
      <c r="G427">
        <v>-353.33749999999998</v>
      </c>
      <c r="H427">
        <v>0.91732599999999997</v>
      </c>
      <c r="I427">
        <v>367.57279999999997</v>
      </c>
      <c r="J427">
        <v>-353.95209999999997</v>
      </c>
      <c r="K427">
        <v>1.1211009999999999</v>
      </c>
      <c r="L427">
        <v>367.71319999999997</v>
      </c>
      <c r="M427">
        <v>0.99992000000000003</v>
      </c>
      <c r="N427">
        <v>-1.0881729999999999E-2</v>
      </c>
      <c r="O427">
        <v>6.4607270000000003E-3</v>
      </c>
      <c r="P427">
        <v>0.98036690000000004</v>
      </c>
      <c r="Q427">
        <v>0.1846555</v>
      </c>
      <c r="R427">
        <v>-6.9159369999999998E-2</v>
      </c>
      <c r="S427">
        <v>3.1609189999999998</v>
      </c>
      <c r="T427">
        <v>-0.70733259999999998</v>
      </c>
      <c r="U427">
        <v>-0.48004150000000001</v>
      </c>
      <c r="V427">
        <v>7.5431689999999996E-2</v>
      </c>
      <c r="W427">
        <v>0.19533110000000001</v>
      </c>
      <c r="X427">
        <v>0.97783220000000004</v>
      </c>
      <c r="Y427">
        <v>0.1525136</v>
      </c>
      <c r="Z427">
        <v>-1.8959489999999999E-2</v>
      </c>
      <c r="AA427">
        <v>0.98811950000000004</v>
      </c>
      <c r="AB427">
        <v>29</v>
      </c>
      <c r="AC427">
        <v>0.61459999999999504</v>
      </c>
      <c r="AD427">
        <v>-0.20377500000000001</v>
      </c>
      <c r="AE427">
        <v>-0.140399999999999</v>
      </c>
      <c r="AF427">
        <v>0.13071159468190999</v>
      </c>
      <c r="AG427">
        <v>-0.20377500000000001</v>
      </c>
      <c r="AH427">
        <v>0.55562907516111404</v>
      </c>
      <c r="AI427">
        <v>109.64660716741299</v>
      </c>
      <c r="AJ427">
        <v>76.761889452332198</v>
      </c>
      <c r="AK427">
        <v>0.60608039134563896</v>
      </c>
      <c r="AL427">
        <v>78.735933765123306</v>
      </c>
      <c r="AM427">
        <v>85.588839341252907</v>
      </c>
      <c r="AN427">
        <v>0.99999999492015301</v>
      </c>
    </row>
    <row r="428" spans="1:40" x14ac:dyDescent="0.25">
      <c r="A428" t="str">
        <f>"20190303170725394"</f>
        <v>20190303170725394</v>
      </c>
      <c r="B428" t="str">
        <f>"1551604045382850"</f>
        <v>1551604045382850</v>
      </c>
      <c r="C428" t="s">
        <v>40</v>
      </c>
      <c r="D428">
        <v>4.8655299999999997</v>
      </c>
      <c r="E428">
        <v>0.53033999999999903</v>
      </c>
      <c r="F428" t="s">
        <v>47</v>
      </c>
      <c r="G428">
        <v>-353.07780000000002</v>
      </c>
      <c r="H428">
        <v>0.92824209999999996</v>
      </c>
      <c r="I428">
        <v>367.60399999999998</v>
      </c>
      <c r="J428">
        <v>-353.67970000000003</v>
      </c>
      <c r="K428">
        <v>1.1210960000000001</v>
      </c>
      <c r="L428">
        <v>367.71510000000001</v>
      </c>
      <c r="M428">
        <v>0.99991890000000005</v>
      </c>
      <c r="N428">
        <v>-1.0875879999999999E-2</v>
      </c>
      <c r="O428">
        <v>6.6359929999999998E-3</v>
      </c>
      <c r="P428">
        <v>0.98047470000000003</v>
      </c>
      <c r="Q428">
        <v>0.18463270000000001</v>
      </c>
      <c r="R428">
        <v>-6.7679119999999995E-2</v>
      </c>
      <c r="S428">
        <v>3.1637879999999998</v>
      </c>
      <c r="T428">
        <v>-0.69802529999999996</v>
      </c>
      <c r="U428">
        <v>-0.3933411</v>
      </c>
      <c r="V428">
        <v>7.4123599999999998E-2</v>
      </c>
      <c r="W428">
        <v>0.195303</v>
      </c>
      <c r="X428">
        <v>0.97793779999999997</v>
      </c>
      <c r="Y428">
        <v>0.12666279999999999</v>
      </c>
      <c r="Z428">
        <v>-1.5825970000000002E-2</v>
      </c>
      <c r="AA428">
        <v>0.99181960000000002</v>
      </c>
      <c r="AB428">
        <v>29</v>
      </c>
      <c r="AC428">
        <v>0.60189999999999999</v>
      </c>
      <c r="AD428">
        <v>-0.192853899999999</v>
      </c>
      <c r="AE428">
        <v>-0.11109999999996401</v>
      </c>
      <c r="AF428">
        <v>0.104697696832822</v>
      </c>
      <c r="AG428">
        <v>-0.192853899999999</v>
      </c>
      <c r="AH428">
        <v>0.54685786699005401</v>
      </c>
      <c r="AI428">
        <v>109.104416480363</v>
      </c>
      <c r="AJ428">
        <v>79.161692351873299</v>
      </c>
      <c r="AK428">
        <v>0.58924338023962497</v>
      </c>
      <c r="AL428">
        <v>78.737574941742196</v>
      </c>
      <c r="AM428">
        <v>85.665507145629405</v>
      </c>
      <c r="AN428">
        <v>0.99999995527739904</v>
      </c>
    </row>
    <row r="429" spans="1:40" x14ac:dyDescent="0.25">
      <c r="A429" t="str">
        <f>"20190303170725415"</f>
        <v>20190303170725415</v>
      </c>
      <c r="B429" t="str">
        <f>"1551604045402370"</f>
        <v>1551604045402370</v>
      </c>
      <c r="C429" t="s">
        <v>40</v>
      </c>
      <c r="D429">
        <v>4.8363120000000004</v>
      </c>
      <c r="E429">
        <v>0.53049499999999905</v>
      </c>
      <c r="F429" t="s">
        <v>47</v>
      </c>
      <c r="G429">
        <v>-352.81990000000002</v>
      </c>
      <c r="H429">
        <v>0.93059099999999995</v>
      </c>
      <c r="I429">
        <v>367.608</v>
      </c>
      <c r="J429">
        <v>-353.41860000000003</v>
      </c>
      <c r="K429">
        <v>1.121089</v>
      </c>
      <c r="L429">
        <v>367.71710000000002</v>
      </c>
      <c r="M429">
        <v>0.99991790000000003</v>
      </c>
      <c r="N429">
        <v>-1.086528E-2</v>
      </c>
      <c r="O429">
        <v>6.8035959999999899E-3</v>
      </c>
      <c r="P429">
        <v>0.98049249999999999</v>
      </c>
      <c r="Q429">
        <v>0.18472169999999999</v>
      </c>
      <c r="R429">
        <v>-6.7176509999999995E-2</v>
      </c>
      <c r="S429">
        <v>3.1645810000000001</v>
      </c>
      <c r="T429">
        <v>-0.70126619999999995</v>
      </c>
      <c r="U429">
        <v>-0.39410400000000001</v>
      </c>
      <c r="V429">
        <v>7.378519E-2</v>
      </c>
      <c r="W429">
        <v>0.195382</v>
      </c>
      <c r="X429">
        <v>0.97794769999999998</v>
      </c>
      <c r="Y429">
        <v>0.1269942</v>
      </c>
      <c r="Z429">
        <v>-1.5963169999999999E-2</v>
      </c>
      <c r="AA429">
        <v>0.99177499999999996</v>
      </c>
      <c r="AB429">
        <v>29</v>
      </c>
      <c r="AC429">
        <v>0.598700000000007</v>
      </c>
      <c r="AD429">
        <v>-0.190498</v>
      </c>
      <c r="AE429">
        <v>-0.10910000000001201</v>
      </c>
      <c r="AF429">
        <v>0.10307123580574699</v>
      </c>
      <c r="AG429">
        <v>-0.190498</v>
      </c>
      <c r="AH429">
        <v>0.54458115560303599</v>
      </c>
      <c r="AI429">
        <v>108.968077491221</v>
      </c>
      <c r="AJ429">
        <v>79.282573450929604</v>
      </c>
      <c r="AK429">
        <v>0.58607320591583301</v>
      </c>
      <c r="AL429">
        <v>78.732960652577901</v>
      </c>
      <c r="AM429">
        <v>85.685264808150094</v>
      </c>
      <c r="AN429">
        <v>1.00000004206131</v>
      </c>
    </row>
    <row r="430" spans="1:40" x14ac:dyDescent="0.25">
      <c r="A430" t="str">
        <f>"20190303170725439"</f>
        <v>20190303170725439</v>
      </c>
      <c r="B430" t="str">
        <f>"1551604045432626"</f>
        <v>1551604045432626</v>
      </c>
      <c r="C430" t="s">
        <v>40</v>
      </c>
      <c r="D430">
        <v>4.8133530000000002</v>
      </c>
      <c r="E430">
        <v>0.53068539999999997</v>
      </c>
      <c r="F430" t="s">
        <v>47</v>
      </c>
      <c r="G430">
        <v>-352.56270000000001</v>
      </c>
      <c r="H430">
        <v>0.93127720000000003</v>
      </c>
      <c r="I430">
        <v>367.61</v>
      </c>
      <c r="J430">
        <v>-353.10239999999999</v>
      </c>
      <c r="K430">
        <v>1.1210910000000001</v>
      </c>
      <c r="L430">
        <v>367.71940000000001</v>
      </c>
      <c r="M430">
        <v>0.99991669999999999</v>
      </c>
      <c r="N430">
        <v>-1.0849060000000001E-2</v>
      </c>
      <c r="O430">
        <v>7.0066319999999996E-3</v>
      </c>
      <c r="P430">
        <v>0.98026179999999996</v>
      </c>
      <c r="Q430">
        <v>0.1859556</v>
      </c>
      <c r="R430">
        <v>-6.7138249999999997E-2</v>
      </c>
      <c r="S430">
        <v>3.1648559999999999</v>
      </c>
      <c r="T430">
        <v>-0.70198039999999995</v>
      </c>
      <c r="U430">
        <v>-0.39474490000000001</v>
      </c>
      <c r="V430">
        <v>7.3944090000000004E-2</v>
      </c>
      <c r="W430">
        <v>0.1965973</v>
      </c>
      <c r="X430">
        <v>0.97769209999999995</v>
      </c>
      <c r="Y430">
        <v>0.12736320000000001</v>
      </c>
      <c r="Z430">
        <v>-1.606053E-2</v>
      </c>
      <c r="AA430">
        <v>0.99172610000000005</v>
      </c>
      <c r="AB430">
        <v>29</v>
      </c>
      <c r="AC430">
        <v>0.53969999999998197</v>
      </c>
      <c r="AD430">
        <v>-0.1898138</v>
      </c>
      <c r="AE430">
        <v>-0.109399999999993</v>
      </c>
      <c r="AF430">
        <v>0.10115993512042799</v>
      </c>
      <c r="AG430">
        <v>-0.1898138</v>
      </c>
      <c r="AH430">
        <v>0.48168938459815602</v>
      </c>
      <c r="AI430">
        <v>111.08892888685099</v>
      </c>
      <c r="AJ430">
        <v>78.139632538752394</v>
      </c>
      <c r="AK430">
        <v>0.52752940617425204</v>
      </c>
      <c r="AL430">
        <v>78.661951858735605</v>
      </c>
      <c r="AM430">
        <v>85.674881878171803</v>
      </c>
      <c r="AN430">
        <v>1.00000003460781</v>
      </c>
    </row>
    <row r="431" spans="1:40" x14ac:dyDescent="0.25">
      <c r="A431" t="str">
        <f>"20190303170725464"</f>
        <v>20190303170725464</v>
      </c>
      <c r="B431" t="str">
        <f>"1551604045452146"</f>
        <v>1551604045452146</v>
      </c>
      <c r="C431" t="s">
        <v>40</v>
      </c>
      <c r="D431">
        <v>4.7786160000000004</v>
      </c>
      <c r="E431">
        <v>0.53096189999999999</v>
      </c>
      <c r="F431" t="s">
        <v>47</v>
      </c>
      <c r="G431">
        <v>-352.29969999999997</v>
      </c>
      <c r="H431">
        <v>0.94427859999999997</v>
      </c>
      <c r="I431">
        <v>367.61919999999998</v>
      </c>
      <c r="J431">
        <v>-352.786</v>
      </c>
      <c r="K431">
        <v>1.121086</v>
      </c>
      <c r="L431">
        <v>367.72190000000001</v>
      </c>
      <c r="M431">
        <v>0.99991540000000001</v>
      </c>
      <c r="N431">
        <v>-1.083346E-2</v>
      </c>
      <c r="O431">
        <v>7.2097840000000003E-3</v>
      </c>
      <c r="P431">
        <v>0.98015479999999999</v>
      </c>
      <c r="Q431">
        <v>0.18618750000000001</v>
      </c>
      <c r="R431">
        <v>-6.8051059999999997E-2</v>
      </c>
      <c r="S431">
        <v>3.1657099999999998</v>
      </c>
      <c r="T431">
        <v>-0.69745599999999996</v>
      </c>
      <c r="U431">
        <v>-0.39450069999999998</v>
      </c>
      <c r="V431">
        <v>7.5054979999999993E-2</v>
      </c>
      <c r="W431">
        <v>0.19681290000000001</v>
      </c>
      <c r="X431">
        <v>0.97756399999999999</v>
      </c>
      <c r="Y431">
        <v>0.12749260000000001</v>
      </c>
      <c r="Z431">
        <v>-1.6015040000000001E-2</v>
      </c>
      <c r="AA431">
        <v>0.99171019999999999</v>
      </c>
      <c r="AB431">
        <v>29</v>
      </c>
      <c r="AC431">
        <v>0.48630000000002799</v>
      </c>
      <c r="AD431">
        <v>-0.1768074</v>
      </c>
      <c r="AE431">
        <v>-0.10270000000002701</v>
      </c>
      <c r="AF431">
        <v>9.4273841193976193E-2</v>
      </c>
      <c r="AG431">
        <v>-0.1768074</v>
      </c>
      <c r="AH431">
        <v>0.43100559096337698</v>
      </c>
      <c r="AI431">
        <v>111.838259452949</v>
      </c>
      <c r="AJ431">
        <v>77.662007798580007</v>
      </c>
      <c r="AK431">
        <v>0.47530435856398101</v>
      </c>
      <c r="AL431">
        <v>78.649352003071797</v>
      </c>
      <c r="AM431">
        <v>85.609583120715101</v>
      </c>
      <c r="AN431">
        <v>0.99999997086260395</v>
      </c>
    </row>
    <row r="432" spans="1:40" x14ac:dyDescent="0.25">
      <c r="A432" t="str">
        <f>"20190303170725484"</f>
        <v>20190303170725484</v>
      </c>
      <c r="B432" t="str">
        <f>"1551604045472643"</f>
        <v>1551604045472643</v>
      </c>
      <c r="C432" t="s">
        <v>40</v>
      </c>
      <c r="D432">
        <v>4.7629330000000003</v>
      </c>
      <c r="E432">
        <v>0.53121149999999995</v>
      </c>
      <c r="F432" t="s">
        <v>47</v>
      </c>
      <c r="G432">
        <v>-352.03680000000003</v>
      </c>
      <c r="H432">
        <v>0.95616540000000005</v>
      </c>
      <c r="I432">
        <v>367.62720000000002</v>
      </c>
      <c r="J432">
        <v>-352.53469999999999</v>
      </c>
      <c r="K432">
        <v>1.121076</v>
      </c>
      <c r="L432">
        <v>367.72390000000001</v>
      </c>
      <c r="M432">
        <v>0.99991439999999998</v>
      </c>
      <c r="N432">
        <v>-1.0822190000000001E-2</v>
      </c>
      <c r="O432">
        <v>7.3710709999999999E-3</v>
      </c>
      <c r="P432">
        <v>0.98024549999999999</v>
      </c>
      <c r="Q432">
        <v>0.18557679999999999</v>
      </c>
      <c r="R432">
        <v>-6.8411399999999997E-2</v>
      </c>
      <c r="S432">
        <v>3.1654659999999999</v>
      </c>
      <c r="T432">
        <v>-0.69699789999999995</v>
      </c>
      <c r="U432">
        <v>-0.39834589999999998</v>
      </c>
      <c r="V432">
        <v>7.5574169999999996E-2</v>
      </c>
      <c r="W432">
        <v>0.1961919</v>
      </c>
      <c r="X432">
        <v>0.97764890000000004</v>
      </c>
      <c r="Y432">
        <v>0.12881600000000001</v>
      </c>
      <c r="Z432">
        <v>-1.6188549999999999E-2</v>
      </c>
      <c r="AA432">
        <v>0.99153639999999998</v>
      </c>
      <c r="AB432">
        <v>29</v>
      </c>
      <c r="AC432">
        <v>0.49789999999995799</v>
      </c>
      <c r="AD432">
        <v>-0.16491059999999899</v>
      </c>
      <c r="AE432">
        <v>-9.6699999999998398E-2</v>
      </c>
      <c r="AF432">
        <v>9.0771787826998102E-2</v>
      </c>
      <c r="AG432">
        <v>-0.16491059999999899</v>
      </c>
      <c r="AH432">
        <v>0.44964033585788399</v>
      </c>
      <c r="AI432">
        <v>109.77394590244</v>
      </c>
      <c r="AJ432">
        <v>78.586728217294507</v>
      </c>
      <c r="AK432">
        <v>0.48745405433544198</v>
      </c>
      <c r="AL432">
        <v>78.685641023163498</v>
      </c>
      <c r="AM432">
        <v>85.579714925488602</v>
      </c>
      <c r="AN432">
        <v>1.000000044234</v>
      </c>
    </row>
    <row r="433" spans="1:40" x14ac:dyDescent="0.25">
      <c r="A433" t="str">
        <f>"20190303170725505"</f>
        <v>20190303170725505</v>
      </c>
      <c r="B433" t="str">
        <f>"1551604045492162"</f>
        <v>1551604045492162</v>
      </c>
      <c r="C433" t="s">
        <v>40</v>
      </c>
      <c r="D433">
        <v>4.7793349999999997</v>
      </c>
      <c r="E433">
        <v>0.53141340000000004</v>
      </c>
      <c r="F433" t="s">
        <v>47</v>
      </c>
      <c r="G433">
        <v>-351.7801</v>
      </c>
      <c r="H433">
        <v>0.95436350000000003</v>
      </c>
      <c r="I433">
        <v>367.62799999999999</v>
      </c>
      <c r="J433">
        <v>-352.25119999999998</v>
      </c>
      <c r="K433">
        <v>1.1210739999999999</v>
      </c>
      <c r="L433">
        <v>367.72609999999997</v>
      </c>
      <c r="M433">
        <v>0.9999131</v>
      </c>
      <c r="N433">
        <v>-1.0810470000000001E-2</v>
      </c>
      <c r="O433">
        <v>7.553695E-3</v>
      </c>
      <c r="P433">
        <v>0.98037390000000002</v>
      </c>
      <c r="Q433">
        <v>0.18481629999999999</v>
      </c>
      <c r="R433">
        <v>-6.8629679999999998E-2</v>
      </c>
      <c r="S433">
        <v>3.1647340000000002</v>
      </c>
      <c r="T433">
        <v>-0.69914750000000003</v>
      </c>
      <c r="U433">
        <v>-0.40237430000000002</v>
      </c>
      <c r="V433">
        <v>7.5972780000000004E-2</v>
      </c>
      <c r="W433">
        <v>0.19542129999999999</v>
      </c>
      <c r="X433">
        <v>0.97777230000000004</v>
      </c>
      <c r="Y433">
        <v>0.13020809999999999</v>
      </c>
      <c r="Z433">
        <v>-1.6433929999999999E-2</v>
      </c>
      <c r="AA433">
        <v>0.99135050000000002</v>
      </c>
      <c r="AB433">
        <v>29</v>
      </c>
      <c r="AC433">
        <v>0.47109999999997798</v>
      </c>
      <c r="AD433">
        <v>-0.16671049999999901</v>
      </c>
      <c r="AE433">
        <v>-9.8099999999931201E-2</v>
      </c>
      <c r="AF433">
        <v>9.0762378797186197E-2</v>
      </c>
      <c r="AG433">
        <v>-0.16671049999999901</v>
      </c>
      <c r="AH433">
        <v>0.41994270254109101</v>
      </c>
      <c r="AI433">
        <v>111.207477385536</v>
      </c>
      <c r="AJ433">
        <v>77.804229380516006</v>
      </c>
      <c r="AK433">
        <v>0.46084929600975699</v>
      </c>
      <c r="AL433">
        <v>78.730664294633996</v>
      </c>
      <c r="AM433">
        <v>85.557052157622493</v>
      </c>
      <c r="AN433">
        <v>1.00000000922095</v>
      </c>
    </row>
    <row r="434" spans="1:40" x14ac:dyDescent="0.25">
      <c r="A434" t="str">
        <f>"20190303170725528"</f>
        <v>20190303170725528</v>
      </c>
      <c r="B434" t="str">
        <f>"1551604045522418"</f>
        <v>1551604045522418</v>
      </c>
      <c r="C434" t="s">
        <v>40</v>
      </c>
      <c r="D434">
        <v>4.755001</v>
      </c>
      <c r="E434">
        <v>0.53159149999999999</v>
      </c>
      <c r="F434" t="s">
        <v>47</v>
      </c>
      <c r="G434">
        <v>-351.52010000000001</v>
      </c>
      <c r="H434">
        <v>0.9592252</v>
      </c>
      <c r="I434">
        <v>367.63220000000001</v>
      </c>
      <c r="J434">
        <v>-351.96620000000001</v>
      </c>
      <c r="K434">
        <v>1.121073</v>
      </c>
      <c r="L434">
        <v>367.7285</v>
      </c>
      <c r="M434">
        <v>0.99991180000000002</v>
      </c>
      <c r="N434">
        <v>-1.079976E-2</v>
      </c>
      <c r="O434">
        <v>7.7369709999999996E-3</v>
      </c>
      <c r="P434">
        <v>0.98049759999999997</v>
      </c>
      <c r="Q434">
        <v>0.1841652</v>
      </c>
      <c r="R434">
        <v>-6.8610249999999998E-2</v>
      </c>
      <c r="S434">
        <v>3.1637270000000002</v>
      </c>
      <c r="T434">
        <v>-0.70046519999999901</v>
      </c>
      <c r="U434">
        <v>-0.40551759999999998</v>
      </c>
      <c r="V434">
        <v>7.6134270000000004E-2</v>
      </c>
      <c r="W434">
        <v>0.1947614</v>
      </c>
      <c r="X434">
        <v>0.97789139999999997</v>
      </c>
      <c r="Y434">
        <v>0.13135179999999999</v>
      </c>
      <c r="Z434">
        <v>-1.6635270000000001E-2</v>
      </c>
      <c r="AA434">
        <v>0.99119619999999997</v>
      </c>
      <c r="AB434">
        <v>29</v>
      </c>
      <c r="AC434">
        <v>0.446100000000001</v>
      </c>
      <c r="AD434">
        <v>-0.16184779999999999</v>
      </c>
      <c r="AE434">
        <v>-9.6299999999985106E-2</v>
      </c>
      <c r="AF434">
        <v>8.8605137245211296E-2</v>
      </c>
      <c r="AG434">
        <v>-0.16184779999999999</v>
      </c>
      <c r="AH434">
        <v>0.395589270738187</v>
      </c>
      <c r="AI434">
        <v>111.763807027019</v>
      </c>
      <c r="AJ434">
        <v>77.375109148641997</v>
      </c>
      <c r="AK434">
        <v>0.43650481307111999</v>
      </c>
      <c r="AL434">
        <v>78.769214529573503</v>
      </c>
      <c r="AM434">
        <v>85.548186112861202</v>
      </c>
      <c r="AN434">
        <v>1.0000000100961699</v>
      </c>
    </row>
    <row r="435" spans="1:40" x14ac:dyDescent="0.25">
      <c r="A435" t="str">
        <f>"20190303170725552"</f>
        <v>20190303170725552</v>
      </c>
      <c r="B435" t="str">
        <f>"1551604045542914"</f>
        <v>1551604045542914</v>
      </c>
      <c r="C435" t="s">
        <v>40</v>
      </c>
      <c r="D435">
        <v>4.7817439999999998</v>
      </c>
      <c r="E435">
        <v>0.53163709999999997</v>
      </c>
      <c r="F435" t="s">
        <v>47</v>
      </c>
      <c r="G435">
        <v>-351.25970000000001</v>
      </c>
      <c r="H435">
        <v>0.96435990000000005</v>
      </c>
      <c r="I435">
        <v>367.63749999999999</v>
      </c>
      <c r="J435">
        <v>-351.65379999999999</v>
      </c>
      <c r="K435">
        <v>1.1210819999999999</v>
      </c>
      <c r="L435">
        <v>367.7312</v>
      </c>
      <c r="M435">
        <v>0.99991039999999998</v>
      </c>
      <c r="N435">
        <v>-1.0783620000000001E-2</v>
      </c>
      <c r="O435">
        <v>7.9379189999999999E-3</v>
      </c>
      <c r="P435">
        <v>0.98019239999999996</v>
      </c>
      <c r="Q435">
        <v>0.18572060000000001</v>
      </c>
      <c r="R435">
        <v>-6.8780170000000002E-2</v>
      </c>
      <c r="S435">
        <v>3.1629640000000001</v>
      </c>
      <c r="T435">
        <v>-0.70162019999999903</v>
      </c>
      <c r="U435">
        <v>-0.40725709999999998</v>
      </c>
      <c r="V435">
        <v>7.6497839999999998E-2</v>
      </c>
      <c r="W435">
        <v>0.19629759999999999</v>
      </c>
      <c r="X435">
        <v>0.97755579999999997</v>
      </c>
      <c r="Y435">
        <v>0.13208239999999999</v>
      </c>
      <c r="Z435">
        <v>-1.6788839999999999E-2</v>
      </c>
      <c r="AA435">
        <v>0.99109659999999999</v>
      </c>
      <c r="AB435">
        <v>29</v>
      </c>
      <c r="AC435">
        <v>0.39409999999998002</v>
      </c>
      <c r="AD435">
        <v>-0.156722099999999</v>
      </c>
      <c r="AE435">
        <v>-9.3700000000012496E-2</v>
      </c>
      <c r="AF435">
        <v>8.4219509117393801E-2</v>
      </c>
      <c r="AG435">
        <v>-0.156722099999999</v>
      </c>
      <c r="AH435">
        <v>0.34213297549608801</v>
      </c>
      <c r="AI435">
        <v>113.979291393555</v>
      </c>
      <c r="AJ435">
        <v>76.171007760573204</v>
      </c>
      <c r="AK435">
        <v>0.38562898654819999</v>
      </c>
      <c r="AL435">
        <v>78.679464308356799</v>
      </c>
      <c r="AM435">
        <v>85.525483718328303</v>
      </c>
      <c r="AN435">
        <v>1.0000000047020301</v>
      </c>
    </row>
    <row r="436" spans="1:40" x14ac:dyDescent="0.25">
      <c r="A436" t="str">
        <f>"20190303170725573"</f>
        <v>20190303170725573</v>
      </c>
      <c r="B436" t="str">
        <f>"1551604045562434"</f>
        <v>1551604045562434</v>
      </c>
      <c r="C436" t="s">
        <v>40</v>
      </c>
      <c r="D436">
        <v>4.7159709999999997</v>
      </c>
      <c r="E436">
        <v>0.51411240000000002</v>
      </c>
      <c r="F436" t="s">
        <v>47</v>
      </c>
      <c r="G436">
        <v>-350.76100000000002</v>
      </c>
      <c r="H436">
        <v>0.92455100000000001</v>
      </c>
      <c r="I436">
        <v>367.61579999999998</v>
      </c>
      <c r="J436">
        <v>-351.3888</v>
      </c>
      <c r="K436">
        <v>1.1210899999999999</v>
      </c>
      <c r="L436">
        <v>367.73340000000002</v>
      </c>
      <c r="M436">
        <v>0.99990919999999905</v>
      </c>
      <c r="N436">
        <v>-1.0767550000000001E-2</v>
      </c>
      <c r="O436">
        <v>8.1080519999999993E-3</v>
      </c>
      <c r="P436">
        <v>0.97980900000000004</v>
      </c>
      <c r="Q436">
        <v>0.1878775</v>
      </c>
      <c r="R436">
        <v>-6.8387390000000006E-2</v>
      </c>
      <c r="S436">
        <v>3.16391</v>
      </c>
      <c r="T436">
        <v>-0.69650570000000001</v>
      </c>
      <c r="U436">
        <v>-0.4086304</v>
      </c>
      <c r="V436">
        <v>7.6267699999999994E-2</v>
      </c>
      <c r="W436">
        <v>0.19843440000000001</v>
      </c>
      <c r="X436">
        <v>0.97714230000000002</v>
      </c>
      <c r="Y436">
        <v>0.13266989999999901</v>
      </c>
      <c r="Z436">
        <v>-1.6769630000000001E-2</v>
      </c>
      <c r="AA436">
        <v>0.99101839999999997</v>
      </c>
      <c r="AB436">
        <v>29</v>
      </c>
      <c r="AC436">
        <v>0.627800000000036</v>
      </c>
      <c r="AD436">
        <v>-0.19653899999999899</v>
      </c>
      <c r="AE436">
        <v>-0.11760000000003799</v>
      </c>
      <c r="AF436">
        <v>0.112074946530922</v>
      </c>
      <c r="AG436">
        <v>-0.19653899999999899</v>
      </c>
      <c r="AH436">
        <v>0.57260883708688703</v>
      </c>
      <c r="AI436">
        <v>108.61573233083401</v>
      </c>
      <c r="AJ436">
        <v>78.925674427088595</v>
      </c>
      <c r="AK436">
        <v>0.61568600152261499</v>
      </c>
      <c r="AL436">
        <v>78.554578354954103</v>
      </c>
      <c r="AM436">
        <v>85.537010466040599</v>
      </c>
      <c r="AN436">
        <v>1.00000002380796</v>
      </c>
    </row>
    <row r="437" spans="1:40" x14ac:dyDescent="0.25">
      <c r="A437" t="str">
        <f>"20190303170725594"</f>
        <v>20190303170725594</v>
      </c>
      <c r="B437" t="str">
        <f>"1551604045582931"</f>
        <v>1551604045582931</v>
      </c>
      <c r="C437" t="s">
        <v>40</v>
      </c>
      <c r="D437">
        <v>4.6922290000000002</v>
      </c>
      <c r="E437">
        <v>0.48872919999999997</v>
      </c>
      <c r="F437" t="s">
        <v>47</v>
      </c>
      <c r="G437">
        <v>-350.48509999999999</v>
      </c>
      <c r="H437">
        <v>0.96351169999999997</v>
      </c>
      <c r="I437">
        <v>367.6542</v>
      </c>
      <c r="J437">
        <v>-351.10239999999999</v>
      </c>
      <c r="K437">
        <v>1.121089</v>
      </c>
      <c r="L437">
        <v>367.73599999999999</v>
      </c>
      <c r="M437">
        <v>0.99990789999999996</v>
      </c>
      <c r="N437">
        <v>-1.074985E-2</v>
      </c>
      <c r="O437">
        <v>8.2920219999999996E-3</v>
      </c>
      <c r="P437">
        <v>0.979935</v>
      </c>
      <c r="Q437">
        <v>0.1876922</v>
      </c>
      <c r="R437">
        <v>-6.7073960000000002E-2</v>
      </c>
      <c r="S437">
        <v>3.1479490000000001</v>
      </c>
      <c r="T437">
        <v>-0.54911709999999903</v>
      </c>
      <c r="U437">
        <v>-0.27429199999999998</v>
      </c>
      <c r="V437">
        <v>7.5135899999999894E-2</v>
      </c>
      <c r="W437">
        <v>0.19823250000000001</v>
      </c>
      <c r="X437">
        <v>0.977271</v>
      </c>
      <c r="Y437">
        <v>9.3464240000000004E-2</v>
      </c>
      <c r="Z437">
        <v>-9.9277510000000003E-3</v>
      </c>
      <c r="AA437">
        <v>0.99557320000000005</v>
      </c>
      <c r="AB437">
        <v>29</v>
      </c>
      <c r="AC437">
        <v>0.61729999999999996</v>
      </c>
      <c r="AD437">
        <v>-0.1575773</v>
      </c>
      <c r="AE437">
        <v>-8.1799999999986994E-2</v>
      </c>
      <c r="AF437">
        <v>8.1685224034044907E-2</v>
      </c>
      <c r="AG437">
        <v>-0.1575773</v>
      </c>
      <c r="AH437">
        <v>0.57949123258890001</v>
      </c>
      <c r="AI437">
        <v>105.070135207237</v>
      </c>
      <c r="AJ437">
        <v>81.976436575004598</v>
      </c>
      <c r="AK437">
        <v>0.60606366822982005</v>
      </c>
      <c r="AL437">
        <v>78.566381339579607</v>
      </c>
      <c r="AM437">
        <v>85.603555602187996</v>
      </c>
      <c r="AN437">
        <v>1.0000000674830201</v>
      </c>
    </row>
    <row r="438" spans="1:40" x14ac:dyDescent="0.25">
      <c r="A438" t="str">
        <f>"20190303170725617"</f>
        <v>20190303170725617</v>
      </c>
      <c r="B438" t="str">
        <f>"1551604045612211"</f>
        <v>1551604045612211</v>
      </c>
      <c r="C438" t="s">
        <v>40</v>
      </c>
      <c r="D438">
        <v>4.6527949999999896</v>
      </c>
      <c r="E438">
        <v>0.48627569999999998</v>
      </c>
      <c r="F438" t="s">
        <v>43</v>
      </c>
      <c r="G438">
        <v>-330.02190000000002</v>
      </c>
      <c r="H438" s="1">
        <v>-4.6966169999999999E-6</v>
      </c>
      <c r="I438">
        <v>367.17140000000001</v>
      </c>
      <c r="J438">
        <v>-350.81479999999999</v>
      </c>
      <c r="K438">
        <v>1.121089</v>
      </c>
      <c r="L438">
        <v>367.73860000000002</v>
      </c>
      <c r="M438">
        <v>0.99990670000000004</v>
      </c>
      <c r="N438">
        <v>-1.072671E-2</v>
      </c>
      <c r="O438">
        <v>8.4762610000000006E-3</v>
      </c>
      <c r="P438">
        <v>0.98000259999999995</v>
      </c>
      <c r="Q438">
        <v>0.18770619999999999</v>
      </c>
      <c r="R438">
        <v>-6.6042110000000001E-2</v>
      </c>
      <c r="S438">
        <v>3.0872190000000002</v>
      </c>
      <c r="T438">
        <v>-0.16418179999999999</v>
      </c>
      <c r="U438">
        <v>-8.2672120000000002E-2</v>
      </c>
      <c r="V438">
        <v>7.428469E-2</v>
      </c>
      <c r="W438">
        <v>0.19822500000000001</v>
      </c>
      <c r="X438">
        <v>0.97733749999999997</v>
      </c>
      <c r="Y438">
        <v>3.5174650000000002E-2</v>
      </c>
      <c r="Z438">
        <v>-1.482871E-3</v>
      </c>
      <c r="AA438">
        <v>0.99938009999999999</v>
      </c>
      <c r="AB438">
        <v>29</v>
      </c>
      <c r="AC438">
        <v>20.7928999999999</v>
      </c>
      <c r="AD438">
        <v>-1.121093696617</v>
      </c>
      <c r="AE438">
        <v>-0.56720000000001303</v>
      </c>
      <c r="AF438">
        <v>0.74128243266360305</v>
      </c>
      <c r="AG438">
        <v>-1.121093696617</v>
      </c>
      <c r="AH438">
        <v>20.7271347573272</v>
      </c>
      <c r="AI438">
        <v>93.094035323917893</v>
      </c>
      <c r="AJ438">
        <v>87.951754496938193</v>
      </c>
      <c r="AK438">
        <v>20.770663590024501</v>
      </c>
      <c r="AL438">
        <v>78.566818713556003</v>
      </c>
      <c r="AM438">
        <v>85.653465300323603</v>
      </c>
      <c r="AN438">
        <v>0.99999997734982204</v>
      </c>
    </row>
    <row r="439" spans="1:40" x14ac:dyDescent="0.25">
      <c r="A439" t="str">
        <f>"20190303170725640"</f>
        <v>20190303170725640</v>
      </c>
      <c r="B439" t="str">
        <f>"1551604045632706"</f>
        <v>1551604045632706</v>
      </c>
      <c r="C439" t="s">
        <v>40</v>
      </c>
      <c r="D439">
        <v>4.7364680000000003</v>
      </c>
      <c r="E439">
        <v>0.48591630000000002</v>
      </c>
      <c r="F439" t="s">
        <v>46</v>
      </c>
      <c r="G439">
        <v>-295.36070000000001</v>
      </c>
      <c r="H439">
        <v>-0.05</v>
      </c>
      <c r="I439">
        <v>366.59059999999999</v>
      </c>
      <c r="J439">
        <v>-350.51150000000001</v>
      </c>
      <c r="K439">
        <v>1.121081</v>
      </c>
      <c r="L439">
        <v>367.74130000000002</v>
      </c>
      <c r="M439">
        <v>0.9999053</v>
      </c>
      <c r="N439">
        <v>-1.0692510000000001E-2</v>
      </c>
      <c r="O439">
        <v>8.6709860000000003E-3</v>
      </c>
      <c r="P439">
        <v>0.979877</v>
      </c>
      <c r="Q439">
        <v>0.188638</v>
      </c>
      <c r="R439">
        <v>-6.5246650000000003E-2</v>
      </c>
      <c r="S439">
        <v>3.069366</v>
      </c>
      <c r="T439">
        <v>-6.4819459999999995E-2</v>
      </c>
      <c r="U439">
        <v>-6.35376E-2</v>
      </c>
      <c r="V439">
        <v>7.3678720000000003E-2</v>
      </c>
      <c r="W439">
        <v>0.1991214</v>
      </c>
      <c r="X439">
        <v>0.97720119999999999</v>
      </c>
      <c r="Y439">
        <v>2.9354640000000001E-2</v>
      </c>
      <c r="Z439">
        <v>-5.5725260000000004E-4</v>
      </c>
      <c r="AA439">
        <v>0.99956889999999998</v>
      </c>
      <c r="AB439">
        <v>29</v>
      </c>
      <c r="AC439">
        <v>55.150799999999997</v>
      </c>
      <c r="AD439">
        <v>-1.171081</v>
      </c>
      <c r="AE439">
        <v>-1.15070000000002</v>
      </c>
      <c r="AF439">
        <v>1.62816205818501</v>
      </c>
      <c r="AG439">
        <v>-1.171081</v>
      </c>
      <c r="AH439">
        <v>55.113908690963697</v>
      </c>
      <c r="AI439">
        <v>91.216728383098499</v>
      </c>
      <c r="AJ439">
        <v>88.307873763842395</v>
      </c>
      <c r="AK439">
        <v>55.150387791856502</v>
      </c>
      <c r="AL439">
        <v>78.514414806767107</v>
      </c>
      <c r="AM439">
        <v>85.688188440283696</v>
      </c>
      <c r="AN439">
        <v>1.00000003550011</v>
      </c>
    </row>
    <row r="440" spans="1:40" x14ac:dyDescent="0.25">
      <c r="A440" t="str">
        <f>"20190303170725662"</f>
        <v>20190303170725662</v>
      </c>
      <c r="B440" t="str">
        <f>"1551604045652226"</f>
        <v>1551604045652226</v>
      </c>
      <c r="C440" t="s">
        <v>40</v>
      </c>
      <c r="D440">
        <v>4.598922</v>
      </c>
      <c r="E440">
        <v>0.48597109999999899</v>
      </c>
      <c r="F440" t="s">
        <v>43</v>
      </c>
      <c r="G440">
        <v>-274.7475</v>
      </c>
      <c r="H440" s="1">
        <v>-2.8255739999999998E-6</v>
      </c>
      <c r="I440">
        <v>366.29050000000001</v>
      </c>
      <c r="J440">
        <v>-350.2158</v>
      </c>
      <c r="K440">
        <v>1.121078</v>
      </c>
      <c r="L440">
        <v>367.7441</v>
      </c>
      <c r="M440">
        <v>0.99990409999999996</v>
      </c>
      <c r="N440">
        <v>-1.064938E-2</v>
      </c>
      <c r="O440">
        <v>8.8608690000000004E-3</v>
      </c>
      <c r="P440">
        <v>0.97961500000000001</v>
      </c>
      <c r="Q440">
        <v>0.19011320000000001</v>
      </c>
      <c r="R440">
        <v>-6.4895389999999997E-2</v>
      </c>
      <c r="S440">
        <v>3.0664060000000002</v>
      </c>
      <c r="T440">
        <v>-4.537368E-2</v>
      </c>
      <c r="U440">
        <v>-5.8715820000000002E-2</v>
      </c>
      <c r="V440">
        <v>7.3510679999999995E-2</v>
      </c>
      <c r="W440">
        <v>0.20055100000000001</v>
      </c>
      <c r="X440">
        <v>0.97692140000000005</v>
      </c>
      <c r="Y440">
        <v>2.7998240000000001E-2</v>
      </c>
      <c r="Z440">
        <v>-3.9297129999999998E-4</v>
      </c>
      <c r="AA440">
        <v>0.99960789999999999</v>
      </c>
      <c r="AB440">
        <v>29</v>
      </c>
      <c r="AC440">
        <v>75.468299999999999</v>
      </c>
      <c r="AD440">
        <v>-1.1210808255739999</v>
      </c>
      <c r="AE440">
        <v>-1.45359999999999</v>
      </c>
      <c r="AF440">
        <v>2.1218274739248799</v>
      </c>
      <c r="AG440">
        <v>-1.1210808255739999</v>
      </c>
      <c r="AH440">
        <v>75.435815718161507</v>
      </c>
      <c r="AI440">
        <v>90.851095493756802</v>
      </c>
      <c r="AJ440">
        <v>88.388832781706</v>
      </c>
      <c r="AK440">
        <v>75.473977416795805</v>
      </c>
      <c r="AL440">
        <v>78.430817825721604</v>
      </c>
      <c r="AM440">
        <v>85.696757971298098</v>
      </c>
      <c r="AN440">
        <v>0.99999997272651098</v>
      </c>
    </row>
    <row r="441" spans="1:40" x14ac:dyDescent="0.25">
      <c r="A441" t="str">
        <f>"20190303170725685"</f>
        <v>20190303170725685</v>
      </c>
      <c r="B441" t="str">
        <f>"1551604045672723"</f>
        <v>1551604045672723</v>
      </c>
      <c r="C441" t="s">
        <v>40</v>
      </c>
      <c r="D441">
        <v>4.7209130000000004</v>
      </c>
      <c r="E441">
        <v>0.48508630000000003</v>
      </c>
      <c r="F441" t="s">
        <v>43</v>
      </c>
      <c r="G441">
        <v>-245.46530000000001</v>
      </c>
      <c r="H441" s="1">
        <v>-2.8097369999999999E-6</v>
      </c>
      <c r="I441">
        <v>365.7509</v>
      </c>
      <c r="J441">
        <v>-349.93299999999999</v>
      </c>
      <c r="K441">
        <v>1.121068</v>
      </c>
      <c r="L441">
        <v>367.74680000000001</v>
      </c>
      <c r="M441">
        <v>0.99990290000000004</v>
      </c>
      <c r="N441">
        <v>-1.060376E-2</v>
      </c>
      <c r="O441">
        <v>9.04254E-3</v>
      </c>
      <c r="P441">
        <v>0.97950139999999997</v>
      </c>
      <c r="Q441">
        <v>0.19071579999999999</v>
      </c>
      <c r="R441">
        <v>-6.4841430000000005E-2</v>
      </c>
      <c r="S441">
        <v>3.0649410000000001</v>
      </c>
      <c r="T441">
        <v>-3.280222E-2</v>
      </c>
      <c r="U441">
        <v>-5.8319089999999997E-2</v>
      </c>
      <c r="V441">
        <v>7.3633309999999993E-2</v>
      </c>
      <c r="W441">
        <v>0.2011078</v>
      </c>
      <c r="X441">
        <v>0.97679769999999999</v>
      </c>
      <c r="Y441">
        <v>2.806179E-2</v>
      </c>
      <c r="Z441">
        <v>-2.9984130000000001E-4</v>
      </c>
      <c r="AA441">
        <v>0.99960610000000005</v>
      </c>
      <c r="AB441">
        <v>29</v>
      </c>
      <c r="AC441">
        <v>104.46769999999999</v>
      </c>
      <c r="AD441">
        <v>-1.1210708097369999</v>
      </c>
      <c r="AE441">
        <v>-1.9959</v>
      </c>
      <c r="AF441">
        <v>2.94018638148557</v>
      </c>
      <c r="AG441">
        <v>-1.1210708097369999</v>
      </c>
      <c r="AH441">
        <v>104.43335721212701</v>
      </c>
      <c r="AI441">
        <v>90.614791309734102</v>
      </c>
      <c r="AJ441">
        <v>88.387337271073093</v>
      </c>
      <c r="AK441">
        <v>104.480752267171</v>
      </c>
      <c r="AL441">
        <v>78.398252122118706</v>
      </c>
      <c r="AM441">
        <v>85.689062562517606</v>
      </c>
      <c r="AN441">
        <v>0.99999997914384198</v>
      </c>
    </row>
    <row r="442" spans="1:40" x14ac:dyDescent="0.25">
      <c r="A442" t="str">
        <f>"20190303170725706"</f>
        <v>20190303170725706</v>
      </c>
      <c r="B442" t="str">
        <f>"1551604045692242"</f>
        <v>1551604045692242</v>
      </c>
      <c r="C442" t="s">
        <v>40</v>
      </c>
      <c r="D442">
        <v>4.7095710000000004</v>
      </c>
      <c r="E442">
        <v>0.48526920000000001</v>
      </c>
      <c r="F442" t="s">
        <v>43</v>
      </c>
      <c r="G442">
        <v>-213.8776</v>
      </c>
      <c r="H442" s="1">
        <v>-3.3445080000000001E-6</v>
      </c>
      <c r="I442">
        <v>365.46899999999999</v>
      </c>
      <c r="J442">
        <v>-349.65379999999999</v>
      </c>
      <c r="K442">
        <v>1.121065</v>
      </c>
      <c r="L442">
        <v>367.74950000000001</v>
      </c>
      <c r="M442">
        <v>0.99990179999999995</v>
      </c>
      <c r="N442">
        <v>-1.0559900000000001E-2</v>
      </c>
      <c r="O442">
        <v>9.2215200000000004E-3</v>
      </c>
      <c r="P442">
        <v>0.97950210000000004</v>
      </c>
      <c r="Q442">
        <v>0.19044320000000001</v>
      </c>
      <c r="R442">
        <v>-6.562962E-2</v>
      </c>
      <c r="S442">
        <v>3.0643009999999999</v>
      </c>
      <c r="T442">
        <v>-2.5249239999999999E-2</v>
      </c>
      <c r="U442">
        <v>-5.130005E-2</v>
      </c>
      <c r="V442">
        <v>7.4596510000000005E-2</v>
      </c>
      <c r="W442">
        <v>0.20079259999999999</v>
      </c>
      <c r="X442">
        <v>0.97678949999999998</v>
      </c>
      <c r="Y442">
        <v>2.595685E-2</v>
      </c>
      <c r="Z442">
        <v>-2.2260380000000001E-4</v>
      </c>
      <c r="AA442">
        <v>0.99966310000000003</v>
      </c>
      <c r="AB442">
        <v>29</v>
      </c>
      <c r="AC442">
        <v>135.77619999999999</v>
      </c>
      <c r="AD442">
        <v>-1.1210683445080001</v>
      </c>
      <c r="AE442">
        <v>-2.2805000000000102</v>
      </c>
      <c r="AF442">
        <v>3.5322949433485999</v>
      </c>
      <c r="AG442">
        <v>-1.1210683445080001</v>
      </c>
      <c r="AH442">
        <v>135.74014412693899</v>
      </c>
      <c r="AI442">
        <v>90.473030945365196</v>
      </c>
      <c r="AJ442">
        <v>88.509358237427193</v>
      </c>
      <c r="AK442">
        <v>135.790723650041</v>
      </c>
      <c r="AL442">
        <v>78.416688262963106</v>
      </c>
      <c r="AM442">
        <v>85.632851267354596</v>
      </c>
      <c r="AN442">
        <v>1.00000001741459</v>
      </c>
    </row>
    <row r="443" spans="1:40" x14ac:dyDescent="0.25">
      <c r="A443" t="str">
        <f>"20190303170725730"</f>
        <v>20190303170725730</v>
      </c>
      <c r="B443" t="str">
        <f>"1551604045722498"</f>
        <v>1551604045722498</v>
      </c>
      <c r="C443" t="s">
        <v>40</v>
      </c>
      <c r="D443">
        <v>4.8153050000000004</v>
      </c>
      <c r="E443">
        <v>0.48536489999999999</v>
      </c>
      <c r="F443" t="s">
        <v>48</v>
      </c>
      <c r="G443">
        <v>-195.0395</v>
      </c>
      <c r="H443" s="1">
        <v>-7.7852399999999905E-6</v>
      </c>
      <c r="I443">
        <v>364.96929999999998</v>
      </c>
      <c r="J443">
        <v>-349.34660000000002</v>
      </c>
      <c r="K443">
        <v>1.121057</v>
      </c>
      <c r="L443">
        <v>367.7525</v>
      </c>
      <c r="M443">
        <v>0.99990040000000002</v>
      </c>
      <c r="N443">
        <v>-1.0515129999999999E-2</v>
      </c>
      <c r="O443">
        <v>9.419396E-3</v>
      </c>
      <c r="P443">
        <v>0.97940649999999996</v>
      </c>
      <c r="Q443">
        <v>0.1904824</v>
      </c>
      <c r="R443">
        <v>-6.6929559999999999E-2</v>
      </c>
      <c r="S443">
        <v>3.0633849999999998</v>
      </c>
      <c r="T443">
        <v>-2.2211910000000001E-2</v>
      </c>
      <c r="U443">
        <v>-5.5084229999999998E-2</v>
      </c>
      <c r="V443">
        <v>7.6089290000000004E-2</v>
      </c>
      <c r="W443">
        <v>0.2007874</v>
      </c>
      <c r="X443">
        <v>0.97667539999999997</v>
      </c>
      <c r="Y443">
        <v>2.7394370000000001E-2</v>
      </c>
      <c r="Z443">
        <v>-2.126055E-4</v>
      </c>
      <c r="AA443">
        <v>0.99962470000000003</v>
      </c>
      <c r="AB443">
        <v>29</v>
      </c>
      <c r="AC443">
        <v>154.30709999999999</v>
      </c>
      <c r="AD443">
        <v>-1.12106478524</v>
      </c>
      <c r="AE443">
        <v>-2.7832000000000199</v>
      </c>
      <c r="AF443">
        <v>4.2364129448406098</v>
      </c>
      <c r="AG443">
        <v>-1.12106478524</v>
      </c>
      <c r="AH443">
        <v>154.26589624552599</v>
      </c>
      <c r="AI443">
        <v>90.416209585365607</v>
      </c>
      <c r="AJ443">
        <v>88.426952439018507</v>
      </c>
      <c r="AK443">
        <v>154.328126812086</v>
      </c>
      <c r="AL443">
        <v>78.416992172843507</v>
      </c>
      <c r="AM443">
        <v>85.545288531469794</v>
      </c>
      <c r="AN443">
        <v>0.999999998508312</v>
      </c>
    </row>
    <row r="444" spans="1:40" x14ac:dyDescent="0.25">
      <c r="A444" t="str">
        <f>"20190303170725751"</f>
        <v>20190303170725751</v>
      </c>
      <c r="B444" t="str">
        <f>"1551604045742995"</f>
        <v>1551604045742995</v>
      </c>
      <c r="C444" t="s">
        <v>40</v>
      </c>
      <c r="D444">
        <v>4.7438669999999998</v>
      </c>
      <c r="E444">
        <v>0.48546319999999998</v>
      </c>
      <c r="F444" t="s">
        <v>48</v>
      </c>
      <c r="G444">
        <v>-176.48699999999999</v>
      </c>
      <c r="H444">
        <v>7.9988030000000002E-2</v>
      </c>
      <c r="I444">
        <v>364.37299999999999</v>
      </c>
      <c r="J444">
        <v>-349.05560000000003</v>
      </c>
      <c r="K444">
        <v>1.1210530000000001</v>
      </c>
      <c r="L444">
        <v>367.75549999999998</v>
      </c>
      <c r="M444">
        <v>0.99989899999999998</v>
      </c>
      <c r="N444">
        <v>-1.047091E-2</v>
      </c>
      <c r="O444">
        <v>9.6060079999999992E-3</v>
      </c>
      <c r="P444">
        <v>0.97937750000000001</v>
      </c>
      <c r="Q444">
        <v>0.1904042</v>
      </c>
      <c r="R444">
        <v>-6.7570839999999993E-2</v>
      </c>
      <c r="S444">
        <v>3.0625610000000001</v>
      </c>
      <c r="T444">
        <v>-1.8444660000000002E-2</v>
      </c>
      <c r="U444">
        <v>-5.9875490000000003E-2</v>
      </c>
      <c r="V444">
        <v>7.6912839999999996E-2</v>
      </c>
      <c r="W444">
        <v>0.20066600000000001</v>
      </c>
      <c r="X444">
        <v>0.9766359</v>
      </c>
      <c r="Y444">
        <v>2.9149310000000001E-2</v>
      </c>
      <c r="Z444">
        <v>-1.976728E-4</v>
      </c>
      <c r="AA444">
        <v>0.99957510000000005</v>
      </c>
      <c r="AB444">
        <v>29</v>
      </c>
      <c r="AC444">
        <v>172.5686</v>
      </c>
      <c r="AD444">
        <v>-1.0410649700000001</v>
      </c>
      <c r="AE444">
        <v>-3.3824999999999301</v>
      </c>
      <c r="AF444">
        <v>5.0399468603235302</v>
      </c>
      <c r="AG444">
        <v>-1.0410649700000001</v>
      </c>
      <c r="AH444">
        <v>172.52186653753199</v>
      </c>
      <c r="AI444">
        <v>90.345593695866796</v>
      </c>
      <c r="AJ444">
        <v>88.326672525395395</v>
      </c>
      <c r="AK444">
        <v>172.59860750950699</v>
      </c>
      <c r="AL444">
        <v>78.4240930503328</v>
      </c>
      <c r="AM444">
        <v>85.497088959331805</v>
      </c>
      <c r="AN444">
        <v>1.0000000548408301</v>
      </c>
    </row>
    <row r="445" spans="1:40" x14ac:dyDescent="0.25">
      <c r="A445" t="str">
        <f>"20190303170725773"</f>
        <v>20190303170725773</v>
      </c>
      <c r="B445" t="str">
        <f>"1551604045762514"</f>
        <v>1551604045762514</v>
      </c>
      <c r="C445" t="s">
        <v>40</v>
      </c>
      <c r="D445">
        <v>4.8781150000000002</v>
      </c>
      <c r="E445">
        <v>0.48547030000000002</v>
      </c>
      <c r="F445" t="s">
        <v>46</v>
      </c>
      <c r="G445">
        <v>-149.16679999999999</v>
      </c>
      <c r="H445">
        <v>-0.05</v>
      </c>
      <c r="I445">
        <v>363.66800000000001</v>
      </c>
      <c r="J445">
        <v>-348.78500000000003</v>
      </c>
      <c r="K445">
        <v>1.121046</v>
      </c>
      <c r="L445">
        <v>367.75830000000002</v>
      </c>
      <c r="M445">
        <v>0.99989779999999995</v>
      </c>
      <c r="N445">
        <v>-1.042972E-2</v>
      </c>
      <c r="O445">
        <v>9.7797300000000004E-3</v>
      </c>
      <c r="P445">
        <v>0.97936219999999996</v>
      </c>
      <c r="Q445">
        <v>0.1903753</v>
      </c>
      <c r="R445">
        <v>-6.7872260000000004E-2</v>
      </c>
      <c r="S445">
        <v>3.0623779999999998</v>
      </c>
      <c r="T445">
        <v>-1.7940999999999999E-2</v>
      </c>
      <c r="U445">
        <v>-6.2622070000000002E-2</v>
      </c>
      <c r="V445">
        <v>7.7383670000000002E-2</v>
      </c>
      <c r="W445">
        <v>0.20059630000000001</v>
      </c>
      <c r="X445">
        <v>0.97661299999999995</v>
      </c>
      <c r="Y445">
        <v>3.0220259999999999E-2</v>
      </c>
      <c r="Z445">
        <v>-2.014296E-4</v>
      </c>
      <c r="AA445">
        <v>0.99954319999999997</v>
      </c>
      <c r="AB445">
        <v>29</v>
      </c>
      <c r="AC445">
        <v>199.6182</v>
      </c>
      <c r="AD445">
        <v>-1.17104599999999</v>
      </c>
      <c r="AE445">
        <v>-4.0903000000000098</v>
      </c>
      <c r="AF445">
        <v>6.0422147698363498</v>
      </c>
      <c r="AG445">
        <v>-1.17104599999999</v>
      </c>
      <c r="AH445">
        <v>199.56178344075701</v>
      </c>
      <c r="AI445">
        <v>90.336058789130604</v>
      </c>
      <c r="AJ445">
        <v>88.2657617619804</v>
      </c>
      <c r="AK445">
        <v>199.65666810330799</v>
      </c>
      <c r="AL445">
        <v>78.428169158976502</v>
      </c>
      <c r="AM445">
        <v>85.469532531802997</v>
      </c>
      <c r="AN445">
        <v>1.0000000298626699</v>
      </c>
    </row>
    <row r="446" spans="1:40" x14ac:dyDescent="0.25">
      <c r="A446" t="str">
        <f>"20190303170725795"</f>
        <v>20190303170725795</v>
      </c>
      <c r="B446" t="str">
        <f>"1551604045783012"</f>
        <v>1551604045783012</v>
      </c>
      <c r="C446" t="s">
        <v>40</v>
      </c>
      <c r="D446">
        <v>4.8849080000000002</v>
      </c>
      <c r="E446">
        <v>0.48542570000000002</v>
      </c>
      <c r="F446" t="s">
        <v>46</v>
      </c>
      <c r="G446">
        <v>-149.76009999999999</v>
      </c>
      <c r="H446">
        <v>-0.05</v>
      </c>
      <c r="I446">
        <v>363.59320000000002</v>
      </c>
      <c r="J446">
        <v>-348.49299999999999</v>
      </c>
      <c r="K446">
        <v>1.1210420000000001</v>
      </c>
      <c r="L446">
        <v>367.76130000000001</v>
      </c>
      <c r="M446">
        <v>0.99989640000000002</v>
      </c>
      <c r="N446">
        <v>-1.0388720000000001E-2</v>
      </c>
      <c r="O446">
        <v>9.9668010000000008E-3</v>
      </c>
      <c r="P446">
        <v>0.97926060000000004</v>
      </c>
      <c r="Q446">
        <v>0.19106529999999999</v>
      </c>
      <c r="R446">
        <v>-6.7400929999999998E-2</v>
      </c>
      <c r="S446">
        <v>3.0623469999999999</v>
      </c>
      <c r="T446">
        <v>-1.8018599999999999E-2</v>
      </c>
      <c r="U446">
        <v>-6.4086909999999997E-2</v>
      </c>
      <c r="V446">
        <v>7.7094120000000002E-2</v>
      </c>
      <c r="W446">
        <v>0.2012456</v>
      </c>
      <c r="X446">
        <v>0.97650230000000005</v>
      </c>
      <c r="Y446">
        <v>3.0885340000000001E-2</v>
      </c>
      <c r="Z446">
        <v>-2.064127E-4</v>
      </c>
      <c r="AA446">
        <v>0.99952289999999999</v>
      </c>
      <c r="AB446">
        <v>29</v>
      </c>
      <c r="AC446">
        <v>198.7329</v>
      </c>
      <c r="AD446">
        <v>-1.1710419999999999</v>
      </c>
      <c r="AE446">
        <v>-4.1680999999999804</v>
      </c>
      <c r="AF446">
        <v>6.1485176418587502</v>
      </c>
      <c r="AG446">
        <v>-1.1710419999999999</v>
      </c>
      <c r="AH446">
        <v>198.674587692724</v>
      </c>
      <c r="AI446">
        <v>90.337551376838704</v>
      </c>
      <c r="AJ446">
        <v>88.227394293019501</v>
      </c>
      <c r="AK446">
        <v>198.77315564087601</v>
      </c>
      <c r="AL446">
        <v>78.390192435408906</v>
      </c>
      <c r="AM446">
        <v>85.485904648633294</v>
      </c>
      <c r="AN446">
        <v>1.00000001838161</v>
      </c>
    </row>
    <row r="447" spans="1:40" x14ac:dyDescent="0.25">
      <c r="A447" t="str">
        <f>"20190303170725819"</f>
        <v>20190303170725819</v>
      </c>
      <c r="B447" t="str">
        <f>"1551604045812291"</f>
        <v>1551604045812291</v>
      </c>
      <c r="C447" t="s">
        <v>40</v>
      </c>
      <c r="D447">
        <v>4.8177260000000004</v>
      </c>
      <c r="E447">
        <v>0.48543520000000001</v>
      </c>
      <c r="F447" t="s">
        <v>44</v>
      </c>
      <c r="G447">
        <v>-158.19499999999999</v>
      </c>
      <c r="H447">
        <v>0.1582007</v>
      </c>
      <c r="I447">
        <v>363.88869999999997</v>
      </c>
      <c r="J447">
        <v>-348.18009999999998</v>
      </c>
      <c r="K447">
        <v>1.121027</v>
      </c>
      <c r="L447">
        <v>367.76459999999997</v>
      </c>
      <c r="M447">
        <v>0.99989490000000003</v>
      </c>
      <c r="N447">
        <v>-1.034994E-2</v>
      </c>
      <c r="O447">
        <v>1.016745E-2</v>
      </c>
      <c r="P447">
        <v>0.97930539999999999</v>
      </c>
      <c r="Q447">
        <v>0.1908154</v>
      </c>
      <c r="R447">
        <v>-6.74593E-2</v>
      </c>
      <c r="S447">
        <v>3.062195</v>
      </c>
      <c r="T447">
        <v>-1.5492199999999999E-2</v>
      </c>
      <c r="U447">
        <v>-6.231689E-2</v>
      </c>
      <c r="V447">
        <v>7.7349080000000001E-2</v>
      </c>
      <c r="W447">
        <v>0.20095789999999999</v>
      </c>
      <c r="X447">
        <v>0.97654129999999995</v>
      </c>
      <c r="Y447">
        <v>3.0509689999999999E-2</v>
      </c>
      <c r="Z447">
        <v>-1.8128919999999999E-4</v>
      </c>
      <c r="AA447">
        <v>0.99953440000000005</v>
      </c>
      <c r="AB447">
        <v>29</v>
      </c>
      <c r="AC447">
        <v>189.98509999999999</v>
      </c>
      <c r="AD447">
        <v>-0.96282630000000002</v>
      </c>
      <c r="AE447">
        <v>-3.8759000000000001</v>
      </c>
      <c r="AF447">
        <v>5.8073177184265603</v>
      </c>
      <c r="AG447">
        <v>-0.96282630000000002</v>
      </c>
      <c r="AH447">
        <v>189.93099243189801</v>
      </c>
      <c r="AI447">
        <v>90.290314086773705</v>
      </c>
      <c r="AJ447">
        <v>88.248673586544697</v>
      </c>
      <c r="AK447">
        <v>190.02219307157901</v>
      </c>
      <c r="AL447">
        <v>78.407019226749298</v>
      </c>
      <c r="AM447">
        <v>85.471218090011902</v>
      </c>
      <c r="AN447">
        <v>0.99999993417747002</v>
      </c>
    </row>
    <row r="448" spans="1:40" x14ac:dyDescent="0.25">
      <c r="A448" t="str">
        <f>"20190303170725841"</f>
        <v>20190303170725841</v>
      </c>
      <c r="B448" t="str">
        <f>"1551604045832787"</f>
        <v>1551604045832787</v>
      </c>
      <c r="C448" t="s">
        <v>40</v>
      </c>
      <c r="D448">
        <v>4.6758329999999999</v>
      </c>
      <c r="E448">
        <v>0.48540369999999999</v>
      </c>
      <c r="F448" t="s">
        <v>44</v>
      </c>
      <c r="G448">
        <v>-158.19499999999999</v>
      </c>
      <c r="H448">
        <v>0.15181639999999999</v>
      </c>
      <c r="I448">
        <v>363.904</v>
      </c>
      <c r="J448">
        <v>-347.87959999999998</v>
      </c>
      <c r="K448">
        <v>1.1210230000000001</v>
      </c>
      <c r="L448">
        <v>367.7679</v>
      </c>
      <c r="M448">
        <v>0.99989320000000004</v>
      </c>
      <c r="N448">
        <v>-1.031673E-2</v>
      </c>
      <c r="O448">
        <v>1.036014E-2</v>
      </c>
      <c r="P448">
        <v>0.97938009999999998</v>
      </c>
      <c r="Q448">
        <v>0.19059000000000001</v>
      </c>
      <c r="R448">
        <v>-6.7008509999999993E-2</v>
      </c>
      <c r="S448">
        <v>3.0621640000000001</v>
      </c>
      <c r="T448">
        <v>-1.5620230000000001E-2</v>
      </c>
      <c r="U448">
        <v>-6.2225339999999997E-2</v>
      </c>
      <c r="V448">
        <v>7.708769E-2</v>
      </c>
      <c r="W448">
        <v>0.20070099999999999</v>
      </c>
      <c r="X448">
        <v>0.97661489999999995</v>
      </c>
      <c r="Y448">
        <v>3.0672629999999999E-2</v>
      </c>
      <c r="Z448">
        <v>-1.824354E-4</v>
      </c>
      <c r="AA448">
        <v>0.99952949999999996</v>
      </c>
      <c r="AB448">
        <v>29</v>
      </c>
      <c r="AC448">
        <v>189.68459999999999</v>
      </c>
      <c r="AD448">
        <v>-0.96920660000000003</v>
      </c>
      <c r="AE448">
        <v>-3.8639000000000001</v>
      </c>
      <c r="AF448">
        <v>5.8288039230640596</v>
      </c>
      <c r="AG448">
        <v>-0.96920660000000003</v>
      </c>
      <c r="AH448">
        <v>189.62943757726501</v>
      </c>
      <c r="AI448">
        <v>90.292701125818496</v>
      </c>
      <c r="AJ448">
        <v>88.239404443460103</v>
      </c>
      <c r="AK448">
        <v>189.72147456858201</v>
      </c>
      <c r="AL448">
        <v>78.422045799454693</v>
      </c>
      <c r="AM448">
        <v>85.486797853558897</v>
      </c>
      <c r="AN448">
        <v>1.0000000331262699</v>
      </c>
    </row>
    <row r="449" spans="1:40" x14ac:dyDescent="0.25">
      <c r="A449" t="str">
        <f>"20190303170725863"</f>
        <v>20190303170725863</v>
      </c>
      <c r="B449" t="str">
        <f>"1551604045852307"</f>
        <v>1551604045852307</v>
      </c>
      <c r="C449" t="s">
        <v>40</v>
      </c>
      <c r="D449">
        <v>4.8183309999999997</v>
      </c>
      <c r="E449">
        <v>0.48521920000000002</v>
      </c>
      <c r="F449" t="s">
        <v>44</v>
      </c>
      <c r="G449">
        <v>-158.19499999999999</v>
      </c>
      <c r="H449">
        <v>7.7369209999999994E-2</v>
      </c>
      <c r="I449">
        <v>364.02330000000001</v>
      </c>
      <c r="J449">
        <v>-347.61079999999998</v>
      </c>
      <c r="K449">
        <v>1.1210209999999901</v>
      </c>
      <c r="L449">
        <v>367.77089999999998</v>
      </c>
      <c r="M449">
        <v>0.99989159999999999</v>
      </c>
      <c r="N449">
        <v>-1.029037E-2</v>
      </c>
      <c r="O449">
        <v>1.0532649999999999E-2</v>
      </c>
      <c r="P449">
        <v>0.97949920000000001</v>
      </c>
      <c r="Q449">
        <v>0.19027089999999999</v>
      </c>
      <c r="R449">
        <v>-6.6169190000000003E-2</v>
      </c>
      <c r="S449">
        <v>3.0623170000000002</v>
      </c>
      <c r="T449">
        <v>-1.6847609999999999E-2</v>
      </c>
      <c r="U449">
        <v>-6.045532E-2</v>
      </c>
      <c r="V449">
        <v>7.6418349999999996E-2</v>
      </c>
      <c r="W449">
        <v>0.20035720000000001</v>
      </c>
      <c r="X449">
        <v>0.97673810000000005</v>
      </c>
      <c r="Y449">
        <v>3.026647E-2</v>
      </c>
      <c r="Z449">
        <v>-1.8856179999999999E-4</v>
      </c>
      <c r="AA449">
        <v>0.99954180000000004</v>
      </c>
      <c r="AB449">
        <v>29</v>
      </c>
      <c r="AC449">
        <v>189.41579999999999</v>
      </c>
      <c r="AD449">
        <v>-1.04365178999999</v>
      </c>
      <c r="AE449">
        <v>-3.7475999999999701</v>
      </c>
      <c r="AF449">
        <v>5.7423737617805504</v>
      </c>
      <c r="AG449">
        <v>-1.04365178999999</v>
      </c>
      <c r="AH449">
        <v>189.360071345623</v>
      </c>
      <c r="AI449">
        <v>90.3156355070508</v>
      </c>
      <c r="AJ449">
        <v>88.263028848351496</v>
      </c>
      <c r="AK449">
        <v>189.449995211133</v>
      </c>
      <c r="AL449">
        <v>78.442152626534906</v>
      </c>
      <c r="AM449">
        <v>85.526387510722401</v>
      </c>
      <c r="AN449">
        <v>1.00000004390008</v>
      </c>
    </row>
    <row r="450" spans="1:40" x14ac:dyDescent="0.25">
      <c r="A450" t="str">
        <f>"20190303170725886"</f>
        <v>20190303170725886</v>
      </c>
      <c r="B450" t="str">
        <f>"1551604045872803"</f>
        <v>1551604045872803</v>
      </c>
      <c r="C450" t="s">
        <v>40</v>
      </c>
      <c r="D450">
        <v>4.9299689999999998</v>
      </c>
      <c r="E450">
        <v>0.48516930000000003</v>
      </c>
      <c r="F450" t="s">
        <v>46</v>
      </c>
      <c r="G450">
        <v>-148.6678</v>
      </c>
      <c r="H450">
        <v>-0.05</v>
      </c>
      <c r="I450">
        <v>364.08940000000001</v>
      </c>
      <c r="J450">
        <v>-347.30509999999998</v>
      </c>
      <c r="K450">
        <v>1.121016</v>
      </c>
      <c r="L450">
        <v>367.77429999999998</v>
      </c>
      <c r="M450">
        <v>0.99988980000000005</v>
      </c>
      <c r="N450">
        <v>-1.026404E-2</v>
      </c>
      <c r="O450">
        <v>1.072917E-2</v>
      </c>
      <c r="P450">
        <v>0.97976739999999996</v>
      </c>
      <c r="Q450">
        <v>0.18915019999999999</v>
      </c>
      <c r="R450">
        <v>-6.5408930000000004E-2</v>
      </c>
      <c r="S450">
        <v>3.0624690000000001</v>
      </c>
      <c r="T450">
        <v>-1.802635E-2</v>
      </c>
      <c r="U450">
        <v>-5.6671140000000002E-2</v>
      </c>
      <c r="V450">
        <v>7.5853530000000002E-2</v>
      </c>
      <c r="W450">
        <v>0.19921340000000001</v>
      </c>
      <c r="X450">
        <v>0.977016</v>
      </c>
      <c r="Y450">
        <v>2.9227220000000002E-2</v>
      </c>
      <c r="Z450">
        <v>-1.8905699999999999E-4</v>
      </c>
      <c r="AA450">
        <v>0.99957280000000004</v>
      </c>
      <c r="AB450">
        <v>29</v>
      </c>
      <c r="AC450">
        <v>198.63730000000001</v>
      </c>
      <c r="AD450">
        <v>-1.1710160000000001</v>
      </c>
      <c r="AE450">
        <v>-3.6848999999999701</v>
      </c>
      <c r="AF450">
        <v>5.8158113732037204</v>
      </c>
      <c r="AG450">
        <v>-1.1710160000000001</v>
      </c>
      <c r="AH450">
        <v>198.579428348817</v>
      </c>
      <c r="AI450">
        <v>90.337722504341102</v>
      </c>
      <c r="AJ450">
        <v>88.322453507778405</v>
      </c>
      <c r="AK450">
        <v>198.66802536831099</v>
      </c>
      <c r="AL450">
        <v>78.5090354224278</v>
      </c>
      <c r="AM450">
        <v>85.560577983615104</v>
      </c>
      <c r="AN450">
        <v>1.00000000050451</v>
      </c>
    </row>
    <row r="451" spans="1:40" x14ac:dyDescent="0.25">
      <c r="A451" t="str">
        <f>"20190303170725908"</f>
        <v>20190303170725908</v>
      </c>
      <c r="B451" t="str">
        <f>"1551604045902083"</f>
        <v>1551604045902083</v>
      </c>
      <c r="C451" t="s">
        <v>40</v>
      </c>
      <c r="D451">
        <v>4.8734580000000003</v>
      </c>
      <c r="E451">
        <v>0.48526160000000002</v>
      </c>
      <c r="F451" t="s">
        <v>48</v>
      </c>
      <c r="G451">
        <v>-188.9811</v>
      </c>
      <c r="H451" s="1">
        <v>-7.3093649999999999E-6</v>
      </c>
      <c r="I451">
        <v>364.99919999999997</v>
      </c>
      <c r="J451">
        <v>-347.00880000000001</v>
      </c>
      <c r="K451">
        <v>1.121011</v>
      </c>
      <c r="L451">
        <v>367.77769999999998</v>
      </c>
      <c r="M451">
        <v>0.999888</v>
      </c>
      <c r="N451">
        <v>-1.0242100000000001E-2</v>
      </c>
      <c r="O451">
        <v>1.091804E-2</v>
      </c>
      <c r="P451">
        <v>0.97996430000000001</v>
      </c>
      <c r="Q451">
        <v>0.18826519999999999</v>
      </c>
      <c r="R451">
        <v>-6.5009869999999997E-2</v>
      </c>
      <c r="S451">
        <v>3.0625610000000001</v>
      </c>
      <c r="T451">
        <v>-2.168465E-2</v>
      </c>
      <c r="U451">
        <v>-5.368042E-2</v>
      </c>
      <c r="V451">
        <v>7.5642100000000004E-2</v>
      </c>
      <c r="W451">
        <v>0.1983087</v>
      </c>
      <c r="X451">
        <v>0.97721639999999999</v>
      </c>
      <c r="Y451">
        <v>2.8439349999999999E-2</v>
      </c>
      <c r="Z451">
        <v>-2.118151E-4</v>
      </c>
      <c r="AA451">
        <v>0.99959549999999997</v>
      </c>
      <c r="AB451">
        <v>29</v>
      </c>
      <c r="AC451">
        <v>158.02770000000001</v>
      </c>
      <c r="AD451">
        <v>-1.1210183093649999</v>
      </c>
      <c r="AE451">
        <v>-2.7785000000000002</v>
      </c>
      <c r="AF451">
        <v>4.5035509672659497</v>
      </c>
      <c r="AG451">
        <v>-1.1210183093649999</v>
      </c>
      <c r="AH451">
        <v>157.97999520119799</v>
      </c>
      <c r="AI451">
        <v>90.406396131081095</v>
      </c>
      <c r="AJ451">
        <v>88.367105915196703</v>
      </c>
      <c r="AK451">
        <v>158.04814942648099</v>
      </c>
      <c r="AL451">
        <v>78.561925957431995</v>
      </c>
      <c r="AM451">
        <v>85.573807192728793</v>
      </c>
      <c r="AN451">
        <v>0.99999998010852897</v>
      </c>
    </row>
    <row r="452" spans="1:40" x14ac:dyDescent="0.25">
      <c r="A452" t="str">
        <f>"20190303170725931"</f>
        <v>20190303170725931</v>
      </c>
      <c r="B452" t="str">
        <f>"1551604045922579"</f>
        <v>1551604045922579</v>
      </c>
      <c r="C452" t="s">
        <v>40</v>
      </c>
      <c r="D452">
        <v>4.8747590000000001</v>
      </c>
      <c r="E452">
        <v>0.48535159999999999</v>
      </c>
      <c r="F452" t="s">
        <v>48</v>
      </c>
      <c r="G452">
        <v>-206.45519999999999</v>
      </c>
      <c r="H452" s="1">
        <v>-4.5823579999999996E-6</v>
      </c>
      <c r="I452">
        <v>365.33359999999999</v>
      </c>
      <c r="J452">
        <v>-346.70580000000001</v>
      </c>
      <c r="K452">
        <v>1.1210059999999999</v>
      </c>
      <c r="L452">
        <v>367.78129999999999</v>
      </c>
      <c r="M452">
        <v>0.9998861</v>
      </c>
      <c r="N452">
        <v>-1.022316E-2</v>
      </c>
      <c r="O452">
        <v>1.110892E-2</v>
      </c>
      <c r="P452">
        <v>0.9801377</v>
      </c>
      <c r="Q452">
        <v>0.18753339999999999</v>
      </c>
      <c r="R452">
        <v>-6.4510209999999998E-2</v>
      </c>
      <c r="S452">
        <v>3.0624690000000001</v>
      </c>
      <c r="T452">
        <v>-2.4425390000000002E-2</v>
      </c>
      <c r="U452">
        <v>-5.3253170000000002E-2</v>
      </c>
      <c r="V452">
        <v>7.5331969999999998E-2</v>
      </c>
      <c r="W452">
        <v>0.19755990000000001</v>
      </c>
      <c r="X452">
        <v>0.97739200000000004</v>
      </c>
      <c r="Y452">
        <v>2.8490990000000001E-2</v>
      </c>
      <c r="Z452">
        <v>-2.342938E-4</v>
      </c>
      <c r="AA452">
        <v>0.99959399999999998</v>
      </c>
      <c r="AB452">
        <v>29</v>
      </c>
      <c r="AC452">
        <v>140.25059999999999</v>
      </c>
      <c r="AD452">
        <v>-1.1210105823580001</v>
      </c>
      <c r="AE452">
        <v>-2.44769999999999</v>
      </c>
      <c r="AF452">
        <v>4.0054071471296302</v>
      </c>
      <c r="AG452">
        <v>-1.1210105823580001</v>
      </c>
      <c r="AH452">
        <v>140.20579752828499</v>
      </c>
      <c r="AI452">
        <v>90.457909840942605</v>
      </c>
      <c r="AJ452">
        <v>88.363616005572993</v>
      </c>
      <c r="AK452">
        <v>140.26747880988799</v>
      </c>
      <c r="AL452">
        <v>78.605694888670797</v>
      </c>
      <c r="AM452">
        <v>85.592671607433402</v>
      </c>
      <c r="AN452">
        <v>0.99999997072804503</v>
      </c>
    </row>
    <row r="453" spans="1:40" x14ac:dyDescent="0.25">
      <c r="A453" t="str">
        <f>"20190303170725952"</f>
        <v>20190303170725952</v>
      </c>
      <c r="B453" t="str">
        <f>"1551604045942098"</f>
        <v>1551604045942098</v>
      </c>
      <c r="C453" t="s">
        <v>40</v>
      </c>
      <c r="D453">
        <v>4.9332219999999998</v>
      </c>
      <c r="E453">
        <v>0.48536990000000002</v>
      </c>
      <c r="F453" t="s">
        <v>43</v>
      </c>
      <c r="G453">
        <v>-219.52520000000001</v>
      </c>
      <c r="H453" s="1">
        <v>-1.2220070000000001E-6</v>
      </c>
      <c r="I453">
        <v>365.57859999999999</v>
      </c>
      <c r="J453">
        <v>-346.4194</v>
      </c>
      <c r="K453">
        <v>1.1210070000000001</v>
      </c>
      <c r="L453">
        <v>367.78460000000001</v>
      </c>
      <c r="M453">
        <v>0.9998842</v>
      </c>
      <c r="N453">
        <v>-1.0208139999999999E-2</v>
      </c>
      <c r="O453">
        <v>1.1287490000000001E-2</v>
      </c>
      <c r="P453">
        <v>0.98010030000000004</v>
      </c>
      <c r="Q453">
        <v>0.18791910000000001</v>
      </c>
      <c r="R453">
        <v>-6.3956559999999996E-2</v>
      </c>
      <c r="S453">
        <v>3.0625</v>
      </c>
      <c r="T453">
        <v>-2.699375E-2</v>
      </c>
      <c r="U453">
        <v>-5.3039549999999998E-2</v>
      </c>
      <c r="V453">
        <v>7.4953179999999994E-2</v>
      </c>
      <c r="W453">
        <v>0.19792960000000001</v>
      </c>
      <c r="X453">
        <v>0.97734639999999995</v>
      </c>
      <c r="Y453">
        <v>2.8599320000000001E-2</v>
      </c>
      <c r="Z453">
        <v>-2.5628769999999998E-4</v>
      </c>
      <c r="AA453">
        <v>0.99959089999999995</v>
      </c>
      <c r="AB453">
        <v>29</v>
      </c>
      <c r="AC453">
        <v>126.894199999999</v>
      </c>
      <c r="AD453">
        <v>-1.1210082220069999</v>
      </c>
      <c r="AE453">
        <v>-2.2060000000000102</v>
      </c>
      <c r="AF453">
        <v>3.6379672465044002</v>
      </c>
      <c r="AG453">
        <v>-1.1210082220069999</v>
      </c>
      <c r="AH453">
        <v>126.851316899694</v>
      </c>
      <c r="AI453">
        <v>90.506111991715699</v>
      </c>
      <c r="AJ453">
        <v>88.357265369768797</v>
      </c>
      <c r="AK453">
        <v>126.908423929647</v>
      </c>
      <c r="AL453">
        <v>78.584086805084397</v>
      </c>
      <c r="AM453">
        <v>85.614542408476794</v>
      </c>
      <c r="AN453">
        <v>1.00000004567061</v>
      </c>
    </row>
    <row r="454" spans="1:40" x14ac:dyDescent="0.25">
      <c r="A454" t="str">
        <f>"20190303170725975"</f>
        <v>20190303170725975</v>
      </c>
      <c r="B454" t="str">
        <f>"1551604045962595"</f>
        <v>1551604045962595</v>
      </c>
      <c r="C454" t="s">
        <v>40</v>
      </c>
      <c r="D454">
        <v>4.8774899999999999</v>
      </c>
      <c r="E454">
        <v>0.48536620000000003</v>
      </c>
      <c r="F454" t="s">
        <v>43</v>
      </c>
      <c r="G454">
        <v>-214.1482</v>
      </c>
      <c r="H454" s="1">
        <v>-3.216999E-6</v>
      </c>
      <c r="I454">
        <v>365.53339999999997</v>
      </c>
      <c r="J454">
        <v>-346.13670000000002</v>
      </c>
      <c r="K454">
        <v>1.1210089999999999</v>
      </c>
      <c r="L454">
        <v>367.78800000000001</v>
      </c>
      <c r="M454">
        <v>0.99988239999999995</v>
      </c>
      <c r="N454">
        <v>-1.019552E-2</v>
      </c>
      <c r="O454">
        <v>1.1461870000000001E-2</v>
      </c>
      <c r="P454">
        <v>0.97997040000000002</v>
      </c>
      <c r="Q454">
        <v>0.18866069999999999</v>
      </c>
      <c r="R454">
        <v>-6.3760520000000001E-2</v>
      </c>
      <c r="S454">
        <v>3.0625</v>
      </c>
      <c r="T454">
        <v>-2.5954959999999999E-2</v>
      </c>
      <c r="U454">
        <v>-5.212402E-2</v>
      </c>
      <c r="V454">
        <v>7.4927220000000003E-2</v>
      </c>
      <c r="W454">
        <v>0.1986578</v>
      </c>
      <c r="X454">
        <v>0.97720059999999997</v>
      </c>
      <c r="Y454">
        <v>2.8475049999999998E-2</v>
      </c>
      <c r="Z454">
        <v>-2.4611099999999998E-4</v>
      </c>
      <c r="AA454">
        <v>0.99959439999999999</v>
      </c>
      <c r="AB454">
        <v>29</v>
      </c>
      <c r="AC454">
        <v>131.98849999999999</v>
      </c>
      <c r="AD454">
        <v>-1.121012216999</v>
      </c>
      <c r="AE454">
        <v>-2.2546000000000301</v>
      </c>
      <c r="AF454">
        <v>3.7670937793408901</v>
      </c>
      <c r="AG454">
        <v>-1.121012216999</v>
      </c>
      <c r="AH454">
        <v>131.944470490171</v>
      </c>
      <c r="AI454">
        <v>90.486580174784194</v>
      </c>
      <c r="AJ454">
        <v>88.364615383534101</v>
      </c>
      <c r="AK454">
        <v>132.00299601472901</v>
      </c>
      <c r="AL454">
        <v>78.541518329947394</v>
      </c>
      <c r="AM454">
        <v>85.615403845886902</v>
      </c>
      <c r="AN454">
        <v>1.0000000112190599</v>
      </c>
    </row>
    <row r="455" spans="1:40" x14ac:dyDescent="0.25">
      <c r="A455" t="str">
        <f>"20190303170726008"</f>
        <v>20190303170726008</v>
      </c>
      <c r="B455" t="str">
        <f>"1551604046002611"</f>
        <v>1551604046002611</v>
      </c>
      <c r="C455" t="s">
        <v>40</v>
      </c>
      <c r="D455">
        <v>4.8776140000000003</v>
      </c>
      <c r="E455">
        <v>0.48543500000000001</v>
      </c>
      <c r="F455" t="s">
        <v>48</v>
      </c>
      <c r="G455">
        <v>-200.20429999999999</v>
      </c>
      <c r="H455" s="1">
        <v>-1.266352E-6</v>
      </c>
      <c r="I455">
        <v>365.29109999999997</v>
      </c>
      <c r="J455">
        <v>-345.68270000000001</v>
      </c>
      <c r="K455">
        <v>1.120997</v>
      </c>
      <c r="L455">
        <v>367.79349999999999</v>
      </c>
      <c r="M455">
        <v>0.99987950000000003</v>
      </c>
      <c r="N455">
        <v>-1.0179260000000001E-2</v>
      </c>
      <c r="O455">
        <v>1.1728550000000001E-2</v>
      </c>
      <c r="P455">
        <v>0.98029920000000004</v>
      </c>
      <c r="Q455">
        <v>0.18752170000000001</v>
      </c>
      <c r="R455">
        <v>-6.204428E-2</v>
      </c>
      <c r="S455">
        <v>3.0624389999999999</v>
      </c>
      <c r="T455">
        <v>-2.3524759999999999E-2</v>
      </c>
      <c r="U455">
        <v>-5.2398680000000003E-2</v>
      </c>
      <c r="V455">
        <v>7.3478849999999998E-2</v>
      </c>
      <c r="W455">
        <v>0.19750470000000001</v>
      </c>
      <c r="X455">
        <v>0.97754419999999997</v>
      </c>
      <c r="Y455">
        <v>2.8831869999999999E-2</v>
      </c>
      <c r="Z455">
        <v>-2.2819849999999999E-4</v>
      </c>
      <c r="AA455">
        <v>0.99958429999999998</v>
      </c>
      <c r="AB455">
        <v>30</v>
      </c>
      <c r="AC455">
        <v>145.47839999999999</v>
      </c>
      <c r="AD455">
        <v>-1.120998266352</v>
      </c>
      <c r="AE455">
        <v>-2.5024000000000202</v>
      </c>
      <c r="AF455">
        <v>4.2083169933942104</v>
      </c>
      <c r="AG455">
        <v>-1.120998266352</v>
      </c>
      <c r="AH455">
        <v>145.430409096365</v>
      </c>
      <c r="AI455">
        <v>90.441450488565494</v>
      </c>
      <c r="AJ455">
        <v>88.342495646690097</v>
      </c>
      <c r="AK455">
        <v>145.49560288533101</v>
      </c>
      <c r="AL455">
        <v>78.608921009008895</v>
      </c>
      <c r="AM455">
        <v>85.701344439620797</v>
      </c>
      <c r="AN455">
        <v>0.99999995543652498</v>
      </c>
    </row>
    <row r="456" spans="1:40" x14ac:dyDescent="0.25">
      <c r="A456" t="str">
        <f>"20190303170726031"</f>
        <v>20190303170726031</v>
      </c>
      <c r="B456" t="str">
        <f>"1551604046023107"</f>
        <v>1551604046023107</v>
      </c>
      <c r="C456" t="s">
        <v>40</v>
      </c>
      <c r="D456">
        <v>4.8155530000000004</v>
      </c>
      <c r="E456">
        <v>0.48552709999999999</v>
      </c>
      <c r="F456" t="s">
        <v>43</v>
      </c>
      <c r="G456">
        <v>-219.40199999999999</v>
      </c>
      <c r="H456" s="1">
        <v>-1.2002819999999999E-6</v>
      </c>
      <c r="I456">
        <v>365.81779999999998</v>
      </c>
      <c r="J456">
        <v>-345.38659999999999</v>
      </c>
      <c r="K456">
        <v>1.1209789999999999</v>
      </c>
      <c r="L456">
        <v>367.79719999999998</v>
      </c>
      <c r="M456">
        <v>0.99987769999999998</v>
      </c>
      <c r="N456">
        <v>-1.017114E-2</v>
      </c>
      <c r="O456">
        <v>1.1883990000000001E-2</v>
      </c>
      <c r="P456">
        <v>0.98068580000000005</v>
      </c>
      <c r="Q456">
        <v>0.18603259999999999</v>
      </c>
      <c r="R456">
        <v>-6.0392439999999999E-2</v>
      </c>
      <c r="S456">
        <v>3.0625</v>
      </c>
      <c r="T456">
        <v>-2.7185919999999999E-2</v>
      </c>
      <c r="U456">
        <v>-4.79126E-2</v>
      </c>
      <c r="V456">
        <v>7.1989079999999997E-2</v>
      </c>
      <c r="W456">
        <v>0.19600960000000001</v>
      </c>
      <c r="X456">
        <v>0.97795589999999999</v>
      </c>
      <c r="Y456">
        <v>2.7522729999999999E-2</v>
      </c>
      <c r="Z456">
        <v>-2.467546E-4</v>
      </c>
      <c r="AA456">
        <v>0.99962119999999999</v>
      </c>
      <c r="AB456">
        <v>30</v>
      </c>
      <c r="AC456">
        <v>125.98459999999901</v>
      </c>
      <c r="AD456">
        <v>-1.120980200282</v>
      </c>
      <c r="AE456">
        <v>-1.9793999999999901</v>
      </c>
      <c r="AF456">
        <v>3.47626216281096</v>
      </c>
      <c r="AG456">
        <v>-1.120980200282</v>
      </c>
      <c r="AH456">
        <v>125.94220963610999</v>
      </c>
      <c r="AI456">
        <v>90.509767836360496</v>
      </c>
      <c r="AJ456">
        <v>88.418920931616299</v>
      </c>
      <c r="AK456">
        <v>125.995163253435</v>
      </c>
      <c r="AL456">
        <v>78.696291973363003</v>
      </c>
      <c r="AM456">
        <v>85.789948735680895</v>
      </c>
      <c r="AN456">
        <v>0.99999996663810697</v>
      </c>
    </row>
    <row r="457" spans="1:40" x14ac:dyDescent="0.25">
      <c r="A457" t="str">
        <f>"20190303170726052"</f>
        <v>20190303170726052</v>
      </c>
      <c r="B457" t="str">
        <f>"1551604046042626"</f>
        <v>1551604046042626</v>
      </c>
      <c r="C457" t="s">
        <v>40</v>
      </c>
      <c r="D457">
        <v>4.9292910000000001</v>
      </c>
      <c r="E457">
        <v>0.48562139999999998</v>
      </c>
      <c r="F457" t="s">
        <v>43</v>
      </c>
      <c r="G457">
        <v>-238.47829999999999</v>
      </c>
      <c r="H457" s="1">
        <v>-1.397272E-6</v>
      </c>
      <c r="I457">
        <v>366.25880000000001</v>
      </c>
      <c r="J457">
        <v>-345.10930000000002</v>
      </c>
      <c r="K457">
        <v>1.1209629999999999</v>
      </c>
      <c r="L457">
        <v>367.80059999999997</v>
      </c>
      <c r="M457">
        <v>0.99987619999999999</v>
      </c>
      <c r="N457">
        <v>-1.0164909999999999E-2</v>
      </c>
      <c r="O457">
        <v>1.201021E-2</v>
      </c>
      <c r="P457">
        <v>0.98096050000000001</v>
      </c>
      <c r="Q457">
        <v>0.1850424</v>
      </c>
      <c r="R457">
        <v>-5.8957969999999998E-2</v>
      </c>
      <c r="S457">
        <v>3.0625</v>
      </c>
      <c r="T457">
        <v>-3.2111639999999997E-2</v>
      </c>
      <c r="U457">
        <v>-4.4067380000000003E-2</v>
      </c>
      <c r="V457">
        <v>7.0688409999999993E-2</v>
      </c>
      <c r="W457">
        <v>0.19501360000000001</v>
      </c>
      <c r="X457">
        <v>0.97824990000000001</v>
      </c>
      <c r="Y457">
        <v>2.639356E-2</v>
      </c>
      <c r="Z457">
        <v>-2.7636849999999999E-4</v>
      </c>
      <c r="AA457">
        <v>0.99965159999999997</v>
      </c>
      <c r="AB457">
        <v>30</v>
      </c>
      <c r="AC457">
        <v>106.631</v>
      </c>
      <c r="AD457">
        <v>-1.120964397272</v>
      </c>
      <c r="AE457">
        <v>-1.5417999999999601</v>
      </c>
      <c r="AF457">
        <v>2.8221038486453098</v>
      </c>
      <c r="AG457">
        <v>-1.120964397272</v>
      </c>
      <c r="AH457">
        <v>106.59301258619701</v>
      </c>
      <c r="AI457">
        <v>90.602306514586203</v>
      </c>
      <c r="AJ457">
        <v>88.483419581136403</v>
      </c>
      <c r="AK457">
        <v>106.636256327357</v>
      </c>
      <c r="AL457">
        <v>78.754482059872998</v>
      </c>
      <c r="AM457">
        <v>85.866986288655198</v>
      </c>
      <c r="AN457">
        <v>1.0000000111716401</v>
      </c>
    </row>
    <row r="458" spans="1:40" x14ac:dyDescent="0.25">
      <c r="A458" t="str">
        <f>"20190303170726075"</f>
        <v>20190303170726075</v>
      </c>
      <c r="B458" t="str">
        <f>"1551604046063123"</f>
        <v>1551604046063123</v>
      </c>
      <c r="C458" t="s">
        <v>40</v>
      </c>
      <c r="D458">
        <v>4.9327019999999999</v>
      </c>
      <c r="E458">
        <v>0.48574859999999997</v>
      </c>
      <c r="F458" t="s">
        <v>43</v>
      </c>
      <c r="G458">
        <v>-249.38659999999999</v>
      </c>
      <c r="H458" s="1">
        <v>-1.0465380000000001E-6</v>
      </c>
      <c r="I458">
        <v>366.50909999999999</v>
      </c>
      <c r="J458">
        <v>-344.80149999999998</v>
      </c>
      <c r="K458">
        <v>1.1209439999999999</v>
      </c>
      <c r="L458">
        <v>367.80450000000002</v>
      </c>
      <c r="M458">
        <v>0.99987479999999995</v>
      </c>
      <c r="N458">
        <v>-1.0159430000000001E-2</v>
      </c>
      <c r="O458">
        <v>1.212917E-2</v>
      </c>
      <c r="P458">
        <v>0.98085160000000005</v>
      </c>
      <c r="Q458">
        <v>0.18588830000000001</v>
      </c>
      <c r="R458">
        <v>-5.8098759999999999E-2</v>
      </c>
      <c r="S458">
        <v>3.0625</v>
      </c>
      <c r="T458">
        <v>-3.5863520000000003E-2</v>
      </c>
      <c r="U458">
        <v>-4.1320799999999998E-2</v>
      </c>
      <c r="V458">
        <v>6.9952890000000004E-2</v>
      </c>
      <c r="W458">
        <v>0.19584969999999999</v>
      </c>
      <c r="X458">
        <v>0.97813570000000005</v>
      </c>
      <c r="Y458">
        <v>2.561569E-2</v>
      </c>
      <c r="Z458">
        <v>-2.9891869999999998E-4</v>
      </c>
      <c r="AA458">
        <v>0.9996718</v>
      </c>
      <c r="AB458">
        <v>30</v>
      </c>
      <c r="AC458">
        <v>95.414900000000003</v>
      </c>
      <c r="AD458">
        <v>-1.120945046538</v>
      </c>
      <c r="AE458">
        <v>-1.2954000000000201</v>
      </c>
      <c r="AF458">
        <v>2.4523295986894</v>
      </c>
      <c r="AG458">
        <v>-1.120945046538</v>
      </c>
      <c r="AH458">
        <v>95.379005903762405</v>
      </c>
      <c r="AI458">
        <v>90.673117185060505</v>
      </c>
      <c r="AJ458">
        <v>88.527168692017099</v>
      </c>
      <c r="AK458">
        <v>95.4171117014548</v>
      </c>
      <c r="AL458">
        <v>78.705634798606496</v>
      </c>
      <c r="AM458">
        <v>85.909368078937405</v>
      </c>
      <c r="AN458">
        <v>0.99999997971196597</v>
      </c>
    </row>
    <row r="459" spans="1:40" x14ac:dyDescent="0.25">
      <c r="A459" t="str">
        <f>"20190303170726099"</f>
        <v>20190303170726099</v>
      </c>
      <c r="B459" t="str">
        <f>"1551604046092403"</f>
        <v>1551604046092403</v>
      </c>
      <c r="C459" t="s">
        <v>40</v>
      </c>
      <c r="D459">
        <v>4.8226000000000004</v>
      </c>
      <c r="E459">
        <v>0.48593829999999999</v>
      </c>
      <c r="F459" t="s">
        <v>43</v>
      </c>
      <c r="G459">
        <v>-242.4237</v>
      </c>
      <c r="H459" s="1">
        <v>-4.1199479999999998E-6</v>
      </c>
      <c r="I459">
        <v>366.4701</v>
      </c>
      <c r="J459">
        <v>-344.4923</v>
      </c>
      <c r="K459">
        <v>1.1209260000000001</v>
      </c>
      <c r="L459">
        <v>367.80829999999997</v>
      </c>
      <c r="M459">
        <v>0.99987400000000004</v>
      </c>
      <c r="N459">
        <v>-1.0152980000000001E-2</v>
      </c>
      <c r="O459">
        <v>1.221992E-2</v>
      </c>
      <c r="P459">
        <v>0.98075540000000005</v>
      </c>
      <c r="Q459">
        <v>0.1865667</v>
      </c>
      <c r="R459">
        <v>-5.7551560000000002E-2</v>
      </c>
      <c r="S459">
        <v>3.0625610000000001</v>
      </c>
      <c r="T459">
        <v>-3.3532380000000001E-2</v>
      </c>
      <c r="U459">
        <v>-3.9916989999999999E-2</v>
      </c>
      <c r="V459">
        <v>6.9502739999999993E-2</v>
      </c>
      <c r="W459">
        <v>0.19651740000000001</v>
      </c>
      <c r="X459">
        <v>0.97803390000000001</v>
      </c>
      <c r="Y459">
        <v>2.5248369999999999E-2</v>
      </c>
      <c r="Z459">
        <v>-2.7612490000000002E-4</v>
      </c>
      <c r="AA459">
        <v>0.99968120000000005</v>
      </c>
      <c r="AB459">
        <v>30</v>
      </c>
      <c r="AC459">
        <v>102.0686</v>
      </c>
      <c r="AD459">
        <v>-1.120930119948</v>
      </c>
      <c r="AE459">
        <v>-1.3381999999999701</v>
      </c>
      <c r="AF459">
        <v>2.58512249359464</v>
      </c>
      <c r="AG459">
        <v>-1.120930119948</v>
      </c>
      <c r="AH459">
        <v>102.03232092183799</v>
      </c>
      <c r="AI459">
        <v>90.629225910047495</v>
      </c>
      <c r="AJ459">
        <v>88.548646881282394</v>
      </c>
      <c r="AK459">
        <v>102.071219525082</v>
      </c>
      <c r="AL459">
        <v>78.666620641574994</v>
      </c>
      <c r="AM459">
        <v>85.935181346540304</v>
      </c>
      <c r="AN459">
        <v>1.0000000144597301</v>
      </c>
    </row>
    <row r="460" spans="1:40" x14ac:dyDescent="0.25">
      <c r="A460" t="str">
        <f>"20190303170726121"</f>
        <v>20190303170726121</v>
      </c>
      <c r="B460" t="str">
        <f>"1551604046112899"</f>
        <v>1551604046112899</v>
      </c>
      <c r="C460" t="s">
        <v>40</v>
      </c>
      <c r="D460">
        <v>4.8213330000000001</v>
      </c>
      <c r="E460">
        <v>0.48608230000000002</v>
      </c>
      <c r="F460" t="s">
        <v>43</v>
      </c>
      <c r="G460">
        <v>-235.69569999999999</v>
      </c>
      <c r="H460" s="1">
        <v>-2.3990019999999999E-6</v>
      </c>
      <c r="I460">
        <v>366.40219999999999</v>
      </c>
      <c r="J460">
        <v>-344.18880000000001</v>
      </c>
      <c r="K460">
        <v>1.1208959999999999</v>
      </c>
      <c r="L460">
        <v>367.81209999999999</v>
      </c>
      <c r="M460">
        <v>0.99987329999999996</v>
      </c>
      <c r="N460">
        <v>-1.013965E-2</v>
      </c>
      <c r="O460">
        <v>1.227837E-2</v>
      </c>
      <c r="P460">
        <v>0.98087899999999995</v>
      </c>
      <c r="Q460">
        <v>0.18594640000000001</v>
      </c>
      <c r="R460">
        <v>-5.7450620000000001E-2</v>
      </c>
      <c r="S460">
        <v>3.0625309999999999</v>
      </c>
      <c r="T460">
        <v>-3.1553150000000002E-2</v>
      </c>
      <c r="U460">
        <v>-3.95813E-2</v>
      </c>
      <c r="V460">
        <v>6.9470859999999995E-2</v>
      </c>
      <c r="W460">
        <v>0.195882</v>
      </c>
      <c r="X460">
        <v>0.97816360000000002</v>
      </c>
      <c r="Y460">
        <v>2.5197649999999999E-2</v>
      </c>
      <c r="Z460">
        <v>-2.595583E-4</v>
      </c>
      <c r="AA460">
        <v>0.99968239999999997</v>
      </c>
      <c r="AB460">
        <v>30</v>
      </c>
      <c r="AC460">
        <v>108.4931</v>
      </c>
      <c r="AD460">
        <v>-1.1208983990019901</v>
      </c>
      <c r="AE460">
        <v>-1.4098999999999899</v>
      </c>
      <c r="AF460">
        <v>2.7416878931244799</v>
      </c>
      <c r="AG460">
        <v>-1.1208983990019901</v>
      </c>
      <c r="AH460">
        <v>108.456033897978</v>
      </c>
      <c r="AI460">
        <v>90.591944498552706</v>
      </c>
      <c r="AJ460">
        <v>88.551913706419697</v>
      </c>
      <c r="AK460">
        <v>108.49647254451899</v>
      </c>
      <c r="AL460">
        <v>78.703747746958797</v>
      </c>
      <c r="AM460">
        <v>85.937576506354105</v>
      </c>
      <c r="AN460">
        <v>0.99999999333904899</v>
      </c>
    </row>
    <row r="461" spans="1:40" x14ac:dyDescent="0.25">
      <c r="A461" t="str">
        <f>"20190303170726143"</f>
        <v>20190303170726143</v>
      </c>
      <c r="B461" t="str">
        <f>"1551604046132419"</f>
        <v>1551604046132419</v>
      </c>
      <c r="C461" t="s">
        <v>40</v>
      </c>
      <c r="D461">
        <v>4.9405260000000002</v>
      </c>
      <c r="E461">
        <v>0.48621710000000001</v>
      </c>
      <c r="F461" t="s">
        <v>43</v>
      </c>
      <c r="G461">
        <v>-242.34880000000001</v>
      </c>
      <c r="H461" s="1">
        <v>-4.1581489999999999E-6</v>
      </c>
      <c r="I461">
        <v>366.45429999999999</v>
      </c>
      <c r="J461">
        <v>-343.89929999999998</v>
      </c>
      <c r="K461">
        <v>1.1208659999999999</v>
      </c>
      <c r="L461">
        <v>367.81569999999999</v>
      </c>
      <c r="M461">
        <v>0.99987309999999996</v>
      </c>
      <c r="N461">
        <v>-1.011454E-2</v>
      </c>
      <c r="O461">
        <v>1.230992E-2</v>
      </c>
      <c r="P461">
        <v>0.98123769999999999</v>
      </c>
      <c r="Q461">
        <v>0.18413669999999999</v>
      </c>
      <c r="R461">
        <v>-5.7150909999999999E-2</v>
      </c>
      <c r="S461">
        <v>3.0625</v>
      </c>
      <c r="T461">
        <v>-3.3707380000000002E-2</v>
      </c>
      <c r="U461">
        <v>-4.0832519999999997E-2</v>
      </c>
      <c r="V461">
        <v>6.921563E-2</v>
      </c>
      <c r="W461">
        <v>0.1940482</v>
      </c>
      <c r="X461">
        <v>0.97854719999999995</v>
      </c>
      <c r="Y461">
        <v>2.563735E-2</v>
      </c>
      <c r="Z461">
        <v>-2.8172249999999999E-4</v>
      </c>
      <c r="AA461">
        <v>0.99967130000000004</v>
      </c>
      <c r="AB461">
        <v>30</v>
      </c>
      <c r="AC461">
        <v>101.550499999999</v>
      </c>
      <c r="AD461">
        <v>-1.1208701581489999</v>
      </c>
      <c r="AE461">
        <v>-1.3613999999999999</v>
      </c>
      <c r="AF461">
        <v>2.61112123218853</v>
      </c>
      <c r="AG461">
        <v>-1.1208701581489999</v>
      </c>
      <c r="AH461">
        <v>101.51368018802199</v>
      </c>
      <c r="AI461">
        <v>90.632400361834996</v>
      </c>
      <c r="AJ461">
        <v>88.526570553451904</v>
      </c>
      <c r="AK461">
        <v>101.55344193732</v>
      </c>
      <c r="AL461">
        <v>78.810873281486806</v>
      </c>
      <c r="AM461">
        <v>85.954033214359995</v>
      </c>
      <c r="AN461">
        <v>1.00000006499368</v>
      </c>
    </row>
    <row r="462" spans="1:40" x14ac:dyDescent="0.25">
      <c r="A462" t="str">
        <f>"20190303170726164"</f>
        <v>20190303170726164</v>
      </c>
      <c r="B462" t="str">
        <f>"1551604046152915"</f>
        <v>1551604046152915</v>
      </c>
      <c r="C462" t="s">
        <v>40</v>
      </c>
      <c r="D462">
        <v>4.9371470000000004</v>
      </c>
      <c r="E462">
        <v>0.48634709999999998</v>
      </c>
      <c r="F462" t="s">
        <v>43</v>
      </c>
      <c r="G462">
        <v>-256.19779999999997</v>
      </c>
      <c r="H462" s="1">
        <v>-2.1413920000000001E-6</v>
      </c>
      <c r="I462">
        <v>366.64010000000002</v>
      </c>
      <c r="J462">
        <v>-343.613</v>
      </c>
      <c r="K462">
        <v>1.120835</v>
      </c>
      <c r="L462">
        <v>367.81920000000002</v>
      </c>
      <c r="M462">
        <v>0.99987329999999996</v>
      </c>
      <c r="N462">
        <v>-1.0072970000000001E-2</v>
      </c>
      <c r="O462">
        <v>1.232456E-2</v>
      </c>
      <c r="P462">
        <v>0.98145340000000003</v>
      </c>
      <c r="Q462">
        <v>0.1829025</v>
      </c>
      <c r="R462">
        <v>-5.741272E-2</v>
      </c>
      <c r="S462">
        <v>3.0623170000000002</v>
      </c>
      <c r="T462">
        <v>-3.913784E-2</v>
      </c>
      <c r="U462">
        <v>-4.1046140000000002E-2</v>
      </c>
      <c r="V462">
        <v>6.9501010000000002E-2</v>
      </c>
      <c r="W462">
        <v>0.19277279999999999</v>
      </c>
      <c r="X462">
        <v>0.97877899999999995</v>
      </c>
      <c r="Y462">
        <v>2.572168E-2</v>
      </c>
      <c r="Z462">
        <v>-3.272781E-4</v>
      </c>
      <c r="AA462">
        <v>0.99966909999999998</v>
      </c>
      <c r="AB462">
        <v>30</v>
      </c>
      <c r="AC462">
        <v>87.415199999999999</v>
      </c>
      <c r="AD462">
        <v>-1.120837141392</v>
      </c>
      <c r="AE462">
        <v>-1.1791</v>
      </c>
      <c r="AF462">
        <v>2.2560481544978201</v>
      </c>
      <c r="AG462">
        <v>-1.120837141392</v>
      </c>
      <c r="AH462">
        <v>87.379664580150703</v>
      </c>
      <c r="AI462">
        <v>90.734659782029794</v>
      </c>
      <c r="AJ462">
        <v>88.521013704916598</v>
      </c>
      <c r="AK462">
        <v>87.415970001553902</v>
      </c>
      <c r="AL462">
        <v>78.885354365999802</v>
      </c>
      <c r="AM462">
        <v>85.938366110448897</v>
      </c>
      <c r="AN462">
        <v>1.0000000368259201</v>
      </c>
    </row>
    <row r="463" spans="1:40" x14ac:dyDescent="0.25">
      <c r="A463" t="str">
        <f>"20190303170726187"</f>
        <v>20190303170726187</v>
      </c>
      <c r="B463" t="str">
        <f>"1551604046172435"</f>
        <v>1551604046172435</v>
      </c>
      <c r="C463" t="s">
        <v>40</v>
      </c>
      <c r="D463">
        <v>4.8211380000000004</v>
      </c>
      <c r="E463">
        <v>0.4864869</v>
      </c>
      <c r="F463" t="s">
        <v>43</v>
      </c>
      <c r="G463">
        <v>-263.7688</v>
      </c>
      <c r="H463" s="1">
        <v>-3.1727070000000001E-6</v>
      </c>
      <c r="I463">
        <v>366.7004</v>
      </c>
      <c r="J463">
        <v>-343.32040000000001</v>
      </c>
      <c r="K463">
        <v>1.1208119999999999</v>
      </c>
      <c r="L463">
        <v>367.82279999999997</v>
      </c>
      <c r="M463">
        <v>0.99987389999999998</v>
      </c>
      <c r="N463">
        <v>-1.0016239999999999E-2</v>
      </c>
      <c r="O463">
        <v>1.2327589999999999E-2</v>
      </c>
      <c r="P463">
        <v>0.98136590000000001</v>
      </c>
      <c r="Q463">
        <v>0.1830746</v>
      </c>
      <c r="R463">
        <v>-5.8350859999999997E-2</v>
      </c>
      <c r="S463">
        <v>3.062195</v>
      </c>
      <c r="T463">
        <v>-4.2986509999999999E-2</v>
      </c>
      <c r="U463">
        <v>-4.2907710000000002E-2</v>
      </c>
      <c r="V463">
        <v>7.0445869999999994E-2</v>
      </c>
      <c r="W463">
        <v>0.192887</v>
      </c>
      <c r="X463">
        <v>0.97868889999999997</v>
      </c>
      <c r="Y463">
        <v>2.6332089999999999E-2</v>
      </c>
      <c r="Z463">
        <v>-3.6626410000000002E-4</v>
      </c>
      <c r="AA463">
        <v>0.99965320000000002</v>
      </c>
      <c r="AB463">
        <v>30</v>
      </c>
      <c r="AC463">
        <v>79.551599999999993</v>
      </c>
      <c r="AD463">
        <v>-1.1208151727069999</v>
      </c>
      <c r="AE463">
        <v>-1.1223999999999701</v>
      </c>
      <c r="AF463">
        <v>2.1026260570128898</v>
      </c>
      <c r="AG463">
        <v>-1.1208151727069999</v>
      </c>
      <c r="AH463">
        <v>79.515936153921103</v>
      </c>
      <c r="AI463">
        <v>90.807275805368903</v>
      </c>
      <c r="AJ463">
        <v>88.485290650885901</v>
      </c>
      <c r="AK463">
        <v>79.5516270444638</v>
      </c>
      <c r="AL463">
        <v>78.878685501698897</v>
      </c>
      <c r="AM463">
        <v>85.882959448664394</v>
      </c>
      <c r="AN463">
        <v>0.99999998917613298</v>
      </c>
    </row>
    <row r="464" spans="1:40" x14ac:dyDescent="0.25">
      <c r="A464" t="str">
        <f>"20190303170726210"</f>
        <v>20190303170726210</v>
      </c>
      <c r="B464" t="str">
        <f>"1551604046202691"</f>
        <v>1551604046202691</v>
      </c>
      <c r="C464" t="s">
        <v>40</v>
      </c>
      <c r="D464">
        <v>4.8229249999999997</v>
      </c>
      <c r="E464">
        <v>0.48671599999999998</v>
      </c>
      <c r="F464" t="s">
        <v>43</v>
      </c>
      <c r="G464">
        <v>-262.11340000000001</v>
      </c>
      <c r="H464" s="1">
        <v>-3.9028610000000003E-6</v>
      </c>
      <c r="I464">
        <v>366.58780000000002</v>
      </c>
      <c r="J464">
        <v>-343.00240000000002</v>
      </c>
      <c r="K464">
        <v>1.120798</v>
      </c>
      <c r="L464">
        <v>367.82670000000002</v>
      </c>
      <c r="M464">
        <v>0.99987470000000001</v>
      </c>
      <c r="N464">
        <v>-9.9439039999999999E-3</v>
      </c>
      <c r="O464">
        <v>1.2323519999999999E-2</v>
      </c>
      <c r="P464">
        <v>0.98102319999999998</v>
      </c>
      <c r="Q464">
        <v>0.18447440000000001</v>
      </c>
      <c r="R464">
        <v>-5.9690939999999998E-2</v>
      </c>
      <c r="S464">
        <v>3.0620729999999998</v>
      </c>
      <c r="T464">
        <v>-4.2262550000000003E-2</v>
      </c>
      <c r="U464">
        <v>-4.6569819999999998E-2</v>
      </c>
      <c r="V464">
        <v>7.1780529999999995E-2</v>
      </c>
      <c r="W464">
        <v>0.19421089999999999</v>
      </c>
      <c r="X464">
        <v>0.97833000000000003</v>
      </c>
      <c r="Y464">
        <v>2.7523789999999999E-2</v>
      </c>
      <c r="Z464">
        <v>-3.7432410000000002E-4</v>
      </c>
      <c r="AA464">
        <v>0.99962110000000004</v>
      </c>
      <c r="AB464">
        <v>30</v>
      </c>
      <c r="AC464">
        <v>80.888999999999996</v>
      </c>
      <c r="AD464">
        <v>-1.1208019028609999</v>
      </c>
      <c r="AE464">
        <v>-1.2388999999999999</v>
      </c>
      <c r="AF464">
        <v>2.2352632784644801</v>
      </c>
      <c r="AG464">
        <v>-1.1208019028609999</v>
      </c>
      <c r="AH464">
        <v>80.852069371490401</v>
      </c>
      <c r="AI464">
        <v>90.793901550790196</v>
      </c>
      <c r="AJ464">
        <v>88.416385148788507</v>
      </c>
      <c r="AK464">
        <v>80.890727036427293</v>
      </c>
      <c r="AL464">
        <v>78.801369212122793</v>
      </c>
      <c r="AM464">
        <v>85.803700936124798</v>
      </c>
      <c r="AN464">
        <v>0.99999995353294402</v>
      </c>
    </row>
    <row r="465" spans="1:40" x14ac:dyDescent="0.25">
      <c r="A465" t="str">
        <f>"20190303170726231"</f>
        <v>20190303170726231</v>
      </c>
      <c r="B465" t="str">
        <f>"1551604046222211"</f>
        <v>1551604046222211</v>
      </c>
      <c r="C465" t="s">
        <v>40</v>
      </c>
      <c r="D465">
        <v>4.8843139999999998</v>
      </c>
      <c r="E465">
        <v>0.48685909999999899</v>
      </c>
      <c r="F465" t="s">
        <v>43</v>
      </c>
      <c r="G465">
        <v>-250.8605</v>
      </c>
      <c r="H465" s="1">
        <v>-4.4968440000000002E-6</v>
      </c>
      <c r="I465">
        <v>366.26920000000001</v>
      </c>
      <c r="J465">
        <v>-342.71140000000003</v>
      </c>
      <c r="K465">
        <v>1.120784</v>
      </c>
      <c r="L465">
        <v>367.83030000000002</v>
      </c>
      <c r="M465">
        <v>0.99987550000000003</v>
      </c>
      <c r="N465">
        <v>-9.8707770000000007E-3</v>
      </c>
      <c r="O465">
        <v>1.231647E-2</v>
      </c>
      <c r="P465">
        <v>0.98073359999999998</v>
      </c>
      <c r="Q465">
        <v>0.1856303</v>
      </c>
      <c r="R465">
        <v>-6.0854220000000001E-2</v>
      </c>
      <c r="S465">
        <v>3.0619200000000002</v>
      </c>
      <c r="T465">
        <v>-3.7244800000000002E-2</v>
      </c>
      <c r="U465">
        <v>-5.1757810000000001E-2</v>
      </c>
      <c r="V465">
        <v>7.2934719999999995E-2</v>
      </c>
      <c r="W465">
        <v>0.1952913</v>
      </c>
      <c r="X465">
        <v>0.9780295</v>
      </c>
      <c r="Y465">
        <v>2.921137E-2</v>
      </c>
      <c r="Z465">
        <v>-3.5007039999999999E-4</v>
      </c>
      <c r="AA465">
        <v>0.99957320000000005</v>
      </c>
      <c r="AB465">
        <v>30</v>
      </c>
      <c r="AC465">
        <v>91.850899999999996</v>
      </c>
      <c r="AD465">
        <v>-1.1207884968440001</v>
      </c>
      <c r="AE465">
        <v>-1.5611000000000099</v>
      </c>
      <c r="AF465">
        <v>2.6919147697314498</v>
      </c>
      <c r="AG465">
        <v>-1.1207884968440001</v>
      </c>
      <c r="AH465">
        <v>91.811037931292404</v>
      </c>
      <c r="AI465">
        <v>90.699106357307699</v>
      </c>
      <c r="AJ465">
        <v>88.320559443653593</v>
      </c>
      <c r="AK465">
        <v>91.857330997603995</v>
      </c>
      <c r="AL465">
        <v>78.738258222080404</v>
      </c>
      <c r="AM465">
        <v>85.7351685485811</v>
      </c>
      <c r="AN465">
        <v>0.99999993405370602</v>
      </c>
    </row>
    <row r="466" spans="1:40" x14ac:dyDescent="0.25">
      <c r="A466" t="str">
        <f>"20190303170726253"</f>
        <v>20190303170726253</v>
      </c>
      <c r="B466" t="str">
        <f>"1551604046242707"</f>
        <v>1551604046242707</v>
      </c>
      <c r="C466" t="s">
        <v>40</v>
      </c>
      <c r="D466">
        <v>4.8182700000000001</v>
      </c>
      <c r="E466">
        <v>0.48699769999999998</v>
      </c>
      <c r="F466" t="s">
        <v>43</v>
      </c>
      <c r="G466">
        <v>-239.31309999999999</v>
      </c>
      <c r="H466" s="1">
        <v>-1.199927E-6</v>
      </c>
      <c r="I466">
        <v>365.93290000000002</v>
      </c>
      <c r="J466">
        <v>-342.41899999999998</v>
      </c>
      <c r="K466">
        <v>1.12077</v>
      </c>
      <c r="L466">
        <v>367.83390000000003</v>
      </c>
      <c r="M466">
        <v>0.99987630000000005</v>
      </c>
      <c r="N466">
        <v>-9.7976039999999997E-3</v>
      </c>
      <c r="O466">
        <v>1.2310140000000001E-2</v>
      </c>
      <c r="P466">
        <v>0.98053429999999997</v>
      </c>
      <c r="Q466">
        <v>0.18639900000000001</v>
      </c>
      <c r="R466">
        <v>-6.1708789999999999E-2</v>
      </c>
      <c r="S466">
        <v>3.0617369999999999</v>
      </c>
      <c r="T466">
        <v>-3.3187630000000003E-2</v>
      </c>
      <c r="U466">
        <v>-5.6182860000000001E-2</v>
      </c>
      <c r="V466">
        <v>7.3781449999999998E-2</v>
      </c>
      <c r="W466">
        <v>0.19598670000000001</v>
      </c>
      <c r="X466">
        <v>0.977827</v>
      </c>
      <c r="Y466">
        <v>3.0650739999999999E-2</v>
      </c>
      <c r="Z466">
        <v>-3.2909710000000002E-4</v>
      </c>
      <c r="AA466">
        <v>0.99953009999999998</v>
      </c>
      <c r="AB466">
        <v>30</v>
      </c>
      <c r="AC466">
        <v>103.10590000000001</v>
      </c>
      <c r="AD466">
        <v>-1.120771199927</v>
      </c>
      <c r="AE466">
        <v>-1.90100000000001</v>
      </c>
      <c r="AF466">
        <v>3.1697904241686099</v>
      </c>
      <c r="AG466">
        <v>-1.120771199927</v>
      </c>
      <c r="AH466">
        <v>103.06251031950799</v>
      </c>
      <c r="AI466">
        <v>90.622753915075904</v>
      </c>
      <c r="AJ466">
        <v>88.238366406410506</v>
      </c>
      <c r="AK466">
        <v>103.117334783122</v>
      </c>
      <c r="AL466">
        <v>78.697631130096497</v>
      </c>
      <c r="AM466">
        <v>85.684952126646806</v>
      </c>
      <c r="AN466">
        <v>1.0000000654349901</v>
      </c>
    </row>
    <row r="467" spans="1:40" x14ac:dyDescent="0.25">
      <c r="A467" t="str">
        <f>"20190303170726276"</f>
        <v>20190303170726276</v>
      </c>
      <c r="B467" t="str">
        <f>"1551604046262227"</f>
        <v>1551604046262227</v>
      </c>
      <c r="C467" t="s">
        <v>40</v>
      </c>
      <c r="D467">
        <v>4.8129229999999996</v>
      </c>
      <c r="E467">
        <v>0.48710870000000001</v>
      </c>
      <c r="F467" t="s">
        <v>43</v>
      </c>
      <c r="G467">
        <v>-229.4579</v>
      </c>
      <c r="H467" s="1">
        <v>-1.2263419999999999E-6</v>
      </c>
      <c r="I467">
        <v>365.64830000000001</v>
      </c>
      <c r="J467">
        <v>-342.11180000000002</v>
      </c>
      <c r="K467">
        <v>1.12076</v>
      </c>
      <c r="L467">
        <v>367.83769999999998</v>
      </c>
      <c r="M467">
        <v>0.99987709999999996</v>
      </c>
      <c r="N467">
        <v>-9.7238959999999992E-3</v>
      </c>
      <c r="O467">
        <v>1.2305419999999999E-2</v>
      </c>
      <c r="P467">
        <v>0.98048279999999999</v>
      </c>
      <c r="Q467">
        <v>0.18655330000000001</v>
      </c>
      <c r="R467">
        <v>-6.2063420000000001E-2</v>
      </c>
      <c r="S467">
        <v>3.0615540000000001</v>
      </c>
      <c r="T467">
        <v>-3.037596E-2</v>
      </c>
      <c r="U467">
        <v>-5.9234620000000002E-2</v>
      </c>
      <c r="V467">
        <v>7.4131180000000005E-2</v>
      </c>
      <c r="W467">
        <v>0.19606760000000001</v>
      </c>
      <c r="X467">
        <v>0.97778430000000005</v>
      </c>
      <c r="Y467">
        <v>3.164343E-2</v>
      </c>
      <c r="Z467">
        <v>-3.132659E-4</v>
      </c>
      <c r="AA467">
        <v>0.99949920000000003</v>
      </c>
      <c r="AB467">
        <v>30</v>
      </c>
      <c r="AC467">
        <v>112.65389999999999</v>
      </c>
      <c r="AD467">
        <v>-1.1207612263419999</v>
      </c>
      <c r="AE467">
        <v>-2.1893999999999698</v>
      </c>
      <c r="AF467">
        <v>3.5751994497409698</v>
      </c>
      <c r="AG467">
        <v>-1.1207612263419999</v>
      </c>
      <c r="AH467">
        <v>112.607285589334</v>
      </c>
      <c r="AI467">
        <v>90.569949185543507</v>
      </c>
      <c r="AJ467">
        <v>88.181511513497</v>
      </c>
      <c r="AK467">
        <v>112.669600712125</v>
      </c>
      <c r="AL467">
        <v>78.6929038602063</v>
      </c>
      <c r="AM467">
        <v>85.664387646601696</v>
      </c>
      <c r="AN467">
        <v>1.0000000364722199</v>
      </c>
    </row>
    <row r="468" spans="1:40" x14ac:dyDescent="0.25">
      <c r="A468" t="str">
        <f>"20190303170726300"</f>
        <v>20190303170726300</v>
      </c>
      <c r="B468" t="str">
        <f>"1551604046292488"</f>
        <v>1551604046292488</v>
      </c>
      <c r="C468" t="s">
        <v>40</v>
      </c>
      <c r="D468">
        <v>4.814228</v>
      </c>
      <c r="E468">
        <v>0.48724410000000001</v>
      </c>
      <c r="F468" t="s">
        <v>43</v>
      </c>
      <c r="G468">
        <v>-225.68459999999999</v>
      </c>
      <c r="H468" s="1">
        <v>-2.5641830000000001E-6</v>
      </c>
      <c r="I468">
        <v>365.49790000000002</v>
      </c>
      <c r="J468">
        <v>-341.79790000000003</v>
      </c>
      <c r="K468">
        <v>1.1207530000000001</v>
      </c>
      <c r="L468">
        <v>367.84160000000003</v>
      </c>
      <c r="M468">
        <v>0.99987780000000004</v>
      </c>
      <c r="N468">
        <v>-9.6494549999999995E-3</v>
      </c>
      <c r="O468">
        <v>1.2303100000000001E-2</v>
      </c>
      <c r="P468">
        <v>0.98035039999999996</v>
      </c>
      <c r="Q468">
        <v>0.18726010000000001</v>
      </c>
      <c r="R468">
        <v>-6.2022279999999999E-2</v>
      </c>
      <c r="S468">
        <v>3.0614319999999999</v>
      </c>
      <c r="T468">
        <v>-2.947021E-2</v>
      </c>
      <c r="U468">
        <v>-6.1523439999999999E-2</v>
      </c>
      <c r="V468">
        <v>7.4086699999999894E-2</v>
      </c>
      <c r="W468">
        <v>0.1967006</v>
      </c>
      <c r="X468">
        <v>0.97766050000000004</v>
      </c>
      <c r="Y468">
        <v>3.2388899999999998E-2</v>
      </c>
      <c r="Z468">
        <v>-3.1187949999999999E-4</v>
      </c>
      <c r="AA468">
        <v>0.99947529999999996</v>
      </c>
      <c r="AB468">
        <v>30</v>
      </c>
      <c r="AC468">
        <v>116.1133</v>
      </c>
      <c r="AD468">
        <v>-1.120755564183</v>
      </c>
      <c r="AE468">
        <v>-2.3437000000000099</v>
      </c>
      <c r="AF468">
        <v>3.7717913253118298</v>
      </c>
      <c r="AG468">
        <v>-1.120755564183</v>
      </c>
      <c r="AH468">
        <v>116.064866008617</v>
      </c>
      <c r="AI468">
        <v>90.552955364626897</v>
      </c>
      <c r="AJ468">
        <v>88.138698603680396</v>
      </c>
      <c r="AK468">
        <v>116.131544484841</v>
      </c>
      <c r="AL468">
        <v>78.655915043587498</v>
      </c>
      <c r="AM468">
        <v>85.666432583857997</v>
      </c>
      <c r="AN468">
        <v>1.00000000920875</v>
      </c>
    </row>
    <row r="469" spans="1:40" x14ac:dyDescent="0.25">
      <c r="A469" t="str">
        <f>"20190303170726321"</f>
        <v>20190303170726321</v>
      </c>
      <c r="B469" t="str">
        <f>"1551604046312984"</f>
        <v>1551604046312984</v>
      </c>
      <c r="C469" t="s">
        <v>40</v>
      </c>
      <c r="D469">
        <v>4.7552580000000004</v>
      </c>
      <c r="E469">
        <v>0.48734549999999999</v>
      </c>
      <c r="F469" t="s">
        <v>43</v>
      </c>
      <c r="G469">
        <v>-212.76650000000001</v>
      </c>
      <c r="H469" s="1">
        <v>-3.8659980000000003E-6</v>
      </c>
      <c r="I469">
        <v>365.21620000000001</v>
      </c>
      <c r="J469">
        <v>-341.50060000000002</v>
      </c>
      <c r="K469">
        <v>1.1207499999999999</v>
      </c>
      <c r="L469">
        <v>367.84519999999998</v>
      </c>
      <c r="M469">
        <v>0.9998785</v>
      </c>
      <c r="N469">
        <v>-9.5800409999999992E-3</v>
      </c>
      <c r="O469">
        <v>1.23023E-2</v>
      </c>
      <c r="P469">
        <v>0.98029670000000002</v>
      </c>
      <c r="Q469">
        <v>0.18764810000000001</v>
      </c>
      <c r="R469">
        <v>-6.1697929999999998E-2</v>
      </c>
      <c r="S469">
        <v>3.0612490000000001</v>
      </c>
      <c r="T469">
        <v>-2.6589749999999999E-2</v>
      </c>
      <c r="U469">
        <v>-6.2286380000000002E-2</v>
      </c>
      <c r="V469">
        <v>7.3761140000000003E-2</v>
      </c>
      <c r="W469">
        <v>0.19702040000000001</v>
      </c>
      <c r="X469">
        <v>0.97762070000000001</v>
      </c>
      <c r="Y469">
        <v>3.26387E-2</v>
      </c>
      <c r="Z469">
        <v>-2.870964E-4</v>
      </c>
      <c r="AA469">
        <v>0.9994672</v>
      </c>
      <c r="AB469">
        <v>30</v>
      </c>
      <c r="AC469">
        <v>128.73410000000001</v>
      </c>
      <c r="AD469">
        <v>-1.1207538659980001</v>
      </c>
      <c r="AE469">
        <v>-2.62899999999996</v>
      </c>
      <c r="AF469">
        <v>4.21227998648257</v>
      </c>
      <c r="AG469">
        <v>-1.1207538659980001</v>
      </c>
      <c r="AH469">
        <v>128.68226353360501</v>
      </c>
      <c r="AI469">
        <v>90.498735940663195</v>
      </c>
      <c r="AJ469">
        <v>88.125151730830297</v>
      </c>
      <c r="AK469">
        <v>128.75606525536901</v>
      </c>
      <c r="AL469">
        <v>78.637225900477802</v>
      </c>
      <c r="AM469">
        <v>85.685228570749601</v>
      </c>
      <c r="AN469">
        <v>0.99999998842937399</v>
      </c>
    </row>
    <row r="470" spans="1:40" x14ac:dyDescent="0.25">
      <c r="A470" t="str">
        <f>"20190303170726343"</f>
        <v>20190303170726343</v>
      </c>
      <c r="B470" t="str">
        <f>"1551604046332506"</f>
        <v>1551604046332506</v>
      </c>
      <c r="C470" t="s">
        <v>40</v>
      </c>
      <c r="D470">
        <v>4.7582240000000002</v>
      </c>
      <c r="E470">
        <v>0.48742659999999999</v>
      </c>
      <c r="F470" t="s">
        <v>48</v>
      </c>
      <c r="G470">
        <v>-204.35319999999999</v>
      </c>
      <c r="H470" s="1">
        <v>-3.6387489999999999E-6</v>
      </c>
      <c r="I470">
        <v>365.0643</v>
      </c>
      <c r="J470">
        <v>-341.21319999999997</v>
      </c>
      <c r="K470">
        <v>1.120741</v>
      </c>
      <c r="L470">
        <v>367.84879999999998</v>
      </c>
      <c r="M470">
        <v>0.99987919999999997</v>
      </c>
      <c r="N470">
        <v>-9.5113219999999991E-3</v>
      </c>
      <c r="O470">
        <v>1.2302449999999999E-2</v>
      </c>
      <c r="P470">
        <v>0.98018539999999998</v>
      </c>
      <c r="Q470">
        <v>0.1883428</v>
      </c>
      <c r="R470">
        <v>-6.1349880000000002E-2</v>
      </c>
      <c r="S470">
        <v>3.0612180000000002</v>
      </c>
      <c r="T470">
        <v>-2.5015949999999999E-2</v>
      </c>
      <c r="U470">
        <v>-6.2072750000000003E-2</v>
      </c>
      <c r="V470">
        <v>7.3412050000000006E-2</v>
      </c>
      <c r="W470">
        <v>0.1976464</v>
      </c>
      <c r="X470">
        <v>0.97752059999999996</v>
      </c>
      <c r="Y470">
        <v>3.2569550000000003E-2</v>
      </c>
      <c r="Z470">
        <v>-2.7149779999999999E-4</v>
      </c>
      <c r="AA470">
        <v>0.99946950000000001</v>
      </c>
      <c r="AB470">
        <v>30</v>
      </c>
      <c r="AC470">
        <v>136.86000000000001</v>
      </c>
      <c r="AD470">
        <v>-1.1207446387490001</v>
      </c>
      <c r="AE470">
        <v>-2.7844999999999702</v>
      </c>
      <c r="AF470">
        <v>4.4677790497435304</v>
      </c>
      <c r="AG470">
        <v>-1.1207446387490001</v>
      </c>
      <c r="AH470">
        <v>136.806213696925</v>
      </c>
      <c r="AI470">
        <v>90.469118223831501</v>
      </c>
      <c r="AJ470">
        <v>88.129515248467001</v>
      </c>
      <c r="AK470">
        <v>136.883736156899</v>
      </c>
      <c r="AL470">
        <v>78.600639174906803</v>
      </c>
      <c r="AM470">
        <v>85.705134441824796</v>
      </c>
      <c r="AN470">
        <v>0.999999975971261</v>
      </c>
    </row>
    <row r="471" spans="1:40" x14ac:dyDescent="0.25">
      <c r="A471" t="str">
        <f>"20190303170726366"</f>
        <v>20190303170726366</v>
      </c>
      <c r="B471" t="str">
        <f>"1551604046353000"</f>
        <v>1551604046353000</v>
      </c>
      <c r="C471" t="s">
        <v>40</v>
      </c>
      <c r="D471">
        <v>4.7538529999999897</v>
      </c>
      <c r="E471">
        <v>0.48748049999999998</v>
      </c>
      <c r="F471" t="s">
        <v>48</v>
      </c>
      <c r="G471">
        <v>-186.6173</v>
      </c>
      <c r="H471" s="1">
        <v>-7.3663469999999902E-6</v>
      </c>
      <c r="I471">
        <v>364.77859999999998</v>
      </c>
      <c r="J471">
        <v>-340.8997</v>
      </c>
      <c r="K471">
        <v>1.1207339999999999</v>
      </c>
      <c r="L471">
        <v>367.8526</v>
      </c>
      <c r="M471">
        <v>0.99987990000000004</v>
      </c>
      <c r="N471">
        <v>-9.4369120000000004E-3</v>
      </c>
      <c r="O471">
        <v>1.230298E-2</v>
      </c>
      <c r="P471">
        <v>0.98004970000000002</v>
      </c>
      <c r="Q471">
        <v>0.18899450000000001</v>
      </c>
      <c r="R471">
        <v>-6.1515699999999902E-2</v>
      </c>
      <c r="S471">
        <v>3.0611269999999999</v>
      </c>
      <c r="T471">
        <v>-2.2191760000000001E-2</v>
      </c>
      <c r="U471">
        <v>-6.0791020000000001E-2</v>
      </c>
      <c r="V471">
        <v>7.3576610000000001E-2</v>
      </c>
      <c r="W471">
        <v>0.1982236</v>
      </c>
      <c r="X471">
        <v>0.97739140000000002</v>
      </c>
      <c r="Y471">
        <v>3.2152750000000001E-2</v>
      </c>
      <c r="Z471">
        <v>-2.413572E-4</v>
      </c>
      <c r="AA471">
        <v>0.99948289999999995</v>
      </c>
      <c r="AB471">
        <v>30</v>
      </c>
      <c r="AC471">
        <v>154.2824</v>
      </c>
      <c r="AD471">
        <v>-1.1207413663470001</v>
      </c>
      <c r="AE471">
        <v>-3.0740000000000101</v>
      </c>
      <c r="AF471">
        <v>4.9717226622999702</v>
      </c>
      <c r="AG471">
        <v>-1.1207413663470001</v>
      </c>
      <c r="AH471">
        <v>154.224766091113</v>
      </c>
      <c r="AI471">
        <v>90.416141215999602</v>
      </c>
      <c r="AJ471">
        <v>88.153603227031695</v>
      </c>
      <c r="AK471">
        <v>154.30895166288801</v>
      </c>
      <c r="AL471">
        <v>78.566901172842506</v>
      </c>
      <c r="AM471">
        <v>85.694976380234195</v>
      </c>
      <c r="AN471">
        <v>1.0000000309649999</v>
      </c>
    </row>
    <row r="472" spans="1:40" x14ac:dyDescent="0.25">
      <c r="A472" t="str">
        <f>"20190303170726388"</f>
        <v>20190303170726388</v>
      </c>
      <c r="B472" t="str">
        <f>"1551604046382787"</f>
        <v>1551604046382787</v>
      </c>
      <c r="C472" t="s">
        <v>40</v>
      </c>
      <c r="D472">
        <v>4.7573019999999904</v>
      </c>
      <c r="E472">
        <v>0.48756280000000002</v>
      </c>
      <c r="F472" t="s">
        <v>48</v>
      </c>
      <c r="G472">
        <v>-179.9709</v>
      </c>
      <c r="H472">
        <v>7.9045660000000004E-2</v>
      </c>
      <c r="I472">
        <v>364.63420000000002</v>
      </c>
      <c r="J472">
        <v>-340.59249999999997</v>
      </c>
      <c r="K472">
        <v>1.120722</v>
      </c>
      <c r="L472">
        <v>367.85640000000001</v>
      </c>
      <c r="M472">
        <v>0.9998804</v>
      </c>
      <c r="N472">
        <v>-9.3690530000000005E-3</v>
      </c>
      <c r="O472">
        <v>1.230379E-2</v>
      </c>
      <c r="P472">
        <v>0.98001799999999994</v>
      </c>
      <c r="Q472">
        <v>0.1890008</v>
      </c>
      <c r="R472">
        <v>-6.1992499999999902E-2</v>
      </c>
      <c r="S472">
        <v>3.061035</v>
      </c>
      <c r="T472">
        <v>-1.981401E-2</v>
      </c>
      <c r="U472">
        <v>-6.1218259999999997E-2</v>
      </c>
      <c r="V472">
        <v>7.4053880000000002E-2</v>
      </c>
      <c r="W472">
        <v>0.1981637</v>
      </c>
      <c r="X472">
        <v>0.97736749999999994</v>
      </c>
      <c r="Y472">
        <v>3.2293860000000001E-2</v>
      </c>
      <c r="Z472">
        <v>-2.2018020000000001E-4</v>
      </c>
      <c r="AA472">
        <v>0.99947839999999999</v>
      </c>
      <c r="AB472">
        <v>30</v>
      </c>
      <c r="AC472">
        <v>160.62159999999901</v>
      </c>
      <c r="AD472">
        <v>-1.04167634</v>
      </c>
      <c r="AE472">
        <v>-3.22219999999998</v>
      </c>
      <c r="AF472">
        <v>5.1980787399423596</v>
      </c>
      <c r="AG472">
        <v>-1.04167634</v>
      </c>
      <c r="AH472">
        <v>160.563043364495</v>
      </c>
      <c r="AI472">
        <v>90.371514942458802</v>
      </c>
      <c r="AJ472">
        <v>88.145750209286803</v>
      </c>
      <c r="AK472">
        <v>160.65054001357299</v>
      </c>
      <c r="AL472">
        <v>78.570402633290996</v>
      </c>
      <c r="AM472">
        <v>85.667051402031703</v>
      </c>
      <c r="AN472">
        <v>1.0000000295984901</v>
      </c>
    </row>
    <row r="473" spans="1:40" x14ac:dyDescent="0.25">
      <c r="A473" t="str">
        <f>"20190303170726412"</f>
        <v>20190303170726412</v>
      </c>
      <c r="B473" t="str">
        <f>"1551604046402307"</f>
        <v>1551604046402307</v>
      </c>
      <c r="C473" t="s">
        <v>40</v>
      </c>
      <c r="D473">
        <v>4.7547579999999998</v>
      </c>
      <c r="E473">
        <v>0.48762460000000002</v>
      </c>
      <c r="F473" t="s">
        <v>48</v>
      </c>
      <c r="G473">
        <v>-176.40940000000001</v>
      </c>
      <c r="H473">
        <v>7.9988039999999996E-2</v>
      </c>
      <c r="I473">
        <v>364.45319999999998</v>
      </c>
      <c r="J473">
        <v>-340.27820000000003</v>
      </c>
      <c r="K473">
        <v>1.1207119999999999</v>
      </c>
      <c r="L473">
        <v>367.86020000000002</v>
      </c>
      <c r="M473">
        <v>0.99988100000000002</v>
      </c>
      <c r="N473">
        <v>-9.3071260000000006E-3</v>
      </c>
      <c r="O473">
        <v>1.230444E-2</v>
      </c>
      <c r="P473">
        <v>0.97998850000000004</v>
      </c>
      <c r="Q473">
        <v>0.1889236</v>
      </c>
      <c r="R473">
        <v>-6.2696260000000004E-2</v>
      </c>
      <c r="S473">
        <v>3.060883</v>
      </c>
      <c r="T473">
        <v>-1.94025E-2</v>
      </c>
      <c r="U473">
        <v>-6.3446039999999995E-2</v>
      </c>
      <c r="V473">
        <v>7.4757669999999998E-2</v>
      </c>
      <c r="W473">
        <v>0.19802539999999999</v>
      </c>
      <c r="X473">
        <v>0.97734189999999999</v>
      </c>
      <c r="Y473">
        <v>3.3022639999999999E-2</v>
      </c>
      <c r="Z473">
        <v>-2.2182699999999999E-4</v>
      </c>
      <c r="AA473">
        <v>0.99945459999999997</v>
      </c>
      <c r="AB473">
        <v>30</v>
      </c>
      <c r="AC473">
        <v>163.86879999999999</v>
      </c>
      <c r="AD473">
        <v>-1.04072396</v>
      </c>
      <c r="AE473">
        <v>-3.4070000000000298</v>
      </c>
      <c r="AF473">
        <v>5.4229245379182798</v>
      </c>
      <c r="AG473">
        <v>-1.04072396</v>
      </c>
      <c r="AH473">
        <v>163.807866325676</v>
      </c>
      <c r="AI473">
        <v>90.363814278167993</v>
      </c>
      <c r="AJ473">
        <v>88.103892928947104</v>
      </c>
      <c r="AK473">
        <v>163.90090996414699</v>
      </c>
      <c r="AL473">
        <v>78.578486257806304</v>
      </c>
      <c r="AM473">
        <v>85.625917047592594</v>
      </c>
      <c r="AN473">
        <v>0.99999997888229897</v>
      </c>
    </row>
    <row r="474" spans="1:40" x14ac:dyDescent="0.25">
      <c r="A474" t="str">
        <f>"20190303170726432"</f>
        <v>20190303170726432</v>
      </c>
      <c r="B474" t="str">
        <f>"1551604046422803"</f>
        <v>1551604046422803</v>
      </c>
      <c r="C474" t="s">
        <v>40</v>
      </c>
      <c r="D474">
        <v>4.8183490000000004</v>
      </c>
      <c r="E474">
        <v>0.48767840000000001</v>
      </c>
      <c r="F474" t="s">
        <v>48</v>
      </c>
      <c r="G474">
        <v>-175.72540000000001</v>
      </c>
      <c r="H474">
        <v>7.998806E-2</v>
      </c>
      <c r="I474">
        <v>364.3082</v>
      </c>
      <c r="J474">
        <v>-339.995</v>
      </c>
      <c r="K474">
        <v>1.120706</v>
      </c>
      <c r="L474">
        <v>367.86369999999999</v>
      </c>
      <c r="M474">
        <v>0.99988160000000004</v>
      </c>
      <c r="N474">
        <v>-9.2572100000000001E-3</v>
      </c>
      <c r="O474">
        <v>1.230497E-2</v>
      </c>
      <c r="P474">
        <v>0.98001000000000005</v>
      </c>
      <c r="Q474">
        <v>0.18844340000000001</v>
      </c>
      <c r="R474">
        <v>-6.3795320000000003E-2</v>
      </c>
      <c r="S474">
        <v>3.060791</v>
      </c>
      <c r="T474">
        <v>-1.9358159999999999E-2</v>
      </c>
      <c r="U474">
        <v>-6.607056E-2</v>
      </c>
      <c r="V474">
        <v>7.5857430000000003E-2</v>
      </c>
      <c r="W474">
        <v>0.19749630000000001</v>
      </c>
      <c r="X474">
        <v>0.97736420000000002</v>
      </c>
      <c r="Y474">
        <v>3.3880359999999998E-2</v>
      </c>
      <c r="Z474">
        <v>-2.2788689999999999E-4</v>
      </c>
      <c r="AA474">
        <v>0.99942589999999998</v>
      </c>
      <c r="AB474">
        <v>30</v>
      </c>
      <c r="AC474">
        <v>164.2696</v>
      </c>
      <c r="AD474">
        <v>-1.04071794</v>
      </c>
      <c r="AE474">
        <v>-3.5554999999999901</v>
      </c>
      <c r="AF474">
        <v>5.5764258636936104</v>
      </c>
      <c r="AG474">
        <v>-1.04071794</v>
      </c>
      <c r="AH474">
        <v>164.20682227509801</v>
      </c>
      <c r="AI474">
        <v>90.362917895939205</v>
      </c>
      <c r="AJ474">
        <v>88.054995996820494</v>
      </c>
      <c r="AK474">
        <v>164.30477808307799</v>
      </c>
      <c r="AL474">
        <v>78.609412003089503</v>
      </c>
      <c r="AM474">
        <v>85.561926012312398</v>
      </c>
      <c r="AN474">
        <v>0.99999995882076598</v>
      </c>
    </row>
    <row r="475" spans="1:40" x14ac:dyDescent="0.25">
      <c r="A475" t="str">
        <f>"20190303170726454"</f>
        <v>20190303170726454</v>
      </c>
      <c r="B475" t="str">
        <f>"1551604046442323"</f>
        <v>1551604046442323</v>
      </c>
      <c r="C475" t="s">
        <v>40</v>
      </c>
      <c r="D475">
        <v>4.8659829999999999</v>
      </c>
      <c r="E475">
        <v>0.48770849999999999</v>
      </c>
      <c r="F475" t="s">
        <v>48</v>
      </c>
      <c r="G475">
        <v>-180</v>
      </c>
      <c r="H475">
        <v>3.2593850000000001E-2</v>
      </c>
      <c r="I475">
        <v>364.20729999999998</v>
      </c>
      <c r="J475">
        <v>-339.69929999999999</v>
      </c>
      <c r="K475">
        <v>1.1207</v>
      </c>
      <c r="L475">
        <v>367.8673</v>
      </c>
      <c r="M475">
        <v>0.99988189999999999</v>
      </c>
      <c r="N475">
        <v>-9.2110339999999999E-3</v>
      </c>
      <c r="O475">
        <v>1.230591E-2</v>
      </c>
      <c r="P475">
        <v>0.97986629999999997</v>
      </c>
      <c r="Q475">
        <v>0.18870799999999999</v>
      </c>
      <c r="R475">
        <v>-6.5202010000000005E-2</v>
      </c>
      <c r="S475">
        <v>3.060638</v>
      </c>
      <c r="T475">
        <v>-2.0815130000000001E-2</v>
      </c>
      <c r="U475">
        <v>-6.9946289999999994E-2</v>
      </c>
      <c r="V475">
        <v>7.7263129999999999E-2</v>
      </c>
      <c r="W475">
        <v>0.19771459999999999</v>
      </c>
      <c r="X475">
        <v>0.97721000000000002</v>
      </c>
      <c r="Y475">
        <v>3.5147070000000002E-2</v>
      </c>
      <c r="Z475">
        <v>-2.5174300000000002E-4</v>
      </c>
      <c r="AA475">
        <v>0.99938210000000005</v>
      </c>
      <c r="AB475">
        <v>31</v>
      </c>
      <c r="AC475">
        <v>159.69929999999999</v>
      </c>
      <c r="AD475">
        <v>-1.08810615</v>
      </c>
      <c r="AE475">
        <v>-3.6600000000000201</v>
      </c>
      <c r="AF475">
        <v>5.6247903506909402</v>
      </c>
      <c r="AG475">
        <v>-1.08810615</v>
      </c>
      <c r="AH475">
        <v>159.63475802220799</v>
      </c>
      <c r="AI475">
        <v>90.390292579004395</v>
      </c>
      <c r="AJ475">
        <v>87.981996660725599</v>
      </c>
      <c r="AK475">
        <v>159.73752912290701</v>
      </c>
      <c r="AL475">
        <v>78.596653439929895</v>
      </c>
      <c r="AM475">
        <v>85.479312313643703</v>
      </c>
      <c r="AN475">
        <v>1.00000001920527</v>
      </c>
    </row>
    <row r="476" spans="1:40" x14ac:dyDescent="0.25">
      <c r="A476" t="str">
        <f>"20190303170726477"</f>
        <v>20190303170726477</v>
      </c>
      <c r="B476" t="str">
        <f>"1551604046473086"</f>
        <v>1551604046473086</v>
      </c>
      <c r="C476" t="s">
        <v>40</v>
      </c>
      <c r="D476">
        <v>4.7334519999999998</v>
      </c>
      <c r="E476">
        <v>0.53324130000000003</v>
      </c>
      <c r="F476" t="s">
        <v>48</v>
      </c>
      <c r="G476">
        <v>-179.7792</v>
      </c>
      <c r="H476">
        <v>7.9987879999999997E-2</v>
      </c>
      <c r="I476">
        <v>364.00689999999997</v>
      </c>
      <c r="J476">
        <v>-339.37670000000003</v>
      </c>
      <c r="K476">
        <v>1.1207</v>
      </c>
      <c r="L476">
        <v>367.87130000000002</v>
      </c>
      <c r="M476">
        <v>0.9998823</v>
      </c>
      <c r="N476">
        <v>-9.1673229999999998E-3</v>
      </c>
      <c r="O476">
        <v>1.2306579999999999E-2</v>
      </c>
      <c r="P476">
        <v>0.97967590000000004</v>
      </c>
      <c r="Q476">
        <v>0.18928059999999999</v>
      </c>
      <c r="R476">
        <v>-6.6391999999999896E-2</v>
      </c>
      <c r="S476">
        <v>3.0605470000000001</v>
      </c>
      <c r="T476">
        <v>-1.9917130000000002E-2</v>
      </c>
      <c r="U476">
        <v>-7.388306E-2</v>
      </c>
      <c r="V476">
        <v>7.8451560000000004E-2</v>
      </c>
      <c r="W476">
        <v>0.1982428</v>
      </c>
      <c r="X476">
        <v>0.97700830000000005</v>
      </c>
      <c r="Y476">
        <v>3.6433239999999999E-2</v>
      </c>
      <c r="Z476">
        <v>-2.5283329999999999E-4</v>
      </c>
      <c r="AA476">
        <v>0.99933609999999995</v>
      </c>
      <c r="AB476">
        <v>31</v>
      </c>
      <c r="AC476">
        <v>159.5975</v>
      </c>
      <c r="AD476">
        <v>-1.04071212</v>
      </c>
      <c r="AE476">
        <v>-3.8644000000000398</v>
      </c>
      <c r="AF476">
        <v>5.8280414911674496</v>
      </c>
      <c r="AG476">
        <v>-1.04071212</v>
      </c>
      <c r="AH476">
        <v>159.53107377757999</v>
      </c>
      <c r="AI476">
        <v>90.373518562964406</v>
      </c>
      <c r="AJ476">
        <v>87.907782232386097</v>
      </c>
      <c r="AK476">
        <v>159.64088652336901</v>
      </c>
      <c r="AL476">
        <v>78.565778886510003</v>
      </c>
      <c r="AM476">
        <v>85.409128291001494</v>
      </c>
      <c r="AN476">
        <v>1.0000000366435799</v>
      </c>
    </row>
    <row r="477" spans="1:40" x14ac:dyDescent="0.25">
      <c r="A477" t="str">
        <f>"20190303170726501"</f>
        <v>20190303170726501</v>
      </c>
      <c r="B477" t="str">
        <f>"1551604046492606"</f>
        <v>1551604046492606</v>
      </c>
      <c r="C477" t="s">
        <v>40</v>
      </c>
      <c r="D477">
        <v>4.9205509999999997</v>
      </c>
      <c r="E477">
        <v>0.54206759999999998</v>
      </c>
      <c r="F477" t="s">
        <v>46</v>
      </c>
      <c r="G477">
        <v>-289.95729999999998</v>
      </c>
      <c r="H477">
        <v>-0.05</v>
      </c>
      <c r="I477">
        <v>360.76830000000001</v>
      </c>
      <c r="J477">
        <v>-339.05790000000002</v>
      </c>
      <c r="K477">
        <v>1.1206959999999999</v>
      </c>
      <c r="L477">
        <v>367.87520000000001</v>
      </c>
      <c r="M477">
        <v>0.99988259999999995</v>
      </c>
      <c r="N477">
        <v>-9.1300819999999994E-3</v>
      </c>
      <c r="O477">
        <v>1.2307230000000001E-2</v>
      </c>
      <c r="P477">
        <v>0.97949019999999998</v>
      </c>
      <c r="Q477">
        <v>0.190218</v>
      </c>
      <c r="R477">
        <v>-6.6455959999999994E-2</v>
      </c>
      <c r="S477">
        <v>3.046478</v>
      </c>
      <c r="T477">
        <v>-7.216823E-2</v>
      </c>
      <c r="U477">
        <v>-0.43786619999999998</v>
      </c>
      <c r="V477">
        <v>7.8513730000000004E-2</v>
      </c>
      <c r="W477">
        <v>0.19914190000000001</v>
      </c>
      <c r="X477">
        <v>0.97682040000000003</v>
      </c>
      <c r="Y477">
        <v>0.15437809999999999</v>
      </c>
      <c r="Z477">
        <v>-2.7057449999999999E-3</v>
      </c>
      <c r="AA477">
        <v>0.98800809999999994</v>
      </c>
      <c r="AB477">
        <v>31</v>
      </c>
      <c r="AC477">
        <v>49.1006</v>
      </c>
      <c r="AD477">
        <v>-1.170696</v>
      </c>
      <c r="AE477">
        <v>-7.1068999999999898</v>
      </c>
      <c r="AF477">
        <v>7.7063882295450501</v>
      </c>
      <c r="AG477">
        <v>-1.170696</v>
      </c>
      <c r="AH477">
        <v>48.982137130463897</v>
      </c>
      <c r="AI477">
        <v>91.352504687612793</v>
      </c>
      <c r="AJ477">
        <v>81.058913463033406</v>
      </c>
      <c r="AK477">
        <v>49.5984748408301</v>
      </c>
      <c r="AL477">
        <v>78.513215802639806</v>
      </c>
      <c r="AM477">
        <v>85.404625755950505</v>
      </c>
      <c r="AN477">
        <v>0.99999999799514105</v>
      </c>
    </row>
    <row r="478" spans="1:40" x14ac:dyDescent="0.25">
      <c r="A478" t="str">
        <f>"20190303170726524"</f>
        <v>20190303170726524</v>
      </c>
      <c r="B478" t="str">
        <f>"1551604046513101"</f>
        <v>1551604046513101</v>
      </c>
      <c r="C478" t="s">
        <v>40</v>
      </c>
      <c r="D478">
        <v>4.7642439999999997</v>
      </c>
      <c r="E478">
        <v>0.54676059999999904</v>
      </c>
      <c r="F478" t="s">
        <v>46</v>
      </c>
      <c r="G478">
        <v>-299.82709999999997</v>
      </c>
      <c r="H478">
        <v>-0.05</v>
      </c>
      <c r="I478">
        <v>361.34160000000003</v>
      </c>
      <c r="J478">
        <v>-338.73180000000002</v>
      </c>
      <c r="K478">
        <v>1.1206959999999999</v>
      </c>
      <c r="L478">
        <v>367.87920000000003</v>
      </c>
      <c r="M478">
        <v>0.99988290000000002</v>
      </c>
      <c r="N478">
        <v>-9.0975169999999994E-3</v>
      </c>
      <c r="O478">
        <v>1.230792E-2</v>
      </c>
      <c r="P478">
        <v>0.9795372</v>
      </c>
      <c r="Q478">
        <v>0.19001799999999999</v>
      </c>
      <c r="R478">
        <v>-6.6334199999999996E-2</v>
      </c>
      <c r="S478">
        <v>3.0460509999999998</v>
      </c>
      <c r="T478">
        <v>-9.0898160000000006E-2</v>
      </c>
      <c r="U478">
        <v>-0.50729369999999996</v>
      </c>
      <c r="V478">
        <v>7.8393359999999995E-2</v>
      </c>
      <c r="W478">
        <v>0.19891010000000001</v>
      </c>
      <c r="X478">
        <v>0.97687729999999995</v>
      </c>
      <c r="Y478">
        <v>0.17630470000000001</v>
      </c>
      <c r="Z478">
        <v>-3.673333E-3</v>
      </c>
      <c r="AA478">
        <v>0.9843288</v>
      </c>
      <c r="AB478">
        <v>31</v>
      </c>
      <c r="AC478">
        <v>38.904699999999998</v>
      </c>
      <c r="AD478">
        <v>-1.170696</v>
      </c>
      <c r="AE478">
        <v>-6.5375999999999896</v>
      </c>
      <c r="AF478">
        <v>7.0097875160166598</v>
      </c>
      <c r="AG478">
        <v>-1.170696</v>
      </c>
      <c r="AH478">
        <v>38.787128446138802</v>
      </c>
      <c r="AI478">
        <v>91.701267136857098</v>
      </c>
      <c r="AJ478">
        <v>79.755818847108202</v>
      </c>
      <c r="AK478">
        <v>39.432841429972903</v>
      </c>
      <c r="AL478">
        <v>78.526768146955007</v>
      </c>
      <c r="AM478">
        <v>85.411906970132094</v>
      </c>
      <c r="AN478">
        <v>1.0000000030146901</v>
      </c>
    </row>
    <row r="479" spans="1:40" x14ac:dyDescent="0.25">
      <c r="A479" t="str">
        <f>"20190303170726545"</f>
        <v>20190303170726545</v>
      </c>
      <c r="B479" t="str">
        <f>"1551604046532622"</f>
        <v>1551604046532622</v>
      </c>
      <c r="C479" t="s">
        <v>40</v>
      </c>
      <c r="D479">
        <v>4.7672270000000001</v>
      </c>
      <c r="E479">
        <v>0.54964729999999995</v>
      </c>
      <c r="F479" t="s">
        <v>46</v>
      </c>
      <c r="G479">
        <v>-304.28899999999999</v>
      </c>
      <c r="H479">
        <v>-0.05</v>
      </c>
      <c r="I479">
        <v>361.73390000000001</v>
      </c>
      <c r="J479">
        <v>-338.44920000000002</v>
      </c>
      <c r="K479">
        <v>1.120687</v>
      </c>
      <c r="L479">
        <v>367.8827</v>
      </c>
      <c r="M479">
        <v>0.99988319999999997</v>
      </c>
      <c r="N479">
        <v>-9.0737990000000004E-3</v>
      </c>
      <c r="O479">
        <v>1.230821E-2</v>
      </c>
      <c r="P479">
        <v>0.97949520000000001</v>
      </c>
      <c r="Q479">
        <v>0.19018579999999999</v>
      </c>
      <c r="R479">
        <v>-6.647409E-2</v>
      </c>
      <c r="S479">
        <v>3.0459589999999999</v>
      </c>
      <c r="T479">
        <v>-0.1035309</v>
      </c>
      <c r="U479">
        <v>-0.54345699999999997</v>
      </c>
      <c r="V479">
        <v>7.8532920000000006E-2</v>
      </c>
      <c r="W479">
        <v>0.19905500000000001</v>
      </c>
      <c r="X479">
        <v>0.97683660000000005</v>
      </c>
      <c r="Y479">
        <v>0.1876118</v>
      </c>
      <c r="Z479">
        <v>-4.3250210000000001E-3</v>
      </c>
      <c r="AA479">
        <v>0.98223380000000005</v>
      </c>
      <c r="AB479">
        <v>31</v>
      </c>
      <c r="AC479">
        <v>34.160200000000003</v>
      </c>
      <c r="AD479">
        <v>-1.170687</v>
      </c>
      <c r="AE479">
        <v>-6.1487999999999898</v>
      </c>
      <c r="AF479">
        <v>6.5613381355807796</v>
      </c>
      <c r="AG479">
        <v>-1.170687</v>
      </c>
      <c r="AH479">
        <v>34.0432005174045</v>
      </c>
      <c r="AI479">
        <v>91.933961848878297</v>
      </c>
      <c r="AJ479">
        <v>79.090829520992003</v>
      </c>
      <c r="AK479">
        <v>34.689496503258802</v>
      </c>
      <c r="AL479">
        <v>78.518296871665399</v>
      </c>
      <c r="AM479">
        <v>85.403583288241805</v>
      </c>
      <c r="AN479">
        <v>1.0000000278241401</v>
      </c>
    </row>
    <row r="480" spans="1:40" x14ac:dyDescent="0.25">
      <c r="A480" t="str">
        <f>"20190303170726566"</f>
        <v>20190303170726566</v>
      </c>
      <c r="B480" t="str">
        <f>"1551604046553119"</f>
        <v>1551604046553119</v>
      </c>
      <c r="C480" t="s">
        <v>40</v>
      </c>
      <c r="D480">
        <v>4.7600639999999999</v>
      </c>
      <c r="E480">
        <v>0.55157819999999902</v>
      </c>
      <c r="F480" t="s">
        <v>46</v>
      </c>
      <c r="G480">
        <v>-305.9649</v>
      </c>
      <c r="H480">
        <v>-0.05</v>
      </c>
      <c r="I480">
        <v>361.84059999999999</v>
      </c>
      <c r="J480">
        <v>-338.15609999999998</v>
      </c>
      <c r="K480">
        <v>1.1206860000000001</v>
      </c>
      <c r="L480">
        <v>367.88630000000001</v>
      </c>
      <c r="M480">
        <v>0.99988339999999998</v>
      </c>
      <c r="N480">
        <v>-9.0529249999999999E-3</v>
      </c>
      <c r="O480">
        <v>1.2308599999999999E-2</v>
      </c>
      <c r="P480">
        <v>0.97950360000000003</v>
      </c>
      <c r="Q480">
        <v>0.1901321</v>
      </c>
      <c r="R480">
        <v>-6.6503160000000006E-2</v>
      </c>
      <c r="S480">
        <v>3.0456850000000002</v>
      </c>
      <c r="T480">
        <v>-0.109761999999999</v>
      </c>
      <c r="U480">
        <v>-0.56649780000000005</v>
      </c>
      <c r="V480">
        <v>7.856262E-2</v>
      </c>
      <c r="W480">
        <v>0.19898070000000001</v>
      </c>
      <c r="X480">
        <v>0.97684930000000003</v>
      </c>
      <c r="Y480">
        <v>0.1947933</v>
      </c>
      <c r="Z480">
        <v>-4.6980360000000001E-3</v>
      </c>
      <c r="AA480">
        <v>0.98083310000000001</v>
      </c>
      <c r="AB480">
        <v>31</v>
      </c>
      <c r="AC480">
        <v>32.191199999999903</v>
      </c>
      <c r="AD480">
        <v>-1.1706859999999999</v>
      </c>
      <c r="AE480">
        <v>-6.0457000000000098</v>
      </c>
      <c r="AF480">
        <v>6.4332684267654496</v>
      </c>
      <c r="AG480">
        <v>-1.1706859999999999</v>
      </c>
      <c r="AH480">
        <v>32.073371124447</v>
      </c>
      <c r="AI480">
        <v>92.049594707477993</v>
      </c>
      <c r="AJ480">
        <v>78.658132022734193</v>
      </c>
      <c r="AK480">
        <v>32.733141976411702</v>
      </c>
      <c r="AL480">
        <v>78.522640284063897</v>
      </c>
      <c r="AM480">
        <v>85.401911967538695</v>
      </c>
      <c r="AN480">
        <v>0.99999997957212206</v>
      </c>
    </row>
    <row r="481" spans="1:40" x14ac:dyDescent="0.25">
      <c r="A481" t="str">
        <f>"20190303170726588"</f>
        <v>20190303170726588</v>
      </c>
      <c r="B481" t="str">
        <f>"1551604046582905"</f>
        <v>1551604046582905</v>
      </c>
      <c r="C481" t="s">
        <v>40</v>
      </c>
      <c r="D481">
        <v>4.778124</v>
      </c>
      <c r="E481">
        <v>0.55337999999999998</v>
      </c>
      <c r="F481" t="s">
        <v>46</v>
      </c>
      <c r="G481">
        <v>-307.12700000000001</v>
      </c>
      <c r="H481">
        <v>-0.05</v>
      </c>
      <c r="I481">
        <v>361.95839999999998</v>
      </c>
      <c r="J481">
        <v>-337.84120000000001</v>
      </c>
      <c r="K481">
        <v>1.120682</v>
      </c>
      <c r="L481">
        <v>367.89019999999999</v>
      </c>
      <c r="M481">
        <v>0.99988350000000004</v>
      </c>
      <c r="N481">
        <v>-9.0341109999999992E-3</v>
      </c>
      <c r="O481">
        <v>1.2309219999999999E-2</v>
      </c>
      <c r="P481">
        <v>0.97941829999999996</v>
      </c>
      <c r="Q481">
        <v>0.19061259999999999</v>
      </c>
      <c r="R481">
        <v>-6.6382150000000001E-2</v>
      </c>
      <c r="S481">
        <v>3.0456240000000001</v>
      </c>
      <c r="T481">
        <v>-0.1149075</v>
      </c>
      <c r="U481">
        <v>-0.58184809999999998</v>
      </c>
      <c r="V481">
        <v>7.8441259999999999E-2</v>
      </c>
      <c r="W481">
        <v>0.19944190000000001</v>
      </c>
      <c r="X481">
        <v>0.97676499999999999</v>
      </c>
      <c r="Y481">
        <v>0.19955139999999999</v>
      </c>
      <c r="Z481">
        <v>-4.9893180000000004E-3</v>
      </c>
      <c r="AA481">
        <v>0.97987469999999999</v>
      </c>
      <c r="AB481">
        <v>31</v>
      </c>
      <c r="AC481">
        <v>30.714200000000002</v>
      </c>
      <c r="AD481">
        <v>-1.170682</v>
      </c>
      <c r="AE481">
        <v>-5.9318000000000097</v>
      </c>
      <c r="AF481">
        <v>6.3006095513703197</v>
      </c>
      <c r="AG481">
        <v>-1.170682</v>
      </c>
      <c r="AH481">
        <v>30.596003122020601</v>
      </c>
      <c r="AI481">
        <v>92.146224065498501</v>
      </c>
      <c r="AJ481">
        <v>78.363792641069693</v>
      </c>
      <c r="AK481">
        <v>31.259935766194999</v>
      </c>
      <c r="AL481">
        <v>78.495675043957803</v>
      </c>
      <c r="AM481">
        <v>85.408589964661502</v>
      </c>
      <c r="AN481">
        <v>0.99999998398549805</v>
      </c>
    </row>
    <row r="482" spans="1:40" x14ac:dyDescent="0.25">
      <c r="A482" t="str">
        <f>"20190303170726612"</f>
        <v>20190303170726612</v>
      </c>
      <c r="B482" t="str">
        <f>"1551604046602429"</f>
        <v>1551604046602429</v>
      </c>
      <c r="C482" t="s">
        <v>40</v>
      </c>
      <c r="D482">
        <v>4.7694299999999998</v>
      </c>
      <c r="E482">
        <v>0.55438030000000005</v>
      </c>
      <c r="F482" t="s">
        <v>46</v>
      </c>
      <c r="G482">
        <v>-307.19720000000001</v>
      </c>
      <c r="H482">
        <v>-0.05</v>
      </c>
      <c r="I482">
        <v>361.8999</v>
      </c>
      <c r="J482">
        <v>-337.52539999999999</v>
      </c>
      <c r="K482">
        <v>1.120681</v>
      </c>
      <c r="L482">
        <v>367.89400000000001</v>
      </c>
      <c r="M482">
        <v>0.99988370000000004</v>
      </c>
      <c r="N482">
        <v>-9.0190229999999993E-3</v>
      </c>
      <c r="O482">
        <v>1.230959E-2</v>
      </c>
      <c r="P482">
        <v>0.97941979999999995</v>
      </c>
      <c r="Q482">
        <v>0.19083610000000001</v>
      </c>
      <c r="R482">
        <v>-6.5718280000000004E-2</v>
      </c>
      <c r="S482">
        <v>3.0453800000000002</v>
      </c>
      <c r="T482">
        <v>-0.11634170000000001</v>
      </c>
      <c r="U482">
        <v>-0.59530640000000001</v>
      </c>
      <c r="V482">
        <v>7.7777799999999994E-2</v>
      </c>
      <c r="W482">
        <v>0.19965069999999999</v>
      </c>
      <c r="X482">
        <v>0.97677539999999996</v>
      </c>
      <c r="Y482">
        <v>0.2037313</v>
      </c>
      <c r="Z482">
        <v>-5.1373499999999997E-3</v>
      </c>
      <c r="AA482">
        <v>0.97901340000000003</v>
      </c>
      <c r="AB482">
        <v>31</v>
      </c>
      <c r="AC482">
        <v>30.328199999999899</v>
      </c>
      <c r="AD482">
        <v>-1.1706809999999901</v>
      </c>
      <c r="AE482">
        <v>-5.9941000000000004</v>
      </c>
      <c r="AF482">
        <v>6.3578716082588898</v>
      </c>
      <c r="AG482">
        <v>-1.1706809999999901</v>
      </c>
      <c r="AH482">
        <v>30.208795328124602</v>
      </c>
      <c r="AI482">
        <v>92.171741339816606</v>
      </c>
      <c r="AJ482">
        <v>78.114746904866905</v>
      </c>
      <c r="AK482">
        <v>30.8927878406496</v>
      </c>
      <c r="AL482">
        <v>78.483466157630104</v>
      </c>
      <c r="AM482">
        <v>85.447308654494606</v>
      </c>
      <c r="AN482">
        <v>0.99999998511424404</v>
      </c>
    </row>
    <row r="483" spans="1:40" x14ac:dyDescent="0.25">
      <c r="A483" t="str">
        <f>"20190303170726632"</f>
        <v>20190303170726632</v>
      </c>
      <c r="B483" t="str">
        <f>"1551604046622921"</f>
        <v>1551604046622921</v>
      </c>
      <c r="C483" t="s">
        <v>40</v>
      </c>
      <c r="D483">
        <v>4.7809759999999999</v>
      </c>
      <c r="E483">
        <v>0.55511889999999997</v>
      </c>
      <c r="F483" t="s">
        <v>46</v>
      </c>
      <c r="G483">
        <v>-307.09320000000002</v>
      </c>
      <c r="H483">
        <v>-0.05</v>
      </c>
      <c r="I483">
        <v>361.88630000000001</v>
      </c>
      <c r="J483">
        <v>-337.23259999999999</v>
      </c>
      <c r="K483">
        <v>1.1206769999999999</v>
      </c>
      <c r="L483">
        <v>367.89769999999999</v>
      </c>
      <c r="M483">
        <v>0.99988370000000004</v>
      </c>
      <c r="N483">
        <v>-9.0074999999999999E-3</v>
      </c>
      <c r="O483">
        <v>1.231018E-2</v>
      </c>
      <c r="P483">
        <v>0.9793693</v>
      </c>
      <c r="Q483">
        <v>0.19129260000000001</v>
      </c>
      <c r="R483">
        <v>-6.5135699999999894E-2</v>
      </c>
      <c r="S483">
        <v>3.0455019999999999</v>
      </c>
      <c r="T483">
        <v>-0.1171561</v>
      </c>
      <c r="U483">
        <v>-0.60122679999999995</v>
      </c>
      <c r="V483">
        <v>7.7195379999999994E-2</v>
      </c>
      <c r="W483">
        <v>0.20009550000000001</v>
      </c>
      <c r="X483">
        <v>0.9767306</v>
      </c>
      <c r="Y483">
        <v>0.2055527</v>
      </c>
      <c r="Z483">
        <v>-5.20873E-3</v>
      </c>
      <c r="AA483">
        <v>0.97863219999999995</v>
      </c>
      <c r="AB483">
        <v>31</v>
      </c>
      <c r="AC483">
        <v>30.139399999999899</v>
      </c>
      <c r="AD483">
        <v>-1.170677</v>
      </c>
      <c r="AE483">
        <v>-6.0113999999999796</v>
      </c>
      <c r="AF483">
        <v>6.3727341952329501</v>
      </c>
      <c r="AG483">
        <v>-1.170677</v>
      </c>
      <c r="AH483">
        <v>30.019553728472101</v>
      </c>
      <c r="AI483">
        <v>92.184606517334103</v>
      </c>
      <c r="AJ483">
        <v>78.014826879746806</v>
      </c>
      <c r="AK483">
        <v>30.710842251850401</v>
      </c>
      <c r="AL483">
        <v>78.457456337902499</v>
      </c>
      <c r="AM483">
        <v>85.481052244124001</v>
      </c>
      <c r="AN483">
        <v>1.0000000003949701</v>
      </c>
    </row>
    <row r="484" spans="1:40" x14ac:dyDescent="0.25">
      <c r="A484" t="str">
        <f>"20190303170726656"</f>
        <v>20190303170726656</v>
      </c>
      <c r="B484" t="str">
        <f>"1551604046642441"</f>
        <v>1551604046642441</v>
      </c>
      <c r="C484" t="s">
        <v>40</v>
      </c>
      <c r="D484">
        <v>4.7718559999999997</v>
      </c>
      <c r="E484">
        <v>0.55580759999999996</v>
      </c>
      <c r="F484" t="s">
        <v>46</v>
      </c>
      <c r="G484">
        <v>-306.25549999999998</v>
      </c>
      <c r="H484">
        <v>-0.05</v>
      </c>
      <c r="I484">
        <v>361.73930000000001</v>
      </c>
      <c r="J484">
        <v>-336.9178</v>
      </c>
      <c r="K484">
        <v>1.1206750000000001</v>
      </c>
      <c r="L484">
        <v>367.9015</v>
      </c>
      <c r="M484">
        <v>0.99988379999999999</v>
      </c>
      <c r="N484">
        <v>-8.9976550000000002E-3</v>
      </c>
      <c r="O484">
        <v>1.2310700000000001E-2</v>
      </c>
      <c r="P484">
        <v>0.97945959999999999</v>
      </c>
      <c r="Q484">
        <v>0.19110070000000001</v>
      </c>
      <c r="R484">
        <v>-6.4341499999999996E-2</v>
      </c>
      <c r="S484">
        <v>3.0453800000000002</v>
      </c>
      <c r="T484">
        <v>-0.1150901</v>
      </c>
      <c r="U484">
        <v>-0.60543819999999904</v>
      </c>
      <c r="V484">
        <v>7.6402650000000003E-2</v>
      </c>
      <c r="W484">
        <v>0.19989509999999999</v>
      </c>
      <c r="X484">
        <v>0.97683390000000003</v>
      </c>
      <c r="Y484">
        <v>0.20686769999999999</v>
      </c>
      <c r="Z484">
        <v>-5.1608899999999996E-3</v>
      </c>
      <c r="AA484">
        <v>0.97835530000000004</v>
      </c>
      <c r="AB484">
        <v>31</v>
      </c>
      <c r="AC484">
        <v>30.662299999999998</v>
      </c>
      <c r="AD484">
        <v>-1.1706749999999999</v>
      </c>
      <c r="AE484">
        <v>-6.1621999999999799</v>
      </c>
      <c r="AF484">
        <v>6.5300733755686897</v>
      </c>
      <c r="AG484">
        <v>-1.1706749999999999</v>
      </c>
      <c r="AH484">
        <v>30.541320889949102</v>
      </c>
      <c r="AI484">
        <v>92.146649692848001</v>
      </c>
      <c r="AJ484">
        <v>77.931245059294199</v>
      </c>
      <c r="AK484">
        <v>31.253553717117999</v>
      </c>
      <c r="AL484">
        <v>78.4691744874888</v>
      </c>
      <c r="AM484">
        <v>85.527739742391205</v>
      </c>
      <c r="AN484">
        <v>0.999999942060119</v>
      </c>
    </row>
    <row r="485" spans="1:40" x14ac:dyDescent="0.25">
      <c r="A485" t="str">
        <f>"20190303170726678"</f>
        <v>20190303170726678</v>
      </c>
      <c r="B485" t="str">
        <f>"1551604046672227"</f>
        <v>1551604046672227</v>
      </c>
      <c r="C485" t="s">
        <v>40</v>
      </c>
      <c r="D485">
        <v>4.7599819999999999</v>
      </c>
      <c r="E485">
        <v>0.5568168</v>
      </c>
      <c r="F485" t="s">
        <v>46</v>
      </c>
      <c r="G485">
        <v>-305.5498</v>
      </c>
      <c r="H485">
        <v>-0.05</v>
      </c>
      <c r="I485">
        <v>361.63310000000001</v>
      </c>
      <c r="J485">
        <v>-336.6003</v>
      </c>
      <c r="K485">
        <v>1.120676</v>
      </c>
      <c r="L485">
        <v>367.90539999999999</v>
      </c>
      <c r="M485">
        <v>0.99988390000000005</v>
      </c>
      <c r="N485">
        <v>-8.9901010000000003E-3</v>
      </c>
      <c r="O485">
        <v>1.231109E-2</v>
      </c>
      <c r="P485">
        <v>0.97949010000000003</v>
      </c>
      <c r="Q485">
        <v>0.1910191</v>
      </c>
      <c r="R485">
        <v>-6.4118629999999996E-2</v>
      </c>
      <c r="S485">
        <v>3.045105</v>
      </c>
      <c r="T485">
        <v>-0.1136453</v>
      </c>
      <c r="U485">
        <v>-0.60852050000000002</v>
      </c>
      <c r="V485">
        <v>7.6180659999999997E-2</v>
      </c>
      <c r="W485">
        <v>0.19980629999999999</v>
      </c>
      <c r="X485">
        <v>0.97686949999999995</v>
      </c>
      <c r="Y485">
        <v>0.20784059999999999</v>
      </c>
      <c r="Z485">
        <v>-5.1283209999999999E-3</v>
      </c>
      <c r="AA485">
        <v>0.97814920000000005</v>
      </c>
      <c r="AB485">
        <v>31</v>
      </c>
      <c r="AC485">
        <v>31.0505</v>
      </c>
      <c r="AD485">
        <v>-1.170676</v>
      </c>
      <c r="AE485">
        <v>-6.2722999999999702</v>
      </c>
      <c r="AF485">
        <v>6.6450301736879398</v>
      </c>
      <c r="AG485">
        <v>-1.170676</v>
      </c>
      <c r="AH485">
        <v>30.928684289507402</v>
      </c>
      <c r="AI485">
        <v>92.119339819233204</v>
      </c>
      <c r="AJ485">
        <v>77.874330558945204</v>
      </c>
      <c r="AK485">
        <v>31.656127687798801</v>
      </c>
      <c r="AL485">
        <v>78.474368195896005</v>
      </c>
      <c r="AM485">
        <v>85.540843385429497</v>
      </c>
      <c r="AN485">
        <v>1.00000003525398</v>
      </c>
    </row>
    <row r="486" spans="1:40" x14ac:dyDescent="0.25">
      <c r="A486" t="str">
        <f>"20190303170726702"</f>
        <v>20190303170726702</v>
      </c>
      <c r="B486" t="str">
        <f>"1551604046692723"</f>
        <v>1551604046692723</v>
      </c>
      <c r="C486" t="s">
        <v>40</v>
      </c>
      <c r="D486">
        <v>4.7662230000000001</v>
      </c>
      <c r="E486">
        <v>0.55748120000000001</v>
      </c>
      <c r="F486" t="s">
        <v>46</v>
      </c>
      <c r="G486">
        <v>-304.66669999999999</v>
      </c>
      <c r="H486">
        <v>-0.05</v>
      </c>
      <c r="I486">
        <v>361.44510000000002</v>
      </c>
      <c r="J486">
        <v>-336.26400000000001</v>
      </c>
      <c r="K486">
        <v>1.1206739999999999</v>
      </c>
      <c r="L486">
        <v>367.90960000000001</v>
      </c>
      <c r="M486">
        <v>0.999884</v>
      </c>
      <c r="N486">
        <v>-8.9842959999999993E-3</v>
      </c>
      <c r="O486">
        <v>1.2311600000000001E-2</v>
      </c>
      <c r="P486">
        <v>0.97951310000000003</v>
      </c>
      <c r="Q486">
        <v>0.19100710000000001</v>
      </c>
      <c r="R486">
        <v>-6.3803020000000002E-2</v>
      </c>
      <c r="S486">
        <v>3.0442809999999998</v>
      </c>
      <c r="T486">
        <v>-0.1116024</v>
      </c>
      <c r="U486">
        <v>-0.61587519999999996</v>
      </c>
      <c r="V486">
        <v>7.5865849999999999E-2</v>
      </c>
      <c r="W486">
        <v>0.19978860000000001</v>
      </c>
      <c r="X486">
        <v>0.97689760000000003</v>
      </c>
      <c r="Y486">
        <v>0.21016660000000001</v>
      </c>
      <c r="Z486">
        <v>-5.103771E-3</v>
      </c>
      <c r="AA486">
        <v>0.97765230000000003</v>
      </c>
      <c r="AB486">
        <v>31</v>
      </c>
      <c r="AC486">
        <v>31.597300000000001</v>
      </c>
      <c r="AD486">
        <v>-1.170674</v>
      </c>
      <c r="AE486">
        <v>-6.4644999999999797</v>
      </c>
      <c r="AF486">
        <v>6.8440216998532302</v>
      </c>
      <c r="AG486">
        <v>-1.170674</v>
      </c>
      <c r="AH486">
        <v>31.473845439668999</v>
      </c>
      <c r="AI486">
        <v>92.081542270874294</v>
      </c>
      <c r="AJ486">
        <v>77.731955943043104</v>
      </c>
      <c r="AK486">
        <v>32.230638488905399</v>
      </c>
      <c r="AL486">
        <v>78.475402979282705</v>
      </c>
      <c r="AM486">
        <v>85.559323830743693</v>
      </c>
      <c r="AN486">
        <v>1.0000000163859699</v>
      </c>
    </row>
    <row r="487" spans="1:40" x14ac:dyDescent="0.25">
      <c r="A487" t="str">
        <f>"20190303170726722"</f>
        <v>20190303170726722</v>
      </c>
      <c r="B487" t="str">
        <f>"1551604046712243"</f>
        <v>1551604046712243</v>
      </c>
      <c r="C487" t="s">
        <v>40</v>
      </c>
      <c r="D487">
        <v>4.709403</v>
      </c>
      <c r="E487">
        <v>0.55812709999999999</v>
      </c>
      <c r="F487" t="s">
        <v>46</v>
      </c>
      <c r="G487">
        <v>-303.90120000000002</v>
      </c>
      <c r="H487">
        <v>-0.05</v>
      </c>
      <c r="I487">
        <v>361.3134</v>
      </c>
      <c r="J487">
        <v>-335.97489999999999</v>
      </c>
      <c r="K487">
        <v>1.1206739999999999</v>
      </c>
      <c r="L487">
        <v>367.91309999999999</v>
      </c>
      <c r="M487">
        <v>0.999884</v>
      </c>
      <c r="N487">
        <v>-8.9808830000000003E-3</v>
      </c>
      <c r="O487">
        <v>1.2312149999999999E-2</v>
      </c>
      <c r="P487">
        <v>0.97953630000000003</v>
      </c>
      <c r="Q487">
        <v>0.19098229999999999</v>
      </c>
      <c r="R487">
        <v>-6.3521889999999998E-2</v>
      </c>
      <c r="S487">
        <v>3.0438230000000002</v>
      </c>
      <c r="T487">
        <v>-0.1101055</v>
      </c>
      <c r="U487">
        <v>-0.62039180000000005</v>
      </c>
      <c r="V487">
        <v>7.5585579999999999E-2</v>
      </c>
      <c r="W487">
        <v>0.19976099999999999</v>
      </c>
      <c r="X487">
        <v>0.97692500000000004</v>
      </c>
      <c r="Y487">
        <v>0.2115918</v>
      </c>
      <c r="Z487">
        <v>-5.0784990000000002E-3</v>
      </c>
      <c r="AA487">
        <v>0.97734489999999996</v>
      </c>
      <c r="AB487">
        <v>31</v>
      </c>
      <c r="AC487">
        <v>32.073699999999903</v>
      </c>
      <c r="AD487">
        <v>-1.170674</v>
      </c>
      <c r="AE487">
        <v>-6.5996999999999799</v>
      </c>
      <c r="AF487">
        <v>6.9851840448621498</v>
      </c>
      <c r="AG487">
        <v>-1.170674</v>
      </c>
      <c r="AH487">
        <v>31.949174735629299</v>
      </c>
      <c r="AI487">
        <v>92.050095891761003</v>
      </c>
      <c r="AJ487">
        <v>77.667241679927599</v>
      </c>
      <c r="AK487">
        <v>32.724807715900297</v>
      </c>
      <c r="AL487">
        <v>78.477017225673706</v>
      </c>
      <c r="AM487">
        <v>85.575787291422898</v>
      </c>
      <c r="AN487">
        <v>1.0000000463249601</v>
      </c>
    </row>
    <row r="488" spans="1:40" x14ac:dyDescent="0.25">
      <c r="A488" t="str">
        <f>"20190303170726744"</f>
        <v>20190303170726744</v>
      </c>
      <c r="B488" t="str">
        <f>"1551604046732740"</f>
        <v>1551604046732740</v>
      </c>
      <c r="C488" t="s">
        <v>40</v>
      </c>
      <c r="D488">
        <v>4.7119650000000002</v>
      </c>
      <c r="E488">
        <v>0.5681853</v>
      </c>
      <c r="F488" t="s">
        <v>46</v>
      </c>
      <c r="G488">
        <v>-303.24059999999997</v>
      </c>
      <c r="H488">
        <v>-0.05</v>
      </c>
      <c r="I488">
        <v>361.19139999999999</v>
      </c>
      <c r="J488">
        <v>-335.67559999999997</v>
      </c>
      <c r="K488">
        <v>1.1206689999999999</v>
      </c>
      <c r="L488">
        <v>367.91680000000002</v>
      </c>
      <c r="M488">
        <v>0.99988390000000005</v>
      </c>
      <c r="N488">
        <v>-8.9786540000000008E-3</v>
      </c>
      <c r="O488">
        <v>1.231263E-2</v>
      </c>
      <c r="P488">
        <v>0.97967420000000005</v>
      </c>
      <c r="Q488">
        <v>0.1904429</v>
      </c>
      <c r="R488">
        <v>-6.3009099999999998E-2</v>
      </c>
      <c r="S488">
        <v>3.043396</v>
      </c>
      <c r="T488">
        <v>-0.10884050000000001</v>
      </c>
      <c r="U488">
        <v>-0.62493900000000002</v>
      </c>
      <c r="V488">
        <v>7.5075080000000002E-2</v>
      </c>
      <c r="W488">
        <v>0.19922090000000001</v>
      </c>
      <c r="X488">
        <v>0.97707460000000002</v>
      </c>
      <c r="Y488">
        <v>0.21302299999999999</v>
      </c>
      <c r="Z488">
        <v>-5.0616769999999997E-3</v>
      </c>
      <c r="AA488">
        <v>0.97703410000000002</v>
      </c>
      <c r="AB488">
        <v>31</v>
      </c>
      <c r="AC488">
        <v>32.435000000000002</v>
      </c>
      <c r="AD488">
        <v>-1.170669</v>
      </c>
      <c r="AE488">
        <v>-6.7254000000000298</v>
      </c>
      <c r="AF488">
        <v>7.1153793675235999</v>
      </c>
      <c r="AG488">
        <v>-1.170669</v>
      </c>
      <c r="AH488">
        <v>32.309376368992403</v>
      </c>
      <c r="AI488">
        <v>92.026575828694007</v>
      </c>
      <c r="AJ488">
        <v>77.580206230156193</v>
      </c>
      <c r="AK488">
        <v>33.104303206751702</v>
      </c>
      <c r="AL488">
        <v>78.508596958553397</v>
      </c>
      <c r="AM488">
        <v>85.606220889842604</v>
      </c>
      <c r="AN488">
        <v>1.0000000042994801</v>
      </c>
    </row>
    <row r="489" spans="1:40" x14ac:dyDescent="0.25">
      <c r="A489" t="str">
        <f>"20190303170726769"</f>
        <v>20190303170726769</v>
      </c>
      <c r="B489" t="str">
        <f>"1551604046762996"</f>
        <v>1551604046762996</v>
      </c>
      <c r="C489" t="s">
        <v>40</v>
      </c>
      <c r="D489">
        <v>4.6634979999999997</v>
      </c>
      <c r="E489">
        <v>0.56935159999999996</v>
      </c>
      <c r="F489" t="s">
        <v>46</v>
      </c>
      <c r="G489">
        <v>-298.22289999999998</v>
      </c>
      <c r="H489">
        <v>-0.05</v>
      </c>
      <c r="I489">
        <v>359.22390000000001</v>
      </c>
      <c r="J489">
        <v>-335.33240000000001</v>
      </c>
      <c r="K489">
        <v>1.120665</v>
      </c>
      <c r="L489">
        <v>367.92099999999999</v>
      </c>
      <c r="M489">
        <v>0.999884</v>
      </c>
      <c r="N489">
        <v>-8.9774390000000003E-3</v>
      </c>
      <c r="O489">
        <v>1.2312999999999999E-2</v>
      </c>
      <c r="P489">
        <v>0.97970869999999999</v>
      </c>
      <c r="Q489">
        <v>0.19056819999999999</v>
      </c>
      <c r="R489">
        <v>-6.2089569999999997E-2</v>
      </c>
      <c r="S489">
        <v>3.0354000000000001</v>
      </c>
      <c r="T489">
        <v>-9.4878320000000002E-2</v>
      </c>
      <c r="U489">
        <v>-0.70452879999999996</v>
      </c>
      <c r="V489">
        <v>7.4156180000000002E-2</v>
      </c>
      <c r="W489">
        <v>0.19934560000000001</v>
      </c>
      <c r="X489">
        <v>0.97711930000000002</v>
      </c>
      <c r="Y489">
        <v>0.237925</v>
      </c>
      <c r="Z489">
        <v>-5.0219619999999996E-3</v>
      </c>
      <c r="AA489">
        <v>0.97127059999999998</v>
      </c>
      <c r="AB489">
        <v>31</v>
      </c>
      <c r="AC489">
        <v>37.109499999999997</v>
      </c>
      <c r="AD489">
        <v>-1.1706650000000001</v>
      </c>
      <c r="AE489">
        <v>-8.6970999999999705</v>
      </c>
      <c r="AF489">
        <v>9.1447615620215199</v>
      </c>
      <c r="AG489">
        <v>-1.1706650000000001</v>
      </c>
      <c r="AH489">
        <v>36.964724199415102</v>
      </c>
      <c r="AI489">
        <v>91.760888589191296</v>
      </c>
      <c r="AJ489">
        <v>76.104502771014793</v>
      </c>
      <c r="AK489">
        <v>38.097085921462202</v>
      </c>
      <c r="AL489">
        <v>78.501305494460098</v>
      </c>
      <c r="AM489">
        <v>85.659990668883793</v>
      </c>
      <c r="AN489">
        <v>0.99999996685201997</v>
      </c>
    </row>
    <row r="490" spans="1:40" x14ac:dyDescent="0.25">
      <c r="A490" t="str">
        <f>"20190303170726790"</f>
        <v>20190303170726790</v>
      </c>
      <c r="B490" t="str">
        <f>"1551604046783023"</f>
        <v>1551604046783023</v>
      </c>
      <c r="C490" t="s">
        <v>40</v>
      </c>
      <c r="D490">
        <v>4.6315419999999996</v>
      </c>
      <c r="E490">
        <v>0.56974139999999995</v>
      </c>
      <c r="F490" t="s">
        <v>46</v>
      </c>
      <c r="G490">
        <v>-295.84300000000002</v>
      </c>
      <c r="H490">
        <v>-0.05</v>
      </c>
      <c r="I490">
        <v>358.66230000000002</v>
      </c>
      <c r="J490">
        <v>-335.01749999999998</v>
      </c>
      <c r="K490">
        <v>1.12066</v>
      </c>
      <c r="L490">
        <v>367.92489999999998</v>
      </c>
      <c r="M490">
        <v>0.99988390000000005</v>
      </c>
      <c r="N490">
        <v>-8.9827109999999905E-3</v>
      </c>
      <c r="O490">
        <v>1.231345E-2</v>
      </c>
      <c r="P490">
        <v>0.97980679999999998</v>
      </c>
      <c r="Q490">
        <v>0.19012100000000001</v>
      </c>
      <c r="R490">
        <v>-6.1910840000000002E-2</v>
      </c>
      <c r="S490">
        <v>3.0345759999999999</v>
      </c>
      <c r="T490">
        <v>-8.9960219999999994E-2</v>
      </c>
      <c r="U490">
        <v>-0.71148679999999997</v>
      </c>
      <c r="V490">
        <v>7.3979169999999997E-2</v>
      </c>
      <c r="W490">
        <v>0.19890450000000001</v>
      </c>
      <c r="X490">
        <v>0.97722260000000005</v>
      </c>
      <c r="Y490">
        <v>0.24010709999999999</v>
      </c>
      <c r="Z490">
        <v>-4.8549129999999998E-3</v>
      </c>
      <c r="AA490">
        <v>0.97073430000000005</v>
      </c>
      <c r="AB490">
        <v>31</v>
      </c>
      <c r="AC490">
        <v>39.174499999999902</v>
      </c>
      <c r="AD490">
        <v>-1.17066</v>
      </c>
      <c r="AE490">
        <v>-9.26259999999996</v>
      </c>
      <c r="AF490">
        <v>9.7360563640031597</v>
      </c>
      <c r="AG490">
        <v>-1.17066</v>
      </c>
      <c r="AH490">
        <v>39.024466671036997</v>
      </c>
      <c r="AI490">
        <v>91.667177549445796</v>
      </c>
      <c r="AJ490">
        <v>75.991479946683697</v>
      </c>
      <c r="AK490">
        <v>40.237671867511501</v>
      </c>
      <c r="AL490">
        <v>78.527095089651297</v>
      </c>
      <c r="AM490">
        <v>85.670766725717698</v>
      </c>
      <c r="AN490">
        <v>0.99999996383244805</v>
      </c>
    </row>
    <row r="491" spans="1:40" x14ac:dyDescent="0.25">
      <c r="A491" t="str">
        <f>"20190303170726812"</f>
        <v>20190303170726812</v>
      </c>
      <c r="B491" t="str">
        <f>"1551604046802556"</f>
        <v>1551604046802556</v>
      </c>
      <c r="C491" t="s">
        <v>40</v>
      </c>
      <c r="D491">
        <v>4.5677909999999997</v>
      </c>
      <c r="E491">
        <v>0.56990589999999997</v>
      </c>
      <c r="F491" t="s">
        <v>46</v>
      </c>
      <c r="G491">
        <v>-295.75850000000003</v>
      </c>
      <c r="H491">
        <v>-0.05</v>
      </c>
      <c r="I491">
        <v>358.69900000000001</v>
      </c>
      <c r="J491">
        <v>-334.71800000000002</v>
      </c>
      <c r="K491">
        <v>1.120665</v>
      </c>
      <c r="L491">
        <v>367.92860000000002</v>
      </c>
      <c r="M491">
        <v>0.99988390000000005</v>
      </c>
      <c r="N491">
        <v>-8.9919849999999992E-3</v>
      </c>
      <c r="O491">
        <v>1.231377E-2</v>
      </c>
      <c r="P491">
        <v>0.97982380000000002</v>
      </c>
      <c r="Q491">
        <v>0.19002179999999999</v>
      </c>
      <c r="R491">
        <v>-6.1946290000000001E-2</v>
      </c>
      <c r="S491">
        <v>3.034332</v>
      </c>
      <c r="T491">
        <v>-9.0480690000000003E-2</v>
      </c>
      <c r="U491">
        <v>-0.71307369999999903</v>
      </c>
      <c r="V491">
        <v>7.4015059999999994E-2</v>
      </c>
      <c r="W491">
        <v>0.1988143</v>
      </c>
      <c r="X491">
        <v>0.9772383</v>
      </c>
      <c r="Y491">
        <v>0.24060419999999999</v>
      </c>
      <c r="Z491">
        <v>-4.8880479999999999E-3</v>
      </c>
      <c r="AA491">
        <v>0.970611</v>
      </c>
      <c r="AB491">
        <v>31</v>
      </c>
      <c r="AC491">
        <v>38.959499999999899</v>
      </c>
      <c r="AD491">
        <v>-1.1706650000000001</v>
      </c>
      <c r="AE491">
        <v>-9.2295999999999996</v>
      </c>
      <c r="AF491">
        <v>9.7003648167315504</v>
      </c>
      <c r="AG491">
        <v>-1.1706650000000001</v>
      </c>
      <c r="AH491">
        <v>38.809711112383802</v>
      </c>
      <c r="AI491">
        <v>91.676223368395696</v>
      </c>
      <c r="AJ491">
        <v>75.966623017972296</v>
      </c>
      <c r="AK491">
        <v>40.020759747243602</v>
      </c>
      <c r="AL491">
        <v>78.532369200181094</v>
      </c>
      <c r="AM491">
        <v>85.668743767876094</v>
      </c>
      <c r="AN491">
        <v>1.0000000249890899</v>
      </c>
    </row>
    <row r="492" spans="1:40" x14ac:dyDescent="0.25">
      <c r="A492" t="str">
        <f>"20190303170726833"</f>
        <v>20190303170726833</v>
      </c>
      <c r="B492" t="str">
        <f>"1551604046823039"</f>
        <v>1551604046823039</v>
      </c>
      <c r="C492" t="s">
        <v>40</v>
      </c>
      <c r="D492">
        <v>4.5269890000000004</v>
      </c>
      <c r="E492">
        <v>0.57017830000000003</v>
      </c>
      <c r="F492" t="s">
        <v>46</v>
      </c>
      <c r="G492">
        <v>-295.52969999999999</v>
      </c>
      <c r="H492">
        <v>-0.05</v>
      </c>
      <c r="I492">
        <v>358.69869999999997</v>
      </c>
      <c r="J492">
        <v>-334.41469999999998</v>
      </c>
      <c r="K492">
        <v>1.1206640000000001</v>
      </c>
      <c r="L492">
        <v>367.9323</v>
      </c>
      <c r="M492">
        <v>0.99988370000000004</v>
      </c>
      <c r="N492">
        <v>-9.0035440000000005E-3</v>
      </c>
      <c r="O492">
        <v>1.2314189999999999E-2</v>
      </c>
      <c r="P492">
        <v>0.97980840000000002</v>
      </c>
      <c r="Q492">
        <v>0.19001480000000001</v>
      </c>
      <c r="R492">
        <v>-6.2209220000000003E-2</v>
      </c>
      <c r="S492">
        <v>3.0341800000000001</v>
      </c>
      <c r="T492">
        <v>-9.0639349999999994E-2</v>
      </c>
      <c r="U492">
        <v>-0.71463009999999905</v>
      </c>
      <c r="V492">
        <v>7.4278440000000001E-2</v>
      </c>
      <c r="W492">
        <v>0.19881850000000001</v>
      </c>
      <c r="X492">
        <v>0.97721740000000001</v>
      </c>
      <c r="Y492">
        <v>0.24108650000000001</v>
      </c>
      <c r="Z492">
        <v>-4.9055059999999996E-3</v>
      </c>
      <c r="AA492">
        <v>0.9704912</v>
      </c>
      <c r="AB492">
        <v>32</v>
      </c>
      <c r="AC492">
        <v>38.884999999999899</v>
      </c>
      <c r="AD492">
        <v>-1.1706639999999999</v>
      </c>
      <c r="AE492">
        <v>-9.2336000000000205</v>
      </c>
      <c r="AF492">
        <v>9.7034311351547693</v>
      </c>
      <c r="AG492">
        <v>-1.1706639999999999</v>
      </c>
      <c r="AH492">
        <v>38.735108534774099</v>
      </c>
      <c r="AI492">
        <v>91.679226894348005</v>
      </c>
      <c r="AJ492">
        <v>75.936398300491305</v>
      </c>
      <c r="AK492">
        <v>39.949163485564</v>
      </c>
      <c r="AL492">
        <v>78.5321229555977</v>
      </c>
      <c r="AM492">
        <v>85.653297500858102</v>
      </c>
      <c r="AN492">
        <v>0.99999996472692099</v>
      </c>
    </row>
    <row r="493" spans="1:40" x14ac:dyDescent="0.25">
      <c r="A493" t="str">
        <f>"20190303170726857"</f>
        <v>20190303170726857</v>
      </c>
      <c r="B493" t="str">
        <f>"1551604046842559"</f>
        <v>1551604046842559</v>
      </c>
      <c r="C493" t="s">
        <v>40</v>
      </c>
      <c r="D493">
        <v>4.544467</v>
      </c>
      <c r="E493">
        <v>0.57021580000000005</v>
      </c>
      <c r="F493" t="s">
        <v>46</v>
      </c>
      <c r="G493">
        <v>-294.10770000000002</v>
      </c>
      <c r="H493">
        <v>-0.05</v>
      </c>
      <c r="I493">
        <v>358.39359999999999</v>
      </c>
      <c r="J493">
        <v>-334.09480000000002</v>
      </c>
      <c r="K493">
        <v>1.1206670000000001</v>
      </c>
      <c r="L493">
        <v>367.93630000000002</v>
      </c>
      <c r="M493">
        <v>0.99988370000000004</v>
      </c>
      <c r="N493">
        <v>-9.0210640000000005E-3</v>
      </c>
      <c r="O493">
        <v>1.2314469999999999E-2</v>
      </c>
      <c r="P493">
        <v>0.97983779999999998</v>
      </c>
      <c r="Q493">
        <v>0.18979789999999999</v>
      </c>
      <c r="R493">
        <v>-6.2408739999999997E-2</v>
      </c>
      <c r="S493">
        <v>3.0332949999999999</v>
      </c>
      <c r="T493">
        <v>-8.8098049999999997E-2</v>
      </c>
      <c r="U493">
        <v>-0.71783450000000004</v>
      </c>
      <c r="V493">
        <v>7.4478429999999998E-2</v>
      </c>
      <c r="W493">
        <v>0.19861899999999999</v>
      </c>
      <c r="X493">
        <v>0.97724279999999997</v>
      </c>
      <c r="Y493">
        <v>0.24212700000000001</v>
      </c>
      <c r="Z493">
        <v>-4.8181500000000002E-3</v>
      </c>
      <c r="AA493">
        <v>0.9702326</v>
      </c>
      <c r="AB493">
        <v>32</v>
      </c>
      <c r="AC493">
        <v>39.987099999999998</v>
      </c>
      <c r="AD493">
        <v>-1.1706669999999999</v>
      </c>
      <c r="AE493">
        <v>-9.5427000000000195</v>
      </c>
      <c r="AF493">
        <v>10.0262858266011</v>
      </c>
      <c r="AG493">
        <v>-1.1706669999999999</v>
      </c>
      <c r="AH493">
        <v>39.834247703823998</v>
      </c>
      <c r="AI493">
        <v>91.632462171280395</v>
      </c>
      <c r="AJ493">
        <v>75.872112335126403</v>
      </c>
      <c r="AK493">
        <v>41.093359059964897</v>
      </c>
      <c r="AL493">
        <v>78.543786672701799</v>
      </c>
      <c r="AM493">
        <v>85.641752156437704</v>
      </c>
      <c r="AN493">
        <v>1.0000000169240499</v>
      </c>
    </row>
    <row r="494" spans="1:40" x14ac:dyDescent="0.25">
      <c r="A494" t="str">
        <f>"20190303170726879"</f>
        <v>20190303170726879</v>
      </c>
      <c r="B494" t="str">
        <f>"1551604046872815"</f>
        <v>1551604046872815</v>
      </c>
      <c r="C494" t="s">
        <v>40</v>
      </c>
      <c r="D494">
        <v>4.5808330000000002</v>
      </c>
      <c r="E494">
        <v>0.57471689999999998</v>
      </c>
      <c r="F494" t="s">
        <v>46</v>
      </c>
      <c r="G494">
        <v>-292.57859999999999</v>
      </c>
      <c r="H494">
        <v>-0.05</v>
      </c>
      <c r="I494">
        <v>358.09500000000003</v>
      </c>
      <c r="J494">
        <v>-333.76330000000002</v>
      </c>
      <c r="K494">
        <v>1.1206689999999999</v>
      </c>
      <c r="L494">
        <v>367.94029999999998</v>
      </c>
      <c r="M494">
        <v>0.99988330000000003</v>
      </c>
      <c r="N494">
        <v>-9.0422520000000006E-3</v>
      </c>
      <c r="O494">
        <v>1.231467E-2</v>
      </c>
      <c r="P494">
        <v>0.97997900000000004</v>
      </c>
      <c r="Q494">
        <v>0.1888415</v>
      </c>
      <c r="R494">
        <v>-6.3088829999999999E-2</v>
      </c>
      <c r="S494">
        <v>3.0325009999999999</v>
      </c>
      <c r="T494">
        <v>-8.5509779999999994E-2</v>
      </c>
      <c r="U494">
        <v>-0.71884159999999997</v>
      </c>
      <c r="V494">
        <v>7.5160199999999996E-2</v>
      </c>
      <c r="W494">
        <v>0.1976842</v>
      </c>
      <c r="X494">
        <v>0.97738009999999997</v>
      </c>
      <c r="Y494">
        <v>0.24249560000000001</v>
      </c>
      <c r="Z494">
        <v>-4.7159569999999998E-3</v>
      </c>
      <c r="AA494">
        <v>0.97014109999999998</v>
      </c>
      <c r="AB494">
        <v>32</v>
      </c>
      <c r="AC494">
        <v>41.184699999999999</v>
      </c>
      <c r="AD494">
        <v>-1.170669</v>
      </c>
      <c r="AE494">
        <v>-9.8452999999999502</v>
      </c>
      <c r="AF494">
        <v>10.3438443471511</v>
      </c>
      <c r="AG494">
        <v>-1.170669</v>
      </c>
      <c r="AH494">
        <v>41.028971929739797</v>
      </c>
      <c r="AI494">
        <v>91.584799692882996</v>
      </c>
      <c r="AJ494">
        <v>75.849990768049906</v>
      </c>
      <c r="AK494">
        <v>42.3289749391245</v>
      </c>
      <c r="AL494">
        <v>78.598429840227993</v>
      </c>
      <c r="AM494">
        <v>85.602628293313401</v>
      </c>
      <c r="AN494">
        <v>0.99999997923484396</v>
      </c>
    </row>
    <row r="495" spans="1:40" x14ac:dyDescent="0.25">
      <c r="A495" t="str">
        <f>"20190303170726904"</f>
        <v>20190303170726904</v>
      </c>
      <c r="B495" t="str">
        <f>"1551604046892335"</f>
        <v>1551604046892335</v>
      </c>
      <c r="C495" t="s">
        <v>40</v>
      </c>
      <c r="D495">
        <v>4.4838440000000004</v>
      </c>
      <c r="E495">
        <v>0.56301499999999904</v>
      </c>
      <c r="F495" t="s">
        <v>46</v>
      </c>
      <c r="G495">
        <v>-287.14330000000001</v>
      </c>
      <c r="H495">
        <v>-0.05</v>
      </c>
      <c r="I495">
        <v>356.26859999999999</v>
      </c>
      <c r="J495">
        <v>-333.42680000000001</v>
      </c>
      <c r="K495">
        <v>1.1206689999999999</v>
      </c>
      <c r="L495">
        <v>367.94450000000001</v>
      </c>
      <c r="M495">
        <v>0.99988319999999997</v>
      </c>
      <c r="N495">
        <v>-9.063916E-3</v>
      </c>
      <c r="O495">
        <v>1.231493E-2</v>
      </c>
      <c r="P495">
        <v>0.97990600000000005</v>
      </c>
      <c r="Q495">
        <v>0.18941060000000001</v>
      </c>
      <c r="R495">
        <v>-6.2515490000000007E-2</v>
      </c>
      <c r="S495">
        <v>3.027161</v>
      </c>
      <c r="T495">
        <v>-7.6014639999999994E-2</v>
      </c>
      <c r="U495">
        <v>-0.75787349999999998</v>
      </c>
      <c r="V495">
        <v>7.4586169999999993E-2</v>
      </c>
      <c r="W495">
        <v>0.19827410000000001</v>
      </c>
      <c r="X495">
        <v>0.97730459999999997</v>
      </c>
      <c r="Y495">
        <v>0.25468489999999999</v>
      </c>
      <c r="Z495">
        <v>-4.5153600000000004E-3</v>
      </c>
      <c r="AA495">
        <v>0.96701349999999997</v>
      </c>
      <c r="AB495">
        <v>32</v>
      </c>
      <c r="AC495">
        <v>46.283499999999997</v>
      </c>
      <c r="AD495">
        <v>-1.170669</v>
      </c>
      <c r="AE495">
        <v>-11.6759</v>
      </c>
      <c r="AF495">
        <v>12.237655231215401</v>
      </c>
      <c r="AG495">
        <v>-1.170669</v>
      </c>
      <c r="AH495">
        <v>46.108462852595302</v>
      </c>
      <c r="AI495">
        <v>91.405747328838501</v>
      </c>
      <c r="AJ495">
        <v>75.135815920016199</v>
      </c>
      <c r="AK495">
        <v>47.719189201984697</v>
      </c>
      <c r="AL495">
        <v>78.563948765151096</v>
      </c>
      <c r="AM495">
        <v>85.635746812796796</v>
      </c>
      <c r="AN495">
        <v>0.99999999833361897</v>
      </c>
    </row>
    <row r="496" spans="1:40" x14ac:dyDescent="0.25">
      <c r="A496" t="str">
        <f>"20190303170726925"</f>
        <v>20190303170726925</v>
      </c>
      <c r="B496" t="str">
        <f>"1551604046912831"</f>
        <v>1551604046912831</v>
      </c>
      <c r="C496" t="s">
        <v>40</v>
      </c>
      <c r="D496">
        <v>4.4824659999999996</v>
      </c>
      <c r="E496">
        <v>0.50322540000000004</v>
      </c>
      <c r="F496" t="s">
        <v>46</v>
      </c>
      <c r="G496">
        <v>-283.26710000000003</v>
      </c>
      <c r="H496">
        <v>-0.05</v>
      </c>
      <c r="I496">
        <v>356.97489999999999</v>
      </c>
      <c r="J496">
        <v>-333.12270000000001</v>
      </c>
      <c r="K496">
        <v>1.120673</v>
      </c>
      <c r="L496">
        <v>367.94830000000002</v>
      </c>
      <c r="M496">
        <v>0.99988290000000002</v>
      </c>
      <c r="N496">
        <v>-9.0862670000000003E-3</v>
      </c>
      <c r="O496">
        <v>1.231548E-2</v>
      </c>
      <c r="P496">
        <v>0.97984990000000005</v>
      </c>
      <c r="Q496">
        <v>0.18979499999999999</v>
      </c>
      <c r="R496">
        <v>-6.222507E-2</v>
      </c>
      <c r="S496">
        <v>3.032867</v>
      </c>
      <c r="T496">
        <v>-7.0783620000000005E-2</v>
      </c>
      <c r="U496">
        <v>-0.663269</v>
      </c>
      <c r="V496">
        <v>7.4295810000000004E-2</v>
      </c>
      <c r="W496">
        <v>0.1986802</v>
      </c>
      <c r="X496">
        <v>0.97724429999999995</v>
      </c>
      <c r="Y496">
        <v>0.2255762</v>
      </c>
      <c r="Z496">
        <v>-3.8118309999999999E-3</v>
      </c>
      <c r="AA496">
        <v>0.97421809999999998</v>
      </c>
      <c r="AB496">
        <v>32</v>
      </c>
      <c r="AC496">
        <v>49.855599999999903</v>
      </c>
      <c r="AD496">
        <v>-1.1706729999999901</v>
      </c>
      <c r="AE496">
        <v>-10.9734</v>
      </c>
      <c r="AF496">
        <v>11.580498601200199</v>
      </c>
      <c r="AG496">
        <v>-1.1706729999999901</v>
      </c>
      <c r="AH496">
        <v>49.690538547863802</v>
      </c>
      <c r="AI496">
        <v>91.314387653726897</v>
      </c>
      <c r="AJ496">
        <v>76.881244558764095</v>
      </c>
      <c r="AK496">
        <v>51.035556666916698</v>
      </c>
      <c r="AL496">
        <v>78.540209316328699</v>
      </c>
      <c r="AM496">
        <v>85.652404140273802</v>
      </c>
      <c r="AN496">
        <v>1.00000005556904</v>
      </c>
    </row>
    <row r="497" spans="1:40" x14ac:dyDescent="0.25">
      <c r="A497" t="str">
        <f>"20190303170726946"</f>
        <v>20190303170726946</v>
      </c>
      <c r="B497" t="str">
        <f>"1551604046943087"</f>
        <v>1551604046943087</v>
      </c>
      <c r="C497" t="s">
        <v>40</v>
      </c>
      <c r="D497">
        <v>4.3283300000000002</v>
      </c>
      <c r="E497">
        <v>0.5009209</v>
      </c>
      <c r="F497" t="s">
        <v>44</v>
      </c>
      <c r="G497">
        <v>-158.19499999999999</v>
      </c>
      <c r="H497">
        <v>1.889853</v>
      </c>
      <c r="I497">
        <v>357.0967</v>
      </c>
      <c r="J497">
        <v>-332.82139999999998</v>
      </c>
      <c r="K497">
        <v>1.1206719999999999</v>
      </c>
      <c r="L497">
        <v>367.952</v>
      </c>
      <c r="M497">
        <v>0.99988259999999995</v>
      </c>
      <c r="N497">
        <v>-9.1153350000000005E-3</v>
      </c>
      <c r="O497">
        <v>1.2316179999999999E-2</v>
      </c>
      <c r="P497">
        <v>0.97980149999999999</v>
      </c>
      <c r="Q497">
        <v>0.19003419999999999</v>
      </c>
      <c r="R497">
        <v>-6.2259809999999999E-2</v>
      </c>
      <c r="S497">
        <v>3.0470890000000002</v>
      </c>
      <c r="T497">
        <v>1.3399960000000001E-2</v>
      </c>
      <c r="U497">
        <v>-0.1890259</v>
      </c>
      <c r="V497">
        <v>7.4330499999999994E-2</v>
      </c>
      <c r="W497">
        <v>0.1989475</v>
      </c>
      <c r="X497">
        <v>0.97718720000000003</v>
      </c>
      <c r="Y497">
        <v>7.4203920000000007E-2</v>
      </c>
      <c r="Z497" s="1">
        <v>-9.2593839999999994E-6</v>
      </c>
      <c r="AA497">
        <v>0.99724310000000005</v>
      </c>
      <c r="AB497">
        <v>32</v>
      </c>
      <c r="AC497">
        <v>174.62639999999999</v>
      </c>
      <c r="AD497">
        <v>0.769180999999999</v>
      </c>
      <c r="AE497">
        <v>-10.8553</v>
      </c>
      <c r="AF497">
        <v>13.0050447834707</v>
      </c>
      <c r="AG497">
        <v>0.769180999999999</v>
      </c>
      <c r="AH497">
        <v>174.47608054031701</v>
      </c>
      <c r="AI497">
        <v>89.7481108949099</v>
      </c>
      <c r="AJ497">
        <v>85.737187570839197</v>
      </c>
      <c r="AK497">
        <v>174.96178299829299</v>
      </c>
      <c r="AL497">
        <v>78.524581286283905</v>
      </c>
      <c r="AM497">
        <v>85.650128775135599</v>
      </c>
      <c r="AN497">
        <v>0.99999997741516899</v>
      </c>
    </row>
    <row r="498" spans="1:40" x14ac:dyDescent="0.25">
      <c r="A498" t="str">
        <f>"20190303170726969"</f>
        <v>20190303170726969</v>
      </c>
      <c r="B498" t="str">
        <f>"1551604046962608"</f>
        <v>1551604046962608</v>
      </c>
      <c r="C498" t="s">
        <v>40</v>
      </c>
      <c r="D498">
        <v>4.4712639999999997</v>
      </c>
      <c r="E498">
        <v>0.50070459999999894</v>
      </c>
      <c r="F498" t="s">
        <v>44</v>
      </c>
      <c r="G498">
        <v>-158.19499999999999</v>
      </c>
      <c r="H498">
        <v>2.190372</v>
      </c>
      <c r="I498">
        <v>358.16590000000002</v>
      </c>
      <c r="J498">
        <v>-332.49279999999999</v>
      </c>
      <c r="K498">
        <v>1.1206780000000001</v>
      </c>
      <c r="L498">
        <v>367.95609999999999</v>
      </c>
      <c r="M498">
        <v>0.9998823</v>
      </c>
      <c r="N498">
        <v>-9.1517850000000008E-3</v>
      </c>
      <c r="O498">
        <v>1.231673E-2</v>
      </c>
      <c r="P498">
        <v>0.97980330000000004</v>
      </c>
      <c r="Q498">
        <v>0.189943</v>
      </c>
      <c r="R498">
        <v>-6.2510419999999997E-2</v>
      </c>
      <c r="S498">
        <v>3.0473940000000002</v>
      </c>
      <c r="T498">
        <v>1.8668770000000001E-2</v>
      </c>
      <c r="U498">
        <v>-0.17077639999999999</v>
      </c>
      <c r="V498">
        <v>7.4581540000000002E-2</v>
      </c>
      <c r="W498">
        <v>0.1988914</v>
      </c>
      <c r="X498">
        <v>0.97717949999999998</v>
      </c>
      <c r="Y498">
        <v>6.8245260000000002E-2</v>
      </c>
      <c r="Z498" s="1">
        <v>8.4364550000000005E-5</v>
      </c>
      <c r="AA498">
        <v>0.99766860000000002</v>
      </c>
      <c r="AB498">
        <v>32</v>
      </c>
      <c r="AC498">
        <v>174.2978</v>
      </c>
      <c r="AD498">
        <v>1.0696939999999999</v>
      </c>
      <c r="AE498">
        <v>-9.7901999999999703</v>
      </c>
      <c r="AF498">
        <v>11.9358779395239</v>
      </c>
      <c r="AG498">
        <v>1.0696939999999999</v>
      </c>
      <c r="AH498">
        <v>174.15745047819601</v>
      </c>
      <c r="AI498">
        <v>89.648911070194799</v>
      </c>
      <c r="AJ498">
        <v>86.079365508966902</v>
      </c>
      <c r="AK498">
        <v>174.569261281894</v>
      </c>
      <c r="AL498">
        <v>78.527861214464394</v>
      </c>
      <c r="AM498">
        <v>85.635460155807607</v>
      </c>
      <c r="AN498">
        <v>0.99999998516149002</v>
      </c>
    </row>
    <row r="499" spans="1:40" x14ac:dyDescent="0.25">
      <c r="A499" t="str">
        <f>"20190303170726991"</f>
        <v>20190303170726991</v>
      </c>
      <c r="B499" t="str">
        <f>"1551604046983103"</f>
        <v>1551604046983103</v>
      </c>
      <c r="C499" t="s">
        <v>40</v>
      </c>
      <c r="D499">
        <v>4.4140920000000001</v>
      </c>
      <c r="E499">
        <v>0.50080979999999997</v>
      </c>
      <c r="F499" t="s">
        <v>44</v>
      </c>
      <c r="G499">
        <v>-158.19499999999999</v>
      </c>
      <c r="H499">
        <v>2.1329050000000001</v>
      </c>
      <c r="I499">
        <v>358.23610000000002</v>
      </c>
      <c r="J499">
        <v>-332.17419999999998</v>
      </c>
      <c r="K499">
        <v>1.120682</v>
      </c>
      <c r="L499">
        <v>367.96</v>
      </c>
      <c r="M499">
        <v>0.99988189999999999</v>
      </c>
      <c r="N499">
        <v>-9.1922429999999992E-3</v>
      </c>
      <c r="O499">
        <v>1.2317669999999999E-2</v>
      </c>
      <c r="P499">
        <v>0.97979950000000005</v>
      </c>
      <c r="Q499">
        <v>0.19003970000000001</v>
      </c>
      <c r="R499">
        <v>-6.2271300000000002E-2</v>
      </c>
      <c r="S499">
        <v>3.047577</v>
      </c>
      <c r="T499">
        <v>1.7700199999999999E-2</v>
      </c>
      <c r="U499">
        <v>-0.169952399999999</v>
      </c>
      <c r="V499">
        <v>7.4343670000000001E-2</v>
      </c>
      <c r="W499">
        <v>0.19902790000000001</v>
      </c>
      <c r="X499">
        <v>0.97716990000000004</v>
      </c>
      <c r="Y499">
        <v>6.7974030000000005E-2</v>
      </c>
      <c r="Z499" s="1">
        <v>6.9196390000000006E-5</v>
      </c>
      <c r="AA499">
        <v>0.99768710000000005</v>
      </c>
      <c r="AB499">
        <v>32</v>
      </c>
      <c r="AC499">
        <v>173.97919999999999</v>
      </c>
      <c r="AD499">
        <v>1.0122229999999901</v>
      </c>
      <c r="AE499">
        <v>-9.7238999999999507</v>
      </c>
      <c r="AF499">
        <v>11.865870701302899</v>
      </c>
      <c r="AG499">
        <v>1.0122229999999901</v>
      </c>
      <c r="AH499">
        <v>173.84035287948899</v>
      </c>
      <c r="AI499">
        <v>89.667161158599299</v>
      </c>
      <c r="AJ499">
        <v>86.095202294965105</v>
      </c>
      <c r="AK499">
        <v>174.247788428338</v>
      </c>
      <c r="AL499">
        <v>78.519881546129696</v>
      </c>
      <c r="AM499">
        <v>85.649284287887497</v>
      </c>
      <c r="AN499">
        <v>1.0000000498567401</v>
      </c>
    </row>
    <row r="500" spans="1:40" x14ac:dyDescent="0.25">
      <c r="A500" t="str">
        <f>"20190303170727012"</f>
        <v>20190303170727012</v>
      </c>
      <c r="B500" t="str">
        <f>"1551604047002623"</f>
        <v>1551604047002623</v>
      </c>
      <c r="C500" t="s">
        <v>40</v>
      </c>
      <c r="D500">
        <v>4.4128020000000001</v>
      </c>
      <c r="E500">
        <v>0.50098299999999996</v>
      </c>
      <c r="F500" t="s">
        <v>44</v>
      </c>
      <c r="G500">
        <v>-158.19499999999999</v>
      </c>
      <c r="H500">
        <v>2.1969699999999999</v>
      </c>
      <c r="I500">
        <v>358.22230000000002</v>
      </c>
      <c r="J500">
        <v>-331.87090000000001</v>
      </c>
      <c r="K500">
        <v>1.1206929999999999</v>
      </c>
      <c r="L500">
        <v>367.96370000000002</v>
      </c>
      <c r="M500">
        <v>0.99988169999999998</v>
      </c>
      <c r="N500">
        <v>-9.2323500000000003E-3</v>
      </c>
      <c r="O500">
        <v>1.23182E-2</v>
      </c>
      <c r="P500">
        <v>0.97972309999999996</v>
      </c>
      <c r="Q500">
        <v>0.1904817</v>
      </c>
      <c r="R500">
        <v>-6.2125840000000002E-2</v>
      </c>
      <c r="S500">
        <v>3.0473629999999998</v>
      </c>
      <c r="T500">
        <v>1.8853430000000001E-2</v>
      </c>
      <c r="U500">
        <v>-0.17056270000000001</v>
      </c>
      <c r="V500">
        <v>7.4197609999999997E-2</v>
      </c>
      <c r="W500">
        <v>0.1995082</v>
      </c>
      <c r="X500">
        <v>0.97708300000000003</v>
      </c>
      <c r="Y500">
        <v>6.8177550000000003E-2</v>
      </c>
      <c r="Z500" s="1">
        <v>8.5546840000000002E-5</v>
      </c>
      <c r="AA500">
        <v>0.99767320000000004</v>
      </c>
      <c r="AB500">
        <v>32</v>
      </c>
      <c r="AC500">
        <v>173.67590000000001</v>
      </c>
      <c r="AD500">
        <v>1.0762769999999999</v>
      </c>
      <c r="AE500">
        <v>-9.7414000000000005</v>
      </c>
      <c r="AF500">
        <v>11.879671288364699</v>
      </c>
      <c r="AG500">
        <v>1.0762769999999999</v>
      </c>
      <c r="AH500">
        <v>173.536076691619</v>
      </c>
      <c r="AI500">
        <v>89.645483758290894</v>
      </c>
      <c r="AJ500">
        <v>86.083841641792105</v>
      </c>
      <c r="AK500">
        <v>173.94555146832499</v>
      </c>
      <c r="AL500">
        <v>78.491798588921</v>
      </c>
      <c r="AM500">
        <v>85.657414529390707</v>
      </c>
      <c r="AN500">
        <v>0.99999999804297601</v>
      </c>
    </row>
    <row r="501" spans="1:40" x14ac:dyDescent="0.25">
      <c r="A501" t="str">
        <f>"20190303170727034"</f>
        <v>20190303170727034</v>
      </c>
      <c r="B501" t="str">
        <f>"1551604047023120"</f>
        <v>1551604047023120</v>
      </c>
      <c r="C501" t="s">
        <v>40</v>
      </c>
      <c r="D501">
        <v>4.4136989999999896</v>
      </c>
      <c r="E501">
        <v>0.50107500000000005</v>
      </c>
      <c r="F501" t="s">
        <v>44</v>
      </c>
      <c r="G501">
        <v>-158.19499999999999</v>
      </c>
      <c r="H501">
        <v>2.245368</v>
      </c>
      <c r="I501">
        <v>358.19959999999998</v>
      </c>
      <c r="J501">
        <v>-331.55619999999999</v>
      </c>
      <c r="K501">
        <v>1.120698</v>
      </c>
      <c r="L501">
        <v>367.9676</v>
      </c>
      <c r="M501">
        <v>0.99988109999999997</v>
      </c>
      <c r="N501">
        <v>-9.2736499999999996E-3</v>
      </c>
      <c r="O501">
        <v>1.231866E-2</v>
      </c>
      <c r="P501">
        <v>0.97961960000000003</v>
      </c>
      <c r="Q501">
        <v>0.1909198</v>
      </c>
      <c r="R501">
        <v>-6.2413320000000001E-2</v>
      </c>
      <c r="S501">
        <v>3.0473940000000002</v>
      </c>
      <c r="T501">
        <v>1.9735570000000001E-2</v>
      </c>
      <c r="U501">
        <v>-0.1713257</v>
      </c>
      <c r="V501">
        <v>7.4484179999999997E-2</v>
      </c>
      <c r="W501">
        <v>0.1999853</v>
      </c>
      <c r="X501">
        <v>0.97696360000000004</v>
      </c>
      <c r="Y501">
        <v>6.842637E-2</v>
      </c>
      <c r="Z501" s="1">
        <v>9.7718729999999999E-5</v>
      </c>
      <c r="AA501">
        <v>0.99765619999999999</v>
      </c>
      <c r="AB501">
        <v>32</v>
      </c>
      <c r="AC501">
        <v>173.3612</v>
      </c>
      <c r="AD501">
        <v>1.1246700000000001</v>
      </c>
      <c r="AE501">
        <v>-9.7680000000000202</v>
      </c>
      <c r="AF501">
        <v>11.902428968398601</v>
      </c>
      <c r="AG501">
        <v>1.1246700000000001</v>
      </c>
      <c r="AH501">
        <v>173.220443562718</v>
      </c>
      <c r="AI501">
        <v>89.628875443423894</v>
      </c>
      <c r="AJ501">
        <v>86.069235883207</v>
      </c>
      <c r="AK501">
        <v>173.632527960695</v>
      </c>
      <c r="AL501">
        <v>78.463899932609806</v>
      </c>
      <c r="AM501">
        <v>85.640176171919094</v>
      </c>
      <c r="AN501">
        <v>0.99999994450565899</v>
      </c>
    </row>
    <row r="502" spans="1:40" x14ac:dyDescent="0.25">
      <c r="A502" t="str">
        <f>"20190303170727058"</f>
        <v>20190303170727058</v>
      </c>
      <c r="B502" t="str">
        <f>"1551604047052399"</f>
        <v>1551604047052399</v>
      </c>
      <c r="C502" t="s">
        <v>40</v>
      </c>
      <c r="D502">
        <v>4.3537699999999999</v>
      </c>
      <c r="E502">
        <v>0.501193</v>
      </c>
      <c r="F502" t="s">
        <v>44</v>
      </c>
      <c r="G502">
        <v>-158.19499999999999</v>
      </c>
      <c r="H502">
        <v>2.3332609999999998</v>
      </c>
      <c r="I502">
        <v>358.14260000000002</v>
      </c>
      <c r="J502">
        <v>-331.2226</v>
      </c>
      <c r="K502">
        <v>1.1207039999999999</v>
      </c>
      <c r="L502">
        <v>367.9717</v>
      </c>
      <c r="M502">
        <v>0.99988069999999896</v>
      </c>
      <c r="N502">
        <v>-9.3200690000000003E-3</v>
      </c>
      <c r="O502">
        <v>1.231928E-2</v>
      </c>
      <c r="P502">
        <v>0.97948449999999998</v>
      </c>
      <c r="Q502">
        <v>0.191464</v>
      </c>
      <c r="R502">
        <v>-6.2861239999999999E-2</v>
      </c>
      <c r="S502">
        <v>3.047272</v>
      </c>
      <c r="T502">
        <v>2.1315460000000001E-2</v>
      </c>
      <c r="U502">
        <v>-0.17269899999999999</v>
      </c>
      <c r="V502">
        <v>7.4931209999999998E-2</v>
      </c>
      <c r="W502">
        <v>0.2005739</v>
      </c>
      <c r="X502">
        <v>0.97680880000000003</v>
      </c>
      <c r="Y502">
        <v>6.8877229999999998E-2</v>
      </c>
      <c r="Z502">
        <v>1.202906E-4</v>
      </c>
      <c r="AA502">
        <v>0.99762510000000004</v>
      </c>
      <c r="AB502">
        <v>32</v>
      </c>
      <c r="AC502">
        <v>173.02760000000001</v>
      </c>
      <c r="AD502">
        <v>1.2125569999999899</v>
      </c>
      <c r="AE502">
        <v>-9.8290999999999809</v>
      </c>
      <c r="AF502">
        <v>11.959436599333101</v>
      </c>
      <c r="AG502">
        <v>1.2125569999999899</v>
      </c>
      <c r="AH502">
        <v>172.88491279388501</v>
      </c>
      <c r="AI502">
        <v>89.599111146222796</v>
      </c>
      <c r="AJ502">
        <v>86.042827792329803</v>
      </c>
      <c r="AK502">
        <v>173.30231241965899</v>
      </c>
      <c r="AL502">
        <v>78.429478902306698</v>
      </c>
      <c r="AM502">
        <v>85.613419368837398</v>
      </c>
      <c r="AN502">
        <v>1.00000000367535</v>
      </c>
    </row>
    <row r="503" spans="1:40" x14ac:dyDescent="0.25">
      <c r="A503" t="str">
        <f>"20190303170727093"</f>
        <v>20190303170727093</v>
      </c>
      <c r="B503" t="str">
        <f>"1551604047082655"</f>
        <v>1551604047082655</v>
      </c>
      <c r="C503" t="s">
        <v>40</v>
      </c>
      <c r="D503">
        <v>4.4705570000000003</v>
      </c>
      <c r="E503">
        <v>0.50129979999999996</v>
      </c>
      <c r="F503" t="s">
        <v>44</v>
      </c>
      <c r="G503">
        <v>-158.19499999999999</v>
      </c>
      <c r="H503">
        <v>2.4732829999999999</v>
      </c>
      <c r="I503">
        <v>358.01900000000001</v>
      </c>
      <c r="J503">
        <v>-330.72449999999998</v>
      </c>
      <c r="K503">
        <v>1.1207039999999999</v>
      </c>
      <c r="L503">
        <v>367.9778</v>
      </c>
      <c r="M503">
        <v>0.99988010000000005</v>
      </c>
      <c r="N503">
        <v>-9.3883620000000008E-3</v>
      </c>
      <c r="O503">
        <v>1.232015E-2</v>
      </c>
      <c r="P503">
        <v>0.97953190000000001</v>
      </c>
      <c r="Q503">
        <v>0.191272</v>
      </c>
      <c r="R503">
        <v>-6.2710130000000003E-2</v>
      </c>
      <c r="S503">
        <v>3.0469360000000001</v>
      </c>
      <c r="T503">
        <v>2.3819799999999999E-2</v>
      </c>
      <c r="U503">
        <v>-0.17526249999999999</v>
      </c>
      <c r="V503">
        <v>7.4781299999999995E-2</v>
      </c>
      <c r="W503">
        <v>0.20044919999999999</v>
      </c>
      <c r="X503">
        <v>0.97684590000000004</v>
      </c>
      <c r="Y503">
        <v>6.9720569999999996E-2</v>
      </c>
      <c r="Z503">
        <v>1.5653910000000001E-4</v>
      </c>
      <c r="AA503">
        <v>0.99756650000000002</v>
      </c>
      <c r="AB503">
        <v>32</v>
      </c>
      <c r="AC503">
        <v>172.52949999999899</v>
      </c>
      <c r="AD503">
        <v>1.352579</v>
      </c>
      <c r="AE503">
        <v>-9.9587999999999894</v>
      </c>
      <c r="AF503">
        <v>12.082986787640801</v>
      </c>
      <c r="AG503">
        <v>1.352579</v>
      </c>
      <c r="AH503">
        <v>172.383145621176</v>
      </c>
      <c r="AI503">
        <v>89.551546579851006</v>
      </c>
      <c r="AJ503">
        <v>85.990479930034297</v>
      </c>
      <c r="AK503">
        <v>172.81139121572201</v>
      </c>
      <c r="AL503">
        <v>78.436771968413595</v>
      </c>
      <c r="AM503">
        <v>85.622326785853403</v>
      </c>
      <c r="AN503">
        <v>1.00000001847856</v>
      </c>
    </row>
    <row r="504" spans="1:40" x14ac:dyDescent="0.25">
      <c r="A504" t="str">
        <f>"20190303170727113"</f>
        <v>20190303170727113</v>
      </c>
      <c r="B504" t="str">
        <f>"1551604047103151"</f>
        <v>1551604047103151</v>
      </c>
      <c r="C504" t="s">
        <v>40</v>
      </c>
      <c r="D504">
        <v>4.4115149999999996</v>
      </c>
      <c r="E504">
        <v>0.50142359999999997</v>
      </c>
      <c r="F504" t="s">
        <v>44</v>
      </c>
      <c r="G504">
        <v>-158.19499999999999</v>
      </c>
      <c r="H504">
        <v>2.4413559999999999</v>
      </c>
      <c r="I504">
        <v>358.02940000000001</v>
      </c>
      <c r="J504">
        <v>-330.4151</v>
      </c>
      <c r="K504">
        <v>1.1207020000000001</v>
      </c>
      <c r="L504">
        <v>367.98160000000001</v>
      </c>
      <c r="M504">
        <v>0.99987979999999999</v>
      </c>
      <c r="N504">
        <v>-9.4267450000000003E-3</v>
      </c>
      <c r="O504">
        <v>1.232044E-2</v>
      </c>
      <c r="P504">
        <v>0.97962850000000001</v>
      </c>
      <c r="Q504">
        <v>0.190802</v>
      </c>
      <c r="R504">
        <v>-6.2632170000000001E-2</v>
      </c>
      <c r="S504">
        <v>3.046875</v>
      </c>
      <c r="T504">
        <v>2.3324250000000001E-2</v>
      </c>
      <c r="U504">
        <v>-0.1756897</v>
      </c>
      <c r="V504">
        <v>7.4704870000000007E-2</v>
      </c>
      <c r="W504">
        <v>0.200018</v>
      </c>
      <c r="X504">
        <v>0.97694009999999998</v>
      </c>
      <c r="Y504">
        <v>6.9861519999999996E-2</v>
      </c>
      <c r="Z504">
        <v>1.4788879999999999E-4</v>
      </c>
      <c r="AA504">
        <v>0.99755669999999996</v>
      </c>
      <c r="AB504">
        <v>32</v>
      </c>
      <c r="AC504">
        <v>172.2201</v>
      </c>
      <c r="AD504">
        <v>1.320654</v>
      </c>
      <c r="AE504">
        <v>-9.9521999999999995</v>
      </c>
      <c r="AF504">
        <v>12.0726584063669</v>
      </c>
      <c r="AG504">
        <v>1.320654</v>
      </c>
      <c r="AH504">
        <v>172.074321444302</v>
      </c>
      <c r="AI504">
        <v>89.561347229155302</v>
      </c>
      <c r="AJ504">
        <v>85.986729714442703</v>
      </c>
      <c r="AK504">
        <v>172.50236319685999</v>
      </c>
      <c r="AL504">
        <v>78.461988239514298</v>
      </c>
      <c r="AM504">
        <v>85.627203652944601</v>
      </c>
      <c r="AN504">
        <v>0.999999988456863</v>
      </c>
    </row>
    <row r="505" spans="1:40" x14ac:dyDescent="0.25">
      <c r="A505" t="str">
        <f>"20190303170727135"</f>
        <v>20190303170727135</v>
      </c>
      <c r="B505" t="str">
        <f>"1551604047122671"</f>
        <v>1551604047122671</v>
      </c>
      <c r="C505" t="s">
        <v>40</v>
      </c>
      <c r="D505">
        <v>4.2955310000000004</v>
      </c>
      <c r="E505">
        <v>0.50146670000000004</v>
      </c>
      <c r="F505" t="s">
        <v>44</v>
      </c>
      <c r="G505">
        <v>-158.19499999999999</v>
      </c>
      <c r="H505">
        <v>2.3287170000000001</v>
      </c>
      <c r="I505">
        <v>358.00990000000002</v>
      </c>
      <c r="J505">
        <v>-330.10669999999999</v>
      </c>
      <c r="K505">
        <v>1.1206959999999999</v>
      </c>
      <c r="L505">
        <v>367.98540000000003</v>
      </c>
      <c r="M505">
        <v>0.99987939999999997</v>
      </c>
      <c r="N505">
        <v>-9.4620030000000001E-3</v>
      </c>
      <c r="O505">
        <v>1.2320930000000001E-2</v>
      </c>
      <c r="P505">
        <v>0.97975000000000001</v>
      </c>
      <c r="Q505">
        <v>0.19027089999999999</v>
      </c>
      <c r="R505">
        <v>-6.234601E-2</v>
      </c>
      <c r="S505">
        <v>3.0469360000000001</v>
      </c>
      <c r="T505">
        <v>2.137387E-2</v>
      </c>
      <c r="U505">
        <v>-0.1764221</v>
      </c>
      <c r="V505">
        <v>7.4420620000000007E-2</v>
      </c>
      <c r="W505">
        <v>0.1995218</v>
      </c>
      <c r="X505">
        <v>0.97706320000000002</v>
      </c>
      <c r="Y505">
        <v>7.0100090000000004E-2</v>
      </c>
      <c r="Z505">
        <v>1.165725E-4</v>
      </c>
      <c r="AA505">
        <v>0.99753990000000003</v>
      </c>
      <c r="AB505">
        <v>32</v>
      </c>
      <c r="AC505">
        <v>171.9117</v>
      </c>
      <c r="AD505">
        <v>1.20802099999999</v>
      </c>
      <c r="AE505">
        <v>-9.9755000000000091</v>
      </c>
      <c r="AF505">
        <v>12.0923543245798</v>
      </c>
      <c r="AG505">
        <v>1.20802099999999</v>
      </c>
      <c r="AH505">
        <v>171.76728370092101</v>
      </c>
      <c r="AI505">
        <v>89.598046331638102</v>
      </c>
      <c r="AJ505">
        <v>85.973041864091897</v>
      </c>
      <c r="AK505">
        <v>172.19664368924299</v>
      </c>
      <c r="AL505">
        <v>78.491002667161496</v>
      </c>
      <c r="AM505">
        <v>85.644324583934207</v>
      </c>
      <c r="AN505">
        <v>0.99999993707532997</v>
      </c>
    </row>
    <row r="506" spans="1:40" x14ac:dyDescent="0.25">
      <c r="A506" t="str">
        <f>"20190303170727157"</f>
        <v>20190303170727157</v>
      </c>
      <c r="B506" t="str">
        <f>"1551604047152927"</f>
        <v>1551604047152927</v>
      </c>
      <c r="C506" t="s">
        <v>40</v>
      </c>
      <c r="D506">
        <v>4.4135530000000003</v>
      </c>
      <c r="E506">
        <v>0.50150050000000002</v>
      </c>
      <c r="F506" t="s">
        <v>44</v>
      </c>
      <c r="G506">
        <v>-158.19499999999999</v>
      </c>
      <c r="H506">
        <v>2.2257189999999998</v>
      </c>
      <c r="I506">
        <v>358.08</v>
      </c>
      <c r="J506">
        <v>-329.77809999999999</v>
      </c>
      <c r="K506">
        <v>1.1206989999999999</v>
      </c>
      <c r="L506">
        <v>367.98950000000002</v>
      </c>
      <c r="M506">
        <v>0.99987910000000002</v>
      </c>
      <c r="N506">
        <v>-9.4963570000000004E-3</v>
      </c>
      <c r="O506">
        <v>1.23213E-2</v>
      </c>
      <c r="P506">
        <v>0.97978569999999998</v>
      </c>
      <c r="Q506">
        <v>0.1901168</v>
      </c>
      <c r="R506">
        <v>-6.2255100000000001E-2</v>
      </c>
      <c r="S506">
        <v>3.0470280000000001</v>
      </c>
      <c r="T506">
        <v>1.9587400000000001E-2</v>
      </c>
      <c r="U506">
        <v>-0.17556759999999999</v>
      </c>
      <c r="V506">
        <v>7.4330370000000007E-2</v>
      </c>
      <c r="W506">
        <v>0.19940169999999999</v>
      </c>
      <c r="X506">
        <v>0.97709469999999998</v>
      </c>
      <c r="Y506">
        <v>6.9820129999999994E-2</v>
      </c>
      <c r="Z506" s="1">
        <v>8.8474249999999997E-5</v>
      </c>
      <c r="AA506">
        <v>0.99755959999999999</v>
      </c>
      <c r="AB506">
        <v>32</v>
      </c>
      <c r="AC506">
        <v>171.5831</v>
      </c>
      <c r="AD506">
        <v>1.1050199999999999</v>
      </c>
      <c r="AE506">
        <v>-9.9095000000000297</v>
      </c>
      <c r="AF506">
        <v>12.022472682658901</v>
      </c>
      <c r="AG506">
        <v>1.1050199999999999</v>
      </c>
      <c r="AH506">
        <v>171.44088357061599</v>
      </c>
      <c r="AI506">
        <v>89.631610579077304</v>
      </c>
      <c r="AJ506">
        <v>85.988639969415601</v>
      </c>
      <c r="AK506">
        <v>171.86546330801701</v>
      </c>
      <c r="AL506">
        <v>78.498026285532006</v>
      </c>
      <c r="AM506">
        <v>85.649726139681704</v>
      </c>
      <c r="AN506">
        <v>1.00000004731765</v>
      </c>
    </row>
    <row r="507" spans="1:40" x14ac:dyDescent="0.25">
      <c r="A507" t="str">
        <f>"20190303170727181"</f>
        <v>20190303170727181</v>
      </c>
      <c r="B507" t="str">
        <f>"1551604047172447"</f>
        <v>1551604047172447</v>
      </c>
      <c r="C507" t="s">
        <v>40</v>
      </c>
      <c r="D507">
        <v>4.5306410000000001</v>
      </c>
      <c r="E507">
        <v>0.50154370000000004</v>
      </c>
      <c r="F507" t="s">
        <v>44</v>
      </c>
      <c r="G507">
        <v>-158.19499999999999</v>
      </c>
      <c r="H507">
        <v>2.1795200000000001</v>
      </c>
      <c r="I507">
        <v>358.11180000000002</v>
      </c>
      <c r="J507">
        <v>-329.44959999999998</v>
      </c>
      <c r="K507">
        <v>1.1207020000000001</v>
      </c>
      <c r="L507">
        <v>367.99349999999998</v>
      </c>
      <c r="M507">
        <v>0.99987879999999996</v>
      </c>
      <c r="N507">
        <v>-9.5274169999999998E-3</v>
      </c>
      <c r="O507">
        <v>1.232163E-2</v>
      </c>
      <c r="P507">
        <v>0.97992159999999995</v>
      </c>
      <c r="Q507">
        <v>0.18945119999999999</v>
      </c>
      <c r="R507">
        <v>-6.2145829999999999E-2</v>
      </c>
      <c r="S507">
        <v>3.0470890000000002</v>
      </c>
      <c r="T507">
        <v>1.8804789999999998E-2</v>
      </c>
      <c r="U507">
        <v>-0.17541499999999999</v>
      </c>
      <c r="V507">
        <v>7.4223029999999995E-2</v>
      </c>
      <c r="W507">
        <v>0.198768</v>
      </c>
      <c r="X507">
        <v>0.97723190000000004</v>
      </c>
      <c r="Y507">
        <v>6.9769600000000001E-2</v>
      </c>
      <c r="Z507" s="1">
        <v>7.5736169999999898E-5</v>
      </c>
      <c r="AA507">
        <v>0.99756310000000004</v>
      </c>
      <c r="AB507">
        <v>32</v>
      </c>
      <c r="AC507">
        <v>171.25459999999899</v>
      </c>
      <c r="AD507">
        <v>1.058818</v>
      </c>
      <c r="AE507">
        <v>-9.8816999999999595</v>
      </c>
      <c r="AF507">
        <v>11.990724308751499</v>
      </c>
      <c r="AG507">
        <v>1.058818</v>
      </c>
      <c r="AH507">
        <v>171.113314746745</v>
      </c>
      <c r="AI507">
        <v>89.646335928727893</v>
      </c>
      <c r="AJ507">
        <v>85.9915645871191</v>
      </c>
      <c r="AK507">
        <v>171.53619165827499</v>
      </c>
      <c r="AL507">
        <v>78.535075508762304</v>
      </c>
      <c r="AM507">
        <v>85.656591828336303</v>
      </c>
      <c r="AN507">
        <v>0.99999998119199496</v>
      </c>
    </row>
    <row r="508" spans="1:40" x14ac:dyDescent="0.25">
      <c r="A508" t="str">
        <f>"20190303170727202"</f>
        <v>20190303170727202</v>
      </c>
      <c r="B508" t="str">
        <f>"1551604047192943"</f>
        <v>1551604047192943</v>
      </c>
      <c r="C508" t="s">
        <v>40</v>
      </c>
      <c r="D508">
        <v>4.5256660000000002</v>
      </c>
      <c r="E508">
        <v>0.50157439999999998</v>
      </c>
      <c r="F508" t="s">
        <v>44</v>
      </c>
      <c r="G508">
        <v>-158.19499999999999</v>
      </c>
      <c r="H508">
        <v>2.0712350000000002</v>
      </c>
      <c r="I508">
        <v>358.15530000000001</v>
      </c>
      <c r="J508">
        <v>-329.14060000000001</v>
      </c>
      <c r="K508">
        <v>1.120695</v>
      </c>
      <c r="L508">
        <v>367.9973</v>
      </c>
      <c r="M508">
        <v>0.9998785</v>
      </c>
      <c r="N508">
        <v>-9.553944E-3</v>
      </c>
      <c r="O508">
        <v>1.232114E-2</v>
      </c>
      <c r="P508">
        <v>0.98002140000000004</v>
      </c>
      <c r="Q508">
        <v>0.18903619999999999</v>
      </c>
      <c r="R508">
        <v>-6.1833979999999997E-2</v>
      </c>
      <c r="S508">
        <v>3.0470890000000002</v>
      </c>
      <c r="T508">
        <v>1.6914129999999999E-2</v>
      </c>
      <c r="U508">
        <v>-0.17504879999999901</v>
      </c>
      <c r="V508">
        <v>7.3912259999999994E-2</v>
      </c>
      <c r="W508">
        <v>0.19837969999999999</v>
      </c>
      <c r="X508">
        <v>0.97733440000000005</v>
      </c>
      <c r="Y508">
        <v>6.964977E-2</v>
      </c>
      <c r="Z508" s="1">
        <v>4.610646E-5</v>
      </c>
      <c r="AA508">
        <v>0.99757150000000006</v>
      </c>
      <c r="AB508">
        <v>32</v>
      </c>
      <c r="AC508">
        <v>170.94560000000001</v>
      </c>
      <c r="AD508">
        <v>0.95053999999999905</v>
      </c>
      <c r="AE508">
        <v>-9.8419999999999792</v>
      </c>
      <c r="AF508">
        <v>11.9472253633802</v>
      </c>
      <c r="AG508">
        <v>0.95053999999999905</v>
      </c>
      <c r="AH508">
        <v>170.80608876858301</v>
      </c>
      <c r="AI508">
        <v>89.681928009926807</v>
      </c>
      <c r="AJ508">
        <v>85.998898386149705</v>
      </c>
      <c r="AK508">
        <v>171.226048487361</v>
      </c>
      <c r="AL508">
        <v>78.557776058476904</v>
      </c>
      <c r="AM508">
        <v>85.675160317220403</v>
      </c>
      <c r="AN508">
        <v>1.00000002848687</v>
      </c>
    </row>
    <row r="509" spans="1:40" x14ac:dyDescent="0.25">
      <c r="A509" t="str">
        <f>"20190303170727224"</f>
        <v>20190303170727224</v>
      </c>
      <c r="B509" t="str">
        <f>"1551604047212464"</f>
        <v>1551604047212464</v>
      </c>
      <c r="C509" t="s">
        <v>40</v>
      </c>
      <c r="D509">
        <v>4.3535170000000001</v>
      </c>
      <c r="E509">
        <v>0.50159200000000004</v>
      </c>
      <c r="F509" t="s">
        <v>44</v>
      </c>
      <c r="G509">
        <v>-158.19499999999999</v>
      </c>
      <c r="H509">
        <v>1.9926649999999999</v>
      </c>
      <c r="I509">
        <v>358.20620000000002</v>
      </c>
      <c r="J509">
        <v>-328.82060000000001</v>
      </c>
      <c r="K509">
        <v>1.1206929999999999</v>
      </c>
      <c r="L509">
        <v>368.00130000000001</v>
      </c>
      <c r="M509">
        <v>0.9998783</v>
      </c>
      <c r="N509">
        <v>-9.5788069999999999E-3</v>
      </c>
      <c r="O509">
        <v>1.231904E-2</v>
      </c>
      <c r="P509">
        <v>0.98001769999999999</v>
      </c>
      <c r="Q509">
        <v>0.1890859</v>
      </c>
      <c r="R509">
        <v>-6.1741289999999997E-2</v>
      </c>
      <c r="S509">
        <v>3.0471499999999998</v>
      </c>
      <c r="T509">
        <v>1.554465E-2</v>
      </c>
      <c r="U509">
        <v>-0.17452999999999999</v>
      </c>
      <c r="V509">
        <v>7.3817850000000004E-2</v>
      </c>
      <c r="W509">
        <v>0.19845399999999999</v>
      </c>
      <c r="X509">
        <v>0.97732649999999999</v>
      </c>
      <c r="Y509">
        <v>6.9477360000000002E-2</v>
      </c>
      <c r="Z509" s="1">
        <v>2.472944E-5</v>
      </c>
      <c r="AA509">
        <v>0.99758349999999996</v>
      </c>
      <c r="AB509">
        <v>32</v>
      </c>
      <c r="AC509">
        <v>170.62559999999999</v>
      </c>
      <c r="AD509">
        <v>0.87197199999999997</v>
      </c>
      <c r="AE509">
        <v>-9.7950999999999908</v>
      </c>
      <c r="AF509">
        <v>11.896086887621699</v>
      </c>
      <c r="AG509">
        <v>0.87197199999999997</v>
      </c>
      <c r="AH509">
        <v>170.487541671434</v>
      </c>
      <c r="AI509">
        <v>89.707669539091199</v>
      </c>
      <c r="AJ509">
        <v>86.008549374195198</v>
      </c>
      <c r="AK509">
        <v>170.904298025461</v>
      </c>
      <c r="AL509">
        <v>78.553433180096803</v>
      </c>
      <c r="AM509">
        <v>85.680628842626206</v>
      </c>
      <c r="AN509">
        <v>1.00000007634843</v>
      </c>
    </row>
    <row r="510" spans="1:40" x14ac:dyDescent="0.25">
      <c r="A510" t="str">
        <f>"20190303170727247"</f>
        <v>20190303170727247</v>
      </c>
      <c r="B510" t="str">
        <f>"1551604047242719"</f>
        <v>1551604047242719</v>
      </c>
      <c r="C510" t="s">
        <v>40</v>
      </c>
      <c r="D510">
        <v>4.4723639999999998</v>
      </c>
      <c r="E510">
        <v>0.50168279999999998</v>
      </c>
      <c r="F510" t="s">
        <v>44</v>
      </c>
      <c r="G510">
        <v>-158.19499999999999</v>
      </c>
      <c r="H510">
        <v>1.9812190000000001</v>
      </c>
      <c r="I510">
        <v>358.2527</v>
      </c>
      <c r="J510">
        <v>-328.48910000000001</v>
      </c>
      <c r="K510">
        <v>1.1206969999999901</v>
      </c>
      <c r="L510">
        <v>368.00529999999998</v>
      </c>
      <c r="M510">
        <v>0.99987800000000004</v>
      </c>
      <c r="N510">
        <v>-9.6023219999999999E-3</v>
      </c>
      <c r="O510">
        <v>1.2315390000000001E-2</v>
      </c>
      <c r="P510">
        <v>0.97989479999999995</v>
      </c>
      <c r="Q510">
        <v>0.1895433</v>
      </c>
      <c r="R510">
        <v>-6.228757E-2</v>
      </c>
      <c r="S510">
        <v>3.0472410000000001</v>
      </c>
      <c r="T510">
        <v>1.5369890000000001E-2</v>
      </c>
      <c r="U510">
        <v>-0.174102799999999</v>
      </c>
      <c r="V510">
        <v>7.4359579999999995E-2</v>
      </c>
      <c r="W510">
        <v>0.19893250000000001</v>
      </c>
      <c r="X510">
        <v>0.9771881</v>
      </c>
      <c r="Y510">
        <v>6.9332589999999999E-2</v>
      </c>
      <c r="Z510" s="1">
        <v>2.1777670000000001E-5</v>
      </c>
      <c r="AA510">
        <v>0.99759359999999997</v>
      </c>
      <c r="AB510">
        <v>32</v>
      </c>
      <c r="AC510">
        <v>170.29409999999999</v>
      </c>
      <c r="AD510">
        <v>0.86052199999999901</v>
      </c>
      <c r="AE510">
        <v>-9.7525999999999708</v>
      </c>
      <c r="AF510">
        <v>11.848893823767201</v>
      </c>
      <c r="AG510">
        <v>0.86052199999999901</v>
      </c>
      <c r="AH510">
        <v>170.156740909771</v>
      </c>
      <c r="AI510">
        <v>89.710944423407597</v>
      </c>
      <c r="AJ510">
        <v>86.016628798209396</v>
      </c>
      <c r="AK510">
        <v>170.57096253464201</v>
      </c>
      <c r="AL510">
        <v>78.525458918765196</v>
      </c>
      <c r="AM510">
        <v>85.648437521686105</v>
      </c>
      <c r="AN510">
        <v>1.00000003473781</v>
      </c>
    </row>
    <row r="511" spans="1:40" x14ac:dyDescent="0.25">
      <c r="A511" t="str">
        <f>"20190303170727271"</f>
        <v>20190303170727271</v>
      </c>
      <c r="B511" t="str">
        <f>"1551604047262239"</f>
        <v>1551604047262239</v>
      </c>
      <c r="C511" t="s">
        <v>40</v>
      </c>
      <c r="D511">
        <v>4.4129079999999998</v>
      </c>
      <c r="E511">
        <v>0.50173380000000001</v>
      </c>
      <c r="F511" t="s">
        <v>44</v>
      </c>
      <c r="G511">
        <v>-158.19499999999999</v>
      </c>
      <c r="H511">
        <v>2.0786549999999999</v>
      </c>
      <c r="I511">
        <v>358.16930000000002</v>
      </c>
      <c r="J511">
        <v>-328.14490000000001</v>
      </c>
      <c r="K511">
        <v>1.1207</v>
      </c>
      <c r="L511">
        <v>368.00959999999998</v>
      </c>
      <c r="M511">
        <v>0.99987789999999999</v>
      </c>
      <c r="N511">
        <v>-9.6290349999999993E-3</v>
      </c>
      <c r="O511">
        <v>1.230904E-2</v>
      </c>
      <c r="P511">
        <v>0.97985339999999999</v>
      </c>
      <c r="Q511">
        <v>0.18962309999999999</v>
      </c>
      <c r="R511">
        <v>-6.269342E-2</v>
      </c>
      <c r="S511">
        <v>3.0470280000000001</v>
      </c>
      <c r="T511">
        <v>1.7142060000000001E-2</v>
      </c>
      <c r="U511">
        <v>-0.17599489999999901</v>
      </c>
      <c r="V511">
        <v>7.4759679999999995E-2</v>
      </c>
      <c r="W511">
        <v>0.19903770000000001</v>
      </c>
      <c r="X511">
        <v>0.97713609999999995</v>
      </c>
      <c r="Y511">
        <v>6.9947540000000002E-2</v>
      </c>
      <c r="Z511" s="1">
        <v>4.7153680000000001E-5</v>
      </c>
      <c r="AA511">
        <v>0.99755070000000001</v>
      </c>
      <c r="AB511">
        <v>32</v>
      </c>
      <c r="AC511">
        <v>169.94990000000001</v>
      </c>
      <c r="AD511">
        <v>0.957955</v>
      </c>
      <c r="AE511">
        <v>-9.8402999999999494</v>
      </c>
      <c r="AF511">
        <v>11.931193679712701</v>
      </c>
      <c r="AG511">
        <v>0.957955</v>
      </c>
      <c r="AH511">
        <v>169.81051605565301</v>
      </c>
      <c r="AI511">
        <v>89.677574622696199</v>
      </c>
      <c r="AJ511">
        <v>85.9809000481563</v>
      </c>
      <c r="AK511">
        <v>170.23184902800099</v>
      </c>
      <c r="AL511">
        <v>78.519307850960999</v>
      </c>
      <c r="AM511">
        <v>85.624882200985496</v>
      </c>
      <c r="AN511">
        <v>0.99999998684910096</v>
      </c>
    </row>
    <row r="512" spans="1:40" x14ac:dyDescent="0.25">
      <c r="A512" t="str">
        <f>"20190303170727292"</f>
        <v>20190303170727292</v>
      </c>
      <c r="B512" t="str">
        <f>"1551604047282736"</f>
        <v>1551604047282736</v>
      </c>
      <c r="C512" t="s">
        <v>40</v>
      </c>
      <c r="D512">
        <v>4.5317819999999998</v>
      </c>
      <c r="E512">
        <v>0.50179410000000002</v>
      </c>
      <c r="F512" t="s">
        <v>44</v>
      </c>
      <c r="G512">
        <v>-158.19499999999999</v>
      </c>
      <c r="H512">
        <v>2.1126550000000002</v>
      </c>
      <c r="I512">
        <v>358.13170000000002</v>
      </c>
      <c r="J512">
        <v>-327.83640000000003</v>
      </c>
      <c r="K512">
        <v>1.120698</v>
      </c>
      <c r="L512">
        <v>368.01339999999999</v>
      </c>
      <c r="M512">
        <v>0.99987780000000004</v>
      </c>
      <c r="N512">
        <v>-9.6545569999999994E-3</v>
      </c>
      <c r="O512">
        <v>1.2299289999999999E-2</v>
      </c>
      <c r="P512">
        <v>0.97987749999999996</v>
      </c>
      <c r="Q512">
        <v>0.18960350000000001</v>
      </c>
      <c r="R512">
        <v>-6.2373390000000001E-2</v>
      </c>
      <c r="S512">
        <v>3.046875</v>
      </c>
      <c r="T512">
        <v>1.7785430000000001E-2</v>
      </c>
      <c r="U512">
        <v>-0.17709349999999999</v>
      </c>
      <c r="V512">
        <v>7.4431739999999996E-2</v>
      </c>
      <c r="W512">
        <v>0.19904279999999999</v>
      </c>
      <c r="X512">
        <v>0.97716009999999998</v>
      </c>
      <c r="Y512">
        <v>7.0299130000000001E-2</v>
      </c>
      <c r="Z512" s="1">
        <v>5.5730979999999997E-5</v>
      </c>
      <c r="AA512">
        <v>0.99752589999999997</v>
      </c>
      <c r="AB512">
        <v>33</v>
      </c>
      <c r="AC512">
        <v>169.6414</v>
      </c>
      <c r="AD512">
        <v>0.99195699999999898</v>
      </c>
      <c r="AE512">
        <v>-9.8816999999999595</v>
      </c>
      <c r="AF512">
        <v>11.967110613420299</v>
      </c>
      <c r="AG512">
        <v>0.99195699999999898</v>
      </c>
      <c r="AH512">
        <v>169.50124777010501</v>
      </c>
      <c r="AI512">
        <v>89.665529409896706</v>
      </c>
      <c r="AJ512">
        <v>85.961510173985104</v>
      </c>
      <c r="AK512">
        <v>169.92606836723499</v>
      </c>
      <c r="AL512">
        <v>78.519009719953402</v>
      </c>
      <c r="AM512">
        <v>85.644106591700705</v>
      </c>
      <c r="AN512">
        <v>0.99999999059163802</v>
      </c>
    </row>
    <row r="513" spans="1:40" x14ac:dyDescent="0.25">
      <c r="A513" t="str">
        <f>"20190303170727315"</f>
        <v>20190303170727315</v>
      </c>
      <c r="B513" t="str">
        <f>"1551604047302255"</f>
        <v>1551604047302255</v>
      </c>
      <c r="C513" t="s">
        <v>40</v>
      </c>
      <c r="D513">
        <v>4.4732250000000002</v>
      </c>
      <c r="E513">
        <v>0.50181409999999904</v>
      </c>
      <c r="F513" t="s">
        <v>44</v>
      </c>
      <c r="G513">
        <v>-158.19499999999999</v>
      </c>
      <c r="H513">
        <v>2.1252270000000002</v>
      </c>
      <c r="I513">
        <v>358.1583</v>
      </c>
      <c r="J513">
        <v>-327.49979999999999</v>
      </c>
      <c r="K513">
        <v>1.120695</v>
      </c>
      <c r="L513">
        <v>368.01749999999998</v>
      </c>
      <c r="M513">
        <v>0.99987780000000004</v>
      </c>
      <c r="N513">
        <v>-9.6812089999999996E-3</v>
      </c>
      <c r="O513">
        <v>1.228403E-2</v>
      </c>
      <c r="P513">
        <v>0.97988770000000003</v>
      </c>
      <c r="Q513">
        <v>0.18959790000000001</v>
      </c>
      <c r="R513">
        <v>-6.22324E-2</v>
      </c>
      <c r="S513">
        <v>3.0468440000000001</v>
      </c>
      <c r="T513">
        <v>1.8043400000000001E-2</v>
      </c>
      <c r="U513">
        <v>-0.17700199999999999</v>
      </c>
      <c r="V513">
        <v>7.4277839999999998E-2</v>
      </c>
      <c r="W513">
        <v>0.1990624</v>
      </c>
      <c r="X513">
        <v>0.97716780000000003</v>
      </c>
      <c r="Y513">
        <v>7.0254609999999995E-2</v>
      </c>
      <c r="Z513" s="1">
        <v>5.8984499999999997E-5</v>
      </c>
      <c r="AA513">
        <v>0.99752909999999995</v>
      </c>
      <c r="AB513">
        <v>33</v>
      </c>
      <c r="AC513">
        <v>169.3048</v>
      </c>
      <c r="AD513">
        <v>1.004532</v>
      </c>
      <c r="AE513">
        <v>-9.85919999999998</v>
      </c>
      <c r="AF513">
        <v>11.9378796651516</v>
      </c>
      <c r="AG513">
        <v>1.004532</v>
      </c>
      <c r="AH513">
        <v>169.164973011282</v>
      </c>
      <c r="AI513">
        <v>89.660615373636006</v>
      </c>
      <c r="AJ513">
        <v>85.963360173233497</v>
      </c>
      <c r="AK513">
        <v>169.58864982464601</v>
      </c>
      <c r="AL513">
        <v>78.517863586326499</v>
      </c>
      <c r="AM513">
        <v>85.653112691112398</v>
      </c>
      <c r="AN513">
        <v>0.99999997298283205</v>
      </c>
    </row>
    <row r="514" spans="1:40" x14ac:dyDescent="0.25">
      <c r="A514" t="str">
        <f>"20190303170727337"</f>
        <v>20190303170727337</v>
      </c>
      <c r="B514" t="str">
        <f>"1551604047322751"</f>
        <v>1551604047322751</v>
      </c>
      <c r="C514" t="s">
        <v>40</v>
      </c>
      <c r="D514">
        <v>4.5324159999999996</v>
      </c>
      <c r="E514">
        <v>0.5018688</v>
      </c>
      <c r="F514" t="s">
        <v>44</v>
      </c>
      <c r="G514">
        <v>-158.19499999999999</v>
      </c>
      <c r="H514">
        <v>2.138207</v>
      </c>
      <c r="I514">
        <v>358.21929999999998</v>
      </c>
      <c r="J514">
        <v>-327.18200000000002</v>
      </c>
      <c r="K514">
        <v>1.120689</v>
      </c>
      <c r="L514">
        <v>368.02140000000003</v>
      </c>
      <c r="M514">
        <v>0.99987780000000004</v>
      </c>
      <c r="N514">
        <v>-9.704463E-3</v>
      </c>
      <c r="O514">
        <v>1.22609E-2</v>
      </c>
      <c r="P514">
        <v>0.97987840000000004</v>
      </c>
      <c r="Q514">
        <v>0.1894845</v>
      </c>
      <c r="R514">
        <v>-6.2723089999999995E-2</v>
      </c>
      <c r="S514">
        <v>3.0468440000000001</v>
      </c>
      <c r="T514">
        <v>1.8312930000000002E-2</v>
      </c>
      <c r="U514">
        <v>-0.1763306</v>
      </c>
      <c r="V514">
        <v>7.4748439999999999E-2</v>
      </c>
      <c r="W514">
        <v>0.19897090000000001</v>
      </c>
      <c r="X514">
        <v>0.97715059999999998</v>
      </c>
      <c r="Y514">
        <v>7.0012439999999995E-2</v>
      </c>
      <c r="Z514" s="1">
        <v>6.2733359999999995E-5</v>
      </c>
      <c r="AA514">
        <v>0.99754609999999999</v>
      </c>
      <c r="AB514">
        <v>33</v>
      </c>
      <c r="AC514">
        <v>168.98699999999999</v>
      </c>
      <c r="AD514">
        <v>1.0175179999999999</v>
      </c>
      <c r="AE514">
        <v>-9.8021000000000509</v>
      </c>
      <c r="AF514">
        <v>11.8729642627206</v>
      </c>
      <c r="AG514">
        <v>1.0175179999999999</v>
      </c>
      <c r="AH514">
        <v>168.84800703441499</v>
      </c>
      <c r="AI514">
        <v>89.655576707445206</v>
      </c>
      <c r="AJ514">
        <v>85.977726601192799</v>
      </c>
      <c r="AK514">
        <v>169.26798900783999</v>
      </c>
      <c r="AL514">
        <v>78.523213729417094</v>
      </c>
      <c r="AM514">
        <v>85.625602100566397</v>
      </c>
      <c r="AN514">
        <v>1.0000000217048</v>
      </c>
    </row>
    <row r="515" spans="1:40" x14ac:dyDescent="0.25">
      <c r="A515" t="str">
        <f>"20190303170727360"</f>
        <v>20190303170727360</v>
      </c>
      <c r="B515" t="str">
        <f>"1551604047353008"</f>
        <v>1551604047353008</v>
      </c>
      <c r="C515" t="s">
        <v>40</v>
      </c>
      <c r="D515">
        <v>4.5272589999999999</v>
      </c>
      <c r="E515">
        <v>0.50196090000000004</v>
      </c>
      <c r="F515" t="s">
        <v>44</v>
      </c>
      <c r="G515">
        <v>-158.19499999999999</v>
      </c>
      <c r="H515">
        <v>2.111577</v>
      </c>
      <c r="I515">
        <v>358.13310000000001</v>
      </c>
      <c r="J515">
        <v>-326.839</v>
      </c>
      <c r="K515">
        <v>1.1206750000000001</v>
      </c>
      <c r="L515">
        <v>368.0256</v>
      </c>
      <c r="M515">
        <v>0.99987800000000004</v>
      </c>
      <c r="N515">
        <v>-9.7277949999999992E-3</v>
      </c>
      <c r="O515">
        <v>1.221744E-2</v>
      </c>
      <c r="P515">
        <v>0.97988500000000001</v>
      </c>
      <c r="Q515">
        <v>0.1895897</v>
      </c>
      <c r="R515">
        <v>-6.2298979999999997E-2</v>
      </c>
      <c r="S515">
        <v>3.046783</v>
      </c>
      <c r="T515">
        <v>1.7866969999999999E-2</v>
      </c>
      <c r="U515">
        <v>-0.17828369999999999</v>
      </c>
      <c r="V515">
        <v>7.4287439999999996E-2</v>
      </c>
      <c r="W515">
        <v>0.199097</v>
      </c>
      <c r="X515">
        <v>0.97716000000000003</v>
      </c>
      <c r="Y515">
        <v>7.0607580000000003E-2</v>
      </c>
      <c r="Z515" s="1">
        <v>5.3450060000000002E-5</v>
      </c>
      <c r="AA515">
        <v>0.99750419999999995</v>
      </c>
      <c r="AB515">
        <v>33</v>
      </c>
      <c r="AC515">
        <v>168.64400000000001</v>
      </c>
      <c r="AD515">
        <v>0.99090199999999995</v>
      </c>
      <c r="AE515">
        <v>-9.8924999999999805</v>
      </c>
      <c r="AF515">
        <v>11.9518459251431</v>
      </c>
      <c r="AG515">
        <v>0.99090199999999995</v>
      </c>
      <c r="AH515">
        <v>168.50474770470601</v>
      </c>
      <c r="AI515">
        <v>89.663917029329994</v>
      </c>
      <c r="AJ515">
        <v>85.942871511666894</v>
      </c>
      <c r="AK515">
        <v>168.93098740852301</v>
      </c>
      <c r="AL515">
        <v>78.5158404201146</v>
      </c>
      <c r="AM515">
        <v>85.652518464065096</v>
      </c>
      <c r="AN515">
        <v>0.99999995237537498</v>
      </c>
    </row>
    <row r="516" spans="1:40" x14ac:dyDescent="0.25">
      <c r="A516" t="str">
        <f>"20190303170727382"</f>
        <v>20190303170727382</v>
      </c>
      <c r="B516" t="str">
        <f>"1551604047372527"</f>
        <v>1551604047372527</v>
      </c>
      <c r="C516" t="s">
        <v>40</v>
      </c>
      <c r="D516">
        <v>4.390371</v>
      </c>
      <c r="E516">
        <v>0.50203390000000003</v>
      </c>
      <c r="F516" t="s">
        <v>44</v>
      </c>
      <c r="G516">
        <v>-158.19499999999999</v>
      </c>
      <c r="H516">
        <v>2.1160040000000002</v>
      </c>
      <c r="I516">
        <v>358.18619999999999</v>
      </c>
      <c r="J516">
        <v>-326.51749999999998</v>
      </c>
      <c r="K516">
        <v>1.120663</v>
      </c>
      <c r="L516">
        <v>368.02940000000001</v>
      </c>
      <c r="M516">
        <v>0.99987870000000001</v>
      </c>
      <c r="N516">
        <v>-9.748006E-3</v>
      </c>
      <c r="O516">
        <v>1.2150609999999999E-2</v>
      </c>
      <c r="P516">
        <v>0.97998169999999996</v>
      </c>
      <c r="Q516">
        <v>0.18949940000000001</v>
      </c>
      <c r="R516">
        <v>-6.1039259999999998E-2</v>
      </c>
      <c r="S516">
        <v>3.0468440000000001</v>
      </c>
      <c r="T516">
        <v>1.7983909999999999E-2</v>
      </c>
      <c r="U516">
        <v>-0.177764899999999</v>
      </c>
      <c r="V516">
        <v>7.2972159999999994E-2</v>
      </c>
      <c r="W516">
        <v>0.1990246</v>
      </c>
      <c r="X516">
        <v>0.97727390000000003</v>
      </c>
      <c r="Y516">
        <v>7.0370470000000004E-2</v>
      </c>
      <c r="Z516" s="1">
        <v>5.4215660000000001E-5</v>
      </c>
      <c r="AA516">
        <v>0.99752090000000004</v>
      </c>
      <c r="AB516">
        <v>33</v>
      </c>
      <c r="AC516">
        <v>168.32249999999999</v>
      </c>
      <c r="AD516">
        <v>0.99534100000000003</v>
      </c>
      <c r="AE516">
        <v>-9.8432000000000208</v>
      </c>
      <c r="AF516">
        <v>11.8873771954243</v>
      </c>
      <c r="AG516">
        <v>0.99534100000000003</v>
      </c>
      <c r="AH516">
        <v>168.18460557392899</v>
      </c>
      <c r="AI516">
        <v>89.661762987026606</v>
      </c>
      <c r="AJ516">
        <v>85.957027488415903</v>
      </c>
      <c r="AK516">
        <v>168.60712319576101</v>
      </c>
      <c r="AL516">
        <v>78.520073920294905</v>
      </c>
      <c r="AM516">
        <v>85.729700410031498</v>
      </c>
      <c r="AN516">
        <v>1.00000000158071</v>
      </c>
    </row>
    <row r="517" spans="1:40" x14ac:dyDescent="0.25">
      <c r="A517" t="str">
        <f>"20190303170727403"</f>
        <v>20190303170727403</v>
      </c>
      <c r="B517" t="str">
        <f>"1551604047393023"</f>
        <v>1551604047393023</v>
      </c>
      <c r="C517" t="s">
        <v>40</v>
      </c>
      <c r="D517">
        <v>4.5846450000000001</v>
      </c>
      <c r="E517">
        <v>0.50207829999999998</v>
      </c>
      <c r="F517" t="s">
        <v>44</v>
      </c>
      <c r="G517">
        <v>-158.19499999999999</v>
      </c>
      <c r="H517">
        <v>2.085569</v>
      </c>
      <c r="I517">
        <v>358.34089999999998</v>
      </c>
      <c r="J517">
        <v>-326.20280000000002</v>
      </c>
      <c r="K517">
        <v>1.120635</v>
      </c>
      <c r="L517">
        <v>368.03320000000002</v>
      </c>
      <c r="M517">
        <v>0.99987979999999999</v>
      </c>
      <c r="N517">
        <v>-9.7662589999999994E-3</v>
      </c>
      <c r="O517">
        <v>1.2050190000000001E-2</v>
      </c>
      <c r="P517">
        <v>0.98019449999999997</v>
      </c>
      <c r="Q517">
        <v>0.18876499999999999</v>
      </c>
      <c r="R517">
        <v>-5.9887889999999999E-2</v>
      </c>
      <c r="S517">
        <v>3.0469970000000002</v>
      </c>
      <c r="T517">
        <v>1.746845E-2</v>
      </c>
      <c r="U517">
        <v>-0.1753845</v>
      </c>
      <c r="V517">
        <v>7.1737419999999996E-2</v>
      </c>
      <c r="W517">
        <v>0.19830629999999999</v>
      </c>
      <c r="X517">
        <v>0.97751129999999997</v>
      </c>
      <c r="Y517">
        <v>6.9490730000000001E-2</v>
      </c>
      <c r="Z517" s="1">
        <v>4.6021069999999997E-5</v>
      </c>
      <c r="AA517">
        <v>0.99758259999999999</v>
      </c>
      <c r="AB517">
        <v>33</v>
      </c>
      <c r="AC517">
        <v>168.0078</v>
      </c>
      <c r="AD517">
        <v>0.96493399999999996</v>
      </c>
      <c r="AE517">
        <v>-9.6923000000000403</v>
      </c>
      <c r="AF517">
        <v>11.7158332936864</v>
      </c>
      <c r="AG517">
        <v>0.96493399999999996</v>
      </c>
      <c r="AH517">
        <v>167.873281635128</v>
      </c>
      <c r="AI517">
        <v>89.6714671282231</v>
      </c>
      <c r="AJ517">
        <v>86.007815293761894</v>
      </c>
      <c r="AK517">
        <v>168.28437400524399</v>
      </c>
      <c r="AL517">
        <v>78.562066412762604</v>
      </c>
      <c r="AM517">
        <v>85.802712261035296</v>
      </c>
      <c r="AN517">
        <v>0.99999999383781801</v>
      </c>
    </row>
    <row r="518" spans="1:40" x14ac:dyDescent="0.25">
      <c r="A518" t="str">
        <f>"20190303170727426"</f>
        <v>20190303170727426</v>
      </c>
      <c r="B518" t="str">
        <f>"1551604047412543"</f>
        <v>1551604047412543</v>
      </c>
      <c r="C518" t="s">
        <v>40</v>
      </c>
      <c r="D518">
        <v>4.4712170000000002</v>
      </c>
      <c r="E518">
        <v>0.50213869999999905</v>
      </c>
      <c r="F518" t="s">
        <v>44</v>
      </c>
      <c r="G518">
        <v>-158.19499999999999</v>
      </c>
      <c r="H518">
        <v>1.9500900000000001</v>
      </c>
      <c r="I518">
        <v>358.53660000000002</v>
      </c>
      <c r="J518">
        <v>-325.87869999999998</v>
      </c>
      <c r="K518">
        <v>1.1205959999999999</v>
      </c>
      <c r="L518">
        <v>368.0369</v>
      </c>
      <c r="M518">
        <v>0.99988140000000003</v>
      </c>
      <c r="N518">
        <v>-9.7835530000000004E-3</v>
      </c>
      <c r="O518">
        <v>1.1900549999999999E-2</v>
      </c>
      <c r="P518">
        <v>0.98028689999999996</v>
      </c>
      <c r="Q518">
        <v>0.18834670000000001</v>
      </c>
      <c r="R518">
        <v>-5.9694219999999999E-2</v>
      </c>
      <c r="S518">
        <v>3.04718</v>
      </c>
      <c r="T518">
        <v>1.504552E-2</v>
      </c>
      <c r="U518">
        <v>-0.17224120000000001</v>
      </c>
      <c r="V518">
        <v>7.1415199999999998E-2</v>
      </c>
      <c r="W518">
        <v>0.19789970000000001</v>
      </c>
      <c r="X518">
        <v>0.97761730000000002</v>
      </c>
      <c r="Y518">
        <v>6.8312399999999995E-2</v>
      </c>
      <c r="Z518" s="1">
        <v>9.1157270000000003E-6</v>
      </c>
      <c r="AA518">
        <v>0.997664</v>
      </c>
      <c r="AB518">
        <v>33</v>
      </c>
      <c r="AC518">
        <v>167.68369999999999</v>
      </c>
      <c r="AD518">
        <v>0.82949399999999995</v>
      </c>
      <c r="AE518">
        <v>-9.5002999999999798</v>
      </c>
      <c r="AF518">
        <v>11.4949704040872</v>
      </c>
      <c r="AG518">
        <v>0.82949399999999995</v>
      </c>
      <c r="AH518">
        <v>167.55467325904499</v>
      </c>
      <c r="AI518">
        <v>89.717019709415993</v>
      </c>
      <c r="AJ518">
        <v>86.0754127607931</v>
      </c>
      <c r="AK518">
        <v>167.95056098695301</v>
      </c>
      <c r="AL518">
        <v>78.585834033891402</v>
      </c>
      <c r="AM518">
        <v>85.821949576674101</v>
      </c>
      <c r="AN518">
        <v>1.0000000036552099</v>
      </c>
    </row>
    <row r="519" spans="1:40" x14ac:dyDescent="0.25">
      <c r="A519" t="str">
        <f>"20190303170727448"</f>
        <v>20190303170727448</v>
      </c>
      <c r="B519" t="str">
        <f>"1551604047442800"</f>
        <v>1551604047442800</v>
      </c>
      <c r="C519" t="s">
        <v>40</v>
      </c>
      <c r="D519">
        <v>4.3635129999999904</v>
      </c>
      <c r="E519">
        <v>0.50224099999999905</v>
      </c>
      <c r="F519" t="s">
        <v>44</v>
      </c>
      <c r="G519">
        <v>-158.19499999999999</v>
      </c>
      <c r="H519">
        <v>1.878941</v>
      </c>
      <c r="I519">
        <v>358.55700000000002</v>
      </c>
      <c r="J519">
        <v>-325.54910000000001</v>
      </c>
      <c r="K519">
        <v>1.120552</v>
      </c>
      <c r="L519">
        <v>368.04070000000002</v>
      </c>
      <c r="M519">
        <v>0.99988359999999998</v>
      </c>
      <c r="N519">
        <v>-9.7997090000000002E-3</v>
      </c>
      <c r="O519">
        <v>1.1692920000000001E-2</v>
      </c>
      <c r="P519">
        <v>0.98039540000000003</v>
      </c>
      <c r="Q519">
        <v>0.18788959999999999</v>
      </c>
      <c r="R519">
        <v>-5.9347230000000001E-2</v>
      </c>
      <c r="S519">
        <v>3.04718</v>
      </c>
      <c r="T519">
        <v>1.378238E-2</v>
      </c>
      <c r="U519">
        <v>-0.1722717</v>
      </c>
      <c r="V519">
        <v>7.0887179999999994E-2</v>
      </c>
      <c r="W519">
        <v>0.19745190000000001</v>
      </c>
      <c r="X519">
        <v>0.97774620000000001</v>
      </c>
      <c r="Y519">
        <v>6.811528E-2</v>
      </c>
      <c r="Z519" s="1">
        <v>-1.2771080000000001E-5</v>
      </c>
      <c r="AA519">
        <v>0.99767740000000005</v>
      </c>
      <c r="AB519">
        <v>33</v>
      </c>
      <c r="AC519">
        <v>167.35409999999999</v>
      </c>
      <c r="AD519">
        <v>0.75838899999999998</v>
      </c>
      <c r="AE519">
        <v>-9.4837000000000504</v>
      </c>
      <c r="AF519">
        <v>11.4397695160624</v>
      </c>
      <c r="AG519">
        <v>0.75838899999999998</v>
      </c>
      <c r="AH519">
        <v>167.22833717252601</v>
      </c>
      <c r="AI519">
        <v>89.740768354492999</v>
      </c>
      <c r="AJ519">
        <v>86.086602579147495</v>
      </c>
      <c r="AK519">
        <v>167.62088245187101</v>
      </c>
      <c r="AL519">
        <v>78.612006800799094</v>
      </c>
      <c r="AM519">
        <v>85.853277334691199</v>
      </c>
      <c r="AN519">
        <v>0.999999938358199</v>
      </c>
    </row>
    <row r="520" spans="1:40" x14ac:dyDescent="0.25">
      <c r="A520" t="str">
        <f>"20190303170727471"</f>
        <v>20190303170727471</v>
      </c>
      <c r="B520" t="str">
        <f>"1551604047462319"</f>
        <v>1551604047462319</v>
      </c>
      <c r="C520" t="s">
        <v>40</v>
      </c>
      <c r="D520">
        <v>4.5308570000000001</v>
      </c>
      <c r="E520">
        <v>0.5023299</v>
      </c>
      <c r="F520" t="s">
        <v>44</v>
      </c>
      <c r="G520">
        <v>-158.19499999999999</v>
      </c>
      <c r="H520">
        <v>1.78637599999999</v>
      </c>
      <c r="I520">
        <v>358.6148</v>
      </c>
      <c r="J520">
        <v>-325.21440000000001</v>
      </c>
      <c r="K520">
        <v>1.1204959999999999</v>
      </c>
      <c r="L520">
        <v>368.04430000000002</v>
      </c>
      <c r="M520">
        <v>0.99988679999999996</v>
      </c>
      <c r="N520">
        <v>-9.8148100000000002E-3</v>
      </c>
      <c r="O520">
        <v>1.1413990000000001E-2</v>
      </c>
      <c r="P520">
        <v>0.98044799999999999</v>
      </c>
      <c r="Q520">
        <v>0.1876205</v>
      </c>
      <c r="R520">
        <v>-5.9332349999999999E-2</v>
      </c>
      <c r="S520">
        <v>3.0472410000000001</v>
      </c>
      <c r="T520">
        <v>1.212513E-2</v>
      </c>
      <c r="U520">
        <v>-0.1716309</v>
      </c>
      <c r="V520">
        <v>7.06233E-2</v>
      </c>
      <c r="W520">
        <v>0.19719010000000001</v>
      </c>
      <c r="X520">
        <v>0.97781819999999997</v>
      </c>
      <c r="Y520">
        <v>6.7626740000000005E-2</v>
      </c>
      <c r="Z520" s="1">
        <v>-4.0387560000000003E-5</v>
      </c>
      <c r="AA520">
        <v>0.99771069999999995</v>
      </c>
      <c r="AB520">
        <v>33</v>
      </c>
      <c r="AC520">
        <v>167.01939999999999</v>
      </c>
      <c r="AD520">
        <v>0.66587999999999903</v>
      </c>
      <c r="AE520">
        <v>-9.4295000000000098</v>
      </c>
      <c r="AF520">
        <v>11.3351554645617</v>
      </c>
      <c r="AG520">
        <v>0.66587999999999903</v>
      </c>
      <c r="AH520">
        <v>166.89824123079001</v>
      </c>
      <c r="AI520">
        <v>89.771931542133999</v>
      </c>
      <c r="AJ520">
        <v>86.114634019314394</v>
      </c>
      <c r="AK520">
        <v>167.28404607586199</v>
      </c>
      <c r="AL520">
        <v>78.627308484063505</v>
      </c>
      <c r="AM520">
        <v>85.868963257473297</v>
      </c>
      <c r="AN520">
        <v>1.0000000091460699</v>
      </c>
    </row>
    <row r="521" spans="1:40" x14ac:dyDescent="0.25">
      <c r="A521" t="str">
        <f>"20190303170727492"</f>
        <v>20190303170727492</v>
      </c>
      <c r="B521" t="str">
        <f>"1551604047482816"</f>
        <v>1551604047482816</v>
      </c>
      <c r="C521" t="s">
        <v>40</v>
      </c>
      <c r="D521">
        <v>4.473649</v>
      </c>
      <c r="E521">
        <v>0.50241239999999998</v>
      </c>
      <c r="F521" t="s">
        <v>44</v>
      </c>
      <c r="G521">
        <v>-158.19499999999999</v>
      </c>
      <c r="H521">
        <v>1.7273909999999999</v>
      </c>
      <c r="I521">
        <v>358.54840000000002</v>
      </c>
      <c r="J521">
        <v>-324.90069999999997</v>
      </c>
      <c r="K521">
        <v>1.1204510000000001</v>
      </c>
      <c r="L521">
        <v>368.04759999999999</v>
      </c>
      <c r="M521">
        <v>0.9998901</v>
      </c>
      <c r="N521">
        <v>-9.8276690000000007E-3</v>
      </c>
      <c r="O521">
        <v>1.109535E-2</v>
      </c>
      <c r="P521">
        <v>0.98047169999999895</v>
      </c>
      <c r="Q521">
        <v>0.18738340000000001</v>
      </c>
      <c r="R521">
        <v>-5.9689279999999997E-2</v>
      </c>
      <c r="S521">
        <v>3.04718</v>
      </c>
      <c r="T521">
        <v>1.107407E-2</v>
      </c>
      <c r="U521">
        <v>-0.17324829999999999</v>
      </c>
      <c r="V521">
        <v>7.0690500000000003E-2</v>
      </c>
      <c r="W521">
        <v>0.1969582</v>
      </c>
      <c r="X521">
        <v>0.97786010000000001</v>
      </c>
      <c r="Y521">
        <v>6.7837869999999995E-2</v>
      </c>
      <c r="Z521" s="1">
        <v>-6.1210360000000003E-5</v>
      </c>
      <c r="AA521">
        <v>0.99769629999999998</v>
      </c>
      <c r="AB521">
        <v>33</v>
      </c>
      <c r="AC521">
        <v>166.70569999999901</v>
      </c>
      <c r="AD521">
        <v>0.60693999999999904</v>
      </c>
      <c r="AE521">
        <v>-9.4991999999999699</v>
      </c>
      <c r="AF521">
        <v>11.3482127884477</v>
      </c>
      <c r="AG521">
        <v>0.60693999999999904</v>
      </c>
      <c r="AH521">
        <v>166.58783431545001</v>
      </c>
      <c r="AI521">
        <v>89.791734252952494</v>
      </c>
      <c r="AJ521">
        <v>86.102946382871707</v>
      </c>
      <c r="AK521">
        <v>166.975018645208</v>
      </c>
      <c r="AL521">
        <v>78.640861370865295</v>
      </c>
      <c r="AM521">
        <v>85.865222653709097</v>
      </c>
      <c r="AN521">
        <v>1.00000002725474</v>
      </c>
    </row>
    <row r="522" spans="1:40" x14ac:dyDescent="0.25">
      <c r="A522" t="str">
        <f>"20190303170727515"</f>
        <v>20190303170727515</v>
      </c>
      <c r="B522" t="str">
        <f>"1551604047502335"</f>
        <v>1551604047502335</v>
      </c>
      <c r="C522" t="s">
        <v>40</v>
      </c>
      <c r="D522">
        <v>4.531682</v>
      </c>
      <c r="E522">
        <v>0.50248099999999996</v>
      </c>
      <c r="F522" t="s">
        <v>44</v>
      </c>
      <c r="G522">
        <v>-158.19499999999999</v>
      </c>
      <c r="H522">
        <v>1.679325</v>
      </c>
      <c r="I522">
        <v>358.44240000000002</v>
      </c>
      <c r="J522">
        <v>-324.55880000000002</v>
      </c>
      <c r="K522">
        <v>1.1204069999999999</v>
      </c>
      <c r="L522">
        <v>368.05110000000002</v>
      </c>
      <c r="M522">
        <v>0.99989459999999997</v>
      </c>
      <c r="N522">
        <v>-9.8405119999999992E-3</v>
      </c>
      <c r="O522">
        <v>1.0696010000000001E-2</v>
      </c>
      <c r="P522">
        <v>0.98039120000000002</v>
      </c>
      <c r="Q522">
        <v>0.1876138</v>
      </c>
      <c r="R522">
        <v>-6.0288179999999997E-2</v>
      </c>
      <c r="S522">
        <v>3.0471189999999999</v>
      </c>
      <c r="T522">
        <v>1.0216950000000001E-2</v>
      </c>
      <c r="U522">
        <v>-0.17556759999999999</v>
      </c>
      <c r="V522">
        <v>7.0919220000000005E-2</v>
      </c>
      <c r="W522">
        <v>0.19719200000000001</v>
      </c>
      <c r="X522">
        <v>0.97779640000000001</v>
      </c>
      <c r="Y522">
        <v>6.8197519999999998E-2</v>
      </c>
      <c r="Z522" s="1">
        <v>-8.0598109999999997E-5</v>
      </c>
      <c r="AA522">
        <v>0.9976718</v>
      </c>
      <c r="AB522">
        <v>33</v>
      </c>
      <c r="AC522">
        <v>166.3638</v>
      </c>
      <c r="AD522">
        <v>0.55891800000000003</v>
      </c>
      <c r="AE522">
        <v>-9.6087000000000007</v>
      </c>
      <c r="AF522">
        <v>11.387536816726699</v>
      </c>
      <c r="AG522">
        <v>0.55891800000000003</v>
      </c>
      <c r="AH522">
        <v>166.24963249059701</v>
      </c>
      <c r="AI522">
        <v>89.807827172358301</v>
      </c>
      <c r="AJ522">
        <v>86.081553659265793</v>
      </c>
      <c r="AK522">
        <v>166.640117280749</v>
      </c>
      <c r="AL522">
        <v>78.627197454397802</v>
      </c>
      <c r="AM522">
        <v>85.851621862081203</v>
      </c>
      <c r="AN522">
        <v>1.0000000102411799</v>
      </c>
    </row>
    <row r="523" spans="1:40" x14ac:dyDescent="0.25">
      <c r="A523" t="str">
        <f>"20190303170727539"</f>
        <v>20190303170727539</v>
      </c>
      <c r="B523" t="str">
        <f>"1551604047532592"</f>
        <v>1551604047532592</v>
      </c>
      <c r="C523" t="s">
        <v>40</v>
      </c>
      <c r="D523">
        <v>4.5357589999999997</v>
      </c>
      <c r="E523">
        <v>0.50258259999999999</v>
      </c>
      <c r="F523" t="s">
        <v>44</v>
      </c>
      <c r="G523">
        <v>-158.19499999999999</v>
      </c>
      <c r="H523">
        <v>1.7095560000000001</v>
      </c>
      <c r="I523">
        <v>358.31020000000001</v>
      </c>
      <c r="J523">
        <v>-324.21210000000002</v>
      </c>
      <c r="K523">
        <v>1.120366</v>
      </c>
      <c r="L523">
        <v>368.05430000000001</v>
      </c>
      <c r="M523">
        <v>0.99989910000000004</v>
      </c>
      <c r="N523">
        <v>-9.852385E-3</v>
      </c>
      <c r="O523">
        <v>1.0241490000000001E-2</v>
      </c>
      <c r="P523">
        <v>0.98019999999999996</v>
      </c>
      <c r="Q523">
        <v>0.18822639999999999</v>
      </c>
      <c r="R523">
        <v>-6.147801E-2</v>
      </c>
      <c r="S523">
        <v>3.046967</v>
      </c>
      <c r="T523">
        <v>1.07919E-2</v>
      </c>
      <c r="U523">
        <v>-0.1784058</v>
      </c>
      <c r="V523">
        <v>7.168107E-2</v>
      </c>
      <c r="W523">
        <v>0.19780719999999999</v>
      </c>
      <c r="X523">
        <v>0.9776165</v>
      </c>
      <c r="Y523">
        <v>6.8673079999999997E-2</v>
      </c>
      <c r="Z523" s="1">
        <v>-8.0025459999999999E-5</v>
      </c>
      <c r="AA523">
        <v>0.99763919999999995</v>
      </c>
      <c r="AB523">
        <v>33</v>
      </c>
      <c r="AC523">
        <v>166.0171</v>
      </c>
      <c r="AD523">
        <v>0.58918999999999999</v>
      </c>
      <c r="AE523">
        <v>-9.7440999999999995</v>
      </c>
      <c r="AF523">
        <v>11.4437901295522</v>
      </c>
      <c r="AG523">
        <v>0.58918999999999999</v>
      </c>
      <c r="AH523">
        <v>165.90651092723999</v>
      </c>
      <c r="AI523">
        <v>89.797006541307297</v>
      </c>
      <c r="AJ523">
        <v>86.054139474942602</v>
      </c>
      <c r="AK523">
        <v>166.301767415249</v>
      </c>
      <c r="AL523">
        <v>78.591240070372805</v>
      </c>
      <c r="AM523">
        <v>85.806447177352496</v>
      </c>
      <c r="AN523">
        <v>0.99999994262021497</v>
      </c>
    </row>
    <row r="524" spans="1:40" x14ac:dyDescent="0.25">
      <c r="A524" t="str">
        <f>"20190303170727560"</f>
        <v>20190303170727560</v>
      </c>
      <c r="B524" t="str">
        <f>"1551604047553088"</f>
        <v>1551604047553088</v>
      </c>
      <c r="C524" t="s">
        <v>40</v>
      </c>
      <c r="D524">
        <v>4.533639</v>
      </c>
      <c r="E524">
        <v>0.50265539999999997</v>
      </c>
      <c r="F524" t="s">
        <v>44</v>
      </c>
      <c r="G524">
        <v>-158.19499999999999</v>
      </c>
      <c r="H524">
        <v>1.7868459999999999</v>
      </c>
      <c r="I524">
        <v>358.15879999999999</v>
      </c>
      <c r="J524">
        <v>-323.89229999999998</v>
      </c>
      <c r="K524">
        <v>1.1203369999999999</v>
      </c>
      <c r="L524">
        <v>368.05709999999999</v>
      </c>
      <c r="M524">
        <v>0.9999036</v>
      </c>
      <c r="N524">
        <v>-9.8625910000000004E-3</v>
      </c>
      <c r="O524">
        <v>9.7840979999999998E-3</v>
      </c>
      <c r="P524">
        <v>0.98020560000000001</v>
      </c>
      <c r="Q524">
        <v>0.1879141</v>
      </c>
      <c r="R524">
        <v>-6.2335920000000003E-2</v>
      </c>
      <c r="S524">
        <v>3.046875</v>
      </c>
      <c r="T524">
        <v>1.223338E-2</v>
      </c>
      <c r="U524">
        <v>-0.1816101</v>
      </c>
      <c r="V524">
        <v>7.2106630000000005E-2</v>
      </c>
      <c r="W524">
        <v>0.19749910000000001</v>
      </c>
      <c r="X524">
        <v>0.9776475</v>
      </c>
      <c r="Y524">
        <v>6.9264030000000004E-2</v>
      </c>
      <c r="Z524" s="1">
        <v>-6.7287649999999999E-5</v>
      </c>
      <c r="AA524">
        <v>0.9975984</v>
      </c>
      <c r="AB524">
        <v>33</v>
      </c>
      <c r="AC524">
        <v>165.69729999999899</v>
      </c>
      <c r="AD524">
        <v>0.66650899999999902</v>
      </c>
      <c r="AE524">
        <v>-9.8983000000000008</v>
      </c>
      <c r="AF524">
        <v>11.5189177588604</v>
      </c>
      <c r="AG524">
        <v>0.66650899999999902</v>
      </c>
      <c r="AH524">
        <v>165.58984768649401</v>
      </c>
      <c r="AI524">
        <v>89.769938277140298</v>
      </c>
      <c r="AJ524">
        <v>86.020747018295395</v>
      </c>
      <c r="AK524">
        <v>165.99134723659199</v>
      </c>
      <c r="AL524">
        <v>78.609248219950999</v>
      </c>
      <c r="AM524">
        <v>85.781773552502898</v>
      </c>
      <c r="AN524">
        <v>0.99999994742350695</v>
      </c>
    </row>
    <row r="525" spans="1:40" x14ac:dyDescent="0.25">
      <c r="A525" t="str">
        <f>"20190303170727582"</f>
        <v>20190303170727582</v>
      </c>
      <c r="B525" t="str">
        <f>"1551604047572623"</f>
        <v>1551604047572623</v>
      </c>
      <c r="C525" t="s">
        <v>40</v>
      </c>
      <c r="D525">
        <v>4.5384599999999997</v>
      </c>
      <c r="E525">
        <v>0.50272109999999903</v>
      </c>
      <c r="F525" t="s">
        <v>44</v>
      </c>
      <c r="G525">
        <v>-158.19499999999999</v>
      </c>
      <c r="H525">
        <v>1.7170209999999999</v>
      </c>
      <c r="I525">
        <v>358.05259999999998</v>
      </c>
      <c r="J525">
        <v>-323.57220000000001</v>
      </c>
      <c r="K525">
        <v>1.1203069999999999</v>
      </c>
      <c r="L525">
        <v>368.0598</v>
      </c>
      <c r="M525">
        <v>0.99990800000000002</v>
      </c>
      <c r="N525">
        <v>-9.8721290000000003E-3</v>
      </c>
      <c r="O525">
        <v>9.3002929999999994E-3</v>
      </c>
      <c r="P525">
        <v>0.98020830000000003</v>
      </c>
      <c r="Q525">
        <v>0.187421</v>
      </c>
      <c r="R525">
        <v>-6.3760919999999999E-2</v>
      </c>
      <c r="S525">
        <v>3.046783</v>
      </c>
      <c r="T525">
        <v>1.0973220000000001E-2</v>
      </c>
      <c r="U525">
        <v>-0.18396000000000001</v>
      </c>
      <c r="V525">
        <v>7.3070479999999993E-2</v>
      </c>
      <c r="W525">
        <v>0.19700970000000001</v>
      </c>
      <c r="X525">
        <v>0.97767470000000001</v>
      </c>
      <c r="Y525">
        <v>6.9549840000000002E-2</v>
      </c>
      <c r="Z525" s="1">
        <v>-9.3298210000000001E-5</v>
      </c>
      <c r="AA525">
        <v>0.99757850000000003</v>
      </c>
      <c r="AB525">
        <v>33</v>
      </c>
      <c r="AC525">
        <v>165.37719999999999</v>
      </c>
      <c r="AD525">
        <v>0.59671399999999997</v>
      </c>
      <c r="AE525">
        <v>-10.007199999999999</v>
      </c>
      <c r="AF525">
        <v>11.5447488040765</v>
      </c>
      <c r="AG525">
        <v>0.59671399999999997</v>
      </c>
      <c r="AH525">
        <v>165.27482865031499</v>
      </c>
      <c r="AI525">
        <v>89.793641044483394</v>
      </c>
      <c r="AJ525">
        <v>86.004275414662501</v>
      </c>
      <c r="AK525">
        <v>165.678623479126</v>
      </c>
      <c r="AL525">
        <v>78.637850985890296</v>
      </c>
      <c r="AM525">
        <v>85.725714563211099</v>
      </c>
      <c r="AN525">
        <v>0.99999996798080404</v>
      </c>
    </row>
    <row r="526" spans="1:40" x14ac:dyDescent="0.25">
      <c r="A526" t="str">
        <f>"20190303170727603"</f>
        <v>20190303170727603</v>
      </c>
      <c r="B526" t="str">
        <f>"1551604047593103"</f>
        <v>1551604047593103</v>
      </c>
      <c r="C526" t="s">
        <v>40</v>
      </c>
      <c r="D526">
        <v>4.5378360000000004</v>
      </c>
      <c r="E526">
        <v>0.50276599999999905</v>
      </c>
      <c r="F526" t="s">
        <v>44</v>
      </c>
      <c r="G526">
        <v>-158.19499999999999</v>
      </c>
      <c r="H526">
        <v>1.6148119999999999</v>
      </c>
      <c r="I526">
        <v>357.80540000000002</v>
      </c>
      <c r="J526">
        <v>-323.25330000000002</v>
      </c>
      <c r="K526">
        <v>1.120276</v>
      </c>
      <c r="L526">
        <v>368.06229999999999</v>
      </c>
      <c r="M526">
        <v>0.99991260000000004</v>
      </c>
      <c r="N526">
        <v>-9.8809950000000001E-3</v>
      </c>
      <c r="O526">
        <v>8.8017249999999998E-3</v>
      </c>
      <c r="P526">
        <v>0.98027350000000002</v>
      </c>
      <c r="Q526">
        <v>0.18668779999999999</v>
      </c>
      <c r="R526">
        <v>-6.4899380000000007E-2</v>
      </c>
      <c r="S526">
        <v>3.0465089999999999</v>
      </c>
      <c r="T526">
        <v>9.1111660000000004E-3</v>
      </c>
      <c r="U526">
        <v>-0.18890380000000001</v>
      </c>
      <c r="V526">
        <v>7.3731080000000004E-2</v>
      </c>
      <c r="W526">
        <v>0.1962817</v>
      </c>
      <c r="X526">
        <v>0.97777159999999996</v>
      </c>
      <c r="Y526">
        <v>7.0670670000000005E-2</v>
      </c>
      <c r="Z526">
        <v>-1.3073260000000001E-4</v>
      </c>
      <c r="AA526">
        <v>0.99749969999999999</v>
      </c>
      <c r="AB526">
        <v>33</v>
      </c>
      <c r="AC526">
        <v>165.0583</v>
      </c>
      <c r="AD526">
        <v>0.49453599999999998</v>
      </c>
      <c r="AE526">
        <v>-10.2568999999999</v>
      </c>
      <c r="AF526">
        <v>11.7092664087667</v>
      </c>
      <c r="AG526">
        <v>0.49453599999999998</v>
      </c>
      <c r="AH526">
        <v>164.96014776763101</v>
      </c>
      <c r="AI526">
        <v>89.828663905470705</v>
      </c>
      <c r="AJ526">
        <v>85.939818270439204</v>
      </c>
      <c r="AK526">
        <v>165.37594092613799</v>
      </c>
      <c r="AL526">
        <v>78.680393788556202</v>
      </c>
      <c r="AM526">
        <v>85.687643459639403</v>
      </c>
      <c r="AN526">
        <v>1.0000000398397</v>
      </c>
    </row>
    <row r="527" spans="1:40" x14ac:dyDescent="0.25">
      <c r="A527" t="str">
        <f>"20190303170727626"</f>
        <v>20190303170727626</v>
      </c>
      <c r="B527" t="str">
        <f>"1551604047612623"</f>
        <v>1551604047612623</v>
      </c>
      <c r="C527" t="s">
        <v>40</v>
      </c>
      <c r="D527">
        <v>4.530646</v>
      </c>
      <c r="E527">
        <v>0.50281129999999996</v>
      </c>
      <c r="F527" t="s">
        <v>44</v>
      </c>
      <c r="G527">
        <v>-158.19499999999999</v>
      </c>
      <c r="H527">
        <v>1.4834540000000001</v>
      </c>
      <c r="I527">
        <v>357.66520000000003</v>
      </c>
      <c r="J527">
        <v>-322.92290000000003</v>
      </c>
      <c r="K527">
        <v>1.120252</v>
      </c>
      <c r="L527">
        <v>368.06470000000002</v>
      </c>
      <c r="M527">
        <v>0.9999169</v>
      </c>
      <c r="N527">
        <v>-9.8895879999999995E-3</v>
      </c>
      <c r="O527">
        <v>8.2735350000000003E-3</v>
      </c>
      <c r="P527">
        <v>0.98019809999999996</v>
      </c>
      <c r="Q527">
        <v>0.1865523</v>
      </c>
      <c r="R527">
        <v>-6.6407839999999996E-2</v>
      </c>
      <c r="S527">
        <v>3.0463870000000002</v>
      </c>
      <c r="T527">
        <v>6.7045689999999996E-3</v>
      </c>
      <c r="U527">
        <v>-0.1918945</v>
      </c>
      <c r="V527">
        <v>7.4729790000000004E-2</v>
      </c>
      <c r="W527">
        <v>0.19614989999999999</v>
      </c>
      <c r="X527">
        <v>0.97772219999999999</v>
      </c>
      <c r="Y527">
        <v>7.1121690000000001E-2</v>
      </c>
      <c r="Z527">
        <v>-1.7392239999999999E-4</v>
      </c>
      <c r="AA527">
        <v>0.99746760000000001</v>
      </c>
      <c r="AB527">
        <v>33</v>
      </c>
      <c r="AC527">
        <v>164.72790000000001</v>
      </c>
      <c r="AD527">
        <v>0.36320200000000002</v>
      </c>
      <c r="AE527">
        <v>-10.3994999999999</v>
      </c>
      <c r="AF527">
        <v>11.762035732194001</v>
      </c>
      <c r="AG527">
        <v>0.36320200000000002</v>
      </c>
      <c r="AH527">
        <v>164.63541941096699</v>
      </c>
      <c r="AI527">
        <v>89.873921402817899</v>
      </c>
      <c r="AJ527">
        <v>85.913565061895596</v>
      </c>
      <c r="AK527">
        <v>165.055441367085</v>
      </c>
      <c r="AL527">
        <v>78.688094766953895</v>
      </c>
      <c r="AM527">
        <v>85.629236126290905</v>
      </c>
      <c r="AN527">
        <v>1.0000000125781401</v>
      </c>
    </row>
    <row r="528" spans="1:40" x14ac:dyDescent="0.25">
      <c r="A528" t="str">
        <f>"20190303170727650"</f>
        <v>20190303170727650</v>
      </c>
      <c r="B528" t="str">
        <f>"1551604047642879"</f>
        <v>1551604047642879</v>
      </c>
      <c r="C528" t="s">
        <v>40</v>
      </c>
      <c r="D528">
        <v>4.3708650000000002</v>
      </c>
      <c r="E528">
        <v>0.50285619999999998</v>
      </c>
      <c r="F528" t="s">
        <v>44</v>
      </c>
      <c r="G528">
        <v>-158.19499999999999</v>
      </c>
      <c r="H528">
        <v>1.4532590000000001</v>
      </c>
      <c r="I528">
        <v>357.41500000000002</v>
      </c>
      <c r="J528">
        <v>-322.56760000000003</v>
      </c>
      <c r="K528">
        <v>1.1202449999999999</v>
      </c>
      <c r="L528">
        <v>368.06709999999998</v>
      </c>
      <c r="M528">
        <v>0.99992159999999997</v>
      </c>
      <c r="N528">
        <v>-9.8982250000000001E-3</v>
      </c>
      <c r="O528">
        <v>7.6985380000000004E-3</v>
      </c>
      <c r="P528">
        <v>0.98005469999999895</v>
      </c>
      <c r="Q528">
        <v>0.18686900000000001</v>
      </c>
      <c r="R528">
        <v>-6.7624229999999994E-2</v>
      </c>
      <c r="S528">
        <v>3.0460820000000002</v>
      </c>
      <c r="T528">
        <v>6.1594249999999996E-3</v>
      </c>
      <c r="U528">
        <v>-0.19692989999999999</v>
      </c>
      <c r="V528">
        <v>7.5389120000000004E-2</v>
      </c>
      <c r="W528">
        <v>0.19647020000000001</v>
      </c>
      <c r="X528">
        <v>0.97760729999999996</v>
      </c>
      <c r="Y528">
        <v>7.2196570000000002E-2</v>
      </c>
      <c r="Z528">
        <v>-1.931E-4</v>
      </c>
      <c r="AA528">
        <v>0.99739040000000001</v>
      </c>
      <c r="AB528">
        <v>33</v>
      </c>
      <c r="AC528">
        <v>164.37260000000001</v>
      </c>
      <c r="AD528">
        <v>0.33301399999999898</v>
      </c>
      <c r="AE528">
        <v>-10.6520999999999</v>
      </c>
      <c r="AF528">
        <v>11.9172260106868</v>
      </c>
      <c r="AG528">
        <v>0.33301399999999898</v>
      </c>
      <c r="AH528">
        <v>164.28504738439099</v>
      </c>
      <c r="AI528">
        <v>89.884163119591804</v>
      </c>
      <c r="AJ528">
        <v>85.851035262441798</v>
      </c>
      <c r="AK528">
        <v>164.71705427248699</v>
      </c>
      <c r="AL528">
        <v>78.669379133512706</v>
      </c>
      <c r="AM528">
        <v>85.590308746181407</v>
      </c>
      <c r="AN528">
        <v>1.00000004595785</v>
      </c>
    </row>
    <row r="529" spans="1:40" x14ac:dyDescent="0.25">
      <c r="A529" t="str">
        <f>"20190303170727671"</f>
        <v>20190303170727671</v>
      </c>
      <c r="B529" t="str">
        <f>"1551604047662399"</f>
        <v>1551604047662399</v>
      </c>
      <c r="C529" t="s">
        <v>40</v>
      </c>
      <c r="D529">
        <v>4.531561</v>
      </c>
      <c r="E529">
        <v>0.50289129999999904</v>
      </c>
      <c r="F529" t="s">
        <v>44</v>
      </c>
      <c r="G529">
        <v>-158.19499999999999</v>
      </c>
      <c r="H529">
        <v>1.4964409999999999</v>
      </c>
      <c r="I529">
        <v>357.23200000000003</v>
      </c>
      <c r="J529">
        <v>-322.2457</v>
      </c>
      <c r="K529">
        <v>1.1202430000000001</v>
      </c>
      <c r="L529">
        <v>368.06909999999999</v>
      </c>
      <c r="M529">
        <v>0.99992530000000002</v>
      </c>
      <c r="N529">
        <v>-9.9056049999999996E-3</v>
      </c>
      <c r="O529">
        <v>7.1740399999999996E-3</v>
      </c>
      <c r="P529">
        <v>0.97999080000000005</v>
      </c>
      <c r="Q529">
        <v>0.18702269999999999</v>
      </c>
      <c r="R529">
        <v>-6.8123500000000003E-2</v>
      </c>
      <c r="S529">
        <v>3.0458370000000001</v>
      </c>
      <c r="T529">
        <v>6.9725509999999996E-3</v>
      </c>
      <c r="U529">
        <v>-0.20077510000000001</v>
      </c>
      <c r="V529">
        <v>7.5378680000000003E-2</v>
      </c>
      <c r="W529">
        <v>0.1966291</v>
      </c>
      <c r="X529">
        <v>0.97757609999999995</v>
      </c>
      <c r="Y529">
        <v>7.2932399999999994E-2</v>
      </c>
      <c r="Z529">
        <v>-1.9084089999999999E-4</v>
      </c>
      <c r="AA529">
        <v>0.99733689999999997</v>
      </c>
      <c r="AB529">
        <v>33</v>
      </c>
      <c r="AC529">
        <v>164.05070000000001</v>
      </c>
      <c r="AD529">
        <v>0.37619799999999898</v>
      </c>
      <c r="AE529">
        <v>-10.8371</v>
      </c>
      <c r="AF529">
        <v>12.0137221054135</v>
      </c>
      <c r="AG529">
        <v>0.37619799999999898</v>
      </c>
      <c r="AH529">
        <v>163.96786984170501</v>
      </c>
      <c r="AI529">
        <v>89.868895678863396</v>
      </c>
      <c r="AJ529">
        <v>85.809497356479199</v>
      </c>
      <c r="AK529">
        <v>164.407826407953</v>
      </c>
      <c r="AL529">
        <v>78.660093067013094</v>
      </c>
      <c r="AM529">
        <v>85.590776834877303</v>
      </c>
      <c r="AN529">
        <v>0.99999998982828098</v>
      </c>
    </row>
    <row r="530" spans="1:40" x14ac:dyDescent="0.25">
      <c r="A530" t="str">
        <f>"20190303170727693"</f>
        <v>20190303170727693</v>
      </c>
      <c r="B530" t="str">
        <f>"1551604047682895"</f>
        <v>1551604047682895</v>
      </c>
      <c r="C530" t="s">
        <v>40</v>
      </c>
      <c r="D530">
        <v>4.5335359999999998</v>
      </c>
      <c r="E530">
        <v>0.50290259999999998</v>
      </c>
      <c r="F530" t="s">
        <v>44</v>
      </c>
      <c r="G530">
        <v>-158.19499999999999</v>
      </c>
      <c r="H530">
        <v>1.512872</v>
      </c>
      <c r="I530">
        <v>357.14980000000003</v>
      </c>
      <c r="J530">
        <v>-321.92399999999998</v>
      </c>
      <c r="K530">
        <v>1.1202350000000001</v>
      </c>
      <c r="L530">
        <v>368.07089999999999</v>
      </c>
      <c r="M530">
        <v>0.99992890000000001</v>
      </c>
      <c r="N530">
        <v>-9.9126969999999998E-3</v>
      </c>
      <c r="O530">
        <v>6.6487400000000002E-3</v>
      </c>
      <c r="P530">
        <v>0.98006579999999999</v>
      </c>
      <c r="Q530">
        <v>0.18648680000000001</v>
      </c>
      <c r="R530">
        <v>-6.8513539999999998E-2</v>
      </c>
      <c r="S530">
        <v>3.045776</v>
      </c>
      <c r="T530">
        <v>7.2911979999999996E-3</v>
      </c>
      <c r="U530">
        <v>-0.2027283</v>
      </c>
      <c r="V530">
        <v>7.5257480000000002E-2</v>
      </c>
      <c r="W530">
        <v>0.19609989999999999</v>
      </c>
      <c r="X530">
        <v>0.9776918</v>
      </c>
      <c r="Y530">
        <v>7.304658E-2</v>
      </c>
      <c r="Z530">
        <v>-1.9338499999999999E-4</v>
      </c>
      <c r="AA530">
        <v>0.99732849999999995</v>
      </c>
      <c r="AB530">
        <v>33</v>
      </c>
      <c r="AC530">
        <v>163.72900000000001</v>
      </c>
      <c r="AD530">
        <v>0.39263699999999901</v>
      </c>
      <c r="AE530">
        <v>-10.9210999999999</v>
      </c>
      <c r="AF530">
        <v>12.009434718082399</v>
      </c>
      <c r="AG530">
        <v>0.39263699999999901</v>
      </c>
      <c r="AH530">
        <v>163.65182864539699</v>
      </c>
      <c r="AI530">
        <v>89.862903642644994</v>
      </c>
      <c r="AJ530">
        <v>85.802926656334094</v>
      </c>
      <c r="AK530">
        <v>164.09235724141499</v>
      </c>
      <c r="AL530">
        <v>78.691016809055199</v>
      </c>
      <c r="AM530">
        <v>85.598357358435393</v>
      </c>
      <c r="AN530">
        <v>1.0000000574315899</v>
      </c>
    </row>
    <row r="531" spans="1:40" x14ac:dyDescent="0.25">
      <c r="A531" t="str">
        <f>"20190303170727717"</f>
        <v>20190303170727717</v>
      </c>
      <c r="B531" t="str">
        <f>"1551604047702415"</f>
        <v>1551604047702415</v>
      </c>
      <c r="C531" t="s">
        <v>40</v>
      </c>
      <c r="D531">
        <v>4.5360569999999996</v>
      </c>
      <c r="E531">
        <v>0.50293209999999999</v>
      </c>
      <c r="F531" t="s">
        <v>44</v>
      </c>
      <c r="G531">
        <v>-158.19499999999999</v>
      </c>
      <c r="H531">
        <v>1.4196260000000001</v>
      </c>
      <c r="I531">
        <v>357.10730000000001</v>
      </c>
      <c r="J531">
        <v>-321.57400000000001</v>
      </c>
      <c r="K531">
        <v>1.1202259999999999</v>
      </c>
      <c r="L531">
        <v>368.07260000000002</v>
      </c>
      <c r="M531">
        <v>0.9999323</v>
      </c>
      <c r="N531">
        <v>-9.919832E-3</v>
      </c>
      <c r="O531">
        <v>6.0787469999999998E-3</v>
      </c>
      <c r="P531">
        <v>0.98011950000000003</v>
      </c>
      <c r="Q531">
        <v>0.185941</v>
      </c>
      <c r="R531">
        <v>-6.9223720000000002E-2</v>
      </c>
      <c r="S531">
        <v>3.0457459999999998</v>
      </c>
      <c r="T531">
        <v>5.5710079999999997E-3</v>
      </c>
      <c r="U531">
        <v>-0.20394899999999999</v>
      </c>
      <c r="V531">
        <v>7.5412030000000005E-2</v>
      </c>
      <c r="W531">
        <v>0.19556119999999999</v>
      </c>
      <c r="X531">
        <v>0.97778770000000004</v>
      </c>
      <c r="Y531">
        <v>7.2876620000000003E-2</v>
      </c>
      <c r="Z531">
        <v>-2.239609E-4</v>
      </c>
      <c r="AA531">
        <v>0.99734089999999997</v>
      </c>
      <c r="AB531">
        <v>33</v>
      </c>
      <c r="AC531">
        <v>163.37899999999999</v>
      </c>
      <c r="AD531">
        <v>0.2994</v>
      </c>
      <c r="AE531">
        <v>-10.965299999999999</v>
      </c>
      <c r="AF531">
        <v>11.958245903522499</v>
      </c>
      <c r="AG531">
        <v>0.2994</v>
      </c>
      <c r="AH531">
        <v>163.30877661711801</v>
      </c>
      <c r="AI531">
        <v>89.8952381364914</v>
      </c>
      <c r="AJ531">
        <v>85.812004803738205</v>
      </c>
      <c r="AK531">
        <v>163.74628486053899</v>
      </c>
      <c r="AL531">
        <v>78.722490485195905</v>
      </c>
      <c r="AM531">
        <v>85.589784588079297</v>
      </c>
      <c r="AN531">
        <v>0.99999997174272504</v>
      </c>
    </row>
    <row r="532" spans="1:40" x14ac:dyDescent="0.25">
      <c r="A532" t="str">
        <f>"20190303170727740"</f>
        <v>20190303170727740</v>
      </c>
      <c r="B532" t="str">
        <f>"1551604047732671"</f>
        <v>1551604047732671</v>
      </c>
      <c r="C532" t="s">
        <v>40</v>
      </c>
      <c r="D532">
        <v>4.4751469999999998</v>
      </c>
      <c r="E532">
        <v>0.50296450000000004</v>
      </c>
      <c r="F532" t="s">
        <v>44</v>
      </c>
      <c r="G532">
        <v>-158.19499999999999</v>
      </c>
      <c r="H532">
        <v>1.3253060000000001</v>
      </c>
      <c r="I532">
        <v>357.03859999999997</v>
      </c>
      <c r="J532">
        <v>-321.21769999999998</v>
      </c>
      <c r="K532">
        <v>1.12022</v>
      </c>
      <c r="L532">
        <v>368.07420000000002</v>
      </c>
      <c r="M532">
        <v>0.99993560000000004</v>
      </c>
      <c r="N532">
        <v>-9.9269130000000008E-3</v>
      </c>
      <c r="O532">
        <v>5.4992369999999997E-3</v>
      </c>
      <c r="P532">
        <v>0.98017750000000003</v>
      </c>
      <c r="Q532">
        <v>0.1855552</v>
      </c>
      <c r="R532">
        <v>-6.9436449999999997E-2</v>
      </c>
      <c r="S532">
        <v>3.0455930000000002</v>
      </c>
      <c r="T532">
        <v>3.8245919999999999E-3</v>
      </c>
      <c r="U532">
        <v>-0.2056885</v>
      </c>
      <c r="V532">
        <v>7.5059189999999998E-2</v>
      </c>
      <c r="W532">
        <v>0.19518279999999999</v>
      </c>
      <c r="X532">
        <v>0.9778905</v>
      </c>
      <c r="Y532">
        <v>7.2868970000000005E-2</v>
      </c>
      <c r="Z532">
        <v>-2.5497440000000002E-4</v>
      </c>
      <c r="AA532">
        <v>0.99734149999999999</v>
      </c>
      <c r="AB532">
        <v>33</v>
      </c>
      <c r="AC532">
        <v>163.02269999999999</v>
      </c>
      <c r="AD532">
        <v>0.20508599999999899</v>
      </c>
      <c r="AE532">
        <v>-11.035600000000001</v>
      </c>
      <c r="AF532">
        <v>11.931958961473301</v>
      </c>
      <c r="AG532">
        <v>0.20508599999999899</v>
      </c>
      <c r="AH532">
        <v>162.95928760784301</v>
      </c>
      <c r="AI532">
        <v>89.928085207336693</v>
      </c>
      <c r="AJ532">
        <v>85.812248102057197</v>
      </c>
      <c r="AK532">
        <v>163.39566433226199</v>
      </c>
      <c r="AL532">
        <v>78.744597758760406</v>
      </c>
      <c r="AM532">
        <v>85.610798048843293</v>
      </c>
      <c r="AN532">
        <v>1.00000001870477</v>
      </c>
    </row>
    <row r="533" spans="1:40" x14ac:dyDescent="0.25">
      <c r="A533" t="str">
        <f>"20190303170727761"</f>
        <v>20190303170727761</v>
      </c>
      <c r="B533" t="str">
        <f>"1551604047752191"</f>
        <v>1551604047752191</v>
      </c>
      <c r="C533" t="s">
        <v>40</v>
      </c>
      <c r="D533">
        <v>4.5350109999999999</v>
      </c>
      <c r="E533">
        <v>0.50293140000000003</v>
      </c>
      <c r="F533" t="s">
        <v>44</v>
      </c>
      <c r="G533">
        <v>-158.19499999999999</v>
      </c>
      <c r="H533">
        <v>1.2616889999999901</v>
      </c>
      <c r="I533">
        <v>357.01679999999999</v>
      </c>
      <c r="J533">
        <v>-320.90159999999997</v>
      </c>
      <c r="K533">
        <v>1.1201129999999999</v>
      </c>
      <c r="L533">
        <v>368.07549999999998</v>
      </c>
      <c r="M533">
        <v>0.99994240000000001</v>
      </c>
      <c r="N533">
        <v>-9.523742E-3</v>
      </c>
      <c r="O533">
        <v>4.97285E-3</v>
      </c>
      <c r="P533">
        <v>0.98005739999999997</v>
      </c>
      <c r="Q533">
        <v>0.18622639999999999</v>
      </c>
      <c r="R533">
        <v>-6.9337689999999993E-2</v>
      </c>
      <c r="S533">
        <v>3.045563</v>
      </c>
      <c r="T533">
        <v>2.644539E-3</v>
      </c>
      <c r="U533">
        <v>-0.20657349999999999</v>
      </c>
      <c r="V533">
        <v>7.4443399999999896E-2</v>
      </c>
      <c r="W533">
        <v>0.19545969999999999</v>
      </c>
      <c r="X533">
        <v>0.97788229999999998</v>
      </c>
      <c r="Y533">
        <v>7.2633039999999996E-2</v>
      </c>
      <c r="Z533">
        <v>-2.6315669999999998E-4</v>
      </c>
      <c r="AA533">
        <v>0.99735870000000004</v>
      </c>
      <c r="AB533">
        <v>33</v>
      </c>
      <c r="AC533">
        <v>162.70659999999901</v>
      </c>
      <c r="AD533">
        <v>0.14157599999999901</v>
      </c>
      <c r="AE533">
        <v>-11.0586999999999</v>
      </c>
      <c r="AF533">
        <v>11.867706423728199</v>
      </c>
      <c r="AG533">
        <v>0.14157599999999901</v>
      </c>
      <c r="AH533">
        <v>162.64946967637999</v>
      </c>
      <c r="AI533">
        <v>89.950259916479993</v>
      </c>
      <c r="AJ533">
        <v>85.826813085615399</v>
      </c>
      <c r="AK533">
        <v>163.08191955435001</v>
      </c>
      <c r="AL533">
        <v>78.728421377988695</v>
      </c>
      <c r="AM533">
        <v>85.646631959186095</v>
      </c>
      <c r="AN533">
        <v>1.0000000533904601</v>
      </c>
    </row>
    <row r="534" spans="1:40" x14ac:dyDescent="0.25">
      <c r="A534" t="str">
        <f>"20190303170727783"</f>
        <v>20190303170727783</v>
      </c>
      <c r="B534" t="str">
        <f>"1551604047772688"</f>
        <v>1551604047772688</v>
      </c>
      <c r="C534" t="s">
        <v>40</v>
      </c>
      <c r="D534">
        <v>4.5370460000000001</v>
      </c>
      <c r="E534">
        <v>0.50291889999999995</v>
      </c>
      <c r="F534" t="s">
        <v>44</v>
      </c>
      <c r="G534">
        <v>-158.19499999999999</v>
      </c>
      <c r="H534">
        <v>1.3756079999999999</v>
      </c>
      <c r="I534">
        <v>357.04910000000001</v>
      </c>
      <c r="J534">
        <v>-320.57709999999997</v>
      </c>
      <c r="K534">
        <v>1.119891</v>
      </c>
      <c r="L534">
        <v>368.07659999999998</v>
      </c>
      <c r="M534">
        <v>0.99995040000000002</v>
      </c>
      <c r="N534">
        <v>-8.9288490000000009E-3</v>
      </c>
      <c r="O534">
        <v>4.4241949999999997E-3</v>
      </c>
      <c r="P534">
        <v>0.97982610000000003</v>
      </c>
      <c r="Q534">
        <v>0.1871176</v>
      </c>
      <c r="R534">
        <v>-7.0198189999999994E-2</v>
      </c>
      <c r="S534">
        <v>3.0455320000000001</v>
      </c>
      <c r="T534">
        <v>4.7839880000000003E-3</v>
      </c>
      <c r="U534">
        <v>-0.2063904</v>
      </c>
      <c r="V534">
        <v>7.4764300000000006E-2</v>
      </c>
      <c r="W534">
        <v>0.19576779999999999</v>
      </c>
      <c r="X534">
        <v>0.97779609999999995</v>
      </c>
      <c r="Y534">
        <v>7.2026939999999998E-2</v>
      </c>
      <c r="Z534">
        <v>-2.1902790000000001E-4</v>
      </c>
      <c r="AA534">
        <v>0.99740269999999998</v>
      </c>
      <c r="AB534">
        <v>33</v>
      </c>
      <c r="AC534">
        <v>162.38209999999901</v>
      </c>
      <c r="AD534">
        <v>0.25571700000000003</v>
      </c>
      <c r="AE534">
        <v>-11.0274999999999</v>
      </c>
      <c r="AF534">
        <v>11.7458017501814</v>
      </c>
      <c r="AG534">
        <v>0.25571700000000003</v>
      </c>
      <c r="AH534">
        <v>162.33132019429101</v>
      </c>
      <c r="AI534">
        <v>89.909978625462301</v>
      </c>
      <c r="AJ534">
        <v>85.861463674708006</v>
      </c>
      <c r="AK534">
        <v>162.755911616015</v>
      </c>
      <c r="AL534">
        <v>78.710419872507799</v>
      </c>
      <c r="AM534">
        <v>85.627554751405498</v>
      </c>
      <c r="AN534">
        <v>0.99999997262326901</v>
      </c>
    </row>
    <row r="535" spans="1:40" x14ac:dyDescent="0.25">
      <c r="A535" t="str">
        <f>"20190303170727805"</f>
        <v>20190303170727805</v>
      </c>
      <c r="B535" t="str">
        <f>"1551604047792208"</f>
        <v>1551604047792208</v>
      </c>
      <c r="C535" t="s">
        <v>40</v>
      </c>
      <c r="D535">
        <v>4.6503880000000004</v>
      </c>
      <c r="E535">
        <v>0.50290360000000001</v>
      </c>
      <c r="F535" t="s">
        <v>44</v>
      </c>
      <c r="G535">
        <v>-158.19499999999999</v>
      </c>
      <c r="H535">
        <v>1.5215620000000001</v>
      </c>
      <c r="I535">
        <v>356.93990000000002</v>
      </c>
      <c r="J535">
        <v>-320.24009999999998</v>
      </c>
      <c r="K535">
        <v>1.119613</v>
      </c>
      <c r="L535">
        <v>368.07760000000002</v>
      </c>
      <c r="M535">
        <v>0.99995420000000002</v>
      </c>
      <c r="N535">
        <v>-8.77778699999999E-3</v>
      </c>
      <c r="O535">
        <v>3.853464E-3</v>
      </c>
      <c r="P535">
        <v>0.97969550000000005</v>
      </c>
      <c r="Q535">
        <v>0.1873224</v>
      </c>
      <c r="R535">
        <v>-7.1465239999999999E-2</v>
      </c>
      <c r="S535">
        <v>3.0453800000000002</v>
      </c>
      <c r="T535">
        <v>7.5347419999999997E-3</v>
      </c>
      <c r="U535">
        <v>-0.2088623</v>
      </c>
      <c r="V535">
        <v>7.5472269999999994E-2</v>
      </c>
      <c r="W535">
        <v>0.19582250000000001</v>
      </c>
      <c r="X535">
        <v>0.97773080000000001</v>
      </c>
      <c r="Y535">
        <v>7.2266999999999998E-2</v>
      </c>
      <c r="Z535">
        <v>-1.8494639999999999E-4</v>
      </c>
      <c r="AA535">
        <v>0.99738530000000003</v>
      </c>
      <c r="AB535">
        <v>34</v>
      </c>
      <c r="AC535">
        <v>162.04509999999999</v>
      </c>
      <c r="AD535">
        <v>0.401949</v>
      </c>
      <c r="AE535">
        <v>-11.137699999999899</v>
      </c>
      <c r="AF535">
        <v>11.7620041948206</v>
      </c>
      <c r="AG535">
        <v>0.401949</v>
      </c>
      <c r="AH535">
        <v>161.99998435059101</v>
      </c>
      <c r="AI535">
        <v>89.858213120458004</v>
      </c>
      <c r="AJ535">
        <v>85.847328261727</v>
      </c>
      <c r="AK535">
        <v>162.42691044057099</v>
      </c>
      <c r="AL535">
        <v>78.707224433415504</v>
      </c>
      <c r="AM535">
        <v>85.586019726388699</v>
      </c>
      <c r="AN535">
        <v>1.00000001615692</v>
      </c>
    </row>
    <row r="536" spans="1:40" x14ac:dyDescent="0.25">
      <c r="A536" t="str">
        <f>"20190303170727830"</f>
        <v>20190303170727830</v>
      </c>
      <c r="B536" t="str">
        <f>"1551604047822464"</f>
        <v>1551604047822464</v>
      </c>
      <c r="C536" t="s">
        <v>40</v>
      </c>
      <c r="D536">
        <v>4.4269109999999996</v>
      </c>
      <c r="E536">
        <v>0.502915</v>
      </c>
      <c r="F536" t="s">
        <v>44</v>
      </c>
      <c r="G536">
        <v>-158.19499999999999</v>
      </c>
      <c r="H536">
        <v>1.5559369999999999</v>
      </c>
      <c r="I536">
        <v>356.78129999999999</v>
      </c>
      <c r="J536">
        <v>-319.87150000000003</v>
      </c>
      <c r="K536">
        <v>1.1191580000000001</v>
      </c>
      <c r="L536">
        <v>368.07850000000002</v>
      </c>
      <c r="M536">
        <v>0.99995230000000002</v>
      </c>
      <c r="N536">
        <v>-9.2094340000000007E-3</v>
      </c>
      <c r="O536">
        <v>3.2361569999999999E-3</v>
      </c>
      <c r="P536">
        <v>0.9796743</v>
      </c>
      <c r="Q536">
        <v>0.1869767</v>
      </c>
      <c r="R536">
        <v>-7.2650640000000002E-2</v>
      </c>
      <c r="S536">
        <v>3.0451350000000001</v>
      </c>
      <c r="T536">
        <v>8.2010030000000001E-3</v>
      </c>
      <c r="U536">
        <v>-0.21228030000000001</v>
      </c>
      <c r="V536">
        <v>7.6059589999999996E-2</v>
      </c>
      <c r="W536">
        <v>0.1958964</v>
      </c>
      <c r="X536">
        <v>0.97767040000000005</v>
      </c>
      <c r="Y536">
        <v>7.2771009999999997E-2</v>
      </c>
      <c r="Z536">
        <v>-1.9915730000000001E-4</v>
      </c>
      <c r="AA536">
        <v>0.99734869999999998</v>
      </c>
      <c r="AB536">
        <v>34</v>
      </c>
      <c r="AC536">
        <v>161.6765</v>
      </c>
      <c r="AD536">
        <v>0.43677899999999997</v>
      </c>
      <c r="AE536">
        <v>-11.2972</v>
      </c>
      <c r="AF536">
        <v>11.820287743692299</v>
      </c>
      <c r="AG536">
        <v>0.43677899999999997</v>
      </c>
      <c r="AH536">
        <v>161.63791829305799</v>
      </c>
      <c r="AI536">
        <v>89.845587686155298</v>
      </c>
      <c r="AJ536">
        <v>85.817508593564597</v>
      </c>
      <c r="AK536">
        <v>162.07012867383</v>
      </c>
      <c r="AL536">
        <v>78.702905729819307</v>
      </c>
      <c r="AM536">
        <v>85.551534059035902</v>
      </c>
      <c r="AN536">
        <v>0.99999993590004199</v>
      </c>
    </row>
    <row r="537" spans="1:40" x14ac:dyDescent="0.25">
      <c r="A537" t="str">
        <f>"20190303170727851"</f>
        <v>20190303170727851</v>
      </c>
      <c r="B537" t="str">
        <f>"1551604047842960"</f>
        <v>1551604047842960</v>
      </c>
      <c r="C537" t="s">
        <v>40</v>
      </c>
      <c r="D537">
        <v>4.5886040000000001</v>
      </c>
      <c r="E537">
        <v>0.50290400000000002</v>
      </c>
      <c r="F537" t="s">
        <v>44</v>
      </c>
      <c r="G537">
        <v>-158.19499999999999</v>
      </c>
      <c r="H537">
        <v>1.492178</v>
      </c>
      <c r="I537">
        <v>356.601</v>
      </c>
      <c r="J537">
        <v>-319.53660000000002</v>
      </c>
      <c r="K537">
        <v>1.1184769999999999</v>
      </c>
      <c r="L537">
        <v>368.07920000000001</v>
      </c>
      <c r="M537">
        <v>0.99994640000000001</v>
      </c>
      <c r="N537">
        <v>-9.9954529999999996E-3</v>
      </c>
      <c r="O537">
        <v>2.6952339999999999E-3</v>
      </c>
      <c r="P537">
        <v>0.97975559999999995</v>
      </c>
      <c r="Q537">
        <v>0.18608920000000001</v>
      </c>
      <c r="R537">
        <v>-7.3824379999999995E-2</v>
      </c>
      <c r="S537">
        <v>3.0448300000000001</v>
      </c>
      <c r="T537">
        <v>7.0266719999999899E-3</v>
      </c>
      <c r="U537">
        <v>-0.21615599999999999</v>
      </c>
      <c r="V537">
        <v>7.6715640000000002E-2</v>
      </c>
      <c r="W537">
        <v>0.195773</v>
      </c>
      <c r="X537">
        <v>0.97764390000000001</v>
      </c>
      <c r="Y537">
        <v>7.3501739999999996E-2</v>
      </c>
      <c r="Z537">
        <v>-2.4998780000000002E-4</v>
      </c>
      <c r="AA537">
        <v>0.99729509999999999</v>
      </c>
      <c r="AB537">
        <v>34</v>
      </c>
      <c r="AC537">
        <v>161.3416</v>
      </c>
      <c r="AD537">
        <v>0.37370100000000001</v>
      </c>
      <c r="AE537">
        <v>-11.478199999999999</v>
      </c>
      <c r="AF537">
        <v>11.912969811726001</v>
      </c>
      <c r="AG537">
        <v>0.37370100000000001</v>
      </c>
      <c r="AH537">
        <v>161.30921490549201</v>
      </c>
      <c r="AI537">
        <v>89.867625046304894</v>
      </c>
      <c r="AJ537">
        <v>85.776273420034101</v>
      </c>
      <c r="AK537">
        <v>161.748945330715</v>
      </c>
      <c r="AL537">
        <v>78.710116095034806</v>
      </c>
      <c r="AM537">
        <v>85.513198813638894</v>
      </c>
      <c r="AN537">
        <v>0.99999997607840896</v>
      </c>
    </row>
    <row r="538" spans="1:40" x14ac:dyDescent="0.25">
      <c r="A538" t="str">
        <f>"20190303170727872"</f>
        <v>20190303170727872</v>
      </c>
      <c r="B538" t="str">
        <f>"1551604047862479"</f>
        <v>1551604047862479</v>
      </c>
      <c r="C538" t="s">
        <v>40</v>
      </c>
      <c r="D538">
        <v>4.6386760000000002</v>
      </c>
      <c r="E538">
        <v>0.50293220000000005</v>
      </c>
      <c r="F538" t="s">
        <v>44</v>
      </c>
      <c r="G538">
        <v>-158.19499999999999</v>
      </c>
      <c r="H538">
        <v>1.3410789999999999</v>
      </c>
      <c r="I538">
        <v>356.44040000000001</v>
      </c>
      <c r="J538">
        <v>-319.2276</v>
      </c>
      <c r="K538">
        <v>1.1176269999999999</v>
      </c>
      <c r="L538">
        <v>368.07960000000003</v>
      </c>
      <c r="M538">
        <v>0.99993650000000001</v>
      </c>
      <c r="N538">
        <v>-1.10402E-2</v>
      </c>
      <c r="O538">
        <v>2.2704930000000002E-3</v>
      </c>
      <c r="P538">
        <v>0.97998859999999999</v>
      </c>
      <c r="Q538">
        <v>0.18437590000000001</v>
      </c>
      <c r="R538">
        <v>-7.5020909999999996E-2</v>
      </c>
      <c r="S538">
        <v>3.0446780000000002</v>
      </c>
      <c r="T538">
        <v>4.2023659999999999E-3</v>
      </c>
      <c r="U538">
        <v>-0.219635</v>
      </c>
      <c r="V538">
        <v>7.7511789999999997E-2</v>
      </c>
      <c r="W538">
        <v>0.19507669999999999</v>
      </c>
      <c r="X538">
        <v>0.97772029999999999</v>
      </c>
      <c r="Y538">
        <v>7.421527E-2</v>
      </c>
      <c r="Z538">
        <v>-3.3090369999999998E-4</v>
      </c>
      <c r="AA538">
        <v>0.99724219999999997</v>
      </c>
      <c r="AB538">
        <v>34</v>
      </c>
      <c r="AC538">
        <v>161.0326</v>
      </c>
      <c r="AD538">
        <v>0.22345200000000001</v>
      </c>
      <c r="AE538">
        <v>-11.639200000000001</v>
      </c>
      <c r="AF538">
        <v>12.004792667539901</v>
      </c>
      <c r="AG538">
        <v>0.22345200000000001</v>
      </c>
      <c r="AH538">
        <v>161.00544814105999</v>
      </c>
      <c r="AI538">
        <v>89.920702012882202</v>
      </c>
      <c r="AJ538">
        <v>85.735836480417206</v>
      </c>
      <c r="AK538">
        <v>161.45252958343701</v>
      </c>
      <c r="AL538">
        <v>78.750795668129101</v>
      </c>
      <c r="AM538">
        <v>85.467180914260993</v>
      </c>
      <c r="AN538">
        <v>0.99999999075199197</v>
      </c>
    </row>
    <row r="539" spans="1:40" x14ac:dyDescent="0.25">
      <c r="A539" t="str">
        <f>"20190303170727894"</f>
        <v>20190303170727894</v>
      </c>
      <c r="B539" t="str">
        <f>"1551604047882976"</f>
        <v>1551604047882976</v>
      </c>
      <c r="C539" t="s">
        <v>40</v>
      </c>
      <c r="D539">
        <v>4.6144600000000002</v>
      </c>
      <c r="E539">
        <v>0.50349659999999996</v>
      </c>
      <c r="F539" t="s">
        <v>44</v>
      </c>
      <c r="G539">
        <v>-158.19499999999999</v>
      </c>
      <c r="H539">
        <v>1.058708</v>
      </c>
      <c r="I539">
        <v>356.26670000000001</v>
      </c>
      <c r="J539">
        <v>-318.87990000000002</v>
      </c>
      <c r="K539">
        <v>1.1165160000000001</v>
      </c>
      <c r="L539">
        <v>368.07990000000001</v>
      </c>
      <c r="M539">
        <v>0.99991640000000004</v>
      </c>
      <c r="N539">
        <v>-1.280656E-2</v>
      </c>
      <c r="O539">
        <v>1.8184970000000001E-3</v>
      </c>
      <c r="P539">
        <v>0.98025969999999996</v>
      </c>
      <c r="Q539">
        <v>0.1822647</v>
      </c>
      <c r="R539">
        <v>-7.6621670000000003E-2</v>
      </c>
      <c r="S539">
        <v>3.0443730000000002</v>
      </c>
      <c r="T539">
        <v>-1.1122230000000001E-3</v>
      </c>
      <c r="U539">
        <v>-0.22332759999999999</v>
      </c>
      <c r="V539">
        <v>7.8679869999999999E-2</v>
      </c>
      <c r="W539">
        <v>0.1946908</v>
      </c>
      <c r="X539">
        <v>0.97770389999999996</v>
      </c>
      <c r="Y539">
        <v>7.4974250000000006E-2</v>
      </c>
      <c r="Z539">
        <v>-4.718282E-4</v>
      </c>
      <c r="AA539">
        <v>0.99718530000000005</v>
      </c>
      <c r="AB539">
        <v>34</v>
      </c>
      <c r="AC539">
        <v>160.6849</v>
      </c>
      <c r="AD539">
        <v>-5.7807999999999998E-2</v>
      </c>
      <c r="AE539">
        <v>-11.813199999999901</v>
      </c>
      <c r="AF539">
        <v>12.105407861419801</v>
      </c>
      <c r="AG539">
        <v>-5.7807999999999998E-2</v>
      </c>
      <c r="AH539">
        <v>160.663129557562</v>
      </c>
      <c r="AI539">
        <v>90.020557251802899</v>
      </c>
      <c r="AJ539">
        <v>85.691104047827693</v>
      </c>
      <c r="AK539">
        <v>161.11854468212599</v>
      </c>
      <c r="AL539">
        <v>78.773338131048007</v>
      </c>
      <c r="AM539">
        <v>85.399086909650407</v>
      </c>
      <c r="AN539">
        <v>0.99999997281153297</v>
      </c>
    </row>
    <row r="540" spans="1:40" x14ac:dyDescent="0.25">
      <c r="A540" t="str">
        <f>"20190303170727918"</f>
        <v>20190303170727918</v>
      </c>
      <c r="B540" t="str">
        <f>"1551604047912256"</f>
        <v>1551604047912256</v>
      </c>
      <c r="C540" t="s">
        <v>40</v>
      </c>
      <c r="D540">
        <v>4.4857019999999999</v>
      </c>
      <c r="E540">
        <v>0.50410880000000002</v>
      </c>
      <c r="F540" t="s">
        <v>44</v>
      </c>
      <c r="G540">
        <v>-168.75630000000001</v>
      </c>
      <c r="H540">
        <v>0.70995140000000001</v>
      </c>
      <c r="I540">
        <v>356.61509999999998</v>
      </c>
      <c r="J540">
        <v>-318.53089999999997</v>
      </c>
      <c r="K540">
        <v>1.115184</v>
      </c>
      <c r="L540">
        <v>368.07990000000001</v>
      </c>
      <c r="M540">
        <v>0.99989130000000004</v>
      </c>
      <c r="N540">
        <v>-1.468681E-2</v>
      </c>
      <c r="O540">
        <v>1.2970999999999901E-3</v>
      </c>
      <c r="P540">
        <v>0.98049580000000003</v>
      </c>
      <c r="Q540">
        <v>0.1802433</v>
      </c>
      <c r="R540">
        <v>-7.8363070000000007E-2</v>
      </c>
      <c r="S540">
        <v>3.043793</v>
      </c>
      <c r="T540">
        <v>-8.2414150000000002E-3</v>
      </c>
      <c r="U540">
        <v>-0.2324524</v>
      </c>
      <c r="V540">
        <v>7.9908010000000002E-2</v>
      </c>
      <c r="W540">
        <v>0.1945103</v>
      </c>
      <c r="X540">
        <v>0.97764030000000002</v>
      </c>
      <c r="Y540">
        <v>7.7439079999999993E-2</v>
      </c>
      <c r="Z540">
        <v>-6.5869910000000004E-4</v>
      </c>
      <c r="AA540">
        <v>0.99699689999999996</v>
      </c>
      <c r="AB540">
        <v>34</v>
      </c>
      <c r="AC540">
        <v>149.774599999999</v>
      </c>
      <c r="AD540">
        <v>-0.4052326</v>
      </c>
      <c r="AE540">
        <v>-11.4648</v>
      </c>
      <c r="AF540">
        <v>11.6589990923557</v>
      </c>
      <c r="AG540">
        <v>-0.4052326</v>
      </c>
      <c r="AH540">
        <v>149.758511481082</v>
      </c>
      <c r="AI540">
        <v>90.154568964535898</v>
      </c>
      <c r="AJ540">
        <v>85.548388331802499</v>
      </c>
      <c r="AK540">
        <v>150.21221066985501</v>
      </c>
      <c r="AL540">
        <v>78.783882477540601</v>
      </c>
      <c r="AM540">
        <v>85.327282677331695</v>
      </c>
      <c r="AN540">
        <v>1.00000005152616</v>
      </c>
    </row>
    <row r="541" spans="1:40" x14ac:dyDescent="0.25">
      <c r="A541" t="str">
        <f>"20190303170727940"</f>
        <v>20190303170727940</v>
      </c>
      <c r="B541" t="str">
        <f>"1551604047932752"</f>
        <v>1551604047932752</v>
      </c>
      <c r="C541" t="s">
        <v>40</v>
      </c>
      <c r="D541">
        <v>4.519692</v>
      </c>
      <c r="E541">
        <v>0.50467550000000005</v>
      </c>
      <c r="F541" t="s">
        <v>44</v>
      </c>
      <c r="G541">
        <v>-169.2955</v>
      </c>
      <c r="H541">
        <v>0.37331009999999998</v>
      </c>
      <c r="I541">
        <v>356.19979999999998</v>
      </c>
      <c r="J541">
        <v>-318.18400000000003</v>
      </c>
      <c r="K541">
        <v>1.1135489999999999</v>
      </c>
      <c r="L541">
        <v>368.07979999999998</v>
      </c>
      <c r="M541">
        <v>0.99986989999999998</v>
      </c>
      <c r="N541">
        <v>-1.6124799999999901E-2</v>
      </c>
      <c r="O541">
        <v>6.8904100000000005E-4</v>
      </c>
      <c r="P541">
        <v>0.98066399999999998</v>
      </c>
      <c r="Q541">
        <v>0.17858929999999901</v>
      </c>
      <c r="R541">
        <v>-8.0027539999999994E-2</v>
      </c>
      <c r="S541">
        <v>3.0430600000000001</v>
      </c>
      <c r="T541">
        <v>-1.512575E-2</v>
      </c>
      <c r="U541">
        <v>-0.24224850000000001</v>
      </c>
      <c r="V541">
        <v>8.0969739999999998E-2</v>
      </c>
      <c r="W541">
        <v>0.19426750000000001</v>
      </c>
      <c r="X541">
        <v>0.97760119999999895</v>
      </c>
      <c r="Y541">
        <v>8.0038529999999997E-2</v>
      </c>
      <c r="Z541">
        <v>-8.3730960000000004E-4</v>
      </c>
      <c r="AA541">
        <v>0.99679139999999999</v>
      </c>
      <c r="AB541">
        <v>34</v>
      </c>
      <c r="AC541">
        <v>148.88849999999999</v>
      </c>
      <c r="AD541">
        <v>-0.74023889999999903</v>
      </c>
      <c r="AE541">
        <v>-11.8799999999999</v>
      </c>
      <c r="AF541">
        <v>11.9823064739324</v>
      </c>
      <c r="AG541">
        <v>-0.74023889999999903</v>
      </c>
      <c r="AH541">
        <v>148.87662105559701</v>
      </c>
      <c r="AI541">
        <v>90.283963405534905</v>
      </c>
      <c r="AJ541">
        <v>85.398478917476794</v>
      </c>
      <c r="AK541">
        <v>149.35987385839701</v>
      </c>
      <c r="AL541">
        <v>78.798064212295799</v>
      </c>
      <c r="AM541">
        <v>85.2652886349928</v>
      </c>
      <c r="AN541">
        <v>1.0000000332966701</v>
      </c>
    </row>
    <row r="542" spans="1:40" x14ac:dyDescent="0.25">
      <c r="A542" t="str">
        <f>"20190303170727962"</f>
        <v>20190303170727962</v>
      </c>
      <c r="B542" t="str">
        <f>"1551604047952272"</f>
        <v>1551604047952272</v>
      </c>
      <c r="C542" t="s">
        <v>40</v>
      </c>
      <c r="D542">
        <v>4.5177509999999996</v>
      </c>
      <c r="E542">
        <v>0.50512060000000003</v>
      </c>
      <c r="F542" t="s">
        <v>44</v>
      </c>
      <c r="G542">
        <v>-169.2955</v>
      </c>
      <c r="H542">
        <v>9.6893309999999996E-2</v>
      </c>
      <c r="I542">
        <v>355.76459999999997</v>
      </c>
      <c r="J542">
        <v>-317.86470000000003</v>
      </c>
      <c r="K542">
        <v>1.1117760000000001</v>
      </c>
      <c r="L542">
        <v>368.07960000000003</v>
      </c>
      <c r="M542">
        <v>0.99985250000000003</v>
      </c>
      <c r="N542">
        <v>-1.7178189999999999E-2</v>
      </c>
      <c r="O542">
        <v>1.159085E-4</v>
      </c>
      <c r="P542">
        <v>0.98092780000000002</v>
      </c>
      <c r="Q542">
        <v>0.1765256</v>
      </c>
      <c r="R542">
        <v>-8.1361000000000003E-2</v>
      </c>
      <c r="S542">
        <v>3.0423580000000001</v>
      </c>
      <c r="T542">
        <v>-2.077234E-2</v>
      </c>
      <c r="U542">
        <v>-0.25164789999999998</v>
      </c>
      <c r="V542">
        <v>8.1740950000000007E-2</v>
      </c>
      <c r="W542">
        <v>0.1932374</v>
      </c>
      <c r="X542">
        <v>0.97774110000000003</v>
      </c>
      <c r="Y542">
        <v>8.2542019999999994E-2</v>
      </c>
      <c r="Z542">
        <v>-9.9035620000000003E-4</v>
      </c>
      <c r="AA542">
        <v>0.99658709999999995</v>
      </c>
      <c r="AB542">
        <v>34</v>
      </c>
      <c r="AC542">
        <v>148.5692</v>
      </c>
      <c r="AD542">
        <v>-1.0148826900000001</v>
      </c>
      <c r="AE542">
        <v>-12.315</v>
      </c>
      <c r="AF542">
        <v>12.3316513835998</v>
      </c>
      <c r="AG542">
        <v>-1.0148826900000001</v>
      </c>
      <c r="AH542">
        <v>148.56088636393801</v>
      </c>
      <c r="AI542">
        <v>90.390064317392898</v>
      </c>
      <c r="AJ542">
        <v>85.254905210936997</v>
      </c>
      <c r="AK542">
        <v>149.075271490479</v>
      </c>
      <c r="AL542">
        <v>78.858223861652405</v>
      </c>
      <c r="AM542">
        <v>85.221080740147997</v>
      </c>
      <c r="AN542">
        <v>0.999999967147435</v>
      </c>
    </row>
    <row r="543" spans="1:40" x14ac:dyDescent="0.25">
      <c r="A543" t="str">
        <f>"20190303170727984"</f>
        <v>20190303170727984</v>
      </c>
      <c r="B543" t="str">
        <f>"1551604047972768"</f>
        <v>1551604047972768</v>
      </c>
      <c r="C543" t="s">
        <v>40</v>
      </c>
      <c r="D543">
        <v>4.6989010000000002</v>
      </c>
      <c r="E543">
        <v>0.50550090000000003</v>
      </c>
      <c r="F543" t="s">
        <v>48</v>
      </c>
      <c r="G543">
        <v>-205.51759999999999</v>
      </c>
      <c r="H543">
        <v>7.9987509999999998E-2</v>
      </c>
      <c r="I543">
        <v>358.51600000000002</v>
      </c>
      <c r="J543">
        <v>-317.52609999999999</v>
      </c>
      <c r="K543">
        <v>1.1096539999999999</v>
      </c>
      <c r="L543">
        <v>368.07920000000001</v>
      </c>
      <c r="M543">
        <v>0.99983569999999999</v>
      </c>
      <c r="N543">
        <v>-1.8120310000000001E-2</v>
      </c>
      <c r="O543">
        <v>-4.6278299999999998E-4</v>
      </c>
      <c r="P543">
        <v>0.98119920000000005</v>
      </c>
      <c r="Q543">
        <v>0.174538</v>
      </c>
      <c r="R543">
        <v>-8.2369299999999895E-2</v>
      </c>
      <c r="S543">
        <v>3.0418699999999999</v>
      </c>
      <c r="T543">
        <v>-2.793634E-2</v>
      </c>
      <c r="U543">
        <v>-0.2589417</v>
      </c>
      <c r="V543">
        <v>8.2191879999999995E-2</v>
      </c>
      <c r="W543">
        <v>0.1921715</v>
      </c>
      <c r="X543">
        <v>0.97791340000000004</v>
      </c>
      <c r="Y543">
        <v>8.4347320000000003E-2</v>
      </c>
      <c r="Z543">
        <v>-1.156432E-3</v>
      </c>
      <c r="AA543">
        <v>0.99643579999999998</v>
      </c>
      <c r="AB543">
        <v>34</v>
      </c>
      <c r="AC543">
        <v>112.0085</v>
      </c>
      <c r="AD543">
        <v>-1.0296664900000001</v>
      </c>
      <c r="AE543">
        <v>-9.5632000000000499</v>
      </c>
      <c r="AF543">
        <v>9.5105569439284707</v>
      </c>
      <c r="AG543">
        <v>-1.0296664900000001</v>
      </c>
      <c r="AH543">
        <v>112.003517863303</v>
      </c>
      <c r="AI543">
        <v>90.524825996754799</v>
      </c>
      <c r="AJ543">
        <v>85.146484960340203</v>
      </c>
      <c r="AK543">
        <v>112.411293561722</v>
      </c>
      <c r="AL543">
        <v>78.9204623931426</v>
      </c>
      <c r="AM543">
        <v>85.195683250405693</v>
      </c>
      <c r="AN543">
        <v>1.00000000422487</v>
      </c>
    </row>
    <row r="544" spans="1:40" x14ac:dyDescent="0.25">
      <c r="A544" t="str">
        <f>"20190303170728006"</f>
        <v>20190303170728006</v>
      </c>
      <c r="B544" t="str">
        <f>"1551604048003024"</f>
        <v>1551604048003024</v>
      </c>
      <c r="C544" t="s">
        <v>40</v>
      </c>
      <c r="D544">
        <v>4.4530859999999999</v>
      </c>
      <c r="E544">
        <v>0.50597859999999995</v>
      </c>
      <c r="F544" t="s">
        <v>43</v>
      </c>
      <c r="G544">
        <v>-220.40369999999999</v>
      </c>
      <c r="H544">
        <v>5.0105559999999898E-3</v>
      </c>
      <c r="I544">
        <v>359.6164</v>
      </c>
      <c r="J544">
        <v>-317.1782</v>
      </c>
      <c r="K544">
        <v>1.1072409999999999</v>
      </c>
      <c r="L544">
        <v>368.07850000000002</v>
      </c>
      <c r="M544">
        <v>0.99982150000000003</v>
      </c>
      <c r="N544">
        <v>-1.8865469999999999E-2</v>
      </c>
      <c r="O544">
        <v>-1.0197120000000001E-3</v>
      </c>
      <c r="P544">
        <v>0.98139030000000005</v>
      </c>
      <c r="Q544">
        <v>0.17297499999999999</v>
      </c>
      <c r="R544">
        <v>-8.338334E-2</v>
      </c>
      <c r="S544">
        <v>3.0414430000000001</v>
      </c>
      <c r="T544">
        <v>-3.459251E-2</v>
      </c>
      <c r="U544">
        <v>-0.26501459999999999</v>
      </c>
      <c r="V544">
        <v>8.2675899999999997E-2</v>
      </c>
      <c r="W544">
        <v>0.1913338</v>
      </c>
      <c r="X544">
        <v>0.97803680000000004</v>
      </c>
      <c r="Y544">
        <v>8.5774829999999996E-2</v>
      </c>
      <c r="Z544">
        <v>-1.3052420000000001E-3</v>
      </c>
      <c r="AA544">
        <v>0.99631369999999997</v>
      </c>
      <c r="AB544">
        <v>34</v>
      </c>
      <c r="AC544">
        <v>96.774500000000003</v>
      </c>
      <c r="AD544">
        <v>-1.1022304439999999</v>
      </c>
      <c r="AE544">
        <v>-8.4621000000000102</v>
      </c>
      <c r="AF544">
        <v>8.3623193448546598</v>
      </c>
      <c r="AG544">
        <v>-1.1022304439999999</v>
      </c>
      <c r="AH544">
        <v>96.770621818171804</v>
      </c>
      <c r="AI544">
        <v>90.6501556966019</v>
      </c>
      <c r="AJ544">
        <v>85.061121732084104</v>
      </c>
      <c r="AK544">
        <v>97.137513576643698</v>
      </c>
      <c r="AL544">
        <v>78.969366018009296</v>
      </c>
      <c r="AM544">
        <v>85.168131521636894</v>
      </c>
      <c r="AN544">
        <v>0.99999995480874404</v>
      </c>
    </row>
    <row r="545" spans="1:40" x14ac:dyDescent="0.25">
      <c r="A545" t="str">
        <f>"20190303170728029"</f>
        <v>20190303170728029</v>
      </c>
      <c r="B545" t="str">
        <f>"1551604048022544"</f>
        <v>1551604048022544</v>
      </c>
      <c r="C545" t="s">
        <v>40</v>
      </c>
      <c r="D545">
        <v>4.7557739999999997</v>
      </c>
      <c r="E545">
        <v>0.50631550000000003</v>
      </c>
      <c r="F545" t="s">
        <v>43</v>
      </c>
      <c r="G545">
        <v>-237.00129999999999</v>
      </c>
      <c r="H545" s="1">
        <v>-3.3210289999999998E-6</v>
      </c>
      <c r="I545">
        <v>360.9178</v>
      </c>
      <c r="J545">
        <v>-316.83080000000001</v>
      </c>
      <c r="K545">
        <v>1.104627</v>
      </c>
      <c r="L545">
        <v>368.07749999999999</v>
      </c>
      <c r="M545">
        <v>0.99981249999999999</v>
      </c>
      <c r="N545">
        <v>-1.9306520000000001E-2</v>
      </c>
      <c r="O545">
        <v>-1.5553730000000001E-3</v>
      </c>
      <c r="P545">
        <v>0.98146719999999998</v>
      </c>
      <c r="Q545">
        <v>0.17210020000000001</v>
      </c>
      <c r="R545">
        <v>-8.4283559999999993E-2</v>
      </c>
      <c r="S545">
        <v>3.0411679999999999</v>
      </c>
      <c r="T545">
        <v>-4.1998510000000003E-2</v>
      </c>
      <c r="U545">
        <v>-0.27160640000000003</v>
      </c>
      <c r="V545">
        <v>8.3064170000000007E-2</v>
      </c>
      <c r="W545">
        <v>0.1908859</v>
      </c>
      <c r="X545">
        <v>0.9780915</v>
      </c>
      <c r="Y545">
        <v>8.7386340000000007E-2</v>
      </c>
      <c r="Z545">
        <v>-1.4561260000000001E-3</v>
      </c>
      <c r="AA545">
        <v>0.99617339999999999</v>
      </c>
      <c r="AB545">
        <v>34</v>
      </c>
      <c r="AC545">
        <v>79.829499999999996</v>
      </c>
      <c r="AD545">
        <v>-1.1046303210290001</v>
      </c>
      <c r="AE545">
        <v>-7.1596999999999804</v>
      </c>
      <c r="AF545">
        <v>7.0341674481952499</v>
      </c>
      <c r="AG545">
        <v>-1.1046303210290001</v>
      </c>
      <c r="AH545">
        <v>79.825379056409403</v>
      </c>
      <c r="AI545">
        <v>90.789753309076005</v>
      </c>
      <c r="AJ545">
        <v>84.964135848790605</v>
      </c>
      <c r="AK545">
        <v>80.142316296291497</v>
      </c>
      <c r="AL545">
        <v>78.995511548956003</v>
      </c>
      <c r="AM545">
        <v>85.145818043982203</v>
      </c>
      <c r="AN545">
        <v>1.0000000327644201</v>
      </c>
    </row>
    <row r="546" spans="1:40" x14ac:dyDescent="0.25">
      <c r="A546" t="str">
        <f>"20190303170728051"</f>
        <v>20190303170728051</v>
      </c>
      <c r="B546" t="str">
        <f>"1551604048043040"</f>
        <v>1551604048043040</v>
      </c>
      <c r="C546" t="s">
        <v>40</v>
      </c>
      <c r="D546">
        <v>4.4653769999999904</v>
      </c>
      <c r="E546">
        <v>0.50660249999999996</v>
      </c>
      <c r="F546" t="s">
        <v>43</v>
      </c>
      <c r="G546">
        <v>-242.22229999999999</v>
      </c>
      <c r="H546" s="1">
        <v>-5.1868629999999999E-6</v>
      </c>
      <c r="I546">
        <v>361.28829999999999</v>
      </c>
      <c r="J546">
        <v>-316.48669999999998</v>
      </c>
      <c r="K546">
        <v>1.1018509999999999</v>
      </c>
      <c r="L546">
        <v>368.07639999999998</v>
      </c>
      <c r="M546">
        <v>0.99980930000000001</v>
      </c>
      <c r="N546">
        <v>-1.9425560000000001E-2</v>
      </c>
      <c r="O546">
        <v>-2.0744050000000001E-3</v>
      </c>
      <c r="P546">
        <v>0.98149030000000004</v>
      </c>
      <c r="Q546">
        <v>0.17171520000000001</v>
      </c>
      <c r="R546">
        <v>-8.4799449999999998E-2</v>
      </c>
      <c r="S546">
        <v>3.0407410000000001</v>
      </c>
      <c r="T546">
        <v>-4.5020339999999999E-2</v>
      </c>
      <c r="U546">
        <v>-0.27670289999999997</v>
      </c>
      <c r="V546">
        <v>8.3078460000000007E-2</v>
      </c>
      <c r="W546">
        <v>0.1906149</v>
      </c>
      <c r="X546">
        <v>0.97814310000000004</v>
      </c>
      <c r="Y546">
        <v>8.8535260000000005E-2</v>
      </c>
      <c r="Z546">
        <v>-1.525485E-3</v>
      </c>
      <c r="AA546">
        <v>0.99607190000000001</v>
      </c>
      <c r="AB546">
        <v>34</v>
      </c>
      <c r="AC546">
        <v>74.264399999999995</v>
      </c>
      <c r="AD546">
        <v>-1.1018561868629999</v>
      </c>
      <c r="AE546">
        <v>-6.7880999999999796</v>
      </c>
      <c r="AF546">
        <v>6.6325539367314104</v>
      </c>
      <c r="AG546">
        <v>-1.1018561868629999</v>
      </c>
      <c r="AH546">
        <v>74.2621118609392</v>
      </c>
      <c r="AI546">
        <v>90.846687943318003</v>
      </c>
      <c r="AJ546">
        <v>84.896297583104698</v>
      </c>
      <c r="AK546">
        <v>74.565850875764994</v>
      </c>
      <c r="AL546">
        <v>79.011328744242704</v>
      </c>
      <c r="AM546">
        <v>85.145241835347306</v>
      </c>
      <c r="AN546">
        <v>0.99999999734779499</v>
      </c>
    </row>
    <row r="547" spans="1:40" x14ac:dyDescent="0.25">
      <c r="A547" t="str">
        <f>"20190303170728073"</f>
        <v>20190303170728073</v>
      </c>
      <c r="B547" t="str">
        <f>"1551604048062560"</f>
        <v>1551604048062560</v>
      </c>
      <c r="C547" t="s">
        <v>40</v>
      </c>
      <c r="D547">
        <v>4.6552100000000003</v>
      </c>
      <c r="E547">
        <v>0.50693520000000003</v>
      </c>
      <c r="F547" t="s">
        <v>43</v>
      </c>
      <c r="G547">
        <v>-244.30350000000001</v>
      </c>
      <c r="H547" s="1">
        <v>-4.3507929999999999E-6</v>
      </c>
      <c r="I547">
        <v>361.42680000000001</v>
      </c>
      <c r="J547">
        <v>-316.16699999999997</v>
      </c>
      <c r="K547">
        <v>1.0992010000000001</v>
      </c>
      <c r="L547">
        <v>368.0752</v>
      </c>
      <c r="M547">
        <v>0.99980769999999997</v>
      </c>
      <c r="N547">
        <v>-1.9450229999999999E-2</v>
      </c>
      <c r="O547">
        <v>-2.503613E-3</v>
      </c>
      <c r="P547">
        <v>0.98142640000000003</v>
      </c>
      <c r="Q547">
        <v>0.1716792</v>
      </c>
      <c r="R547">
        <v>-8.5608509999999999E-2</v>
      </c>
      <c r="S547">
        <v>3.0404360000000001</v>
      </c>
      <c r="T547">
        <v>-4.6411399999999998E-2</v>
      </c>
      <c r="U547">
        <v>-0.28009030000000001</v>
      </c>
      <c r="V547">
        <v>8.3469630000000003E-2</v>
      </c>
      <c r="W547">
        <v>0.1906004</v>
      </c>
      <c r="X547">
        <v>0.9781126</v>
      </c>
      <c r="Y547">
        <v>8.9216000000000004E-2</v>
      </c>
      <c r="Z547">
        <v>-1.55958299999999E-3</v>
      </c>
      <c r="AA547">
        <v>0.99601110000000004</v>
      </c>
      <c r="AB547">
        <v>34</v>
      </c>
      <c r="AC547">
        <v>71.863500000000002</v>
      </c>
      <c r="AD547">
        <v>-1.099205350793</v>
      </c>
      <c r="AE547">
        <v>-6.6483999999999801</v>
      </c>
      <c r="AF547">
        <v>6.4669265620657796</v>
      </c>
      <c r="AG547">
        <v>-1.099205350793</v>
      </c>
      <c r="AH547">
        <v>71.863252441248093</v>
      </c>
      <c r="AI547">
        <v>90.872789693860796</v>
      </c>
      <c r="AJ547">
        <v>84.8578413836224</v>
      </c>
      <c r="AK547">
        <v>72.162015236528106</v>
      </c>
      <c r="AL547">
        <v>79.012174799731099</v>
      </c>
      <c r="AM547">
        <v>85.1223421533725</v>
      </c>
      <c r="AN547">
        <v>0.99999997494562798</v>
      </c>
    </row>
    <row r="548" spans="1:40" x14ac:dyDescent="0.25">
      <c r="A548" t="str">
        <f>"20190303170728095"</f>
        <v>20190303170728095</v>
      </c>
      <c r="B548" t="str">
        <f>"1551604048083056"</f>
        <v>1551604048083056</v>
      </c>
      <c r="C548" t="s">
        <v>40</v>
      </c>
      <c r="D548">
        <v>4.5368459999999997</v>
      </c>
      <c r="E548">
        <v>0.50719639999999999</v>
      </c>
      <c r="F548" t="s">
        <v>43</v>
      </c>
      <c r="G548">
        <v>-244.53440000000001</v>
      </c>
      <c r="H548" s="1">
        <v>-4.2847769999999996E-6</v>
      </c>
      <c r="I548">
        <v>361.34160000000003</v>
      </c>
      <c r="J548">
        <v>-315.8186</v>
      </c>
      <c r="K548">
        <v>1.0962989999999999</v>
      </c>
      <c r="L548">
        <v>368.07369999999997</v>
      </c>
      <c r="M548">
        <v>0.99980789999999997</v>
      </c>
      <c r="N548">
        <v>-1.9381900000000001E-2</v>
      </c>
      <c r="O548">
        <v>-2.9909899999999998E-3</v>
      </c>
      <c r="P548">
        <v>0.98151869999999997</v>
      </c>
      <c r="Q548">
        <v>0.17087249999999901</v>
      </c>
      <c r="R548">
        <v>-8.616277E-2</v>
      </c>
      <c r="S548">
        <v>3.040009</v>
      </c>
      <c r="T548">
        <v>-4.6649099999999999E-2</v>
      </c>
      <c r="U548">
        <v>-0.28576659999999998</v>
      </c>
      <c r="V548">
        <v>8.3536699999999894E-2</v>
      </c>
      <c r="W548">
        <v>0.1897325</v>
      </c>
      <c r="X548">
        <v>0.97827569999999997</v>
      </c>
      <c r="Y548">
        <v>9.0586449999999999E-2</v>
      </c>
      <c r="Z548">
        <v>-1.585517E-3</v>
      </c>
      <c r="AA548">
        <v>0.99588730000000003</v>
      </c>
      <c r="AB548">
        <v>34</v>
      </c>
      <c r="AC548">
        <v>71.284199999999998</v>
      </c>
      <c r="AD548">
        <v>-1.096303284777</v>
      </c>
      <c r="AE548">
        <v>-6.7320999999999396</v>
      </c>
      <c r="AF548">
        <v>6.5172916675077399</v>
      </c>
      <c r="AG548">
        <v>-1.096303284777</v>
      </c>
      <c r="AH548">
        <v>71.287308355719105</v>
      </c>
      <c r="AI548">
        <v>90.877404334108604</v>
      </c>
      <c r="AJ548">
        <v>84.776375293149201</v>
      </c>
      <c r="AK548">
        <v>71.592997591768395</v>
      </c>
      <c r="AL548">
        <v>79.062827193010506</v>
      </c>
      <c r="AM548">
        <v>85.119251692083296</v>
      </c>
      <c r="AN548">
        <v>1.00000007350681</v>
      </c>
    </row>
    <row r="549" spans="1:40" x14ac:dyDescent="0.25">
      <c r="A549" t="str">
        <f>"20190303170728141"</f>
        <v>20190303170728141</v>
      </c>
      <c r="B549" t="str">
        <f>"1551604048132832"</f>
        <v>1551604048132832</v>
      </c>
      <c r="C549" t="s">
        <v>40</v>
      </c>
      <c r="D549">
        <v>4.6168839999999998</v>
      </c>
      <c r="E549">
        <v>0.50749</v>
      </c>
      <c r="F549" t="s">
        <v>43</v>
      </c>
      <c r="G549">
        <v>-247.95439999999999</v>
      </c>
      <c r="H549" s="1">
        <v>-2.9043240000000001E-6</v>
      </c>
      <c r="I549">
        <v>361.59390000000002</v>
      </c>
      <c r="J549">
        <v>-315.12909999999999</v>
      </c>
      <c r="K549">
        <v>1.09074</v>
      </c>
      <c r="L549">
        <v>368.07029999999997</v>
      </c>
      <c r="M549">
        <v>0.99981469999999995</v>
      </c>
      <c r="N549">
        <v>-1.881186E-2</v>
      </c>
      <c r="O549">
        <v>-4.098834E-3</v>
      </c>
      <c r="P549">
        <v>0.98180829999999997</v>
      </c>
      <c r="Q549">
        <v>0.16967099999999999</v>
      </c>
      <c r="R549">
        <v>-8.5231260000000003E-2</v>
      </c>
      <c r="S549">
        <v>3.0395509999999999</v>
      </c>
      <c r="T549">
        <v>-4.9101949999999998E-2</v>
      </c>
      <c r="U549">
        <v>-0.29022219999999999</v>
      </c>
      <c r="V549">
        <v>8.148611E-2</v>
      </c>
      <c r="W549">
        <v>0.18799569999999999</v>
      </c>
      <c r="X549">
        <v>0.97878370000000003</v>
      </c>
      <c r="Y549">
        <v>9.0942270000000006E-2</v>
      </c>
      <c r="Z549">
        <v>-1.601264E-3</v>
      </c>
      <c r="AA549">
        <v>0.99585489999999999</v>
      </c>
      <c r="AB549">
        <v>34</v>
      </c>
      <c r="AC549">
        <v>67.174700000000001</v>
      </c>
      <c r="AD549">
        <v>-1.090742904324</v>
      </c>
      <c r="AE549">
        <v>-6.4763999999999502</v>
      </c>
      <c r="AF549">
        <v>6.1993394936525696</v>
      </c>
      <c r="AG549">
        <v>-1.090742904324</v>
      </c>
      <c r="AH549">
        <v>67.183135969943294</v>
      </c>
      <c r="AI549">
        <v>90.926202192635103</v>
      </c>
      <c r="AJ549">
        <v>84.727948143448899</v>
      </c>
      <c r="AK549">
        <v>67.477368717198601</v>
      </c>
      <c r="AL549">
        <v>79.164160861815205</v>
      </c>
      <c r="AM549">
        <v>85.240962457994897</v>
      </c>
      <c r="AN549">
        <v>0.99999995036355405</v>
      </c>
    </row>
    <row r="550" spans="1:40" x14ac:dyDescent="0.25">
      <c r="A550" t="str">
        <f>"20190303170728163"</f>
        <v>20190303170728163</v>
      </c>
      <c r="B550" t="str">
        <f>"1551604048152352"</f>
        <v>1551604048152352</v>
      </c>
      <c r="C550" t="s">
        <v>40</v>
      </c>
      <c r="D550">
        <v>4.6661950000000001</v>
      </c>
      <c r="E550">
        <v>0.46591379999999999</v>
      </c>
      <c r="F550" t="s">
        <v>43</v>
      </c>
      <c r="G550">
        <v>-251.9599</v>
      </c>
      <c r="H550" s="1">
        <v>-4.7735960000000002E-6</v>
      </c>
      <c r="I550">
        <v>362.05009999999999</v>
      </c>
      <c r="J550">
        <v>-314.80829999999997</v>
      </c>
      <c r="K550">
        <v>1.0883320000000001</v>
      </c>
      <c r="L550">
        <v>368.06849999999997</v>
      </c>
      <c r="M550">
        <v>0.9998203</v>
      </c>
      <c r="N550">
        <v>-1.8382389999999998E-2</v>
      </c>
      <c r="O550">
        <v>-4.6316079999999997E-3</v>
      </c>
      <c r="P550">
        <v>0.98174380000000006</v>
      </c>
      <c r="Q550">
        <v>0.17037449999999901</v>
      </c>
      <c r="R550">
        <v>-8.4569400000000003E-2</v>
      </c>
      <c r="S550">
        <v>3.03952</v>
      </c>
      <c r="T550">
        <v>-5.2483439999999999E-2</v>
      </c>
      <c r="U550">
        <v>-0.28967290000000001</v>
      </c>
      <c r="V550">
        <v>8.0293760000000006E-2</v>
      </c>
      <c r="W550">
        <v>0.18828329999999999</v>
      </c>
      <c r="X550">
        <v>0.978827</v>
      </c>
      <c r="Y550">
        <v>9.0232129999999994E-2</v>
      </c>
      <c r="Z550">
        <v>-1.613792E-3</v>
      </c>
      <c r="AA550">
        <v>0.99591949999999996</v>
      </c>
      <c r="AB550">
        <v>34</v>
      </c>
      <c r="AC550">
        <v>62.848399999999899</v>
      </c>
      <c r="AD550">
        <v>-1.0883367735959999</v>
      </c>
      <c r="AE550">
        <v>-6.0183999999999802</v>
      </c>
      <c r="AF550">
        <v>5.7254957551484296</v>
      </c>
      <c r="AG550">
        <v>-1.0883367735959999</v>
      </c>
      <c r="AH550">
        <v>62.856927391428201</v>
      </c>
      <c r="AI550">
        <v>90.987860269585596</v>
      </c>
      <c r="AJ550">
        <v>84.795419049951406</v>
      </c>
      <c r="AK550">
        <v>63.126532454002799</v>
      </c>
      <c r="AL550">
        <v>79.147383442805904</v>
      </c>
      <c r="AM550">
        <v>85.310492971017993</v>
      </c>
      <c r="AN550">
        <v>0.99999999244141302</v>
      </c>
    </row>
    <row r="551" spans="1:40" x14ac:dyDescent="0.25">
      <c r="A551" t="str">
        <f>"20190303170728184"</f>
        <v>20190303170728184</v>
      </c>
      <c r="B551" t="str">
        <f>"1551604048172848"</f>
        <v>1551604048172848</v>
      </c>
      <c r="C551" t="s">
        <v>40</v>
      </c>
      <c r="D551">
        <v>4.6711850000000004</v>
      </c>
      <c r="E551">
        <v>0.45482470000000003</v>
      </c>
      <c r="F551" t="s">
        <v>48</v>
      </c>
      <c r="G551">
        <v>-201.1353</v>
      </c>
      <c r="H551" s="1">
        <v>-3.2149459999999999E-6</v>
      </c>
      <c r="I551">
        <v>369.67239999999998</v>
      </c>
      <c r="J551">
        <v>-314.48289999999997</v>
      </c>
      <c r="K551">
        <v>1.0860609999999999</v>
      </c>
      <c r="L551">
        <v>368.06639999999999</v>
      </c>
      <c r="M551">
        <v>0.99982680000000002</v>
      </c>
      <c r="N551">
        <v>-1.7891710000000002E-2</v>
      </c>
      <c r="O551">
        <v>-5.1577840000000003E-3</v>
      </c>
      <c r="P551">
        <v>0.98155389999999998</v>
      </c>
      <c r="Q551">
        <v>0.1717004</v>
      </c>
      <c r="R551">
        <v>-8.4092500000000001E-2</v>
      </c>
      <c r="S551">
        <v>3.0646059999999999</v>
      </c>
      <c r="T551">
        <v>-2.934134E-2</v>
      </c>
      <c r="U551">
        <v>4.3243410000000003E-2</v>
      </c>
      <c r="V551">
        <v>7.9298489999999999E-2</v>
      </c>
      <c r="W551">
        <v>0.18912899999999999</v>
      </c>
      <c r="X551">
        <v>0.97874510000000003</v>
      </c>
      <c r="Y551">
        <v>-1.9264389999999999E-2</v>
      </c>
      <c r="Z551">
        <v>2.2167749999999999E-4</v>
      </c>
      <c r="AA551">
        <v>0.99981439999999999</v>
      </c>
      <c r="AB551">
        <v>34</v>
      </c>
      <c r="AC551">
        <v>113.34759999999901</v>
      </c>
      <c r="AD551">
        <v>-1.086064214946</v>
      </c>
      <c r="AE551">
        <v>1.6059999999999901</v>
      </c>
      <c r="AF551">
        <v>-2.1904934955698998</v>
      </c>
      <c r="AG551">
        <v>-1.086064214946</v>
      </c>
      <c r="AH551">
        <v>113.327404690214</v>
      </c>
      <c r="AI551">
        <v>90.548970226620099</v>
      </c>
      <c r="AJ551">
        <v>91.1073262133703</v>
      </c>
      <c r="AK551">
        <v>113.353775636512</v>
      </c>
      <c r="AL551">
        <v>79.098041993286998</v>
      </c>
      <c r="AM551">
        <v>85.367980736340201</v>
      </c>
      <c r="AN551">
        <v>0.99999999996564504</v>
      </c>
    </row>
    <row r="552" spans="1:40" x14ac:dyDescent="0.25">
      <c r="A552" t="str">
        <f>"20190303170728207"</f>
        <v>20190303170728207</v>
      </c>
      <c r="B552" t="str">
        <f>"1551604048203104"</f>
        <v>1551604048203104</v>
      </c>
      <c r="C552" t="s">
        <v>40</v>
      </c>
      <c r="D552">
        <v>4.6473760000000004</v>
      </c>
      <c r="E552">
        <v>0.44838519999999998</v>
      </c>
      <c r="F552" t="s">
        <v>44</v>
      </c>
      <c r="G552">
        <v>-158.19499999999999</v>
      </c>
      <c r="H552">
        <v>0.1488361</v>
      </c>
      <c r="I552">
        <v>374.86259999999999</v>
      </c>
      <c r="J552">
        <v>-314.11959999999999</v>
      </c>
      <c r="K552">
        <v>1.0837479999999999</v>
      </c>
      <c r="L552">
        <v>368.06389999999999</v>
      </c>
      <c r="M552">
        <v>0.99983370000000005</v>
      </c>
      <c r="N552">
        <v>-1.7322850000000001E-2</v>
      </c>
      <c r="O552">
        <v>-5.7294420000000004E-3</v>
      </c>
      <c r="P552">
        <v>0.98162530000000003</v>
      </c>
      <c r="Q552">
        <v>0.1714106</v>
      </c>
      <c r="R552">
        <v>-8.3849060000000003E-2</v>
      </c>
      <c r="S552">
        <v>3.071075</v>
      </c>
      <c r="T552">
        <v>-1.8414860000000002E-2</v>
      </c>
      <c r="U552">
        <v>0.13354489999999999</v>
      </c>
      <c r="V552">
        <v>7.8489589999999998E-2</v>
      </c>
      <c r="W552">
        <v>0.18828610000000001</v>
      </c>
      <c r="X552">
        <v>0.97897279999999998</v>
      </c>
      <c r="Y552">
        <v>-4.9164060000000002E-2</v>
      </c>
      <c r="Z552">
        <v>5.0853669999999999E-4</v>
      </c>
      <c r="AA552">
        <v>0.99879059999999997</v>
      </c>
      <c r="AB552">
        <v>34</v>
      </c>
      <c r="AC552">
        <v>155.9246</v>
      </c>
      <c r="AD552">
        <v>-0.93491190000000002</v>
      </c>
      <c r="AE552">
        <v>6.7986999999999904</v>
      </c>
      <c r="AF552">
        <v>-7.6918072454931501</v>
      </c>
      <c r="AG552">
        <v>-0.93491190000000002</v>
      </c>
      <c r="AH552">
        <v>155.877488053001</v>
      </c>
      <c r="AI552">
        <v>90.343223192639698</v>
      </c>
      <c r="AJ552">
        <v>92.824980813486306</v>
      </c>
      <c r="AK552">
        <v>156.069949832362</v>
      </c>
      <c r="AL552">
        <v>79.147220254766495</v>
      </c>
      <c r="AM552">
        <v>85.4160899584557</v>
      </c>
      <c r="AN552">
        <v>1.0000000071657</v>
      </c>
    </row>
    <row r="553" spans="1:40" x14ac:dyDescent="0.25">
      <c r="A553" t="str">
        <f>"20190303170728231"</f>
        <v>20190303170728231</v>
      </c>
      <c r="B553" t="str">
        <f>"1551604048222624"</f>
        <v>1551604048222624</v>
      </c>
      <c r="C553" t="s">
        <v>40</v>
      </c>
      <c r="D553">
        <v>4.6738330000000001</v>
      </c>
      <c r="E553">
        <v>0.44679659999999899</v>
      </c>
      <c r="F553" t="s">
        <v>44</v>
      </c>
      <c r="G553">
        <v>-158.19499999999999</v>
      </c>
      <c r="H553">
        <v>0.44164560000000003</v>
      </c>
      <c r="I553">
        <v>377.47800000000001</v>
      </c>
      <c r="J553">
        <v>-313.77730000000003</v>
      </c>
      <c r="K553">
        <v>1.081817</v>
      </c>
      <c r="L553">
        <v>368.06139999999999</v>
      </c>
      <c r="M553">
        <v>0.99983940000000004</v>
      </c>
      <c r="N553">
        <v>-1.6796700000000001E-2</v>
      </c>
      <c r="O553">
        <v>-6.2627780000000001E-3</v>
      </c>
      <c r="P553">
        <v>0.98157729999999999</v>
      </c>
      <c r="Q553">
        <v>0.17118329999999901</v>
      </c>
      <c r="R553">
        <v>-8.4866579999999997E-2</v>
      </c>
      <c r="S553">
        <v>3.0742189999999998</v>
      </c>
      <c r="T553">
        <v>-1.2658000000000001E-2</v>
      </c>
      <c r="U553">
        <v>0.18560789999999999</v>
      </c>
      <c r="V553">
        <v>7.8979720000000003E-2</v>
      </c>
      <c r="W553">
        <v>0.18754419999999999</v>
      </c>
      <c r="X553">
        <v>0.97907580000000005</v>
      </c>
      <c r="Y553">
        <v>-6.6513619999999996E-2</v>
      </c>
      <c r="Z553">
        <v>6.1663460000000001E-4</v>
      </c>
      <c r="AA553">
        <v>0.99778529999999999</v>
      </c>
      <c r="AB553">
        <v>34</v>
      </c>
      <c r="AC553">
        <v>155.5823</v>
      </c>
      <c r="AD553">
        <v>-0.64017139999999995</v>
      </c>
      <c r="AE553">
        <v>9.4166000000000096</v>
      </c>
      <c r="AF553">
        <v>-10.3907547942172</v>
      </c>
      <c r="AG553">
        <v>-0.64017139999999995</v>
      </c>
      <c r="AH553">
        <v>155.51764216818799</v>
      </c>
      <c r="AI553">
        <v>90.235325821352603</v>
      </c>
      <c r="AJ553">
        <v>93.8224786298141</v>
      </c>
      <c r="AK553">
        <v>155.86569420551601</v>
      </c>
      <c r="AL553">
        <v>79.190499162852106</v>
      </c>
      <c r="AM553">
        <v>85.388071894299202</v>
      </c>
      <c r="AN553">
        <v>1.0000000226352701</v>
      </c>
    </row>
    <row r="554" spans="1:40" x14ac:dyDescent="0.25">
      <c r="A554" t="str">
        <f>"20190303170728251"</f>
        <v>20190303170728251</v>
      </c>
      <c r="B554" t="str">
        <f>"1551604048243120"</f>
        <v>1551604048243120</v>
      </c>
      <c r="C554" t="s">
        <v>40</v>
      </c>
      <c r="D554">
        <v>4.660482</v>
      </c>
      <c r="E554">
        <v>0.445803</v>
      </c>
      <c r="F554" t="s">
        <v>44</v>
      </c>
      <c r="G554">
        <v>-158.19499999999999</v>
      </c>
      <c r="H554">
        <v>0.3445473</v>
      </c>
      <c r="I554">
        <v>377.90429999999998</v>
      </c>
      <c r="J554">
        <v>-313.45650000000001</v>
      </c>
      <c r="K554">
        <v>1.080228</v>
      </c>
      <c r="L554">
        <v>368.05880000000002</v>
      </c>
      <c r="M554">
        <v>0.99984379999999995</v>
      </c>
      <c r="N554">
        <v>-1.63343E-2</v>
      </c>
      <c r="O554">
        <v>-6.7652119999999996E-3</v>
      </c>
      <c r="P554">
        <v>0.98125620000000002</v>
      </c>
      <c r="Q554">
        <v>0.1721906</v>
      </c>
      <c r="R554">
        <v>-8.6527900000000005E-2</v>
      </c>
      <c r="S554">
        <v>3.075653</v>
      </c>
      <c r="T554">
        <v>-1.45731E-2</v>
      </c>
      <c r="U554">
        <v>0.19458010000000001</v>
      </c>
      <c r="V554">
        <v>8.0146980000000007E-2</v>
      </c>
      <c r="W554">
        <v>0.18809400000000001</v>
      </c>
      <c r="X554">
        <v>0.97887539999999995</v>
      </c>
      <c r="Y554">
        <v>-6.9885630000000004E-2</v>
      </c>
      <c r="Z554">
        <v>6.5841509999999904E-4</v>
      </c>
      <c r="AA554">
        <v>0.99755479999999996</v>
      </c>
      <c r="AB554">
        <v>34</v>
      </c>
      <c r="AC554">
        <v>155.26150000000001</v>
      </c>
      <c r="AD554">
        <v>-0.73568069999999997</v>
      </c>
      <c r="AE554">
        <v>9.8454999999999604</v>
      </c>
      <c r="AF554">
        <v>-10.895547997649</v>
      </c>
      <c r="AG554">
        <v>-0.73568069999999997</v>
      </c>
      <c r="AH554">
        <v>155.18785993257799</v>
      </c>
      <c r="AI554">
        <v>90.270946325528499</v>
      </c>
      <c r="AJ554">
        <v>94.0160757992426</v>
      </c>
      <c r="AK554">
        <v>155.57161072224901</v>
      </c>
      <c r="AL554">
        <v>79.158426601154005</v>
      </c>
      <c r="AM554">
        <v>85.319257855707903</v>
      </c>
      <c r="AN554">
        <v>0.99999996998213903</v>
      </c>
    </row>
    <row r="555" spans="1:40" x14ac:dyDescent="0.25">
      <c r="A555" t="str">
        <f>"20190303170728274"</f>
        <v>20190303170728274</v>
      </c>
      <c r="B555" t="str">
        <f>"1551604048262640"</f>
        <v>1551604048262640</v>
      </c>
      <c r="C555" t="s">
        <v>40</v>
      </c>
      <c r="D555">
        <v>4.6796490000000004</v>
      </c>
      <c r="E555">
        <v>0.44502910000000001</v>
      </c>
      <c r="F555" t="s">
        <v>44</v>
      </c>
      <c r="G555">
        <v>-158.19499999999999</v>
      </c>
      <c r="H555">
        <v>0.53026490000000004</v>
      </c>
      <c r="I555">
        <v>378.05520000000001</v>
      </c>
      <c r="J555">
        <v>-313.11869999999999</v>
      </c>
      <c r="K555">
        <v>1.078762</v>
      </c>
      <c r="L555">
        <v>368.05599999999998</v>
      </c>
      <c r="M555">
        <v>0.99984729999999999</v>
      </c>
      <c r="N555">
        <v>-1.5882190000000001E-2</v>
      </c>
      <c r="O555">
        <v>-7.2973889999999996E-3</v>
      </c>
      <c r="P555">
        <v>0.98103720000000005</v>
      </c>
      <c r="Q555">
        <v>0.1723808</v>
      </c>
      <c r="R555">
        <v>-8.8606580000000004E-2</v>
      </c>
      <c r="S555">
        <v>3.0766909999999998</v>
      </c>
      <c r="T555">
        <v>-1.089644E-2</v>
      </c>
      <c r="U555">
        <v>0.1980896</v>
      </c>
      <c r="V555">
        <v>8.1700490000000001E-2</v>
      </c>
      <c r="W555">
        <v>0.1878388</v>
      </c>
      <c r="X555">
        <v>0.978796</v>
      </c>
      <c r="Y555">
        <v>-7.1529460000000003E-2</v>
      </c>
      <c r="Z555">
        <v>6.0522660000000004E-4</v>
      </c>
      <c r="AA555">
        <v>0.9974383</v>
      </c>
      <c r="AB555">
        <v>34</v>
      </c>
      <c r="AC555">
        <v>154.9237</v>
      </c>
      <c r="AD555">
        <v>-0.54849709999999996</v>
      </c>
      <c r="AE555">
        <v>9.9992000000000303</v>
      </c>
      <c r="AF555">
        <v>-11.1294758151608</v>
      </c>
      <c r="AG555">
        <v>-0.54849709999999996</v>
      </c>
      <c r="AH555">
        <v>154.84466378773999</v>
      </c>
      <c r="AI555">
        <v>90.202432396293503</v>
      </c>
      <c r="AJ555">
        <v>94.1110703486343</v>
      </c>
      <c r="AK555">
        <v>155.24508360823299</v>
      </c>
      <c r="AL555">
        <v>79.173314141442702</v>
      </c>
      <c r="AM555">
        <v>85.228559428761898</v>
      </c>
      <c r="AN555">
        <v>0.99999999723384003</v>
      </c>
    </row>
    <row r="556" spans="1:40" x14ac:dyDescent="0.25">
      <c r="A556" t="str">
        <f>"20190303170728298"</f>
        <v>20190303170728298</v>
      </c>
      <c r="B556" t="str">
        <f>"1551604048292896"</f>
        <v>1551604048292896</v>
      </c>
      <c r="C556" t="s">
        <v>40</v>
      </c>
      <c r="D556">
        <v>4.6695379999999904</v>
      </c>
      <c r="E556">
        <v>0.4441756</v>
      </c>
      <c r="F556" t="s">
        <v>44</v>
      </c>
      <c r="G556">
        <v>-158.19499999999999</v>
      </c>
      <c r="H556">
        <v>0.60629940000000004</v>
      </c>
      <c r="I556">
        <v>378.02789999999999</v>
      </c>
      <c r="J556">
        <v>-312.74579999999997</v>
      </c>
      <c r="K556">
        <v>1.0773629999999901</v>
      </c>
      <c r="L556">
        <v>368.05259999999998</v>
      </c>
      <c r="M556">
        <v>0.99985000000000002</v>
      </c>
      <c r="N556">
        <v>-1.5427349999999999E-2</v>
      </c>
      <c r="O556">
        <v>-7.8862649999999999E-3</v>
      </c>
      <c r="P556">
        <v>0.98081399999999996</v>
      </c>
      <c r="Q556">
        <v>0.17307129999999901</v>
      </c>
      <c r="R556">
        <v>-8.9724940000000003E-2</v>
      </c>
      <c r="S556">
        <v>3.0775450000000002</v>
      </c>
      <c r="T556">
        <v>-9.3836779999999995E-3</v>
      </c>
      <c r="U556">
        <v>0.1980896</v>
      </c>
      <c r="V556">
        <v>8.2238450000000005E-2</v>
      </c>
      <c r="W556">
        <v>0.18808230000000001</v>
      </c>
      <c r="X556">
        <v>0.97870420000000002</v>
      </c>
      <c r="Y556">
        <v>-7.2099479999999994E-2</v>
      </c>
      <c r="Z556">
        <v>5.6905460000000003E-4</v>
      </c>
      <c r="AA556">
        <v>0.99739730000000004</v>
      </c>
      <c r="AB556">
        <v>34</v>
      </c>
      <c r="AC556">
        <v>154.55079999999899</v>
      </c>
      <c r="AD556">
        <v>-0.47106359999999903</v>
      </c>
      <c r="AE556">
        <v>9.9753000000000007</v>
      </c>
      <c r="AF556">
        <v>-11.193859663634401</v>
      </c>
      <c r="AG556">
        <v>-0.47106359999999903</v>
      </c>
      <c r="AH556">
        <v>154.465886528026</v>
      </c>
      <c r="AI556">
        <v>90.174273303792404</v>
      </c>
      <c r="AJ556">
        <v>94.144874463057505</v>
      </c>
      <c r="AK556">
        <v>154.871671056954</v>
      </c>
      <c r="AL556">
        <v>79.159109612030207</v>
      </c>
      <c r="AM556">
        <v>85.196839804605403</v>
      </c>
      <c r="AN556">
        <v>1.00000001266466</v>
      </c>
    </row>
    <row r="557" spans="1:40" x14ac:dyDescent="0.25">
      <c r="A557" t="str">
        <f>"20190303170728320"</f>
        <v>20190303170728320</v>
      </c>
      <c r="B557" t="str">
        <f>"1551604048312416"</f>
        <v>1551604048312416</v>
      </c>
      <c r="C557" t="s">
        <v>40</v>
      </c>
      <c r="D557">
        <v>4.717047</v>
      </c>
      <c r="E557">
        <v>0.44376260000000001</v>
      </c>
      <c r="F557" t="s">
        <v>44</v>
      </c>
      <c r="G557">
        <v>-158.19499999999999</v>
      </c>
      <c r="H557">
        <v>0.66456789999999999</v>
      </c>
      <c r="I557">
        <v>378.13979999999998</v>
      </c>
      <c r="J557">
        <v>-312.41989999999998</v>
      </c>
      <c r="K557">
        <v>1.0763100000000001</v>
      </c>
      <c r="L557">
        <v>368.04950000000002</v>
      </c>
      <c r="M557">
        <v>0.99985119999999905</v>
      </c>
      <c r="N557">
        <v>-1.5075649999999999E-2</v>
      </c>
      <c r="O557">
        <v>-8.4008239999999994E-3</v>
      </c>
      <c r="P557">
        <v>0.9807091</v>
      </c>
      <c r="Q557">
        <v>0.17339969999999999</v>
      </c>
      <c r="R557">
        <v>-9.0236499999999997E-2</v>
      </c>
      <c r="S557">
        <v>3.078522</v>
      </c>
      <c r="T557">
        <v>-8.2207919999999993E-3</v>
      </c>
      <c r="U557">
        <v>0.20092769999999999</v>
      </c>
      <c r="V557">
        <v>8.2242910000000002E-2</v>
      </c>
      <c r="W557">
        <v>0.18806690000000001</v>
      </c>
      <c r="X557">
        <v>0.97870679999999999</v>
      </c>
      <c r="Y557">
        <v>-7.3508279999999995E-2</v>
      </c>
      <c r="Z557">
        <v>5.4865920000000002E-4</v>
      </c>
      <c r="AA557">
        <v>0.99729449999999997</v>
      </c>
      <c r="AB557">
        <v>34</v>
      </c>
      <c r="AC557">
        <v>154.22489999999999</v>
      </c>
      <c r="AD557">
        <v>-0.4117421</v>
      </c>
      <c r="AE557">
        <v>10.0902999999999</v>
      </c>
      <c r="AF557">
        <v>-11.385626372677599</v>
      </c>
      <c r="AG557">
        <v>-0.4117421</v>
      </c>
      <c r="AH557">
        <v>154.13358617347899</v>
      </c>
      <c r="AI557">
        <v>90.152639853358593</v>
      </c>
      <c r="AJ557">
        <v>94.224683906045797</v>
      </c>
      <c r="AK557">
        <v>154.55408246355901</v>
      </c>
      <c r="AL557">
        <v>79.160008164399997</v>
      </c>
      <c r="AM557">
        <v>85.196593236718897</v>
      </c>
      <c r="AN557">
        <v>1.0000000277435499</v>
      </c>
    </row>
    <row r="558" spans="1:40" x14ac:dyDescent="0.25">
      <c r="A558" t="str">
        <f>"20190303170728343"</f>
        <v>20190303170728343</v>
      </c>
      <c r="B558" t="str">
        <f>"1551604048332912"</f>
        <v>1551604048332912</v>
      </c>
      <c r="C558" t="s">
        <v>40</v>
      </c>
      <c r="D558">
        <v>4.7200680000000004</v>
      </c>
      <c r="E558">
        <v>0.4434109</v>
      </c>
      <c r="F558" t="s">
        <v>44</v>
      </c>
      <c r="G558">
        <v>-158.19499999999999</v>
      </c>
      <c r="H558">
        <v>0.65987489999999904</v>
      </c>
      <c r="I558">
        <v>378.19900000000001</v>
      </c>
      <c r="J558">
        <v>-312.07670000000002</v>
      </c>
      <c r="K558">
        <v>1.075356</v>
      </c>
      <c r="L558">
        <v>368.04599999999999</v>
      </c>
      <c r="M558">
        <v>0.9998513</v>
      </c>
      <c r="N558">
        <v>-1.475543E-2</v>
      </c>
      <c r="O558">
        <v>-8.9417309999999996E-3</v>
      </c>
      <c r="P558">
        <v>0.98069790000000001</v>
      </c>
      <c r="Q558">
        <v>0.1734212</v>
      </c>
      <c r="R558">
        <v>-9.0316649999999998E-2</v>
      </c>
      <c r="S558">
        <v>3.079132</v>
      </c>
      <c r="T558">
        <v>-8.3124640000000003E-3</v>
      </c>
      <c r="U558">
        <v>0.2026367</v>
      </c>
      <c r="V558">
        <v>8.1789970000000004E-2</v>
      </c>
      <c r="W558">
        <v>0.18777650000000001</v>
      </c>
      <c r="X558">
        <v>0.97880049999999996</v>
      </c>
      <c r="Y558">
        <v>-7.4586020000000003E-2</v>
      </c>
      <c r="Z558">
        <v>5.4379099999999996E-4</v>
      </c>
      <c r="AA558">
        <v>0.99721439999999995</v>
      </c>
      <c r="AB558">
        <v>34</v>
      </c>
      <c r="AC558">
        <v>153.8817</v>
      </c>
      <c r="AD558">
        <v>-0.41548109999999999</v>
      </c>
      <c r="AE558">
        <v>10.153</v>
      </c>
      <c r="AF558">
        <v>-11.5286287101725</v>
      </c>
      <c r="AG558">
        <v>-0.41548109999999999</v>
      </c>
      <c r="AH558">
        <v>153.78363527574299</v>
      </c>
      <c r="AI558">
        <v>90.154363914728506</v>
      </c>
      <c r="AJ558">
        <v>94.287247547584499</v>
      </c>
      <c r="AK558">
        <v>154.21572028526899</v>
      </c>
      <c r="AL558">
        <v>79.176948541261098</v>
      </c>
      <c r="AM558">
        <v>85.223379677926005</v>
      </c>
      <c r="AN558">
        <v>1.0000000159725499</v>
      </c>
    </row>
    <row r="559" spans="1:40" x14ac:dyDescent="0.25">
      <c r="A559" t="str">
        <f>"20190303170728365"</f>
        <v>20190303170728365</v>
      </c>
      <c r="B559" t="str">
        <f>"1551604048352432"</f>
        <v>1551604048352432</v>
      </c>
      <c r="C559" t="s">
        <v>40</v>
      </c>
      <c r="D559">
        <v>4.6894349999999996</v>
      </c>
      <c r="E559">
        <v>0.44309569999999998</v>
      </c>
      <c r="F559" t="s">
        <v>44</v>
      </c>
      <c r="G559">
        <v>-158.19499999999999</v>
      </c>
      <c r="H559">
        <v>0.65310100000000004</v>
      </c>
      <c r="I559">
        <v>378.27280000000002</v>
      </c>
      <c r="J559">
        <v>-311.7484</v>
      </c>
      <c r="K559">
        <v>1.074584</v>
      </c>
      <c r="L559">
        <v>368.04250000000002</v>
      </c>
      <c r="M559">
        <v>0.99985029999999997</v>
      </c>
      <c r="N559">
        <v>-1.449571E-2</v>
      </c>
      <c r="O559">
        <v>-9.4567430000000001E-3</v>
      </c>
      <c r="P559">
        <v>0.98066989999999998</v>
      </c>
      <c r="Q559">
        <v>0.1737522</v>
      </c>
      <c r="R559">
        <v>-8.9981539999999999E-2</v>
      </c>
      <c r="S559">
        <v>3.0793759999999999</v>
      </c>
      <c r="T559">
        <v>-8.4481239999999996E-3</v>
      </c>
      <c r="U559">
        <v>0.2046509</v>
      </c>
      <c r="V559">
        <v>8.0949279999999998E-2</v>
      </c>
      <c r="W559">
        <v>0.1878552</v>
      </c>
      <c r="X559">
        <v>0.97885529999999998</v>
      </c>
      <c r="Y559">
        <v>-7.5743779999999997E-2</v>
      </c>
      <c r="Z559">
        <v>5.4239230000000004E-4</v>
      </c>
      <c r="AA559">
        <v>0.99712719999999999</v>
      </c>
      <c r="AB559">
        <v>34</v>
      </c>
      <c r="AC559">
        <v>153.55340000000001</v>
      </c>
      <c r="AD559">
        <v>-0.421483</v>
      </c>
      <c r="AE559">
        <v>10.2303</v>
      </c>
      <c r="AF559">
        <v>-11.6820223179467</v>
      </c>
      <c r="AG559">
        <v>-0.421483</v>
      </c>
      <c r="AH559">
        <v>153.44862577544299</v>
      </c>
      <c r="AI559">
        <v>90.156921953659307</v>
      </c>
      <c r="AJ559">
        <v>94.353521953254003</v>
      </c>
      <c r="AK559">
        <v>153.89323586736401</v>
      </c>
      <c r="AL559">
        <v>79.172357821566493</v>
      </c>
      <c r="AM559">
        <v>85.272516633986896</v>
      </c>
      <c r="AN559">
        <v>1.0000000302188199</v>
      </c>
    </row>
    <row r="560" spans="1:40" x14ac:dyDescent="0.25">
      <c r="A560" t="str">
        <f>"20190303170728387"</f>
        <v>20190303170728387</v>
      </c>
      <c r="B560" t="str">
        <f>"1551604048372928"</f>
        <v>1551604048372928</v>
      </c>
      <c r="C560" t="s">
        <v>40</v>
      </c>
      <c r="D560">
        <v>4.7264980000000003</v>
      </c>
      <c r="E560">
        <v>0.4428242</v>
      </c>
      <c r="F560" t="s">
        <v>44</v>
      </c>
      <c r="G560">
        <v>-158.19499999999999</v>
      </c>
      <c r="H560">
        <v>0.69196990000000003</v>
      </c>
      <c r="I560">
        <v>378.4323</v>
      </c>
      <c r="J560">
        <v>-311.39460000000003</v>
      </c>
      <c r="K560">
        <v>1.0738760000000001</v>
      </c>
      <c r="L560">
        <v>368.03859999999997</v>
      </c>
      <c r="M560">
        <v>0.99984830000000002</v>
      </c>
      <c r="N560">
        <v>-1.4255489999999999E-2</v>
      </c>
      <c r="O560">
        <v>-1.000818E-2</v>
      </c>
      <c r="P560">
        <v>0.98041869999999998</v>
      </c>
      <c r="Q560">
        <v>0.17536009999999999</v>
      </c>
      <c r="R560">
        <v>-8.9600349999999995E-2</v>
      </c>
      <c r="S560">
        <v>3.0796199999999998</v>
      </c>
      <c r="T560">
        <v>-7.6718330000000003E-3</v>
      </c>
      <c r="U560">
        <v>0.208374</v>
      </c>
      <c r="V560">
        <v>8.0029890000000006E-2</v>
      </c>
      <c r="W560">
        <v>0.18922639999999999</v>
      </c>
      <c r="X560">
        <v>0.9786667</v>
      </c>
      <c r="Y560">
        <v>-7.7488559999999998E-2</v>
      </c>
      <c r="Z560">
        <v>5.3179010000000001E-4</v>
      </c>
      <c r="AA560">
        <v>0.99699309999999997</v>
      </c>
      <c r="AB560">
        <v>34</v>
      </c>
      <c r="AC560">
        <v>153.1996</v>
      </c>
      <c r="AD560">
        <v>-0.38190609999999903</v>
      </c>
      <c r="AE560">
        <v>10.393700000000001</v>
      </c>
      <c r="AF560">
        <v>-11.926510554099499</v>
      </c>
      <c r="AG560">
        <v>-0.38190609999999903</v>
      </c>
      <c r="AH560">
        <v>153.08694615812601</v>
      </c>
      <c r="AI560">
        <v>90.142503715629502</v>
      </c>
      <c r="AJ560">
        <v>94.454731436839793</v>
      </c>
      <c r="AK560">
        <v>153.55129628331801</v>
      </c>
      <c r="AL560">
        <v>79.092358339210506</v>
      </c>
      <c r="AM560">
        <v>85.325073528469304</v>
      </c>
      <c r="AN560">
        <v>0.99999996171963002</v>
      </c>
    </row>
    <row r="561" spans="1:40" x14ac:dyDescent="0.25">
      <c r="A561" t="str">
        <f>"20190303170728410"</f>
        <v>20190303170728410</v>
      </c>
      <c r="B561" t="str">
        <f>"1551604048403184"</f>
        <v>1551604048403184</v>
      </c>
      <c r="C561" t="s">
        <v>40</v>
      </c>
      <c r="D561">
        <v>4.7206519999999896</v>
      </c>
      <c r="E561">
        <v>0.44242120000000001</v>
      </c>
      <c r="F561" t="s">
        <v>44</v>
      </c>
      <c r="G561">
        <v>-158.19499999999999</v>
      </c>
      <c r="H561">
        <v>0.94837380000000004</v>
      </c>
      <c r="I561">
        <v>378.56810000000002</v>
      </c>
      <c r="J561">
        <v>-311.06389999999999</v>
      </c>
      <c r="K561">
        <v>1.0733159999999999</v>
      </c>
      <c r="L561">
        <v>368.03469999999999</v>
      </c>
      <c r="M561">
        <v>0.99984589999999995</v>
      </c>
      <c r="N561">
        <v>-1.4064739999999999E-2</v>
      </c>
      <c r="O561">
        <v>-1.05221E-2</v>
      </c>
      <c r="P561">
        <v>0.9802379</v>
      </c>
      <c r="Q561">
        <v>0.17628460000000001</v>
      </c>
      <c r="R561">
        <v>-8.9764679999999999E-2</v>
      </c>
      <c r="S561">
        <v>3.0797119999999998</v>
      </c>
      <c r="T561">
        <v>-2.521157E-3</v>
      </c>
      <c r="U561">
        <v>0.21166989999999999</v>
      </c>
      <c r="V561">
        <v>7.9691479999999995E-2</v>
      </c>
      <c r="W561">
        <v>0.18996279999999999</v>
      </c>
      <c r="X561">
        <v>0.97855170000000002</v>
      </c>
      <c r="Y561">
        <v>-7.9061820000000005E-2</v>
      </c>
      <c r="Z561">
        <v>4.497913E-4</v>
      </c>
      <c r="AA561">
        <v>0.99686960000000002</v>
      </c>
      <c r="AB561">
        <v>34</v>
      </c>
      <c r="AC561">
        <v>152.8689</v>
      </c>
      <c r="AD561">
        <v>-0.124942199999999</v>
      </c>
      <c r="AE561">
        <v>10.5334</v>
      </c>
      <c r="AF561">
        <v>-12.1414693808655</v>
      </c>
      <c r="AG561">
        <v>-0.124942199999999</v>
      </c>
      <c r="AH561">
        <v>152.74948969789699</v>
      </c>
      <c r="AI561">
        <v>90.046718004691598</v>
      </c>
      <c r="AJ561">
        <v>94.544666055767493</v>
      </c>
      <c r="AK561">
        <v>153.231320206568</v>
      </c>
      <c r="AL561">
        <v>79.049386891289899</v>
      </c>
      <c r="AM561">
        <v>85.344209916176894</v>
      </c>
      <c r="AN561">
        <v>1.0000000134706599</v>
      </c>
    </row>
    <row r="562" spans="1:40" x14ac:dyDescent="0.25">
      <c r="A562" t="str">
        <f>"20190303170728431"</f>
        <v>20190303170728431</v>
      </c>
      <c r="B562" t="str">
        <f>"1551604048422704"</f>
        <v>1551604048422704</v>
      </c>
      <c r="C562" t="s">
        <v>40</v>
      </c>
      <c r="D562">
        <v>4.7659010000000004</v>
      </c>
      <c r="E562">
        <v>0.44232890000000002</v>
      </c>
      <c r="F562" t="s">
        <v>44</v>
      </c>
      <c r="G562">
        <v>-158.19499999999999</v>
      </c>
      <c r="H562">
        <v>1.1145510000000001</v>
      </c>
      <c r="I562">
        <v>378.69650000000001</v>
      </c>
      <c r="J562">
        <v>-310.7355</v>
      </c>
      <c r="K562">
        <v>1.0728610000000001</v>
      </c>
      <c r="L562">
        <v>368.03070000000002</v>
      </c>
      <c r="M562">
        <v>0.99984249999999997</v>
      </c>
      <c r="N562">
        <v>-1.390767E-2</v>
      </c>
      <c r="O562">
        <v>-1.103231E-2</v>
      </c>
      <c r="P562">
        <v>0.98009020000000002</v>
      </c>
      <c r="Q562">
        <v>0.1767852</v>
      </c>
      <c r="R562">
        <v>-9.0389860000000002E-2</v>
      </c>
      <c r="S562">
        <v>3.0800169999999998</v>
      </c>
      <c r="T562">
        <v>8.3255769999999996E-4</v>
      </c>
      <c r="U562">
        <v>0.21481320000000001</v>
      </c>
      <c r="V562">
        <v>7.9815490000000003E-2</v>
      </c>
      <c r="W562">
        <v>0.1903097</v>
      </c>
      <c r="X562">
        <v>0.97847419999999996</v>
      </c>
      <c r="Y562">
        <v>-8.0576610000000007E-2</v>
      </c>
      <c r="Z562">
        <v>3.9392440000000001E-4</v>
      </c>
      <c r="AA562">
        <v>0.99674830000000003</v>
      </c>
      <c r="AB562">
        <v>34</v>
      </c>
      <c r="AC562">
        <v>152.54050000000001</v>
      </c>
      <c r="AD562">
        <v>4.1689999999999998E-2</v>
      </c>
      <c r="AE562">
        <v>10.6657999999999</v>
      </c>
      <c r="AF562">
        <v>-12.3481865857648</v>
      </c>
      <c r="AG562">
        <v>4.1689999999999998E-2</v>
      </c>
      <c r="AH562">
        <v>152.41352381537899</v>
      </c>
      <c r="AI562">
        <v>89.984378945563193</v>
      </c>
      <c r="AJ562">
        <v>94.631853206939297</v>
      </c>
      <c r="AK562">
        <v>152.912921925631</v>
      </c>
      <c r="AL562">
        <v>79.029141818951601</v>
      </c>
      <c r="AM562">
        <v>85.336629139582499</v>
      </c>
      <c r="AN562">
        <v>1.0000000272118299</v>
      </c>
    </row>
    <row r="563" spans="1:40" x14ac:dyDescent="0.25">
      <c r="A563" t="str">
        <f>"20190303170728451"</f>
        <v>20190303170728451</v>
      </c>
      <c r="B563" t="str">
        <f>"1551604048443200"</f>
        <v>1551604048443200</v>
      </c>
      <c r="C563" t="s">
        <v>40</v>
      </c>
      <c r="D563">
        <v>4.7454349999999996</v>
      </c>
      <c r="E563">
        <v>0.4422162</v>
      </c>
      <c r="F563" t="s">
        <v>44</v>
      </c>
      <c r="G563">
        <v>-158.19499999999999</v>
      </c>
      <c r="H563">
        <v>1.170393</v>
      </c>
      <c r="I563">
        <v>378.61720000000003</v>
      </c>
      <c r="J563">
        <v>-310.41129999999998</v>
      </c>
      <c r="K563">
        <v>1.072478</v>
      </c>
      <c r="L563">
        <v>368.02659999999997</v>
      </c>
      <c r="M563">
        <v>0.99983869999999997</v>
      </c>
      <c r="N563">
        <v>-1.377627E-2</v>
      </c>
      <c r="O563">
        <v>-1.15365E-2</v>
      </c>
      <c r="P563">
        <v>0.97999069999999999</v>
      </c>
      <c r="Q563">
        <v>0.176781299999999</v>
      </c>
      <c r="R563">
        <v>-9.1471419999999998E-2</v>
      </c>
      <c r="S563">
        <v>3.080292</v>
      </c>
      <c r="T563">
        <v>1.9712449999999999E-3</v>
      </c>
      <c r="U563">
        <v>0.21377560000000001</v>
      </c>
      <c r="V563">
        <v>8.0400050000000001E-2</v>
      </c>
      <c r="W563">
        <v>0.19017680000000001</v>
      </c>
      <c r="X563">
        <v>0.97845210000000005</v>
      </c>
      <c r="Y563">
        <v>-8.073901E-2</v>
      </c>
      <c r="Z563">
        <v>3.6492350000000002E-4</v>
      </c>
      <c r="AA563">
        <v>0.99673520000000004</v>
      </c>
      <c r="AB563">
        <v>34</v>
      </c>
      <c r="AC563">
        <v>152.21629999999999</v>
      </c>
      <c r="AD563">
        <v>9.7914999999999905E-2</v>
      </c>
      <c r="AE563">
        <v>10.5906</v>
      </c>
      <c r="AF563">
        <v>-12.3460997419647</v>
      </c>
      <c r="AG563">
        <v>9.7914999999999905E-2</v>
      </c>
      <c r="AH563">
        <v>152.08391578509799</v>
      </c>
      <c r="AI563">
        <v>89.963232662262996</v>
      </c>
      <c r="AJ563">
        <v>94.641066851894394</v>
      </c>
      <c r="AK563">
        <v>152.58424953682001</v>
      </c>
      <c r="AL563">
        <v>79.036897197481693</v>
      </c>
      <c r="AM563">
        <v>85.302521779787597</v>
      </c>
      <c r="AN563">
        <v>0.99999994764632405</v>
      </c>
    </row>
    <row r="564" spans="1:40" x14ac:dyDescent="0.25">
      <c r="A564" t="str">
        <f>"20190303170728475"</f>
        <v>20190303170728475</v>
      </c>
      <c r="B564" t="str">
        <f>"1551604048462720"</f>
        <v>1551604048462720</v>
      </c>
      <c r="C564" t="s">
        <v>40</v>
      </c>
      <c r="D564">
        <v>4.7673170000000002</v>
      </c>
      <c r="E564">
        <v>0.44213999999999998</v>
      </c>
      <c r="F564" t="s">
        <v>44</v>
      </c>
      <c r="G564">
        <v>-158.19499999999999</v>
      </c>
      <c r="H564">
        <v>1.157662</v>
      </c>
      <c r="I564">
        <v>378.46109999999999</v>
      </c>
      <c r="J564">
        <v>-310.07089999999999</v>
      </c>
      <c r="K564">
        <v>1.072147</v>
      </c>
      <c r="L564">
        <v>368.02199999999999</v>
      </c>
      <c r="M564">
        <v>0.999834</v>
      </c>
      <c r="N564">
        <v>-1.3662840000000001E-2</v>
      </c>
      <c r="O564">
        <v>-1.206432E-2</v>
      </c>
      <c r="P564">
        <v>0.97991669999999997</v>
      </c>
      <c r="Q564">
        <v>0.1767012</v>
      </c>
      <c r="R564">
        <v>-9.2413590000000004E-2</v>
      </c>
      <c r="S564">
        <v>3.0806580000000001</v>
      </c>
      <c r="T564">
        <v>1.725793E-3</v>
      </c>
      <c r="U564">
        <v>0.2111816</v>
      </c>
      <c r="V564">
        <v>8.082172E-2</v>
      </c>
      <c r="W564">
        <v>0.18998670000000001</v>
      </c>
      <c r="X564">
        <v>0.97845439999999995</v>
      </c>
      <c r="Y564">
        <v>-8.0421599999999996E-2</v>
      </c>
      <c r="Z564">
        <v>3.5617860000000001E-4</v>
      </c>
      <c r="AA564">
        <v>0.9967608</v>
      </c>
      <c r="AB564">
        <v>34</v>
      </c>
      <c r="AC564">
        <v>151.8759</v>
      </c>
      <c r="AD564">
        <v>8.5515000000000202E-2</v>
      </c>
      <c r="AE564">
        <v>10.4390999999999</v>
      </c>
      <c r="AF564">
        <v>-12.2707865373897</v>
      </c>
      <c r="AG564">
        <v>8.5515000000000202E-2</v>
      </c>
      <c r="AH564">
        <v>151.73884466988099</v>
      </c>
      <c r="AI564">
        <v>89.967815061724906</v>
      </c>
      <c r="AJ564">
        <v>94.623322922622094</v>
      </c>
      <c r="AK564">
        <v>152.234215920113</v>
      </c>
      <c r="AL564">
        <v>79.047992579571002</v>
      </c>
      <c r="AM564">
        <v>85.278007324494098</v>
      </c>
      <c r="AN564">
        <v>1.0000000547400001</v>
      </c>
    </row>
    <row r="565" spans="1:40" x14ac:dyDescent="0.25">
      <c r="A565" t="str">
        <f>"20190303170728498"</f>
        <v>20190303170728498</v>
      </c>
      <c r="B565" t="str">
        <f>"1551604048492506"</f>
        <v>1551604048492506</v>
      </c>
      <c r="C565" t="s">
        <v>40</v>
      </c>
      <c r="D565">
        <v>4.8025890000000002</v>
      </c>
      <c r="E565">
        <v>0.44194749999999999</v>
      </c>
      <c r="F565" t="s">
        <v>44</v>
      </c>
      <c r="G565">
        <v>-158.19499999999999</v>
      </c>
      <c r="H565">
        <v>1.0989450000000001</v>
      </c>
      <c r="I565">
        <v>378.2801</v>
      </c>
      <c r="J565">
        <v>-309.72109999999998</v>
      </c>
      <c r="K565">
        <v>1.071871</v>
      </c>
      <c r="L565">
        <v>368.0172</v>
      </c>
      <c r="M565">
        <v>0.99982850000000001</v>
      </c>
      <c r="N565">
        <v>-1.3569950000000001E-2</v>
      </c>
      <c r="O565">
        <v>-1.260434E-2</v>
      </c>
      <c r="P565">
        <v>0.97974660000000002</v>
      </c>
      <c r="Q565">
        <v>0.177041</v>
      </c>
      <c r="R565">
        <v>-9.3558260000000004E-2</v>
      </c>
      <c r="S565">
        <v>3.0810240000000002</v>
      </c>
      <c r="T565">
        <v>5.4538250000000003E-4</v>
      </c>
      <c r="U565">
        <v>0.20809939999999999</v>
      </c>
      <c r="V565">
        <v>8.1435789999999994E-2</v>
      </c>
      <c r="W565">
        <v>0.1902343</v>
      </c>
      <c r="X565">
        <v>0.97835530000000004</v>
      </c>
      <c r="Y565">
        <v>-7.9959150000000007E-2</v>
      </c>
      <c r="Z565">
        <v>3.6302630000000001E-4</v>
      </c>
      <c r="AA565">
        <v>0.99679810000000002</v>
      </c>
      <c r="AB565">
        <v>34</v>
      </c>
      <c r="AC565">
        <v>151.52610000000001</v>
      </c>
      <c r="AD565">
        <v>2.7074000000000001E-2</v>
      </c>
      <c r="AE565">
        <v>10.2629</v>
      </c>
      <c r="AF565">
        <v>-12.172146514108601</v>
      </c>
      <c r="AG565">
        <v>2.7074000000000001E-2</v>
      </c>
      <c r="AH565">
        <v>151.384687075199</v>
      </c>
      <c r="AI565">
        <v>89.989786049228002</v>
      </c>
      <c r="AJ565">
        <v>94.5970005856271</v>
      </c>
      <c r="AK565">
        <v>151.873254276777</v>
      </c>
      <c r="AL565">
        <v>79.033541841778998</v>
      </c>
      <c r="AM565">
        <v>85.241814778108605</v>
      </c>
      <c r="AN565">
        <v>0.99999998491375197</v>
      </c>
    </row>
    <row r="566" spans="1:40" x14ac:dyDescent="0.25">
      <c r="A566" t="str">
        <f>"20190303170728522"</f>
        <v>20190303170728522</v>
      </c>
      <c r="B566" t="str">
        <f>"1551604048513003"</f>
        <v>1551604048513003</v>
      </c>
      <c r="C566" t="s">
        <v>40</v>
      </c>
      <c r="D566">
        <v>4.8088899999999999</v>
      </c>
      <c r="E566">
        <v>0.44177230000000001</v>
      </c>
      <c r="F566" t="s">
        <v>44</v>
      </c>
      <c r="G566">
        <v>-158.19499999999999</v>
      </c>
      <c r="H566">
        <v>1.1588400000000001</v>
      </c>
      <c r="I566">
        <v>378.19470000000001</v>
      </c>
      <c r="J566">
        <v>-309.35019999999997</v>
      </c>
      <c r="K566">
        <v>1.071631</v>
      </c>
      <c r="L566">
        <v>368.01190000000003</v>
      </c>
      <c r="M566">
        <v>0.99982219999999999</v>
      </c>
      <c r="N566">
        <v>-1.349231E-2</v>
      </c>
      <c r="O566">
        <v>-1.317514E-2</v>
      </c>
      <c r="P566">
        <v>0.97939339999999997</v>
      </c>
      <c r="Q566">
        <v>0.17851049999999999</v>
      </c>
      <c r="R566">
        <v>-9.4459470000000004E-2</v>
      </c>
      <c r="S566">
        <v>3.0814509999999999</v>
      </c>
      <c r="T566">
        <v>1.7703770000000001E-3</v>
      </c>
      <c r="U566">
        <v>0.20697019999999999</v>
      </c>
      <c r="V566">
        <v>8.1780530000000004E-2</v>
      </c>
      <c r="W566">
        <v>0.1916245</v>
      </c>
      <c r="X566">
        <v>0.97805520000000001</v>
      </c>
      <c r="Y566">
        <v>-8.0155359999999995E-2</v>
      </c>
      <c r="Z566">
        <v>3.3325640000000001E-4</v>
      </c>
      <c r="AA566">
        <v>0.99678230000000001</v>
      </c>
      <c r="AB566">
        <v>34</v>
      </c>
      <c r="AC566">
        <v>151.15519999999901</v>
      </c>
      <c r="AD566">
        <v>8.7208999999999801E-2</v>
      </c>
      <c r="AE566">
        <v>10.182799999999901</v>
      </c>
      <c r="AF566">
        <v>-12.173584135937899</v>
      </c>
      <c r="AG566">
        <v>8.7208999999999801E-2</v>
      </c>
      <c r="AH566">
        <v>151.007855892842</v>
      </c>
      <c r="AI566">
        <v>89.967017945572906</v>
      </c>
      <c r="AJ566">
        <v>94.608964723031505</v>
      </c>
      <c r="AK566">
        <v>151.49777654301599</v>
      </c>
      <c r="AL566">
        <v>78.952396519251195</v>
      </c>
      <c r="AM566">
        <v>85.220305814926405</v>
      </c>
      <c r="AN566">
        <v>0.99999998916718502</v>
      </c>
    </row>
    <row r="567" spans="1:40" x14ac:dyDescent="0.25">
      <c r="A567" t="str">
        <f>"20190303170728543"</f>
        <v>20190303170728543</v>
      </c>
      <c r="B567" t="str">
        <f>"1551604048532523"</f>
        <v>1551604048532523</v>
      </c>
      <c r="C567" t="s">
        <v>40</v>
      </c>
      <c r="D567">
        <v>4.779191</v>
      </c>
      <c r="E567">
        <v>0.44157220000000003</v>
      </c>
      <c r="F567" t="s">
        <v>44</v>
      </c>
      <c r="G567">
        <v>-158.19499999999999</v>
      </c>
      <c r="H567">
        <v>1.397524</v>
      </c>
      <c r="I567">
        <v>378.10219999999998</v>
      </c>
      <c r="J567">
        <v>-309.04309999999998</v>
      </c>
      <c r="K567">
        <v>1.0714680000000001</v>
      </c>
      <c r="L567">
        <v>368.00729999999999</v>
      </c>
      <c r="M567">
        <v>0.9998167</v>
      </c>
      <c r="N567">
        <v>-1.344222E-2</v>
      </c>
      <c r="O567">
        <v>-1.364663E-2</v>
      </c>
      <c r="P567">
        <v>0.97913640000000002</v>
      </c>
      <c r="Q567">
        <v>0.1794637</v>
      </c>
      <c r="R567">
        <v>-9.531626E-2</v>
      </c>
      <c r="S567">
        <v>3.0817260000000002</v>
      </c>
      <c r="T567">
        <v>6.6460369999999996E-3</v>
      </c>
      <c r="U567">
        <v>0.20571900000000001</v>
      </c>
      <c r="V567">
        <v>8.2177559999999997E-2</v>
      </c>
      <c r="W567">
        <v>0.19252620000000001</v>
      </c>
      <c r="X567">
        <v>0.97784479999999996</v>
      </c>
      <c r="Y567">
        <v>-8.0216899999999994E-2</v>
      </c>
      <c r="Z567">
        <v>2.407384E-4</v>
      </c>
      <c r="AA567">
        <v>0.99677740000000004</v>
      </c>
      <c r="AB567">
        <v>34</v>
      </c>
      <c r="AC567">
        <v>150.84809999999999</v>
      </c>
      <c r="AD567">
        <v>0.32605599999999901</v>
      </c>
      <c r="AE567">
        <v>10.0948999999999</v>
      </c>
      <c r="AF567">
        <v>-12.1526571220408</v>
      </c>
      <c r="AG567">
        <v>0.32605599999999901</v>
      </c>
      <c r="AH567">
        <v>150.69557585061099</v>
      </c>
      <c r="AI567">
        <v>89.876431997399195</v>
      </c>
      <c r="AJ567">
        <v>94.610569273692903</v>
      </c>
      <c r="AK567">
        <v>151.18515128341201</v>
      </c>
      <c r="AL567">
        <v>78.899752489208893</v>
      </c>
      <c r="AM567">
        <v>85.196180964548205</v>
      </c>
      <c r="AN567">
        <v>0.99999997097051596</v>
      </c>
    </row>
    <row r="568" spans="1:40" x14ac:dyDescent="0.25">
      <c r="A568" t="str">
        <f>"20190303170728564"</f>
        <v>20190303170728564</v>
      </c>
      <c r="B568" t="str">
        <f>"1551604048553019"</f>
        <v>1551604048553019</v>
      </c>
      <c r="C568" t="s">
        <v>40</v>
      </c>
      <c r="D568">
        <v>4.7880710000000004</v>
      </c>
      <c r="E568">
        <v>0.44142009999999998</v>
      </c>
      <c r="F568" t="s">
        <v>44</v>
      </c>
      <c r="G568">
        <v>-158.19499999999999</v>
      </c>
      <c r="H568">
        <v>1.5386200000000001</v>
      </c>
      <c r="I568">
        <v>378.01769999999999</v>
      </c>
      <c r="J568">
        <v>-308.7133</v>
      </c>
      <c r="K568">
        <v>1.0713090000000001</v>
      </c>
      <c r="L568">
        <v>368.00229999999999</v>
      </c>
      <c r="M568">
        <v>0.99981019999999998</v>
      </c>
      <c r="N568">
        <v>-1.3397640000000001E-2</v>
      </c>
      <c r="O568">
        <v>-1.4152039999999999E-2</v>
      </c>
      <c r="P568">
        <v>0.97909489999999999</v>
      </c>
      <c r="Q568">
        <v>0.17936939999999901</v>
      </c>
      <c r="R568">
        <v>-9.5917080000000002E-2</v>
      </c>
      <c r="S568">
        <v>3.0820919999999998</v>
      </c>
      <c r="T568">
        <v>9.5465180000000004E-3</v>
      </c>
      <c r="U568">
        <v>0.20452880000000001</v>
      </c>
      <c r="V568">
        <v>8.2281660000000006E-2</v>
      </c>
      <c r="W568">
        <v>0.1923887</v>
      </c>
      <c r="X568">
        <v>0.97786309999999999</v>
      </c>
      <c r="Y568">
        <v>-8.0329719999999993E-2</v>
      </c>
      <c r="Z568">
        <v>1.8128029999999999E-4</v>
      </c>
      <c r="AA568">
        <v>0.9967684</v>
      </c>
      <c r="AB568">
        <v>34</v>
      </c>
      <c r="AC568">
        <v>150.51830000000001</v>
      </c>
      <c r="AD568">
        <v>0.46731099999999998</v>
      </c>
      <c r="AE568">
        <v>10.0154</v>
      </c>
      <c r="AF568">
        <v>-12.1446122581194</v>
      </c>
      <c r="AG568">
        <v>0.46731099999999998</v>
      </c>
      <c r="AH568">
        <v>150.36002963652101</v>
      </c>
      <c r="AI568">
        <v>89.822506352544394</v>
      </c>
      <c r="AJ568">
        <v>94.617768126831606</v>
      </c>
      <c r="AK568">
        <v>150.850417628743</v>
      </c>
      <c r="AL568">
        <v>78.907780654164597</v>
      </c>
      <c r="AM568">
        <v>85.190213757599395</v>
      </c>
      <c r="AN568">
        <v>0.99999996290082704</v>
      </c>
    </row>
    <row r="569" spans="1:40" x14ac:dyDescent="0.25">
      <c r="A569" t="str">
        <f>"20190303170728588"</f>
        <v>20190303170728588</v>
      </c>
      <c r="B569" t="str">
        <f>"1551604048572539"</f>
        <v>1551604048572539</v>
      </c>
      <c r="C569" t="s">
        <v>40</v>
      </c>
      <c r="D569">
        <v>4.7914469999999998</v>
      </c>
      <c r="E569">
        <v>0.44128309999999998</v>
      </c>
      <c r="F569" t="s">
        <v>44</v>
      </c>
      <c r="G569">
        <v>-158.19499999999999</v>
      </c>
      <c r="H569">
        <v>1.5024379999999999</v>
      </c>
      <c r="I569">
        <v>377.9615</v>
      </c>
      <c r="J569">
        <v>-308.36360000000002</v>
      </c>
      <c r="K569">
        <v>1.071175</v>
      </c>
      <c r="L569">
        <v>367.99669999999998</v>
      </c>
      <c r="M569">
        <v>0.99980290000000005</v>
      </c>
      <c r="N569">
        <v>-1.335751E-2</v>
      </c>
      <c r="O569">
        <v>-1.468706E-2</v>
      </c>
      <c r="P569">
        <v>0.9790972</v>
      </c>
      <c r="Q569">
        <v>0.17916029999999999</v>
      </c>
      <c r="R569">
        <v>-9.6282019999999996E-2</v>
      </c>
      <c r="S569">
        <v>3.0823969999999998</v>
      </c>
      <c r="T569">
        <v>8.8306670000000004E-3</v>
      </c>
      <c r="U569">
        <v>0.20394899999999999</v>
      </c>
      <c r="V569">
        <v>8.2121E-2</v>
      </c>
      <c r="W569">
        <v>0.1921416</v>
      </c>
      <c r="X569">
        <v>0.97792520000000005</v>
      </c>
      <c r="Y569">
        <v>-8.0669829999999998E-2</v>
      </c>
      <c r="Z569">
        <v>1.85964E-4</v>
      </c>
      <c r="AA569">
        <v>0.99674090000000004</v>
      </c>
      <c r="AB569">
        <v>34</v>
      </c>
      <c r="AC569">
        <v>150.1686</v>
      </c>
      <c r="AD569">
        <v>0.43126300000000001</v>
      </c>
      <c r="AE569">
        <v>9.9648000000000199</v>
      </c>
      <c r="AF569">
        <v>-12.1693571254873</v>
      </c>
      <c r="AG569">
        <v>0.43126300000000001</v>
      </c>
      <c r="AH569">
        <v>150.004801393767</v>
      </c>
      <c r="AI569">
        <v>89.835814798342795</v>
      </c>
      <c r="AJ569">
        <v>94.638045927530797</v>
      </c>
      <c r="AK569">
        <v>150.498238135223</v>
      </c>
      <c r="AL569">
        <v>78.922207740378894</v>
      </c>
      <c r="AM569">
        <v>85.199864642333296</v>
      </c>
      <c r="AN569">
        <v>0.99999997494329895</v>
      </c>
    </row>
    <row r="570" spans="1:40" x14ac:dyDescent="0.25">
      <c r="A570" t="str">
        <f>"20190303170728610"</f>
        <v>20190303170728610</v>
      </c>
      <c r="B570" t="str">
        <f>"1551604048602325"</f>
        <v>1551604048602325</v>
      </c>
      <c r="C570" t="s">
        <v>40</v>
      </c>
      <c r="D570">
        <v>4.7906519999999997</v>
      </c>
      <c r="E570">
        <v>0.44112430000000002</v>
      </c>
      <c r="F570" t="s">
        <v>44</v>
      </c>
      <c r="G570">
        <v>-158.19499999999999</v>
      </c>
      <c r="H570">
        <v>1.4619390000000001</v>
      </c>
      <c r="I570">
        <v>377.92020000000002</v>
      </c>
      <c r="J570">
        <v>-308.02589999999998</v>
      </c>
      <c r="K570">
        <v>1.07107</v>
      </c>
      <c r="L570">
        <v>367.99119999999999</v>
      </c>
      <c r="M570">
        <v>0.99979569999999995</v>
      </c>
      <c r="N570">
        <v>-1.3324590000000001E-2</v>
      </c>
      <c r="O570">
        <v>-1.520379E-2</v>
      </c>
      <c r="P570">
        <v>0.97911060000000005</v>
      </c>
      <c r="Q570">
        <v>0.17892549999999999</v>
      </c>
      <c r="R570">
        <v>-9.6584699999999996E-2</v>
      </c>
      <c r="S570">
        <v>3.082611</v>
      </c>
      <c r="T570">
        <v>8.0232619999999998E-3</v>
      </c>
      <c r="U570">
        <v>0.20370479999999999</v>
      </c>
      <c r="V570">
        <v>8.1915840000000004E-2</v>
      </c>
      <c r="W570">
        <v>0.1918763</v>
      </c>
      <c r="X570">
        <v>0.97799449999999999</v>
      </c>
      <c r="Y570">
        <v>-8.1101740000000005E-2</v>
      </c>
      <c r="Z570">
        <v>1.9362059999999999E-4</v>
      </c>
      <c r="AA570">
        <v>0.99670579999999998</v>
      </c>
      <c r="AB570">
        <v>34</v>
      </c>
      <c r="AC570">
        <v>149.83090000000001</v>
      </c>
      <c r="AD570">
        <v>0.39086899999999902</v>
      </c>
      <c r="AE570">
        <v>9.9290000000000305</v>
      </c>
      <c r="AF570">
        <v>-12.205969083265201</v>
      </c>
      <c r="AG570">
        <v>0.39086899999999902</v>
      </c>
      <c r="AH570">
        <v>149.661592937211</v>
      </c>
      <c r="AI570">
        <v>89.850856981182801</v>
      </c>
      <c r="AJ570">
        <v>94.662559491953004</v>
      </c>
      <c r="AK570">
        <v>150.15901857810701</v>
      </c>
      <c r="AL570">
        <v>78.937696572269203</v>
      </c>
      <c r="AM570">
        <v>85.212138536891601</v>
      </c>
      <c r="AN570">
        <v>0.99999998068742202</v>
      </c>
    </row>
    <row r="571" spans="1:40" x14ac:dyDescent="0.25">
      <c r="A571" t="str">
        <f>"20190303170728631"</f>
        <v>20190303170728631</v>
      </c>
      <c r="B571" t="str">
        <f>"1551604048622821"</f>
        <v>1551604048622821</v>
      </c>
      <c r="C571" t="s">
        <v>40</v>
      </c>
      <c r="D571">
        <v>4.7859369999999997</v>
      </c>
      <c r="E571">
        <v>0.44101679999999999</v>
      </c>
      <c r="F571" t="s">
        <v>44</v>
      </c>
      <c r="G571">
        <v>-158.19499999999999</v>
      </c>
      <c r="H571">
        <v>1.4075359999999999</v>
      </c>
      <c r="I571">
        <v>377.90789999999998</v>
      </c>
      <c r="J571">
        <v>-307.70389999999998</v>
      </c>
      <c r="K571">
        <v>1.0709879999999901</v>
      </c>
      <c r="L571">
        <v>367.98579999999998</v>
      </c>
      <c r="M571">
        <v>0.99978840000000002</v>
      </c>
      <c r="N571">
        <v>-1.329699E-2</v>
      </c>
      <c r="O571">
        <v>-1.5695069999999998E-2</v>
      </c>
      <c r="P571">
        <v>0.97899849999999999</v>
      </c>
      <c r="Q571">
        <v>0.17917659999999999</v>
      </c>
      <c r="R571">
        <v>-9.7250589999999998E-2</v>
      </c>
      <c r="S571">
        <v>3.0828549999999999</v>
      </c>
      <c r="T571">
        <v>6.9247479999999997E-3</v>
      </c>
      <c r="U571">
        <v>0.20404050000000001</v>
      </c>
      <c r="V571">
        <v>8.2101579999999993E-2</v>
      </c>
      <c r="W571">
        <v>0.19209950000000001</v>
      </c>
      <c r="X571">
        <v>0.97793509999999995</v>
      </c>
      <c r="Y571">
        <v>-8.1694260000000005E-2</v>
      </c>
      <c r="Z571">
        <v>2.0843190000000001E-4</v>
      </c>
      <c r="AA571">
        <v>0.99665740000000003</v>
      </c>
      <c r="AB571">
        <v>34</v>
      </c>
      <c r="AC571">
        <v>149.50889999999899</v>
      </c>
      <c r="AD571">
        <v>0.33654800000000001</v>
      </c>
      <c r="AE571">
        <v>9.9221000000000004</v>
      </c>
      <c r="AF571">
        <v>-12.2675758760588</v>
      </c>
      <c r="AG571">
        <v>0.33654800000000001</v>
      </c>
      <c r="AH571">
        <v>149.33398575792</v>
      </c>
      <c r="AI571">
        <v>89.871308522359001</v>
      </c>
      <c r="AJ571">
        <v>94.696222274232497</v>
      </c>
      <c r="AK571">
        <v>149.83739848508401</v>
      </c>
      <c r="AL571">
        <v>78.924665665571993</v>
      </c>
      <c r="AM571">
        <v>85.201042832876695</v>
      </c>
      <c r="AN571">
        <v>0.99999997357537695</v>
      </c>
    </row>
    <row r="572" spans="1:40" x14ac:dyDescent="0.25">
      <c r="A572" t="str">
        <f>"20190303170728653"</f>
        <v>20190303170728653</v>
      </c>
      <c r="B572" t="str">
        <f>"1551604048642342"</f>
        <v>1551604048642342</v>
      </c>
      <c r="C572" t="s">
        <v>40</v>
      </c>
      <c r="D572">
        <v>4.8016839999999998</v>
      </c>
      <c r="E572">
        <v>0.44094299999999997</v>
      </c>
      <c r="F572" t="s">
        <v>44</v>
      </c>
      <c r="G572">
        <v>-158.19499999999999</v>
      </c>
      <c r="H572">
        <v>1.4160469999999901</v>
      </c>
      <c r="I572">
        <v>377.82089999999999</v>
      </c>
      <c r="J572">
        <v>-307.37360000000001</v>
      </c>
      <c r="K572">
        <v>1.070919</v>
      </c>
      <c r="L572">
        <v>367.98</v>
      </c>
      <c r="M572">
        <v>0.99978069999999997</v>
      </c>
      <c r="N572">
        <v>-1.3271130000000001E-2</v>
      </c>
      <c r="O572">
        <v>-1.619777E-2</v>
      </c>
      <c r="P572">
        <v>0.97881229999999997</v>
      </c>
      <c r="Q572">
        <v>0.17997949999999999</v>
      </c>
      <c r="R572">
        <v>-9.76408E-2</v>
      </c>
      <c r="S572">
        <v>3.0831909999999998</v>
      </c>
      <c r="T572">
        <v>7.1176290000000003E-3</v>
      </c>
      <c r="U572">
        <v>0.20281979999999999</v>
      </c>
      <c r="V572">
        <v>8.200201E-2</v>
      </c>
      <c r="W572">
        <v>0.1928753</v>
      </c>
      <c r="X572">
        <v>0.97779079999999996</v>
      </c>
      <c r="Y572">
        <v>-8.1795290000000007E-2</v>
      </c>
      <c r="Z572">
        <v>1.969804E-4</v>
      </c>
      <c r="AA572">
        <v>0.99664909999999995</v>
      </c>
      <c r="AB572">
        <v>34</v>
      </c>
      <c r="AC572">
        <v>149.17859999999999</v>
      </c>
      <c r="AD572">
        <v>0.34512799999999899</v>
      </c>
      <c r="AE572">
        <v>9.8408999999999693</v>
      </c>
      <c r="AF572">
        <v>-12.256116947242001</v>
      </c>
      <c r="AG572">
        <v>0.34512799999999899</v>
      </c>
      <c r="AH572">
        <v>148.998816718043</v>
      </c>
      <c r="AI572">
        <v>89.867731953736694</v>
      </c>
      <c r="AJ572">
        <v>94.702362139518002</v>
      </c>
      <c r="AK572">
        <v>149.50243777055201</v>
      </c>
      <c r="AL572">
        <v>78.879369148462601</v>
      </c>
      <c r="AM572">
        <v>85.206131645245705</v>
      </c>
      <c r="AN572">
        <v>1.0000000297793801</v>
      </c>
    </row>
    <row r="573" spans="1:40" x14ac:dyDescent="0.25">
      <c r="A573" t="str">
        <f>"20190303170728677"</f>
        <v>20190303170728677</v>
      </c>
      <c r="B573" t="str">
        <f>"1551604048662837"</f>
        <v>1551604048662837</v>
      </c>
      <c r="C573" t="s">
        <v>40</v>
      </c>
      <c r="D573">
        <v>4.7757360000000002</v>
      </c>
      <c r="E573">
        <v>0.4721919</v>
      </c>
      <c r="F573" t="s">
        <v>44</v>
      </c>
      <c r="G573">
        <v>-158.19499999999999</v>
      </c>
      <c r="H573">
        <v>1.5137290000000001</v>
      </c>
      <c r="I573">
        <v>377.76600000000002</v>
      </c>
      <c r="J573">
        <v>-307.02480000000003</v>
      </c>
      <c r="K573">
        <v>1.0708519999999999</v>
      </c>
      <c r="L573">
        <v>367.97379999999998</v>
      </c>
      <c r="M573">
        <v>0.99977269999999896</v>
      </c>
      <c r="N573">
        <v>-1.323832E-2</v>
      </c>
      <c r="O573">
        <v>-1.6717280000000001E-2</v>
      </c>
      <c r="P573">
        <v>0.97866869999999995</v>
      </c>
      <c r="Q573">
        <v>0.1801661</v>
      </c>
      <c r="R573">
        <v>-9.8731550000000001E-2</v>
      </c>
      <c r="S573">
        <v>3.0834350000000001</v>
      </c>
      <c r="T573">
        <v>9.1544390000000003E-3</v>
      </c>
      <c r="U573">
        <v>0.20227049999999999</v>
      </c>
      <c r="V573">
        <v>8.2582939999999994E-2</v>
      </c>
      <c r="W573">
        <v>0.19302920000000001</v>
      </c>
      <c r="X573">
        <v>0.97771149999999996</v>
      </c>
      <c r="Y573">
        <v>-8.2131190000000007E-2</v>
      </c>
      <c r="Z573">
        <v>1.518147E-4</v>
      </c>
      <c r="AA573">
        <v>0.99662150000000005</v>
      </c>
      <c r="AB573">
        <v>34</v>
      </c>
      <c r="AC573">
        <v>148.82980000000001</v>
      </c>
      <c r="AD573">
        <v>0.44287700000000002</v>
      </c>
      <c r="AE573">
        <v>9.7921999999999798</v>
      </c>
      <c r="AF573">
        <v>-12.278970373809299</v>
      </c>
      <c r="AG573">
        <v>0.44287700000000002</v>
      </c>
      <c r="AH573">
        <v>148.643974518151</v>
      </c>
      <c r="AI573">
        <v>89.829870186195194</v>
      </c>
      <c r="AJ573">
        <v>94.722286484044105</v>
      </c>
      <c r="AK573">
        <v>149.15093165659599</v>
      </c>
      <c r="AL573">
        <v>78.870382066677095</v>
      </c>
      <c r="AM573">
        <v>85.171940499828395</v>
      </c>
      <c r="AN573">
        <v>0.99999999563196595</v>
      </c>
    </row>
    <row r="574" spans="1:40" x14ac:dyDescent="0.25">
      <c r="A574" t="str">
        <f>"20190303170728700"</f>
        <v>20190303170728700</v>
      </c>
      <c r="B574" t="str">
        <f>"1551604048692624"</f>
        <v>1551604048692624</v>
      </c>
      <c r="C574" t="s">
        <v>40</v>
      </c>
      <c r="D574">
        <v>4.8396059999999999</v>
      </c>
      <c r="E574">
        <v>0.49331459999999999</v>
      </c>
      <c r="F574" t="s">
        <v>44</v>
      </c>
      <c r="G574">
        <v>-158.19499999999999</v>
      </c>
      <c r="H574">
        <v>0.56306029999999996</v>
      </c>
      <c r="I574">
        <v>365.61869999999999</v>
      </c>
      <c r="J574">
        <v>-306.67160000000001</v>
      </c>
      <c r="K574">
        <v>1.0708040000000001</v>
      </c>
      <c r="L574">
        <v>367.96730000000002</v>
      </c>
      <c r="M574">
        <v>0.99976469999999995</v>
      </c>
      <c r="N574">
        <v>-1.319173E-2</v>
      </c>
      <c r="O574">
        <v>-1.722046E-2</v>
      </c>
      <c r="P574">
        <v>0.97857499999999997</v>
      </c>
      <c r="Q574">
        <v>0.17992929999999999</v>
      </c>
      <c r="R574">
        <v>-0.1000839</v>
      </c>
      <c r="S574">
        <v>3.0624389999999999</v>
      </c>
      <c r="T574">
        <v>-1.044691E-2</v>
      </c>
      <c r="U574">
        <v>-4.8461909999999997E-2</v>
      </c>
      <c r="V574">
        <v>8.3436250000000003E-2</v>
      </c>
      <c r="W574">
        <v>0.19274849999999999</v>
      </c>
      <c r="X574">
        <v>0.97769450000000002</v>
      </c>
      <c r="Y574">
        <v>-1.398657E-3</v>
      </c>
      <c r="Z574">
        <v>-1.5683339999999999E-4</v>
      </c>
      <c r="AA574">
        <v>0.99999899999999997</v>
      </c>
      <c r="AB574">
        <v>34</v>
      </c>
      <c r="AC574">
        <v>148.47659999999999</v>
      </c>
      <c r="AD574">
        <v>-0.50774370000000002</v>
      </c>
      <c r="AE574">
        <v>-2.34860000000003</v>
      </c>
      <c r="AF574">
        <v>-0.20880370258588599</v>
      </c>
      <c r="AG574">
        <v>-0.50774370000000002</v>
      </c>
      <c r="AH574">
        <v>148.493291000792</v>
      </c>
      <c r="AI574">
        <v>90.195910729384906</v>
      </c>
      <c r="AJ574">
        <v>90.080566353801203</v>
      </c>
      <c r="AK574">
        <v>148.494305866915</v>
      </c>
      <c r="AL574">
        <v>78.8867735661117</v>
      </c>
      <c r="AM574">
        <v>85.122208365210696</v>
      </c>
      <c r="AN574">
        <v>1.00000006369827</v>
      </c>
    </row>
    <row r="575" spans="1:40" x14ac:dyDescent="0.25">
      <c r="A575" t="str">
        <f>"20190303170728713"</f>
        <v>20190303170728713</v>
      </c>
      <c r="B575" t="str">
        <f>"1551604048702385"</f>
        <v>1551604048702385</v>
      </c>
      <c r="C575" t="s">
        <v>40</v>
      </c>
      <c r="D575">
        <v>4.83066</v>
      </c>
      <c r="E575">
        <v>0.49692219999999998</v>
      </c>
      <c r="F575" t="s">
        <v>44</v>
      </c>
      <c r="G575">
        <v>-158.19499999999999</v>
      </c>
      <c r="H575">
        <v>0.28630159999999999</v>
      </c>
      <c r="I575">
        <v>357.24099999999999</v>
      </c>
      <c r="J575">
        <v>-306.4701</v>
      </c>
      <c r="K575">
        <v>1.070784</v>
      </c>
      <c r="L575">
        <v>367.96359999999999</v>
      </c>
      <c r="M575">
        <v>0.99976039999999999</v>
      </c>
      <c r="N575">
        <v>-1.315994E-2</v>
      </c>
      <c r="O575">
        <v>-1.7492770000000001E-2</v>
      </c>
      <c r="P575">
        <v>0.97861279999999995</v>
      </c>
      <c r="Q575">
        <v>0.1794327</v>
      </c>
      <c r="R575">
        <v>-0.1006026</v>
      </c>
      <c r="S575">
        <v>3.0461429999999998</v>
      </c>
      <c r="T575">
        <v>-1.609302E-2</v>
      </c>
      <c r="U575">
        <v>-0.22006229999999999</v>
      </c>
      <c r="V575">
        <v>8.3681110000000003E-2</v>
      </c>
      <c r="W575">
        <v>0.19222349999999999</v>
      </c>
      <c r="X575">
        <v>0.97777689999999995</v>
      </c>
      <c r="Y575">
        <v>5.459319E-2</v>
      </c>
      <c r="Z575">
        <v>-6.4141969999999997E-4</v>
      </c>
      <c r="AA575">
        <v>0.99850850000000002</v>
      </c>
      <c r="AB575">
        <v>34</v>
      </c>
      <c r="AC575">
        <v>148.27510000000001</v>
      </c>
      <c r="AD575">
        <v>-0.78448239999999902</v>
      </c>
      <c r="AE575">
        <v>-10.7226</v>
      </c>
      <c r="AF575">
        <v>8.1267659519909898</v>
      </c>
      <c r="AG575">
        <v>-0.78448239999999902</v>
      </c>
      <c r="AH575">
        <v>148.43585932000499</v>
      </c>
      <c r="AI575">
        <v>90.302352143177501</v>
      </c>
      <c r="AJ575">
        <v>86.866222304406705</v>
      </c>
      <c r="AK575">
        <v>148.66023028887901</v>
      </c>
      <c r="AL575">
        <v>78.917426746397197</v>
      </c>
      <c r="AM575">
        <v>85.108373165467796</v>
      </c>
      <c r="AN575">
        <v>1.0000000341483399</v>
      </c>
    </row>
    <row r="576" spans="1:40" x14ac:dyDescent="0.25">
      <c r="A576" t="str">
        <f>"20190303170728728"</f>
        <v>20190303170728728</v>
      </c>
      <c r="B576" t="str">
        <f>"1551604048722880"</f>
        <v>1551604048722880</v>
      </c>
      <c r="C576" t="s">
        <v>40</v>
      </c>
      <c r="D576">
        <v>4.8338789999999996</v>
      </c>
      <c r="E576">
        <v>0.50170269999999995</v>
      </c>
      <c r="F576" t="s">
        <v>44</v>
      </c>
      <c r="G576">
        <v>-168.46119999999999</v>
      </c>
      <c r="H576">
        <v>0.33088869999999998</v>
      </c>
      <c r="I576">
        <v>356.61509999999998</v>
      </c>
      <c r="J576">
        <v>-306.24250000000001</v>
      </c>
      <c r="K576">
        <v>1.07077</v>
      </c>
      <c r="L576">
        <v>367.95929999999998</v>
      </c>
      <c r="M576">
        <v>0.99975590000000003</v>
      </c>
      <c r="N576">
        <v>-1.3120049999999999E-2</v>
      </c>
      <c r="O576">
        <v>-1.7785169999999999E-2</v>
      </c>
      <c r="P576">
        <v>0.97860069999999999</v>
      </c>
      <c r="Q576">
        <v>0.1794531</v>
      </c>
      <c r="R576">
        <v>-0.1006843</v>
      </c>
      <c r="S576">
        <v>3.0428470000000001</v>
      </c>
      <c r="T576">
        <v>-1.6311409999999998E-2</v>
      </c>
      <c r="U576">
        <v>-0.25021359999999998</v>
      </c>
      <c r="V576">
        <v>8.3467710000000001E-2</v>
      </c>
      <c r="W576">
        <v>0.19220950000000001</v>
      </c>
      <c r="X576">
        <v>0.9777979</v>
      </c>
      <c r="Y576">
        <v>6.4211019999999994E-2</v>
      </c>
      <c r="Z576">
        <v>-7.3163419999999996E-4</v>
      </c>
      <c r="AA576">
        <v>0.99793609999999999</v>
      </c>
      <c r="AB576">
        <v>34</v>
      </c>
      <c r="AC576">
        <v>137.78129999999999</v>
      </c>
      <c r="AD576">
        <v>-0.73988129999999996</v>
      </c>
      <c r="AE576">
        <v>-11.344200000000001</v>
      </c>
      <c r="AF576">
        <v>8.8914763218808393</v>
      </c>
      <c r="AG576">
        <v>-0.73988129999999996</v>
      </c>
      <c r="AH576">
        <v>137.957328005829</v>
      </c>
      <c r="AI576">
        <v>90.306644809840094</v>
      </c>
      <c r="AJ576">
        <v>86.312334905439002</v>
      </c>
      <c r="AK576">
        <v>138.24554287943101</v>
      </c>
      <c r="AL576">
        <v>78.918244216088496</v>
      </c>
      <c r="AM576">
        <v>85.120891569744501</v>
      </c>
      <c r="AN576">
        <v>1.0000000418736501</v>
      </c>
    </row>
    <row r="577" spans="1:40" x14ac:dyDescent="0.25">
      <c r="A577" t="str">
        <f>"20190303170728744"</f>
        <v>20190303170728744</v>
      </c>
      <c r="B577" t="str">
        <f>"1551604048732640"</f>
        <v>1551604048732640</v>
      </c>
      <c r="C577" t="s">
        <v>40</v>
      </c>
      <c r="D577">
        <v>4.8339559999999997</v>
      </c>
      <c r="E577">
        <v>0.50329109999999999</v>
      </c>
      <c r="F577" t="s">
        <v>44</v>
      </c>
      <c r="G577">
        <v>-169.2955</v>
      </c>
      <c r="H577">
        <v>0.36367890000000003</v>
      </c>
      <c r="I577">
        <v>354.96440000000001</v>
      </c>
      <c r="J577">
        <v>-306.00349999999997</v>
      </c>
      <c r="K577">
        <v>1.0707850000000001</v>
      </c>
      <c r="L577">
        <v>367.9547</v>
      </c>
      <c r="M577">
        <v>0.99975179999999997</v>
      </c>
      <c r="N577">
        <v>-1.3076590000000001E-2</v>
      </c>
      <c r="O577">
        <v>-1.8045809999999999E-2</v>
      </c>
      <c r="P577">
        <v>0.97846719999999998</v>
      </c>
      <c r="Q577">
        <v>0.18006659999999999</v>
      </c>
      <c r="R577">
        <v>-0.1008894</v>
      </c>
      <c r="S577">
        <v>3.0388790000000001</v>
      </c>
      <c r="T577">
        <v>-1.5688540000000001E-2</v>
      </c>
      <c r="U577">
        <v>-0.28836060000000002</v>
      </c>
      <c r="V577">
        <v>8.3403939999999996E-2</v>
      </c>
      <c r="W577">
        <v>0.19278590000000001</v>
      </c>
      <c r="X577">
        <v>0.97768980000000005</v>
      </c>
      <c r="Y577">
        <v>7.6481030000000005E-2</v>
      </c>
      <c r="Z577">
        <v>-8.4077730000000001E-4</v>
      </c>
      <c r="AA577">
        <v>0.99707069999999998</v>
      </c>
      <c r="AB577">
        <v>34</v>
      </c>
      <c r="AC577">
        <v>136.707999999999</v>
      </c>
      <c r="AD577">
        <v>-0.70710609999999996</v>
      </c>
      <c r="AE577">
        <v>-12.9902999999999</v>
      </c>
      <c r="AF577">
        <v>10.520688202253799</v>
      </c>
      <c r="AG577">
        <v>-0.70710609999999996</v>
      </c>
      <c r="AH577">
        <v>136.91654509056701</v>
      </c>
      <c r="AI577">
        <v>90.295031977429801</v>
      </c>
      <c r="AJ577">
        <v>85.606017947004503</v>
      </c>
      <c r="AK577">
        <v>137.321976386968</v>
      </c>
      <c r="AL577">
        <v>78.884588834093293</v>
      </c>
      <c r="AM577">
        <v>85.124064814834995</v>
      </c>
      <c r="AN577">
        <v>0.99999998273518598</v>
      </c>
    </row>
    <row r="578" spans="1:40" x14ac:dyDescent="0.25">
      <c r="A578" t="str">
        <f>"20190303170728765"</f>
        <v>20190303170728765</v>
      </c>
      <c r="B578" t="str">
        <f>"1551604048753137"</f>
        <v>1551604048753137</v>
      </c>
      <c r="C578" t="s">
        <v>40</v>
      </c>
      <c r="D578">
        <v>4.8300479999999997</v>
      </c>
      <c r="E578">
        <v>0.50553700000000001</v>
      </c>
      <c r="F578" t="s">
        <v>44</v>
      </c>
      <c r="G578">
        <v>-169.2955</v>
      </c>
      <c r="H578">
        <v>0.42727379999999998</v>
      </c>
      <c r="I578">
        <v>354.37240000000003</v>
      </c>
      <c r="J578">
        <v>-305.6755</v>
      </c>
      <c r="K578">
        <v>1.070811</v>
      </c>
      <c r="L578">
        <v>367.94839999999999</v>
      </c>
      <c r="M578">
        <v>0.99974689999999999</v>
      </c>
      <c r="N578">
        <v>-1.3018740000000001E-2</v>
      </c>
      <c r="O578">
        <v>-1.834682E-2</v>
      </c>
      <c r="P578">
        <v>0.97840300000000002</v>
      </c>
      <c r="Q578">
        <v>0.1804962</v>
      </c>
      <c r="R578">
        <v>-0.100742</v>
      </c>
      <c r="S578">
        <v>3.0375369999999999</v>
      </c>
      <c r="T578">
        <v>-1.429629E-2</v>
      </c>
      <c r="U578">
        <v>-0.30178829999999901</v>
      </c>
      <c r="V578">
        <v>8.2935200000000001E-2</v>
      </c>
      <c r="W578">
        <v>0.19317049999999999</v>
      </c>
      <c r="X578">
        <v>0.97765380000000002</v>
      </c>
      <c r="Y578">
        <v>8.0588370000000006E-2</v>
      </c>
      <c r="Z578">
        <v>-8.673086E-4</v>
      </c>
      <c r="AA578">
        <v>0.9967471</v>
      </c>
      <c r="AB578">
        <v>34</v>
      </c>
      <c r="AC578">
        <v>136.38</v>
      </c>
      <c r="AD578">
        <v>-0.64353719999999903</v>
      </c>
      <c r="AE578">
        <v>-13.575999999999899</v>
      </c>
      <c r="AF578">
        <v>11.071119014554901</v>
      </c>
      <c r="AG578">
        <v>-0.64353719999999903</v>
      </c>
      <c r="AH578">
        <v>136.60312678303401</v>
      </c>
      <c r="AI578">
        <v>90.269036251786801</v>
      </c>
      <c r="AJ578">
        <v>85.366540948894794</v>
      </c>
      <c r="AK578">
        <v>137.052537602424</v>
      </c>
      <c r="AL578">
        <v>78.862131165144206</v>
      </c>
      <c r="AM578">
        <v>85.151159446335299</v>
      </c>
      <c r="AN578">
        <v>1.00000002106186</v>
      </c>
    </row>
    <row r="579" spans="1:40" x14ac:dyDescent="0.25">
      <c r="A579" t="str">
        <f>"20190303170728788"</f>
        <v>20190303170728788</v>
      </c>
      <c r="B579" t="str">
        <f>"1551604048772657"</f>
        <v>1551604048772657</v>
      </c>
      <c r="C579" t="s">
        <v>40</v>
      </c>
      <c r="D579">
        <v>4.7727370000000002</v>
      </c>
      <c r="E579">
        <v>0.50711850000000003</v>
      </c>
      <c r="F579" t="s">
        <v>44</v>
      </c>
      <c r="G579">
        <v>-158.78319999999999</v>
      </c>
      <c r="H579">
        <v>0.37014010000000003</v>
      </c>
      <c r="I579">
        <v>352.50990000000002</v>
      </c>
      <c r="J579">
        <v>-305.33100000000002</v>
      </c>
      <c r="K579">
        <v>1.0708519999999999</v>
      </c>
      <c r="L579">
        <v>367.9418</v>
      </c>
      <c r="M579">
        <v>0.99974350000000001</v>
      </c>
      <c r="N579">
        <v>-1.295728E-2</v>
      </c>
      <c r="O579">
        <v>-1.8586120000000001E-2</v>
      </c>
      <c r="P579">
        <v>0.97836239999999997</v>
      </c>
      <c r="Q579">
        <v>0.18085609999999999</v>
      </c>
      <c r="R579">
        <v>-0.1004924</v>
      </c>
      <c r="S579">
        <v>3.036041</v>
      </c>
      <c r="T579">
        <v>-1.447999E-2</v>
      </c>
      <c r="U579">
        <v>-0.31909179999999998</v>
      </c>
      <c r="V579">
        <v>8.2418110000000003E-2</v>
      </c>
      <c r="W579">
        <v>0.1934854</v>
      </c>
      <c r="X579">
        <v>0.97763529999999998</v>
      </c>
      <c r="Y579">
        <v>8.6018609999999995E-2</v>
      </c>
      <c r="Z579">
        <v>-9.1528289999999999E-4</v>
      </c>
      <c r="AA579">
        <v>0.99629310000000004</v>
      </c>
      <c r="AB579">
        <v>34</v>
      </c>
      <c r="AC579">
        <v>146.547799999999</v>
      </c>
      <c r="AD579">
        <v>-0.70071190000000005</v>
      </c>
      <c r="AE579">
        <v>-15.431899999999899</v>
      </c>
      <c r="AF579">
        <v>12.7049634896838</v>
      </c>
      <c r="AG579">
        <v>-0.70071190000000005</v>
      </c>
      <c r="AH579">
        <v>146.80600520465001</v>
      </c>
      <c r="AI579">
        <v>90.272454975261795</v>
      </c>
      <c r="AJ579">
        <v>85.053801932795693</v>
      </c>
      <c r="AK579">
        <v>147.356405556694</v>
      </c>
      <c r="AL579">
        <v>78.843742260543095</v>
      </c>
      <c r="AM579">
        <v>85.181157767192701</v>
      </c>
      <c r="AN579">
        <v>1.0000000623376</v>
      </c>
    </row>
    <row r="580" spans="1:40" x14ac:dyDescent="0.25">
      <c r="A580" t="str">
        <f>"20190303170728812"</f>
        <v>20190303170728812</v>
      </c>
      <c r="B580" t="str">
        <f>"1551604048802442"</f>
        <v>1551604048802442</v>
      </c>
      <c r="C580" t="s">
        <v>40</v>
      </c>
      <c r="D580">
        <v>4.8885379999999996</v>
      </c>
      <c r="E580">
        <v>0.50896709999999901</v>
      </c>
      <c r="F580" t="s">
        <v>44</v>
      </c>
      <c r="G580">
        <v>-158.78319999999999</v>
      </c>
      <c r="H580">
        <v>0.3911037</v>
      </c>
      <c r="I580">
        <v>351.97570000000002</v>
      </c>
      <c r="J580">
        <v>-304.9941</v>
      </c>
      <c r="K580">
        <v>1.0709120000000001</v>
      </c>
      <c r="L580">
        <v>367.93540000000002</v>
      </c>
      <c r="M580">
        <v>0.9997414</v>
      </c>
      <c r="N580">
        <v>-1.2897459999999999E-2</v>
      </c>
      <c r="O580">
        <v>-1.8731080000000001E-2</v>
      </c>
      <c r="P580">
        <v>0.97832039999999998</v>
      </c>
      <c r="Q580">
        <v>0.18114739999999999</v>
      </c>
      <c r="R580">
        <v>-0.1003744</v>
      </c>
      <c r="S580">
        <v>3.0350039999999998</v>
      </c>
      <c r="T580">
        <v>-1.407576E-2</v>
      </c>
      <c r="U580">
        <v>-0.33065800000000001</v>
      </c>
      <c r="V580">
        <v>8.2126199999999996E-2</v>
      </c>
      <c r="W580">
        <v>0.1937315</v>
      </c>
      <c r="X580">
        <v>0.97761109999999896</v>
      </c>
      <c r="Y580">
        <v>8.9662770000000003E-2</v>
      </c>
      <c r="Z580">
        <v>-9.4162439999999998E-4</v>
      </c>
      <c r="AA580">
        <v>0.99597170000000002</v>
      </c>
      <c r="AB580">
        <v>34</v>
      </c>
      <c r="AC580">
        <v>146.21090000000001</v>
      </c>
      <c r="AD580">
        <v>-0.67980830000000003</v>
      </c>
      <c r="AE580">
        <v>-15.9596999999999</v>
      </c>
      <c r="AF580">
        <v>13.217701369695501</v>
      </c>
      <c r="AG580">
        <v>-0.67980830000000003</v>
      </c>
      <c r="AH580">
        <v>146.48108213817099</v>
      </c>
      <c r="AI580">
        <v>90.264827778297203</v>
      </c>
      <c r="AJ580">
        <v>84.843886802270205</v>
      </c>
      <c r="AK580">
        <v>147.07779299810301</v>
      </c>
      <c r="AL580">
        <v>78.829369516322203</v>
      </c>
      <c r="AM580">
        <v>85.198026974536305</v>
      </c>
      <c r="AN580">
        <v>1.0000000348309399</v>
      </c>
    </row>
    <row r="581" spans="1:40" x14ac:dyDescent="0.25">
      <c r="A581" t="str">
        <f>"20190303170728832"</f>
        <v>20190303170728832</v>
      </c>
      <c r="B581" t="str">
        <f>"1551604048822938"</f>
        <v>1551604048822938</v>
      </c>
      <c r="C581" t="s">
        <v>40</v>
      </c>
      <c r="D581">
        <v>4.7716180000000001</v>
      </c>
      <c r="E581">
        <v>0.50967589999999996</v>
      </c>
      <c r="F581" t="s">
        <v>44</v>
      </c>
      <c r="G581">
        <v>-158.78319999999999</v>
      </c>
      <c r="H581">
        <v>0.40885159999999998</v>
      </c>
      <c r="I581">
        <v>351.31939999999997</v>
      </c>
      <c r="J581">
        <v>-304.66950000000003</v>
      </c>
      <c r="K581">
        <v>1.0709519999999999</v>
      </c>
      <c r="L581">
        <v>367.92919999999998</v>
      </c>
      <c r="M581">
        <v>0.99974079999999999</v>
      </c>
      <c r="N581">
        <v>-1.284325E-2</v>
      </c>
      <c r="O581">
        <v>-1.8804069999999999E-2</v>
      </c>
      <c r="P581">
        <v>0.97815079999999999</v>
      </c>
      <c r="Q581">
        <v>0.18197940000000001</v>
      </c>
      <c r="R581">
        <v>-0.1005233</v>
      </c>
      <c r="S581">
        <v>3.0336609999999999</v>
      </c>
      <c r="T581">
        <v>-1.3734939999999999E-2</v>
      </c>
      <c r="U581">
        <v>-0.34475709999999998</v>
      </c>
      <c r="V581">
        <v>8.2180279999999994E-2</v>
      </c>
      <c r="W581">
        <v>0.1945201</v>
      </c>
      <c r="X581">
        <v>0.97744989999999998</v>
      </c>
      <c r="Y581">
        <v>9.4208710000000001E-2</v>
      </c>
      <c r="Z581">
        <v>-9.7551300000000001E-4</v>
      </c>
      <c r="AA581">
        <v>0.99555199999999999</v>
      </c>
      <c r="AB581">
        <v>34</v>
      </c>
      <c r="AC581">
        <v>145.88630000000001</v>
      </c>
      <c r="AD581">
        <v>-0.66210040000000003</v>
      </c>
      <c r="AE581">
        <v>-16.6098</v>
      </c>
      <c r="AF581">
        <v>13.863098620894901</v>
      </c>
      <c r="AG581">
        <v>-0.66210040000000003</v>
      </c>
      <c r="AH581">
        <v>146.169886615606</v>
      </c>
      <c r="AI581">
        <v>90.258369417181498</v>
      </c>
      <c r="AJ581">
        <v>84.582138328460999</v>
      </c>
      <c r="AK581">
        <v>146.827312287365</v>
      </c>
      <c r="AL581">
        <v>78.783309316204395</v>
      </c>
      <c r="AM581">
        <v>85.194090938500494</v>
      </c>
      <c r="AN581">
        <v>0.99999998736744899</v>
      </c>
    </row>
    <row r="582" spans="1:40" x14ac:dyDescent="0.25">
      <c r="A582" t="str">
        <f>"20190303170728854"</f>
        <v>20190303170728854</v>
      </c>
      <c r="B582" t="str">
        <f>"1551604048842458"</f>
        <v>1551604048842458</v>
      </c>
      <c r="C582" t="s">
        <v>40</v>
      </c>
      <c r="D582">
        <v>4.7703800000000003</v>
      </c>
      <c r="E582">
        <v>0.51036759999999903</v>
      </c>
      <c r="F582" t="s">
        <v>44</v>
      </c>
      <c r="G582">
        <v>-158.78319999999999</v>
      </c>
      <c r="H582">
        <v>0.47979739999999999</v>
      </c>
      <c r="I582">
        <v>351.03500000000003</v>
      </c>
      <c r="J582">
        <v>-304.34879999999998</v>
      </c>
      <c r="K582">
        <v>1.070975</v>
      </c>
      <c r="L582">
        <v>367.92309999999998</v>
      </c>
      <c r="M582">
        <v>0.99974099999999999</v>
      </c>
      <c r="N582">
        <v>-1.2792889999999999E-2</v>
      </c>
      <c r="O582">
        <v>-1.882619E-2</v>
      </c>
      <c r="P582">
        <v>0.97809659999999998</v>
      </c>
      <c r="Q582">
        <v>0.1821634</v>
      </c>
      <c r="R582">
        <v>-0.1007161</v>
      </c>
      <c r="S582">
        <v>3.0332029999999999</v>
      </c>
      <c r="T582">
        <v>-1.228917E-2</v>
      </c>
      <c r="U582">
        <v>-0.35125729999999999</v>
      </c>
      <c r="V582">
        <v>8.2332160000000001E-2</v>
      </c>
      <c r="W582">
        <v>0.19466230000000001</v>
      </c>
      <c r="X582">
        <v>0.97740879999999997</v>
      </c>
      <c r="Y582">
        <v>9.630959E-2</v>
      </c>
      <c r="Z582">
        <v>-9.7670779999999989E-4</v>
      </c>
      <c r="AA582">
        <v>0.99535099999999999</v>
      </c>
      <c r="AB582">
        <v>34</v>
      </c>
      <c r="AC582">
        <v>145.56559999999999</v>
      </c>
      <c r="AD582">
        <v>-0.59117759999999997</v>
      </c>
      <c r="AE582">
        <v>-16.888099999999898</v>
      </c>
      <c r="AF582">
        <v>14.1442065548733</v>
      </c>
      <c r="AG582">
        <v>-0.59117759999999997</v>
      </c>
      <c r="AH582">
        <v>145.85538824828001</v>
      </c>
      <c r="AI582">
        <v>90.231144338159893</v>
      </c>
      <c r="AJ582">
        <v>84.461108047721595</v>
      </c>
      <c r="AK582">
        <v>146.54078732925601</v>
      </c>
      <c r="AL582">
        <v>78.775002982211006</v>
      </c>
      <c r="AM582">
        <v>85.185049192844303</v>
      </c>
      <c r="AN582">
        <v>0.99999997896449699</v>
      </c>
    </row>
    <row r="583" spans="1:40" x14ac:dyDescent="0.25">
      <c r="A583" t="str">
        <f>"20190303170728878"</f>
        <v>20190303170728878</v>
      </c>
      <c r="B583" t="str">
        <f>"1551604048872714"</f>
        <v>1551604048872714</v>
      </c>
      <c r="C583" t="s">
        <v>40</v>
      </c>
      <c r="D583">
        <v>4.883229</v>
      </c>
      <c r="E583">
        <v>0.51105769999999995</v>
      </c>
      <c r="F583" t="s">
        <v>49</v>
      </c>
      <c r="G583">
        <v>-8.4181519999999992</v>
      </c>
      <c r="H583">
        <v>-0.1</v>
      </c>
      <c r="I583">
        <v>332.97809999999998</v>
      </c>
      <c r="J583">
        <v>-303.99439999999998</v>
      </c>
      <c r="K583">
        <v>1.070994</v>
      </c>
      <c r="L583">
        <v>367.91640000000001</v>
      </c>
      <c r="M583">
        <v>0.99974189999999996</v>
      </c>
      <c r="N583">
        <v>-1.2737139999999999E-2</v>
      </c>
      <c r="O583">
        <v>-1.8813880000000002E-2</v>
      </c>
      <c r="P583">
        <v>0.97812350000000003</v>
      </c>
      <c r="Q583">
        <v>0.1819559</v>
      </c>
      <c r="R583">
        <v>-0.1008278</v>
      </c>
      <c r="S583">
        <v>3.0325009999999999</v>
      </c>
      <c r="T583">
        <v>-1.1999370000000001E-2</v>
      </c>
      <c r="U583">
        <v>-0.3580933</v>
      </c>
      <c r="V583">
        <v>8.2440289999999999E-2</v>
      </c>
      <c r="W583">
        <v>0.19440689999999999</v>
      </c>
      <c r="X583">
        <v>0.9774505</v>
      </c>
      <c r="Y583">
        <v>9.856144E-2</v>
      </c>
      <c r="Z583">
        <v>-9.889600000000001E-4</v>
      </c>
      <c r="AA583">
        <v>0.99513050000000003</v>
      </c>
      <c r="AB583">
        <v>34</v>
      </c>
      <c r="AC583">
        <v>295.57624800000002</v>
      </c>
      <c r="AD583">
        <v>-1.1709940000000001</v>
      </c>
      <c r="AE583">
        <v>-34.938299999999998</v>
      </c>
      <c r="AF583">
        <v>29.370273381380599</v>
      </c>
      <c r="AG583">
        <v>-1.1709940000000001</v>
      </c>
      <c r="AH583">
        <v>296.176717248214</v>
      </c>
      <c r="AI583">
        <v>90.225423521499593</v>
      </c>
      <c r="AJ583">
        <v>84.336796452453598</v>
      </c>
      <c r="AK583">
        <v>297.63170534298598</v>
      </c>
      <c r="AL583">
        <v>78.789921138018201</v>
      </c>
      <c r="AM583">
        <v>85.178960035573397</v>
      </c>
      <c r="AN583">
        <v>0.99999996206657105</v>
      </c>
    </row>
    <row r="584" spans="1:40" x14ac:dyDescent="0.25">
      <c r="A584" t="str">
        <f>"20190303170728900"</f>
        <v>20190303170728900</v>
      </c>
      <c r="B584" t="str">
        <f>"1551604048892741"</f>
        <v>1551604048892741</v>
      </c>
      <c r="C584" t="s">
        <v>40</v>
      </c>
      <c r="D584">
        <v>4.823105</v>
      </c>
      <c r="E584">
        <v>0.51154040000000001</v>
      </c>
      <c r="F584" t="s">
        <v>49</v>
      </c>
      <c r="G584">
        <v>-41.723179999999999</v>
      </c>
      <c r="H584">
        <v>-0.1</v>
      </c>
      <c r="I584">
        <v>336.38699999999898</v>
      </c>
      <c r="J584">
        <v>-303.64890000000003</v>
      </c>
      <c r="K584">
        <v>1.071005</v>
      </c>
      <c r="L584">
        <v>367.90989999999999</v>
      </c>
      <c r="M584">
        <v>0.9997431</v>
      </c>
      <c r="N584">
        <v>-1.2684809999999999E-2</v>
      </c>
      <c r="O584">
        <v>-1.879045E-2</v>
      </c>
      <c r="P584">
        <v>0.97826939999999996</v>
      </c>
      <c r="Q584">
        <v>0.1813167</v>
      </c>
      <c r="R584">
        <v>-0.10056519999999999</v>
      </c>
      <c r="S584">
        <v>3.0320429999999998</v>
      </c>
      <c r="T584">
        <v>-1.3537530000000001E-2</v>
      </c>
      <c r="U584">
        <v>-0.36450199999999999</v>
      </c>
      <c r="V584">
        <v>8.2187930000000006E-2</v>
      </c>
      <c r="W584">
        <v>0.19372300000000001</v>
      </c>
      <c r="X584">
        <v>0.97760749999999996</v>
      </c>
      <c r="Y584">
        <v>0.1006753</v>
      </c>
      <c r="Z584">
        <v>-1.018814E-3</v>
      </c>
      <c r="AA584">
        <v>0.99491879999999999</v>
      </c>
      <c r="AB584">
        <v>34</v>
      </c>
      <c r="AC584">
        <v>261.92572000000001</v>
      </c>
      <c r="AD584">
        <v>-1.1710049999999901</v>
      </c>
      <c r="AE584">
        <v>-31.5229</v>
      </c>
      <c r="AF584">
        <v>26.594712033780699</v>
      </c>
      <c r="AG584">
        <v>-1.1710049999999901</v>
      </c>
      <c r="AH584">
        <v>262.466673864315</v>
      </c>
      <c r="AI584">
        <v>90.254323378964301</v>
      </c>
      <c r="AJ584">
        <v>84.214191806229707</v>
      </c>
      <c r="AK584">
        <v>263.81320067476997</v>
      </c>
      <c r="AL584">
        <v>78.829864865489398</v>
      </c>
      <c r="AM584">
        <v>85.194416864502003</v>
      </c>
      <c r="AN584">
        <v>0.999999940311465</v>
      </c>
    </row>
    <row r="585" spans="1:40" x14ac:dyDescent="0.25">
      <c r="A585" t="str">
        <f>"20190303170728922"</f>
        <v>20190303170728922</v>
      </c>
      <c r="B585" t="str">
        <f>"1551604048913238"</f>
        <v>1551604048913238</v>
      </c>
      <c r="C585" t="s">
        <v>40</v>
      </c>
      <c r="D585">
        <v>4.8874250000000004</v>
      </c>
      <c r="E585">
        <v>0.5119416</v>
      </c>
      <c r="F585" t="s">
        <v>46</v>
      </c>
      <c r="G585">
        <v>-88.971190000000007</v>
      </c>
      <c r="H585">
        <v>-0.05</v>
      </c>
      <c r="I585">
        <v>341.83120000000002</v>
      </c>
      <c r="J585">
        <v>-303.33210000000003</v>
      </c>
      <c r="K585">
        <v>1.0710120000000001</v>
      </c>
      <c r="L585">
        <v>367.90390000000002</v>
      </c>
      <c r="M585">
        <v>0.99974390000000002</v>
      </c>
      <c r="N585">
        <v>-1.264063E-2</v>
      </c>
      <c r="O585">
        <v>-1.8772549999999999E-2</v>
      </c>
      <c r="P585">
        <v>0.97824290000000003</v>
      </c>
      <c r="Q585">
        <v>0.18142659999999999</v>
      </c>
      <c r="R585">
        <v>-0.1006257</v>
      </c>
      <c r="S585">
        <v>3.0317080000000001</v>
      </c>
      <c r="T585">
        <v>-1.583099E-2</v>
      </c>
      <c r="U585">
        <v>-0.36828610000000001</v>
      </c>
      <c r="V585">
        <v>8.2259559999999995E-2</v>
      </c>
      <c r="W585">
        <v>0.1937923</v>
      </c>
      <c r="X585">
        <v>0.97758780000000001</v>
      </c>
      <c r="Y585">
        <v>0.10192909999999999</v>
      </c>
      <c r="Z585">
        <v>-1.050657E-3</v>
      </c>
      <c r="AA585">
        <v>0.99479110000000004</v>
      </c>
      <c r="AB585">
        <v>34</v>
      </c>
      <c r="AC585">
        <v>214.36090999999999</v>
      </c>
      <c r="AD585">
        <v>-1.1210119999999999</v>
      </c>
      <c r="AE585">
        <v>-26.072700000000001</v>
      </c>
      <c r="AF585">
        <v>22.043088371677399</v>
      </c>
      <c r="AG585">
        <v>-1.1210119999999999</v>
      </c>
      <c r="AH585">
        <v>214.80683052953501</v>
      </c>
      <c r="AI585">
        <v>90.297444671864099</v>
      </c>
      <c r="AJ585">
        <v>84.140919650777704</v>
      </c>
      <c r="AK585">
        <v>215.93778931676101</v>
      </c>
      <c r="AL585">
        <v>78.825818230306893</v>
      </c>
      <c r="AM585">
        <v>85.190151780924793</v>
      </c>
      <c r="AN585">
        <v>0.99999999872976097</v>
      </c>
    </row>
    <row r="586" spans="1:40" x14ac:dyDescent="0.25">
      <c r="A586" t="str">
        <f>"20190303170728937"</f>
        <v>20190303170728937</v>
      </c>
      <c r="B586" t="str">
        <f>"1551604048932758"</f>
        <v>1551604048932758</v>
      </c>
      <c r="C586" t="s">
        <v>40</v>
      </c>
      <c r="D586">
        <v>4.884182</v>
      </c>
      <c r="E586">
        <v>0.51224829999999999</v>
      </c>
      <c r="F586" t="s">
        <v>46</v>
      </c>
      <c r="G586">
        <v>-93.695650000000001</v>
      </c>
      <c r="H586">
        <v>-0.05</v>
      </c>
      <c r="I586">
        <v>342.18209999999999</v>
      </c>
      <c r="J586">
        <v>-303.10019999999997</v>
      </c>
      <c r="K586">
        <v>1.071016</v>
      </c>
      <c r="L586">
        <v>367.89949999999999</v>
      </c>
      <c r="M586">
        <v>0.99974450000000004</v>
      </c>
      <c r="N586">
        <v>-1.2611020000000001E-2</v>
      </c>
      <c r="O586">
        <v>-1.8763789999999999E-2</v>
      </c>
      <c r="P586">
        <v>0.97821020000000003</v>
      </c>
      <c r="Q586">
        <v>0.18166399999999999</v>
      </c>
      <c r="R586">
        <v>-0.1005157</v>
      </c>
      <c r="S586">
        <v>3.0314329999999998</v>
      </c>
      <c r="T586">
        <v>-1.621032E-2</v>
      </c>
      <c r="U586">
        <v>-0.37194820000000001</v>
      </c>
      <c r="V586">
        <v>8.2155389999999995E-2</v>
      </c>
      <c r="W586">
        <v>0.19400139999999999</v>
      </c>
      <c r="X586">
        <v>0.97755510000000001</v>
      </c>
      <c r="Y586">
        <v>0.1031324</v>
      </c>
      <c r="Z586">
        <v>-1.063395E-3</v>
      </c>
      <c r="AA586">
        <v>0.99466710000000003</v>
      </c>
      <c r="AB586">
        <v>34</v>
      </c>
      <c r="AC586">
        <v>209.40455</v>
      </c>
      <c r="AD586">
        <v>-1.121016</v>
      </c>
      <c r="AE586">
        <v>-25.717400000000001</v>
      </c>
      <c r="AF586">
        <v>21.782721485171599</v>
      </c>
      <c r="AG586">
        <v>-1.121016</v>
      </c>
      <c r="AH586">
        <v>209.844347126271</v>
      </c>
      <c r="AI586">
        <v>90.304442843521699</v>
      </c>
      <c r="AJ586">
        <v>84.073683431968107</v>
      </c>
      <c r="AK586">
        <v>210.97486497927599</v>
      </c>
      <c r="AL586">
        <v>78.813606071669994</v>
      </c>
      <c r="AM586">
        <v>85.196054307144394</v>
      </c>
      <c r="AN586">
        <v>1.0000000124220101</v>
      </c>
    </row>
    <row r="587" spans="1:40" x14ac:dyDescent="0.25">
      <c r="A587" t="str">
        <f>"20190303170728957"</f>
        <v>20190303170728957</v>
      </c>
      <c r="B587" t="str">
        <f>"1551604048942517"</f>
        <v>1551604048942517</v>
      </c>
      <c r="C587" t="s">
        <v>40</v>
      </c>
      <c r="D587">
        <v>4.8240210000000001</v>
      </c>
      <c r="E587">
        <v>0.51238850000000002</v>
      </c>
      <c r="F587" t="s">
        <v>46</v>
      </c>
      <c r="G587">
        <v>-90.536360000000002</v>
      </c>
      <c r="H587">
        <v>-0.05</v>
      </c>
      <c r="I587">
        <v>341.69389999999999</v>
      </c>
      <c r="J587">
        <v>-302.80849999999998</v>
      </c>
      <c r="K587">
        <v>1.0710189999999999</v>
      </c>
      <c r="L587">
        <v>367.89400000000001</v>
      </c>
      <c r="M587">
        <v>0.99974499999999999</v>
      </c>
      <c r="N587">
        <v>-1.257693E-2</v>
      </c>
      <c r="O587">
        <v>-1.8756459999999999E-2</v>
      </c>
      <c r="P587">
        <v>0.9779485</v>
      </c>
      <c r="Q587">
        <v>0.18288670000000001</v>
      </c>
      <c r="R587">
        <v>-0.1008423</v>
      </c>
      <c r="S587">
        <v>3.0313720000000002</v>
      </c>
      <c r="T587">
        <v>-1.5986799999999999E-2</v>
      </c>
      <c r="U587">
        <v>-0.3737183</v>
      </c>
      <c r="V587">
        <v>8.2491560000000005E-2</v>
      </c>
      <c r="W587">
        <v>0.19518840000000001</v>
      </c>
      <c r="X587">
        <v>0.97729049999999995</v>
      </c>
      <c r="Y587">
        <v>0.1037143</v>
      </c>
      <c r="Z587">
        <v>-1.063743E-3</v>
      </c>
      <c r="AA587">
        <v>0.99460660000000001</v>
      </c>
      <c r="AB587">
        <v>34</v>
      </c>
      <c r="AC587">
        <v>212.27214000000001</v>
      </c>
      <c r="AD587">
        <v>-1.121019</v>
      </c>
      <c r="AE587">
        <v>-26.200099999999999</v>
      </c>
      <c r="AF587">
        <v>22.213091254495499</v>
      </c>
      <c r="AG587">
        <v>-1.121019</v>
      </c>
      <c r="AH587">
        <v>212.72040798539999</v>
      </c>
      <c r="AI587">
        <v>90.300308371859899</v>
      </c>
      <c r="AJ587">
        <v>84.038558047964401</v>
      </c>
      <c r="AK587">
        <v>213.87998990123901</v>
      </c>
      <c r="AL587">
        <v>78.744270911999493</v>
      </c>
      <c r="AM587">
        <v>85.175189901878298</v>
      </c>
      <c r="AN587">
        <v>1.00000004517802</v>
      </c>
    </row>
    <row r="588" spans="1:40" x14ac:dyDescent="0.25">
      <c r="A588" t="str">
        <f>"20190303170728979"</f>
        <v>20190303170728979</v>
      </c>
      <c r="B588" t="str">
        <f>"1551604048972773"</f>
        <v>1551604048972773</v>
      </c>
      <c r="C588" t="s">
        <v>40</v>
      </c>
      <c r="D588">
        <v>4.823677</v>
      </c>
      <c r="E588">
        <v>0.51274039999999999</v>
      </c>
      <c r="F588" t="s">
        <v>49</v>
      </c>
      <c r="G588">
        <v>-20.920780000000001</v>
      </c>
      <c r="H588">
        <v>-0.1</v>
      </c>
      <c r="I588">
        <v>332.94470000000001</v>
      </c>
      <c r="J588">
        <v>-302.4753</v>
      </c>
      <c r="K588">
        <v>1.0710230000000001</v>
      </c>
      <c r="L588">
        <v>367.88780000000003</v>
      </c>
      <c r="M588">
        <v>0.99974560000000001</v>
      </c>
      <c r="N588">
        <v>-1.2541979999999999E-2</v>
      </c>
      <c r="O588">
        <v>-1.875249E-2</v>
      </c>
      <c r="P588">
        <v>0.97765179999999996</v>
      </c>
      <c r="Q588">
        <v>0.18389620000000001</v>
      </c>
      <c r="R588">
        <v>-0.101879</v>
      </c>
      <c r="S588">
        <v>3.03125</v>
      </c>
      <c r="T588">
        <v>-1.259243E-2</v>
      </c>
      <c r="U588">
        <v>-0.37582399999999999</v>
      </c>
      <c r="V588">
        <v>8.3535999999999999E-2</v>
      </c>
      <c r="W588">
        <v>0.1961611</v>
      </c>
      <c r="X588">
        <v>0.97700690000000001</v>
      </c>
      <c r="Y588">
        <v>0.104405</v>
      </c>
      <c r="Z588">
        <v>-1.030097E-3</v>
      </c>
      <c r="AA588">
        <v>0.99453429999999998</v>
      </c>
      <c r="AB588">
        <v>34</v>
      </c>
      <c r="AC588">
        <v>281.55452000000002</v>
      </c>
      <c r="AD588">
        <v>-1.1710229999999999</v>
      </c>
      <c r="AE588">
        <v>-34.943100000000001</v>
      </c>
      <c r="AF588">
        <v>29.656186251071802</v>
      </c>
      <c r="AG588">
        <v>-1.1710229999999999</v>
      </c>
      <c r="AH588">
        <v>282.15551752080199</v>
      </c>
      <c r="AI588">
        <v>90.236489205110303</v>
      </c>
      <c r="AJ588">
        <v>83.999910351269506</v>
      </c>
      <c r="AK588">
        <v>283.712172360046</v>
      </c>
      <c r="AL588">
        <v>78.687439755663405</v>
      </c>
      <c r="AM588">
        <v>85.112984689501999</v>
      </c>
      <c r="AN588">
        <v>0.99999996154840898</v>
      </c>
    </row>
    <row r="589" spans="1:40" x14ac:dyDescent="0.25">
      <c r="A589" t="str">
        <f>"20190303170729001"</f>
        <v>20190303170729001</v>
      </c>
      <c r="B589" t="str">
        <f>"1551604048992803"</f>
        <v>1551604048992803</v>
      </c>
      <c r="C589" t="s">
        <v>40</v>
      </c>
      <c r="D589">
        <v>4.8219430000000001</v>
      </c>
      <c r="E589">
        <v>0.51294839999999997</v>
      </c>
      <c r="F589" t="s">
        <v>49</v>
      </c>
      <c r="G589">
        <v>30.30057</v>
      </c>
      <c r="H589">
        <v>-0.1</v>
      </c>
      <c r="I589">
        <v>326.07799999999997</v>
      </c>
      <c r="J589">
        <v>-302.12200000000001</v>
      </c>
      <c r="K589">
        <v>1.0710249999999999</v>
      </c>
      <c r="L589">
        <v>367.88119999999998</v>
      </c>
      <c r="M589">
        <v>0.99974609999999997</v>
      </c>
      <c r="N589">
        <v>-1.2509259999999999E-2</v>
      </c>
      <c r="O589">
        <v>-1.8750360000000001E-2</v>
      </c>
      <c r="P589">
        <v>0.97747459999999997</v>
      </c>
      <c r="Q589">
        <v>0.18427089999999999</v>
      </c>
      <c r="R589">
        <v>-0.10289760000000001</v>
      </c>
      <c r="S589">
        <v>3.0308839999999999</v>
      </c>
      <c r="T589">
        <v>-1.0665539999999999E-2</v>
      </c>
      <c r="U589">
        <v>-0.38079829999999998</v>
      </c>
      <c r="V589">
        <v>8.4558990000000001E-2</v>
      </c>
      <c r="W589">
        <v>0.19650239999999999</v>
      </c>
      <c r="X589">
        <v>0.97685029999999995</v>
      </c>
      <c r="Y589">
        <v>0.1060296</v>
      </c>
      <c r="Z589">
        <v>-1.0196579999999999E-3</v>
      </c>
      <c r="AA589">
        <v>0.99436250000000004</v>
      </c>
      <c r="AB589">
        <v>34</v>
      </c>
      <c r="AC589">
        <v>332.42257000000001</v>
      </c>
      <c r="AD589">
        <v>-1.171025</v>
      </c>
      <c r="AE589">
        <v>-41.803199999999997</v>
      </c>
      <c r="AF589">
        <v>35.561885681819902</v>
      </c>
      <c r="AG589">
        <v>-1.171025</v>
      </c>
      <c r="AH589">
        <v>333.143936330158</v>
      </c>
      <c r="AI589">
        <v>90.200260255106201</v>
      </c>
      <c r="AJ589">
        <v>83.906960029607006</v>
      </c>
      <c r="AK589">
        <v>335.03865646571199</v>
      </c>
      <c r="AL589">
        <v>78.667496570026302</v>
      </c>
      <c r="AM589">
        <v>85.052643924699197</v>
      </c>
      <c r="AN589">
        <v>0.99999996230283394</v>
      </c>
    </row>
    <row r="590" spans="1:40" x14ac:dyDescent="0.25">
      <c r="A590" t="str">
        <f>"20190303170729022"</f>
        <v>20190303170729022</v>
      </c>
      <c r="B590" t="str">
        <f>"1551604049012325"</f>
        <v>1551604049012325</v>
      </c>
      <c r="C590" t="s">
        <v>40</v>
      </c>
      <c r="D590">
        <v>4.8847360000000002</v>
      </c>
      <c r="E590">
        <v>0.51305840000000003</v>
      </c>
      <c r="F590" t="s">
        <v>49</v>
      </c>
      <c r="G590">
        <v>41.360230000000001</v>
      </c>
      <c r="H590">
        <v>-0.1</v>
      </c>
      <c r="I590">
        <v>324.19869999999997</v>
      </c>
      <c r="J590">
        <v>-301.82510000000002</v>
      </c>
      <c r="K590">
        <v>1.0710219999999999</v>
      </c>
      <c r="L590">
        <v>367.87560000000002</v>
      </c>
      <c r="M590">
        <v>0.99974640000000004</v>
      </c>
      <c r="N590">
        <v>-1.2484820000000001E-2</v>
      </c>
      <c r="O590">
        <v>-1.874984E-2</v>
      </c>
      <c r="P590">
        <v>0.97746549999999999</v>
      </c>
      <c r="Q590">
        <v>0.1839471</v>
      </c>
      <c r="R590">
        <v>-0.1035616</v>
      </c>
      <c r="S590">
        <v>3.0305179999999998</v>
      </c>
      <c r="T590">
        <v>-1.033187E-2</v>
      </c>
      <c r="U590">
        <v>-0.38540649999999999</v>
      </c>
      <c r="V590">
        <v>8.5223309999999997E-2</v>
      </c>
      <c r="W590">
        <v>0.19615460000000001</v>
      </c>
      <c r="X590">
        <v>0.97686249999999997</v>
      </c>
      <c r="Y590">
        <v>0.107533199999999</v>
      </c>
      <c r="Z590">
        <v>-1.026159E-3</v>
      </c>
      <c r="AA590">
        <v>0.99420090000000005</v>
      </c>
      <c r="AB590">
        <v>34</v>
      </c>
      <c r="AC590">
        <v>343.185329999999</v>
      </c>
      <c r="AD590">
        <v>-1.171022</v>
      </c>
      <c r="AE590">
        <v>-43.676900000000003</v>
      </c>
      <c r="AF590">
        <v>37.233623435718599</v>
      </c>
      <c r="AG590">
        <v>-1.171022</v>
      </c>
      <c r="AH590">
        <v>343.940048654924</v>
      </c>
      <c r="AI590">
        <v>90.193942612856006</v>
      </c>
      <c r="AJ590">
        <v>83.821441190699304</v>
      </c>
      <c r="AK590">
        <v>345.95154440387802</v>
      </c>
      <c r="AL590">
        <v>78.687819903481298</v>
      </c>
      <c r="AM590">
        <v>85.014033188713796</v>
      </c>
      <c r="AN590">
        <v>0.99999999178738297</v>
      </c>
    </row>
    <row r="591" spans="1:40" x14ac:dyDescent="0.25">
      <c r="A591" t="str">
        <f>"20190303170729044"</f>
        <v>20190303170729044</v>
      </c>
      <c r="B591" t="str">
        <f>"1551604049032818"</f>
        <v>1551604049032818</v>
      </c>
      <c r="C591" t="s">
        <v>40</v>
      </c>
      <c r="D591">
        <v>4.779147</v>
      </c>
      <c r="E591">
        <v>0.49406430000000001</v>
      </c>
      <c r="F591" t="s">
        <v>49</v>
      </c>
      <c r="G591">
        <v>-6.5983890000000001</v>
      </c>
      <c r="H591">
        <v>-0.1</v>
      </c>
      <c r="I591">
        <v>330.0204</v>
      </c>
      <c r="J591">
        <v>-301.48419999999999</v>
      </c>
      <c r="K591">
        <v>1.0710200000000001</v>
      </c>
      <c r="L591">
        <v>367.86919999999998</v>
      </c>
      <c r="M591">
        <v>0.99974669999999999</v>
      </c>
      <c r="N591">
        <v>-1.2459899999999999E-2</v>
      </c>
      <c r="O591">
        <v>-1.8750039999999999E-2</v>
      </c>
      <c r="P591">
        <v>0.97728389999999998</v>
      </c>
      <c r="Q591">
        <v>0.18454290000000001</v>
      </c>
      <c r="R591">
        <v>-0.1042121</v>
      </c>
      <c r="S591">
        <v>3.030243</v>
      </c>
      <c r="T591">
        <v>-1.2019520000000001E-2</v>
      </c>
      <c r="U591">
        <v>-0.3885498</v>
      </c>
      <c r="V591">
        <v>8.5876839999999996E-2</v>
      </c>
      <c r="W591">
        <v>0.19672400000000001</v>
      </c>
      <c r="X591">
        <v>0.97669079999999997</v>
      </c>
      <c r="Y591">
        <v>0.1085583</v>
      </c>
      <c r="Z591">
        <v>-1.0522470000000001E-3</v>
      </c>
      <c r="AA591">
        <v>0.99408949999999996</v>
      </c>
      <c r="AB591">
        <v>34</v>
      </c>
      <c r="AC591">
        <v>294.88581099999999</v>
      </c>
      <c r="AD591">
        <v>-1.1710199999999999</v>
      </c>
      <c r="AE591">
        <v>-37.848799999999898</v>
      </c>
      <c r="AF591">
        <v>32.312094724681799</v>
      </c>
      <c r="AG591">
        <v>-1.1710199999999999</v>
      </c>
      <c r="AH591">
        <v>295.53909929688001</v>
      </c>
      <c r="AI591">
        <v>90.225678114211604</v>
      </c>
      <c r="AJ591">
        <v>83.760479275066501</v>
      </c>
      <c r="AK591">
        <v>297.30254281883998</v>
      </c>
      <c r="AL591">
        <v>78.654547973402401</v>
      </c>
      <c r="AM591">
        <v>84.975114848779199</v>
      </c>
      <c r="AN591">
        <v>1.00000004131451</v>
      </c>
    </row>
    <row r="592" spans="1:40" x14ac:dyDescent="0.25">
      <c r="A592" t="str">
        <f>"20190303170729068"</f>
        <v>20190303170729068</v>
      </c>
      <c r="B592" t="str">
        <f>"1551604049063074"</f>
        <v>1551604049063074</v>
      </c>
      <c r="C592" t="s">
        <v>40</v>
      </c>
      <c r="D592">
        <v>4.8334710000000003</v>
      </c>
      <c r="E592">
        <v>0.49145280000000002</v>
      </c>
      <c r="F592" t="s">
        <v>44</v>
      </c>
      <c r="G592">
        <v>-158.19499999999999</v>
      </c>
      <c r="H592">
        <v>0.24874309999999999</v>
      </c>
      <c r="I592">
        <v>356.63409999999999</v>
      </c>
      <c r="J592">
        <v>-301.12040000000002</v>
      </c>
      <c r="K592">
        <v>1.0710189999999999</v>
      </c>
      <c r="L592">
        <v>367.86239999999998</v>
      </c>
      <c r="M592">
        <v>0.99974689999999999</v>
      </c>
      <c r="N592">
        <v>-1.243674E-2</v>
      </c>
      <c r="O592">
        <v>-1.8750969999999999E-2</v>
      </c>
      <c r="P592">
        <v>0.97708499999999998</v>
      </c>
      <c r="Q592">
        <v>0.18511559999999999</v>
      </c>
      <c r="R592">
        <v>-0.1050579</v>
      </c>
      <c r="S592">
        <v>3.0475159999999999</v>
      </c>
      <c r="T592">
        <v>-1.748657E-2</v>
      </c>
      <c r="U592">
        <v>-0.23895259999999999</v>
      </c>
      <c r="V592">
        <v>8.6725269999999993E-2</v>
      </c>
      <c r="W592">
        <v>0.1972719</v>
      </c>
      <c r="X592">
        <v>0.97650530000000002</v>
      </c>
      <c r="Y592">
        <v>5.9457610000000001E-2</v>
      </c>
      <c r="Z592">
        <v>-6.6614569999999995E-4</v>
      </c>
      <c r="AA592">
        <v>0.99823059999999997</v>
      </c>
      <c r="AB592">
        <v>34</v>
      </c>
      <c r="AC592">
        <v>142.9254</v>
      </c>
      <c r="AD592">
        <v>-0.82227589999999995</v>
      </c>
      <c r="AE592">
        <v>-11.2282999999999</v>
      </c>
      <c r="AF592">
        <v>8.5458474770660704</v>
      </c>
      <c r="AG592">
        <v>-0.82227589999999995</v>
      </c>
      <c r="AH592">
        <v>143.10611785790701</v>
      </c>
      <c r="AI592">
        <v>90.328627754503501</v>
      </c>
      <c r="AJ592">
        <v>86.582534656160803</v>
      </c>
      <c r="AK592">
        <v>143.36341449309199</v>
      </c>
      <c r="AL592">
        <v>78.622528114398605</v>
      </c>
      <c r="AM592">
        <v>84.924769953490397</v>
      </c>
      <c r="AN592">
        <v>1.0000000379571301</v>
      </c>
    </row>
    <row r="593" spans="1:40" x14ac:dyDescent="0.25">
      <c r="A593" t="str">
        <f>"20190303170729090"</f>
        <v>20190303170729090</v>
      </c>
      <c r="B593" t="str">
        <f>"1551604049083099"</f>
        <v>1551604049083099</v>
      </c>
      <c r="C593" t="s">
        <v>40</v>
      </c>
      <c r="D593">
        <v>4.7778970000000003</v>
      </c>
      <c r="E593">
        <v>0.49150120000000003</v>
      </c>
      <c r="F593" t="s">
        <v>44</v>
      </c>
      <c r="G593">
        <v>-158.19499999999999</v>
      </c>
      <c r="H593">
        <v>9.0015410000000004E-2</v>
      </c>
      <c r="I593">
        <v>357.54509999999999</v>
      </c>
      <c r="J593">
        <v>-300.7876</v>
      </c>
      <c r="K593">
        <v>1.0710189999999999</v>
      </c>
      <c r="L593">
        <v>367.85610000000003</v>
      </c>
      <c r="M593">
        <v>0.99974719999999995</v>
      </c>
      <c r="N593">
        <v>-1.241924E-2</v>
      </c>
      <c r="O593">
        <v>-1.8751690000000001E-2</v>
      </c>
      <c r="P593">
        <v>0.97712169999999998</v>
      </c>
      <c r="Q593">
        <v>0.18488180000000001</v>
      </c>
      <c r="R593">
        <v>-0.105129399999999</v>
      </c>
      <c r="S593">
        <v>3.0506289999999998</v>
      </c>
      <c r="T593">
        <v>-2.093685E-2</v>
      </c>
      <c r="U593">
        <v>-0.22021479999999999</v>
      </c>
      <c r="V593">
        <v>8.6795239999999996E-2</v>
      </c>
      <c r="W593">
        <v>0.19702140000000001</v>
      </c>
      <c r="X593">
        <v>0.97654960000000002</v>
      </c>
      <c r="Y593">
        <v>5.3278999999999903E-2</v>
      </c>
      <c r="Z593">
        <v>-6.1802709999999998E-4</v>
      </c>
      <c r="AA593">
        <v>0.99857949999999995</v>
      </c>
      <c r="AB593">
        <v>34</v>
      </c>
      <c r="AC593">
        <v>142.5926</v>
      </c>
      <c r="AD593">
        <v>-0.98100359000000004</v>
      </c>
      <c r="AE593">
        <v>-10.311</v>
      </c>
      <c r="AF593">
        <v>7.6347692496109998</v>
      </c>
      <c r="AG593">
        <v>-0.98100359000000004</v>
      </c>
      <c r="AH593">
        <v>142.754166293347</v>
      </c>
      <c r="AI593">
        <v>90.393167306133194</v>
      </c>
      <c r="AJ593">
        <v>86.938627370834496</v>
      </c>
      <c r="AK593">
        <v>142.96154750018201</v>
      </c>
      <c r="AL593">
        <v>78.637167402476905</v>
      </c>
      <c r="AM593">
        <v>84.920925877118094</v>
      </c>
      <c r="AN593">
        <v>0.99999998350238795</v>
      </c>
    </row>
    <row r="594" spans="1:40" x14ac:dyDescent="0.25">
      <c r="A594" t="str">
        <f>"20190303170729111"</f>
        <v>20190303170729111</v>
      </c>
      <c r="B594" t="str">
        <f>"1551604049102619"</f>
        <v>1551604049102619</v>
      </c>
      <c r="C594" t="s">
        <v>40</v>
      </c>
      <c r="D594">
        <v>4.8335839999999903</v>
      </c>
      <c r="E594">
        <v>0.49149409999999999</v>
      </c>
      <c r="F594" t="s">
        <v>44</v>
      </c>
      <c r="G594">
        <v>-158.19499999999999</v>
      </c>
      <c r="H594">
        <v>6.0998919999999998E-2</v>
      </c>
      <c r="I594">
        <v>357.53269999999998</v>
      </c>
      <c r="J594">
        <v>-300.46899999999999</v>
      </c>
      <c r="K594">
        <v>1.0710109999999999</v>
      </c>
      <c r="L594">
        <v>367.8501</v>
      </c>
      <c r="M594">
        <v>0.99974730000000001</v>
      </c>
      <c r="N594">
        <v>-1.241392E-2</v>
      </c>
      <c r="O594">
        <v>-1.875214E-2</v>
      </c>
      <c r="P594">
        <v>0.97719</v>
      </c>
      <c r="Q594">
        <v>0.18458069999999999</v>
      </c>
      <c r="R594">
        <v>-0.1050258</v>
      </c>
      <c r="S594">
        <v>3.0505680000000002</v>
      </c>
      <c r="T594">
        <v>-2.1606090000000001E-2</v>
      </c>
      <c r="U594">
        <v>-0.22085569999999999</v>
      </c>
      <c r="V594">
        <v>8.6689459999999996E-2</v>
      </c>
      <c r="W594">
        <v>0.19671559999999999</v>
      </c>
      <c r="X594">
        <v>0.97662070000000001</v>
      </c>
      <c r="Y594">
        <v>5.3488510000000003E-2</v>
      </c>
      <c r="Z594">
        <v>-6.2156220000000005E-4</v>
      </c>
      <c r="AA594">
        <v>0.99856829999999996</v>
      </c>
      <c r="AB594">
        <v>34</v>
      </c>
      <c r="AC594">
        <v>142.274</v>
      </c>
      <c r="AD594">
        <v>-1.0100120800000001</v>
      </c>
      <c r="AE594">
        <v>-10.317399999999999</v>
      </c>
      <c r="AF594">
        <v>7.64705515938868</v>
      </c>
      <c r="AG594">
        <v>-1.0100120800000001</v>
      </c>
      <c r="AH594">
        <v>142.43532662496801</v>
      </c>
      <c r="AI594">
        <v>90.4056945966706</v>
      </c>
      <c r="AJ594">
        <v>86.926859679377003</v>
      </c>
      <c r="AK594">
        <v>142.64403193885701</v>
      </c>
      <c r="AL594">
        <v>78.655038842867697</v>
      </c>
      <c r="AM594">
        <v>84.9274509725781</v>
      </c>
      <c r="AN594">
        <v>1.0000000407134699</v>
      </c>
    </row>
    <row r="595" spans="1:40" x14ac:dyDescent="0.25">
      <c r="A595" t="str">
        <f>"20190303170729146"</f>
        <v>20190303170729146</v>
      </c>
      <c r="B595" t="str">
        <f>"1551604049132875"</f>
        <v>1551604049132875</v>
      </c>
      <c r="C595" t="s">
        <v>40</v>
      </c>
      <c r="D595">
        <v>4.8327169999999997</v>
      </c>
      <c r="E595">
        <v>0.49165550000000002</v>
      </c>
      <c r="F595" t="s">
        <v>48</v>
      </c>
      <c r="G595">
        <v>-176.42160000000001</v>
      </c>
      <c r="H595">
        <v>7.9988030000000002E-2</v>
      </c>
      <c r="I595">
        <v>358.88659999999999</v>
      </c>
      <c r="J595">
        <v>-299.96050000000002</v>
      </c>
      <c r="K595">
        <v>1.071021</v>
      </c>
      <c r="L595">
        <v>367.84059999999999</v>
      </c>
      <c r="M595">
        <v>0.9997471</v>
      </c>
      <c r="N595">
        <v>-1.242423E-2</v>
      </c>
      <c r="O595">
        <v>-1.87522E-2</v>
      </c>
      <c r="P595">
        <v>0.97720899999999999</v>
      </c>
      <c r="Q595">
        <v>0.1850175</v>
      </c>
      <c r="R595">
        <v>-0.1040745</v>
      </c>
      <c r="S595">
        <v>3.050964</v>
      </c>
      <c r="T595">
        <v>-2.4374369999999999E-2</v>
      </c>
      <c r="U595">
        <v>-0.22045899999999999</v>
      </c>
      <c r="V595">
        <v>8.5738030000000007E-2</v>
      </c>
      <c r="W595">
        <v>0.197163</v>
      </c>
      <c r="X595">
        <v>0.97661439999999999</v>
      </c>
      <c r="Y595">
        <v>5.3349170000000001E-2</v>
      </c>
      <c r="Z595">
        <v>-6.2784899999999999E-4</v>
      </c>
      <c r="AA595">
        <v>0.99857569999999996</v>
      </c>
      <c r="AB595">
        <v>34</v>
      </c>
      <c r="AC595">
        <v>123.5389</v>
      </c>
      <c r="AD595">
        <v>-0.99103297000000001</v>
      </c>
      <c r="AE595">
        <v>-8.9540000000000006</v>
      </c>
      <c r="AF595">
        <v>6.63519587401961</v>
      </c>
      <c r="AG595">
        <v>-0.99103297000000001</v>
      </c>
      <c r="AH595">
        <v>123.677176555876</v>
      </c>
      <c r="AI595">
        <v>90.458445589427299</v>
      </c>
      <c r="AJ595">
        <v>86.929064691568499</v>
      </c>
      <c r="AK595">
        <v>123.859000365203</v>
      </c>
      <c r="AL595">
        <v>78.6288918687045</v>
      </c>
      <c r="AM595">
        <v>84.982805053819703</v>
      </c>
      <c r="AN595">
        <v>0.99999997232231996</v>
      </c>
    </row>
    <row r="596" spans="1:40" x14ac:dyDescent="0.25">
      <c r="A596" t="str">
        <f>"20190303170729169"</f>
        <v>20190303170729169</v>
      </c>
      <c r="B596" t="str">
        <f>"1551604049163131"</f>
        <v>1551604049163131</v>
      </c>
      <c r="C596" t="s">
        <v>40</v>
      </c>
      <c r="D596">
        <v>4.7778999999999998</v>
      </c>
      <c r="E596">
        <v>0.4917376</v>
      </c>
      <c r="F596" t="s">
        <v>46</v>
      </c>
      <c r="G596">
        <v>-151.3664</v>
      </c>
      <c r="H596">
        <v>-0.05</v>
      </c>
      <c r="I596">
        <v>357.14920000000001</v>
      </c>
      <c r="J596">
        <v>-299.60289999999998</v>
      </c>
      <c r="K596">
        <v>1.071032</v>
      </c>
      <c r="L596">
        <v>367.83390000000003</v>
      </c>
      <c r="M596">
        <v>0.99974669999999999</v>
      </c>
      <c r="N596">
        <v>-1.2444820000000001E-2</v>
      </c>
      <c r="O596">
        <v>-1.8751960000000002E-2</v>
      </c>
      <c r="P596">
        <v>0.97715549999999995</v>
      </c>
      <c r="Q596">
        <v>0.18563209999999999</v>
      </c>
      <c r="R596">
        <v>-0.10348019999999999</v>
      </c>
      <c r="S596">
        <v>3.0509029999999999</v>
      </c>
      <c r="T596">
        <v>-2.301657E-2</v>
      </c>
      <c r="U596">
        <v>-0.21951290000000001</v>
      </c>
      <c r="V596">
        <v>8.5145029999999997E-2</v>
      </c>
      <c r="W596">
        <v>0.1977969</v>
      </c>
      <c r="X596">
        <v>0.97653809999999996</v>
      </c>
      <c r="Y596">
        <v>5.3043189999999997E-2</v>
      </c>
      <c r="Z596">
        <v>-6.2220109999999999E-4</v>
      </c>
      <c r="AA596">
        <v>0.99859200000000004</v>
      </c>
      <c r="AB596">
        <v>34</v>
      </c>
      <c r="AC596">
        <v>148.23649999999901</v>
      </c>
      <c r="AD596">
        <v>-1.121032</v>
      </c>
      <c r="AE596">
        <v>-10.684699999999999</v>
      </c>
      <c r="AF596">
        <v>7.9024311381130596</v>
      </c>
      <c r="AG596">
        <v>-1.121032</v>
      </c>
      <c r="AH596">
        <v>148.402362236736</v>
      </c>
      <c r="AI596">
        <v>90.432192003223193</v>
      </c>
      <c r="AJ596">
        <v>86.951876552562894</v>
      </c>
      <c r="AK596">
        <v>148.616843756289</v>
      </c>
      <c r="AL596">
        <v>78.591842489532297</v>
      </c>
      <c r="AM596">
        <v>85.0169434212129</v>
      </c>
      <c r="AN596">
        <v>0.99999997526745998</v>
      </c>
    </row>
    <row r="597" spans="1:40" x14ac:dyDescent="0.25">
      <c r="A597" t="str">
        <f>"20190303170729191"</f>
        <v>20190303170729191</v>
      </c>
      <c r="B597" t="str">
        <f>"1551604049182651"</f>
        <v>1551604049182651</v>
      </c>
      <c r="C597" t="s">
        <v>40</v>
      </c>
      <c r="D597">
        <v>4.8423819999999997</v>
      </c>
      <c r="E597">
        <v>0.49169049999999997</v>
      </c>
      <c r="F597" t="s">
        <v>44</v>
      </c>
      <c r="G597">
        <v>-158.19499999999999</v>
      </c>
      <c r="H597">
        <v>5.300713E-2</v>
      </c>
      <c r="I597">
        <v>357.72129999999999</v>
      </c>
      <c r="J597">
        <v>-299.27730000000003</v>
      </c>
      <c r="K597">
        <v>1.0710409999999999</v>
      </c>
      <c r="L597">
        <v>367.82780000000002</v>
      </c>
      <c r="M597">
        <v>0.99974640000000004</v>
      </c>
      <c r="N597">
        <v>-1.247477E-2</v>
      </c>
      <c r="O597">
        <v>-1.8752379999999999E-2</v>
      </c>
      <c r="P597">
        <v>0.97716860000000005</v>
      </c>
      <c r="Q597">
        <v>0.18574350000000001</v>
      </c>
      <c r="R597">
        <v>-0.1031576</v>
      </c>
      <c r="S597">
        <v>3.0511469999999998</v>
      </c>
      <c r="T597">
        <v>-2.1963949999999999E-2</v>
      </c>
      <c r="U597">
        <v>-0.2182007</v>
      </c>
      <c r="V597">
        <v>8.4821779999999999E-2</v>
      </c>
      <c r="W597">
        <v>0.19793749999999999</v>
      </c>
      <c r="X597">
        <v>0.97653780000000001</v>
      </c>
      <c r="Y597">
        <v>5.261006E-2</v>
      </c>
      <c r="Z597">
        <v>-6.1661309999999896E-4</v>
      </c>
      <c r="AA597">
        <v>0.99861500000000003</v>
      </c>
      <c r="AB597">
        <v>34</v>
      </c>
      <c r="AC597">
        <v>141.0823</v>
      </c>
      <c r="AD597">
        <v>-1.01803387</v>
      </c>
      <c r="AE597">
        <v>-10.1065</v>
      </c>
      <c r="AF597">
        <v>7.4585016077568298</v>
      </c>
      <c r="AG597">
        <v>-1.01803387</v>
      </c>
      <c r="AH597">
        <v>141.23970703892101</v>
      </c>
      <c r="AI597">
        <v>90.4123973377109</v>
      </c>
      <c r="AJ597">
        <v>86.977166652083397</v>
      </c>
      <c r="AK597">
        <v>141.44016573672999</v>
      </c>
      <c r="AL597">
        <v>78.583624869091395</v>
      </c>
      <c r="AM597">
        <v>85.035765182987106</v>
      </c>
      <c r="AN597">
        <v>1.0000000315487201</v>
      </c>
    </row>
    <row r="598" spans="1:40" x14ac:dyDescent="0.25">
      <c r="A598" t="str">
        <f>"20190303170729211"</f>
        <v>20190303170729211</v>
      </c>
      <c r="B598" t="str">
        <f>"1551604049203147"</f>
        <v>1551604049203147</v>
      </c>
      <c r="C598" t="s">
        <v>40</v>
      </c>
      <c r="D598">
        <v>4.8421059999999896</v>
      </c>
      <c r="E598">
        <v>0.491647</v>
      </c>
      <c r="F598" t="s">
        <v>46</v>
      </c>
      <c r="G598">
        <v>-147.21199999999999</v>
      </c>
      <c r="H598">
        <v>-0.05</v>
      </c>
      <c r="I598">
        <v>357.00560000000002</v>
      </c>
      <c r="J598">
        <v>-298.96420000000001</v>
      </c>
      <c r="K598">
        <v>1.07104</v>
      </c>
      <c r="L598">
        <v>367.82190000000003</v>
      </c>
      <c r="M598">
        <v>0.99974600000000002</v>
      </c>
      <c r="N598">
        <v>-1.2507600000000001E-2</v>
      </c>
      <c r="O598">
        <v>-1.8752230000000002E-2</v>
      </c>
      <c r="P598">
        <v>0.97704539999999995</v>
      </c>
      <c r="Q598">
        <v>0.1865404</v>
      </c>
      <c r="R598">
        <v>-0.10288360000000001</v>
      </c>
      <c r="S598">
        <v>3.0514220000000001</v>
      </c>
      <c r="T598">
        <v>-2.2495390000000001E-2</v>
      </c>
      <c r="U598">
        <v>-0.2171631</v>
      </c>
      <c r="V598">
        <v>8.4550410000000006E-2</v>
      </c>
      <c r="W598">
        <v>0.1987652</v>
      </c>
      <c r="X598">
        <v>0.97639319999999996</v>
      </c>
      <c r="Y598">
        <v>5.2265840000000001E-2</v>
      </c>
      <c r="Z598">
        <v>-6.1597859999999998E-4</v>
      </c>
      <c r="AA598">
        <v>0.99863299999999999</v>
      </c>
      <c r="AB598">
        <v>34</v>
      </c>
      <c r="AC598">
        <v>151.75219999999999</v>
      </c>
      <c r="AD598">
        <v>-1.12104</v>
      </c>
      <c r="AE598">
        <v>-10.8163</v>
      </c>
      <c r="AF598">
        <v>7.9680505843741196</v>
      </c>
      <c r="AG598">
        <v>-1.12104</v>
      </c>
      <c r="AH598">
        <v>151.92010881955301</v>
      </c>
      <c r="AI598">
        <v>90.422205696955402</v>
      </c>
      <c r="AJ598">
        <v>86.997647410140701</v>
      </c>
      <c r="AK598">
        <v>152.13305368834699</v>
      </c>
      <c r="AL598">
        <v>78.535239756200497</v>
      </c>
      <c r="AM598">
        <v>85.0508390513059</v>
      </c>
      <c r="AN598">
        <v>1.0000000287842199</v>
      </c>
    </row>
    <row r="599" spans="1:40" x14ac:dyDescent="0.25">
      <c r="A599" t="str">
        <f>"20190303170729234"</f>
        <v>20190303170729234</v>
      </c>
      <c r="B599" t="str">
        <f>"1551604049222667"</f>
        <v>1551604049222667</v>
      </c>
      <c r="C599" t="s">
        <v>40</v>
      </c>
      <c r="D599">
        <v>4.7786410000000004</v>
      </c>
      <c r="E599">
        <v>0.4916431</v>
      </c>
      <c r="F599" t="s">
        <v>44</v>
      </c>
      <c r="G599">
        <v>-158.19499999999999</v>
      </c>
      <c r="H599">
        <v>0.12370009999999999</v>
      </c>
      <c r="I599">
        <v>357.85649999999998</v>
      </c>
      <c r="J599">
        <v>-298.62869999999998</v>
      </c>
      <c r="K599">
        <v>1.0710500000000001</v>
      </c>
      <c r="L599">
        <v>367.81560000000002</v>
      </c>
      <c r="M599">
        <v>0.99974549999999995</v>
      </c>
      <c r="N599">
        <v>-1.2543790000000001E-2</v>
      </c>
      <c r="O599">
        <v>-1.875197E-2</v>
      </c>
      <c r="P599">
        <v>0.97693200000000002</v>
      </c>
      <c r="Q599">
        <v>0.1870193</v>
      </c>
      <c r="R599">
        <v>-0.1030908</v>
      </c>
      <c r="S599">
        <v>3.051666</v>
      </c>
      <c r="T599">
        <v>-2.0534989999999999E-2</v>
      </c>
      <c r="U599">
        <v>-0.2160339</v>
      </c>
      <c r="V599">
        <v>8.4759989999999993E-2</v>
      </c>
      <c r="W599">
        <v>0.19927790000000001</v>
      </c>
      <c r="X599">
        <v>0.97627050000000004</v>
      </c>
      <c r="Y599">
        <v>5.1893309999999998E-2</v>
      </c>
      <c r="Z599">
        <v>-6.0926649999999997E-4</v>
      </c>
      <c r="AA599">
        <v>0.99865250000000005</v>
      </c>
      <c r="AB599">
        <v>34</v>
      </c>
      <c r="AC599">
        <v>140.43369999999999</v>
      </c>
      <c r="AD599">
        <v>-0.94734989999999997</v>
      </c>
      <c r="AE599">
        <v>-9.9591000000000296</v>
      </c>
      <c r="AF599">
        <v>7.3234013113875003</v>
      </c>
      <c r="AG599">
        <v>-0.94734989999999997</v>
      </c>
      <c r="AH599">
        <v>140.589404792713</v>
      </c>
      <c r="AI599">
        <v>90.385554236922204</v>
      </c>
      <c r="AJ599">
        <v>87.018117516704095</v>
      </c>
      <c r="AK599">
        <v>140.78320360955701</v>
      </c>
      <c r="AL599">
        <v>78.505264379179295</v>
      </c>
      <c r="AM599">
        <v>85.038011992994797</v>
      </c>
      <c r="AN599">
        <v>1.0000000132517299</v>
      </c>
    </row>
    <row r="600" spans="1:40" x14ac:dyDescent="0.25">
      <c r="A600" t="str">
        <f>"20190303170729257"</f>
        <v>20190303170729257</v>
      </c>
      <c r="B600" t="str">
        <f>"1551604049243163"</f>
        <v>1551604049243163</v>
      </c>
      <c r="C600" t="s">
        <v>40</v>
      </c>
      <c r="D600">
        <v>4.7830969999999997</v>
      </c>
      <c r="E600">
        <v>0.49159989999999998</v>
      </c>
      <c r="F600" t="s">
        <v>44</v>
      </c>
      <c r="G600">
        <v>-158.19499999999999</v>
      </c>
      <c r="H600">
        <v>0.1687784</v>
      </c>
      <c r="I600">
        <v>357.8716</v>
      </c>
      <c r="J600">
        <v>-298.28879999999998</v>
      </c>
      <c r="K600">
        <v>1.071056</v>
      </c>
      <c r="L600">
        <v>367.80919999999998</v>
      </c>
      <c r="M600">
        <v>0.99974510000000005</v>
      </c>
      <c r="N600">
        <v>-1.2583469999999999E-2</v>
      </c>
      <c r="O600">
        <v>-1.8751859999999999E-2</v>
      </c>
      <c r="P600">
        <v>0.97669459999999997</v>
      </c>
      <c r="Q600">
        <v>0.18773300000000001</v>
      </c>
      <c r="R600">
        <v>-0.10404099999999999</v>
      </c>
      <c r="S600">
        <v>3.0517880000000002</v>
      </c>
      <c r="T600">
        <v>-1.9605520000000001E-2</v>
      </c>
      <c r="U600">
        <v>-0.21609500000000001</v>
      </c>
      <c r="V600">
        <v>8.5714440000000003E-2</v>
      </c>
      <c r="W600">
        <v>0.20002729999999999</v>
      </c>
      <c r="X600">
        <v>0.97603390000000001</v>
      </c>
      <c r="Y600">
        <v>5.1910709999999999E-2</v>
      </c>
      <c r="Z600">
        <v>-6.0901330000000004E-4</v>
      </c>
      <c r="AA600">
        <v>0.99865159999999997</v>
      </c>
      <c r="AB600">
        <v>34</v>
      </c>
      <c r="AC600">
        <v>140.09379999999999</v>
      </c>
      <c r="AD600">
        <v>-0.90227760000000001</v>
      </c>
      <c r="AE600">
        <v>-9.9375999999999696</v>
      </c>
      <c r="AF600">
        <v>7.3083237269639598</v>
      </c>
      <c r="AG600">
        <v>-0.90227760000000001</v>
      </c>
      <c r="AH600">
        <v>140.24973792332801</v>
      </c>
      <c r="AI600">
        <v>90.368100099799705</v>
      </c>
      <c r="AJ600">
        <v>87.017051743318305</v>
      </c>
      <c r="AK600">
        <v>140.442923239755</v>
      </c>
      <c r="AL600">
        <v>78.461444883883701</v>
      </c>
      <c r="AM600">
        <v>84.981210496137294</v>
      </c>
      <c r="AN600">
        <v>1.0000000299595</v>
      </c>
    </row>
    <row r="601" spans="1:40" x14ac:dyDescent="0.25">
      <c r="A601" t="str">
        <f>"20190303170729281"</f>
        <v>20190303170729281</v>
      </c>
      <c r="B601" t="str">
        <f>"1551604049272446"</f>
        <v>1551604049272446</v>
      </c>
      <c r="C601" t="s">
        <v>40</v>
      </c>
      <c r="D601">
        <v>4.8390750000000002</v>
      </c>
      <c r="E601">
        <v>0.49155720000000003</v>
      </c>
      <c r="F601" t="s">
        <v>44</v>
      </c>
      <c r="G601">
        <v>-158.19499999999999</v>
      </c>
      <c r="H601">
        <v>0.26360029999999901</v>
      </c>
      <c r="I601">
        <v>357.8023</v>
      </c>
      <c r="J601">
        <v>-297.93099999999998</v>
      </c>
      <c r="K601">
        <v>1.071064</v>
      </c>
      <c r="L601">
        <v>367.80250000000001</v>
      </c>
      <c r="M601">
        <v>0.99974439999999998</v>
      </c>
      <c r="N601">
        <v>-1.263096E-2</v>
      </c>
      <c r="O601">
        <v>-1.875168E-2</v>
      </c>
      <c r="P601">
        <v>0.97649169999999996</v>
      </c>
      <c r="Q601">
        <v>0.1880163</v>
      </c>
      <c r="R601">
        <v>-0.10542029999999999</v>
      </c>
      <c r="S601">
        <v>3.051758</v>
      </c>
      <c r="T601">
        <v>-1.7587419999999999E-2</v>
      </c>
      <c r="U601">
        <v>-0.21798709999999999</v>
      </c>
      <c r="V601">
        <v>8.7097620000000001E-2</v>
      </c>
      <c r="W601">
        <v>0.2003548</v>
      </c>
      <c r="X601">
        <v>0.97584420000000005</v>
      </c>
      <c r="Y601">
        <v>5.2528079999999998E-2</v>
      </c>
      <c r="Z601">
        <v>-6.1205769999999997E-4</v>
      </c>
      <c r="AA601">
        <v>0.99861929999999999</v>
      </c>
      <c r="AB601">
        <v>34</v>
      </c>
      <c r="AC601">
        <v>139.73599999999999</v>
      </c>
      <c r="AD601">
        <v>-0.80746370000000001</v>
      </c>
      <c r="AE601">
        <v>-10.0002</v>
      </c>
      <c r="AF601">
        <v>7.3777025474091698</v>
      </c>
      <c r="AG601">
        <v>-0.80746370000000001</v>
      </c>
      <c r="AH601">
        <v>139.89431464818401</v>
      </c>
      <c r="AI601">
        <v>90.330246071462696</v>
      </c>
      <c r="AJ601">
        <v>86.981149793235701</v>
      </c>
      <c r="AK601">
        <v>140.091048120106</v>
      </c>
      <c r="AL601">
        <v>78.442292139716798</v>
      </c>
      <c r="AM601">
        <v>84.8996595079484</v>
      </c>
      <c r="AN601">
        <v>0.99999997198317103</v>
      </c>
    </row>
    <row r="602" spans="1:40" x14ac:dyDescent="0.25">
      <c r="A602" t="str">
        <f>"20190303170729301"</f>
        <v>20190303170729301</v>
      </c>
      <c r="B602" t="str">
        <f>"1551604049292939"</f>
        <v>1551604049292939</v>
      </c>
      <c r="C602" t="s">
        <v>40</v>
      </c>
      <c r="D602">
        <v>4.89384</v>
      </c>
      <c r="E602">
        <v>0.49155900000000002</v>
      </c>
      <c r="F602" t="s">
        <v>44</v>
      </c>
      <c r="G602">
        <v>-158.19499999999999</v>
      </c>
      <c r="H602">
        <v>0.27309420000000001</v>
      </c>
      <c r="I602">
        <v>357.63749999999999</v>
      </c>
      <c r="J602">
        <v>-297.62139999999999</v>
      </c>
      <c r="K602">
        <v>1.071075</v>
      </c>
      <c r="L602">
        <v>367.79669999999999</v>
      </c>
      <c r="M602">
        <v>0.99974379999999996</v>
      </c>
      <c r="N602">
        <v>-1.268412E-2</v>
      </c>
      <c r="O602">
        <v>-1.875141E-2</v>
      </c>
      <c r="P602">
        <v>0.97627509999999995</v>
      </c>
      <c r="Q602">
        <v>0.18850639999999999</v>
      </c>
      <c r="R602">
        <v>-0.1065479</v>
      </c>
      <c r="S602">
        <v>3.0515750000000001</v>
      </c>
      <c r="T602">
        <v>-1.7424229999999999E-2</v>
      </c>
      <c r="U602">
        <v>-0.22198490000000001</v>
      </c>
      <c r="V602">
        <v>8.8229100000000005E-2</v>
      </c>
      <c r="W602">
        <v>0.20089389999999999</v>
      </c>
      <c r="X602">
        <v>0.97563169999999999</v>
      </c>
      <c r="Y602">
        <v>5.383404E-2</v>
      </c>
      <c r="Z602">
        <v>-6.2607190000000005E-4</v>
      </c>
      <c r="AA602">
        <v>0.99854969999999998</v>
      </c>
      <c r="AB602">
        <v>34</v>
      </c>
      <c r="AC602">
        <v>139.4264</v>
      </c>
      <c r="AD602">
        <v>-0.79798079999999905</v>
      </c>
      <c r="AE602">
        <v>-10.159199999999901</v>
      </c>
      <c r="AF602">
        <v>7.5425160184619804</v>
      </c>
      <c r="AG602">
        <v>-0.79798079999999905</v>
      </c>
      <c r="AH602">
        <v>139.58784807152301</v>
      </c>
      <c r="AI602">
        <v>90.327061681755694</v>
      </c>
      <c r="AJ602">
        <v>86.907076870043298</v>
      </c>
      <c r="AK602">
        <v>139.79375397522099</v>
      </c>
      <c r="AL602">
        <v>78.410762958601396</v>
      </c>
      <c r="AM602">
        <v>84.832638400232298</v>
      </c>
      <c r="AN602">
        <v>0.99999997359445403</v>
      </c>
    </row>
    <row r="603" spans="1:40" x14ac:dyDescent="0.25">
      <c r="A603" t="str">
        <f>"20190303170729324"</f>
        <v>20190303170729324</v>
      </c>
      <c r="B603" t="str">
        <f>"1551604049312460"</f>
        <v>1551604049312460</v>
      </c>
      <c r="C603" t="s">
        <v>40</v>
      </c>
      <c r="D603">
        <v>4.7766500000000001</v>
      </c>
      <c r="E603">
        <v>0.49161529999999998</v>
      </c>
      <c r="F603" t="s">
        <v>44</v>
      </c>
      <c r="G603">
        <v>-158.19499999999999</v>
      </c>
      <c r="H603">
        <v>0.31208609999999998</v>
      </c>
      <c r="I603">
        <v>357.50479999999999</v>
      </c>
      <c r="J603">
        <v>-297.2842</v>
      </c>
      <c r="K603">
        <v>1.0710869999999999</v>
      </c>
      <c r="L603">
        <v>367.7903</v>
      </c>
      <c r="M603">
        <v>0.99974300000000005</v>
      </c>
      <c r="N603">
        <v>-1.275228E-2</v>
      </c>
      <c r="O603">
        <v>-1.8751360000000002E-2</v>
      </c>
      <c r="P603">
        <v>0.97632209999999997</v>
      </c>
      <c r="Q603">
        <v>0.18799630000000001</v>
      </c>
      <c r="R603">
        <v>-0.10702010000000001</v>
      </c>
      <c r="S603">
        <v>3.0515140000000001</v>
      </c>
      <c r="T603">
        <v>-1.6609430000000001E-2</v>
      </c>
      <c r="U603">
        <v>-0.22525020000000001</v>
      </c>
      <c r="V603">
        <v>8.8700280000000006E-2</v>
      </c>
      <c r="W603">
        <v>0.2004515</v>
      </c>
      <c r="X603">
        <v>0.97567999999999999</v>
      </c>
      <c r="Y603">
        <v>5.4898469999999998E-2</v>
      </c>
      <c r="Z603">
        <v>-6.3670070000000005E-4</v>
      </c>
      <c r="AA603">
        <v>0.99849180000000004</v>
      </c>
      <c r="AB603">
        <v>34</v>
      </c>
      <c r="AC603">
        <v>139.08920000000001</v>
      </c>
      <c r="AD603">
        <v>-0.75900089999999998</v>
      </c>
      <c r="AE603">
        <v>-10.285500000000001</v>
      </c>
      <c r="AF603">
        <v>7.6751406165627998</v>
      </c>
      <c r="AG603">
        <v>-0.75900089999999998</v>
      </c>
      <c r="AH603">
        <v>139.25349966825101</v>
      </c>
      <c r="AI603">
        <v>90.311814182943607</v>
      </c>
      <c r="AJ603">
        <v>86.845259328721895</v>
      </c>
      <c r="AK603">
        <v>139.46691735213</v>
      </c>
      <c r="AL603">
        <v>78.436637276184797</v>
      </c>
      <c r="AM603">
        <v>84.805448888720207</v>
      </c>
      <c r="AN603">
        <v>1.0000000029621601</v>
      </c>
    </row>
    <row r="604" spans="1:40" x14ac:dyDescent="0.25">
      <c r="A604" t="str">
        <f>"20190303170729348"</f>
        <v>20190303170729348</v>
      </c>
      <c r="B604" t="str">
        <f>"1551604049342716"</f>
        <v>1551604049342716</v>
      </c>
      <c r="C604" t="s">
        <v>40</v>
      </c>
      <c r="D604">
        <v>4.8395440000000001</v>
      </c>
      <c r="E604">
        <v>0.49169160000000001</v>
      </c>
      <c r="F604" t="s">
        <v>44</v>
      </c>
      <c r="G604">
        <v>-158.19499999999999</v>
      </c>
      <c r="H604">
        <v>0.21472450000000001</v>
      </c>
      <c r="I604">
        <v>357.42869999999999</v>
      </c>
      <c r="J604">
        <v>-296.9221</v>
      </c>
      <c r="K604">
        <v>1.071099</v>
      </c>
      <c r="L604">
        <v>367.78359999999998</v>
      </c>
      <c r="M604">
        <v>0.99974200000000002</v>
      </c>
      <c r="N604">
        <v>-1.2830380000000001E-2</v>
      </c>
      <c r="O604">
        <v>-1.875102E-2</v>
      </c>
      <c r="P604">
        <v>0.97625580000000001</v>
      </c>
      <c r="Q604">
        <v>0.18806719999999999</v>
      </c>
      <c r="R604">
        <v>-0.1074963</v>
      </c>
      <c r="S604">
        <v>3.0514830000000002</v>
      </c>
      <c r="T604">
        <v>-1.878583E-2</v>
      </c>
      <c r="U604">
        <v>-0.22732540000000001</v>
      </c>
      <c r="V604">
        <v>8.9178289999999993E-2</v>
      </c>
      <c r="W604">
        <v>0.20059769999999999</v>
      </c>
      <c r="X604">
        <v>0.97560639999999998</v>
      </c>
      <c r="Y604">
        <v>5.5574209999999999E-2</v>
      </c>
      <c r="Z604">
        <v>-6.5292870000000002E-4</v>
      </c>
      <c r="AA604">
        <v>0.99845430000000002</v>
      </c>
      <c r="AB604">
        <v>34</v>
      </c>
      <c r="AC604">
        <v>138.72710000000001</v>
      </c>
      <c r="AD604">
        <v>-0.85637450000000004</v>
      </c>
      <c r="AE604">
        <v>-10.354899999999899</v>
      </c>
      <c r="AF604">
        <v>7.75129701303229</v>
      </c>
      <c r="AG604">
        <v>-0.85637450000000004</v>
      </c>
      <c r="AH604">
        <v>138.891623044152</v>
      </c>
      <c r="AI604">
        <v>90.352719567334503</v>
      </c>
      <c r="AJ604">
        <v>86.8057368852878</v>
      </c>
      <c r="AK604">
        <v>139.11038399238001</v>
      </c>
      <c r="AL604">
        <v>78.428087237490402</v>
      </c>
      <c r="AM604">
        <v>84.777217785521401</v>
      </c>
      <c r="AN604">
        <v>1.0000000261867801</v>
      </c>
    </row>
    <row r="605" spans="1:40" x14ac:dyDescent="0.25">
      <c r="A605" t="str">
        <f>"20190303170729372"</f>
        <v>20190303170729372</v>
      </c>
      <c r="B605" t="str">
        <f>"1551604049363212"</f>
        <v>1551604049363212</v>
      </c>
      <c r="C605" t="s">
        <v>40</v>
      </c>
      <c r="D605">
        <v>4.8432719999999998</v>
      </c>
      <c r="E605">
        <v>0.49174060000000003</v>
      </c>
      <c r="F605" t="s">
        <v>44</v>
      </c>
      <c r="G605">
        <v>-158.19499999999999</v>
      </c>
      <c r="H605">
        <v>0.1486845</v>
      </c>
      <c r="I605">
        <v>357.34519999999998</v>
      </c>
      <c r="J605">
        <v>-296.57470000000001</v>
      </c>
      <c r="K605">
        <v>1.071116</v>
      </c>
      <c r="L605">
        <v>367.77699999999999</v>
      </c>
      <c r="M605">
        <v>0.99974099999999999</v>
      </c>
      <c r="N605">
        <v>-1.290496E-2</v>
      </c>
      <c r="O605">
        <v>-1.875077E-2</v>
      </c>
      <c r="P605">
        <v>0.97620150000000006</v>
      </c>
      <c r="Q605">
        <v>0.18812860000000001</v>
      </c>
      <c r="R605">
        <v>-0.1078831</v>
      </c>
      <c r="S605">
        <v>3.0515750000000001</v>
      </c>
      <c r="T605">
        <v>-2.028835E-2</v>
      </c>
      <c r="U605">
        <v>-0.22961429999999999</v>
      </c>
      <c r="V605">
        <v>8.9565950000000005E-2</v>
      </c>
      <c r="W605">
        <v>0.20073079999999999</v>
      </c>
      <c r="X605">
        <v>0.97554350000000001</v>
      </c>
      <c r="Y605">
        <v>5.6316449999999997E-2</v>
      </c>
      <c r="Z605">
        <v>-6.681066E-4</v>
      </c>
      <c r="AA605">
        <v>0.99841270000000004</v>
      </c>
      <c r="AB605">
        <v>34</v>
      </c>
      <c r="AC605">
        <v>138.37970000000001</v>
      </c>
      <c r="AD605">
        <v>-0.92243149999999996</v>
      </c>
      <c r="AE605">
        <v>-10.431800000000001</v>
      </c>
      <c r="AF605">
        <v>7.8346777432166599</v>
      </c>
      <c r="AG605">
        <v>-0.92243149999999996</v>
      </c>
      <c r="AH605">
        <v>138.54486638278601</v>
      </c>
      <c r="AI605">
        <v>90.380861103276402</v>
      </c>
      <c r="AJ605">
        <v>86.763385074542001</v>
      </c>
      <c r="AK605">
        <v>138.76927994421601</v>
      </c>
      <c r="AL605">
        <v>78.420302726593505</v>
      </c>
      <c r="AM605">
        <v>84.7543042889194</v>
      </c>
      <c r="AN605">
        <v>1.00000001693014</v>
      </c>
    </row>
    <row r="606" spans="1:40" x14ac:dyDescent="0.25">
      <c r="A606" t="str">
        <f>"20190303170729392"</f>
        <v>20190303170729392</v>
      </c>
      <c r="B606" t="str">
        <f>"1551604049382732"</f>
        <v>1551604049382732</v>
      </c>
      <c r="C606" t="s">
        <v>40</v>
      </c>
      <c r="D606">
        <v>4.9521280000000001</v>
      </c>
      <c r="E606">
        <v>0.4919058</v>
      </c>
      <c r="F606" t="s">
        <v>44</v>
      </c>
      <c r="G606">
        <v>-158.19499999999999</v>
      </c>
      <c r="H606">
        <v>0.1199799</v>
      </c>
      <c r="I606">
        <v>357.29719999999998</v>
      </c>
      <c r="J606">
        <v>-296.26330000000002</v>
      </c>
      <c r="K606">
        <v>1.071118</v>
      </c>
      <c r="L606">
        <v>367.77120000000002</v>
      </c>
      <c r="M606">
        <v>0.99974019999999997</v>
      </c>
      <c r="N606">
        <v>-1.2967970000000001E-2</v>
      </c>
      <c r="O606">
        <v>-1.8750699999999999E-2</v>
      </c>
      <c r="P606">
        <v>0.97618760000000004</v>
      </c>
      <c r="Q606">
        <v>0.188085</v>
      </c>
      <c r="R606">
        <v>-0.10808329999999999</v>
      </c>
      <c r="S606">
        <v>3.051666</v>
      </c>
      <c r="T606">
        <v>-2.097332E-2</v>
      </c>
      <c r="U606">
        <v>-0.2311096</v>
      </c>
      <c r="V606">
        <v>8.9766620000000005E-2</v>
      </c>
      <c r="W606">
        <v>0.2007486</v>
      </c>
      <c r="X606">
        <v>0.97552139999999998</v>
      </c>
      <c r="Y606">
        <v>5.6800499999999997E-2</v>
      </c>
      <c r="Z606">
        <v>-6.7797739999999999E-4</v>
      </c>
      <c r="AA606">
        <v>0.99838530000000003</v>
      </c>
      <c r="AB606">
        <v>33</v>
      </c>
      <c r="AC606">
        <v>138.06829999999999</v>
      </c>
      <c r="AD606">
        <v>-0.95113809999999999</v>
      </c>
      <c r="AE606">
        <v>-10.474</v>
      </c>
      <c r="AF606">
        <v>7.8826916179774997</v>
      </c>
      <c r="AG606">
        <v>-0.95113809999999999</v>
      </c>
      <c r="AH606">
        <v>138.233910870046</v>
      </c>
      <c r="AI606">
        <v>90.3935861588309</v>
      </c>
      <c r="AJ606">
        <v>86.736282997291099</v>
      </c>
      <c r="AK606">
        <v>138.46174780515099</v>
      </c>
      <c r="AL606">
        <v>78.419261755564307</v>
      </c>
      <c r="AM606">
        <v>84.742498804392397</v>
      </c>
      <c r="AN606">
        <v>1.00000002416307</v>
      </c>
    </row>
    <row r="607" spans="1:40" x14ac:dyDescent="0.25">
      <c r="A607" t="str">
        <f>"20190303170729413"</f>
        <v>20190303170729413</v>
      </c>
      <c r="B607" t="str">
        <f>"1551604049403228"</f>
        <v>1551604049403228</v>
      </c>
      <c r="C607" t="s">
        <v>40</v>
      </c>
      <c r="D607">
        <v>4.8375820000000003</v>
      </c>
      <c r="E607">
        <v>0.49193019999999998</v>
      </c>
      <c r="F607" t="s">
        <v>44</v>
      </c>
      <c r="G607">
        <v>-158.19499999999999</v>
      </c>
      <c r="H607">
        <v>7.7552800000000005E-2</v>
      </c>
      <c r="I607">
        <v>357.22500000000002</v>
      </c>
      <c r="J607">
        <v>-295.9418</v>
      </c>
      <c r="K607">
        <v>1.071132</v>
      </c>
      <c r="L607">
        <v>367.76510000000002</v>
      </c>
      <c r="M607">
        <v>0.9997393</v>
      </c>
      <c r="N607">
        <v>-1.3027779999999999E-2</v>
      </c>
      <c r="O607">
        <v>-1.8750240000000001E-2</v>
      </c>
      <c r="P607">
        <v>0.97611389999999998</v>
      </c>
      <c r="Q607">
        <v>0.18845700000000001</v>
      </c>
      <c r="R607">
        <v>-0.1080993</v>
      </c>
      <c r="S607">
        <v>3.0516049999999999</v>
      </c>
      <c r="T607">
        <v>-2.195799E-2</v>
      </c>
      <c r="U607">
        <v>-0.2330933</v>
      </c>
      <c r="V607">
        <v>8.9784470000000005E-2</v>
      </c>
      <c r="W607">
        <v>0.20117840000000001</v>
      </c>
      <c r="X607">
        <v>0.97543120000000005</v>
      </c>
      <c r="Y607">
        <v>5.744734E-2</v>
      </c>
      <c r="Z607">
        <v>-6.9045439999999999E-4</v>
      </c>
      <c r="AA607">
        <v>0.99834829999999997</v>
      </c>
      <c r="AB607">
        <v>33</v>
      </c>
      <c r="AC607">
        <v>137.74680000000001</v>
      </c>
      <c r="AD607">
        <v>-0.9935792</v>
      </c>
      <c r="AE607">
        <v>-10.540099999999899</v>
      </c>
      <c r="AF607">
        <v>7.9548304390657103</v>
      </c>
      <c r="AG607">
        <v>-0.9935792</v>
      </c>
      <c r="AH607">
        <v>137.913092362047</v>
      </c>
      <c r="AI607">
        <v>90.412088876586793</v>
      </c>
      <c r="AJ607">
        <v>86.698835810870904</v>
      </c>
      <c r="AK607">
        <v>138.145892345026</v>
      </c>
      <c r="AL607">
        <v>78.394123037236895</v>
      </c>
      <c r="AM607">
        <v>84.740975675086304</v>
      </c>
      <c r="AN607">
        <v>1.00000001280659</v>
      </c>
    </row>
    <row r="608" spans="1:40" x14ac:dyDescent="0.25">
      <c r="A608" t="str">
        <f>"20190303170729437"</f>
        <v>20190303170729437</v>
      </c>
      <c r="B608" t="str">
        <f>"1551604049422748"</f>
        <v>1551604049422748</v>
      </c>
      <c r="C608" t="s">
        <v>40</v>
      </c>
      <c r="D608">
        <v>4.8993190000000002</v>
      </c>
      <c r="E608">
        <v>0.4919751</v>
      </c>
      <c r="F608" t="s">
        <v>44</v>
      </c>
      <c r="G608">
        <v>-158.19499999999999</v>
      </c>
      <c r="H608">
        <v>8.274078E-2</v>
      </c>
      <c r="I608">
        <v>357.25670000000002</v>
      </c>
      <c r="J608">
        <v>-295.6046</v>
      </c>
      <c r="K608">
        <v>1.071137</v>
      </c>
      <c r="L608">
        <v>367.75880000000001</v>
      </c>
      <c r="M608">
        <v>0.99973860000000003</v>
      </c>
      <c r="N608">
        <v>-1.308453E-2</v>
      </c>
      <c r="O608">
        <v>-1.875025E-2</v>
      </c>
      <c r="P608">
        <v>0.97583450000000005</v>
      </c>
      <c r="Q608">
        <v>0.18975549999999999</v>
      </c>
      <c r="R608">
        <v>-0.1083508</v>
      </c>
      <c r="S608">
        <v>3.0518190000000001</v>
      </c>
      <c r="T608">
        <v>-2.1896120000000002E-2</v>
      </c>
      <c r="U608">
        <v>-0.23281859999999999</v>
      </c>
      <c r="V608">
        <v>9.0041070000000001E-2</v>
      </c>
      <c r="W608">
        <v>0.2025285</v>
      </c>
      <c r="X608">
        <v>0.97512810000000005</v>
      </c>
      <c r="Y608">
        <v>5.7352710000000001E-2</v>
      </c>
      <c r="Z608">
        <v>-6.9198369999999999E-4</v>
      </c>
      <c r="AA608">
        <v>0.99835370000000001</v>
      </c>
      <c r="AB608">
        <v>33</v>
      </c>
      <c r="AC608">
        <v>137.40960000000001</v>
      </c>
      <c r="AD608">
        <v>-0.98839622000000005</v>
      </c>
      <c r="AE608">
        <v>-10.502099999999899</v>
      </c>
      <c r="AF608">
        <v>7.9231609607814502</v>
      </c>
      <c r="AG608">
        <v>-0.98839622000000005</v>
      </c>
      <c r="AH608">
        <v>137.57529608738699</v>
      </c>
      <c r="AI608">
        <v>90.410947902377302</v>
      </c>
      <c r="AJ608">
        <v>86.703893836336803</v>
      </c>
      <c r="AK608">
        <v>137.80680498520499</v>
      </c>
      <c r="AL608">
        <v>78.315142080224007</v>
      </c>
      <c r="AM608">
        <v>84.724400189013906</v>
      </c>
      <c r="AN608">
        <v>0.99999999950430196</v>
      </c>
    </row>
    <row r="609" spans="1:40" x14ac:dyDescent="0.25">
      <c r="A609" t="str">
        <f>"20190303170729459"</f>
        <v>20190303170729459</v>
      </c>
      <c r="B609" t="str">
        <f>"1551604049453004"</f>
        <v>1551604049453004</v>
      </c>
      <c r="C609" t="s">
        <v>40</v>
      </c>
      <c r="D609">
        <v>4.8852739999999999</v>
      </c>
      <c r="E609">
        <v>0.49382209999999899</v>
      </c>
      <c r="F609" t="s">
        <v>44</v>
      </c>
      <c r="G609">
        <v>-158.19499999999999</v>
      </c>
      <c r="H609">
        <v>0.22781280000000001</v>
      </c>
      <c r="I609">
        <v>357.2242</v>
      </c>
      <c r="J609">
        <v>-295.25990000000002</v>
      </c>
      <c r="K609">
        <v>1.071143</v>
      </c>
      <c r="L609">
        <v>367.75229999999999</v>
      </c>
      <c r="M609">
        <v>0.99973789999999996</v>
      </c>
      <c r="N609">
        <v>-1.313633E-2</v>
      </c>
      <c r="O609">
        <v>-1.8749869999999998E-2</v>
      </c>
      <c r="P609">
        <v>0.97564859999999998</v>
      </c>
      <c r="Q609">
        <v>0.19043109999999999</v>
      </c>
      <c r="R609">
        <v>-0.1088399</v>
      </c>
      <c r="S609">
        <v>3.0519409999999998</v>
      </c>
      <c r="T609">
        <v>-1.8728729999999999E-2</v>
      </c>
      <c r="U609">
        <v>-0.2339783</v>
      </c>
      <c r="V609">
        <v>9.0533849999999999E-2</v>
      </c>
      <c r="W609">
        <v>0.2032523</v>
      </c>
      <c r="X609">
        <v>0.97493180000000002</v>
      </c>
      <c r="Y609">
        <v>5.7728080000000001E-2</v>
      </c>
      <c r="Z609">
        <v>-6.8776419999999996E-4</v>
      </c>
      <c r="AA609">
        <v>0.99833209999999994</v>
      </c>
      <c r="AB609">
        <v>33</v>
      </c>
      <c r="AC609">
        <v>137.06489999999999</v>
      </c>
      <c r="AD609">
        <v>-0.84333019999999903</v>
      </c>
      <c r="AE609">
        <v>-10.528099999999901</v>
      </c>
      <c r="AF609">
        <v>7.9557786498385097</v>
      </c>
      <c r="AG609">
        <v>-0.84333019999999903</v>
      </c>
      <c r="AH609">
        <v>137.233053439527</v>
      </c>
      <c r="AI609">
        <v>90.351501786461</v>
      </c>
      <c r="AJ609">
        <v>86.682119248525098</v>
      </c>
      <c r="AK609">
        <v>137.466056086903</v>
      </c>
      <c r="AL609">
        <v>78.272789895846103</v>
      </c>
      <c r="AM609">
        <v>84.694630025381898</v>
      </c>
      <c r="AN609">
        <v>0.99999994505117396</v>
      </c>
    </row>
    <row r="610" spans="1:40" x14ac:dyDescent="0.25">
      <c r="A610" t="str">
        <f>"20190303170729481"</f>
        <v>20190303170729481</v>
      </c>
      <c r="B610" t="str">
        <f>"1551604049472523"</f>
        <v>1551604049472523</v>
      </c>
      <c r="C610" t="s">
        <v>40</v>
      </c>
      <c r="D610">
        <v>4.9486589999999904</v>
      </c>
      <c r="E610">
        <v>0.4939595</v>
      </c>
      <c r="F610" t="s">
        <v>43</v>
      </c>
      <c r="G610">
        <v>-229.70779999999999</v>
      </c>
      <c r="H610" s="1">
        <v>-1.9979949999999998E-6</v>
      </c>
      <c r="I610">
        <v>362.42860000000002</v>
      </c>
      <c r="J610">
        <v>-294.93619999999999</v>
      </c>
      <c r="K610">
        <v>1.0711440000000001</v>
      </c>
      <c r="L610">
        <v>367.74630000000002</v>
      </c>
      <c r="M610">
        <v>0.9997374</v>
      </c>
      <c r="N610">
        <v>-1.317693E-2</v>
      </c>
      <c r="O610">
        <v>-1.8749769999999999E-2</v>
      </c>
      <c r="P610">
        <v>0.97582210000000003</v>
      </c>
      <c r="Q610">
        <v>0.18942400000000001</v>
      </c>
      <c r="R610">
        <v>-0.1090405</v>
      </c>
      <c r="S610">
        <v>3.0568849999999999</v>
      </c>
      <c r="T610">
        <v>-4.9950479999999998E-2</v>
      </c>
      <c r="U610">
        <v>-0.2482605</v>
      </c>
      <c r="V610">
        <v>9.0731270000000003E-2</v>
      </c>
      <c r="W610">
        <v>0.20228660000000001</v>
      </c>
      <c r="X610">
        <v>0.97511429999999999</v>
      </c>
      <c r="Y610">
        <v>6.2228100000000001E-2</v>
      </c>
      <c r="Z610">
        <v>-8.5921509999999904E-4</v>
      </c>
      <c r="AA610">
        <v>0.99806159999999999</v>
      </c>
      <c r="AB610">
        <v>33</v>
      </c>
      <c r="AC610">
        <v>65.228399999999993</v>
      </c>
      <c r="AD610">
        <v>-1.071145997995</v>
      </c>
      <c r="AE610">
        <v>-5.3177000000000003</v>
      </c>
      <c r="AF610">
        <v>4.0925450433008299</v>
      </c>
      <c r="AG610">
        <v>-1.071145997995</v>
      </c>
      <c r="AH610">
        <v>65.2991530509005</v>
      </c>
      <c r="AI610">
        <v>90.937937009648493</v>
      </c>
      <c r="AJ610">
        <v>86.413747360326994</v>
      </c>
      <c r="AK610">
        <v>65.436042574756897</v>
      </c>
      <c r="AL610">
        <v>78.329294464083901</v>
      </c>
      <c r="AM610">
        <v>84.6841166467579</v>
      </c>
      <c r="AN610">
        <v>0.99999996497993004</v>
      </c>
    </row>
    <row r="611" spans="1:40" x14ac:dyDescent="0.25">
      <c r="A611" t="str">
        <f>"20190303170729502"</f>
        <v>20190303170729502</v>
      </c>
      <c r="B611" t="str">
        <f>"1551604049493019"</f>
        <v>1551604049493019</v>
      </c>
      <c r="C611" t="s">
        <v>40</v>
      </c>
      <c r="D611">
        <v>4.9504619999999999</v>
      </c>
      <c r="E611">
        <v>0.49399710000000002</v>
      </c>
      <c r="F611" t="s">
        <v>43</v>
      </c>
      <c r="G611">
        <v>-231.4837</v>
      </c>
      <c r="H611" s="1">
        <v>-4.888253E-6</v>
      </c>
      <c r="I611">
        <v>362.55549999999999</v>
      </c>
      <c r="J611">
        <v>-294.6148</v>
      </c>
      <c r="K611">
        <v>1.0711409999999999</v>
      </c>
      <c r="L611">
        <v>367.74029999999999</v>
      </c>
      <c r="M611">
        <v>0.99973710000000005</v>
      </c>
      <c r="N611">
        <v>-1.320467E-2</v>
      </c>
      <c r="O611">
        <v>-1.8749600000000002E-2</v>
      </c>
      <c r="P611">
        <v>0.97599179999999996</v>
      </c>
      <c r="Q611">
        <v>0.18832969999999999</v>
      </c>
      <c r="R611">
        <v>-0.10941620000000001</v>
      </c>
      <c r="S611">
        <v>3.0564269999999998</v>
      </c>
      <c r="T611">
        <v>-5.1595809999999999E-2</v>
      </c>
      <c r="U611">
        <v>-0.25003049999999999</v>
      </c>
      <c r="V611">
        <v>9.1103779999999995E-2</v>
      </c>
      <c r="W611">
        <v>0.20122229999999999</v>
      </c>
      <c r="X611">
        <v>0.97529980000000005</v>
      </c>
      <c r="Y611">
        <v>6.2813590000000002E-2</v>
      </c>
      <c r="Z611">
        <v>-8.7608339999999997E-4</v>
      </c>
      <c r="AA611">
        <v>0.99802489999999999</v>
      </c>
      <c r="AB611">
        <v>33</v>
      </c>
      <c r="AC611">
        <v>63.131100000000004</v>
      </c>
      <c r="AD611">
        <v>-1.0711458882529901</v>
      </c>
      <c r="AE611">
        <v>-5.1847999999999903</v>
      </c>
      <c r="AF611">
        <v>3.9989589294780399</v>
      </c>
      <c r="AG611">
        <v>-1.0711458882529901</v>
      </c>
      <c r="AH611">
        <v>63.199149856519597</v>
      </c>
      <c r="AI611">
        <v>90.969060587183606</v>
      </c>
      <c r="AJ611">
        <v>86.379406770341006</v>
      </c>
      <c r="AK611">
        <v>63.334600090475</v>
      </c>
      <c r="AL611">
        <v>78.391555164989299</v>
      </c>
      <c r="AM611">
        <v>84.663426673089603</v>
      </c>
      <c r="AN611">
        <v>1.0000000063137999</v>
      </c>
    </row>
    <row r="612" spans="1:40" x14ac:dyDescent="0.25">
      <c r="A612" t="str">
        <f>"20190303170729525"</f>
        <v>20190303170729525</v>
      </c>
      <c r="B612" t="str">
        <f>"1551604049512540"</f>
        <v>1551604049512540</v>
      </c>
      <c r="C612" t="s">
        <v>40</v>
      </c>
      <c r="D612">
        <v>4.9471119999999997</v>
      </c>
      <c r="E612">
        <v>0.4939016</v>
      </c>
      <c r="F612" t="s">
        <v>43</v>
      </c>
      <c r="G612">
        <v>-236.83799999999999</v>
      </c>
      <c r="H612" s="1">
        <v>-2.8240290000000001E-6</v>
      </c>
      <c r="I612">
        <v>362.99439999999998</v>
      </c>
      <c r="J612">
        <v>-294.28300000000002</v>
      </c>
      <c r="K612">
        <v>1.0711360000000001</v>
      </c>
      <c r="L612">
        <v>367.73399999999998</v>
      </c>
      <c r="M612">
        <v>0.99973679999999998</v>
      </c>
      <c r="N612">
        <v>-1.321841E-2</v>
      </c>
      <c r="O612">
        <v>-1.8749450000000001E-2</v>
      </c>
      <c r="P612">
        <v>0.97582530000000001</v>
      </c>
      <c r="Q612">
        <v>0.1885261</v>
      </c>
      <c r="R612">
        <v>-0.110558</v>
      </c>
      <c r="S612">
        <v>3.05661</v>
      </c>
      <c r="T612">
        <v>-5.6667450000000001E-2</v>
      </c>
      <c r="U612">
        <v>-0.25106810000000002</v>
      </c>
      <c r="V612">
        <v>9.2248650000000001E-2</v>
      </c>
      <c r="W612">
        <v>0.2014301</v>
      </c>
      <c r="X612">
        <v>0.9751493</v>
      </c>
      <c r="Y612">
        <v>6.3142909999999997E-2</v>
      </c>
      <c r="Z612">
        <v>-9.0296349999999996E-4</v>
      </c>
      <c r="AA612">
        <v>0.99800409999999995</v>
      </c>
      <c r="AB612">
        <v>33</v>
      </c>
      <c r="AC612">
        <v>57.445</v>
      </c>
      <c r="AD612">
        <v>-1.0711388240289901</v>
      </c>
      <c r="AE612">
        <v>-4.73960000000005</v>
      </c>
      <c r="AF612">
        <v>3.66034635442597</v>
      </c>
      <c r="AG612">
        <v>-1.0711388240289901</v>
      </c>
      <c r="AH612">
        <v>57.503914728185102</v>
      </c>
      <c r="AI612">
        <v>91.064983550428906</v>
      </c>
      <c r="AJ612">
        <v>86.357816103410499</v>
      </c>
      <c r="AK612">
        <v>57.630249720794097</v>
      </c>
      <c r="AL612">
        <v>78.379400475435006</v>
      </c>
      <c r="AM612">
        <v>84.595929270173897</v>
      </c>
      <c r="AN612">
        <v>1.0000000279516601</v>
      </c>
    </row>
    <row r="613" spans="1:40" x14ac:dyDescent="0.25">
      <c r="A613" t="str">
        <f>"20190303170729548"</f>
        <v>20190303170729548</v>
      </c>
      <c r="B613" t="str">
        <f>"1551604049542796"</f>
        <v>1551604049542796</v>
      </c>
      <c r="C613" t="s">
        <v>40</v>
      </c>
      <c r="D613">
        <v>4.9398569999999999</v>
      </c>
      <c r="E613">
        <v>0.49398150000000002</v>
      </c>
      <c r="F613" t="s">
        <v>43</v>
      </c>
      <c r="G613">
        <v>-235.1771</v>
      </c>
      <c r="H613" s="1">
        <v>-3.4377300000000001E-6</v>
      </c>
      <c r="I613">
        <v>362.81229999999999</v>
      </c>
      <c r="J613">
        <v>-293.93759999999997</v>
      </c>
      <c r="K613">
        <v>1.0711269999999999</v>
      </c>
      <c r="L613">
        <v>367.72750000000002</v>
      </c>
      <c r="M613">
        <v>0.99973699999999999</v>
      </c>
      <c r="N613">
        <v>-1.321728E-2</v>
      </c>
      <c r="O613">
        <v>-1.8749439999999999E-2</v>
      </c>
      <c r="P613">
        <v>0.97556330000000002</v>
      </c>
      <c r="Q613">
        <v>0.18911169999999999</v>
      </c>
      <c r="R613">
        <v>-0.1118633</v>
      </c>
      <c r="S613">
        <v>3.0561829999999999</v>
      </c>
      <c r="T613">
        <v>-5.5385230000000001E-2</v>
      </c>
      <c r="U613">
        <v>-0.25448609999999999</v>
      </c>
      <c r="V613">
        <v>9.3558730000000007E-2</v>
      </c>
      <c r="W613">
        <v>0.20201160000000001</v>
      </c>
      <c r="X613">
        <v>0.97490410000000005</v>
      </c>
      <c r="Y613">
        <v>6.4263120000000007E-2</v>
      </c>
      <c r="Z613">
        <v>-9.1511520000000005E-4</v>
      </c>
      <c r="AA613">
        <v>0.99793259999999995</v>
      </c>
      <c r="AB613">
        <v>33</v>
      </c>
      <c r="AC613">
        <v>58.760499999999901</v>
      </c>
      <c r="AD613">
        <v>-1.0711304377299999</v>
      </c>
      <c r="AE613">
        <v>-4.91520000000002</v>
      </c>
      <c r="AF613">
        <v>3.81125564635092</v>
      </c>
      <c r="AG613">
        <v>-1.0711304377299999</v>
      </c>
      <c r="AH613">
        <v>58.822923899891599</v>
      </c>
      <c r="AI613">
        <v>91.041024412005697</v>
      </c>
      <c r="AJ613">
        <v>86.292872830721507</v>
      </c>
      <c r="AK613">
        <v>58.955995167149098</v>
      </c>
      <c r="AL613">
        <v>78.345382935556501</v>
      </c>
      <c r="AM613">
        <v>84.518276752999896</v>
      </c>
      <c r="AN613">
        <v>0.99999996334528996</v>
      </c>
    </row>
    <row r="614" spans="1:40" x14ac:dyDescent="0.25">
      <c r="A614" t="str">
        <f>"20190303170729573"</f>
        <v>20190303170729573</v>
      </c>
      <c r="B614" t="str">
        <f>"1551604049562316"</f>
        <v>1551604049562316</v>
      </c>
      <c r="C614" t="s">
        <v>40</v>
      </c>
      <c r="D614">
        <v>4.9440169999999997</v>
      </c>
      <c r="E614">
        <v>0.4939788</v>
      </c>
      <c r="F614" t="s">
        <v>43</v>
      </c>
      <c r="G614">
        <v>-233.31370000000001</v>
      </c>
      <c r="H614" s="1">
        <v>-4.1305139999999996E-6</v>
      </c>
      <c r="I614">
        <v>362.59179999999998</v>
      </c>
      <c r="J614">
        <v>-293.57780000000002</v>
      </c>
      <c r="K614">
        <v>1.071123</v>
      </c>
      <c r="L614">
        <v>367.72070000000002</v>
      </c>
      <c r="M614">
        <v>0.99973710000000005</v>
      </c>
      <c r="N614">
        <v>-1.3205400000000001E-2</v>
      </c>
      <c r="O614">
        <v>-1.874936E-2</v>
      </c>
      <c r="P614">
        <v>0.9753484</v>
      </c>
      <c r="Q614">
        <v>0.18967429999999999</v>
      </c>
      <c r="R614">
        <v>-0.1127811</v>
      </c>
      <c r="S614">
        <v>3.055939</v>
      </c>
      <c r="T614">
        <v>-5.3993699999999999E-2</v>
      </c>
      <c r="U614">
        <v>-0.25888060000000002</v>
      </c>
      <c r="V614">
        <v>9.4480439999999999E-2</v>
      </c>
      <c r="W614">
        <v>0.20255980000000001</v>
      </c>
      <c r="X614">
        <v>0.9747015</v>
      </c>
      <c r="Y614">
        <v>6.5695030000000001E-2</v>
      </c>
      <c r="Z614">
        <v>-9.3054170000000003E-4</v>
      </c>
      <c r="AA614">
        <v>0.99783929999999998</v>
      </c>
      <c r="AB614">
        <v>33</v>
      </c>
      <c r="AC614">
        <v>60.264099999999999</v>
      </c>
      <c r="AD614">
        <v>-1.071127130514</v>
      </c>
      <c r="AE614">
        <v>-5.1289000000000398</v>
      </c>
      <c r="AF614">
        <v>3.9967329986308902</v>
      </c>
      <c r="AG614">
        <v>-1.071127130514</v>
      </c>
      <c r="AH614">
        <v>60.330754526810402</v>
      </c>
      <c r="AI614">
        <v>91.014912419123604</v>
      </c>
      <c r="AJ614">
        <v>86.209863143931102</v>
      </c>
      <c r="AK614">
        <v>60.472482417760197</v>
      </c>
      <c r="AL614">
        <v>78.313311009107096</v>
      </c>
      <c r="AM614">
        <v>84.4634629691855</v>
      </c>
      <c r="AN614">
        <v>1.00000002011044</v>
      </c>
    </row>
    <row r="615" spans="1:40" x14ac:dyDescent="0.25">
      <c r="A615" t="str">
        <f>"20190303170729591"</f>
        <v>20190303170729591</v>
      </c>
      <c r="B615" t="str">
        <f>"1551604049582812"</f>
        <v>1551604049582812</v>
      </c>
      <c r="C615" t="s">
        <v>40</v>
      </c>
      <c r="D615">
        <v>4.9474289999999996</v>
      </c>
      <c r="E615">
        <v>0.49394579999999999</v>
      </c>
      <c r="F615" t="s">
        <v>43</v>
      </c>
      <c r="G615">
        <v>-231.3013</v>
      </c>
      <c r="H615" s="1">
        <v>-4.9969880000000003E-6</v>
      </c>
      <c r="I615">
        <v>362.38369999999998</v>
      </c>
      <c r="J615">
        <v>-293.28870000000001</v>
      </c>
      <c r="K615">
        <v>1.071118</v>
      </c>
      <c r="L615">
        <v>367.71539999999999</v>
      </c>
      <c r="M615">
        <v>0.99973710000000005</v>
      </c>
      <c r="N615">
        <v>-1.3193359999999999E-2</v>
      </c>
      <c r="O615">
        <v>-1.874905E-2</v>
      </c>
      <c r="P615">
        <v>0.97530329999999998</v>
      </c>
      <c r="Q615">
        <v>0.1896822</v>
      </c>
      <c r="R615">
        <v>-0.1131561</v>
      </c>
      <c r="S615">
        <v>3.0557560000000001</v>
      </c>
      <c r="T615">
        <v>-5.2557590000000001E-2</v>
      </c>
      <c r="U615">
        <v>-0.26187129999999997</v>
      </c>
      <c r="V615">
        <v>9.4856410000000002E-2</v>
      </c>
      <c r="W615">
        <v>0.2025556</v>
      </c>
      <c r="X615">
        <v>0.97466580000000003</v>
      </c>
      <c r="Y615">
        <v>6.6670359999999998E-2</v>
      </c>
      <c r="Z615">
        <v>-9.3813779999999997E-4</v>
      </c>
      <c r="AA615">
        <v>0.99777459999999996</v>
      </c>
      <c r="AB615">
        <v>33</v>
      </c>
      <c r="AC615">
        <v>61.987400000000001</v>
      </c>
      <c r="AD615">
        <v>-1.0711229969880001</v>
      </c>
      <c r="AE615">
        <v>-5.3317000000000103</v>
      </c>
      <c r="AF615">
        <v>4.1672213877780697</v>
      </c>
      <c r="AG615">
        <v>-1.0711229969880001</v>
      </c>
      <c r="AH615">
        <v>62.058081346174099</v>
      </c>
      <c r="AI615">
        <v>90.986605998871099</v>
      </c>
      <c r="AJ615">
        <v>86.158336118790501</v>
      </c>
      <c r="AK615">
        <v>62.207061487726598</v>
      </c>
      <c r="AL615">
        <v>78.313556099978896</v>
      </c>
      <c r="AM615">
        <v>84.441366579190898</v>
      </c>
      <c r="AN615">
        <v>0.99999996564954297</v>
      </c>
    </row>
    <row r="616" spans="1:40" x14ac:dyDescent="0.25">
      <c r="A616" t="str">
        <f>"20190303170729614"</f>
        <v>20190303170729614</v>
      </c>
      <c r="B616" t="str">
        <f>"1551604049602332"</f>
        <v>1551604049602332</v>
      </c>
      <c r="C616" t="s">
        <v>40</v>
      </c>
      <c r="D616">
        <v>4.9472680000000002</v>
      </c>
      <c r="E616">
        <v>0.49380580000000002</v>
      </c>
      <c r="F616" t="s">
        <v>43</v>
      </c>
      <c r="G616">
        <v>-231.5335</v>
      </c>
      <c r="H616" s="1">
        <v>-4.8926810000000003E-6</v>
      </c>
      <c r="I616">
        <v>362.4101</v>
      </c>
      <c r="J616">
        <v>-292.95870000000002</v>
      </c>
      <c r="K616">
        <v>1.0711139999999999</v>
      </c>
      <c r="L616">
        <v>367.70909999999998</v>
      </c>
      <c r="M616">
        <v>0.9997374</v>
      </c>
      <c r="N616">
        <v>-1.317756E-2</v>
      </c>
      <c r="O616">
        <v>-1.8748939999999999E-2</v>
      </c>
      <c r="P616">
        <v>0.97534279999999995</v>
      </c>
      <c r="Q616">
        <v>0.18942819999999999</v>
      </c>
      <c r="R616">
        <v>-0.1132407</v>
      </c>
      <c r="S616">
        <v>3.0557859999999999</v>
      </c>
      <c r="T616">
        <v>-5.3001520000000003E-2</v>
      </c>
      <c r="U616">
        <v>-0.26251219999999997</v>
      </c>
      <c r="V616">
        <v>9.494052E-2</v>
      </c>
      <c r="W616">
        <v>0.2022862</v>
      </c>
      <c r="X616">
        <v>0.97471359999999996</v>
      </c>
      <c r="Y616">
        <v>6.6877099999999995E-2</v>
      </c>
      <c r="Z616">
        <v>-9.4258199999999997E-4</v>
      </c>
      <c r="AA616">
        <v>0.9977608</v>
      </c>
      <c r="AB616">
        <v>33</v>
      </c>
      <c r="AC616">
        <v>61.425199999999997</v>
      </c>
      <c r="AD616">
        <v>-1.07111889268099</v>
      </c>
      <c r="AE616">
        <v>-5.2989999999999702</v>
      </c>
      <c r="AF616">
        <v>4.1450599233243599</v>
      </c>
      <c r="AG616">
        <v>-1.07111889268099</v>
      </c>
      <c r="AH616">
        <v>61.495199173217401</v>
      </c>
      <c r="AI616">
        <v>90.995614094774695</v>
      </c>
      <c r="AJ616">
        <v>86.143833274869607</v>
      </c>
      <c r="AK616">
        <v>61.644045444826901</v>
      </c>
      <c r="AL616">
        <v>78.329318346183399</v>
      </c>
      <c r="AM616">
        <v>84.436739725355295</v>
      </c>
      <c r="AN616">
        <v>1.00000000553663</v>
      </c>
    </row>
    <row r="617" spans="1:40" x14ac:dyDescent="0.25">
      <c r="A617" t="str">
        <f>"20190303170729637"</f>
        <v>20190303170729637</v>
      </c>
      <c r="B617" t="str">
        <f>"1551604049632588"</f>
        <v>1551604049632588</v>
      </c>
      <c r="C617" t="s">
        <v>40</v>
      </c>
      <c r="D617">
        <v>4.9969890000000001</v>
      </c>
      <c r="E617">
        <v>0.49362980000000001</v>
      </c>
      <c r="F617" t="s">
        <v>43</v>
      </c>
      <c r="G617">
        <v>-232.44569999999999</v>
      </c>
      <c r="H617" s="1">
        <v>-4.4787349999999999E-6</v>
      </c>
      <c r="I617">
        <v>362.53769999999997</v>
      </c>
      <c r="J617">
        <v>-292.61090000000002</v>
      </c>
      <c r="K617">
        <v>1.0711109999999999</v>
      </c>
      <c r="L617">
        <v>367.70260000000002</v>
      </c>
      <c r="M617">
        <v>0.9997376</v>
      </c>
      <c r="N617">
        <v>-1.3155180000000001E-2</v>
      </c>
      <c r="O617">
        <v>-1.874868E-2</v>
      </c>
      <c r="P617">
        <v>0.97536829999999997</v>
      </c>
      <c r="Q617">
        <v>0.1892218</v>
      </c>
      <c r="R617">
        <v>-0.1133663</v>
      </c>
      <c r="S617">
        <v>3.0560610000000001</v>
      </c>
      <c r="T617">
        <v>-5.4094080000000003E-2</v>
      </c>
      <c r="U617">
        <v>-0.2611694</v>
      </c>
      <c r="V617">
        <v>9.5065819999999995E-2</v>
      </c>
      <c r="W617">
        <v>0.2020583</v>
      </c>
      <c r="X617">
        <v>0.97474870000000002</v>
      </c>
      <c r="Y617">
        <v>6.6434099999999996E-2</v>
      </c>
      <c r="Z617">
        <v>-9.3980259999999999E-4</v>
      </c>
      <c r="AA617">
        <v>0.99779039999999997</v>
      </c>
      <c r="AB617">
        <v>33</v>
      </c>
      <c r="AC617">
        <v>60.165199999999999</v>
      </c>
      <c r="AD617">
        <v>-1.0711154787349999</v>
      </c>
      <c r="AE617">
        <v>-5.1649000000000402</v>
      </c>
      <c r="AF617">
        <v>4.0346068191424997</v>
      </c>
      <c r="AG617">
        <v>-1.0711154787349999</v>
      </c>
      <c r="AH617">
        <v>60.232515608844899</v>
      </c>
      <c r="AI617">
        <v>91.016506667287203</v>
      </c>
      <c r="AJ617">
        <v>86.167831719582693</v>
      </c>
      <c r="AK617">
        <v>60.376992945356299</v>
      </c>
      <c r="AL617">
        <v>78.342651877110001</v>
      </c>
      <c r="AM617">
        <v>84.429642962354905</v>
      </c>
      <c r="AN617">
        <v>1.0000000474414199</v>
      </c>
    </row>
    <row r="618" spans="1:40" x14ac:dyDescent="0.25">
      <c r="A618" t="str">
        <f>"20190303170729659"</f>
        <v>20190303170729659</v>
      </c>
      <c r="B618" t="str">
        <f>"1551604049653084"</f>
        <v>1551604049653084</v>
      </c>
      <c r="C618" t="s">
        <v>40</v>
      </c>
      <c r="D618">
        <v>5.0014409999999998</v>
      </c>
      <c r="E618">
        <v>0.49348760000000003</v>
      </c>
      <c r="F618" t="s">
        <v>43</v>
      </c>
      <c r="G618">
        <v>-233.9383</v>
      </c>
      <c r="H618" s="1">
        <v>-3.8907669999999998E-6</v>
      </c>
      <c r="I618">
        <v>362.69400000000002</v>
      </c>
      <c r="J618">
        <v>-292.28109999999998</v>
      </c>
      <c r="K618">
        <v>1.0711170000000001</v>
      </c>
      <c r="L618">
        <v>367.69639999999998</v>
      </c>
      <c r="M618">
        <v>0.99973809999999996</v>
      </c>
      <c r="N618">
        <v>-1.3131179999999999E-2</v>
      </c>
      <c r="O618">
        <v>-1.8748520000000001E-2</v>
      </c>
      <c r="P618">
        <v>0.97498899999999999</v>
      </c>
      <c r="Q618">
        <v>0.19042580000000001</v>
      </c>
      <c r="R618">
        <v>-0.1146069</v>
      </c>
      <c r="S618">
        <v>3.056244</v>
      </c>
      <c r="T618">
        <v>-5.5794120000000003E-2</v>
      </c>
      <c r="U618">
        <v>-0.26089479999999998</v>
      </c>
      <c r="V618">
        <v>9.6313579999999996E-2</v>
      </c>
      <c r="W618">
        <v>0.20323450000000001</v>
      </c>
      <c r="X618">
        <v>0.97438159999999896</v>
      </c>
      <c r="Y618">
        <v>6.633936E-2</v>
      </c>
      <c r="Z618">
        <v>-9.4508989999999996E-4</v>
      </c>
      <c r="AA618">
        <v>0.99779669999999998</v>
      </c>
      <c r="AB618">
        <v>33</v>
      </c>
      <c r="AC618">
        <v>58.342799999999897</v>
      </c>
      <c r="AD618">
        <v>-1.071120890767</v>
      </c>
      <c r="AE618">
        <v>-5.0023999999999598</v>
      </c>
      <c r="AF618">
        <v>3.9062781971354399</v>
      </c>
      <c r="AG618">
        <v>-1.071120890767</v>
      </c>
      <c r="AH618">
        <v>58.406796346446697</v>
      </c>
      <c r="AI618">
        <v>91.048286850572893</v>
      </c>
      <c r="AJ618">
        <v>86.173725406072904</v>
      </c>
      <c r="AK618">
        <v>58.547076517716498</v>
      </c>
      <c r="AL618">
        <v>78.273832571239794</v>
      </c>
      <c r="AM618">
        <v>84.354887361663003</v>
      </c>
      <c r="AN618">
        <v>1.00000003505061</v>
      </c>
    </row>
    <row r="619" spans="1:40" x14ac:dyDescent="0.25">
      <c r="A619" t="str">
        <f>"20190303170729681"</f>
        <v>20190303170729681</v>
      </c>
      <c r="B619" t="str">
        <f>"1551604049672604"</f>
        <v>1551604049672604</v>
      </c>
      <c r="C619" t="s">
        <v>40</v>
      </c>
      <c r="D619">
        <v>4.9419209999999998</v>
      </c>
      <c r="E619">
        <v>0.49338650000000001</v>
      </c>
      <c r="F619" t="s">
        <v>43</v>
      </c>
      <c r="G619">
        <v>-229.8792</v>
      </c>
      <c r="H619" s="1">
        <v>-1.9713640000000002E-6</v>
      </c>
      <c r="I619">
        <v>362.30939999999998</v>
      </c>
      <c r="J619">
        <v>-291.96120000000002</v>
      </c>
      <c r="K619">
        <v>1.0711269999999999</v>
      </c>
      <c r="L619">
        <v>367.69040000000001</v>
      </c>
      <c r="M619">
        <v>0.99973829999999997</v>
      </c>
      <c r="N619">
        <v>-1.310828E-2</v>
      </c>
      <c r="O619">
        <v>-1.8748379999999999E-2</v>
      </c>
      <c r="P619">
        <v>0.97437399999999996</v>
      </c>
      <c r="Q619">
        <v>0.19212670000000001</v>
      </c>
      <c r="R619">
        <v>-0.1169723</v>
      </c>
      <c r="S619">
        <v>3.056152</v>
      </c>
      <c r="T619">
        <v>-5.2458289999999998E-2</v>
      </c>
      <c r="U619">
        <v>-0.26382450000000002</v>
      </c>
      <c r="V619">
        <v>9.8690349999999996E-2</v>
      </c>
      <c r="W619">
        <v>0.20490520000000001</v>
      </c>
      <c r="X619">
        <v>0.97379360000000004</v>
      </c>
      <c r="Y619">
        <v>6.7292939999999996E-2</v>
      </c>
      <c r="Z619">
        <v>-9.4262019999999998E-4</v>
      </c>
      <c r="AA619">
        <v>0.99773279999999998</v>
      </c>
      <c r="AB619">
        <v>33</v>
      </c>
      <c r="AC619">
        <v>62.082000000000001</v>
      </c>
      <c r="AD619">
        <v>-1.071128971364</v>
      </c>
      <c r="AE619">
        <v>-5.3810000000000198</v>
      </c>
      <c r="AF619">
        <v>4.21477179445455</v>
      </c>
      <c r="AG619">
        <v>-1.071128971364</v>
      </c>
      <c r="AH619">
        <v>62.1536158701931</v>
      </c>
      <c r="AI619">
        <v>90.985051521308307</v>
      </c>
      <c r="AJ619">
        <v>86.120587854358803</v>
      </c>
      <c r="AK619">
        <v>62.3055662384361</v>
      </c>
      <c r="AL619">
        <v>78.176049805062604</v>
      </c>
      <c r="AM619">
        <v>84.213045164050897</v>
      </c>
      <c r="AN619">
        <v>0.99999995078556003</v>
      </c>
    </row>
    <row r="620" spans="1:40" x14ac:dyDescent="0.25">
      <c r="A620" t="str">
        <f>"20190303170729696"</f>
        <v>20190303170729696</v>
      </c>
      <c r="B620" t="str">
        <f>"1551604049682364"</f>
        <v>1551604049682364</v>
      </c>
      <c r="C620" t="s">
        <v>40</v>
      </c>
      <c r="D620">
        <v>4.9365449999999997</v>
      </c>
      <c r="E620">
        <v>0.4933574</v>
      </c>
      <c r="F620" t="s">
        <v>43</v>
      </c>
      <c r="G620">
        <v>-222.94149999999999</v>
      </c>
      <c r="H620" s="1">
        <v>-4.5173290000000001E-6</v>
      </c>
      <c r="I620">
        <v>361.61399999999998</v>
      </c>
      <c r="J620">
        <v>-291.75049999999999</v>
      </c>
      <c r="K620">
        <v>1.0711310000000001</v>
      </c>
      <c r="L620">
        <v>367.68639999999999</v>
      </c>
      <c r="M620">
        <v>0.99973860000000003</v>
      </c>
      <c r="N620">
        <v>-1.309392E-2</v>
      </c>
      <c r="O620">
        <v>-1.8748399999999998E-2</v>
      </c>
      <c r="P620">
        <v>0.97408609999999896</v>
      </c>
      <c r="Q620">
        <v>0.19267519999999999</v>
      </c>
      <c r="R620">
        <v>-0.1184601</v>
      </c>
      <c r="S620">
        <v>3.056</v>
      </c>
      <c r="T620">
        <v>-4.7426700000000002E-2</v>
      </c>
      <c r="U620">
        <v>-0.26904299999999998</v>
      </c>
      <c r="V620">
        <v>0.1001833</v>
      </c>
      <c r="W620">
        <v>0.20543629999999999</v>
      </c>
      <c r="X620">
        <v>0.97352930000000004</v>
      </c>
      <c r="Y620">
        <v>6.8990049999999997E-2</v>
      </c>
      <c r="Z620">
        <v>-9.4166349999999998E-4</v>
      </c>
      <c r="AA620">
        <v>0.99761690000000003</v>
      </c>
      <c r="AB620">
        <v>33</v>
      </c>
      <c r="AC620">
        <v>68.808999999999997</v>
      </c>
      <c r="AD620">
        <v>-1.071135517329</v>
      </c>
      <c r="AE620">
        <v>-6.0723999999999503</v>
      </c>
      <c r="AF620">
        <v>4.7800140079951401</v>
      </c>
      <c r="AG620">
        <v>-1.071135517329</v>
      </c>
      <c r="AH620">
        <v>68.894195355057704</v>
      </c>
      <c r="AI620">
        <v>90.888600985678394</v>
      </c>
      <c r="AJ620">
        <v>86.031067234269599</v>
      </c>
      <c r="AK620">
        <v>69.068125925306305</v>
      </c>
      <c r="AL620">
        <v>78.144959568305794</v>
      </c>
      <c r="AM620">
        <v>84.124526379985198</v>
      </c>
      <c r="AN620">
        <v>1.00000003245753</v>
      </c>
    </row>
    <row r="621" spans="1:40" x14ac:dyDescent="0.25">
      <c r="A621" t="str">
        <f>"20190303170729714"</f>
        <v>20190303170729714</v>
      </c>
      <c r="B621" t="str">
        <f>"1551604049702859"</f>
        <v>1551604049702859</v>
      </c>
      <c r="C621" t="s">
        <v>40</v>
      </c>
      <c r="D621">
        <v>4.9438110000000002</v>
      </c>
      <c r="E621">
        <v>0.49104900000000001</v>
      </c>
      <c r="F621" t="s">
        <v>43</v>
      </c>
      <c r="G621">
        <v>-220.13849999999999</v>
      </c>
      <c r="H621" s="1">
        <v>-5.6910560000000001E-6</v>
      </c>
      <c r="I621">
        <v>361.28300000000002</v>
      </c>
      <c r="J621">
        <v>-291.46769999999998</v>
      </c>
      <c r="K621">
        <v>1.0711329999999999</v>
      </c>
      <c r="L621">
        <v>367.68119999999999</v>
      </c>
      <c r="M621">
        <v>0.99973889999999999</v>
      </c>
      <c r="N621">
        <v>-1.307563E-2</v>
      </c>
      <c r="O621">
        <v>-1.874696E-2</v>
      </c>
      <c r="P621">
        <v>0.97363699999999997</v>
      </c>
      <c r="Q621">
        <v>0.19354279999999999</v>
      </c>
      <c r="R621">
        <v>-0.12071750000000001</v>
      </c>
      <c r="S621">
        <v>3.0556030000000001</v>
      </c>
      <c r="T621">
        <v>-4.5704130000000003E-2</v>
      </c>
      <c r="U621">
        <v>-0.27322390000000002</v>
      </c>
      <c r="V621">
        <v>0.1024497</v>
      </c>
      <c r="W621">
        <v>0.20628089999999999</v>
      </c>
      <c r="X621">
        <v>0.9731147</v>
      </c>
      <c r="Y621">
        <v>7.0357630000000004E-2</v>
      </c>
      <c r="Z621">
        <v>-9.5102670000000002E-4</v>
      </c>
      <c r="AA621">
        <v>0.9975214</v>
      </c>
      <c r="AB621">
        <v>33</v>
      </c>
      <c r="AC621">
        <v>71.329199999999901</v>
      </c>
      <c r="AD621">
        <v>-1.0711386910559999</v>
      </c>
      <c r="AE621">
        <v>-6.3981999999999699</v>
      </c>
      <c r="AF621">
        <v>5.0586239559223403</v>
      </c>
      <c r="AG621">
        <v>-1.0711386910559999</v>
      </c>
      <c r="AH621">
        <v>71.420642346096102</v>
      </c>
      <c r="AI621">
        <v>90.857088275850899</v>
      </c>
      <c r="AJ621">
        <v>85.948586130140399</v>
      </c>
      <c r="AK621">
        <v>71.607577584721298</v>
      </c>
      <c r="AL621">
        <v>78.095507822480997</v>
      </c>
      <c r="AM621">
        <v>83.990028900480695</v>
      </c>
      <c r="AN621">
        <v>0.99999998504549403</v>
      </c>
    </row>
    <row r="622" spans="1:40" x14ac:dyDescent="0.25">
      <c r="A622" t="str">
        <f>"20190303170729737"</f>
        <v>20190303170729737</v>
      </c>
      <c r="B622" t="str">
        <f>"1551604049733116"</f>
        <v>1551604049733116</v>
      </c>
      <c r="C622" t="s">
        <v>40</v>
      </c>
      <c r="D622">
        <v>4.9829949999999998</v>
      </c>
      <c r="E622">
        <v>0.49176180000000003</v>
      </c>
      <c r="F622" t="s">
        <v>43</v>
      </c>
      <c r="G622">
        <v>-214.61850000000001</v>
      </c>
      <c r="H622" s="1">
        <v>-4.0829819999999996E-6</v>
      </c>
      <c r="I622">
        <v>361.10169999999999</v>
      </c>
      <c r="J622">
        <v>-291.12189999999998</v>
      </c>
      <c r="K622">
        <v>1.071132</v>
      </c>
      <c r="L622">
        <v>367.6746</v>
      </c>
      <c r="M622">
        <v>0.9997393</v>
      </c>
      <c r="N622">
        <v>-1.305481E-2</v>
      </c>
      <c r="O622">
        <v>-1.8733989999999999E-2</v>
      </c>
      <c r="P622">
        <v>0.9734064</v>
      </c>
      <c r="Q622">
        <v>0.1933993</v>
      </c>
      <c r="R622">
        <v>-0.1227893</v>
      </c>
      <c r="S622">
        <v>3.0572810000000001</v>
      </c>
      <c r="T622">
        <v>-4.2612909999999997E-2</v>
      </c>
      <c r="U622">
        <v>-0.26174930000000002</v>
      </c>
      <c r="V622">
        <v>0.1045354</v>
      </c>
      <c r="W622">
        <v>0.20611570000000001</v>
      </c>
      <c r="X622">
        <v>0.97292789999999996</v>
      </c>
      <c r="Y622">
        <v>6.6608249999999994E-2</v>
      </c>
      <c r="Z622">
        <v>-8.8258759999999999E-4</v>
      </c>
      <c r="AA622">
        <v>0.99777879999999997</v>
      </c>
      <c r="AB622">
        <v>33</v>
      </c>
      <c r="AC622">
        <v>76.5033999999999</v>
      </c>
      <c r="AD622">
        <v>-1.071136082982</v>
      </c>
      <c r="AE622">
        <v>-6.5728999999999997</v>
      </c>
      <c r="AF622">
        <v>5.1374105283575497</v>
      </c>
      <c r="AG622">
        <v>-1.071136082982</v>
      </c>
      <c r="AH622">
        <v>76.598213057757505</v>
      </c>
      <c r="AI622">
        <v>90.7993663365923</v>
      </c>
      <c r="AJ622">
        <v>86.162942285653401</v>
      </c>
      <c r="AK622">
        <v>76.777773887283004</v>
      </c>
      <c r="AL622">
        <v>78.105181321888494</v>
      </c>
      <c r="AM622">
        <v>83.867430744291198</v>
      </c>
      <c r="AN622">
        <v>1.00000001511902</v>
      </c>
    </row>
    <row r="623" spans="1:40" x14ac:dyDescent="0.25">
      <c r="A623" t="str">
        <f>"20190303170729761"</f>
        <v>20190303170729761</v>
      </c>
      <c r="B623" t="str">
        <f>"1551604049752636"</f>
        <v>1551604049752636</v>
      </c>
      <c r="C623" t="s">
        <v>40</v>
      </c>
      <c r="D623">
        <v>4.8978979999999996</v>
      </c>
      <c r="E623">
        <v>0.49160730000000002</v>
      </c>
      <c r="F623" t="s">
        <v>43</v>
      </c>
      <c r="G623">
        <v>-225.74529999999999</v>
      </c>
      <c r="H623" s="1">
        <v>-3.5053009999999999E-6</v>
      </c>
      <c r="I623">
        <v>361.83159999999998</v>
      </c>
      <c r="J623">
        <v>-290.77999999999997</v>
      </c>
      <c r="K623">
        <v>1.0711440000000001</v>
      </c>
      <c r="L623">
        <v>367.66820000000001</v>
      </c>
      <c r="M623">
        <v>0.99974019999999997</v>
      </c>
      <c r="N623">
        <v>-1.3035990000000001E-2</v>
      </c>
      <c r="O623">
        <v>-1.8694639999999998E-2</v>
      </c>
      <c r="P623">
        <v>0.97333860000000005</v>
      </c>
      <c r="Q623">
        <v>0.19259480000000001</v>
      </c>
      <c r="R623">
        <v>-0.12457699999999999</v>
      </c>
      <c r="S623">
        <v>3.0574340000000002</v>
      </c>
      <c r="T623">
        <v>-5.0093169999999999E-2</v>
      </c>
      <c r="U623">
        <v>-0.27325440000000001</v>
      </c>
      <c r="V623">
        <v>0.1063545</v>
      </c>
      <c r="W623">
        <v>0.2052968</v>
      </c>
      <c r="X623">
        <v>0.97290390000000004</v>
      </c>
      <c r="Y623">
        <v>7.0364609999999994E-2</v>
      </c>
      <c r="Z623">
        <v>-9.7256679999999996E-4</v>
      </c>
      <c r="AA623">
        <v>0.99752090000000004</v>
      </c>
      <c r="AB623">
        <v>33</v>
      </c>
      <c r="AC623">
        <v>65.034699999999901</v>
      </c>
      <c r="AD623">
        <v>-1.071147505301</v>
      </c>
      <c r="AE623">
        <v>-5.83660000000003</v>
      </c>
      <c r="AF623">
        <v>4.6184332848176801</v>
      </c>
      <c r="AG623">
        <v>-1.071147505301</v>
      </c>
      <c r="AH623">
        <v>65.114932155682894</v>
      </c>
      <c r="AI623">
        <v>90.940075390314803</v>
      </c>
      <c r="AJ623">
        <v>85.942953091094395</v>
      </c>
      <c r="AK623">
        <v>65.287301005812907</v>
      </c>
      <c r="AL623">
        <v>78.153126341133799</v>
      </c>
      <c r="AM623">
        <v>83.761394896109095</v>
      </c>
      <c r="AN623">
        <v>1.00000002719784</v>
      </c>
    </row>
    <row r="624" spans="1:40" x14ac:dyDescent="0.25">
      <c r="A624" t="str">
        <f>"20190303170729782"</f>
        <v>20190303170729782</v>
      </c>
      <c r="B624" t="str">
        <f>"1551604049773132"</f>
        <v>1551604049773132</v>
      </c>
      <c r="C624" t="s">
        <v>40</v>
      </c>
      <c r="D624">
        <v>4.8894859999999998</v>
      </c>
      <c r="E624">
        <v>0.49120269999999999</v>
      </c>
      <c r="F624" t="s">
        <v>43</v>
      </c>
      <c r="G624">
        <v>-229.8408</v>
      </c>
      <c r="H624" s="1">
        <v>-2.025566E-6</v>
      </c>
      <c r="I624">
        <v>362.15480000000002</v>
      </c>
      <c r="J624">
        <v>-290.45979999999997</v>
      </c>
      <c r="K624">
        <v>1.0711710000000001</v>
      </c>
      <c r="L624">
        <v>367.66230000000002</v>
      </c>
      <c r="M624">
        <v>0.99974189999999996</v>
      </c>
      <c r="N624">
        <v>-1.3020179999999999E-2</v>
      </c>
      <c r="O624">
        <v>-1.862055E-2</v>
      </c>
      <c r="P624">
        <v>0.97292219999999996</v>
      </c>
      <c r="Q624">
        <v>0.1931803</v>
      </c>
      <c r="R624">
        <v>-0.1269016</v>
      </c>
      <c r="S624">
        <v>3.057404</v>
      </c>
      <c r="T624">
        <v>-5.3740860000000001E-2</v>
      </c>
      <c r="U624">
        <v>-0.2766113</v>
      </c>
      <c r="V624">
        <v>0.10874499999999999</v>
      </c>
      <c r="W624">
        <v>0.20586889999999999</v>
      </c>
      <c r="X624">
        <v>0.97251869999999996</v>
      </c>
      <c r="Y624">
        <v>7.1523660000000003E-2</v>
      </c>
      <c r="Z624">
        <v>-1.0094150000000001E-3</v>
      </c>
      <c r="AA624">
        <v>0.99743839999999995</v>
      </c>
      <c r="AB624">
        <v>33</v>
      </c>
      <c r="AC624">
        <v>60.6189999999999</v>
      </c>
      <c r="AD624">
        <v>-1.0711730255659999</v>
      </c>
      <c r="AE624">
        <v>-5.5074999999999896</v>
      </c>
      <c r="AF624">
        <v>4.3763348977069496</v>
      </c>
      <c r="AG624">
        <v>-1.0711730255659999</v>
      </c>
      <c r="AH624">
        <v>60.6922536441689</v>
      </c>
      <c r="AI624">
        <v>91.008504934953194</v>
      </c>
      <c r="AJ624">
        <v>85.875712660198104</v>
      </c>
      <c r="AK624">
        <v>60.859258713820402</v>
      </c>
      <c r="AL624">
        <v>78.119632256953906</v>
      </c>
      <c r="AM624">
        <v>83.619809124016797</v>
      </c>
      <c r="AN624">
        <v>1.0000000504309401</v>
      </c>
    </row>
    <row r="625" spans="1:40" x14ac:dyDescent="0.25">
      <c r="A625" t="str">
        <f>"20190303170729805"</f>
        <v>20190303170729805</v>
      </c>
      <c r="B625" t="str">
        <f>"1551604049792652"</f>
        <v>1551604049792652</v>
      </c>
      <c r="C625" t="s">
        <v>40</v>
      </c>
      <c r="D625">
        <v>4.8917590000000004</v>
      </c>
      <c r="E625">
        <v>0.49104110000000001</v>
      </c>
      <c r="F625" t="s">
        <v>43</v>
      </c>
      <c r="G625">
        <v>-228.83750000000001</v>
      </c>
      <c r="H625" s="1">
        <v>-2.398815E-6</v>
      </c>
      <c r="I625">
        <v>362.03530000000001</v>
      </c>
      <c r="J625">
        <v>-290.13130000000001</v>
      </c>
      <c r="K625">
        <v>1.0712219999999999</v>
      </c>
      <c r="L625">
        <v>367.65629999999999</v>
      </c>
      <c r="M625">
        <v>0.99974439999999998</v>
      </c>
      <c r="N625">
        <v>-1.3005620000000001E-2</v>
      </c>
      <c r="O625">
        <v>-1.849841E-2</v>
      </c>
      <c r="P625">
        <v>0.97224460000000001</v>
      </c>
      <c r="Q625">
        <v>0.19492970000000001</v>
      </c>
      <c r="R625">
        <v>-0.12939510000000001</v>
      </c>
      <c r="S625">
        <v>3.0576479999999999</v>
      </c>
      <c r="T625">
        <v>-5.3150650000000001E-2</v>
      </c>
      <c r="U625">
        <v>-0.27920529999999999</v>
      </c>
      <c r="V625">
        <v>0.1113508</v>
      </c>
      <c r="W625">
        <v>0.20760580000000001</v>
      </c>
      <c r="X625">
        <v>0.97185429999999995</v>
      </c>
      <c r="Y625">
        <v>7.2477680000000003E-2</v>
      </c>
      <c r="Z625">
        <v>-1.020317E-3</v>
      </c>
      <c r="AA625">
        <v>0.99736950000000002</v>
      </c>
      <c r="AB625">
        <v>33</v>
      </c>
      <c r="AC625">
        <v>61.293799999999997</v>
      </c>
      <c r="AD625">
        <v>-1.0712243988150001</v>
      </c>
      <c r="AE625">
        <v>-5.62099999999998</v>
      </c>
      <c r="AF625">
        <v>4.4847459919149397</v>
      </c>
      <c r="AG625">
        <v>-1.0712243988150001</v>
      </c>
      <c r="AH625">
        <v>61.368710363785397</v>
      </c>
      <c r="AI625">
        <v>90.997368467436203</v>
      </c>
      <c r="AJ625">
        <v>85.820328469144499</v>
      </c>
      <c r="AK625">
        <v>61.541685710084302</v>
      </c>
      <c r="AL625">
        <v>78.017916896224904</v>
      </c>
      <c r="AM625">
        <v>83.463803087925299</v>
      </c>
      <c r="AN625">
        <v>0.99999997464138402</v>
      </c>
    </row>
    <row r="626" spans="1:40" x14ac:dyDescent="0.25">
      <c r="A626" t="str">
        <f>"20190303170729826"</f>
        <v>20190303170729826</v>
      </c>
      <c r="B626" t="str">
        <f>"1551604049813148"</f>
        <v>1551604049813148</v>
      </c>
      <c r="C626" t="s">
        <v>40</v>
      </c>
      <c r="D626">
        <v>4.9249239999999999</v>
      </c>
      <c r="E626">
        <v>0.48856040000000001</v>
      </c>
      <c r="F626" t="s">
        <v>43</v>
      </c>
      <c r="G626">
        <v>-222.6405</v>
      </c>
      <c r="H626" s="1">
        <v>-4.6858390000000001E-6</v>
      </c>
      <c r="I626">
        <v>361.36579999999998</v>
      </c>
      <c r="J626">
        <v>-289.80540000000002</v>
      </c>
      <c r="K626">
        <v>1.071269</v>
      </c>
      <c r="L626">
        <v>367.65039999999999</v>
      </c>
      <c r="M626">
        <v>0.99974770000000002</v>
      </c>
      <c r="N626">
        <v>-1.2992750000000001E-2</v>
      </c>
      <c r="O626">
        <v>-1.8329270000000002E-2</v>
      </c>
      <c r="P626">
        <v>0.97163359999999999</v>
      </c>
      <c r="Q626">
        <v>0.19636999999999999</v>
      </c>
      <c r="R626">
        <v>-0.13178570000000001</v>
      </c>
      <c r="S626">
        <v>3.0574949999999999</v>
      </c>
      <c r="T626">
        <v>-4.8529030000000001E-2</v>
      </c>
      <c r="U626">
        <v>-0.28497309999999998</v>
      </c>
      <c r="V626">
        <v>0.11389630000000001</v>
      </c>
      <c r="W626">
        <v>0.20903759999999999</v>
      </c>
      <c r="X626">
        <v>0.97125229999999996</v>
      </c>
      <c r="Y626">
        <v>7.4518349999999997E-2</v>
      </c>
      <c r="Z626">
        <v>-1.0227859999999999E-3</v>
      </c>
      <c r="AA626">
        <v>0.99721910000000002</v>
      </c>
      <c r="AB626">
        <v>33</v>
      </c>
      <c r="AC626">
        <v>67.164900000000003</v>
      </c>
      <c r="AD626">
        <v>-1.071273685839</v>
      </c>
      <c r="AE626">
        <v>-6.28460000000001</v>
      </c>
      <c r="AF626">
        <v>5.0510828355076303</v>
      </c>
      <c r="AG626">
        <v>-1.071273685839</v>
      </c>
      <c r="AH626">
        <v>67.251856217596796</v>
      </c>
      <c r="AI626">
        <v>90.910040610805197</v>
      </c>
      <c r="AJ626">
        <v>85.704752336892795</v>
      </c>
      <c r="AK626">
        <v>67.449783022878805</v>
      </c>
      <c r="AL626">
        <v>77.934041590963503</v>
      </c>
      <c r="AM626">
        <v>83.311616058520499</v>
      </c>
      <c r="AN626">
        <v>1.0000000578113599</v>
      </c>
    </row>
    <row r="627" spans="1:40" x14ac:dyDescent="0.25">
      <c r="A627" t="str">
        <f>"20190303170729851"</f>
        <v>20190303170729851</v>
      </c>
      <c r="B627" t="str">
        <f>"1551604049842428"</f>
        <v>1551604049842428</v>
      </c>
      <c r="C627" t="s">
        <v>40</v>
      </c>
      <c r="D627">
        <v>4.8691879999999896</v>
      </c>
      <c r="E627">
        <v>0.4876006</v>
      </c>
      <c r="F627" t="s">
        <v>43</v>
      </c>
      <c r="G627">
        <v>-237.38</v>
      </c>
      <c r="H627" s="1">
        <v>-2.6355640000000001E-6</v>
      </c>
      <c r="I627">
        <v>363.00959999999998</v>
      </c>
      <c r="J627">
        <v>-289.45929999999998</v>
      </c>
      <c r="K627">
        <v>1.0713109999999999</v>
      </c>
      <c r="L627">
        <v>367.64429999999999</v>
      </c>
      <c r="M627">
        <v>0.99975190000000003</v>
      </c>
      <c r="N627">
        <v>-1.298059E-2</v>
      </c>
      <c r="O627">
        <v>-1.8104729999999999E-2</v>
      </c>
      <c r="P627">
        <v>0.9712944</v>
      </c>
      <c r="Q627">
        <v>0.19676379999999999</v>
      </c>
      <c r="R627">
        <v>-0.1336832</v>
      </c>
      <c r="S627">
        <v>3.0634769999999998</v>
      </c>
      <c r="T627">
        <v>-6.2599660000000001E-2</v>
      </c>
      <c r="U627">
        <v>-0.27117920000000001</v>
      </c>
      <c r="V627">
        <v>0.1159987</v>
      </c>
      <c r="W627">
        <v>0.2094269</v>
      </c>
      <c r="X627">
        <v>0.97091950000000005</v>
      </c>
      <c r="Y627">
        <v>7.0101810000000001E-2</v>
      </c>
      <c r="Z627">
        <v>-1.036234E-3</v>
      </c>
      <c r="AA627">
        <v>0.99753930000000002</v>
      </c>
      <c r="AB627">
        <v>33</v>
      </c>
      <c r="AC627">
        <v>52.079299999999897</v>
      </c>
      <c r="AD627">
        <v>-1.0713136355640001</v>
      </c>
      <c r="AE627">
        <v>-4.6346999999999996</v>
      </c>
      <c r="AF627">
        <v>3.6894302342093499</v>
      </c>
      <c r="AG627">
        <v>-1.0713136355640001</v>
      </c>
      <c r="AH627">
        <v>52.132792521131996</v>
      </c>
      <c r="AI627">
        <v>91.174309621612295</v>
      </c>
      <c r="AJ627">
        <v>85.951934988715195</v>
      </c>
      <c r="AK627">
        <v>52.274158667646098</v>
      </c>
      <c r="AL627">
        <v>77.911230757864899</v>
      </c>
      <c r="AM627">
        <v>83.186992670711803</v>
      </c>
      <c r="AN627">
        <v>1.00000000016277</v>
      </c>
    </row>
    <row r="628" spans="1:40" x14ac:dyDescent="0.25">
      <c r="A628" t="str">
        <f>"20190303170729871"</f>
        <v>20190303170729871</v>
      </c>
      <c r="B628" t="str">
        <f>"1551604049862924"</f>
        <v>1551604049862924</v>
      </c>
      <c r="C628" t="s">
        <v>40</v>
      </c>
      <c r="D628">
        <v>4.8236629999999998</v>
      </c>
      <c r="E628">
        <v>0.48666720000000002</v>
      </c>
      <c r="F628" t="s">
        <v>43</v>
      </c>
      <c r="G628">
        <v>-232.0488</v>
      </c>
      <c r="H628" s="1">
        <v>-4.6383449999999999E-6</v>
      </c>
      <c r="I628">
        <v>362.59780000000001</v>
      </c>
      <c r="J628">
        <v>-289.13639999999998</v>
      </c>
      <c r="K628">
        <v>1.0713349999999999</v>
      </c>
      <c r="L628">
        <v>367.63869999999997</v>
      </c>
      <c r="M628">
        <v>0.99975630000000004</v>
      </c>
      <c r="N628">
        <v>-1.2970600000000001E-2</v>
      </c>
      <c r="O628">
        <v>-1.7864399999999999E-2</v>
      </c>
      <c r="P628">
        <v>0.97095050000000005</v>
      </c>
      <c r="Q628">
        <v>0.1967429</v>
      </c>
      <c r="R628">
        <v>-0.13618839999999999</v>
      </c>
      <c r="S628">
        <v>3.0631710000000001</v>
      </c>
      <c r="T628">
        <v>-5.7160620000000002E-2</v>
      </c>
      <c r="U628">
        <v>-0.26925660000000001</v>
      </c>
      <c r="V628">
        <v>0.1187293</v>
      </c>
      <c r="W628">
        <v>0.2094008</v>
      </c>
      <c r="X628">
        <v>0.97059499999999999</v>
      </c>
      <c r="Y628">
        <v>6.9732169999999996E-2</v>
      </c>
      <c r="Z628">
        <v>-1.0012160000000001E-3</v>
      </c>
      <c r="AA628">
        <v>0.99756529999999999</v>
      </c>
      <c r="AB628">
        <v>33</v>
      </c>
      <c r="AC628">
        <v>57.087599999999902</v>
      </c>
      <c r="AD628">
        <v>-1.071339638345</v>
      </c>
      <c r="AE628">
        <v>-5.0408999999999597</v>
      </c>
      <c r="AF628">
        <v>4.0187695299025696</v>
      </c>
      <c r="AG628">
        <v>-1.071339638345</v>
      </c>
      <c r="AH628">
        <v>57.148577441017203</v>
      </c>
      <c r="AI628">
        <v>91.071328344511301</v>
      </c>
      <c r="AJ628">
        <v>85.977500846911497</v>
      </c>
      <c r="AK628">
        <v>57.299722343891901</v>
      </c>
      <c r="AL628">
        <v>77.912760059272301</v>
      </c>
      <c r="AM628">
        <v>83.025867601746597</v>
      </c>
      <c r="AN628">
        <v>0.99999999787206495</v>
      </c>
    </row>
    <row r="629" spans="1:40" x14ac:dyDescent="0.25">
      <c r="A629" t="str">
        <f>"20190303170729893"</f>
        <v>20190303170729893</v>
      </c>
      <c r="B629" t="str">
        <f>"1551604049882444"</f>
        <v>1551604049882444</v>
      </c>
      <c r="C629" t="s">
        <v>40</v>
      </c>
      <c r="D629">
        <v>4.7837759999999996</v>
      </c>
      <c r="E629">
        <v>0.485929</v>
      </c>
      <c r="F629" t="s">
        <v>43</v>
      </c>
      <c r="G629">
        <v>-233.78710000000001</v>
      </c>
      <c r="H629" s="1">
        <v>-3.9202909999999999E-6</v>
      </c>
      <c r="I629">
        <v>362.77640000000002</v>
      </c>
      <c r="J629">
        <v>-288.82279999999997</v>
      </c>
      <c r="K629">
        <v>1.0713600000000001</v>
      </c>
      <c r="L629">
        <v>367.63330000000002</v>
      </c>
      <c r="M629">
        <v>0.99976080000000001</v>
      </c>
      <c r="N629">
        <v>-1.296198E-2</v>
      </c>
      <c r="O629">
        <v>-1.7616090000000001E-2</v>
      </c>
      <c r="P629">
        <v>0.97081419999999996</v>
      </c>
      <c r="Q629">
        <v>0.1961253</v>
      </c>
      <c r="R629">
        <v>-0.13803869999999999</v>
      </c>
      <c r="S629">
        <v>3.0640260000000001</v>
      </c>
      <c r="T629">
        <v>-5.9307100000000001E-2</v>
      </c>
      <c r="U629">
        <v>-0.26916499999999999</v>
      </c>
      <c r="V629">
        <v>0.1208135</v>
      </c>
      <c r="W629">
        <v>0.2087802</v>
      </c>
      <c r="X629">
        <v>0.97047150000000004</v>
      </c>
      <c r="Y629">
        <v>6.9924879999999995E-2</v>
      </c>
      <c r="Z629">
        <v>-1.0172569999999999E-3</v>
      </c>
      <c r="AA629">
        <v>0.99755170000000004</v>
      </c>
      <c r="AB629">
        <v>33</v>
      </c>
      <c r="AC629">
        <v>55.035699999999899</v>
      </c>
      <c r="AD629">
        <v>-1.0713639202909999</v>
      </c>
      <c r="AE629">
        <v>-4.8568999999999898</v>
      </c>
      <c r="AF629">
        <v>3.8850900124984298</v>
      </c>
      <c r="AG629">
        <v>-1.0713639202909999</v>
      </c>
      <c r="AH629">
        <v>55.092009226126798</v>
      </c>
      <c r="AI629">
        <v>91.111320581430405</v>
      </c>
      <c r="AJ629">
        <v>85.966178033362894</v>
      </c>
      <c r="AK629">
        <v>55.239218184425397</v>
      </c>
      <c r="AL629">
        <v>77.949121607117107</v>
      </c>
      <c r="AM629">
        <v>82.903785647470897</v>
      </c>
      <c r="AN629">
        <v>1.0000000030032701</v>
      </c>
    </row>
    <row r="630" spans="1:40" x14ac:dyDescent="0.25">
      <c r="A630" t="str">
        <f>"20190303170729916"</f>
        <v>20190303170729916</v>
      </c>
      <c r="B630" t="str">
        <f>"1551604049902940"</f>
        <v>1551604049902940</v>
      </c>
      <c r="C630" t="s">
        <v>40</v>
      </c>
      <c r="D630">
        <v>4.8597590000000004</v>
      </c>
      <c r="E630">
        <v>0.48587279999999999</v>
      </c>
      <c r="F630" t="s">
        <v>43</v>
      </c>
      <c r="G630">
        <v>-232.58109999999999</v>
      </c>
      <c r="H630" s="1">
        <v>-4.3924380000000003E-6</v>
      </c>
      <c r="I630">
        <v>362.69670000000002</v>
      </c>
      <c r="J630">
        <v>-288.48289999999997</v>
      </c>
      <c r="K630">
        <v>1.071375</v>
      </c>
      <c r="L630">
        <v>367.62759999999997</v>
      </c>
      <c r="M630">
        <v>0.99976589999999999</v>
      </c>
      <c r="N630">
        <v>-1.295375E-2</v>
      </c>
      <c r="O630">
        <v>-1.733821E-2</v>
      </c>
      <c r="P630">
        <v>0.97052879999999997</v>
      </c>
      <c r="Q630">
        <v>0.1964225</v>
      </c>
      <c r="R630">
        <v>-0.13961589999999999</v>
      </c>
      <c r="S630">
        <v>3.0637509999999999</v>
      </c>
      <c r="T630">
        <v>-5.8362249999999997E-2</v>
      </c>
      <c r="U630">
        <v>-0.26892090000000002</v>
      </c>
      <c r="V630">
        <v>0.1226587</v>
      </c>
      <c r="W630">
        <v>0.2090706</v>
      </c>
      <c r="X630">
        <v>0.97017750000000003</v>
      </c>
      <c r="Y630">
        <v>7.0131509999999994E-2</v>
      </c>
      <c r="Z630">
        <v>-1.0165040000000001E-3</v>
      </c>
      <c r="AA630">
        <v>0.99753729999999996</v>
      </c>
      <c r="AB630">
        <v>33</v>
      </c>
      <c r="AC630">
        <v>55.901799999999902</v>
      </c>
      <c r="AD630">
        <v>-1.071379392438</v>
      </c>
      <c r="AE630">
        <v>-4.9308999999999497</v>
      </c>
      <c r="AF630">
        <v>3.9593972197430198</v>
      </c>
      <c r="AG630">
        <v>-1.071379392438</v>
      </c>
      <c r="AH630">
        <v>55.958500145978597</v>
      </c>
      <c r="AI630">
        <v>91.094114181227994</v>
      </c>
      <c r="AJ630">
        <v>85.952727401511694</v>
      </c>
      <c r="AK630">
        <v>56.108630519143297</v>
      </c>
      <c r="AL630">
        <v>77.932107730697297</v>
      </c>
      <c r="AM630">
        <v>82.794374347106597</v>
      </c>
      <c r="AN630">
        <v>1.0000000269881399</v>
      </c>
    </row>
    <row r="631" spans="1:40" x14ac:dyDescent="0.25">
      <c r="A631" t="str">
        <f>"20190303170729940"</f>
        <v>20190303170729940</v>
      </c>
      <c r="B631" t="str">
        <f>"1551604049933196"</f>
        <v>1551604049933196</v>
      </c>
      <c r="C631" t="s">
        <v>40</v>
      </c>
      <c r="D631">
        <v>4.8974359999999999</v>
      </c>
      <c r="E631">
        <v>0.48571589999999998</v>
      </c>
      <c r="F631" t="s">
        <v>43</v>
      </c>
      <c r="G631">
        <v>-234.98830000000001</v>
      </c>
      <c r="H631" s="1">
        <v>-3.488627E-6</v>
      </c>
      <c r="I631">
        <v>362.86250000000001</v>
      </c>
      <c r="J631">
        <v>-288.13569999999999</v>
      </c>
      <c r="K631">
        <v>1.0713870000000001</v>
      </c>
      <c r="L631">
        <v>367.62189999999998</v>
      </c>
      <c r="M631">
        <v>0.99977090000000002</v>
      </c>
      <c r="N631">
        <v>-1.2946279999999999E-2</v>
      </c>
      <c r="O631">
        <v>-1.7050409999999998E-2</v>
      </c>
      <c r="P631">
        <v>0.97008879999999997</v>
      </c>
      <c r="Q631">
        <v>0.1971194</v>
      </c>
      <c r="R631">
        <v>-0.1416742</v>
      </c>
      <c r="S631">
        <v>3.06427</v>
      </c>
      <c r="T631">
        <v>-6.137037E-2</v>
      </c>
      <c r="U631">
        <v>-0.2729492</v>
      </c>
      <c r="V631">
        <v>0.12500029999999901</v>
      </c>
      <c r="W631">
        <v>0.2097579</v>
      </c>
      <c r="X631">
        <v>0.96973010000000004</v>
      </c>
      <c r="Y631">
        <v>7.17029E-2</v>
      </c>
      <c r="Z631">
        <v>-1.0613479999999999E-3</v>
      </c>
      <c r="AA631">
        <v>0.99742549999999996</v>
      </c>
      <c r="AB631">
        <v>33</v>
      </c>
      <c r="AC631">
        <v>53.147399999999898</v>
      </c>
      <c r="AD631">
        <v>-1.071390488627</v>
      </c>
      <c r="AE631">
        <v>-4.7593999999999701</v>
      </c>
      <c r="AF631">
        <v>3.85089471028552</v>
      </c>
      <c r="AG631">
        <v>-1.071390488627</v>
      </c>
      <c r="AH631">
        <v>53.199382115151302</v>
      </c>
      <c r="AI631">
        <v>91.150722505412503</v>
      </c>
      <c r="AJ631">
        <v>85.859804254531895</v>
      </c>
      <c r="AK631">
        <v>53.349334813872801</v>
      </c>
      <c r="AL631">
        <v>77.891834550618299</v>
      </c>
      <c r="AM631">
        <v>82.654953020301406</v>
      </c>
      <c r="AN631">
        <v>0.999999959229254</v>
      </c>
    </row>
    <row r="632" spans="1:40" x14ac:dyDescent="0.25">
      <c r="A632" t="str">
        <f>"20190303170729963"</f>
        <v>20190303170729963</v>
      </c>
      <c r="B632" t="str">
        <f>"1551604049952716"</f>
        <v>1551604049952716</v>
      </c>
      <c r="C632" t="s">
        <v>40</v>
      </c>
      <c r="D632">
        <v>4.8640990000000004</v>
      </c>
      <c r="E632">
        <v>0.48522710000000002</v>
      </c>
      <c r="F632" t="s">
        <v>43</v>
      </c>
      <c r="G632">
        <v>-232.91589999999999</v>
      </c>
      <c r="H632" s="1">
        <v>-4.2612830000000003E-6</v>
      </c>
      <c r="I632">
        <v>362.62639999999999</v>
      </c>
      <c r="J632">
        <v>-287.78879999999998</v>
      </c>
      <c r="K632">
        <v>1.071393</v>
      </c>
      <c r="L632">
        <v>367.61630000000002</v>
      </c>
      <c r="M632">
        <v>0.99977579999999999</v>
      </c>
      <c r="N632">
        <v>-1.2939640000000001E-2</v>
      </c>
      <c r="O632">
        <v>-1.676304E-2</v>
      </c>
      <c r="P632">
        <v>0.9696323</v>
      </c>
      <c r="Q632">
        <v>0.1977624</v>
      </c>
      <c r="R632">
        <v>-0.14388719999999999</v>
      </c>
      <c r="S632">
        <v>3.0640559999999999</v>
      </c>
      <c r="T632">
        <v>-5.9449670000000003E-2</v>
      </c>
      <c r="U632">
        <v>-0.27719120000000003</v>
      </c>
      <c r="V632">
        <v>0.1274981</v>
      </c>
      <c r="W632">
        <v>0.21039099999999999</v>
      </c>
      <c r="X632">
        <v>0.96926769999999995</v>
      </c>
      <c r="Y632">
        <v>7.3366029999999999E-2</v>
      </c>
      <c r="Z632">
        <v>-1.0779850000000001E-3</v>
      </c>
      <c r="AA632">
        <v>0.99730450000000004</v>
      </c>
      <c r="AB632">
        <v>33</v>
      </c>
      <c r="AC632">
        <v>54.872899999999902</v>
      </c>
      <c r="AD632">
        <v>-1.0713972612830001</v>
      </c>
      <c r="AE632">
        <v>-4.9899000000000298</v>
      </c>
      <c r="AF632">
        <v>4.0677471365834403</v>
      </c>
      <c r="AG632">
        <v>-1.0713972612830001</v>
      </c>
      <c r="AH632">
        <v>54.928073030771799</v>
      </c>
      <c r="AI632">
        <v>91.114387908535207</v>
      </c>
      <c r="AJ632">
        <v>85.764641592604903</v>
      </c>
      <c r="AK632">
        <v>55.088906920835498</v>
      </c>
      <c r="AL632">
        <v>77.854733257260406</v>
      </c>
      <c r="AM632">
        <v>82.506299496188404</v>
      </c>
      <c r="AN632">
        <v>1.00000000632394</v>
      </c>
    </row>
    <row r="633" spans="1:40" x14ac:dyDescent="0.25">
      <c r="A633" t="str">
        <f>"20190303170729983"</f>
        <v>20190303170729983</v>
      </c>
      <c r="B633" t="str">
        <f>"1551604049973212"</f>
        <v>1551604049973212</v>
      </c>
      <c r="C633" t="s">
        <v>40</v>
      </c>
      <c r="D633">
        <v>4.8335850000000002</v>
      </c>
      <c r="E633">
        <v>0.48499439999999999</v>
      </c>
      <c r="F633" t="s">
        <v>43</v>
      </c>
      <c r="G633">
        <v>-229.27359999999999</v>
      </c>
      <c r="H633" s="1">
        <v>-2.1835879999999998E-6</v>
      </c>
      <c r="I633">
        <v>362.28640000000001</v>
      </c>
      <c r="J633">
        <v>-287.48559999999998</v>
      </c>
      <c r="K633">
        <v>1.071393</v>
      </c>
      <c r="L633">
        <v>367.61149999999998</v>
      </c>
      <c r="M633">
        <v>0.99978</v>
      </c>
      <c r="N633">
        <v>-1.293447E-2</v>
      </c>
      <c r="O633">
        <v>-1.6513389999999999E-2</v>
      </c>
      <c r="P633">
        <v>0.96902410000000005</v>
      </c>
      <c r="Q633">
        <v>0.1988868</v>
      </c>
      <c r="R633">
        <v>-0.1464126</v>
      </c>
      <c r="S633">
        <v>3.0639949999999998</v>
      </c>
      <c r="T633">
        <v>-5.6100730000000001E-2</v>
      </c>
      <c r="U633">
        <v>-0.27908329999999998</v>
      </c>
      <c r="V633">
        <v>0.13027469999999999</v>
      </c>
      <c r="W633">
        <v>0.2115041</v>
      </c>
      <c r="X633">
        <v>0.96865610000000002</v>
      </c>
      <c r="Y633">
        <v>7.4229320000000001E-2</v>
      </c>
      <c r="Z633">
        <v>-1.0707990000000001E-3</v>
      </c>
      <c r="AA633">
        <v>0.99724060000000003</v>
      </c>
      <c r="AB633">
        <v>33</v>
      </c>
      <c r="AC633">
        <v>58.211999999999897</v>
      </c>
      <c r="AD633">
        <v>-1.071395183588</v>
      </c>
      <c r="AE633">
        <v>-5.32509999999996</v>
      </c>
      <c r="AF633">
        <v>4.3615507152290602</v>
      </c>
      <c r="AG633">
        <v>-1.071395183588</v>
      </c>
      <c r="AH633">
        <v>58.272428217970102</v>
      </c>
      <c r="AI633">
        <v>91.050382434112393</v>
      </c>
      <c r="AJ633">
        <v>85.719530472403704</v>
      </c>
      <c r="AK633">
        <v>58.445247049690998</v>
      </c>
      <c r="AL633">
        <v>77.7894898354768</v>
      </c>
      <c r="AM633">
        <v>82.340243799522199</v>
      </c>
      <c r="AN633">
        <v>1.0000000609220501</v>
      </c>
    </row>
    <row r="634" spans="1:40" x14ac:dyDescent="0.25">
      <c r="A634" t="str">
        <f>"20190303170730005"</f>
        <v>20190303170730005</v>
      </c>
      <c r="B634" t="str">
        <f>"1551604049992732"</f>
        <v>1551604049992732</v>
      </c>
      <c r="C634" t="s">
        <v>40</v>
      </c>
      <c r="D634">
        <v>4.8478289999999999</v>
      </c>
      <c r="E634">
        <v>0.48458119999999999</v>
      </c>
      <c r="F634" t="s">
        <v>43</v>
      </c>
      <c r="G634">
        <v>-227.0155</v>
      </c>
      <c r="H634" s="1">
        <v>-3.0286999999999999E-6</v>
      </c>
      <c r="I634">
        <v>361.99829999999997</v>
      </c>
      <c r="J634">
        <v>-287.17110000000002</v>
      </c>
      <c r="K634">
        <v>1.071399</v>
      </c>
      <c r="L634">
        <v>367.60660000000001</v>
      </c>
      <c r="M634">
        <v>0.99978429999999996</v>
      </c>
      <c r="N634">
        <v>-1.292978E-2</v>
      </c>
      <c r="O634">
        <v>-1.625971E-2</v>
      </c>
      <c r="P634">
        <v>0.96846189999999999</v>
      </c>
      <c r="Q634">
        <v>0.2001839</v>
      </c>
      <c r="R634">
        <v>-0.1483517</v>
      </c>
      <c r="S634">
        <v>3.0640559999999999</v>
      </c>
      <c r="T634">
        <v>-5.428815E-2</v>
      </c>
      <c r="U634">
        <v>-0.2844238</v>
      </c>
      <c r="V634">
        <v>0.13246910000000001</v>
      </c>
      <c r="W634">
        <v>0.21279020000000001</v>
      </c>
      <c r="X634">
        <v>0.96807659999999995</v>
      </c>
      <c r="Y634">
        <v>7.6204480000000005E-2</v>
      </c>
      <c r="Z634">
        <v>-1.0898360000000001E-3</v>
      </c>
      <c r="AA634">
        <v>0.99709159999999997</v>
      </c>
      <c r="AB634">
        <v>33</v>
      </c>
      <c r="AC634">
        <v>60.1556</v>
      </c>
      <c r="AD634">
        <v>-1.0714020286999999</v>
      </c>
      <c r="AE634">
        <v>-5.6083000000000398</v>
      </c>
      <c r="AF634">
        <v>4.6279088006586697</v>
      </c>
      <c r="AG634">
        <v>-1.0714020286999999</v>
      </c>
      <c r="AH634">
        <v>60.219905166770197</v>
      </c>
      <c r="AI634">
        <v>91.016273950506402</v>
      </c>
      <c r="AJ634">
        <v>85.605448441619103</v>
      </c>
      <c r="AK634">
        <v>60.406973276842002</v>
      </c>
      <c r="AL634">
        <v>77.714084814214303</v>
      </c>
      <c r="AM634">
        <v>82.2081856834901</v>
      </c>
      <c r="AN634">
        <v>1.0000000175692001</v>
      </c>
    </row>
    <row r="635" spans="1:40" x14ac:dyDescent="0.25">
      <c r="A635" t="str">
        <f>"20190303170730027"</f>
        <v>20190303170730027</v>
      </c>
      <c r="B635" t="str">
        <f>"1551604050022988"</f>
        <v>1551604050022988</v>
      </c>
      <c r="C635" t="s">
        <v>40</v>
      </c>
      <c r="D635">
        <v>4.8318000000000003</v>
      </c>
      <c r="E635">
        <v>0.48437360000000002</v>
      </c>
      <c r="F635" t="s">
        <v>43</v>
      </c>
      <c r="G635">
        <v>-221.6285</v>
      </c>
      <c r="H635" s="1">
        <v>-5.0171910000000004E-6</v>
      </c>
      <c r="I635">
        <v>361.47840000000002</v>
      </c>
      <c r="J635">
        <v>-286.83359999999999</v>
      </c>
      <c r="K635">
        <v>1.071391</v>
      </c>
      <c r="L635">
        <v>367.60140000000001</v>
      </c>
      <c r="M635">
        <v>0.99978869999999997</v>
      </c>
      <c r="N635">
        <v>-1.292103E-2</v>
      </c>
      <c r="O635">
        <v>-1.5997109999999998E-2</v>
      </c>
      <c r="P635">
        <v>0.96817470000000005</v>
      </c>
      <c r="Q635">
        <v>0.20048659999999999</v>
      </c>
      <c r="R635">
        <v>-0.14981129999999901</v>
      </c>
      <c r="S635">
        <v>3.0641780000000001</v>
      </c>
      <c r="T635">
        <v>-5.0089120000000001E-2</v>
      </c>
      <c r="U635">
        <v>-0.286499</v>
      </c>
      <c r="V635">
        <v>0.13419010000000001</v>
      </c>
      <c r="W635">
        <v>0.21307999999999999</v>
      </c>
      <c r="X635">
        <v>0.96777579999999996</v>
      </c>
      <c r="Y635">
        <v>7.713428E-2</v>
      </c>
      <c r="Z635">
        <v>-1.0739670000000001E-3</v>
      </c>
      <c r="AA635">
        <v>0.99702009999999996</v>
      </c>
      <c r="AB635">
        <v>33</v>
      </c>
      <c r="AC635">
        <v>65.205099999999902</v>
      </c>
      <c r="AD635">
        <v>-1.071396017191</v>
      </c>
      <c r="AE635">
        <v>-6.1229999999999896</v>
      </c>
      <c r="AF635">
        <v>5.0776773701761897</v>
      </c>
      <c r="AG635">
        <v>-1.071396017191</v>
      </c>
      <c r="AH635">
        <v>65.277243584274302</v>
      </c>
      <c r="AI635">
        <v>90.9374803146289</v>
      </c>
      <c r="AJ635">
        <v>85.552127951475399</v>
      </c>
      <c r="AK635">
        <v>65.483198050048898</v>
      </c>
      <c r="AL635">
        <v>77.697090969652194</v>
      </c>
      <c r="AM635">
        <v>82.105802182955799</v>
      </c>
      <c r="AN635">
        <v>1.00000003420182</v>
      </c>
    </row>
    <row r="636" spans="1:40" x14ac:dyDescent="0.25">
      <c r="A636" t="str">
        <f>"20190303170730052"</f>
        <v>20190303170730052</v>
      </c>
      <c r="B636" t="str">
        <f>"1551604050042508"</f>
        <v>1551604050042508</v>
      </c>
      <c r="C636" t="s">
        <v>40</v>
      </c>
      <c r="D636">
        <v>4.8629910000000001</v>
      </c>
      <c r="E636">
        <v>0.48421389999999997</v>
      </c>
      <c r="F636" t="s">
        <v>43</v>
      </c>
      <c r="G636">
        <v>-221.60050000000001</v>
      </c>
      <c r="H636" s="1">
        <v>-5.0322930000000001E-6</v>
      </c>
      <c r="I636">
        <v>361.46100000000001</v>
      </c>
      <c r="J636">
        <v>-286.4907</v>
      </c>
      <c r="K636">
        <v>1.0713779999999999</v>
      </c>
      <c r="L636">
        <v>367.59620000000001</v>
      </c>
      <c r="M636">
        <v>0.99979280000000004</v>
      </c>
      <c r="N636">
        <v>-1.290784E-2</v>
      </c>
      <c r="O636">
        <v>-1.5750670000000001E-2</v>
      </c>
      <c r="P636">
        <v>0.96815629999999997</v>
      </c>
      <c r="Q636">
        <v>0.19993839999999999</v>
      </c>
      <c r="R636">
        <v>-0.15066009999999999</v>
      </c>
      <c r="S636">
        <v>3.0643919999999998</v>
      </c>
      <c r="T636">
        <v>-5.032992E-2</v>
      </c>
      <c r="U636">
        <v>-0.28845209999999999</v>
      </c>
      <c r="V636">
        <v>0.13528380000000001</v>
      </c>
      <c r="W636">
        <v>0.21251619999999999</v>
      </c>
      <c r="X636">
        <v>0.96774740000000004</v>
      </c>
      <c r="Y636">
        <v>7.8003149999999993E-2</v>
      </c>
      <c r="Z636">
        <v>-1.08859E-3</v>
      </c>
      <c r="AA636">
        <v>0.99695250000000002</v>
      </c>
      <c r="AB636">
        <v>33</v>
      </c>
      <c r="AC636">
        <v>64.890199999999993</v>
      </c>
      <c r="AD636">
        <v>-1.071383032293</v>
      </c>
      <c r="AE636">
        <v>-6.1351999999999904</v>
      </c>
      <c r="AF636">
        <v>5.1109087898460199</v>
      </c>
      <c r="AG636">
        <v>-1.071383032293</v>
      </c>
      <c r="AH636">
        <v>64.961238852864</v>
      </c>
      <c r="AI636">
        <v>90.941963291105196</v>
      </c>
      <c r="AJ636">
        <v>85.501447733103305</v>
      </c>
      <c r="AK636">
        <v>65.170789496206496</v>
      </c>
      <c r="AL636">
        <v>77.730150318893095</v>
      </c>
      <c r="AM636">
        <v>82.042051919539006</v>
      </c>
      <c r="AN636">
        <v>0.99999993600581805</v>
      </c>
    </row>
    <row r="637" spans="1:40" x14ac:dyDescent="0.25">
      <c r="A637" t="str">
        <f>"20190303170730072"</f>
        <v>20190303170730072</v>
      </c>
      <c r="B637" t="str">
        <f>"1551604050063004"</f>
        <v>1551604050063004</v>
      </c>
      <c r="C637" t="s">
        <v>40</v>
      </c>
      <c r="D637">
        <v>4.8988659999999999</v>
      </c>
      <c r="E637">
        <v>0.48395779999999999</v>
      </c>
      <c r="F637" t="s">
        <v>43</v>
      </c>
      <c r="G637">
        <v>-223.8124</v>
      </c>
      <c r="H637" s="1">
        <v>-4.2030369999999998E-6</v>
      </c>
      <c r="I637">
        <v>361.68150000000003</v>
      </c>
      <c r="J637">
        <v>-286.17700000000002</v>
      </c>
      <c r="K637">
        <v>1.071359</v>
      </c>
      <c r="L637">
        <v>367.5915</v>
      </c>
      <c r="M637">
        <v>0.99979600000000002</v>
      </c>
      <c r="N637">
        <v>-1.2895210000000001E-2</v>
      </c>
      <c r="O637">
        <v>-1.5550349999999999E-2</v>
      </c>
      <c r="P637">
        <v>0.96813369999999999</v>
      </c>
      <c r="Q637">
        <v>0.19956160000000001</v>
      </c>
      <c r="R637">
        <v>-0.15130199999999999</v>
      </c>
      <c r="S637">
        <v>3.0644840000000002</v>
      </c>
      <c r="T637">
        <v>-5.2382230000000002E-2</v>
      </c>
      <c r="U637">
        <v>-0.28918460000000001</v>
      </c>
      <c r="V637">
        <v>0.13612969999999999</v>
      </c>
      <c r="W637">
        <v>0.21212110000000001</v>
      </c>
      <c r="X637">
        <v>0.96771549999999995</v>
      </c>
      <c r="Y637">
        <v>7.8435030000000003E-2</v>
      </c>
      <c r="Z637">
        <v>-1.1107339999999999E-3</v>
      </c>
      <c r="AA637">
        <v>0.99691859999999999</v>
      </c>
      <c r="AB637">
        <v>33</v>
      </c>
      <c r="AC637">
        <v>62.364600000000003</v>
      </c>
      <c r="AD637">
        <v>-1.0713632030369999</v>
      </c>
      <c r="AE637">
        <v>-5.9099999999999602</v>
      </c>
      <c r="AF637">
        <v>4.9379690310095103</v>
      </c>
      <c r="AG637">
        <v>-1.0713632030369999</v>
      </c>
      <c r="AH637">
        <v>62.430707697215702</v>
      </c>
      <c r="AI637">
        <v>90.980086678432997</v>
      </c>
      <c r="AJ637">
        <v>85.477594234561195</v>
      </c>
      <c r="AK637">
        <v>62.634851487324703</v>
      </c>
      <c r="AL637">
        <v>77.753316505762101</v>
      </c>
      <c r="AM637">
        <v>81.992675463240204</v>
      </c>
      <c r="AN637">
        <v>0.99999997261377405</v>
      </c>
    </row>
    <row r="638" spans="1:40" x14ac:dyDescent="0.25">
      <c r="A638" t="str">
        <f>"20190303170730095"</f>
        <v>20190303170730095</v>
      </c>
      <c r="B638" t="str">
        <f>"1551604050082524"</f>
        <v>1551604050082524</v>
      </c>
      <c r="C638" t="s">
        <v>40</v>
      </c>
      <c r="D638">
        <v>4.8684229999999999</v>
      </c>
      <c r="E638">
        <v>0.48375190000000001</v>
      </c>
      <c r="F638" t="s">
        <v>43</v>
      </c>
      <c r="G638">
        <v>-224.8475</v>
      </c>
      <c r="H638" s="1">
        <v>-3.8176370000000001E-6</v>
      </c>
      <c r="I638">
        <v>361.80599999999998</v>
      </c>
      <c r="J638">
        <v>-285.851</v>
      </c>
      <c r="K638">
        <v>1.071337</v>
      </c>
      <c r="L638">
        <v>367.58670000000001</v>
      </c>
      <c r="M638">
        <v>0.99979899999999999</v>
      </c>
      <c r="N638">
        <v>-1.288281E-2</v>
      </c>
      <c r="O638">
        <v>-1.536443E-2</v>
      </c>
      <c r="P638">
        <v>0.96806329999999996</v>
      </c>
      <c r="Q638">
        <v>0.19932620000000001</v>
      </c>
      <c r="R638">
        <v>-0.152061</v>
      </c>
      <c r="S638">
        <v>3.064575</v>
      </c>
      <c r="T638">
        <v>-5.3534869999999998E-2</v>
      </c>
      <c r="U638">
        <v>-0.28909299999999999</v>
      </c>
      <c r="V638">
        <v>0.13708199999999901</v>
      </c>
      <c r="W638">
        <v>0.21186530000000001</v>
      </c>
      <c r="X638">
        <v>0.96763710000000003</v>
      </c>
      <c r="Y638">
        <v>7.858743E-2</v>
      </c>
      <c r="Z638">
        <v>-1.1220850000000001E-3</v>
      </c>
      <c r="AA638">
        <v>0.99690659999999998</v>
      </c>
      <c r="AB638">
        <v>33</v>
      </c>
      <c r="AC638">
        <v>61.003500000000003</v>
      </c>
      <c r="AD638">
        <v>-1.0713408176369901</v>
      </c>
      <c r="AE638">
        <v>-5.7807000000000199</v>
      </c>
      <c r="AF638">
        <v>4.8411759354361497</v>
      </c>
      <c r="AG638">
        <v>-1.0713408176369901</v>
      </c>
      <c r="AH638">
        <v>61.0664558503412</v>
      </c>
      <c r="AI638">
        <v>91.001942560043801</v>
      </c>
      <c r="AJ638">
        <v>85.467232710216194</v>
      </c>
      <c r="AK638">
        <v>61.267420263195802</v>
      </c>
      <c r="AL638">
        <v>77.768313585414106</v>
      </c>
      <c r="AM638">
        <v>81.936749335654</v>
      </c>
      <c r="AN638">
        <v>0.99999996868224905</v>
      </c>
    </row>
    <row r="639" spans="1:40" x14ac:dyDescent="0.25">
      <c r="A639" t="str">
        <f>"20190303170730117"</f>
        <v>20190303170730117</v>
      </c>
      <c r="B639" t="str">
        <f>"1551604050112780"</f>
        <v>1551604050112780</v>
      </c>
      <c r="C639" t="s">
        <v>40</v>
      </c>
      <c r="D639">
        <v>4.8513279999999996</v>
      </c>
      <c r="E639">
        <v>0.48343999999999998</v>
      </c>
      <c r="F639" t="s">
        <v>43</v>
      </c>
      <c r="G639">
        <v>-226.99879999999999</v>
      </c>
      <c r="H639" s="1">
        <v>-3.0304179999999999E-6</v>
      </c>
      <c r="I639">
        <v>362.01319999999998</v>
      </c>
      <c r="J639">
        <v>-285.5154</v>
      </c>
      <c r="K639">
        <v>1.071305</v>
      </c>
      <c r="L639">
        <v>367.58179999999999</v>
      </c>
      <c r="M639">
        <v>0.99980170000000002</v>
      </c>
      <c r="N639">
        <v>-1.287086E-2</v>
      </c>
      <c r="O639">
        <v>-1.52024E-2</v>
      </c>
      <c r="P639">
        <v>0.96790390000000004</v>
      </c>
      <c r="Q639">
        <v>0.1998326</v>
      </c>
      <c r="R639">
        <v>-0.15241179999999999</v>
      </c>
      <c r="S639">
        <v>3.06488</v>
      </c>
      <c r="T639">
        <v>-5.5792689999999999E-2</v>
      </c>
      <c r="U639">
        <v>-0.29025269999999997</v>
      </c>
      <c r="V639">
        <v>0.13760620000000001</v>
      </c>
      <c r="W639">
        <v>0.21234900000000001</v>
      </c>
      <c r="X639">
        <v>0.96745669999999995</v>
      </c>
      <c r="Y639">
        <v>7.9112080000000001E-2</v>
      </c>
      <c r="Z639">
        <v>-1.1479870000000001E-3</v>
      </c>
      <c r="AA639">
        <v>0.99686509999999995</v>
      </c>
      <c r="AB639">
        <v>33</v>
      </c>
      <c r="AC639">
        <v>58.516599999999997</v>
      </c>
      <c r="AD639">
        <v>-1.071308030418</v>
      </c>
      <c r="AE639">
        <v>-5.5686</v>
      </c>
      <c r="AF639">
        <v>4.6767365556397502</v>
      </c>
      <c r="AG639">
        <v>-1.071308030418</v>
      </c>
      <c r="AH639">
        <v>58.575042962790398</v>
      </c>
      <c r="AI639">
        <v>91.044471053036801</v>
      </c>
      <c r="AJ639">
        <v>85.435085704592097</v>
      </c>
      <c r="AK639">
        <v>58.771210841700601</v>
      </c>
      <c r="AL639">
        <v>77.739954920690906</v>
      </c>
      <c r="AM639">
        <v>81.904834137435799</v>
      </c>
      <c r="AN639">
        <v>1.00000001522716</v>
      </c>
    </row>
    <row r="640" spans="1:40" x14ac:dyDescent="0.25">
      <c r="A640" t="str">
        <f>"20190303170730140"</f>
        <v>20190303170730140</v>
      </c>
      <c r="B640" t="str">
        <f>"1551604050133276"</f>
        <v>1551604050133276</v>
      </c>
      <c r="C640" t="s">
        <v>40</v>
      </c>
      <c r="D640">
        <v>4.9143850000000002</v>
      </c>
      <c r="E640">
        <v>0.48330620000000002</v>
      </c>
      <c r="F640" t="s">
        <v>43</v>
      </c>
      <c r="G640">
        <v>-226.3793</v>
      </c>
      <c r="H640" s="1">
        <v>-3.2402930000000001E-6</v>
      </c>
      <c r="I640">
        <v>362.01670000000001</v>
      </c>
      <c r="J640">
        <v>-285.18090000000001</v>
      </c>
      <c r="K640">
        <v>1.071277</v>
      </c>
      <c r="L640">
        <v>367.57679999999999</v>
      </c>
      <c r="M640">
        <v>0.99980369999999996</v>
      </c>
      <c r="N640">
        <v>-1.285973E-2</v>
      </c>
      <c r="O640">
        <v>-1.507473E-2</v>
      </c>
      <c r="P640">
        <v>0.96781609999999996</v>
      </c>
      <c r="Q640">
        <v>0.19985020000000001</v>
      </c>
      <c r="R640">
        <v>-0.15294479999999999</v>
      </c>
      <c r="S640">
        <v>3.0655209999999999</v>
      </c>
      <c r="T640">
        <v>-5.5534840000000002E-2</v>
      </c>
      <c r="U640">
        <v>-0.28848269999999998</v>
      </c>
      <c r="V640">
        <v>0.1382786</v>
      </c>
      <c r="W640">
        <v>0.2123457</v>
      </c>
      <c r="X640">
        <v>0.96736149999999999</v>
      </c>
      <c r="Y640">
        <v>7.86496E-2</v>
      </c>
      <c r="Z640">
        <v>-1.1387509999999999E-3</v>
      </c>
      <c r="AA640">
        <v>0.9969017</v>
      </c>
      <c r="AB640">
        <v>33</v>
      </c>
      <c r="AC640">
        <v>58.801600000000001</v>
      </c>
      <c r="AD640">
        <v>-1.071280240293</v>
      </c>
      <c r="AE640">
        <v>-5.5600999999999701</v>
      </c>
      <c r="AF640">
        <v>4.6714397947727999</v>
      </c>
      <c r="AG640">
        <v>-1.071280240293</v>
      </c>
      <c r="AH640">
        <v>58.859377963453298</v>
      </c>
      <c r="AI640">
        <v>91.039438728601297</v>
      </c>
      <c r="AJ640">
        <v>85.462168879570996</v>
      </c>
      <c r="AK640">
        <v>59.054181607690403</v>
      </c>
      <c r="AL640">
        <v>77.740147841391106</v>
      </c>
      <c r="AM640">
        <v>81.865016175917702</v>
      </c>
      <c r="AN640">
        <v>0.999999969604349</v>
      </c>
    </row>
    <row r="641" spans="1:40" x14ac:dyDescent="0.25">
      <c r="A641" t="str">
        <f>"20190303170730173"</f>
        <v>20190303170730173</v>
      </c>
      <c r="B641" t="str">
        <f>"1551604050162556"</f>
        <v>1551604050162556</v>
      </c>
      <c r="C641" t="s">
        <v>40</v>
      </c>
      <c r="D641">
        <v>4.9094480000000003</v>
      </c>
      <c r="E641">
        <v>0.4831047</v>
      </c>
      <c r="F641" t="s">
        <v>43</v>
      </c>
      <c r="G641">
        <v>-226.5718</v>
      </c>
      <c r="H641" s="1">
        <v>-3.163881E-6</v>
      </c>
      <c r="I641">
        <v>362.05770000000001</v>
      </c>
      <c r="J641">
        <v>-284.69869999999997</v>
      </c>
      <c r="K641">
        <v>1.071234</v>
      </c>
      <c r="L641">
        <v>367.56979999999999</v>
      </c>
      <c r="M641">
        <v>0.99980570000000002</v>
      </c>
      <c r="N641">
        <v>-1.2845260000000001E-2</v>
      </c>
      <c r="O641">
        <v>-1.494645E-2</v>
      </c>
      <c r="P641">
        <v>0.96821809999999997</v>
      </c>
      <c r="Q641">
        <v>0.1972604</v>
      </c>
      <c r="R641">
        <v>-0.15375939999999999</v>
      </c>
      <c r="S641">
        <v>3.0657649999999999</v>
      </c>
      <c r="T641">
        <v>-5.6037190000000001E-2</v>
      </c>
      <c r="U641">
        <v>-0.28869630000000002</v>
      </c>
      <c r="V641">
        <v>0.13923070000000001</v>
      </c>
      <c r="W641">
        <v>0.20973559999999999</v>
      </c>
      <c r="X641">
        <v>0.9677943</v>
      </c>
      <c r="Y641">
        <v>7.8838599999999995E-2</v>
      </c>
      <c r="Z641">
        <v>-1.145526E-3</v>
      </c>
      <c r="AA641">
        <v>0.99688670000000001</v>
      </c>
      <c r="AB641">
        <v>33</v>
      </c>
      <c r="AC641">
        <v>58.1268999999999</v>
      </c>
      <c r="AD641">
        <v>-1.0712371638809901</v>
      </c>
      <c r="AE641">
        <v>-5.51209999999997</v>
      </c>
      <c r="AF641">
        <v>4.6410593774783999</v>
      </c>
      <c r="AG641">
        <v>-1.0712371638809901</v>
      </c>
      <c r="AH641">
        <v>58.183213885682299</v>
      </c>
      <c r="AI641">
        <v>91.051440118451495</v>
      </c>
      <c r="AJ641">
        <v>85.439384169016506</v>
      </c>
      <c r="AK641">
        <v>58.377849902797998</v>
      </c>
      <c r="AL641">
        <v>77.893141919127899</v>
      </c>
      <c r="AM641">
        <v>81.813374172936605</v>
      </c>
      <c r="AN641">
        <v>1.00000000842117</v>
      </c>
    </row>
    <row r="642" spans="1:40" x14ac:dyDescent="0.25">
      <c r="A642" t="str">
        <f>"20190303170730194"</f>
        <v>20190303170730194</v>
      </c>
      <c r="B642" t="str">
        <f>"1551604050183053"</f>
        <v>1551604050183053</v>
      </c>
      <c r="C642" t="s">
        <v>40</v>
      </c>
      <c r="D642">
        <v>4.9048579999999999</v>
      </c>
      <c r="E642">
        <v>0.48295379999999899</v>
      </c>
      <c r="F642" t="s">
        <v>43</v>
      </c>
      <c r="G642">
        <v>-234.4177</v>
      </c>
      <c r="H642" s="1">
        <v>-3.6918279999999999E-6</v>
      </c>
      <c r="I642">
        <v>362.82859999999999</v>
      </c>
      <c r="J642">
        <v>-284.37619999999998</v>
      </c>
      <c r="K642">
        <v>1.071207</v>
      </c>
      <c r="L642">
        <v>367.565</v>
      </c>
      <c r="M642">
        <v>0.9998068</v>
      </c>
      <c r="N642">
        <v>-1.2836719999999999E-2</v>
      </c>
      <c r="O642">
        <v>-1.488888E-2</v>
      </c>
      <c r="P642">
        <v>0.9683001</v>
      </c>
      <c r="Q642">
        <v>0.19561339999999999</v>
      </c>
      <c r="R642">
        <v>-0.15534049999999999</v>
      </c>
      <c r="S642">
        <v>3.065887</v>
      </c>
      <c r="T642">
        <v>-6.5318699999999993E-2</v>
      </c>
      <c r="U642">
        <v>-0.28909299999999999</v>
      </c>
      <c r="V642">
        <v>0.140876</v>
      </c>
      <c r="W642">
        <v>0.2080755</v>
      </c>
      <c r="X642">
        <v>0.96791450000000001</v>
      </c>
      <c r="Y642">
        <v>7.9014230000000005E-2</v>
      </c>
      <c r="Z642">
        <v>-1.222452E-3</v>
      </c>
      <c r="AA642">
        <v>0.99687269999999994</v>
      </c>
      <c r="AB642">
        <v>33</v>
      </c>
      <c r="AC642">
        <v>49.958500000000001</v>
      </c>
      <c r="AD642">
        <v>-1.071210691828</v>
      </c>
      <c r="AE642">
        <v>-4.7363999999999997</v>
      </c>
      <c r="AF642">
        <v>3.9901693604429802</v>
      </c>
      <c r="AG642">
        <v>-1.071210691828</v>
      </c>
      <c r="AH642">
        <v>50.000703381586398</v>
      </c>
      <c r="AI642">
        <v>91.223423758501497</v>
      </c>
      <c r="AJ642">
        <v>85.437336274838799</v>
      </c>
      <c r="AK642">
        <v>50.171100072897403</v>
      </c>
      <c r="AL642">
        <v>77.990404211754793</v>
      </c>
      <c r="AM642">
        <v>81.718980703981899</v>
      </c>
      <c r="AN642">
        <v>0.99999997019324904</v>
      </c>
    </row>
    <row r="643" spans="1:40" x14ac:dyDescent="0.25">
      <c r="A643" t="str">
        <f>"20190303170730218"</f>
        <v>20190303170730218</v>
      </c>
      <c r="B643" t="str">
        <f>"1551604050212333"</f>
        <v>1551604050212333</v>
      </c>
      <c r="C643" t="s">
        <v>40</v>
      </c>
      <c r="D643">
        <v>4.937335</v>
      </c>
      <c r="E643">
        <v>0.4826956</v>
      </c>
      <c r="F643" t="s">
        <v>43</v>
      </c>
      <c r="G643">
        <v>-237.96600000000001</v>
      </c>
      <c r="H643" s="1">
        <v>-2.4052139999999998E-6</v>
      </c>
      <c r="I643">
        <v>363.12580000000003</v>
      </c>
      <c r="J643">
        <v>-284.03579999999999</v>
      </c>
      <c r="K643">
        <v>1.07118</v>
      </c>
      <c r="L643">
        <v>367.56</v>
      </c>
      <c r="M643">
        <v>0.99980769999999997</v>
      </c>
      <c r="N643">
        <v>-1.282665E-2</v>
      </c>
      <c r="O643">
        <v>-1.484242E-2</v>
      </c>
      <c r="P643">
        <v>0.9682636</v>
      </c>
      <c r="Q643">
        <v>0.1945326</v>
      </c>
      <c r="R643">
        <v>-0.15691559999999999</v>
      </c>
      <c r="S643">
        <v>3.0654599999999999</v>
      </c>
      <c r="T643">
        <v>-7.0754890000000001E-2</v>
      </c>
      <c r="U643">
        <v>-0.2932129</v>
      </c>
      <c r="V643">
        <v>0.1425042</v>
      </c>
      <c r="W643">
        <v>0.20697979999999999</v>
      </c>
      <c r="X643">
        <v>0.96791110000000002</v>
      </c>
      <c r="Y643">
        <v>8.0396960000000003E-2</v>
      </c>
      <c r="Z643">
        <v>-1.2908049999999999E-3</v>
      </c>
      <c r="AA643">
        <v>0.99676209999999998</v>
      </c>
      <c r="AB643">
        <v>33</v>
      </c>
      <c r="AC643">
        <v>46.069800000000001</v>
      </c>
      <c r="AD643">
        <v>-1.071182405214</v>
      </c>
      <c r="AE643">
        <v>-4.4341999999999704</v>
      </c>
      <c r="AF643">
        <v>3.7478604023183899</v>
      </c>
      <c r="AG643">
        <v>-1.071182405214</v>
      </c>
      <c r="AH643">
        <v>46.105846952192202</v>
      </c>
      <c r="AI643">
        <v>91.326545986487602</v>
      </c>
      <c r="AJ643">
        <v>85.3527483544826</v>
      </c>
      <c r="AK643">
        <v>46.270325398893398</v>
      </c>
      <c r="AL643">
        <v>78.054580625457405</v>
      </c>
      <c r="AM643">
        <v>81.624592328113707</v>
      </c>
      <c r="AN643">
        <v>0.99999999106444504</v>
      </c>
    </row>
    <row r="644" spans="1:40" x14ac:dyDescent="0.25">
      <c r="A644" t="str">
        <f>"20190303170730240"</f>
        <v>20190303170730240</v>
      </c>
      <c r="B644" t="str">
        <f>"1551604050232828"</f>
        <v>1551604050232828</v>
      </c>
      <c r="C644" t="s">
        <v>40</v>
      </c>
      <c r="D644">
        <v>4.967098</v>
      </c>
      <c r="E644">
        <v>0.48251270000000002</v>
      </c>
      <c r="F644" t="s">
        <v>43</v>
      </c>
      <c r="G644">
        <v>-240.0933</v>
      </c>
      <c r="H644" s="1">
        <v>-5.78119E-6</v>
      </c>
      <c r="I644">
        <v>363.3152</v>
      </c>
      <c r="J644">
        <v>-283.70269999999999</v>
      </c>
      <c r="K644">
        <v>1.071164</v>
      </c>
      <c r="L644">
        <v>367.55520000000001</v>
      </c>
      <c r="M644">
        <v>0.99980840000000004</v>
      </c>
      <c r="N644">
        <v>-1.2812570000000001E-2</v>
      </c>
      <c r="O644">
        <v>-1.480539E-2</v>
      </c>
      <c r="P644">
        <v>0.96803459999999997</v>
      </c>
      <c r="Q644">
        <v>0.19418279999999999</v>
      </c>
      <c r="R644">
        <v>-0.15875320000000001</v>
      </c>
      <c r="S644">
        <v>3.0653380000000001</v>
      </c>
      <c r="T644">
        <v>-7.4723719999999993E-2</v>
      </c>
      <c r="U644">
        <v>-0.29611209999999999</v>
      </c>
      <c r="V644">
        <v>0.1443845</v>
      </c>
      <c r="W644">
        <v>0.20661119999999999</v>
      </c>
      <c r="X644">
        <v>0.96771119999999999</v>
      </c>
      <c r="Y644">
        <v>8.1368360000000001E-2</v>
      </c>
      <c r="Z644">
        <v>-1.3412700000000001E-3</v>
      </c>
      <c r="AA644">
        <v>0.99668319999999999</v>
      </c>
      <c r="AB644">
        <v>33</v>
      </c>
      <c r="AC644">
        <v>43.609400000000001</v>
      </c>
      <c r="AD644">
        <v>-1.0711697811900001</v>
      </c>
      <c r="AE644">
        <v>-4.24</v>
      </c>
      <c r="AF644">
        <v>3.5916813982771401</v>
      </c>
      <c r="AG644">
        <v>-1.0711697811900001</v>
      </c>
      <c r="AH644">
        <v>43.641315738696498</v>
      </c>
      <c r="AI644">
        <v>91.401298513379103</v>
      </c>
      <c r="AJ644">
        <v>85.295159189942396</v>
      </c>
      <c r="AK644">
        <v>43.801963647437802</v>
      </c>
      <c r="AL644">
        <v>78.076166785603704</v>
      </c>
      <c r="AM644">
        <v>81.513952439263804</v>
      </c>
      <c r="AN644">
        <v>1.00000001920556</v>
      </c>
    </row>
    <row r="645" spans="1:40" x14ac:dyDescent="0.25">
      <c r="A645" t="str">
        <f>"20190303170730262"</f>
        <v>20190303170730262</v>
      </c>
      <c r="B645" t="str">
        <f>"1551604050252348"</f>
        <v>1551604050252348</v>
      </c>
      <c r="C645" t="s">
        <v>40</v>
      </c>
      <c r="D645">
        <v>4.9283149999999996</v>
      </c>
      <c r="E645">
        <v>0.4824214</v>
      </c>
      <c r="F645" t="s">
        <v>43</v>
      </c>
      <c r="G645">
        <v>-240.4188</v>
      </c>
      <c r="H645" s="1">
        <v>-5.6276530000000001E-6</v>
      </c>
      <c r="I645">
        <v>363.31310000000002</v>
      </c>
      <c r="J645">
        <v>-283.38929999999999</v>
      </c>
      <c r="K645">
        <v>1.0711489999999999</v>
      </c>
      <c r="L645">
        <v>367.55059999999997</v>
      </c>
      <c r="M645">
        <v>0.99980910000000001</v>
      </c>
      <c r="N645">
        <v>-1.279771E-2</v>
      </c>
      <c r="O645">
        <v>-1.4769269999999999E-2</v>
      </c>
      <c r="P645">
        <v>0.96794139999999995</v>
      </c>
      <c r="Q645">
        <v>0.19330459999999999</v>
      </c>
      <c r="R645">
        <v>-0.16038369999999999</v>
      </c>
      <c r="S645">
        <v>3.0650019999999998</v>
      </c>
      <c r="T645">
        <v>-7.585132E-2</v>
      </c>
      <c r="U645">
        <v>-0.3003845</v>
      </c>
      <c r="V645">
        <v>0.14605460000000001</v>
      </c>
      <c r="W645">
        <v>0.2057158</v>
      </c>
      <c r="X645">
        <v>0.96765129999999999</v>
      </c>
      <c r="Y645">
        <v>8.278953E-2</v>
      </c>
      <c r="Z645">
        <v>-1.377079E-3</v>
      </c>
      <c r="AA645">
        <v>0.99656610000000001</v>
      </c>
      <c r="AB645">
        <v>33</v>
      </c>
      <c r="AC645">
        <v>42.970499999999902</v>
      </c>
      <c r="AD645">
        <v>-1.071154627653</v>
      </c>
      <c r="AE645">
        <v>-4.2374999999999501</v>
      </c>
      <c r="AF645">
        <v>3.6001273526391402</v>
      </c>
      <c r="AG645">
        <v>-1.071154627653</v>
      </c>
      <c r="AH645">
        <v>43.001938696164302</v>
      </c>
      <c r="AI645">
        <v>91.421938790007204</v>
      </c>
      <c r="AJ645">
        <v>85.214350759883999</v>
      </c>
      <c r="AK645">
        <v>43.165669470312103</v>
      </c>
      <c r="AL645">
        <v>78.128595347106597</v>
      </c>
      <c r="AM645">
        <v>81.416724344019798</v>
      </c>
      <c r="AN645">
        <v>0.99999998747124497</v>
      </c>
    </row>
    <row r="646" spans="1:40" x14ac:dyDescent="0.25">
      <c r="A646" t="str">
        <f>"20190303170730284"</f>
        <v>20190303170730284</v>
      </c>
      <c r="B646" t="str">
        <f>"1551604050272845"</f>
        <v>1551604050272845</v>
      </c>
      <c r="C646" t="s">
        <v>40</v>
      </c>
      <c r="D646">
        <v>4.992254</v>
      </c>
      <c r="E646">
        <v>0.4823346</v>
      </c>
      <c r="F646" t="s">
        <v>43</v>
      </c>
      <c r="G646">
        <v>-241.65629999999999</v>
      </c>
      <c r="H646" s="1">
        <v>-5.0257540000000002E-6</v>
      </c>
      <c r="I646">
        <v>363.4085</v>
      </c>
      <c r="J646">
        <v>-283.0557</v>
      </c>
      <c r="K646">
        <v>1.0711389999999901</v>
      </c>
      <c r="L646">
        <v>367.54570000000001</v>
      </c>
      <c r="M646">
        <v>0.99980990000000003</v>
      </c>
      <c r="N646">
        <v>-1.2782389999999999E-2</v>
      </c>
      <c r="O646">
        <v>-1.47242E-2</v>
      </c>
      <c r="P646">
        <v>0.96792109999999998</v>
      </c>
      <c r="Q646">
        <v>0.1919795</v>
      </c>
      <c r="R646">
        <v>-0.1620877</v>
      </c>
      <c r="S646">
        <v>3.064667</v>
      </c>
      <c r="T646">
        <v>-7.8660250000000001E-2</v>
      </c>
      <c r="U646">
        <v>-0.30416870000000001</v>
      </c>
      <c r="V646">
        <v>0.147805399999999</v>
      </c>
      <c r="W646">
        <v>0.204374</v>
      </c>
      <c r="X646">
        <v>0.96766980000000002</v>
      </c>
      <c r="Y646">
        <v>8.4060830000000003E-2</v>
      </c>
      <c r="Z646">
        <v>-1.425611E-3</v>
      </c>
      <c r="AA646">
        <v>0.9964596</v>
      </c>
      <c r="AB646">
        <v>33</v>
      </c>
      <c r="AC646">
        <v>41.3994</v>
      </c>
      <c r="AD646">
        <v>-1.0711440257539999</v>
      </c>
      <c r="AE646">
        <v>-4.1372</v>
      </c>
      <c r="AF646">
        <v>3.5247923003593402</v>
      </c>
      <c r="AG646">
        <v>-1.0711440257539999</v>
      </c>
      <c r="AH646">
        <v>41.428373897806402</v>
      </c>
      <c r="AI646">
        <v>91.475741610244597</v>
      </c>
      <c r="AJ646">
        <v>85.136895364120207</v>
      </c>
      <c r="AK646">
        <v>41.591846245400397</v>
      </c>
      <c r="AL646">
        <v>78.207143994019901</v>
      </c>
      <c r="AM646">
        <v>81.315557204464298</v>
      </c>
      <c r="AN646">
        <v>1.0000000049886</v>
      </c>
    </row>
    <row r="647" spans="1:40" x14ac:dyDescent="0.25">
      <c r="A647" t="str">
        <f>"20190303170730306"</f>
        <v>20190303170730306</v>
      </c>
      <c r="B647" t="str">
        <f>"1551604050302933"</f>
        <v>1551604050302933</v>
      </c>
      <c r="C647" t="s">
        <v>40</v>
      </c>
      <c r="D647">
        <v>4.9820310000000001</v>
      </c>
      <c r="E647">
        <v>0.47759980000000002</v>
      </c>
      <c r="F647" t="s">
        <v>43</v>
      </c>
      <c r="G647">
        <v>-243.43469999999999</v>
      </c>
      <c r="H647" s="1">
        <v>-4.1590299999999999E-6</v>
      </c>
      <c r="I647">
        <v>363.55549999999999</v>
      </c>
      <c r="J647">
        <v>-282.7285</v>
      </c>
      <c r="K647">
        <v>1.0711219999999999</v>
      </c>
      <c r="L647">
        <v>367.54090000000002</v>
      </c>
      <c r="M647">
        <v>0.9998108</v>
      </c>
      <c r="N647">
        <v>-1.2768450000000001E-2</v>
      </c>
      <c r="O647">
        <v>-1.4678129999999999E-2</v>
      </c>
      <c r="P647">
        <v>0.96832499999999999</v>
      </c>
      <c r="Q647">
        <v>0.1894285</v>
      </c>
      <c r="R647">
        <v>-0.1626766</v>
      </c>
      <c r="S647">
        <v>3.064209</v>
      </c>
      <c r="T647">
        <v>-8.2840090000000005E-2</v>
      </c>
      <c r="U647">
        <v>-0.30859379999999997</v>
      </c>
      <c r="V647">
        <v>0.14843390000000001</v>
      </c>
      <c r="W647">
        <v>0.20181399999999999</v>
      </c>
      <c r="X647">
        <v>0.96811080000000005</v>
      </c>
      <c r="Y647">
        <v>8.5541820000000005E-2</v>
      </c>
      <c r="Z647">
        <v>-1.4921489999999999E-3</v>
      </c>
      <c r="AA647">
        <v>0.99633349999999998</v>
      </c>
      <c r="AB647">
        <v>33</v>
      </c>
      <c r="AC647">
        <v>39.293799999999997</v>
      </c>
      <c r="AD647">
        <v>-1.0711261590300001</v>
      </c>
      <c r="AE647">
        <v>-3.9854000000000198</v>
      </c>
      <c r="AF647">
        <v>3.4056591973769499</v>
      </c>
      <c r="AG647">
        <v>-1.0711261590300001</v>
      </c>
      <c r="AH647">
        <v>39.319149579170499</v>
      </c>
      <c r="AI647">
        <v>91.554638868184298</v>
      </c>
      <c r="AJ647">
        <v>85.049635829325993</v>
      </c>
      <c r="AK647">
        <v>39.480898538995099</v>
      </c>
      <c r="AL647">
        <v>78.356943307591095</v>
      </c>
      <c r="AM647">
        <v>81.283107163136506</v>
      </c>
      <c r="AN647">
        <v>1.00000001717092</v>
      </c>
    </row>
    <row r="648" spans="1:40" x14ac:dyDescent="0.25">
      <c r="A648" t="str">
        <f>"20190303170730330"</f>
        <v>20190303170730330</v>
      </c>
      <c r="B648" t="str">
        <f>"1551604050322453"</f>
        <v>1551604050322453</v>
      </c>
      <c r="C648" t="s">
        <v>40</v>
      </c>
      <c r="D648">
        <v>4.991879</v>
      </c>
      <c r="E648">
        <v>0.47794890000000001</v>
      </c>
      <c r="F648" t="s">
        <v>43</v>
      </c>
      <c r="G648">
        <v>-238.40629999999999</v>
      </c>
      <c r="H648" s="1">
        <v>-2.1368570000000001E-6</v>
      </c>
      <c r="I648">
        <v>363.57130000000001</v>
      </c>
      <c r="J648">
        <v>-282.3827</v>
      </c>
      <c r="K648">
        <v>1.0711120000000001</v>
      </c>
      <c r="L648">
        <v>367.53590000000003</v>
      </c>
      <c r="M648">
        <v>0.99981169999999997</v>
      </c>
      <c r="N648">
        <v>-1.275485E-2</v>
      </c>
      <c r="O648">
        <v>-1.463272E-2</v>
      </c>
      <c r="P648">
        <v>0.96866540000000001</v>
      </c>
      <c r="Q648">
        <v>0.18738060000000001</v>
      </c>
      <c r="R648">
        <v>-0.16302269999999999</v>
      </c>
      <c r="S648">
        <v>3.0664370000000001</v>
      </c>
      <c r="T648">
        <v>-7.4105740000000003E-2</v>
      </c>
      <c r="U648">
        <v>-0.27462769999999997</v>
      </c>
      <c r="V648">
        <v>0.14881820000000001</v>
      </c>
      <c r="W648">
        <v>0.1997582</v>
      </c>
      <c r="X648">
        <v>0.96847810000000001</v>
      </c>
      <c r="Y648">
        <v>7.4584949999999997E-2</v>
      </c>
      <c r="Z648">
        <v>-1.2095369999999999E-3</v>
      </c>
      <c r="AA648">
        <v>0.99721400000000004</v>
      </c>
      <c r="AB648">
        <v>33</v>
      </c>
      <c r="AC648">
        <v>43.976399999999998</v>
      </c>
      <c r="AD648">
        <v>-1.0711141368570001</v>
      </c>
      <c r="AE648">
        <v>-3.9646000000000101</v>
      </c>
      <c r="AF648">
        <v>3.3186759369972201</v>
      </c>
      <c r="AG648">
        <v>-1.0711141368570001</v>
      </c>
      <c r="AH648">
        <v>44.0038140729011</v>
      </c>
      <c r="AI648">
        <v>91.390436601948693</v>
      </c>
      <c r="AJ648">
        <v>85.687036549197202</v>
      </c>
      <c r="AK648">
        <v>44.141777812310899</v>
      </c>
      <c r="AL648">
        <v>78.477180560440004</v>
      </c>
      <c r="AM648">
        <v>81.264150029346993</v>
      </c>
      <c r="AN648">
        <v>1.00000001264904</v>
      </c>
    </row>
    <row r="649" spans="1:40" x14ac:dyDescent="0.25">
      <c r="A649" t="str">
        <f>"20190303170730352"</f>
        <v>20190303170730352</v>
      </c>
      <c r="B649" t="str">
        <f>"1551604050342949"</f>
        <v>1551604050342949</v>
      </c>
      <c r="C649" t="s">
        <v>40</v>
      </c>
      <c r="D649">
        <v>4.9980229999999999</v>
      </c>
      <c r="E649">
        <v>0.4780122</v>
      </c>
      <c r="F649" t="s">
        <v>43</v>
      </c>
      <c r="G649">
        <v>-244.7182</v>
      </c>
      <c r="H649" s="1">
        <v>-3.4752600000000002E-6</v>
      </c>
      <c r="I649">
        <v>364.11880000000002</v>
      </c>
      <c r="J649">
        <v>-282.0607</v>
      </c>
      <c r="K649">
        <v>1.0711010000000001</v>
      </c>
      <c r="L649">
        <v>367.53120000000001</v>
      </c>
      <c r="M649">
        <v>0.99981240000000005</v>
      </c>
      <c r="N649">
        <v>-1.2743279999999999E-2</v>
      </c>
      <c r="O649">
        <v>-1.4590779999999999E-2</v>
      </c>
      <c r="P649">
        <v>0.96861459999999999</v>
      </c>
      <c r="Q649">
        <v>0.18652859999999999</v>
      </c>
      <c r="R649">
        <v>-0.1642952</v>
      </c>
      <c r="S649">
        <v>3.067078</v>
      </c>
      <c r="T649">
        <v>-8.7222579999999994E-2</v>
      </c>
      <c r="U649">
        <v>-0.27825929999999999</v>
      </c>
      <c r="V649">
        <v>0.1501314</v>
      </c>
      <c r="W649">
        <v>0.19889519999999999</v>
      </c>
      <c r="X649">
        <v>0.96845300000000001</v>
      </c>
      <c r="Y649">
        <v>7.5769279999999994E-2</v>
      </c>
      <c r="Z649">
        <v>-1.3305280000000001E-3</v>
      </c>
      <c r="AA649">
        <v>0.99712449999999997</v>
      </c>
      <c r="AB649">
        <v>33</v>
      </c>
      <c r="AC649">
        <v>37.342500000000001</v>
      </c>
      <c r="AD649">
        <v>-1.0711044752600001</v>
      </c>
      <c r="AE649">
        <v>-3.4123999999999901</v>
      </c>
      <c r="AF649">
        <v>2.8647988370509898</v>
      </c>
      <c r="AG649">
        <v>-1.0711044752600001</v>
      </c>
      <c r="AH649">
        <v>37.357836971672199</v>
      </c>
      <c r="AI649">
        <v>91.637499784524294</v>
      </c>
      <c r="AJ649">
        <v>85.614835466942296</v>
      </c>
      <c r="AK649">
        <v>37.482827006186902</v>
      </c>
      <c r="AL649">
        <v>78.527638939938996</v>
      </c>
      <c r="AM649">
        <v>81.188043072814096</v>
      </c>
      <c r="AN649">
        <v>0.999999975528999</v>
      </c>
    </row>
    <row r="650" spans="1:40" x14ac:dyDescent="0.25">
      <c r="A650" t="str">
        <f>"20190303170730375"</f>
        <v>20190303170730375</v>
      </c>
      <c r="B650" t="str">
        <f>"1551604050362469"</f>
        <v>1551604050362469</v>
      </c>
      <c r="C650" t="s">
        <v>40</v>
      </c>
      <c r="D650">
        <v>5.0034000000000001</v>
      </c>
      <c r="E650">
        <v>0.47778680000000001</v>
      </c>
      <c r="F650" t="s">
        <v>43</v>
      </c>
      <c r="G650">
        <v>-246.08770000000001</v>
      </c>
      <c r="H650" s="1">
        <v>-2.9210530000000001E-6</v>
      </c>
      <c r="I650">
        <v>364.22519999999997</v>
      </c>
      <c r="J650">
        <v>-281.72719999999998</v>
      </c>
      <c r="K650">
        <v>1.0710919999999999</v>
      </c>
      <c r="L650">
        <v>367.52640000000002</v>
      </c>
      <c r="M650">
        <v>0.99981330000000002</v>
      </c>
      <c r="N650">
        <v>-1.273241E-2</v>
      </c>
      <c r="O650">
        <v>-1.4543850000000001E-2</v>
      </c>
      <c r="P650">
        <v>0.96846710000000003</v>
      </c>
      <c r="Q650">
        <v>0.18466199999999999</v>
      </c>
      <c r="R650">
        <v>-0.1672486</v>
      </c>
      <c r="S650">
        <v>3.066986</v>
      </c>
      <c r="T650">
        <v>-9.1320159999999997E-2</v>
      </c>
      <c r="U650">
        <v>-0.28186040000000001</v>
      </c>
      <c r="V650">
        <v>0.15313160000000001</v>
      </c>
      <c r="W650">
        <v>0.19701759999999999</v>
      </c>
      <c r="X650">
        <v>0.96836699999999998</v>
      </c>
      <c r="Y650">
        <v>7.6975799999999997E-2</v>
      </c>
      <c r="Z650">
        <v>-1.3874239999999999E-3</v>
      </c>
      <c r="AA650">
        <v>0.99703200000000003</v>
      </c>
      <c r="AB650">
        <v>33</v>
      </c>
      <c r="AC650">
        <v>35.639499999999899</v>
      </c>
      <c r="AD650">
        <v>-1.0710949210530001</v>
      </c>
      <c r="AE650">
        <v>-3.3012000000000499</v>
      </c>
      <c r="AF650">
        <v>2.77998372101729</v>
      </c>
      <c r="AG650">
        <v>-1.0710949210530001</v>
      </c>
      <c r="AH650">
        <v>35.651818495782699</v>
      </c>
      <c r="AI650">
        <v>91.715626598885393</v>
      </c>
      <c r="AJ650">
        <v>85.541330276150305</v>
      </c>
      <c r="AK650">
        <v>35.776077424380397</v>
      </c>
      <c r="AL650">
        <v>78.637388911101496</v>
      </c>
      <c r="AM650">
        <v>81.014007061438093</v>
      </c>
      <c r="AN650">
        <v>0.99999993415865696</v>
      </c>
    </row>
    <row r="651" spans="1:40" x14ac:dyDescent="0.25">
      <c r="A651" t="str">
        <f>"20190303170730442"</f>
        <v>20190303170730442</v>
      </c>
      <c r="B651" t="str">
        <f>"1551604050432742"</f>
        <v>1551604050432742</v>
      </c>
      <c r="C651" t="s">
        <v>40</v>
      </c>
      <c r="D651">
        <v>5.0710819999999996</v>
      </c>
      <c r="E651">
        <v>0.4764081</v>
      </c>
      <c r="F651" t="s">
        <v>43</v>
      </c>
      <c r="G651">
        <v>-247.4967</v>
      </c>
      <c r="H651" s="1">
        <v>-2.3587430000000001E-6</v>
      </c>
      <c r="I651">
        <v>364.30500000000001</v>
      </c>
      <c r="J651">
        <v>-280.74639999999999</v>
      </c>
      <c r="K651">
        <v>1.0717509999999999</v>
      </c>
      <c r="L651">
        <v>367.51229999999998</v>
      </c>
      <c r="M651">
        <v>0.99979189999999996</v>
      </c>
      <c r="N651">
        <v>-1.448526E-2</v>
      </c>
      <c r="O651">
        <v>-1.4370580000000001E-2</v>
      </c>
      <c r="P651">
        <v>0.96862269999999995</v>
      </c>
      <c r="Q651">
        <v>0.1798226</v>
      </c>
      <c r="R651">
        <v>-0.17156360000000001</v>
      </c>
      <c r="S651">
        <v>3.0661320000000001</v>
      </c>
      <c r="T651">
        <v>-9.5941070000000003E-2</v>
      </c>
      <c r="U651">
        <v>-0.28854370000000001</v>
      </c>
      <c r="V651">
        <v>0.15760679999999999</v>
      </c>
      <c r="W651">
        <v>0.19388349999999999</v>
      </c>
      <c r="X651">
        <v>0.96828159999999996</v>
      </c>
      <c r="Y651">
        <v>7.9319829999999994E-2</v>
      </c>
      <c r="Z651">
        <v>-1.573182E-3</v>
      </c>
      <c r="AA651">
        <v>0.99684799999999996</v>
      </c>
      <c r="AB651">
        <v>33</v>
      </c>
      <c r="AC651">
        <v>33.249699999999898</v>
      </c>
      <c r="AD651">
        <v>-1.0717533587429999</v>
      </c>
      <c r="AE651">
        <v>-3.2072999999999698</v>
      </c>
      <c r="AF651">
        <v>2.72629467272579</v>
      </c>
      <c r="AG651">
        <v>-1.0717533587429999</v>
      </c>
      <c r="AH651">
        <v>33.2581249124406</v>
      </c>
      <c r="AI651">
        <v>91.839569402855304</v>
      </c>
      <c r="AJ651">
        <v>85.313725633275396</v>
      </c>
      <c r="AK651">
        <v>33.386886805990301</v>
      </c>
      <c r="AL651">
        <v>78.820491687620205</v>
      </c>
      <c r="AM651">
        <v>80.755065361345004</v>
      </c>
      <c r="AN651">
        <v>0.99999998593852402</v>
      </c>
    </row>
    <row r="652" spans="1:40" x14ac:dyDescent="0.25">
      <c r="A652" t="str">
        <f>"20190303170730462"</f>
        <v>20190303170730462</v>
      </c>
      <c r="B652" t="str">
        <f>"1551604050453237"</f>
        <v>1551604050453237</v>
      </c>
      <c r="C652" t="s">
        <v>40</v>
      </c>
      <c r="D652">
        <v>5.0691189999999997</v>
      </c>
      <c r="E652">
        <v>0.47620780000000001</v>
      </c>
      <c r="F652" t="s">
        <v>43</v>
      </c>
      <c r="G652">
        <v>-249.77010000000001</v>
      </c>
      <c r="H652" s="1">
        <v>-1.4158920000000001E-6</v>
      </c>
      <c r="I652">
        <v>364.56740000000002</v>
      </c>
      <c r="J652">
        <v>-280.45269999999999</v>
      </c>
      <c r="K652">
        <v>1.0723739999999999</v>
      </c>
      <c r="L652">
        <v>367.50810000000001</v>
      </c>
      <c r="M652">
        <v>0.9997897</v>
      </c>
      <c r="N652">
        <v>-1.4730480000000001E-2</v>
      </c>
      <c r="O652">
        <v>-1.427192E-2</v>
      </c>
      <c r="P652">
        <v>0.96869740000000004</v>
      </c>
      <c r="Q652">
        <v>0.1760092</v>
      </c>
      <c r="R652">
        <v>-0.17506079999999999</v>
      </c>
      <c r="S652">
        <v>3.0652469999999998</v>
      </c>
      <c r="T652">
        <v>-0.1060548</v>
      </c>
      <c r="U652">
        <v>-0.29141240000000002</v>
      </c>
      <c r="V652">
        <v>0.16119140000000001</v>
      </c>
      <c r="W652">
        <v>0.19031580000000001</v>
      </c>
      <c r="X652">
        <v>0.96839929999999996</v>
      </c>
      <c r="Y652">
        <v>8.035871E-2</v>
      </c>
      <c r="Z652">
        <v>-1.6974399999999999E-3</v>
      </c>
      <c r="AA652">
        <v>0.99676450000000005</v>
      </c>
      <c r="AB652">
        <v>32</v>
      </c>
      <c r="AC652">
        <v>30.682599999999901</v>
      </c>
      <c r="AD652">
        <v>-1.072375415892</v>
      </c>
      <c r="AE652">
        <v>-2.9406999999999899</v>
      </c>
      <c r="AF652">
        <v>2.4994279514094302</v>
      </c>
      <c r="AG652">
        <v>-1.072375415892</v>
      </c>
      <c r="AH652">
        <v>30.684307231890799</v>
      </c>
      <c r="AI652">
        <v>91.994993850566601</v>
      </c>
      <c r="AJ652">
        <v>85.343183220790806</v>
      </c>
      <c r="AK652">
        <v>30.804607438140799</v>
      </c>
      <c r="AL652">
        <v>79.0287853692314</v>
      </c>
      <c r="AM652">
        <v>80.549679842207297</v>
      </c>
      <c r="AN652">
        <v>0.99999998770204401</v>
      </c>
    </row>
    <row r="653" spans="1:40" x14ac:dyDescent="0.25">
      <c r="A653" t="str">
        <f>"20190303170730485"</f>
        <v>20190303170730485</v>
      </c>
      <c r="B653" t="str">
        <f>"1551604050472757"</f>
        <v>1551604050472757</v>
      </c>
      <c r="C653" t="s">
        <v>40</v>
      </c>
      <c r="D653">
        <v>5.0466899999999999</v>
      </c>
      <c r="E653">
        <v>0.47560340000000001</v>
      </c>
      <c r="F653" t="s">
        <v>43</v>
      </c>
      <c r="G653">
        <v>-252.07939999999999</v>
      </c>
      <c r="H653" s="1">
        <v>-4.2460539999999999E-6</v>
      </c>
      <c r="I653">
        <v>364.73509999999999</v>
      </c>
      <c r="J653">
        <v>-280.12819999999999</v>
      </c>
      <c r="K653">
        <v>1.0730679999999999</v>
      </c>
      <c r="L653">
        <v>367.50369999999998</v>
      </c>
      <c r="M653">
        <v>0.99981140000000002</v>
      </c>
      <c r="N653">
        <v>-1.334349E-2</v>
      </c>
      <c r="O653">
        <v>-1.4114460000000001E-2</v>
      </c>
      <c r="P653">
        <v>0.96856920000000002</v>
      </c>
      <c r="Q653">
        <v>0.17601220000000001</v>
      </c>
      <c r="R653">
        <v>-0.17576520000000001</v>
      </c>
      <c r="S653">
        <v>3.063904</v>
      </c>
      <c r="T653">
        <v>-0.11580120000000001</v>
      </c>
      <c r="U653">
        <v>-0.2994385</v>
      </c>
      <c r="V653">
        <v>0.16203670000000001</v>
      </c>
      <c r="W653">
        <v>0.18898619999999999</v>
      </c>
      <c r="X653">
        <v>0.96851860000000001</v>
      </c>
      <c r="Y653">
        <v>8.3133589999999993E-2</v>
      </c>
      <c r="Z653">
        <v>-1.77898799999999E-3</v>
      </c>
      <c r="AA653">
        <v>0.99653689999999995</v>
      </c>
      <c r="AB653">
        <v>32</v>
      </c>
      <c r="AC653">
        <v>28.0488</v>
      </c>
      <c r="AD653">
        <v>-1.0730722460539901</v>
      </c>
      <c r="AE653">
        <v>-2.76859999999999</v>
      </c>
      <c r="AF653">
        <v>2.3689614535144301</v>
      </c>
      <c r="AG653">
        <v>-1.0730722460539901</v>
      </c>
      <c r="AH653">
        <v>28.044435785252801</v>
      </c>
      <c r="AI653">
        <v>92.183487092654204</v>
      </c>
      <c r="AJ653">
        <v>85.171590068444203</v>
      </c>
      <c r="AK653">
        <v>28.164762397837801</v>
      </c>
      <c r="AL653">
        <v>79.106373841104102</v>
      </c>
      <c r="AM653">
        <v>80.502171218280907</v>
      </c>
      <c r="AN653">
        <v>0.99999997724164402</v>
      </c>
    </row>
    <row r="654" spans="1:40" x14ac:dyDescent="0.25">
      <c r="A654" t="str">
        <f>"20190303170730508"</f>
        <v>20190303170730508</v>
      </c>
      <c r="B654" t="str">
        <f>"1551604050502544"</f>
        <v>1551604050502544</v>
      </c>
      <c r="C654" t="s">
        <v>40</v>
      </c>
      <c r="D654">
        <v>5.101019</v>
      </c>
      <c r="E654">
        <v>0.47513699999999998</v>
      </c>
      <c r="F654" t="s">
        <v>43</v>
      </c>
      <c r="G654">
        <v>-250.6627</v>
      </c>
      <c r="H654" s="1">
        <v>-4.868284E-6</v>
      </c>
      <c r="I654">
        <v>364.65359999999998</v>
      </c>
      <c r="J654">
        <v>-279.79379999999998</v>
      </c>
      <c r="K654">
        <v>1.074063</v>
      </c>
      <c r="L654">
        <v>367.4991</v>
      </c>
      <c r="M654">
        <v>0.99984039999999996</v>
      </c>
      <c r="N654">
        <v>-1.120574E-2</v>
      </c>
      <c r="O654">
        <v>-1.391599E-2</v>
      </c>
      <c r="P654">
        <v>0.96856869999999995</v>
      </c>
      <c r="Q654">
        <v>0.17769480000000001</v>
      </c>
      <c r="R654">
        <v>-0.17406759999999999</v>
      </c>
      <c r="S654">
        <v>3.0638730000000001</v>
      </c>
      <c r="T654">
        <v>-0.1115799</v>
      </c>
      <c r="U654">
        <v>-0.29635620000000001</v>
      </c>
      <c r="V654">
        <v>0.16051480000000001</v>
      </c>
      <c r="W654">
        <v>0.18861159999999999</v>
      </c>
      <c r="X654">
        <v>0.96884499999999996</v>
      </c>
      <c r="Y654">
        <v>8.2348669999999999E-2</v>
      </c>
      <c r="Z654">
        <v>-1.6084039999999999E-3</v>
      </c>
      <c r="AA654">
        <v>0.99660230000000005</v>
      </c>
      <c r="AB654">
        <v>32</v>
      </c>
      <c r="AC654">
        <v>29.131099999999901</v>
      </c>
      <c r="AD654">
        <v>-1.0740678682839999</v>
      </c>
      <c r="AE654">
        <v>-2.8455000000000101</v>
      </c>
      <c r="AF654">
        <v>2.4365299557698901</v>
      </c>
      <c r="AG654">
        <v>-1.0740678682839999</v>
      </c>
      <c r="AH654">
        <v>29.1286557803863</v>
      </c>
      <c r="AI654">
        <v>92.104381676845193</v>
      </c>
      <c r="AJ654">
        <v>85.218500615558796</v>
      </c>
      <c r="AK654">
        <v>29.250109189253902</v>
      </c>
      <c r="AL654">
        <v>79.128229994430995</v>
      </c>
      <c r="AM654">
        <v>80.592888502962097</v>
      </c>
      <c r="AN654">
        <v>0.99999998534929901</v>
      </c>
    </row>
    <row r="655" spans="1:40" x14ac:dyDescent="0.25">
      <c r="A655" t="str">
        <f>"20190303170730530"</f>
        <v>20190303170730530</v>
      </c>
      <c r="B655" t="str">
        <f>"1551604050523040"</f>
        <v>1551604050523040</v>
      </c>
      <c r="C655" t="s">
        <v>40</v>
      </c>
      <c r="D655">
        <v>5.0799599999999998</v>
      </c>
      <c r="E655">
        <v>0.45600669999999999</v>
      </c>
      <c r="F655" t="s">
        <v>43</v>
      </c>
      <c r="G655">
        <v>-247.9281</v>
      </c>
      <c r="H655" s="1">
        <v>-2.136632E-6</v>
      </c>
      <c r="I655">
        <v>364.51710000000003</v>
      </c>
      <c r="J655">
        <v>-279.4717</v>
      </c>
      <c r="K655">
        <v>1.07541</v>
      </c>
      <c r="L655">
        <v>367.495</v>
      </c>
      <c r="M655">
        <v>0.99986330000000001</v>
      </c>
      <c r="N655">
        <v>-9.2847950000000002E-3</v>
      </c>
      <c r="O655">
        <v>-1.3686429999999999E-2</v>
      </c>
      <c r="P655">
        <v>0.96869470000000002</v>
      </c>
      <c r="Q655">
        <v>0.18021519999999999</v>
      </c>
      <c r="R655">
        <v>-0.1707428</v>
      </c>
      <c r="S655">
        <v>3.0647579999999999</v>
      </c>
      <c r="T655">
        <v>-0.1033009</v>
      </c>
      <c r="U655">
        <v>-0.28680420000000001</v>
      </c>
      <c r="V655">
        <v>0.1573976</v>
      </c>
      <c r="W655">
        <v>0.18928159999999999</v>
      </c>
      <c r="X655">
        <v>0.96922569999999997</v>
      </c>
      <c r="Y655">
        <v>7.9484940000000004E-2</v>
      </c>
      <c r="Z655">
        <v>-1.372914E-3</v>
      </c>
      <c r="AA655">
        <v>0.99683509999999997</v>
      </c>
      <c r="AB655">
        <v>33</v>
      </c>
      <c r="AC655">
        <v>31.543600000000001</v>
      </c>
      <c r="AD655">
        <v>-1.075412136632</v>
      </c>
      <c r="AE655">
        <v>-2.9778999999999698</v>
      </c>
      <c r="AF655">
        <v>2.5429535763945901</v>
      </c>
      <c r="AG655">
        <v>-1.075412136632</v>
      </c>
      <c r="AH655">
        <v>31.545062132127999</v>
      </c>
      <c r="AI655">
        <v>91.946222689599296</v>
      </c>
      <c r="AJ655">
        <v>85.391160763779496</v>
      </c>
      <c r="AK655">
        <v>31.665660723805001</v>
      </c>
      <c r="AL655">
        <v>79.089137750017997</v>
      </c>
      <c r="AM655">
        <v>80.775964051773101</v>
      </c>
      <c r="AN655">
        <v>0.99999999306240495</v>
      </c>
    </row>
    <row r="656" spans="1:40" x14ac:dyDescent="0.25">
      <c r="A656" t="str">
        <f>"20190303170730552"</f>
        <v>20190303170730552</v>
      </c>
      <c r="B656" t="str">
        <f>"1551604050542563"</f>
        <v>1551604050542563</v>
      </c>
      <c r="C656" t="s">
        <v>40</v>
      </c>
      <c r="D656">
        <v>4.9097850000000003</v>
      </c>
      <c r="E656">
        <v>0.39956439999999999</v>
      </c>
      <c r="F656" t="s">
        <v>43</v>
      </c>
      <c r="G656">
        <v>-216.68879999999999</v>
      </c>
      <c r="H656" s="1">
        <v>-2.3699259999999998E-6</v>
      </c>
      <c r="I656">
        <v>364.892</v>
      </c>
      <c r="J656">
        <v>-279.15780000000001</v>
      </c>
      <c r="K656">
        <v>1.0769249999999999</v>
      </c>
      <c r="L656">
        <v>367.49090000000001</v>
      </c>
      <c r="M656">
        <v>0.99988140000000003</v>
      </c>
      <c r="N656">
        <v>-7.5474849999999996E-3</v>
      </c>
      <c r="O656">
        <v>-1.3422359999999999E-2</v>
      </c>
      <c r="P656">
        <v>0.96894100000000005</v>
      </c>
      <c r="Q656">
        <v>0.18335879999999999</v>
      </c>
      <c r="R656">
        <v>-0.1659301</v>
      </c>
      <c r="S656">
        <v>3.0842290000000001</v>
      </c>
      <c r="T656">
        <v>-5.2829859999999999E-2</v>
      </c>
      <c r="U656">
        <v>-0.1278687</v>
      </c>
      <c r="V656">
        <v>0.15282889999999999</v>
      </c>
      <c r="W656">
        <v>0.19074740000000001</v>
      </c>
      <c r="X656">
        <v>0.96966940000000001</v>
      </c>
      <c r="Y656">
        <v>2.8003050000000002E-2</v>
      </c>
      <c r="Z656">
        <v>-2.1693919999999999E-4</v>
      </c>
      <c r="AA656">
        <v>0.99960780000000005</v>
      </c>
      <c r="AB656">
        <v>33</v>
      </c>
      <c r="AC656">
        <v>62.469000000000001</v>
      </c>
      <c r="AD656">
        <v>-1.07692736992599</v>
      </c>
      <c r="AE656">
        <v>-2.5989000000000102</v>
      </c>
      <c r="AF656">
        <v>1.75963849709626</v>
      </c>
      <c r="AG656">
        <v>-1.07692736992599</v>
      </c>
      <c r="AH656">
        <v>62.479719920111897</v>
      </c>
      <c r="AI656">
        <v>90.987085645623097</v>
      </c>
      <c r="AJ656">
        <v>88.386785084107601</v>
      </c>
      <c r="AK656">
        <v>62.5137704949572</v>
      </c>
      <c r="AL656">
        <v>79.003595123729198</v>
      </c>
      <c r="AM656">
        <v>81.043331490709207</v>
      </c>
      <c r="AN656">
        <v>0.99999999428916497</v>
      </c>
    </row>
    <row r="657" spans="1:40" x14ac:dyDescent="0.25">
      <c r="A657" t="str">
        <f>"20190303170730575"</f>
        <v>20190303170730575</v>
      </c>
      <c r="B657" t="str">
        <f>"1551604050572816"</f>
        <v>1551604050572816</v>
      </c>
      <c r="C657" t="s">
        <v>40</v>
      </c>
      <c r="D657">
        <v>4.9585059999999999</v>
      </c>
      <c r="E657">
        <v>0.38438850000000002</v>
      </c>
      <c r="F657" t="s">
        <v>44</v>
      </c>
      <c r="G657">
        <v>-158.19499999999999</v>
      </c>
      <c r="H657">
        <v>6.1462779999999997</v>
      </c>
      <c r="I657">
        <v>379.94049999999999</v>
      </c>
      <c r="J657">
        <v>-278.81670000000003</v>
      </c>
      <c r="K657">
        <v>1.078643</v>
      </c>
      <c r="L657">
        <v>367.48669999999998</v>
      </c>
      <c r="M657">
        <v>0.9998977</v>
      </c>
      <c r="N657">
        <v>-5.7344730000000003E-3</v>
      </c>
      <c r="O657">
        <v>-1.3103429999999999E-2</v>
      </c>
      <c r="P657">
        <v>0.96929540000000003</v>
      </c>
      <c r="Q657">
        <v>0.18567449999999999</v>
      </c>
      <c r="R657">
        <v>-0.16121869999999999</v>
      </c>
      <c r="S657">
        <v>3.126465</v>
      </c>
      <c r="T657">
        <v>0.13102710000000001</v>
      </c>
      <c r="U657">
        <v>0.32177729999999999</v>
      </c>
      <c r="V657">
        <v>0.14841589999999999</v>
      </c>
      <c r="W657">
        <v>0.19130949999999999</v>
      </c>
      <c r="X657">
        <v>0.970244</v>
      </c>
      <c r="Y657">
        <v>-0.11530459999999999</v>
      </c>
      <c r="Z657">
        <v>-2.6995779999999998E-3</v>
      </c>
      <c r="AA657">
        <v>0.9933265</v>
      </c>
      <c r="AB657">
        <v>33</v>
      </c>
      <c r="AC657">
        <v>120.6217</v>
      </c>
      <c r="AD657">
        <v>5.0676349999999903</v>
      </c>
      <c r="AE657">
        <v>12.453799999999999</v>
      </c>
      <c r="AF657">
        <v>-14.008849081808499</v>
      </c>
      <c r="AG657">
        <v>5.0676349999999903</v>
      </c>
      <c r="AH657">
        <v>120.238164415569</v>
      </c>
      <c r="AI657">
        <v>87.602799868084801</v>
      </c>
      <c r="AJ657">
        <v>96.645522327747699</v>
      </c>
      <c r="AK657">
        <v>121.157521265151</v>
      </c>
      <c r="AL657">
        <v>78.970785145739001</v>
      </c>
      <c r="AM657">
        <v>81.303017549893099</v>
      </c>
      <c r="AN657">
        <v>1.00000001184952</v>
      </c>
    </row>
    <row r="658" spans="1:40" x14ac:dyDescent="0.25">
      <c r="A658" t="str">
        <f>"20190303170730598"</f>
        <v>20190303170730598</v>
      </c>
      <c r="B658" t="str">
        <f>"1551604050592844"</f>
        <v>1551604050592844</v>
      </c>
      <c r="C658" t="s">
        <v>40</v>
      </c>
      <c r="D658">
        <v>4.8321420000000002</v>
      </c>
      <c r="E658">
        <v>0.37493749999999998</v>
      </c>
      <c r="F658" t="s">
        <v>44</v>
      </c>
      <c r="G658">
        <v>-169.2955</v>
      </c>
      <c r="H658">
        <v>6.2809999999999997</v>
      </c>
      <c r="I658">
        <v>383.37810000000002</v>
      </c>
      <c r="J658">
        <v>-278.48939999999999</v>
      </c>
      <c r="K658">
        <v>1.080387</v>
      </c>
      <c r="L658">
        <v>367.4828</v>
      </c>
      <c r="M658">
        <v>0.99990869999999998</v>
      </c>
      <c r="N658">
        <v>-4.4135520000000003E-3</v>
      </c>
      <c r="O658">
        <v>-1.278149E-2</v>
      </c>
      <c r="P658">
        <v>0.96984630000000005</v>
      </c>
      <c r="Q658">
        <v>0.1865771</v>
      </c>
      <c r="R658">
        <v>-0.1568041</v>
      </c>
      <c r="S658">
        <v>3.142242</v>
      </c>
      <c r="T658">
        <v>0.1492617</v>
      </c>
      <c r="U658">
        <v>0.45593260000000002</v>
      </c>
      <c r="V658">
        <v>0.14430299999999999</v>
      </c>
      <c r="W658">
        <v>0.1909342</v>
      </c>
      <c r="X658">
        <v>0.97093810000000003</v>
      </c>
      <c r="Y658">
        <v>-0.15605859999999999</v>
      </c>
      <c r="Z658">
        <v>-3.9986589999999999E-3</v>
      </c>
      <c r="AA658">
        <v>0.9877397</v>
      </c>
      <c r="AB658">
        <v>33</v>
      </c>
      <c r="AC658">
        <v>109.1939</v>
      </c>
      <c r="AD658">
        <v>5.2006129999999997</v>
      </c>
      <c r="AE658">
        <v>15.895300000000001</v>
      </c>
      <c r="AF658">
        <v>-17.251355409442699</v>
      </c>
      <c r="AG658">
        <v>5.2006129999999997</v>
      </c>
      <c r="AH658">
        <v>108.74026874170301</v>
      </c>
      <c r="AI658">
        <v>87.295628466551506</v>
      </c>
      <c r="AJ658">
        <v>99.014694351408096</v>
      </c>
      <c r="AK658">
        <v>110.222963510589</v>
      </c>
      <c r="AL658">
        <v>78.992692048477195</v>
      </c>
      <c r="AM658">
        <v>81.546452451228802</v>
      </c>
      <c r="AN658">
        <v>1.00000000928512</v>
      </c>
    </row>
    <row r="659" spans="1:40" x14ac:dyDescent="0.25">
      <c r="A659" t="str">
        <f>"20190303170730620"</f>
        <v>20190303170730620</v>
      </c>
      <c r="B659" t="str">
        <f>"1551604050612363"</f>
        <v>1551604050612363</v>
      </c>
      <c r="C659" t="s">
        <v>40</v>
      </c>
      <c r="D659">
        <v>4.8386550000000002</v>
      </c>
      <c r="E659">
        <v>0.36859069999999999</v>
      </c>
      <c r="F659" t="s">
        <v>45</v>
      </c>
      <c r="G659">
        <v>0</v>
      </c>
      <c r="H659">
        <v>0</v>
      </c>
      <c r="I659">
        <v>0</v>
      </c>
      <c r="J659">
        <v>-278.17270000000002</v>
      </c>
      <c r="K659">
        <v>1.082435</v>
      </c>
      <c r="L659">
        <v>367.47899999999998</v>
      </c>
      <c r="M659">
        <v>0.99991419999999998</v>
      </c>
      <c r="N659">
        <v>-4.1031369999999998E-3</v>
      </c>
      <c r="O659">
        <v>-1.2449150000000001E-2</v>
      </c>
      <c r="P659">
        <v>0.97021959999999996</v>
      </c>
      <c r="Q659">
        <v>0.18784790000000001</v>
      </c>
      <c r="R659">
        <v>-0.1529296</v>
      </c>
      <c r="S659">
        <v>3.145721</v>
      </c>
      <c r="T659">
        <v>0.1832821</v>
      </c>
      <c r="U659">
        <v>0.54244999999999999</v>
      </c>
      <c r="V659">
        <v>0.1407467</v>
      </c>
      <c r="W659">
        <v>0.19190299999999999</v>
      </c>
      <c r="X659">
        <v>0.9712691</v>
      </c>
      <c r="Y659">
        <v>-0.18188589999999999</v>
      </c>
      <c r="Z659">
        <v>-5.6496039999999999E-3</v>
      </c>
      <c r="AA659">
        <v>0.98330340000000005</v>
      </c>
      <c r="AB659">
        <v>33</v>
      </c>
      <c r="AC659">
        <v>3.145721</v>
      </c>
      <c r="AD659">
        <v>0.1832821</v>
      </c>
      <c r="AE659">
        <v>0.54244999999999999</v>
      </c>
      <c r="AF659">
        <v>-0.57965890350006699</v>
      </c>
      <c r="AG659">
        <v>0.1832821</v>
      </c>
      <c r="AH659">
        <v>3.1284108241260502</v>
      </c>
      <c r="AI659">
        <v>86.703073623761</v>
      </c>
      <c r="AJ659">
        <v>100.497206416599</v>
      </c>
      <c r="AK659">
        <v>3.1869344293688102</v>
      </c>
      <c r="AL659">
        <v>78.936138357780493</v>
      </c>
      <c r="AM659">
        <v>81.754657797783594</v>
      </c>
      <c r="AN659">
        <v>1.0000000297923399</v>
      </c>
    </row>
    <row r="660" spans="1:40" x14ac:dyDescent="0.25">
      <c r="A660" t="str">
        <f>"20190303170730641"</f>
        <v>20190303170730641</v>
      </c>
      <c r="B660" t="str">
        <f>"1551604050632860"</f>
        <v>1551604050632860</v>
      </c>
      <c r="C660" t="s">
        <v>40</v>
      </c>
      <c r="D660">
        <v>4.8417479999999999</v>
      </c>
      <c r="E660">
        <v>0.36429800000000001</v>
      </c>
      <c r="F660" t="s">
        <v>45</v>
      </c>
      <c r="G660">
        <v>0</v>
      </c>
      <c r="H660">
        <v>0</v>
      </c>
      <c r="I660">
        <v>0</v>
      </c>
      <c r="J660">
        <v>-277.86759999999998</v>
      </c>
      <c r="K660">
        <v>1.0848040000000001</v>
      </c>
      <c r="L660">
        <v>367.47550000000001</v>
      </c>
      <c r="M660">
        <v>0.99991750000000001</v>
      </c>
      <c r="N660">
        <v>-4.2550319999999997E-3</v>
      </c>
      <c r="O660">
        <v>-1.212148E-2</v>
      </c>
      <c r="P660">
        <v>0.97048909999999999</v>
      </c>
      <c r="Q660">
        <v>0.18904599999999999</v>
      </c>
      <c r="R660">
        <v>-0.14970899999999901</v>
      </c>
      <c r="S660">
        <v>3.1468509999999998</v>
      </c>
      <c r="T660">
        <v>0.20806630000000001</v>
      </c>
      <c r="U660">
        <v>0.60296629999999996</v>
      </c>
      <c r="V660">
        <v>0.13784009999999999</v>
      </c>
      <c r="W660">
        <v>0.19324820000000001</v>
      </c>
      <c r="X660">
        <v>0.97141920000000004</v>
      </c>
      <c r="Y660">
        <v>-0.19965540000000001</v>
      </c>
      <c r="Z660">
        <v>-6.9496860000000001E-3</v>
      </c>
      <c r="AA660">
        <v>0.97984150000000003</v>
      </c>
      <c r="AB660">
        <v>32</v>
      </c>
      <c r="AC660">
        <v>3.1468509999999998</v>
      </c>
      <c r="AD660">
        <v>0.20806630000000001</v>
      </c>
      <c r="AE660">
        <v>0.60296629999999996</v>
      </c>
      <c r="AF660">
        <v>-0.63837488098953499</v>
      </c>
      <c r="AG660">
        <v>0.20806630000000001</v>
      </c>
      <c r="AH660">
        <v>3.1261283595335398</v>
      </c>
      <c r="AI660">
        <v>86.268944449880394</v>
      </c>
      <c r="AJ660">
        <v>101.541473844355</v>
      </c>
      <c r="AK660">
        <v>3.19741967751404</v>
      </c>
      <c r="AL660">
        <v>78.857593674904393</v>
      </c>
      <c r="AM660">
        <v>81.923895991196702</v>
      </c>
      <c r="AN660">
        <v>1.0000000110499401</v>
      </c>
    </row>
    <row r="661" spans="1:40" x14ac:dyDescent="0.25">
      <c r="A661" t="str">
        <f>"20190303170730663"</f>
        <v>20190303170730663</v>
      </c>
      <c r="B661" t="str">
        <f>"1551604050652380"</f>
        <v>1551604050652380</v>
      </c>
      <c r="C661" t="s">
        <v>40</v>
      </c>
      <c r="D661">
        <v>5.0068049999999999</v>
      </c>
      <c r="E661">
        <v>0.364174</v>
      </c>
      <c r="F661" t="s">
        <v>45</v>
      </c>
      <c r="G661">
        <v>0</v>
      </c>
      <c r="H661">
        <v>0</v>
      </c>
      <c r="I661">
        <v>0</v>
      </c>
      <c r="J661">
        <v>-277.54939999999999</v>
      </c>
      <c r="K661">
        <v>1.087469</v>
      </c>
      <c r="L661">
        <v>367.47199999999998</v>
      </c>
      <c r="M661">
        <v>0.99992170000000002</v>
      </c>
      <c r="N661">
        <v>-4.2322890000000002E-3</v>
      </c>
      <c r="O661">
        <v>-1.1780479999999999E-2</v>
      </c>
      <c r="P661">
        <v>0.97083569999999997</v>
      </c>
      <c r="Q661">
        <v>0.18948409999999999</v>
      </c>
      <c r="R661">
        <v>-0.14688039999999999</v>
      </c>
      <c r="S661">
        <v>3.1465450000000001</v>
      </c>
      <c r="T661">
        <v>0.22788120000000001</v>
      </c>
      <c r="U661">
        <v>0.64611819999999998</v>
      </c>
      <c r="V661">
        <v>0.1353364</v>
      </c>
      <c r="W661">
        <v>0.193666</v>
      </c>
      <c r="X661">
        <v>0.971688</v>
      </c>
      <c r="Y661">
        <v>-0.21213660000000001</v>
      </c>
      <c r="Z661">
        <v>-8.0315109999999999E-3</v>
      </c>
      <c r="AA661">
        <v>0.97720700000000005</v>
      </c>
      <c r="AB661">
        <v>32</v>
      </c>
      <c r="AC661">
        <v>3.1465450000000001</v>
      </c>
      <c r="AD661">
        <v>0.22788120000000001</v>
      </c>
      <c r="AE661">
        <v>0.64611819999999998</v>
      </c>
      <c r="AF661">
        <v>-0.67972058451125295</v>
      </c>
      <c r="AG661">
        <v>0.22788120000000001</v>
      </c>
      <c r="AH661">
        <v>3.12299747739248</v>
      </c>
      <c r="AI661">
        <v>85.921741052666604</v>
      </c>
      <c r="AJ661">
        <v>102.278929481505</v>
      </c>
      <c r="AK661">
        <v>3.2042258282027398</v>
      </c>
      <c r="AL661">
        <v>78.833194613359296</v>
      </c>
      <c r="AM661">
        <v>82.070871166937394</v>
      </c>
      <c r="AN661">
        <v>1.0000000150324799</v>
      </c>
    </row>
    <row r="662" spans="1:40" x14ac:dyDescent="0.25">
      <c r="A662" t="str">
        <f>"20190303170730687"</f>
        <v>20190303170730687</v>
      </c>
      <c r="B662" t="str">
        <f>"1551604050682636"</f>
        <v>1551604050682636</v>
      </c>
      <c r="C662" t="s">
        <v>40</v>
      </c>
      <c r="D662">
        <v>4.9633969999999996</v>
      </c>
      <c r="E662">
        <v>0.36492839999999999</v>
      </c>
      <c r="F662" t="s">
        <v>45</v>
      </c>
      <c r="G662">
        <v>0</v>
      </c>
      <c r="H662">
        <v>0</v>
      </c>
      <c r="I662">
        <v>0</v>
      </c>
      <c r="J662">
        <v>-277.21480000000003</v>
      </c>
      <c r="K662">
        <v>1.0904160000000001</v>
      </c>
      <c r="L662">
        <v>367.4683</v>
      </c>
      <c r="M662">
        <v>0.99992630000000005</v>
      </c>
      <c r="N662">
        <v>-4.0985550000000003E-3</v>
      </c>
      <c r="O662">
        <v>-1.143199E-2</v>
      </c>
      <c r="P662">
        <v>0.97111000000000003</v>
      </c>
      <c r="Q662">
        <v>0.1886043</v>
      </c>
      <c r="R662">
        <v>-0.14619869999999999</v>
      </c>
      <c r="S662">
        <v>3.145203</v>
      </c>
      <c r="T662">
        <v>0.22681709999999999</v>
      </c>
      <c r="U662">
        <v>0.65655520000000001</v>
      </c>
      <c r="V662">
        <v>0.13498769999999999</v>
      </c>
      <c r="W662">
        <v>0.19265959999999999</v>
      </c>
      <c r="X662">
        <v>0.97193649999999998</v>
      </c>
      <c r="Y662">
        <v>-0.21498519999999999</v>
      </c>
      <c r="Z662">
        <v>-8.0749050000000003E-3</v>
      </c>
      <c r="AA662">
        <v>0.97658389999999995</v>
      </c>
      <c r="AB662">
        <v>32</v>
      </c>
      <c r="AC662">
        <v>3.145203</v>
      </c>
      <c r="AD662">
        <v>0.22681709999999999</v>
      </c>
      <c r="AE662">
        <v>0.65655520000000001</v>
      </c>
      <c r="AF662">
        <v>-0.68903475343957699</v>
      </c>
      <c r="AG662">
        <v>0.22681709999999999</v>
      </c>
      <c r="AH662">
        <v>3.1219336657970098</v>
      </c>
      <c r="AI662">
        <v>85.941929310923101</v>
      </c>
      <c r="AJ662">
        <v>102.446088273299</v>
      </c>
      <c r="AK662">
        <v>3.2051029159664601</v>
      </c>
      <c r="AL662">
        <v>78.891963515920693</v>
      </c>
      <c r="AM662">
        <v>82.093038593301799</v>
      </c>
      <c r="AN662">
        <v>0.99999998032784898</v>
      </c>
    </row>
    <row r="663" spans="1:40" x14ac:dyDescent="0.25">
      <c r="A663" t="str">
        <f>"20190303170730710"</f>
        <v>20190303170730710</v>
      </c>
      <c r="B663" t="str">
        <f>"1551604050702664"</f>
        <v>1551604050702664</v>
      </c>
      <c r="C663" t="s">
        <v>40</v>
      </c>
      <c r="D663">
        <v>4.9865709999999996</v>
      </c>
      <c r="E663">
        <v>0.36543500000000001</v>
      </c>
      <c r="F663" t="s">
        <v>45</v>
      </c>
      <c r="G663">
        <v>0</v>
      </c>
      <c r="H663">
        <v>0</v>
      </c>
      <c r="I663">
        <v>0</v>
      </c>
      <c r="J663">
        <v>-276.87470000000002</v>
      </c>
      <c r="K663">
        <v>1.0935280000000001</v>
      </c>
      <c r="L663">
        <v>367.46469999999999</v>
      </c>
      <c r="M663">
        <v>0.99992990000000004</v>
      </c>
      <c r="N663">
        <v>-4.1529669999999996E-3</v>
      </c>
      <c r="O663">
        <v>-1.109279E-2</v>
      </c>
      <c r="P663">
        <v>0.97175630000000002</v>
      </c>
      <c r="Q663">
        <v>0.1870743</v>
      </c>
      <c r="R663">
        <v>-0.143851799999999</v>
      </c>
      <c r="S663">
        <v>3.1453859999999998</v>
      </c>
      <c r="T663">
        <v>0.21699850000000001</v>
      </c>
      <c r="U663">
        <v>0.65304569999999995</v>
      </c>
      <c r="V663">
        <v>0.1329611</v>
      </c>
      <c r="W663">
        <v>0.19118599999999999</v>
      </c>
      <c r="X663">
        <v>0.97250669999999995</v>
      </c>
      <c r="Y663">
        <v>-0.21364849999999999</v>
      </c>
      <c r="Z663">
        <v>-7.6368729999999998E-3</v>
      </c>
      <c r="AA663">
        <v>0.97688070000000005</v>
      </c>
      <c r="AB663">
        <v>32</v>
      </c>
      <c r="AC663">
        <v>3.1453859999999998</v>
      </c>
      <c r="AD663">
        <v>0.21699850000000001</v>
      </c>
      <c r="AE663">
        <v>0.65304569999999995</v>
      </c>
      <c r="AF663">
        <v>-0.68477240491761404</v>
      </c>
      <c r="AG663">
        <v>0.21699850000000001</v>
      </c>
      <c r="AH663">
        <v>3.1236953282987301</v>
      </c>
      <c r="AI663">
        <v>86.118022427815504</v>
      </c>
      <c r="AJ663">
        <v>102.364712529869</v>
      </c>
      <c r="AK663">
        <v>3.2052260606038701</v>
      </c>
      <c r="AL663">
        <v>78.977994233319194</v>
      </c>
      <c r="AM663">
        <v>82.214790477884094</v>
      </c>
      <c r="AN663">
        <v>1.0000000111270499</v>
      </c>
    </row>
    <row r="664" spans="1:40" x14ac:dyDescent="0.25">
      <c r="A664" t="str">
        <f>"20190303170730730"</f>
        <v>20190303170730730</v>
      </c>
      <c r="B664" t="str">
        <f>"1551604050723160"</f>
        <v>1551604050723160</v>
      </c>
      <c r="C664" t="s">
        <v>40</v>
      </c>
      <c r="D664">
        <v>4.9976770000000004</v>
      </c>
      <c r="E664">
        <v>0.3659174</v>
      </c>
      <c r="F664" t="s">
        <v>45</v>
      </c>
      <c r="G664">
        <v>0</v>
      </c>
      <c r="H664">
        <v>0</v>
      </c>
      <c r="I664">
        <v>0</v>
      </c>
      <c r="J664">
        <v>-276.57040000000001</v>
      </c>
      <c r="K664">
        <v>1.0963309999999999</v>
      </c>
      <c r="L664">
        <v>367.46159999999998</v>
      </c>
      <c r="M664">
        <v>0.99993209999999999</v>
      </c>
      <c r="N664">
        <v>-4.4242930000000001E-3</v>
      </c>
      <c r="O664">
        <v>-1.079655E-2</v>
      </c>
      <c r="P664">
        <v>0.97265109999999999</v>
      </c>
      <c r="Q664">
        <v>0.18479000000000001</v>
      </c>
      <c r="R664">
        <v>-0.14072309999999999</v>
      </c>
      <c r="S664">
        <v>3.1445919999999998</v>
      </c>
      <c r="T664">
        <v>0.2062021</v>
      </c>
      <c r="U664">
        <v>0.65594479999999999</v>
      </c>
      <c r="V664">
        <v>0.13010969999999999</v>
      </c>
      <c r="W664">
        <v>0.1891697</v>
      </c>
      <c r="X664">
        <v>0.97328630000000005</v>
      </c>
      <c r="Y664">
        <v>-0.2143207</v>
      </c>
      <c r="Z664">
        <v>-7.2123129999999997E-3</v>
      </c>
      <c r="AA664">
        <v>0.97673670000000001</v>
      </c>
      <c r="AB664">
        <v>33</v>
      </c>
      <c r="AC664">
        <v>3.1445919999999998</v>
      </c>
      <c r="AD664">
        <v>0.2062021</v>
      </c>
      <c r="AE664">
        <v>0.65594479999999999</v>
      </c>
      <c r="AF664">
        <v>-0.68702667838989495</v>
      </c>
      <c r="AG664">
        <v>0.2062021</v>
      </c>
      <c r="AH664">
        <v>3.12445209598381</v>
      </c>
      <c r="AI664">
        <v>86.312022493790593</v>
      </c>
      <c r="AJ664">
        <v>102.401247757528</v>
      </c>
      <c r="AK664">
        <v>3.2057332800720499</v>
      </c>
      <c r="AL664">
        <v>79.095666806494506</v>
      </c>
      <c r="AM664">
        <v>82.385796385322706</v>
      </c>
      <c r="AN664">
        <v>0.99999996559993398</v>
      </c>
    </row>
    <row r="665" spans="1:40" x14ac:dyDescent="0.25">
      <c r="A665" t="str">
        <f>"20190303170730744"</f>
        <v>20190303170730744</v>
      </c>
      <c r="B665" t="str">
        <f>"1551604050732920"</f>
        <v>1551604050732920</v>
      </c>
      <c r="C665" t="s">
        <v>40</v>
      </c>
      <c r="D665">
        <v>4.9903769999999996</v>
      </c>
      <c r="E665">
        <v>0.36612329999999998</v>
      </c>
      <c r="F665" t="s">
        <v>45</v>
      </c>
      <c r="G665">
        <v>0</v>
      </c>
      <c r="H665">
        <v>0</v>
      </c>
      <c r="I665">
        <v>0</v>
      </c>
      <c r="J665">
        <v>-276.36509999999998</v>
      </c>
      <c r="K665">
        <v>1.098184</v>
      </c>
      <c r="L665">
        <v>367.45960000000002</v>
      </c>
      <c r="M665">
        <v>0.99993279999999995</v>
      </c>
      <c r="N665">
        <v>-4.6943640000000003E-3</v>
      </c>
      <c r="O665">
        <v>-1.0596919999999999E-2</v>
      </c>
      <c r="P665">
        <v>0.97307469999999996</v>
      </c>
      <c r="Q665">
        <v>0.1836776</v>
      </c>
      <c r="R665">
        <v>-0.1392418</v>
      </c>
      <c r="S665">
        <v>3.1432799999999999</v>
      </c>
      <c r="T665">
        <v>0.19380530000000001</v>
      </c>
      <c r="U665">
        <v>0.66189580000000003</v>
      </c>
      <c r="V665">
        <v>0.12881669999999901</v>
      </c>
      <c r="W665">
        <v>0.18832209999999999</v>
      </c>
      <c r="X665">
        <v>0.9736226</v>
      </c>
      <c r="Y665">
        <v>-0.21602959999999999</v>
      </c>
      <c r="Z665">
        <v>-6.7636099999999998E-3</v>
      </c>
      <c r="AA665">
        <v>0.97636339999999999</v>
      </c>
      <c r="AB665">
        <v>33</v>
      </c>
      <c r="AC665">
        <v>3.1432799999999999</v>
      </c>
      <c r="AD665">
        <v>0.19380530000000001</v>
      </c>
      <c r="AE665">
        <v>0.66189580000000003</v>
      </c>
      <c r="AF665">
        <v>-0.69264673247209196</v>
      </c>
      <c r="AG665">
        <v>0.19380530000000001</v>
      </c>
      <c r="AH665">
        <v>3.1247148546012702</v>
      </c>
      <c r="AI665">
        <v>86.534770895661097</v>
      </c>
      <c r="AJ665">
        <v>102.498499158607</v>
      </c>
      <c r="AK665">
        <v>3.2064252545285101</v>
      </c>
      <c r="AL665">
        <v>79.145119532481601</v>
      </c>
      <c r="AM665">
        <v>82.463164081888607</v>
      </c>
      <c r="AN665">
        <v>0.99999996138902902</v>
      </c>
    </row>
    <row r="666" spans="1:40" x14ac:dyDescent="0.25">
      <c r="A666" t="str">
        <f>"20190303170730764"</f>
        <v>20190303170730764</v>
      </c>
      <c r="B666" t="str">
        <f>"1551604050752440"</f>
        <v>1551604050752440</v>
      </c>
      <c r="C666" t="s">
        <v>40</v>
      </c>
      <c r="D666">
        <v>5.0220909999999996</v>
      </c>
      <c r="E666">
        <v>0.36670730000000001</v>
      </c>
      <c r="F666" t="s">
        <v>45</v>
      </c>
      <c r="G666">
        <v>0</v>
      </c>
      <c r="H666">
        <v>0</v>
      </c>
      <c r="I666">
        <v>0</v>
      </c>
      <c r="J666">
        <v>-276.0849</v>
      </c>
      <c r="K666">
        <v>1.1006260000000001</v>
      </c>
      <c r="L666">
        <v>367.45690000000002</v>
      </c>
      <c r="M666">
        <v>0.99993370000000004</v>
      </c>
      <c r="N666">
        <v>-5.1242930000000003E-3</v>
      </c>
      <c r="O666">
        <v>-1.032279E-2</v>
      </c>
      <c r="P666">
        <v>0.97367809999999999</v>
      </c>
      <c r="Q666">
        <v>0.18247350000000001</v>
      </c>
      <c r="R666">
        <v>-0.13658129999999999</v>
      </c>
      <c r="S666">
        <v>3.1427</v>
      </c>
      <c r="T666">
        <v>0.18790860000000001</v>
      </c>
      <c r="U666">
        <v>0.66494750000000002</v>
      </c>
      <c r="V666">
        <v>0.1264149</v>
      </c>
      <c r="W666">
        <v>0.18754000000000001</v>
      </c>
      <c r="X666">
        <v>0.97408830000000002</v>
      </c>
      <c r="Y666">
        <v>-0.2167316</v>
      </c>
      <c r="Z666">
        <v>-6.503483E-3</v>
      </c>
      <c r="AA666">
        <v>0.97620960000000001</v>
      </c>
      <c r="AB666">
        <v>33</v>
      </c>
      <c r="AC666">
        <v>3.1427</v>
      </c>
      <c r="AD666">
        <v>0.18790860000000001</v>
      </c>
      <c r="AE666">
        <v>0.66494750000000002</v>
      </c>
      <c r="AF666">
        <v>-0.69497578525589299</v>
      </c>
      <c r="AG666">
        <v>0.18790860000000001</v>
      </c>
      <c r="AH666">
        <v>3.1249749876390198</v>
      </c>
      <c r="AI666">
        <v>86.640752831297107</v>
      </c>
      <c r="AJ666">
        <v>102.53818805957199</v>
      </c>
      <c r="AK666">
        <v>3.2068317164166098</v>
      </c>
      <c r="AL666">
        <v>79.190743875678905</v>
      </c>
      <c r="AM666">
        <v>82.605615669437896</v>
      </c>
      <c r="AN666">
        <v>0.99999999736945</v>
      </c>
    </row>
    <row r="667" spans="1:40" x14ac:dyDescent="0.25">
      <c r="A667" t="str">
        <f>"20190303170730788"</f>
        <v>20190303170730788</v>
      </c>
      <c r="B667" t="str">
        <f>"1551604050782696"</f>
        <v>1551604050782696</v>
      </c>
      <c r="C667" t="s">
        <v>40</v>
      </c>
      <c r="D667">
        <v>5.0149049999999997</v>
      </c>
      <c r="E667">
        <v>0.36775180000000002</v>
      </c>
      <c r="F667" t="s">
        <v>45</v>
      </c>
      <c r="G667">
        <v>0</v>
      </c>
      <c r="H667">
        <v>0</v>
      </c>
      <c r="I667">
        <v>0</v>
      </c>
      <c r="J667">
        <v>-275.74180000000001</v>
      </c>
      <c r="K667">
        <v>1.1034379999999999</v>
      </c>
      <c r="L667">
        <v>367.45370000000003</v>
      </c>
      <c r="M667">
        <v>0.99993399999999999</v>
      </c>
      <c r="N667">
        <v>-5.7095949999999996E-3</v>
      </c>
      <c r="O667">
        <v>-9.9859409999999999E-3</v>
      </c>
      <c r="P667">
        <v>0.97375769999999995</v>
      </c>
      <c r="Q667">
        <v>0.1837616</v>
      </c>
      <c r="R667">
        <v>-0.13426850000000001</v>
      </c>
      <c r="S667">
        <v>3.1412659999999999</v>
      </c>
      <c r="T667">
        <v>0.1788999</v>
      </c>
      <c r="U667">
        <v>0.66799929999999996</v>
      </c>
      <c r="V667">
        <v>0.12442449999999999</v>
      </c>
      <c r="W667">
        <v>0.1894005</v>
      </c>
      <c r="X667">
        <v>0.97398459999999998</v>
      </c>
      <c r="Y667">
        <v>-0.2174381</v>
      </c>
      <c r="Z667">
        <v>-6.1088679999999999E-3</v>
      </c>
      <c r="AA667">
        <v>0.97605500000000001</v>
      </c>
      <c r="AB667">
        <v>33</v>
      </c>
      <c r="AC667">
        <v>3.1412659999999999</v>
      </c>
      <c r="AD667">
        <v>0.1788999</v>
      </c>
      <c r="AE667">
        <v>0.66799929999999996</v>
      </c>
      <c r="AF667">
        <v>-0.69717156837121297</v>
      </c>
      <c r="AG667">
        <v>0.1788999</v>
      </c>
      <c r="AH667">
        <v>3.1247421214823401</v>
      </c>
      <c r="AI667">
        <v>86.801708193111907</v>
      </c>
      <c r="AJ667">
        <v>102.577451659958</v>
      </c>
      <c r="AK667">
        <v>3.2065661845237399</v>
      </c>
      <c r="AL667">
        <v>79.082199896924905</v>
      </c>
      <c r="AM667">
        <v>82.720014832268703</v>
      </c>
      <c r="AN667">
        <v>1.0000000033188201</v>
      </c>
    </row>
    <row r="668" spans="1:40" x14ac:dyDescent="0.25">
      <c r="A668" t="str">
        <f>"20190303170730812"</f>
        <v>20190303170730812</v>
      </c>
      <c r="B668" t="str">
        <f>"1551604050802724"</f>
        <v>1551604050802724</v>
      </c>
      <c r="C668" t="s">
        <v>40</v>
      </c>
      <c r="D668">
        <v>5.0186310000000001</v>
      </c>
      <c r="E668">
        <v>0.36827209999999999</v>
      </c>
      <c r="F668" t="s">
        <v>45</v>
      </c>
      <c r="G668">
        <v>0</v>
      </c>
      <c r="H668">
        <v>0</v>
      </c>
      <c r="I668">
        <v>0</v>
      </c>
      <c r="J668">
        <v>-275.39960000000002</v>
      </c>
      <c r="K668">
        <v>1.1059749999999999</v>
      </c>
      <c r="L668">
        <v>367.45060000000001</v>
      </c>
      <c r="M668">
        <v>0.99993339999999997</v>
      </c>
      <c r="N668">
        <v>-6.3207019999999897E-3</v>
      </c>
      <c r="O668">
        <v>-9.6499289999999998E-3</v>
      </c>
      <c r="P668">
        <v>0.97377639999999999</v>
      </c>
      <c r="Q668">
        <v>0.1849248</v>
      </c>
      <c r="R668">
        <v>-0.13252340000000001</v>
      </c>
      <c r="S668">
        <v>3.139618</v>
      </c>
      <c r="T668">
        <v>0.17562410000000001</v>
      </c>
      <c r="U668">
        <v>0.66662600000000005</v>
      </c>
      <c r="V668">
        <v>0.1230025</v>
      </c>
      <c r="W668">
        <v>0.1911593</v>
      </c>
      <c r="X668">
        <v>0.97382159999999995</v>
      </c>
      <c r="Y668">
        <v>-0.2168224</v>
      </c>
      <c r="Z668">
        <v>-5.8935139999999999E-3</v>
      </c>
      <c r="AA668">
        <v>0.97619319999999998</v>
      </c>
      <c r="AB668">
        <v>33</v>
      </c>
      <c r="AC668">
        <v>3.139618</v>
      </c>
      <c r="AD668">
        <v>0.17562410000000001</v>
      </c>
      <c r="AE668">
        <v>0.66662600000000005</v>
      </c>
      <c r="AF668">
        <v>-0.69481233131278497</v>
      </c>
      <c r="AG668">
        <v>0.17562410000000001</v>
      </c>
      <c r="AH668">
        <v>3.1236862086533401</v>
      </c>
      <c r="AI668">
        <v>86.858641618131301</v>
      </c>
      <c r="AJ668">
        <v>102.54034067117</v>
      </c>
      <c r="AK668">
        <v>3.2048437606810398</v>
      </c>
      <c r="AL668">
        <v>78.979552660524604</v>
      </c>
      <c r="AM668">
        <v>82.801145350184697</v>
      </c>
      <c r="AN668">
        <v>1.0000000008046499</v>
      </c>
    </row>
    <row r="669" spans="1:40" x14ac:dyDescent="0.25">
      <c r="A669" t="str">
        <f>"20190303170730831"</f>
        <v>20190303170730831</v>
      </c>
      <c r="B669" t="str">
        <f>"1551604050823220"</f>
        <v>1551604050823220</v>
      </c>
      <c r="C669" t="s">
        <v>40</v>
      </c>
      <c r="D669">
        <v>5.0169249999999996</v>
      </c>
      <c r="E669">
        <v>0.368836</v>
      </c>
      <c r="F669" t="s">
        <v>45</v>
      </c>
      <c r="G669">
        <v>0</v>
      </c>
      <c r="H669">
        <v>0</v>
      </c>
      <c r="I669">
        <v>0</v>
      </c>
      <c r="J669">
        <v>-275.11020000000002</v>
      </c>
      <c r="K669">
        <v>1.1079079999999999</v>
      </c>
      <c r="L669">
        <v>367.44810000000001</v>
      </c>
      <c r="M669">
        <v>0.99993270000000001</v>
      </c>
      <c r="N669">
        <v>-6.8330209999999999E-3</v>
      </c>
      <c r="O669">
        <v>-9.3678040000000004E-3</v>
      </c>
      <c r="P669">
        <v>0.9741322</v>
      </c>
      <c r="Q669">
        <v>0.18427089999999999</v>
      </c>
      <c r="R669">
        <v>-0.13080810000000001</v>
      </c>
      <c r="S669">
        <v>3.1384280000000002</v>
      </c>
      <c r="T669">
        <v>0.17492539999999901</v>
      </c>
      <c r="U669">
        <v>0.66775509999999905</v>
      </c>
      <c r="V669">
        <v>0.12155680000000001</v>
      </c>
      <c r="W669">
        <v>0.19100719999999999</v>
      </c>
      <c r="X669">
        <v>0.97403289999999998</v>
      </c>
      <c r="Y669">
        <v>-0.21696380000000001</v>
      </c>
      <c r="Z669">
        <v>-5.804376E-3</v>
      </c>
      <c r="AA669">
        <v>0.97616239999999999</v>
      </c>
      <c r="AB669">
        <v>33</v>
      </c>
      <c r="AC669">
        <v>3.1384280000000002</v>
      </c>
      <c r="AD669">
        <v>0.17492539999999901</v>
      </c>
      <c r="AE669">
        <v>0.66775509999999905</v>
      </c>
      <c r="AF669">
        <v>-0.69506092450186097</v>
      </c>
      <c r="AG669">
        <v>0.17492539999999901</v>
      </c>
      <c r="AH669">
        <v>3.1227538247675799</v>
      </c>
      <c r="AI669">
        <v>86.870278605496495</v>
      </c>
      <c r="AJ669">
        <v>102.548312366776</v>
      </c>
      <c r="AK669">
        <v>3.2039506916360501</v>
      </c>
      <c r="AL669">
        <v>78.988430354546907</v>
      </c>
      <c r="AM669">
        <v>82.886411935638606</v>
      </c>
      <c r="AN669">
        <v>0.99999994818024296</v>
      </c>
    </row>
    <row r="670" spans="1:40" x14ac:dyDescent="0.25">
      <c r="A670" t="str">
        <f>"20190303170730853"</f>
        <v>20190303170730853</v>
      </c>
      <c r="B670" t="str">
        <f>"1551604050842740"</f>
        <v>1551604050842740</v>
      </c>
      <c r="C670" t="s">
        <v>40</v>
      </c>
      <c r="D670">
        <v>5.0600170000000002</v>
      </c>
      <c r="E670">
        <v>0.36939729999999998</v>
      </c>
      <c r="F670" t="s">
        <v>45</v>
      </c>
      <c r="G670">
        <v>0</v>
      </c>
      <c r="H670">
        <v>0</v>
      </c>
      <c r="I670">
        <v>0</v>
      </c>
      <c r="J670">
        <v>-274.7826</v>
      </c>
      <c r="K670">
        <v>1.109845</v>
      </c>
      <c r="L670">
        <v>367.44540000000001</v>
      </c>
      <c r="M670">
        <v>0.99993180000000004</v>
      </c>
      <c r="N670">
        <v>-7.3901629999999999E-3</v>
      </c>
      <c r="O670">
        <v>-9.0501969999999994E-3</v>
      </c>
      <c r="P670">
        <v>0.97480049999999996</v>
      </c>
      <c r="Q670">
        <v>0.18207719999999999</v>
      </c>
      <c r="R670">
        <v>-0.1288869</v>
      </c>
      <c r="S670">
        <v>3.137756</v>
      </c>
      <c r="T670">
        <v>0.16651260000000001</v>
      </c>
      <c r="U670">
        <v>0.66729740000000004</v>
      </c>
      <c r="V670">
        <v>0.1199383</v>
      </c>
      <c r="W670">
        <v>0.18936120000000001</v>
      </c>
      <c r="X670">
        <v>0.97455480000000005</v>
      </c>
      <c r="Y670">
        <v>-0.21659339999999999</v>
      </c>
      <c r="Z670">
        <v>-5.4107799999999996E-3</v>
      </c>
      <c r="AA670">
        <v>0.97624690000000003</v>
      </c>
      <c r="AB670">
        <v>33</v>
      </c>
      <c r="AC670">
        <v>3.137756</v>
      </c>
      <c r="AD670">
        <v>0.16651260000000001</v>
      </c>
      <c r="AE670">
        <v>0.66729740000000004</v>
      </c>
      <c r="AF670">
        <v>-0.69379885502971805</v>
      </c>
      <c r="AG670">
        <v>0.16651260000000001</v>
      </c>
      <c r="AH670">
        <v>3.1231734021188702</v>
      </c>
      <c r="AI670">
        <v>87.020646356099405</v>
      </c>
      <c r="AJ670">
        <v>102.524617562138</v>
      </c>
      <c r="AK670">
        <v>3.2036378379745201</v>
      </c>
      <c r="AL670">
        <v>79.084492630597197</v>
      </c>
      <c r="AM670">
        <v>82.983898221812794</v>
      </c>
      <c r="AN670">
        <v>0.99999995903768402</v>
      </c>
    </row>
    <row r="671" spans="1:40" x14ac:dyDescent="0.25">
      <c r="A671" t="str">
        <f>"20190303170730876"</f>
        <v>20190303170730876</v>
      </c>
      <c r="B671" t="str">
        <f>"1551604050863236"</f>
        <v>1551604050863236</v>
      </c>
      <c r="C671" t="s">
        <v>40</v>
      </c>
      <c r="D671">
        <v>5.0947680000000002</v>
      </c>
      <c r="E671">
        <v>0.36997239999999998</v>
      </c>
      <c r="F671" t="s">
        <v>45</v>
      </c>
      <c r="G671">
        <v>0</v>
      </c>
      <c r="H671">
        <v>0</v>
      </c>
      <c r="I671">
        <v>0</v>
      </c>
      <c r="J671">
        <v>-274.4502</v>
      </c>
      <c r="K671">
        <v>1.1115740000000001</v>
      </c>
      <c r="L671">
        <v>367.4427</v>
      </c>
      <c r="M671">
        <v>0.9999306</v>
      </c>
      <c r="N671">
        <v>-7.9209729999999996E-3</v>
      </c>
      <c r="O671">
        <v>-8.7307469999999901E-3</v>
      </c>
      <c r="P671">
        <v>0.97540899999999997</v>
      </c>
      <c r="Q671">
        <v>0.17997379999999999</v>
      </c>
      <c r="R671">
        <v>-0.12722829999999999</v>
      </c>
      <c r="S671">
        <v>3.137146</v>
      </c>
      <c r="T671">
        <v>0.15374699999999999</v>
      </c>
      <c r="U671">
        <v>0.66818239999999995</v>
      </c>
      <c r="V671">
        <v>0.1185857</v>
      </c>
      <c r="W671">
        <v>0.1877798</v>
      </c>
      <c r="X671">
        <v>0.97502619999999895</v>
      </c>
      <c r="Y671">
        <v>-0.2166285</v>
      </c>
      <c r="Z671">
        <v>-4.8698229999999997E-3</v>
      </c>
      <c r="AA671">
        <v>0.9762419</v>
      </c>
      <c r="AB671">
        <v>33</v>
      </c>
      <c r="AC671">
        <v>3.137146</v>
      </c>
      <c r="AD671">
        <v>0.15374699999999999</v>
      </c>
      <c r="AE671">
        <v>0.66818239999999995</v>
      </c>
      <c r="AF671">
        <v>-0.69395298465530697</v>
      </c>
      <c r="AG671">
        <v>0.15374699999999999</v>
      </c>
      <c r="AH671">
        <v>3.1240147496237798</v>
      </c>
      <c r="AI671">
        <v>87.249425163268498</v>
      </c>
      <c r="AJ671">
        <v>102.524044775851</v>
      </c>
      <c r="AK671">
        <v>3.2038534674338499</v>
      </c>
      <c r="AL671">
        <v>79.176755385161897</v>
      </c>
      <c r="AM671">
        <v>83.065568151200395</v>
      </c>
      <c r="AN671">
        <v>0.999999956109483</v>
      </c>
    </row>
    <row r="672" spans="1:40" x14ac:dyDescent="0.25">
      <c r="A672" t="str">
        <f>"20190303170730899"</f>
        <v>20190303170730899</v>
      </c>
      <c r="B672" t="str">
        <f>"1551604050893023"</f>
        <v>1551604050893023</v>
      </c>
      <c r="C672" t="s">
        <v>40</v>
      </c>
      <c r="D672">
        <v>5.034605</v>
      </c>
      <c r="E672">
        <v>0.37061060000000001</v>
      </c>
      <c r="F672" t="s">
        <v>45</v>
      </c>
      <c r="G672">
        <v>0</v>
      </c>
      <c r="H672">
        <v>0</v>
      </c>
      <c r="I672">
        <v>0</v>
      </c>
      <c r="J672">
        <v>-274.12</v>
      </c>
      <c r="K672">
        <v>1.113073</v>
      </c>
      <c r="L672">
        <v>367.4402</v>
      </c>
      <c r="M672">
        <v>0.99992930000000002</v>
      </c>
      <c r="N672">
        <v>-8.4073359999999996E-3</v>
      </c>
      <c r="O672">
        <v>-8.4157989999999998E-3</v>
      </c>
      <c r="P672">
        <v>0.97552819999999996</v>
      </c>
      <c r="Q672">
        <v>0.18035190000000001</v>
      </c>
      <c r="R672">
        <v>-0.12576889999999999</v>
      </c>
      <c r="S672">
        <v>3.1364139999999998</v>
      </c>
      <c r="T672">
        <v>0.14334910000000001</v>
      </c>
      <c r="U672">
        <v>0.66860959999999903</v>
      </c>
      <c r="V672">
        <v>0.1174311</v>
      </c>
      <c r="W672">
        <v>0.18863260000000001</v>
      </c>
      <c r="X672">
        <v>0.97500140000000002</v>
      </c>
      <c r="Y672">
        <v>-0.21652850000000001</v>
      </c>
      <c r="Z672">
        <v>-4.4202109999999899E-3</v>
      </c>
      <c r="AA672">
        <v>0.97626630000000003</v>
      </c>
      <c r="AB672">
        <v>33</v>
      </c>
      <c r="AC672">
        <v>3.1364139999999998</v>
      </c>
      <c r="AD672">
        <v>0.14334910000000001</v>
      </c>
      <c r="AE672">
        <v>0.66860959999999903</v>
      </c>
      <c r="AF672">
        <v>-0.69359639054215605</v>
      </c>
      <c r="AG672">
        <v>0.14334910000000001</v>
      </c>
      <c r="AH672">
        <v>3.1244328358036002</v>
      </c>
      <c r="AI672">
        <v>87.435453747914096</v>
      </c>
      <c r="AJ672">
        <v>102.516189827465</v>
      </c>
      <c r="AK672">
        <v>3.20370183738931</v>
      </c>
      <c r="AL672">
        <v>79.127005232368901</v>
      </c>
      <c r="AM672">
        <v>83.132263737566404</v>
      </c>
      <c r="AN672">
        <v>1.00000002551596</v>
      </c>
    </row>
    <row r="673" spans="1:40" x14ac:dyDescent="0.25">
      <c r="A673" t="str">
        <f>"20190303170730921"</f>
        <v>20190303170730921</v>
      </c>
      <c r="B673" t="str">
        <f>"1551604050912542"</f>
        <v>1551604050912542</v>
      </c>
      <c r="C673" t="s">
        <v>40</v>
      </c>
      <c r="D673">
        <v>5.0594089999999996</v>
      </c>
      <c r="E673">
        <v>0.3710154</v>
      </c>
      <c r="F673" t="s">
        <v>45</v>
      </c>
      <c r="G673">
        <v>0</v>
      </c>
      <c r="H673">
        <v>0</v>
      </c>
      <c r="I673">
        <v>0</v>
      </c>
      <c r="J673">
        <v>-273.80360000000002</v>
      </c>
      <c r="K673">
        <v>1.1143130000000001</v>
      </c>
      <c r="L673">
        <v>367.43799999999999</v>
      </c>
      <c r="M673">
        <v>0.99992820000000004</v>
      </c>
      <c r="N673">
        <v>-8.8305050000000006E-3</v>
      </c>
      <c r="O673">
        <v>-8.1124109999999999E-3</v>
      </c>
      <c r="P673">
        <v>0.97553069999999997</v>
      </c>
      <c r="Q673">
        <v>0.18113270000000001</v>
      </c>
      <c r="R673">
        <v>-0.124623499999999</v>
      </c>
      <c r="S673">
        <v>3.135345</v>
      </c>
      <c r="T673">
        <v>0.14064170000000001</v>
      </c>
      <c r="U673">
        <v>0.66799929999999996</v>
      </c>
      <c r="V673">
        <v>0.1165808</v>
      </c>
      <c r="W673">
        <v>0.1898252</v>
      </c>
      <c r="X673">
        <v>0.97487190000000001</v>
      </c>
      <c r="Y673">
        <v>-0.2161285</v>
      </c>
      <c r="Z673">
        <v>-4.2566050000000001E-3</v>
      </c>
      <c r="AA673">
        <v>0.97635570000000005</v>
      </c>
      <c r="AB673">
        <v>33</v>
      </c>
      <c r="AC673">
        <v>3.135345</v>
      </c>
      <c r="AD673">
        <v>0.14064170000000001</v>
      </c>
      <c r="AE673">
        <v>0.66799929999999996</v>
      </c>
      <c r="AF673">
        <v>-0.69208141771387599</v>
      </c>
      <c r="AG673">
        <v>0.14064170000000001</v>
      </c>
      <c r="AH673">
        <v>3.1238099163231401</v>
      </c>
      <c r="AI673">
        <v>87.483091612842401</v>
      </c>
      <c r="AJ673">
        <v>102.492122752529</v>
      </c>
      <c r="AK673">
        <v>3.20264658834573</v>
      </c>
      <c r="AL673">
        <v>79.057416256911495</v>
      </c>
      <c r="AM673">
        <v>83.180624845382596</v>
      </c>
      <c r="AN673">
        <v>0.999999955446644</v>
      </c>
    </row>
    <row r="674" spans="1:40" x14ac:dyDescent="0.25">
      <c r="A674" t="str">
        <f>"20190303170730942"</f>
        <v>20190303170730942</v>
      </c>
      <c r="B674" t="str">
        <f>"1551604050933039"</f>
        <v>1551604050933039</v>
      </c>
      <c r="C674" t="s">
        <v>40</v>
      </c>
      <c r="D674">
        <v>4.9842250000000003</v>
      </c>
      <c r="E674">
        <v>0.37089230000000001</v>
      </c>
      <c r="F674" t="s">
        <v>45</v>
      </c>
      <c r="G674">
        <v>0</v>
      </c>
      <c r="H674">
        <v>0</v>
      </c>
      <c r="I674">
        <v>0</v>
      </c>
      <c r="J674">
        <v>-273.48669999999998</v>
      </c>
      <c r="K674">
        <v>1.1153850000000001</v>
      </c>
      <c r="L674">
        <v>367.43579999999997</v>
      </c>
      <c r="M674">
        <v>0.99992720000000002</v>
      </c>
      <c r="N674">
        <v>-9.2145270000000001E-3</v>
      </c>
      <c r="O674">
        <v>-7.8036149999999999E-3</v>
      </c>
      <c r="P674">
        <v>0.97578469999999995</v>
      </c>
      <c r="Q674">
        <v>0.1803632</v>
      </c>
      <c r="R674">
        <v>-0.12374979999999999</v>
      </c>
      <c r="S674">
        <v>3.1344910000000001</v>
      </c>
      <c r="T674">
        <v>0.14084679999999999</v>
      </c>
      <c r="U674">
        <v>0.66842650000000003</v>
      </c>
      <c r="V674">
        <v>0.1160079</v>
      </c>
      <c r="W674">
        <v>0.18943099999999999</v>
      </c>
      <c r="X674">
        <v>0.97501700000000002</v>
      </c>
      <c r="Y674">
        <v>-0.21601000000000001</v>
      </c>
      <c r="Z674">
        <v>-4.2078860000000001E-3</v>
      </c>
      <c r="AA674">
        <v>0.97638210000000003</v>
      </c>
      <c r="AB674">
        <v>33</v>
      </c>
      <c r="AC674">
        <v>3.1344910000000001</v>
      </c>
      <c r="AD674">
        <v>0.14084679999999999</v>
      </c>
      <c r="AE674">
        <v>0.66842650000000003</v>
      </c>
      <c r="AF674">
        <v>-0.69153199753032202</v>
      </c>
      <c r="AG674">
        <v>0.14084679999999999</v>
      </c>
      <c r="AH674">
        <v>3.12314750074388</v>
      </c>
      <c r="AI674">
        <v>87.478823437297905</v>
      </c>
      <c r="AJ674">
        <v>102.485081145153</v>
      </c>
      <c r="AK674">
        <v>3.2018907907799101</v>
      </c>
      <c r="AL674">
        <v>79.080420600650697</v>
      </c>
      <c r="AM674">
        <v>83.214823737092502</v>
      </c>
      <c r="AN674">
        <v>1.0000000434562</v>
      </c>
    </row>
    <row r="675" spans="1:40" x14ac:dyDescent="0.25">
      <c r="A675" t="str">
        <f>"20190303170730965"</f>
        <v>20190303170730965</v>
      </c>
      <c r="B675" t="str">
        <f>"1551604050952559"</f>
        <v>1551604050952559</v>
      </c>
      <c r="C675" t="s">
        <v>40</v>
      </c>
      <c r="D675">
        <v>5.0938889999999999</v>
      </c>
      <c r="E675">
        <v>0.35550479999999901</v>
      </c>
      <c r="F675" t="s">
        <v>45</v>
      </c>
      <c r="G675">
        <v>0</v>
      </c>
      <c r="H675">
        <v>0</v>
      </c>
      <c r="I675">
        <v>0</v>
      </c>
      <c r="J675">
        <v>-273.161</v>
      </c>
      <c r="K675">
        <v>1.1163240000000001</v>
      </c>
      <c r="L675">
        <v>367.43360000000001</v>
      </c>
      <c r="M675">
        <v>0.99992630000000005</v>
      </c>
      <c r="N675">
        <v>-9.5715320000000007E-3</v>
      </c>
      <c r="O675">
        <v>-7.4807290000000002E-3</v>
      </c>
      <c r="P675">
        <v>0.97626259999999998</v>
      </c>
      <c r="Q675">
        <v>0.17853759999999999</v>
      </c>
      <c r="R675">
        <v>-0.1226231</v>
      </c>
      <c r="S675">
        <v>3.134064</v>
      </c>
      <c r="T675">
        <v>0.13870080000000001</v>
      </c>
      <c r="U675">
        <v>0.67202759999999995</v>
      </c>
      <c r="V675">
        <v>0.1151958</v>
      </c>
      <c r="W675">
        <v>0.18795590000000001</v>
      </c>
      <c r="X675">
        <v>0.97539869999999995</v>
      </c>
      <c r="Y675">
        <v>-0.21680199999999999</v>
      </c>
      <c r="Z675">
        <v>-4.0896029999999998E-3</v>
      </c>
      <c r="AA675">
        <v>0.97620700000000005</v>
      </c>
      <c r="AB675">
        <v>33</v>
      </c>
      <c r="AC675">
        <v>3.134064</v>
      </c>
      <c r="AD675">
        <v>0.13870080000000001</v>
      </c>
      <c r="AE675">
        <v>0.67202759999999995</v>
      </c>
      <c r="AF675">
        <v>-0.69415515167229003</v>
      </c>
      <c r="AG675">
        <v>0.13870080000000001</v>
      </c>
      <c r="AH675">
        <v>3.1231008392274799</v>
      </c>
      <c r="AI675">
        <v>87.517593708113296</v>
      </c>
      <c r="AJ675">
        <v>102.531128362601</v>
      </c>
      <c r="AK675">
        <v>3.20231918123369</v>
      </c>
      <c r="AL675">
        <v>79.166483806162105</v>
      </c>
      <c r="AM675">
        <v>83.264496906532202</v>
      </c>
      <c r="AN675">
        <v>1.0000000583220601</v>
      </c>
    </row>
    <row r="676" spans="1:40" x14ac:dyDescent="0.25">
      <c r="A676" t="str">
        <f>"20190303170730988"</f>
        <v>20190303170730988</v>
      </c>
      <c r="B676" t="str">
        <f>"1551604050982815"</f>
        <v>1551604050982815</v>
      </c>
      <c r="C676" t="s">
        <v>40</v>
      </c>
      <c r="D676">
        <v>5.0830989999999998</v>
      </c>
      <c r="E676">
        <v>0.3577977</v>
      </c>
      <c r="F676" t="s">
        <v>50</v>
      </c>
      <c r="G676">
        <v>-183.65710000000001</v>
      </c>
      <c r="H676">
        <v>5.8984220000000001</v>
      </c>
      <c r="I676">
        <v>390.11860000000001</v>
      </c>
      <c r="J676">
        <v>-272.8218</v>
      </c>
      <c r="K676">
        <v>1.1171580000000001</v>
      </c>
      <c r="L676">
        <v>367.4314</v>
      </c>
      <c r="M676">
        <v>0.99992550000000002</v>
      </c>
      <c r="N676">
        <v>-9.9064540000000003E-3</v>
      </c>
      <c r="O676">
        <v>-7.1420659999999999E-3</v>
      </c>
      <c r="P676">
        <v>0.97655630000000004</v>
      </c>
      <c r="Q676">
        <v>0.1780669</v>
      </c>
      <c r="R676">
        <v>-0.12095599999999999</v>
      </c>
      <c r="S676">
        <v>3.1422729999999999</v>
      </c>
      <c r="T676">
        <v>0.16788829999999999</v>
      </c>
      <c r="U676">
        <v>0.79641719999999905</v>
      </c>
      <c r="V676">
        <v>0.1138595</v>
      </c>
      <c r="W676">
        <v>0.18781210000000001</v>
      </c>
      <c r="X676">
        <v>0.97558319999999998</v>
      </c>
      <c r="Y676">
        <v>-0.25231530000000002</v>
      </c>
      <c r="Z676">
        <v>-5.8061819999999896E-3</v>
      </c>
      <c r="AA676">
        <v>0.96762760000000003</v>
      </c>
      <c r="AB676">
        <v>33</v>
      </c>
      <c r="AC676">
        <v>89.164699999999897</v>
      </c>
      <c r="AD676">
        <v>4.7812640000000002</v>
      </c>
      <c r="AE676">
        <v>22.687200000000001</v>
      </c>
      <c r="AF676">
        <v>-23.260655605262301</v>
      </c>
      <c r="AG676">
        <v>4.7812640000000002</v>
      </c>
      <c r="AH676">
        <v>88.760679607504102</v>
      </c>
      <c r="AI676">
        <v>87.017165319624596</v>
      </c>
      <c r="AJ676">
        <v>104.684735635368</v>
      </c>
      <c r="AK676">
        <v>91.882407614354094</v>
      </c>
      <c r="AL676">
        <v>79.174871419417101</v>
      </c>
      <c r="AM676">
        <v>83.343172726517196</v>
      </c>
      <c r="AN676">
        <v>0.99999997538444896</v>
      </c>
    </row>
    <row r="677" spans="1:40" x14ac:dyDescent="0.25">
      <c r="A677" t="str">
        <f>"20190303170731011"</f>
        <v>20190303170731011</v>
      </c>
      <c r="B677" t="str">
        <f>"1551604051002843"</f>
        <v>1551604051002843</v>
      </c>
      <c r="C677" t="s">
        <v>40</v>
      </c>
      <c r="D677">
        <v>5.0887260000000003</v>
      </c>
      <c r="E677">
        <v>0.35834050000000001</v>
      </c>
      <c r="F677" t="s">
        <v>50</v>
      </c>
      <c r="G677">
        <v>-177.44550000000001</v>
      </c>
      <c r="H677">
        <v>5.3036750000000001</v>
      </c>
      <c r="I677">
        <v>391.2516</v>
      </c>
      <c r="J677">
        <v>-272.49279999999999</v>
      </c>
      <c r="K677">
        <v>1.117848</v>
      </c>
      <c r="L677">
        <v>367.42939999999999</v>
      </c>
      <c r="M677">
        <v>0.99992490000000001</v>
      </c>
      <c r="N677">
        <v>-1.019433E-2</v>
      </c>
      <c r="O677">
        <v>-6.8153669999999897E-3</v>
      </c>
      <c r="P677">
        <v>0.97655650000000005</v>
      </c>
      <c r="Q677">
        <v>0.17907590000000001</v>
      </c>
      <c r="R677">
        <v>-0.1194548</v>
      </c>
      <c r="S677">
        <v>3.1441349999999999</v>
      </c>
      <c r="T677">
        <v>0.13801089999999999</v>
      </c>
      <c r="U677">
        <v>0.78524780000000005</v>
      </c>
      <c r="V677">
        <v>0.112677399999999</v>
      </c>
      <c r="W677">
        <v>0.1891004</v>
      </c>
      <c r="X677">
        <v>0.97547159999999999</v>
      </c>
      <c r="Y677">
        <v>-0.24873410000000001</v>
      </c>
      <c r="Z677">
        <v>-4.4494629999999999E-3</v>
      </c>
      <c r="AA677">
        <v>0.96856160000000002</v>
      </c>
      <c r="AB677">
        <v>33</v>
      </c>
      <c r="AC677">
        <v>95.047299999999893</v>
      </c>
      <c r="AD677">
        <v>4.1858269999999997</v>
      </c>
      <c r="AE677">
        <v>23.822199999999999</v>
      </c>
      <c r="AF677">
        <v>-24.4248910665799</v>
      </c>
      <c r="AG677">
        <v>4.1858269999999997</v>
      </c>
      <c r="AH677">
        <v>94.709896726955705</v>
      </c>
      <c r="AI677">
        <v>87.549461454474297</v>
      </c>
      <c r="AJ677">
        <v>104.461007371873</v>
      </c>
      <c r="AK677">
        <v>97.898217498169203</v>
      </c>
      <c r="AL677">
        <v>79.099710766817907</v>
      </c>
      <c r="AM677">
        <v>83.410926672089602</v>
      </c>
      <c r="AN677">
        <v>1.0000000000787399</v>
      </c>
    </row>
    <row r="678" spans="1:40" x14ac:dyDescent="0.25">
      <c r="A678" t="str">
        <f>"20190303170731034"</f>
        <v>20190303170731034</v>
      </c>
      <c r="B678" t="str">
        <f>"1551604051023340"</f>
        <v>1551604051023340</v>
      </c>
      <c r="C678" t="s">
        <v>40</v>
      </c>
      <c r="D678">
        <v>5.055434</v>
      </c>
      <c r="E678">
        <v>0.35851</v>
      </c>
      <c r="F678" t="s">
        <v>50</v>
      </c>
      <c r="G678">
        <v>-177.44550000000001</v>
      </c>
      <c r="H678">
        <v>5.2367059999999999</v>
      </c>
      <c r="I678">
        <v>391.21640000000002</v>
      </c>
      <c r="J678">
        <v>-272.17149999999998</v>
      </c>
      <c r="K678">
        <v>1.118417</v>
      </c>
      <c r="L678">
        <v>367.42759999999998</v>
      </c>
      <c r="M678">
        <v>0.99992440000000005</v>
      </c>
      <c r="N678">
        <v>-1.0445609999999999E-2</v>
      </c>
      <c r="O678">
        <v>-6.4987700000000001E-3</v>
      </c>
      <c r="P678">
        <v>0.97642309999999999</v>
      </c>
      <c r="Q678">
        <v>0.1806265</v>
      </c>
      <c r="R678">
        <v>-0.1182043</v>
      </c>
      <c r="S678">
        <v>3.1432799999999999</v>
      </c>
      <c r="T678">
        <v>0.13621340000000001</v>
      </c>
      <c r="U678">
        <v>0.78665160000000001</v>
      </c>
      <c r="V678">
        <v>0.1117359</v>
      </c>
      <c r="W678">
        <v>0.19089439999999999</v>
      </c>
      <c r="X678">
        <v>0.9752305</v>
      </c>
      <c r="Y678">
        <v>-0.24890329999999999</v>
      </c>
      <c r="Z678">
        <v>-4.3327089999999997E-3</v>
      </c>
      <c r="AA678">
        <v>0.96851869999999995</v>
      </c>
      <c r="AB678">
        <v>33</v>
      </c>
      <c r="AC678">
        <v>94.7259999999999</v>
      </c>
      <c r="AD678">
        <v>4.1182889999999999</v>
      </c>
      <c r="AE678">
        <v>23.788799999999998</v>
      </c>
      <c r="AF678">
        <v>-24.360620179423201</v>
      </c>
      <c r="AG678">
        <v>4.1182889999999999</v>
      </c>
      <c r="AH678">
        <v>94.401546121593995</v>
      </c>
      <c r="AI678">
        <v>87.581182031446104</v>
      </c>
      <c r="AJ678">
        <v>104.469685713324</v>
      </c>
      <c r="AK678">
        <v>97.581002402932398</v>
      </c>
      <c r="AL678">
        <v>78.995015667302994</v>
      </c>
      <c r="AM678">
        <v>83.463903420478402</v>
      </c>
      <c r="AN678">
        <v>1.0000000557152</v>
      </c>
    </row>
    <row r="679" spans="1:40" x14ac:dyDescent="0.25">
      <c r="A679" t="str">
        <f>"20190303170731054"</f>
        <v>20190303170731054</v>
      </c>
      <c r="B679" t="str">
        <f>"1551604051042860"</f>
        <v>1551604051042860</v>
      </c>
      <c r="C679" t="s">
        <v>40</v>
      </c>
      <c r="D679">
        <v>5.0612190000000004</v>
      </c>
      <c r="E679">
        <v>0.35842780000000002</v>
      </c>
      <c r="F679" t="s">
        <v>50</v>
      </c>
      <c r="G679">
        <v>-177.44550000000001</v>
      </c>
      <c r="H679">
        <v>5.322908</v>
      </c>
      <c r="I679">
        <v>391.23790000000002</v>
      </c>
      <c r="J679">
        <v>-271.8623</v>
      </c>
      <c r="K679">
        <v>1.1188819999999999</v>
      </c>
      <c r="L679">
        <v>367.42590000000001</v>
      </c>
      <c r="M679">
        <v>0.99992400000000004</v>
      </c>
      <c r="N679">
        <v>-1.0662639999999999E-2</v>
      </c>
      <c r="O679">
        <v>-6.1954949999999996E-3</v>
      </c>
      <c r="P679">
        <v>0.97634580000000004</v>
      </c>
      <c r="Q679">
        <v>0.18150649999999999</v>
      </c>
      <c r="R679">
        <v>-0.1174931</v>
      </c>
      <c r="S679">
        <v>3.1422119999999998</v>
      </c>
      <c r="T679">
        <v>0.1394695</v>
      </c>
      <c r="U679">
        <v>0.78982540000000001</v>
      </c>
      <c r="V679">
        <v>0.1113205</v>
      </c>
      <c r="W679">
        <v>0.1919844</v>
      </c>
      <c r="X679">
        <v>0.97506400000000004</v>
      </c>
      <c r="Y679">
        <v>-0.24959870000000001</v>
      </c>
      <c r="Z679">
        <v>-4.4360509999999999E-3</v>
      </c>
      <c r="AA679">
        <v>0.96833919999999996</v>
      </c>
      <c r="AB679">
        <v>33</v>
      </c>
      <c r="AC679">
        <v>94.416799999999995</v>
      </c>
      <c r="AD679">
        <v>4.2040259999999998</v>
      </c>
      <c r="AE679">
        <v>23.812000000000001</v>
      </c>
      <c r="AF679">
        <v>-24.351143843338399</v>
      </c>
      <c r="AG679">
        <v>4.2040259999999998</v>
      </c>
      <c r="AH679">
        <v>94.092062252292095</v>
      </c>
      <c r="AI679">
        <v>87.523224432264101</v>
      </c>
      <c r="AJ679">
        <v>104.50986341719501</v>
      </c>
      <c r="AK679">
        <v>97.282928718130407</v>
      </c>
      <c r="AL679">
        <v>78.931386163285893</v>
      </c>
      <c r="AM679">
        <v>83.486891107039</v>
      </c>
      <c r="AN679">
        <v>1.0000000338298001</v>
      </c>
    </row>
    <row r="680" spans="1:40" x14ac:dyDescent="0.25">
      <c r="A680" t="str">
        <f>"20190303170731078"</f>
        <v>20190303170731078</v>
      </c>
      <c r="B680" t="str">
        <f>"1551604051073115"</f>
        <v>1551604051073115</v>
      </c>
      <c r="C680" t="s">
        <v>40</v>
      </c>
      <c r="D680">
        <v>5.0634550000000003</v>
      </c>
      <c r="E680">
        <v>0.35856189999999999</v>
      </c>
      <c r="F680" t="s">
        <v>50</v>
      </c>
      <c r="G680">
        <v>-177.44550000000001</v>
      </c>
      <c r="H680">
        <v>5.4058929999999998</v>
      </c>
      <c r="I680">
        <v>391.27460000000002</v>
      </c>
      <c r="J680">
        <v>-271.51229999999998</v>
      </c>
      <c r="K680">
        <v>1.1193</v>
      </c>
      <c r="L680">
        <v>367.42419999999998</v>
      </c>
      <c r="M680">
        <v>0.99992369999999997</v>
      </c>
      <c r="N680">
        <v>-1.088122E-2</v>
      </c>
      <c r="O680">
        <v>-5.851958E-3</v>
      </c>
      <c r="P680">
        <v>0.97649680000000005</v>
      </c>
      <c r="Q680">
        <v>0.1807957</v>
      </c>
      <c r="R680">
        <v>-0.1173338</v>
      </c>
      <c r="S680">
        <v>3.1416629999999999</v>
      </c>
      <c r="T680">
        <v>0.14264760000000001</v>
      </c>
      <c r="U680">
        <v>0.79354859999999905</v>
      </c>
      <c r="V680">
        <v>0.1114957</v>
      </c>
      <c r="W680">
        <v>0.19148879999999999</v>
      </c>
      <c r="X680">
        <v>0.97514140000000005</v>
      </c>
      <c r="Y680">
        <v>-0.2503765</v>
      </c>
      <c r="Z680">
        <v>-4.5339250000000003E-3</v>
      </c>
      <c r="AA680">
        <v>0.9681379</v>
      </c>
      <c r="AB680">
        <v>33</v>
      </c>
      <c r="AC680">
        <v>94.066799999999901</v>
      </c>
      <c r="AD680">
        <v>4.2865929999999999</v>
      </c>
      <c r="AE680">
        <v>23.8504</v>
      </c>
      <c r="AF680">
        <v>-24.352982495973801</v>
      </c>
      <c r="AG680">
        <v>4.2865929999999999</v>
      </c>
      <c r="AH680">
        <v>93.7427021416012</v>
      </c>
      <c r="AI680">
        <v>87.465848922894907</v>
      </c>
      <c r="AJ680">
        <v>104.562696831842</v>
      </c>
      <c r="AK680">
        <v>96.949145642474903</v>
      </c>
      <c r="AL680">
        <v>78.960318385069101</v>
      </c>
      <c r="AM680">
        <v>83.477242147504597</v>
      </c>
      <c r="AN680">
        <v>1.00000000081894</v>
      </c>
    </row>
    <row r="681" spans="1:40" x14ac:dyDescent="0.25">
      <c r="A681" t="str">
        <f>"20190303170731099"</f>
        <v>20190303170731099</v>
      </c>
      <c r="B681" t="str">
        <f>"1551604051093142"</f>
        <v>1551604051093142</v>
      </c>
      <c r="C681" t="s">
        <v>40</v>
      </c>
      <c r="D681">
        <v>5.0427850000000003</v>
      </c>
      <c r="E681">
        <v>0.35845310000000002</v>
      </c>
      <c r="F681" t="s">
        <v>50</v>
      </c>
      <c r="G681">
        <v>-177.44550000000001</v>
      </c>
      <c r="H681">
        <v>5.3102229999999997</v>
      </c>
      <c r="I681">
        <v>391.19349999999997</v>
      </c>
      <c r="J681">
        <v>-271.19600000000003</v>
      </c>
      <c r="K681">
        <v>1.1196170000000001</v>
      </c>
      <c r="L681">
        <v>367.42259999999999</v>
      </c>
      <c r="M681">
        <v>0.99992360000000002</v>
      </c>
      <c r="N681">
        <v>-1.1057000000000001E-2</v>
      </c>
      <c r="O681">
        <v>-5.5406509999999997E-3</v>
      </c>
      <c r="P681">
        <v>0.97689599999999999</v>
      </c>
      <c r="Q681">
        <v>0.17839829999999901</v>
      </c>
      <c r="R681">
        <v>-0.1176787</v>
      </c>
      <c r="S681">
        <v>3.1416629999999999</v>
      </c>
      <c r="T681">
        <v>0.13996919999999999</v>
      </c>
      <c r="U681">
        <v>0.79385380000000005</v>
      </c>
      <c r="V681">
        <v>0.1121437</v>
      </c>
      <c r="W681">
        <v>0.18926760000000001</v>
      </c>
      <c r="X681">
        <v>0.9755007</v>
      </c>
      <c r="Y681">
        <v>-0.25017319999999998</v>
      </c>
      <c r="Z681">
        <v>-4.3823380000000004E-3</v>
      </c>
      <c r="AA681">
        <v>0.96819120000000003</v>
      </c>
      <c r="AB681">
        <v>33</v>
      </c>
      <c r="AC681">
        <v>93.750499999999903</v>
      </c>
      <c r="AD681">
        <v>4.1906059999999998</v>
      </c>
      <c r="AE681">
        <v>23.770899999999902</v>
      </c>
      <c r="AF681">
        <v>-24.244490078338501</v>
      </c>
      <c r="AG681">
        <v>4.1906059999999998</v>
      </c>
      <c r="AH681">
        <v>93.441922814778806</v>
      </c>
      <c r="AI681">
        <v>87.514362187782197</v>
      </c>
      <c r="AJ681">
        <v>104.545259785082</v>
      </c>
      <c r="AK681">
        <v>96.6268566037878</v>
      </c>
      <c r="AL681">
        <v>79.089955007475197</v>
      </c>
      <c r="AM681">
        <v>83.442057438772494</v>
      </c>
      <c r="AN681">
        <v>1.0000000247799601</v>
      </c>
    </row>
    <row r="682" spans="1:40" x14ac:dyDescent="0.25">
      <c r="A682" t="str">
        <f>"20190303170731121"</f>
        <v>20190303170731121</v>
      </c>
      <c r="B682" t="str">
        <f>"1551604051112662"</f>
        <v>1551604051112662</v>
      </c>
      <c r="C682" t="s">
        <v>40</v>
      </c>
      <c r="D682">
        <v>5.0337509999999996</v>
      </c>
      <c r="E682">
        <v>0.35825489999999999</v>
      </c>
      <c r="F682" t="s">
        <v>50</v>
      </c>
      <c r="G682">
        <v>-177.44560000000001</v>
      </c>
      <c r="H682">
        <v>5.0619430000000003</v>
      </c>
      <c r="I682">
        <v>391.1062</v>
      </c>
      <c r="J682">
        <v>-270.88749999999999</v>
      </c>
      <c r="K682">
        <v>1.119882</v>
      </c>
      <c r="L682">
        <v>367.42129999999997</v>
      </c>
      <c r="M682">
        <v>0.99992349999999997</v>
      </c>
      <c r="N682">
        <v>-1.121022E-2</v>
      </c>
      <c r="O682">
        <v>-5.2363959999999999E-3</v>
      </c>
      <c r="P682">
        <v>0.97717030000000005</v>
      </c>
      <c r="Q682">
        <v>0.17633379999999901</v>
      </c>
      <c r="R682">
        <v>-0.11851150000000001</v>
      </c>
      <c r="S682">
        <v>3.1424259999999999</v>
      </c>
      <c r="T682">
        <v>0.13214300000000001</v>
      </c>
      <c r="U682">
        <v>0.79385380000000005</v>
      </c>
      <c r="V682">
        <v>0.1132732</v>
      </c>
      <c r="W682">
        <v>0.18735589999999999</v>
      </c>
      <c r="X682">
        <v>0.97573920000000003</v>
      </c>
      <c r="Y682">
        <v>-0.24984680000000001</v>
      </c>
      <c r="Z682">
        <v>-4.021719E-3</v>
      </c>
      <c r="AA682">
        <v>0.96827700000000005</v>
      </c>
      <c r="AB682">
        <v>33</v>
      </c>
      <c r="AC682">
        <v>93.441899999999904</v>
      </c>
      <c r="AD682">
        <v>3.9420609999999998</v>
      </c>
      <c r="AE682">
        <v>23.684899999999999</v>
      </c>
      <c r="AF682">
        <v>-24.133545639485501</v>
      </c>
      <c r="AG682">
        <v>3.9420609999999998</v>
      </c>
      <c r="AH682">
        <v>93.160792386801802</v>
      </c>
      <c r="AI682">
        <v>87.654335839047107</v>
      </c>
      <c r="AJ682">
        <v>104.523359660068</v>
      </c>
      <c r="AK682">
        <v>96.316670977550103</v>
      </c>
      <c r="AL682">
        <v>79.201482607339202</v>
      </c>
      <c r="AM682">
        <v>83.378195074793695</v>
      </c>
      <c r="AN682">
        <v>1.0000000187598399</v>
      </c>
    </row>
    <row r="683" spans="1:40" x14ac:dyDescent="0.25">
      <c r="A683" t="str">
        <f>"20190303170731138"</f>
        <v>20190303170731138</v>
      </c>
      <c r="B683" t="str">
        <f>"1551604051133159"</f>
        <v>1551604051133159</v>
      </c>
      <c r="C683" t="s">
        <v>40</v>
      </c>
      <c r="D683">
        <v>5.0286920000000004</v>
      </c>
      <c r="E683">
        <v>0.35801860000000002</v>
      </c>
      <c r="F683" t="s">
        <v>50</v>
      </c>
      <c r="G683">
        <v>-177.3999</v>
      </c>
      <c r="H683">
        <v>4.8749960000000003</v>
      </c>
      <c r="I683">
        <v>391.00349999999997</v>
      </c>
      <c r="J683">
        <v>-270.6601</v>
      </c>
      <c r="K683">
        <v>1.120052</v>
      </c>
      <c r="L683">
        <v>367.4203</v>
      </c>
      <c r="M683">
        <v>0.99992349999999997</v>
      </c>
      <c r="N683">
        <v>-1.1312330000000001E-2</v>
      </c>
      <c r="O683">
        <v>-5.0122270000000002E-3</v>
      </c>
      <c r="P683">
        <v>0.97720969999999996</v>
      </c>
      <c r="Q683">
        <v>0.1757735</v>
      </c>
      <c r="R683">
        <v>-0.1190171</v>
      </c>
      <c r="S683">
        <v>3.1434630000000001</v>
      </c>
      <c r="T683">
        <v>0.12626329999999999</v>
      </c>
      <c r="U683">
        <v>0.79293819999999904</v>
      </c>
      <c r="V683">
        <v>0.1139979</v>
      </c>
      <c r="W683">
        <v>0.18689600000000001</v>
      </c>
      <c r="X683">
        <v>0.97574300000000003</v>
      </c>
      <c r="Y683">
        <v>-0.24930579999999999</v>
      </c>
      <c r="Z683">
        <v>-3.749502E-3</v>
      </c>
      <c r="AA683">
        <v>0.96841759999999999</v>
      </c>
      <c r="AB683">
        <v>33</v>
      </c>
      <c r="AC683">
        <v>93.260199999999998</v>
      </c>
      <c r="AD683">
        <v>3.7549440000000001</v>
      </c>
      <c r="AE683">
        <v>23.583199999999898</v>
      </c>
      <c r="AF683">
        <v>-24.0137855055359</v>
      </c>
      <c r="AG683">
        <v>3.7549440000000001</v>
      </c>
      <c r="AH683">
        <v>92.999115277485501</v>
      </c>
      <c r="AI683">
        <v>87.761226792107706</v>
      </c>
      <c r="AJ683">
        <v>104.478388488988</v>
      </c>
      <c r="AK683">
        <v>96.122822165935503</v>
      </c>
      <c r="AL683">
        <v>79.228306762802106</v>
      </c>
      <c r="AM683">
        <v>83.336235585741903</v>
      </c>
      <c r="AN683">
        <v>1.0000000190347</v>
      </c>
    </row>
    <row r="684" spans="1:40" x14ac:dyDescent="0.25">
      <c r="A684" t="str">
        <f>"20190303170731155"</f>
        <v>20190303170731155</v>
      </c>
      <c r="B684" t="str">
        <f>"1551604051142918"</f>
        <v>1551604051142918</v>
      </c>
      <c r="C684" t="s">
        <v>40</v>
      </c>
      <c r="D684">
        <v>5.0336689999999997</v>
      </c>
      <c r="E684">
        <v>0.35787160000000001</v>
      </c>
      <c r="F684" t="s">
        <v>50</v>
      </c>
      <c r="G684">
        <v>-177.18289999999999</v>
      </c>
      <c r="H684">
        <v>4.8433460000000004</v>
      </c>
      <c r="I684">
        <v>391.00349999999997</v>
      </c>
      <c r="J684">
        <v>-270.40050000000002</v>
      </c>
      <c r="K684">
        <v>1.1202190000000001</v>
      </c>
      <c r="L684">
        <v>367.41930000000002</v>
      </c>
      <c r="M684">
        <v>0.99992360000000002</v>
      </c>
      <c r="N684">
        <v>-1.1418970000000001E-2</v>
      </c>
      <c r="O684">
        <v>-4.75626E-3</v>
      </c>
      <c r="P684">
        <v>0.97707659999999996</v>
      </c>
      <c r="Q684">
        <v>0.175518799999999</v>
      </c>
      <c r="R684">
        <v>-0.12047819999999999</v>
      </c>
      <c r="S684">
        <v>3.1440730000000001</v>
      </c>
      <c r="T684">
        <v>0.1252315</v>
      </c>
      <c r="U684">
        <v>0.7932129</v>
      </c>
      <c r="V684">
        <v>0.1157098</v>
      </c>
      <c r="W684">
        <v>0.1867451</v>
      </c>
      <c r="X684">
        <v>0.9755703</v>
      </c>
      <c r="Y684">
        <v>-0.2490965</v>
      </c>
      <c r="Z684">
        <v>-3.6778639999999999E-3</v>
      </c>
      <c r="AA684">
        <v>0.96847169999999905</v>
      </c>
      <c r="AB684">
        <v>33</v>
      </c>
      <c r="AC684">
        <v>93.217600000000004</v>
      </c>
      <c r="AD684">
        <v>3.7231269999999999</v>
      </c>
      <c r="AE684">
        <v>23.5841999999999</v>
      </c>
      <c r="AF684">
        <v>-23.991360143042201</v>
      </c>
      <c r="AG684">
        <v>3.7231269999999999</v>
      </c>
      <c r="AH684">
        <v>92.964987767151101</v>
      </c>
      <c r="AI684">
        <v>87.779284967626495</v>
      </c>
      <c r="AJ684">
        <v>104.47052266648799</v>
      </c>
      <c r="AK684">
        <v>96.082964081661402</v>
      </c>
      <c r="AL684">
        <v>79.237106894055401</v>
      </c>
      <c r="AM684">
        <v>83.235900223181005</v>
      </c>
      <c r="AN684">
        <v>0.99999995021606802</v>
      </c>
    </row>
    <row r="685" spans="1:40" x14ac:dyDescent="0.25">
      <c r="A685" t="str">
        <f>"20190303170731179"</f>
        <v>20190303170731179</v>
      </c>
      <c r="B685" t="str">
        <f>"1551604051173175"</f>
        <v>1551604051173175</v>
      </c>
      <c r="C685" t="s">
        <v>40</v>
      </c>
      <c r="D685">
        <v>5.020543</v>
      </c>
      <c r="E685">
        <v>0.35746090000000003</v>
      </c>
      <c r="F685" t="s">
        <v>50</v>
      </c>
      <c r="G685">
        <v>-176.5497</v>
      </c>
      <c r="H685">
        <v>4.8811929999999997</v>
      </c>
      <c r="I685">
        <v>391.00349999999997</v>
      </c>
      <c r="J685">
        <v>-270.06049999999999</v>
      </c>
      <c r="K685">
        <v>1.1204050000000001</v>
      </c>
      <c r="L685">
        <v>367.41800000000001</v>
      </c>
      <c r="M685">
        <v>0.99992360000000002</v>
      </c>
      <c r="N685">
        <v>-1.154322E-2</v>
      </c>
      <c r="O685">
        <v>-4.4206439999999996E-3</v>
      </c>
      <c r="P685">
        <v>0.97684899999999997</v>
      </c>
      <c r="Q685">
        <v>0.1751926</v>
      </c>
      <c r="R685">
        <v>-0.1227746</v>
      </c>
      <c r="S685">
        <v>3.145203</v>
      </c>
      <c r="T685">
        <v>0.12604070000000001</v>
      </c>
      <c r="U685">
        <v>0.79037480000000004</v>
      </c>
      <c r="V685">
        <v>0.1183352</v>
      </c>
      <c r="W685">
        <v>0.1865385</v>
      </c>
      <c r="X685">
        <v>0.97529489999999996</v>
      </c>
      <c r="Y685">
        <v>-0.24786659999999999</v>
      </c>
      <c r="Z685">
        <v>-3.6603009999999999E-3</v>
      </c>
      <c r="AA685">
        <v>0.96878730000000002</v>
      </c>
      <c r="AB685">
        <v>32</v>
      </c>
      <c r="AC685">
        <v>93.510800000000003</v>
      </c>
      <c r="AD685">
        <v>3.7607879999999998</v>
      </c>
      <c r="AE685">
        <v>23.5854999999999</v>
      </c>
      <c r="AF685">
        <v>-23.962235162297102</v>
      </c>
      <c r="AG685">
        <v>3.7607879999999998</v>
      </c>
      <c r="AH685">
        <v>93.263788013378203</v>
      </c>
      <c r="AI685">
        <v>87.763409164766003</v>
      </c>
      <c r="AJ685">
        <v>104.40931589978</v>
      </c>
      <c r="AK685">
        <v>96.366313590167593</v>
      </c>
      <c r="AL685">
        <v>79.249156325458998</v>
      </c>
      <c r="AM685">
        <v>83.0819622458705</v>
      </c>
      <c r="AN685">
        <v>0.99999998675364998</v>
      </c>
    </row>
    <row r="686" spans="1:40" x14ac:dyDescent="0.25">
      <c r="A686" t="str">
        <f>"20190303170731211"</f>
        <v>20190303170731211</v>
      </c>
      <c r="B686" t="str">
        <f>"1551604051202961"</f>
        <v>1551604051202961</v>
      </c>
      <c r="C686" t="s">
        <v>40</v>
      </c>
      <c r="D686">
        <v>4.968547</v>
      </c>
      <c r="E686">
        <v>0.37479970000000001</v>
      </c>
      <c r="F686" t="s">
        <v>50</v>
      </c>
      <c r="G686">
        <v>-175.67840000000001</v>
      </c>
      <c r="H686">
        <v>4.9369909999999999</v>
      </c>
      <c r="I686">
        <v>391.00349999999997</v>
      </c>
      <c r="J686">
        <v>-269.58510000000001</v>
      </c>
      <c r="K686">
        <v>1.1206100000000001</v>
      </c>
      <c r="L686">
        <v>367.41649999999998</v>
      </c>
      <c r="M686">
        <v>0.99992389999999998</v>
      </c>
      <c r="N686">
        <v>-1.16934E-2</v>
      </c>
      <c r="O686">
        <v>-3.9513109999999999E-3</v>
      </c>
      <c r="P686">
        <v>0.97651460000000001</v>
      </c>
      <c r="Q686">
        <v>0.17512759999999999</v>
      </c>
      <c r="R686">
        <v>-0.1254971</v>
      </c>
      <c r="S686">
        <v>3.1470950000000002</v>
      </c>
      <c r="T686">
        <v>0.12726080000000001</v>
      </c>
      <c r="U686">
        <v>0.78643799999999997</v>
      </c>
      <c r="V686">
        <v>0.1215175</v>
      </c>
      <c r="W686">
        <v>0.18661820000000001</v>
      </c>
      <c r="X686">
        <v>0.97488830000000004</v>
      </c>
      <c r="Y686">
        <v>-0.24613270000000001</v>
      </c>
      <c r="Z686">
        <v>-3.6407409999999999E-3</v>
      </c>
      <c r="AA686">
        <v>0.96922929999999996</v>
      </c>
      <c r="AB686">
        <v>32</v>
      </c>
      <c r="AC686">
        <v>93.906700000000001</v>
      </c>
      <c r="AD686">
        <v>3.8163809999999998</v>
      </c>
      <c r="AE686">
        <v>23.5869999999999</v>
      </c>
      <c r="AF686">
        <v>-23.920732381367799</v>
      </c>
      <c r="AG686">
        <v>3.8163809999999998</v>
      </c>
      <c r="AH686">
        <v>93.667238945641699</v>
      </c>
      <c r="AI686">
        <v>87.739306157803199</v>
      </c>
      <c r="AJ686">
        <v>104.325988993115</v>
      </c>
      <c r="AK686">
        <v>96.748735667698099</v>
      </c>
      <c r="AL686">
        <v>79.244508663424398</v>
      </c>
      <c r="AM686">
        <v>82.894864153758604</v>
      </c>
      <c r="AN686">
        <v>1.00000002642718</v>
      </c>
    </row>
    <row r="687" spans="1:40" x14ac:dyDescent="0.25">
      <c r="A687" t="str">
        <f>"20190303170731233"</f>
        <v>20190303170731233</v>
      </c>
      <c r="B687" t="str">
        <f>"1551604051222481"</f>
        <v>1551604051222481</v>
      </c>
      <c r="C687" t="s">
        <v>40</v>
      </c>
      <c r="D687">
        <v>5.2606250000000001</v>
      </c>
      <c r="E687">
        <v>0.38666980000000001</v>
      </c>
      <c r="F687" t="s">
        <v>45</v>
      </c>
      <c r="G687">
        <v>0</v>
      </c>
      <c r="H687">
        <v>0</v>
      </c>
      <c r="I687">
        <v>0</v>
      </c>
      <c r="J687">
        <v>-269.26130000000001</v>
      </c>
      <c r="K687">
        <v>1.1207240000000001</v>
      </c>
      <c r="L687">
        <v>367.41559999999998</v>
      </c>
      <c r="M687">
        <v>0.99992420000000004</v>
      </c>
      <c r="N687">
        <v>-1.1780270000000001E-2</v>
      </c>
      <c r="O687">
        <v>-3.631605E-3</v>
      </c>
      <c r="P687">
        <v>0.97615339999999995</v>
      </c>
      <c r="Q687">
        <v>0.1759973</v>
      </c>
      <c r="R687">
        <v>-0.12708139999999901</v>
      </c>
      <c r="S687">
        <v>3.1416019999999998</v>
      </c>
      <c r="T687">
        <v>7.3534009999999997E-2</v>
      </c>
      <c r="U687">
        <v>0.64318850000000005</v>
      </c>
      <c r="V687">
        <v>0.12341480000000001</v>
      </c>
      <c r="W687">
        <v>0.18756900000000001</v>
      </c>
      <c r="X687">
        <v>0.97446730000000004</v>
      </c>
      <c r="Y687">
        <v>-0.2041009</v>
      </c>
      <c r="Z687">
        <v>-1.275633E-3</v>
      </c>
      <c r="AA687">
        <v>0.97894899999999996</v>
      </c>
      <c r="AB687">
        <v>32</v>
      </c>
      <c r="AC687">
        <v>3.1416019999999998</v>
      </c>
      <c r="AD687">
        <v>7.3534009999999997E-2</v>
      </c>
      <c r="AE687">
        <v>0.64318850000000005</v>
      </c>
      <c r="AF687">
        <v>-0.65425008377447902</v>
      </c>
      <c r="AG687">
        <v>7.3534009999999997E-2</v>
      </c>
      <c r="AH687">
        <v>3.1375954843477398</v>
      </c>
      <c r="AI687">
        <v>88.6856967062526</v>
      </c>
      <c r="AJ687">
        <v>101.77851565365</v>
      </c>
      <c r="AK687">
        <v>3.20592511549239</v>
      </c>
      <c r="AL687">
        <v>79.189051549838993</v>
      </c>
      <c r="AM687">
        <v>82.782004878348104</v>
      </c>
      <c r="AN687">
        <v>0.99999993069466198</v>
      </c>
    </row>
    <row r="688" spans="1:40" x14ac:dyDescent="0.25">
      <c r="A688" t="str">
        <f>"20190303170731255"</f>
        <v>20190303170731255</v>
      </c>
      <c r="B688" t="str">
        <f>"1551604051242977"</f>
        <v>1551604051242977</v>
      </c>
      <c r="C688" t="s">
        <v>40</v>
      </c>
      <c r="D688">
        <v>5.1506280000000002</v>
      </c>
      <c r="E688">
        <v>0.46785850000000001</v>
      </c>
      <c r="F688" t="s">
        <v>44</v>
      </c>
      <c r="G688">
        <v>-158.78319999999999</v>
      </c>
      <c r="H688">
        <v>3.2374079999999998</v>
      </c>
      <c r="I688">
        <v>386.60550000000001</v>
      </c>
      <c r="J688">
        <v>-268.93880000000001</v>
      </c>
      <c r="K688">
        <v>1.120814</v>
      </c>
      <c r="L688">
        <v>367.41469999999998</v>
      </c>
      <c r="M688">
        <v>0.99992409999999998</v>
      </c>
      <c r="N688">
        <v>-1.185663E-2</v>
      </c>
      <c r="O688">
        <v>-3.3135069999999998E-3</v>
      </c>
      <c r="P688">
        <v>0.97583940000000002</v>
      </c>
      <c r="Q688">
        <v>0.17691570000000001</v>
      </c>
      <c r="R688">
        <v>-0.1282114</v>
      </c>
      <c r="S688">
        <v>3.1333009999999999</v>
      </c>
      <c r="T688">
        <v>6.0034280000000002E-2</v>
      </c>
      <c r="U688">
        <v>0.54425049999999997</v>
      </c>
      <c r="V688">
        <v>0.1248557</v>
      </c>
      <c r="W688">
        <v>0.18855859999999999</v>
      </c>
      <c r="X688">
        <v>0.97409279999999998</v>
      </c>
      <c r="Y688">
        <v>-0.17438709999999999</v>
      </c>
      <c r="Z688">
        <v>-7.1849879999999998E-4</v>
      </c>
      <c r="AA688">
        <v>0.98467689999999997</v>
      </c>
      <c r="AB688">
        <v>32</v>
      </c>
      <c r="AC688">
        <v>110.15560000000001</v>
      </c>
      <c r="AD688">
        <v>2.1165940000000001</v>
      </c>
      <c r="AE688">
        <v>19.190799999999999</v>
      </c>
      <c r="AF688">
        <v>-19.5487168986356</v>
      </c>
      <c r="AG688">
        <v>2.1165940000000001</v>
      </c>
      <c r="AH688">
        <v>110.051967528289</v>
      </c>
      <c r="AI688">
        <v>88.915162465540007</v>
      </c>
      <c r="AJ688">
        <v>100.07248396465801</v>
      </c>
      <c r="AK688">
        <v>111.79475774557299</v>
      </c>
      <c r="AL688">
        <v>79.131322724649294</v>
      </c>
      <c r="AM688">
        <v>82.695860344665803</v>
      </c>
      <c r="AN688">
        <v>1.00000003723414</v>
      </c>
    </row>
    <row r="689" spans="1:40" x14ac:dyDescent="0.25">
      <c r="A689" t="str">
        <f>"20190303170731279"</f>
        <v>20190303170731279</v>
      </c>
      <c r="B689" t="str">
        <f>"1551604051273233"</f>
        <v>1551604051273233</v>
      </c>
      <c r="C689" t="s">
        <v>40</v>
      </c>
      <c r="D689">
        <v>5.1310919999999998</v>
      </c>
      <c r="E689">
        <v>0.48485879999999998</v>
      </c>
      <c r="F689" t="s">
        <v>44</v>
      </c>
      <c r="G689">
        <v>-158.19499999999999</v>
      </c>
      <c r="H689">
        <v>0.411159</v>
      </c>
      <c r="I689">
        <v>363.86520000000002</v>
      </c>
      <c r="J689">
        <v>-268.60789999999997</v>
      </c>
      <c r="K689">
        <v>1.1208959999999999</v>
      </c>
      <c r="L689">
        <v>367.41399999999999</v>
      </c>
      <c r="M689">
        <v>0.99992449999999999</v>
      </c>
      <c r="N689">
        <v>-1.19259E-2</v>
      </c>
      <c r="O689">
        <v>-2.987033E-3</v>
      </c>
      <c r="P689">
        <v>0.97581890000000004</v>
      </c>
      <c r="Q689">
        <v>0.1768894</v>
      </c>
      <c r="R689">
        <v>-0.12840599999999999</v>
      </c>
      <c r="S689">
        <v>3.0649410000000001</v>
      </c>
      <c r="T689">
        <v>-1.963794E-2</v>
      </c>
      <c r="U689">
        <v>-9.8236080000000003E-2</v>
      </c>
      <c r="V689">
        <v>0.12536900000000001</v>
      </c>
      <c r="W689">
        <v>0.1885994</v>
      </c>
      <c r="X689">
        <v>0.97401890000000002</v>
      </c>
      <c r="Y689">
        <v>2.9047570000000002E-2</v>
      </c>
      <c r="Z689">
        <v>-2.8278059999999999E-4</v>
      </c>
      <c r="AA689">
        <v>0.99957799999999997</v>
      </c>
      <c r="AB689">
        <v>32</v>
      </c>
      <c r="AC689">
        <v>110.412899999999</v>
      </c>
      <c r="AD689">
        <v>-0.70973699999999895</v>
      </c>
      <c r="AE689">
        <v>-3.5487999999999702</v>
      </c>
      <c r="AF689">
        <v>3.21882089641166</v>
      </c>
      <c r="AG689">
        <v>-0.70973699999999895</v>
      </c>
      <c r="AH689">
        <v>110.418450763637</v>
      </c>
      <c r="AI689">
        <v>90.368118804507205</v>
      </c>
      <c r="AJ689">
        <v>88.3302370475716</v>
      </c>
      <c r="AK689">
        <v>110.46763690608201</v>
      </c>
      <c r="AL689">
        <v>79.128941594159897</v>
      </c>
      <c r="AM689">
        <v>82.665607849428298</v>
      </c>
      <c r="AN689">
        <v>0.99999996869928398</v>
      </c>
    </row>
    <row r="690" spans="1:40" x14ac:dyDescent="0.25">
      <c r="A690" t="str">
        <f>"20190303170731300"</f>
        <v>20190303170731300</v>
      </c>
      <c r="B690" t="str">
        <f>"1551604051293261"</f>
        <v>1551604051293261</v>
      </c>
      <c r="C690" t="s">
        <v>40</v>
      </c>
      <c r="D690">
        <v>5.1301189999999997</v>
      </c>
      <c r="E690">
        <v>0.48895509999999898</v>
      </c>
      <c r="F690" t="s">
        <v>48</v>
      </c>
      <c r="G690">
        <v>-192.03720000000001</v>
      </c>
      <c r="H690" s="1">
        <v>-7.2544880000000003E-6</v>
      </c>
      <c r="I690">
        <v>361.5872</v>
      </c>
      <c r="J690">
        <v>-268.28559999999999</v>
      </c>
      <c r="K690">
        <v>1.120965</v>
      </c>
      <c r="L690">
        <v>367.41340000000002</v>
      </c>
      <c r="M690">
        <v>0.9999247</v>
      </c>
      <c r="N690">
        <v>-1.1987869999999999E-2</v>
      </c>
      <c r="O690">
        <v>-2.669107E-3</v>
      </c>
      <c r="P690">
        <v>0.97577210000000003</v>
      </c>
      <c r="Q690">
        <v>0.17749619999999999</v>
      </c>
      <c r="R690">
        <v>-0.1279228</v>
      </c>
      <c r="S690">
        <v>3.0518800000000001</v>
      </c>
      <c r="T690">
        <v>-4.467583E-2</v>
      </c>
      <c r="U690">
        <v>-0.2322388</v>
      </c>
      <c r="V690">
        <v>0.125195899999999</v>
      </c>
      <c r="W690">
        <v>0.18926519999999999</v>
      </c>
      <c r="X690">
        <v>0.97391209999999995</v>
      </c>
      <c r="Y690">
        <v>7.3201500000000003E-2</v>
      </c>
      <c r="Z690">
        <v>-9.673851E-4</v>
      </c>
      <c r="AA690">
        <v>0.99731669999999994</v>
      </c>
      <c r="AB690">
        <v>32</v>
      </c>
      <c r="AC690">
        <v>76.248399999999904</v>
      </c>
      <c r="AD690">
        <v>-1.1209722544880001</v>
      </c>
      <c r="AE690">
        <v>-5.8262000000000196</v>
      </c>
      <c r="AF690">
        <v>5.6214415583701802</v>
      </c>
      <c r="AG690">
        <v>-1.1209722544880001</v>
      </c>
      <c r="AH690">
        <v>76.247296057181401</v>
      </c>
      <c r="AI690">
        <v>90.840010673483704</v>
      </c>
      <c r="AJ690">
        <v>85.783415084188704</v>
      </c>
      <c r="AK690">
        <v>76.462457062410607</v>
      </c>
      <c r="AL690">
        <v>79.090095370256904</v>
      </c>
      <c r="AM690">
        <v>82.674830107536195</v>
      </c>
      <c r="AN690">
        <v>1.0000000539171201</v>
      </c>
    </row>
    <row r="691" spans="1:40" x14ac:dyDescent="0.25">
      <c r="A691" t="str">
        <f>"20190303170731322"</f>
        <v>20190303170731322</v>
      </c>
      <c r="B691" t="str">
        <f>"1551604051312782"</f>
        <v>1551604051312782</v>
      </c>
      <c r="C691" t="s">
        <v>40</v>
      </c>
      <c r="D691">
        <v>5.1196769999999896</v>
      </c>
      <c r="E691">
        <v>0.49145220000000001</v>
      </c>
      <c r="F691" t="s">
        <v>48</v>
      </c>
      <c r="G691">
        <v>-205.12729999999999</v>
      </c>
      <c r="H691" s="1">
        <v>-4.7104379999999996E-6</v>
      </c>
      <c r="I691">
        <v>361.96640000000002</v>
      </c>
      <c r="J691">
        <v>-267.97160000000002</v>
      </c>
      <c r="K691">
        <v>1.121024</v>
      </c>
      <c r="L691">
        <v>367.41289999999998</v>
      </c>
      <c r="M691">
        <v>0.9999247</v>
      </c>
      <c r="N691">
        <v>-1.204589E-2</v>
      </c>
      <c r="O691">
        <v>-2.3612920000000001E-3</v>
      </c>
      <c r="P691">
        <v>0.97568670000000002</v>
      </c>
      <c r="Q691">
        <v>0.17839070000000001</v>
      </c>
      <c r="R691">
        <v>-0.1273281</v>
      </c>
      <c r="S691">
        <v>3.0498349999999999</v>
      </c>
      <c r="T691">
        <v>-5.4130320000000003E-2</v>
      </c>
      <c r="U691">
        <v>-0.26303100000000001</v>
      </c>
      <c r="V691">
        <v>0.12490130000000001</v>
      </c>
      <c r="W691">
        <v>0.1902151</v>
      </c>
      <c r="X691">
        <v>0.97376479999999999</v>
      </c>
      <c r="Y691">
        <v>8.3550449999999998E-2</v>
      </c>
      <c r="Z691">
        <v>-1.230821E-3</v>
      </c>
      <c r="AA691">
        <v>0.99650280000000002</v>
      </c>
      <c r="AB691">
        <v>32</v>
      </c>
      <c r="AC691">
        <v>62.844299999999997</v>
      </c>
      <c r="AD691">
        <v>-1.1210287104379999</v>
      </c>
      <c r="AE691">
        <v>-5.4464999999999604</v>
      </c>
      <c r="AF691">
        <v>5.2964075513251201</v>
      </c>
      <c r="AG691">
        <v>-1.1210287104379999</v>
      </c>
      <c r="AH691">
        <v>62.837140699282003</v>
      </c>
      <c r="AI691">
        <v>91.018450565284098</v>
      </c>
      <c r="AJ691">
        <v>85.182049954189296</v>
      </c>
      <c r="AK691">
        <v>63.069920640355299</v>
      </c>
      <c r="AL691">
        <v>79.034662574886696</v>
      </c>
      <c r="AM691">
        <v>82.690786956738705</v>
      </c>
      <c r="AN691">
        <v>1.00000000236437</v>
      </c>
    </row>
    <row r="692" spans="1:40" x14ac:dyDescent="0.25">
      <c r="A692" t="str">
        <f>"20190303170731345"</f>
        <v>20190303170731345</v>
      </c>
      <c r="B692" t="str">
        <f>"1551604051333278"</f>
        <v>1551604051333278</v>
      </c>
      <c r="C692" t="s">
        <v>40</v>
      </c>
      <c r="D692">
        <v>5.0722529999999999</v>
      </c>
      <c r="E692">
        <v>0.49310779999999899</v>
      </c>
      <c r="F692" t="s">
        <v>48</v>
      </c>
      <c r="G692">
        <v>-208.7516</v>
      </c>
      <c r="H692" s="1">
        <v>-6.06374299999999E-6</v>
      </c>
      <c r="I692">
        <v>361.95549999999997</v>
      </c>
      <c r="J692">
        <v>-267.64069999999998</v>
      </c>
      <c r="K692">
        <v>1.121086</v>
      </c>
      <c r="L692">
        <v>367.41250000000002</v>
      </c>
      <c r="M692">
        <v>0.99992479999999995</v>
      </c>
      <c r="N692">
        <v>-1.2102730000000001E-2</v>
      </c>
      <c r="O692">
        <v>-2.039281E-3</v>
      </c>
      <c r="P692">
        <v>0.97537580000000002</v>
      </c>
      <c r="Q692">
        <v>0.1802742</v>
      </c>
      <c r="R692">
        <v>-0.12705749999999999</v>
      </c>
      <c r="S692">
        <v>3.048645</v>
      </c>
      <c r="T692">
        <v>-5.7710650000000002E-2</v>
      </c>
      <c r="U692">
        <v>-0.28094479999999999</v>
      </c>
      <c r="V692">
        <v>0.12494429999999999</v>
      </c>
      <c r="W692">
        <v>0.1921495</v>
      </c>
      <c r="X692">
        <v>0.97337940000000001</v>
      </c>
      <c r="Y692">
        <v>8.9708010000000005E-2</v>
      </c>
      <c r="Z692">
        <v>-1.3774270000000001E-3</v>
      </c>
      <c r="AA692">
        <v>0.99596709999999999</v>
      </c>
      <c r="AB692">
        <v>32</v>
      </c>
      <c r="AC692">
        <v>58.8890999999999</v>
      </c>
      <c r="AD692">
        <v>-1.121092063743</v>
      </c>
      <c r="AE692">
        <v>-5.4570000000000496</v>
      </c>
      <c r="AF692">
        <v>5.3349714055281501</v>
      </c>
      <c r="AG692">
        <v>-1.121092063743</v>
      </c>
      <c r="AH692">
        <v>58.878949441374502</v>
      </c>
      <c r="AI692">
        <v>91.086366351894299</v>
      </c>
      <c r="AJ692">
        <v>84.822616188216102</v>
      </c>
      <c r="AK692">
        <v>59.130782631664196</v>
      </c>
      <c r="AL692">
        <v>78.921746592968105</v>
      </c>
      <c r="AM692">
        <v>82.685434176471404</v>
      </c>
      <c r="AN692">
        <v>0.99999998239854904</v>
      </c>
    </row>
    <row r="693" spans="1:40" x14ac:dyDescent="0.25">
      <c r="A693" t="str">
        <f>"20190303170731368"</f>
        <v>20190303170731368</v>
      </c>
      <c r="B693" t="str">
        <f>"1551604051362558"</f>
        <v>1551604051362558</v>
      </c>
      <c r="C693" t="s">
        <v>40</v>
      </c>
      <c r="D693">
        <v>5.1187589999999998</v>
      </c>
      <c r="E693">
        <v>0.49485050000000003</v>
      </c>
      <c r="F693" t="s">
        <v>48</v>
      </c>
      <c r="G693">
        <v>-205.97120000000001</v>
      </c>
      <c r="H693" s="1">
        <v>-5.2080279999999999E-6</v>
      </c>
      <c r="I693">
        <v>361.47519999999997</v>
      </c>
      <c r="J693">
        <v>-267.3073</v>
      </c>
      <c r="K693">
        <v>1.121132</v>
      </c>
      <c r="L693">
        <v>367.41219999999998</v>
      </c>
      <c r="M693">
        <v>0.9999247</v>
      </c>
      <c r="N693">
        <v>-1.215397E-2</v>
      </c>
      <c r="O693">
        <v>-1.7156929999999999E-3</v>
      </c>
      <c r="P693">
        <v>0.97511210000000004</v>
      </c>
      <c r="Q693">
        <v>0.18231539999999999</v>
      </c>
      <c r="R693">
        <v>-0.1261649</v>
      </c>
      <c r="S693">
        <v>3.0477289999999999</v>
      </c>
      <c r="T693">
        <v>-5.5404780000000001E-2</v>
      </c>
      <c r="U693">
        <v>-0.29342649999999998</v>
      </c>
      <c r="V693">
        <v>0.1243663</v>
      </c>
      <c r="W693">
        <v>0.1942362</v>
      </c>
      <c r="X693">
        <v>0.97303919999999999</v>
      </c>
      <c r="Y693">
        <v>9.4100130000000004E-2</v>
      </c>
      <c r="Z693">
        <v>-1.416236E-3</v>
      </c>
      <c r="AA693">
        <v>0.99556169999999999</v>
      </c>
      <c r="AB693">
        <v>32</v>
      </c>
      <c r="AC693">
        <v>61.336099999999902</v>
      </c>
      <c r="AD693">
        <v>-1.121137208028</v>
      </c>
      <c r="AE693">
        <v>-5.93700000000001</v>
      </c>
      <c r="AF693">
        <v>5.8298198711292297</v>
      </c>
      <c r="AG693">
        <v>-1.121137208028</v>
      </c>
      <c r="AH693">
        <v>61.325897325858399</v>
      </c>
      <c r="AI693">
        <v>91.042643899629496</v>
      </c>
      <c r="AJ693">
        <v>84.569613791072399</v>
      </c>
      <c r="AK693">
        <v>61.612575268290499</v>
      </c>
      <c r="AL693">
        <v>78.799891804583496</v>
      </c>
      <c r="AM693">
        <v>82.716389526539103</v>
      </c>
      <c r="AN693">
        <v>0.99999998135138402</v>
      </c>
    </row>
    <row r="694" spans="1:40" x14ac:dyDescent="0.25">
      <c r="A694" t="str">
        <f>"20190303170731392"</f>
        <v>20190303170731392</v>
      </c>
      <c r="B694" t="str">
        <f>"1551604051383053"</f>
        <v>1551604051383053</v>
      </c>
      <c r="C694" t="s">
        <v>40</v>
      </c>
      <c r="D694">
        <v>5.1203880000000002</v>
      </c>
      <c r="E694">
        <v>0.49532159999999897</v>
      </c>
      <c r="F694" t="s">
        <v>48</v>
      </c>
      <c r="G694">
        <v>-204.62260000000001</v>
      </c>
      <c r="H694" s="1">
        <v>-4.6407229999999999E-6</v>
      </c>
      <c r="I694">
        <v>361.1567</v>
      </c>
      <c r="J694">
        <v>-266.9622</v>
      </c>
      <c r="K694">
        <v>1.1211690000000001</v>
      </c>
      <c r="L694">
        <v>367.41199999999998</v>
      </c>
      <c r="M694">
        <v>0.99992460000000005</v>
      </c>
      <c r="N694">
        <v>-1.2206069999999999E-2</v>
      </c>
      <c r="O694">
        <v>-1.3836650000000001E-3</v>
      </c>
      <c r="P694">
        <v>0.97501700000000002</v>
      </c>
      <c r="Q694">
        <v>0.18365909999999999</v>
      </c>
      <c r="R694">
        <v>-0.12494479999999999</v>
      </c>
      <c r="S694">
        <v>3.0474239999999999</v>
      </c>
      <c r="T694">
        <v>-5.4504160000000003E-2</v>
      </c>
      <c r="U694">
        <v>-0.30410769999999998</v>
      </c>
      <c r="V694">
        <v>0.12346989999999899</v>
      </c>
      <c r="W694">
        <v>0.195628</v>
      </c>
      <c r="X694">
        <v>0.97287449999999998</v>
      </c>
      <c r="Y694">
        <v>9.7895330000000003E-2</v>
      </c>
      <c r="Z694">
        <v>-1.464412E-3</v>
      </c>
      <c r="AA694">
        <v>0.99519559999999996</v>
      </c>
      <c r="AB694">
        <v>32</v>
      </c>
      <c r="AC694">
        <v>62.339599999999898</v>
      </c>
      <c r="AD694">
        <v>-1.121173640723</v>
      </c>
      <c r="AE694">
        <v>-6.2552999999999699</v>
      </c>
      <c r="AF694">
        <v>6.16705556851461</v>
      </c>
      <c r="AG694">
        <v>-1.121173640723</v>
      </c>
      <c r="AH694">
        <v>62.328236605202399</v>
      </c>
      <c r="AI694">
        <v>91.025530876018095</v>
      </c>
      <c r="AJ694">
        <v>84.349272398917407</v>
      </c>
      <c r="AK694">
        <v>62.642626725193203</v>
      </c>
      <c r="AL694">
        <v>78.718587629828306</v>
      </c>
      <c r="AM694">
        <v>82.767118836074602</v>
      </c>
      <c r="AN694">
        <v>0.99999996167012895</v>
      </c>
    </row>
    <row r="695" spans="1:40" x14ac:dyDescent="0.25">
      <c r="A695" t="str">
        <f>"20190303170731414"</f>
        <v>20190303170731414</v>
      </c>
      <c r="B695" t="str">
        <f>"1551604051403081"</f>
        <v>1551604051403081</v>
      </c>
      <c r="C695" t="s">
        <v>40</v>
      </c>
      <c r="D695">
        <v>5.1197670000000004</v>
      </c>
      <c r="E695">
        <v>0.49574629999999997</v>
      </c>
      <c r="F695" t="s">
        <v>48</v>
      </c>
      <c r="G695">
        <v>-203.41220000000001</v>
      </c>
      <c r="H695" s="1">
        <v>-4.0487680000000001E-6</v>
      </c>
      <c r="I695">
        <v>361.07929999999999</v>
      </c>
      <c r="J695">
        <v>-266.64229999999998</v>
      </c>
      <c r="K695">
        <v>1.1211869999999999</v>
      </c>
      <c r="L695">
        <v>367.4119</v>
      </c>
      <c r="M695">
        <v>0.99992440000000005</v>
      </c>
      <c r="N695">
        <v>-1.2253150000000001E-2</v>
      </c>
      <c r="O695">
        <v>-1.0774879999999999E-3</v>
      </c>
      <c r="P695">
        <v>0.97530209999999995</v>
      </c>
      <c r="Q695">
        <v>0.18257029999999999</v>
      </c>
      <c r="R695">
        <v>-0.12431399999999999</v>
      </c>
      <c r="S695">
        <v>3.0481259999999999</v>
      </c>
      <c r="T695">
        <v>-5.377614E-2</v>
      </c>
      <c r="U695">
        <v>-0.3037415</v>
      </c>
      <c r="V695">
        <v>0.1231389</v>
      </c>
      <c r="W695">
        <v>0.1945875</v>
      </c>
      <c r="X695">
        <v>0.97312520000000002</v>
      </c>
      <c r="Y695">
        <v>9.8059499999999994E-2</v>
      </c>
      <c r="Z695">
        <v>-1.4593609999999999E-3</v>
      </c>
      <c r="AA695">
        <v>0.99517949999999999</v>
      </c>
      <c r="AB695">
        <v>32</v>
      </c>
      <c r="AC695">
        <v>63.230099999999901</v>
      </c>
      <c r="AD695">
        <v>-1.1211910487679999</v>
      </c>
      <c r="AE695">
        <v>-6.33260000000001</v>
      </c>
      <c r="AF695">
        <v>6.2625120271794801</v>
      </c>
      <c r="AG695">
        <v>-1.1211910487679999</v>
      </c>
      <c r="AH695">
        <v>63.217207678196502</v>
      </c>
      <c r="AI695">
        <v>91.011116643905694</v>
      </c>
      <c r="AJ695">
        <v>84.342543237562793</v>
      </c>
      <c r="AK695">
        <v>63.536536519443899</v>
      </c>
      <c r="AL695">
        <v>78.779373284494</v>
      </c>
      <c r="AM695">
        <v>82.788143174834701</v>
      </c>
      <c r="AN695">
        <v>1.00000006936224</v>
      </c>
    </row>
    <row r="696" spans="1:40" x14ac:dyDescent="0.25">
      <c r="A696" t="str">
        <f>"20190303170731435"</f>
        <v>20190303170731435</v>
      </c>
      <c r="B696" t="str">
        <f>"1551604051422600"</f>
        <v>1551604051422600</v>
      </c>
      <c r="C696" t="s">
        <v>40</v>
      </c>
      <c r="D696">
        <v>5.1142909999999997</v>
      </c>
      <c r="E696">
        <v>0.4960811</v>
      </c>
      <c r="F696" t="s">
        <v>48</v>
      </c>
      <c r="G696">
        <v>-209.6223</v>
      </c>
      <c r="H696" s="1">
        <v>-6.3949969999999999E-6</v>
      </c>
      <c r="I696">
        <v>361.70060000000001</v>
      </c>
      <c r="J696">
        <v>-266.3399</v>
      </c>
      <c r="K696">
        <v>1.121205</v>
      </c>
      <c r="L696">
        <v>367.4119</v>
      </c>
      <c r="M696">
        <v>0.99992420000000004</v>
      </c>
      <c r="N696">
        <v>-1.229423E-2</v>
      </c>
      <c r="O696">
        <v>-7.8998109999999996E-4</v>
      </c>
      <c r="P696">
        <v>0.97578129999999996</v>
      </c>
      <c r="Q696">
        <v>0.18067440000000001</v>
      </c>
      <c r="R696">
        <v>-0.1233224</v>
      </c>
      <c r="S696">
        <v>3.048279</v>
      </c>
      <c r="T696">
        <v>-5.9938789999999999E-2</v>
      </c>
      <c r="U696">
        <v>-0.3053284</v>
      </c>
      <c r="V696">
        <v>0.12242889999999999</v>
      </c>
      <c r="W696">
        <v>0.1927363</v>
      </c>
      <c r="X696">
        <v>0.97358299999999998</v>
      </c>
      <c r="Y696">
        <v>9.8848510000000001E-2</v>
      </c>
      <c r="Z696">
        <v>-1.5727810000000001E-3</v>
      </c>
      <c r="AA696">
        <v>0.99510129999999997</v>
      </c>
      <c r="AB696">
        <v>32</v>
      </c>
      <c r="AC696">
        <v>56.717599999999997</v>
      </c>
      <c r="AD696">
        <v>-1.121211394997</v>
      </c>
      <c r="AE696">
        <v>-5.7112999999999898</v>
      </c>
      <c r="AF696">
        <v>5.6642976928472901</v>
      </c>
      <c r="AG696">
        <v>-1.121211394997</v>
      </c>
      <c r="AH696">
        <v>56.700159235718701</v>
      </c>
      <c r="AI696">
        <v>91.127232407415306</v>
      </c>
      <c r="AJ696">
        <v>84.295128007960599</v>
      </c>
      <c r="AK696">
        <v>56.993415766220899</v>
      </c>
      <c r="AL696">
        <v>78.887485073106006</v>
      </c>
      <c r="AM696">
        <v>82.8326283000807</v>
      </c>
      <c r="AN696">
        <v>0.99999998739094897</v>
      </c>
    </row>
    <row r="697" spans="1:40" x14ac:dyDescent="0.25">
      <c r="A697" t="str">
        <f>"20190303170731457"</f>
        <v>20190303170731457</v>
      </c>
      <c r="B697" t="str">
        <f>"1551604051452857"</f>
        <v>1551604051452857</v>
      </c>
      <c r="C697" t="s">
        <v>40</v>
      </c>
      <c r="D697">
        <v>5.1230929999999999</v>
      </c>
      <c r="E697">
        <v>0.4968188</v>
      </c>
      <c r="F697" t="s">
        <v>43</v>
      </c>
      <c r="G697">
        <v>-216.5103</v>
      </c>
      <c r="H697" s="1">
        <v>-3.0876779999999999E-6</v>
      </c>
      <c r="I697">
        <v>362.4228</v>
      </c>
      <c r="J697">
        <v>-266.0163</v>
      </c>
      <c r="K697">
        <v>1.1212230000000001</v>
      </c>
      <c r="L697">
        <v>367.41199999999998</v>
      </c>
      <c r="M697">
        <v>0.99992400000000004</v>
      </c>
      <c r="N697">
        <v>-1.2333759999999999E-2</v>
      </c>
      <c r="O697">
        <v>-4.8315339999999997E-4</v>
      </c>
      <c r="P697">
        <v>0.97595399999999999</v>
      </c>
      <c r="Q697">
        <v>0.1801083</v>
      </c>
      <c r="R697">
        <v>-0.12278119999999999</v>
      </c>
      <c r="S697">
        <v>3.048584</v>
      </c>
      <c r="T697">
        <v>-6.8595649999999994E-2</v>
      </c>
      <c r="U697">
        <v>-0.30523679999999997</v>
      </c>
      <c r="V697">
        <v>0.1221878</v>
      </c>
      <c r="W697">
        <v>0.19220989999999999</v>
      </c>
      <c r="X697">
        <v>0.97371730000000001</v>
      </c>
      <c r="Y697">
        <v>9.9106669999999994E-2</v>
      </c>
      <c r="Z697">
        <v>-1.7200169999999999E-3</v>
      </c>
      <c r="AA697">
        <v>0.9950753</v>
      </c>
      <c r="AB697">
        <v>32</v>
      </c>
      <c r="AC697">
        <v>49.506</v>
      </c>
      <c r="AD697">
        <v>-1.12122608767799</v>
      </c>
      <c r="AE697">
        <v>-4.9891999999999799</v>
      </c>
      <c r="AF697">
        <v>4.9627585832589798</v>
      </c>
      <c r="AG697">
        <v>-1.12122608767799</v>
      </c>
      <c r="AH697">
        <v>49.483277961360301</v>
      </c>
      <c r="AI697">
        <v>91.291548002815503</v>
      </c>
      <c r="AJ697">
        <v>84.272863634099295</v>
      </c>
      <c r="AK697">
        <v>49.744154616363197</v>
      </c>
      <c r="AL697">
        <v>78.918219744035099</v>
      </c>
      <c r="AM697">
        <v>82.847573102388793</v>
      </c>
      <c r="AN697">
        <v>0.99999994222306798</v>
      </c>
    </row>
    <row r="698" spans="1:40" x14ac:dyDescent="0.25">
      <c r="A698" t="str">
        <f>"20190303170731480"</f>
        <v>20190303170731480</v>
      </c>
      <c r="B698" t="str">
        <f>"1551604051473352"</f>
        <v>1551604051473352</v>
      </c>
      <c r="C698" t="s">
        <v>40</v>
      </c>
      <c r="D698">
        <v>5.1553719999999998</v>
      </c>
      <c r="E698">
        <v>0.49715589999999998</v>
      </c>
      <c r="F698" t="s">
        <v>43</v>
      </c>
      <c r="G698">
        <v>-219.3554</v>
      </c>
      <c r="H698" s="1">
        <v>-2.0522079999999998E-6</v>
      </c>
      <c r="I698">
        <v>362.67559999999997</v>
      </c>
      <c r="J698">
        <v>-265.68920000000003</v>
      </c>
      <c r="K698">
        <v>1.121246</v>
      </c>
      <c r="L698">
        <v>367.41230000000002</v>
      </c>
      <c r="M698">
        <v>0.99992360000000002</v>
      </c>
      <c r="N698">
        <v>-1.236947E-2</v>
      </c>
      <c r="O698">
        <v>-1.724962E-4</v>
      </c>
      <c r="P698">
        <v>0.97567740000000003</v>
      </c>
      <c r="Q698">
        <v>0.18184520000000001</v>
      </c>
      <c r="R698">
        <v>-0.12241829999999999</v>
      </c>
      <c r="S698">
        <v>3.0485229999999999</v>
      </c>
      <c r="T698">
        <v>-7.3253509999999994E-2</v>
      </c>
      <c r="U698">
        <v>-0.30944820000000001</v>
      </c>
      <c r="V698">
        <v>0.1221279</v>
      </c>
      <c r="W698">
        <v>0.19397700000000001</v>
      </c>
      <c r="X698">
        <v>0.97337439999999997</v>
      </c>
      <c r="Y698">
        <v>0.1007733</v>
      </c>
      <c r="Z698">
        <v>-1.8304809999999999E-3</v>
      </c>
      <c r="AA698">
        <v>0.99490769999999995</v>
      </c>
      <c r="AB698">
        <v>32</v>
      </c>
      <c r="AC698">
        <v>46.333799999999997</v>
      </c>
      <c r="AD698">
        <v>-1.1212480522079999</v>
      </c>
      <c r="AE698">
        <v>-4.7367000000000399</v>
      </c>
      <c r="AF698">
        <v>4.7259679708751996</v>
      </c>
      <c r="AG698">
        <v>-1.1212480522079999</v>
      </c>
      <c r="AH698">
        <v>46.307778675124098</v>
      </c>
      <c r="AI698">
        <v>91.379864506471407</v>
      </c>
      <c r="AJ698">
        <v>84.172819862255196</v>
      </c>
      <c r="AK698">
        <v>46.561811995245598</v>
      </c>
      <c r="AL698">
        <v>78.815031150040099</v>
      </c>
      <c r="AM698">
        <v>82.848550780751793</v>
      </c>
      <c r="AN698">
        <v>1.0000000115313801</v>
      </c>
    </row>
    <row r="699" spans="1:40" x14ac:dyDescent="0.25">
      <c r="A699" t="str">
        <f>"20190303170731501"</f>
        <v>20190303170731501</v>
      </c>
      <c r="B699" t="str">
        <f>"1551604051492403"</f>
        <v>1551604051492403</v>
      </c>
      <c r="C699" t="s">
        <v>40</v>
      </c>
      <c r="D699">
        <v>5.0382230000000003</v>
      </c>
      <c r="E699">
        <v>0.49742029999999898</v>
      </c>
      <c r="F699" t="s">
        <v>43</v>
      </c>
      <c r="G699">
        <v>-216.59450000000001</v>
      </c>
      <c r="H699" s="1">
        <v>-3.064544E-6</v>
      </c>
      <c r="I699">
        <v>362.40210000000002</v>
      </c>
      <c r="J699">
        <v>-265.3784</v>
      </c>
      <c r="K699">
        <v>1.121259</v>
      </c>
      <c r="L699">
        <v>367.4126</v>
      </c>
      <c r="M699">
        <v>0.99992329999999996</v>
      </c>
      <c r="N699">
        <v>-1.239971E-2</v>
      </c>
      <c r="O699">
        <v>1.2335180000000001E-4</v>
      </c>
      <c r="P699">
        <v>0.97558109999999998</v>
      </c>
      <c r="Q699">
        <v>0.1824981</v>
      </c>
      <c r="R699">
        <v>-0.1222148</v>
      </c>
      <c r="S699">
        <v>3.048737</v>
      </c>
      <c r="T699">
        <v>-6.962836E-2</v>
      </c>
      <c r="U699">
        <v>-0.31112669999999998</v>
      </c>
      <c r="V699">
        <v>0.12221310000000001</v>
      </c>
      <c r="W699">
        <v>0.1946571</v>
      </c>
      <c r="X699">
        <v>0.97322790000000003</v>
      </c>
      <c r="Y699">
        <v>0.1016059</v>
      </c>
      <c r="Z699">
        <v>-1.790111E-3</v>
      </c>
      <c r="AA699">
        <v>0.99482309999999996</v>
      </c>
      <c r="AB699">
        <v>32</v>
      </c>
      <c r="AC699">
        <v>48.783899999999903</v>
      </c>
      <c r="AD699">
        <v>-1.1212620645439999</v>
      </c>
      <c r="AE699">
        <v>-5.0104999999999702</v>
      </c>
      <c r="AF699">
        <v>5.0138969313475199</v>
      </c>
      <c r="AG699">
        <v>-1.1212620645439999</v>
      </c>
      <c r="AH699">
        <v>48.757792814144601</v>
      </c>
      <c r="AI699">
        <v>91.310466132269397</v>
      </c>
      <c r="AJ699">
        <v>84.128755847270995</v>
      </c>
      <c r="AK699">
        <v>49.0277345097916</v>
      </c>
      <c r="AL699">
        <v>78.7753068205608</v>
      </c>
      <c r="AM699">
        <v>82.842547349825793</v>
      </c>
      <c r="AN699">
        <v>0.99999998686521496</v>
      </c>
    </row>
    <row r="700" spans="1:40" x14ac:dyDescent="0.25">
      <c r="A700" t="str">
        <f>"20190303170731523"</f>
        <v>20190303170731523</v>
      </c>
      <c r="B700" t="str">
        <f>"1551604051512900"</f>
        <v>1551604051512900</v>
      </c>
      <c r="C700" t="s">
        <v>40</v>
      </c>
      <c r="D700">
        <v>5.0443870000000004</v>
      </c>
      <c r="E700">
        <v>0.49765569999999998</v>
      </c>
      <c r="F700" t="s">
        <v>43</v>
      </c>
      <c r="G700">
        <v>-215.5479</v>
      </c>
      <c r="H700" s="1">
        <v>-3.448006E-6</v>
      </c>
      <c r="I700">
        <v>362.29939999999999</v>
      </c>
      <c r="J700">
        <v>-265.05500000000001</v>
      </c>
      <c r="K700">
        <v>1.1212599999999999</v>
      </c>
      <c r="L700">
        <v>367.41300000000001</v>
      </c>
      <c r="M700">
        <v>0.9999228</v>
      </c>
      <c r="N700">
        <v>-1.2427550000000001E-2</v>
      </c>
      <c r="O700">
        <v>4.3208819999999997E-4</v>
      </c>
      <c r="P700">
        <v>0.97597149999999999</v>
      </c>
      <c r="Q700">
        <v>0.18116550000000001</v>
      </c>
      <c r="R700">
        <v>-0.1210748</v>
      </c>
      <c r="S700">
        <v>3.048737</v>
      </c>
      <c r="T700">
        <v>-6.8601250000000003E-2</v>
      </c>
      <c r="U700">
        <v>-0.31283569999999999</v>
      </c>
      <c r="V700">
        <v>0.12137589999999999</v>
      </c>
      <c r="W700">
        <v>0.19335579999999999</v>
      </c>
      <c r="X700">
        <v>0.97359200000000001</v>
      </c>
      <c r="Y700">
        <v>0.1024655</v>
      </c>
      <c r="Z700">
        <v>-1.7925059999999999E-3</v>
      </c>
      <c r="AA700">
        <v>0.99473489999999998</v>
      </c>
      <c r="AB700">
        <v>32</v>
      </c>
      <c r="AC700">
        <v>49.507100000000001</v>
      </c>
      <c r="AD700">
        <v>-1.121263448006</v>
      </c>
      <c r="AE700">
        <v>-5.1136000000000204</v>
      </c>
      <c r="AF700">
        <v>5.1323877066536197</v>
      </c>
      <c r="AG700">
        <v>-1.121263448006</v>
      </c>
      <c r="AH700">
        <v>49.479772648585403</v>
      </c>
      <c r="AI700">
        <v>91.291234730786002</v>
      </c>
      <c r="AJ700">
        <v>84.078059480317194</v>
      </c>
      <c r="AK700">
        <v>49.757879141367603</v>
      </c>
      <c r="AL700">
        <v>78.851309769437094</v>
      </c>
      <c r="AM700">
        <v>82.893706284543299</v>
      </c>
      <c r="AN700">
        <v>0.99999997847922395</v>
      </c>
    </row>
    <row r="701" spans="1:40" x14ac:dyDescent="0.25">
      <c r="A701" t="str">
        <f>"20190303170731547"</f>
        <v>20190303170731547</v>
      </c>
      <c r="B701" t="str">
        <f>"1551604051543156"</f>
        <v>1551604051543156</v>
      </c>
      <c r="C701" t="s">
        <v>40</v>
      </c>
      <c r="D701">
        <v>4.9780290000000003</v>
      </c>
      <c r="E701">
        <v>0.49807109999999899</v>
      </c>
      <c r="F701" t="s">
        <v>43</v>
      </c>
      <c r="G701">
        <v>-218.5231</v>
      </c>
      <c r="H701" s="1">
        <v>-2.3413489999999998E-6</v>
      </c>
      <c r="I701">
        <v>362.65339999999998</v>
      </c>
      <c r="J701">
        <v>-264.72609999999997</v>
      </c>
      <c r="K701">
        <v>1.121259</v>
      </c>
      <c r="L701">
        <v>367.4135</v>
      </c>
      <c r="M701">
        <v>0.99992210000000004</v>
      </c>
      <c r="N701">
        <v>-1.2452420000000001E-2</v>
      </c>
      <c r="O701">
        <v>7.4656750000000002E-4</v>
      </c>
      <c r="P701">
        <v>0.97613360000000005</v>
      </c>
      <c r="Q701">
        <v>0.18109620000000001</v>
      </c>
      <c r="R701">
        <v>-0.1198632</v>
      </c>
      <c r="S701">
        <v>3.0488590000000002</v>
      </c>
      <c r="T701">
        <v>-7.346714E-2</v>
      </c>
      <c r="U701">
        <v>-0.3118591</v>
      </c>
      <c r="V701">
        <v>0.1204721</v>
      </c>
      <c r="W701">
        <v>0.19331139999999999</v>
      </c>
      <c r="X701">
        <v>0.9737131</v>
      </c>
      <c r="Y701">
        <v>0.10245410000000001</v>
      </c>
      <c r="Z701">
        <v>-1.8794020000000001E-3</v>
      </c>
      <c r="AA701">
        <v>0.99473599999999995</v>
      </c>
      <c r="AB701">
        <v>32</v>
      </c>
      <c r="AC701">
        <v>46.202999999999903</v>
      </c>
      <c r="AD701">
        <v>-1.121261341349</v>
      </c>
      <c r="AE701">
        <v>-4.76010000000002</v>
      </c>
      <c r="AF701">
        <v>4.7918025500191304</v>
      </c>
      <c r="AG701">
        <v>-1.121261341349</v>
      </c>
      <c r="AH701">
        <v>46.172525722656196</v>
      </c>
      <c r="AI701">
        <v>91.383678391305807</v>
      </c>
      <c r="AJ701">
        <v>84.075032486226505</v>
      </c>
      <c r="AK701">
        <v>46.434047102135402</v>
      </c>
      <c r="AL701">
        <v>78.853903007321904</v>
      </c>
      <c r="AM701">
        <v>82.946955208970707</v>
      </c>
      <c r="AN701">
        <v>1.0000000126799899</v>
      </c>
    </row>
    <row r="702" spans="1:40" x14ac:dyDescent="0.25">
      <c r="A702" t="str">
        <f>"20190303170731569"</f>
        <v>20190303170731569</v>
      </c>
      <c r="B702" t="str">
        <f>"1551604051562675"</f>
        <v>1551604051562675</v>
      </c>
      <c r="C702" t="s">
        <v>40</v>
      </c>
      <c r="D702">
        <v>4.8631630000000001</v>
      </c>
      <c r="E702">
        <v>0.49836200000000003</v>
      </c>
      <c r="F702" t="s">
        <v>43</v>
      </c>
      <c r="G702">
        <v>-218.3578</v>
      </c>
      <c r="H702" s="1">
        <v>-2.3937309999999999E-6</v>
      </c>
      <c r="I702">
        <v>362.66800000000001</v>
      </c>
      <c r="J702">
        <v>-264.39609999999999</v>
      </c>
      <c r="K702">
        <v>1.121262</v>
      </c>
      <c r="L702">
        <v>367.41419999999999</v>
      </c>
      <c r="M702">
        <v>0.99992170000000002</v>
      </c>
      <c r="N702">
        <v>-1.247415E-2</v>
      </c>
      <c r="O702">
        <v>1.0615469999999999E-3</v>
      </c>
      <c r="P702">
        <v>0.9761862</v>
      </c>
      <c r="Q702">
        <v>0.18127679999999999</v>
      </c>
      <c r="R702">
        <v>-0.11916119999999999</v>
      </c>
      <c r="S702">
        <v>3.0487060000000001</v>
      </c>
      <c r="T702">
        <v>-7.3722480000000007E-2</v>
      </c>
      <c r="U702">
        <v>-0.3120117</v>
      </c>
      <c r="V702">
        <v>0.12007760000000001</v>
      </c>
      <c r="W702">
        <v>0.1935125</v>
      </c>
      <c r="X702">
        <v>0.97372190000000003</v>
      </c>
      <c r="Y702">
        <v>0.1028213</v>
      </c>
      <c r="Z702">
        <v>-1.8953049999999999E-3</v>
      </c>
      <c r="AA702">
        <v>0.99469799999999997</v>
      </c>
      <c r="AB702">
        <v>32</v>
      </c>
      <c r="AC702">
        <v>46.0382999999999</v>
      </c>
      <c r="AD702">
        <v>-1.1212643937310001</v>
      </c>
      <c r="AE702">
        <v>-4.7461999999999804</v>
      </c>
      <c r="AF702">
        <v>4.7922602237307501</v>
      </c>
      <c r="AG702">
        <v>-1.1212643937310001</v>
      </c>
      <c r="AH702">
        <v>46.006232921090401</v>
      </c>
      <c r="AI702">
        <v>91.388626638105606</v>
      </c>
      <c r="AJ702">
        <v>84.053205576573703</v>
      </c>
      <c r="AK702">
        <v>46.268741710600104</v>
      </c>
      <c r="AL702">
        <v>78.842159247321305</v>
      </c>
      <c r="AM702">
        <v>82.969882642209996</v>
      </c>
      <c r="AN702">
        <v>1.0000000281088</v>
      </c>
    </row>
    <row r="703" spans="1:40" x14ac:dyDescent="0.25">
      <c r="A703" t="str">
        <f>"20190303170731592"</f>
        <v>20190303170731592</v>
      </c>
      <c r="B703" t="str">
        <f>"1551604051583172"</f>
        <v>1551604051583172</v>
      </c>
      <c r="C703" t="s">
        <v>40</v>
      </c>
      <c r="D703">
        <v>4.932207</v>
      </c>
      <c r="E703">
        <v>0.49867709999999998</v>
      </c>
      <c r="F703" t="s">
        <v>43</v>
      </c>
      <c r="G703">
        <v>-217.61160000000001</v>
      </c>
      <c r="H703" s="1">
        <v>-2.6595780000000002E-6</v>
      </c>
      <c r="I703">
        <v>362.6232</v>
      </c>
      <c r="J703">
        <v>-264.0677</v>
      </c>
      <c r="K703">
        <v>1.121264</v>
      </c>
      <c r="L703">
        <v>367.41489999999999</v>
      </c>
      <c r="M703">
        <v>0.99992110000000001</v>
      </c>
      <c r="N703">
        <v>-1.2492730000000001E-2</v>
      </c>
      <c r="O703">
        <v>1.375474E-3</v>
      </c>
      <c r="P703">
        <v>0.97620580000000001</v>
      </c>
      <c r="Q703">
        <v>0.18123649999999999</v>
      </c>
      <c r="R703">
        <v>-0.1190625</v>
      </c>
      <c r="S703">
        <v>3.0486149999999999</v>
      </c>
      <c r="T703">
        <v>-7.3064799999999999E-2</v>
      </c>
      <c r="U703">
        <v>-0.31219479999999999</v>
      </c>
      <c r="V703">
        <v>0.1202858</v>
      </c>
      <c r="W703">
        <v>0.19349</v>
      </c>
      <c r="X703">
        <v>0.97370060000000003</v>
      </c>
      <c r="Y703">
        <v>0.1031962</v>
      </c>
      <c r="Z703">
        <v>-1.8954130000000001E-3</v>
      </c>
      <c r="AA703">
        <v>0.99465919999999997</v>
      </c>
      <c r="AB703">
        <v>32</v>
      </c>
      <c r="AC703">
        <v>46.4560999999999</v>
      </c>
      <c r="AD703">
        <v>-1.1212666595780001</v>
      </c>
      <c r="AE703">
        <v>-4.7916999999999899</v>
      </c>
      <c r="AF703">
        <v>4.8528023708229204</v>
      </c>
      <c r="AG703">
        <v>-1.1212666595780001</v>
      </c>
      <c r="AH703">
        <v>46.422705864864703</v>
      </c>
      <c r="AI703">
        <v>91.376123926581201</v>
      </c>
      <c r="AJ703">
        <v>84.032254451925397</v>
      </c>
      <c r="AK703">
        <v>46.689126674075702</v>
      </c>
      <c r="AL703">
        <v>78.843472423130393</v>
      </c>
      <c r="AM703">
        <v>82.957663054095306</v>
      </c>
      <c r="AN703">
        <v>0.99999995611099901</v>
      </c>
    </row>
    <row r="704" spans="1:40" x14ac:dyDescent="0.25">
      <c r="A704" t="str">
        <f>"20190303170731613"</f>
        <v>20190303170731613</v>
      </c>
      <c r="B704" t="str">
        <f>"1551604051603199"</f>
        <v>1551604051603199</v>
      </c>
      <c r="C704" t="s">
        <v>40</v>
      </c>
      <c r="D704">
        <v>4.874797</v>
      </c>
      <c r="E704">
        <v>0.49896119999999999</v>
      </c>
      <c r="F704" t="s">
        <v>43</v>
      </c>
      <c r="G704">
        <v>-216.70570000000001</v>
      </c>
      <c r="H704" s="1">
        <v>-2.9942160000000001E-6</v>
      </c>
      <c r="I704">
        <v>362.52409999999998</v>
      </c>
      <c r="J704">
        <v>-263.755</v>
      </c>
      <c r="K704">
        <v>1.121265</v>
      </c>
      <c r="L704">
        <v>367.41570000000002</v>
      </c>
      <c r="M704">
        <v>0.99992040000000004</v>
      </c>
      <c r="N704">
        <v>-1.2508170000000001E-2</v>
      </c>
      <c r="O704">
        <v>1.6736920000000001E-3</v>
      </c>
      <c r="P704">
        <v>0.97650879999999995</v>
      </c>
      <c r="Q704">
        <v>0.18028179999999999</v>
      </c>
      <c r="R704">
        <v>-0.118020899999999</v>
      </c>
      <c r="S704">
        <v>3.0481259999999999</v>
      </c>
      <c r="T704">
        <v>-7.2162390000000007E-2</v>
      </c>
      <c r="U704">
        <v>-0.31475829999999999</v>
      </c>
      <c r="V704">
        <v>0.1195363</v>
      </c>
      <c r="W704">
        <v>0.19255340000000001</v>
      </c>
      <c r="X704">
        <v>0.97397860000000003</v>
      </c>
      <c r="Y704">
        <v>0.1043371</v>
      </c>
      <c r="Z704">
        <v>-1.904673E-3</v>
      </c>
      <c r="AA704">
        <v>0.99454019999999999</v>
      </c>
      <c r="AB704">
        <v>32</v>
      </c>
      <c r="AC704">
        <v>47.049299999999903</v>
      </c>
      <c r="AD704">
        <v>-1.121267994216</v>
      </c>
      <c r="AE704">
        <v>-4.8916000000000404</v>
      </c>
      <c r="AF704">
        <v>4.9675541753645804</v>
      </c>
      <c r="AG704">
        <v>-1.121267994216</v>
      </c>
      <c r="AH704">
        <v>47.014629855019699</v>
      </c>
      <c r="AI704">
        <v>91.358647608880801</v>
      </c>
      <c r="AJ704">
        <v>83.968520770526396</v>
      </c>
      <c r="AK704">
        <v>47.289631599374403</v>
      </c>
      <c r="AL704">
        <v>78.898164947544998</v>
      </c>
      <c r="AM704">
        <v>83.003085123560894</v>
      </c>
      <c r="AN704">
        <v>1.0000000260635999</v>
      </c>
    </row>
    <row r="705" spans="1:40" x14ac:dyDescent="0.25">
      <c r="A705" t="str">
        <f>"20190303170731635"</f>
        <v>20190303170731635</v>
      </c>
      <c r="B705" t="str">
        <f>"1551604051622719"</f>
        <v>1551604051622719</v>
      </c>
      <c r="C705" t="s">
        <v>40</v>
      </c>
      <c r="D705">
        <v>4.9336869999999999</v>
      </c>
      <c r="E705">
        <v>0.49928020000000001</v>
      </c>
      <c r="F705" t="s">
        <v>43</v>
      </c>
      <c r="G705">
        <v>-217.63409999999999</v>
      </c>
      <c r="H705" s="1">
        <v>-2.6430930000000002E-6</v>
      </c>
      <c r="I705">
        <v>362.65640000000002</v>
      </c>
      <c r="J705">
        <v>-263.43869999999998</v>
      </c>
      <c r="K705">
        <v>1.1212759999999999</v>
      </c>
      <c r="L705">
        <v>367.41660000000002</v>
      </c>
      <c r="M705">
        <v>0.99991980000000003</v>
      </c>
      <c r="N705">
        <v>-1.252178E-2</v>
      </c>
      <c r="O705">
        <v>1.9756130000000002E-3</v>
      </c>
      <c r="P705">
        <v>0.97672840000000005</v>
      </c>
      <c r="Q705">
        <v>0.17943439999999999</v>
      </c>
      <c r="R705">
        <v>-0.11749519999999999</v>
      </c>
      <c r="S705">
        <v>3.0478519999999998</v>
      </c>
      <c r="T705">
        <v>-7.4097629999999998E-2</v>
      </c>
      <c r="U705">
        <v>-0.31451420000000002</v>
      </c>
      <c r="V705">
        <v>0.11930639999999899</v>
      </c>
      <c r="W705">
        <v>0.19172139999999999</v>
      </c>
      <c r="X705">
        <v>0.97417089999999995</v>
      </c>
      <c r="Y705">
        <v>0.10456550000000001</v>
      </c>
      <c r="Z705">
        <v>-1.9473209999999999E-3</v>
      </c>
      <c r="AA705">
        <v>0.99451610000000001</v>
      </c>
      <c r="AB705">
        <v>32</v>
      </c>
      <c r="AC705">
        <v>45.804599999999901</v>
      </c>
      <c r="AD705">
        <v>-1.121278643093</v>
      </c>
      <c r="AE705">
        <v>-4.7601999999999904</v>
      </c>
      <c r="AF705">
        <v>4.8478159340394598</v>
      </c>
      <c r="AG705">
        <v>-1.121278643093</v>
      </c>
      <c r="AH705">
        <v>45.767972083283503</v>
      </c>
      <c r="AI705">
        <v>91.395615927316001</v>
      </c>
      <c r="AJ705">
        <v>83.953685198240905</v>
      </c>
      <c r="AK705">
        <v>46.037656909773297</v>
      </c>
      <c r="AL705">
        <v>78.946740101139198</v>
      </c>
      <c r="AM705">
        <v>83.017773977257306</v>
      </c>
      <c r="AN705">
        <v>1.00000002735286</v>
      </c>
    </row>
    <row r="706" spans="1:40" x14ac:dyDescent="0.25">
      <c r="A706" t="str">
        <f>"20190303170731658"</f>
        <v>20190303170731658</v>
      </c>
      <c r="B706" t="str">
        <f>"1551604051652976"</f>
        <v>1551604051652976</v>
      </c>
      <c r="C706" t="s">
        <v>40</v>
      </c>
      <c r="D706">
        <v>4.818727</v>
      </c>
      <c r="E706">
        <v>0.49977519999999998</v>
      </c>
      <c r="F706" t="s">
        <v>43</v>
      </c>
      <c r="G706">
        <v>-218.36680000000001</v>
      </c>
      <c r="H706" s="1">
        <v>-2.3710310000000001E-6</v>
      </c>
      <c r="I706">
        <v>362.74180000000001</v>
      </c>
      <c r="J706">
        <v>-263.10289999999998</v>
      </c>
      <c r="K706">
        <v>1.1212879999999901</v>
      </c>
      <c r="L706">
        <v>367.41759999999999</v>
      </c>
      <c r="M706">
        <v>0.9999188</v>
      </c>
      <c r="N706">
        <v>-1.253428E-2</v>
      </c>
      <c r="O706">
        <v>2.295844E-3</v>
      </c>
      <c r="P706">
        <v>0.97651359999999998</v>
      </c>
      <c r="Q706">
        <v>0.18061179999999999</v>
      </c>
      <c r="R706">
        <v>-0.11747639999999999</v>
      </c>
      <c r="S706">
        <v>3.0473940000000002</v>
      </c>
      <c r="T706">
        <v>-7.5811509999999999E-2</v>
      </c>
      <c r="U706">
        <v>-0.31607059999999998</v>
      </c>
      <c r="V706">
        <v>0.11959889999999999</v>
      </c>
      <c r="W706">
        <v>0.192908</v>
      </c>
      <c r="X706">
        <v>0.97390069999999995</v>
      </c>
      <c r="Y706">
        <v>0.1053996</v>
      </c>
      <c r="Z706">
        <v>-1.998087E-3</v>
      </c>
      <c r="AA706">
        <v>0.99442790000000003</v>
      </c>
      <c r="AB706">
        <v>32</v>
      </c>
      <c r="AC706">
        <v>44.736099999999901</v>
      </c>
      <c r="AD706">
        <v>-1.1212903710309901</v>
      </c>
      <c r="AE706">
        <v>-4.6757999999999802</v>
      </c>
      <c r="AF706">
        <v>4.7755351289451298</v>
      </c>
      <c r="AG706">
        <v>-1.1212903710309901</v>
      </c>
      <c r="AH706">
        <v>44.697469402139497</v>
      </c>
      <c r="AI706">
        <v>91.428903929683997</v>
      </c>
      <c r="AJ706">
        <v>83.901579609119807</v>
      </c>
      <c r="AK706">
        <v>44.965840354864397</v>
      </c>
      <c r="AL706">
        <v>78.877459195133596</v>
      </c>
      <c r="AM706">
        <v>82.998902856921106</v>
      </c>
      <c r="AN706">
        <v>0.99999998340284901</v>
      </c>
    </row>
    <row r="707" spans="1:40" x14ac:dyDescent="0.25">
      <c r="A707" t="str">
        <f>"20190303170731680"</f>
        <v>20190303170731680</v>
      </c>
      <c r="B707" t="str">
        <f>"1551604051672495"</f>
        <v>1551604051672495</v>
      </c>
      <c r="C707" t="s">
        <v>40</v>
      </c>
      <c r="D707">
        <v>4.623246</v>
      </c>
      <c r="E707">
        <v>0.50870029999999999</v>
      </c>
      <c r="F707" t="s">
        <v>43</v>
      </c>
      <c r="G707">
        <v>-215.077</v>
      </c>
      <c r="H707" s="1">
        <v>-3.5876850000000002E-6</v>
      </c>
      <c r="I707">
        <v>362.3768</v>
      </c>
      <c r="J707">
        <v>-262.78519999999997</v>
      </c>
      <c r="K707">
        <v>1.1212949999999999</v>
      </c>
      <c r="L707">
        <v>367.4187</v>
      </c>
      <c r="M707">
        <v>0.99991799999999997</v>
      </c>
      <c r="N707">
        <v>-1.254447E-2</v>
      </c>
      <c r="O707">
        <v>2.5989780000000001E-3</v>
      </c>
      <c r="P707">
        <v>0.97647459999999997</v>
      </c>
      <c r="Q707">
        <v>0.1810485</v>
      </c>
      <c r="R707">
        <v>-0.1171283</v>
      </c>
      <c r="S707">
        <v>3.0468139999999999</v>
      </c>
      <c r="T707">
        <v>-7.1135760000000006E-2</v>
      </c>
      <c r="U707">
        <v>-0.31979370000000001</v>
      </c>
      <c r="V707">
        <v>0.1195465</v>
      </c>
      <c r="W707">
        <v>0.19335350000000001</v>
      </c>
      <c r="X707">
        <v>0.97381879999999998</v>
      </c>
      <c r="Y707">
        <v>0.1069266</v>
      </c>
      <c r="Z707">
        <v>-1.9453199999999999E-3</v>
      </c>
      <c r="AA707">
        <v>0.99426499999999995</v>
      </c>
      <c r="AB707">
        <v>32</v>
      </c>
      <c r="AC707">
        <v>47.708199999999898</v>
      </c>
      <c r="AD707">
        <v>-1.1212985876849999</v>
      </c>
      <c r="AE707">
        <v>-5.0418999999999903</v>
      </c>
      <c r="AF707">
        <v>5.1630646875450301</v>
      </c>
      <c r="AG707">
        <v>-1.1212985876849999</v>
      </c>
      <c r="AH707">
        <v>47.668892413721402</v>
      </c>
      <c r="AI707">
        <v>91.339667763013907</v>
      </c>
      <c r="AJ707">
        <v>83.818335453227604</v>
      </c>
      <c r="AK707">
        <v>47.960794941717403</v>
      </c>
      <c r="AL707">
        <v>78.851444309660806</v>
      </c>
      <c r="AM707">
        <v>83.001357120050997</v>
      </c>
      <c r="AN707">
        <v>0.99999999842897003</v>
      </c>
    </row>
    <row r="708" spans="1:40" x14ac:dyDescent="0.25">
      <c r="A708" t="str">
        <f>"20190303170731702"</f>
        <v>20190303170731702</v>
      </c>
      <c r="B708" t="str">
        <f>"1551604051692523"</f>
        <v>1551604051692523</v>
      </c>
      <c r="C708" t="s">
        <v>40</v>
      </c>
      <c r="D708">
        <v>4.8746989999999997</v>
      </c>
      <c r="E708">
        <v>0.50869640000000005</v>
      </c>
      <c r="F708" t="s">
        <v>48</v>
      </c>
      <c r="G708">
        <v>-203.82640000000001</v>
      </c>
      <c r="H708" s="1">
        <v>-4.5334100000000004E-6</v>
      </c>
      <c r="I708">
        <v>359.83370000000002</v>
      </c>
      <c r="J708">
        <v>-262.46839999999997</v>
      </c>
      <c r="K708">
        <v>1.1212899999999999</v>
      </c>
      <c r="L708">
        <v>367.41989999999998</v>
      </c>
      <c r="M708">
        <v>0.99991699999999994</v>
      </c>
      <c r="N708">
        <v>-1.2556289999999999E-2</v>
      </c>
      <c r="O708">
        <v>2.9002479999999998E-3</v>
      </c>
      <c r="P708">
        <v>0.97677700000000001</v>
      </c>
      <c r="Q708">
        <v>0.17974479999999901</v>
      </c>
      <c r="R708">
        <v>-0.1166126</v>
      </c>
      <c r="S708">
        <v>3.036133</v>
      </c>
      <c r="T708">
        <v>-5.774224E-2</v>
      </c>
      <c r="U708">
        <v>-0.39059450000000001</v>
      </c>
      <c r="V708">
        <v>0.1193269</v>
      </c>
      <c r="W708">
        <v>0.19206490000000001</v>
      </c>
      <c r="X708">
        <v>0.97410070000000004</v>
      </c>
      <c r="Y708">
        <v>0.13043450000000001</v>
      </c>
      <c r="Z708">
        <v>-2.0761899999999999E-3</v>
      </c>
      <c r="AA708">
        <v>0.99145470000000002</v>
      </c>
      <c r="AB708">
        <v>32</v>
      </c>
      <c r="AC708">
        <v>58.641999999999904</v>
      </c>
      <c r="AD708">
        <v>-1.12129453341</v>
      </c>
      <c r="AE708">
        <v>-7.5861999999999599</v>
      </c>
      <c r="AF708">
        <v>7.7534697234991796</v>
      </c>
      <c r="AG708">
        <v>-1.12129453341</v>
      </c>
      <c r="AH708">
        <v>58.598677924800199</v>
      </c>
      <c r="AI708">
        <v>91.086760110037602</v>
      </c>
      <c r="AJ708">
        <v>82.462705101367106</v>
      </c>
      <c r="AK708">
        <v>59.1200359329927</v>
      </c>
      <c r="AL708">
        <v>78.926686059879302</v>
      </c>
      <c r="AM708">
        <v>83.016087791432</v>
      </c>
      <c r="AN708">
        <v>1.0000000043080499</v>
      </c>
    </row>
    <row r="709" spans="1:40" x14ac:dyDescent="0.25">
      <c r="A709" t="str">
        <f>"20190303170731724"</f>
        <v>20190303170731724</v>
      </c>
      <c r="B709" t="str">
        <f>"1551604051713018"</f>
        <v>1551604051713018</v>
      </c>
      <c r="C709" t="s">
        <v>40</v>
      </c>
      <c r="D709">
        <v>4.8158859999999999</v>
      </c>
      <c r="E709">
        <v>0.50898189999999999</v>
      </c>
      <c r="F709" t="s">
        <v>48</v>
      </c>
      <c r="G709">
        <v>-208.7122</v>
      </c>
      <c r="H709" s="1">
        <v>-6.2726769999999997E-6</v>
      </c>
      <c r="I709">
        <v>360.53320000000002</v>
      </c>
      <c r="J709">
        <v>-262.15230000000003</v>
      </c>
      <c r="K709">
        <v>1.1212899999999999</v>
      </c>
      <c r="L709">
        <v>367.42110000000002</v>
      </c>
      <c r="M709">
        <v>0.99991589999999997</v>
      </c>
      <c r="N709">
        <v>-1.257136E-2</v>
      </c>
      <c r="O709">
        <v>3.1987510000000001E-3</v>
      </c>
      <c r="P709">
        <v>0.976877</v>
      </c>
      <c r="Q709">
        <v>0.17918909999999999</v>
      </c>
      <c r="R709">
        <v>-0.1166309</v>
      </c>
      <c r="S709">
        <v>3.03653</v>
      </c>
      <c r="T709">
        <v>-6.3338640000000002E-2</v>
      </c>
      <c r="U709">
        <v>-0.38900760000000001</v>
      </c>
      <c r="V709">
        <v>0.11963790000000001</v>
      </c>
      <c r="W709">
        <v>0.19152430000000001</v>
      </c>
      <c r="X709">
        <v>0.97416899999999995</v>
      </c>
      <c r="Y709">
        <v>0.13019819999999999</v>
      </c>
      <c r="Z709">
        <v>-2.200512E-3</v>
      </c>
      <c r="AA709">
        <v>0.99148550000000002</v>
      </c>
      <c r="AB709">
        <v>32</v>
      </c>
      <c r="AC709">
        <v>53.440100000000001</v>
      </c>
      <c r="AD709">
        <v>-1.1212962726769999</v>
      </c>
      <c r="AE709">
        <v>-6.8879000000000001</v>
      </c>
      <c r="AF709">
        <v>7.0557642438834902</v>
      </c>
      <c r="AG709">
        <v>-1.1212962726769999</v>
      </c>
      <c r="AH709">
        <v>53.394668902669501</v>
      </c>
      <c r="AI709">
        <v>91.192678233559207</v>
      </c>
      <c r="AJ709">
        <v>82.472342555272107</v>
      </c>
      <c r="AK709">
        <v>53.870509387067202</v>
      </c>
      <c r="AL709">
        <v>78.958246159881</v>
      </c>
      <c r="AM709">
        <v>82.998552214987697</v>
      </c>
      <c r="AN709">
        <v>1.0000000125839399</v>
      </c>
    </row>
    <row r="710" spans="1:40" x14ac:dyDescent="0.25">
      <c r="A710" t="str">
        <f>"20190303170731748"</f>
        <v>20190303170731748</v>
      </c>
      <c r="B710" t="str">
        <f>"1551604051743274"</f>
        <v>1551604051743274</v>
      </c>
      <c r="C710" t="s">
        <v>40</v>
      </c>
      <c r="D710">
        <v>4.6169820000000001</v>
      </c>
      <c r="E710">
        <v>0.50965699999999903</v>
      </c>
      <c r="F710" t="s">
        <v>43</v>
      </c>
      <c r="G710">
        <v>-210.00049999999999</v>
      </c>
      <c r="H710" s="1">
        <v>-5.8551759999999996E-6</v>
      </c>
      <c r="I710">
        <v>360.69170000000003</v>
      </c>
      <c r="J710">
        <v>-261.81869999999998</v>
      </c>
      <c r="K710">
        <v>1.121292</v>
      </c>
      <c r="L710">
        <v>367.42259999999999</v>
      </c>
      <c r="M710">
        <v>0.99991459999999999</v>
      </c>
      <c r="N710">
        <v>-1.25922E-2</v>
      </c>
      <c r="O710">
        <v>3.5101569999999999E-3</v>
      </c>
      <c r="P710">
        <v>0.97686859999999998</v>
      </c>
      <c r="Q710">
        <v>0.17943439999999999</v>
      </c>
      <c r="R710">
        <v>-0.1163242</v>
      </c>
      <c r="S710">
        <v>3.0362550000000001</v>
      </c>
      <c r="T710">
        <v>-6.5281149999999996E-2</v>
      </c>
      <c r="U710">
        <v>-0.39178469999999999</v>
      </c>
      <c r="V710">
        <v>0.119635199999999</v>
      </c>
      <c r="W710">
        <v>0.19178919999999999</v>
      </c>
      <c r="X710">
        <v>0.97411720000000002</v>
      </c>
      <c r="Y710">
        <v>0.13140750000000001</v>
      </c>
      <c r="Z710">
        <v>-2.2687670000000001E-3</v>
      </c>
      <c r="AA710">
        <v>0.99132589999999998</v>
      </c>
      <c r="AB710">
        <v>32</v>
      </c>
      <c r="AC710">
        <v>51.818199999999898</v>
      </c>
      <c r="AD710">
        <v>-1.121297855176</v>
      </c>
      <c r="AE710">
        <v>-6.7308999999999601</v>
      </c>
      <c r="AF710">
        <v>6.90958123411699</v>
      </c>
      <c r="AG710">
        <v>-1.121297855176</v>
      </c>
      <c r="AH710">
        <v>51.770413087884201</v>
      </c>
      <c r="AI710">
        <v>91.229875811027298</v>
      </c>
      <c r="AJ710">
        <v>82.397897774680004</v>
      </c>
      <c r="AK710">
        <v>52.241509290994401</v>
      </c>
      <c r="AL710">
        <v>78.942781676511302</v>
      </c>
      <c r="AM710">
        <v>82.998340048318198</v>
      </c>
      <c r="AN710">
        <v>0.99999999882575996</v>
      </c>
    </row>
    <row r="711" spans="1:40" x14ac:dyDescent="0.25">
      <c r="A711" t="str">
        <f>"20190303170731770"</f>
        <v>20190303170731770</v>
      </c>
      <c r="B711" t="str">
        <f>"1551604051762794"</f>
        <v>1551604051762794</v>
      </c>
      <c r="C711" t="s">
        <v>40</v>
      </c>
      <c r="D711">
        <v>4.8245829999999996</v>
      </c>
      <c r="E711">
        <v>0.50996140000000001</v>
      </c>
      <c r="F711" t="s">
        <v>43</v>
      </c>
      <c r="G711">
        <v>-210.44749999999999</v>
      </c>
      <c r="H711" s="1">
        <v>-5.657891E-6</v>
      </c>
      <c r="I711">
        <v>360.72280000000001</v>
      </c>
      <c r="J711">
        <v>-261.4855</v>
      </c>
      <c r="K711">
        <v>1.1212949999999999</v>
      </c>
      <c r="L711">
        <v>367.42410000000001</v>
      </c>
      <c r="M711">
        <v>0.99991319999999995</v>
      </c>
      <c r="N711">
        <v>-1.2616230000000001E-2</v>
      </c>
      <c r="O711">
        <v>3.8209300000000002E-3</v>
      </c>
      <c r="P711">
        <v>0.97704310000000005</v>
      </c>
      <c r="Q711">
        <v>0.1785648</v>
      </c>
      <c r="R711">
        <v>-0.11619649999999999</v>
      </c>
      <c r="S711">
        <v>3.0360719999999999</v>
      </c>
      <c r="T711">
        <v>-6.6269399999999895E-2</v>
      </c>
      <c r="U711">
        <v>-0.39596559999999997</v>
      </c>
      <c r="V711">
        <v>0.11981310000000001</v>
      </c>
      <c r="W711">
        <v>0.19094449999999999</v>
      </c>
      <c r="X711">
        <v>0.9742613</v>
      </c>
      <c r="Y711">
        <v>0.13306370000000001</v>
      </c>
      <c r="Z711">
        <v>-2.324076E-3</v>
      </c>
      <c r="AA711">
        <v>0.99110480000000001</v>
      </c>
      <c r="AB711">
        <v>32</v>
      </c>
      <c r="AC711">
        <v>51.037999999999997</v>
      </c>
      <c r="AD711">
        <v>-1.1213006578910001</v>
      </c>
      <c r="AE711">
        <v>-6.7012999999999998</v>
      </c>
      <c r="AF711">
        <v>6.8930084918535401</v>
      </c>
      <c r="AG711">
        <v>-1.1213006578910001</v>
      </c>
      <c r="AH711">
        <v>50.987826566111899</v>
      </c>
      <c r="AI711">
        <v>91.248465894355206</v>
      </c>
      <c r="AJ711">
        <v>82.300900637924002</v>
      </c>
      <c r="AK711">
        <v>51.463864401831103</v>
      </c>
      <c r="AL711">
        <v>78.992091081127697</v>
      </c>
      <c r="AM711">
        <v>82.989058804657205</v>
      </c>
      <c r="AN711">
        <v>1.0000000308447701</v>
      </c>
    </row>
    <row r="712" spans="1:40" x14ac:dyDescent="0.25">
      <c r="A712" t="str">
        <f>"20190303170731792"</f>
        <v>20190303170731792</v>
      </c>
      <c r="B712" t="str">
        <f>"1551604051783290"</f>
        <v>1551604051783290</v>
      </c>
      <c r="C712" t="s">
        <v>40</v>
      </c>
      <c r="D712">
        <v>4.6407590000000001</v>
      </c>
      <c r="E712">
        <v>0.51012500000000005</v>
      </c>
      <c r="F712" t="s">
        <v>43</v>
      </c>
      <c r="G712">
        <v>-211.74170000000001</v>
      </c>
      <c r="H712" s="1">
        <v>-5.1168389999999999E-6</v>
      </c>
      <c r="I712">
        <v>360.89550000000003</v>
      </c>
      <c r="J712">
        <v>-261.17500000000001</v>
      </c>
      <c r="K712">
        <v>1.121299</v>
      </c>
      <c r="L712">
        <v>367.42570000000001</v>
      </c>
      <c r="M712">
        <v>0.99991169999999996</v>
      </c>
      <c r="N712">
        <v>-1.2638409999999999E-2</v>
      </c>
      <c r="O712">
        <v>4.1111510000000004E-3</v>
      </c>
      <c r="P712">
        <v>0.97715529999999995</v>
      </c>
      <c r="Q712">
        <v>0.17812610000000001</v>
      </c>
      <c r="R712">
        <v>-0.1159268</v>
      </c>
      <c r="S712">
        <v>3.0356139999999998</v>
      </c>
      <c r="T712">
        <v>-6.8427210000000002E-2</v>
      </c>
      <c r="U712">
        <v>-0.39840700000000001</v>
      </c>
      <c r="V712">
        <v>0.1198285</v>
      </c>
      <c r="W712">
        <v>0.1905279</v>
      </c>
      <c r="X712">
        <v>0.97434100000000001</v>
      </c>
      <c r="Y712">
        <v>0.13415099999999999</v>
      </c>
      <c r="Z712">
        <v>-2.3974209999999998E-3</v>
      </c>
      <c r="AA712">
        <v>0.99095800000000001</v>
      </c>
      <c r="AB712">
        <v>32</v>
      </c>
      <c r="AC712">
        <v>49.433300000000003</v>
      </c>
      <c r="AD712">
        <v>-1.1213041168389899</v>
      </c>
      <c r="AE712">
        <v>-6.5301999999999696</v>
      </c>
      <c r="AF712">
        <v>6.7299854314369796</v>
      </c>
      <c r="AG712">
        <v>-1.1213041168389899</v>
      </c>
      <c r="AH712">
        <v>49.381061322967199</v>
      </c>
      <c r="AI712">
        <v>91.288890588441006</v>
      </c>
      <c r="AJ712">
        <v>82.239157648236997</v>
      </c>
      <c r="AK712">
        <v>49.850167945679402</v>
      </c>
      <c r="AL712">
        <v>79.016407312661897</v>
      </c>
      <c r="AM712">
        <v>82.988734484850298</v>
      </c>
      <c r="AN712">
        <v>1.00000006718582</v>
      </c>
    </row>
    <row r="713" spans="1:40" x14ac:dyDescent="0.25">
      <c r="A713" t="str">
        <f>"20190303170731815"</f>
        <v>20190303170731815</v>
      </c>
      <c r="B713" t="str">
        <f>"1551604051803316"</f>
        <v>1551604051803316</v>
      </c>
      <c r="C713" t="s">
        <v>40</v>
      </c>
      <c r="D713">
        <v>4.8806000000000003</v>
      </c>
      <c r="E713">
        <v>0.51027239999999996</v>
      </c>
      <c r="F713" t="s">
        <v>43</v>
      </c>
      <c r="G713">
        <v>-211.6651</v>
      </c>
      <c r="H713" s="1">
        <v>-5.1382030000000001E-6</v>
      </c>
      <c r="I713">
        <v>360.91309999999999</v>
      </c>
      <c r="J713">
        <v>-260.85070000000002</v>
      </c>
      <c r="K713">
        <v>1.1213059999999999</v>
      </c>
      <c r="L713">
        <v>367.42739999999998</v>
      </c>
      <c r="M713">
        <v>0.99991019999999997</v>
      </c>
      <c r="N713">
        <v>-1.266139E-2</v>
      </c>
      <c r="O713">
        <v>4.4146050000000003E-3</v>
      </c>
      <c r="P713">
        <v>0.9770993</v>
      </c>
      <c r="Q713">
        <v>0.17847489999999999</v>
      </c>
      <c r="R713">
        <v>-0.1158618</v>
      </c>
      <c r="S713">
        <v>3.0353089999999998</v>
      </c>
      <c r="T713">
        <v>-6.8743819999999997E-2</v>
      </c>
      <c r="U713">
        <v>-0.39926149999999999</v>
      </c>
      <c r="V713">
        <v>0.1200601</v>
      </c>
      <c r="W713">
        <v>0.1908977</v>
      </c>
      <c r="X713">
        <v>0.97424010000000005</v>
      </c>
      <c r="Y713">
        <v>0.1347381</v>
      </c>
      <c r="Z713">
        <v>-2.4197870000000001E-3</v>
      </c>
      <c r="AA713">
        <v>0.99087829999999999</v>
      </c>
      <c r="AB713">
        <v>32</v>
      </c>
      <c r="AC713">
        <v>49.185600000000001</v>
      </c>
      <c r="AD713">
        <v>-1.1213111382030001</v>
      </c>
      <c r="AE713">
        <v>-6.5142999999999898</v>
      </c>
      <c r="AF713">
        <v>6.7279524636983297</v>
      </c>
      <c r="AG713">
        <v>-1.1213111382030001</v>
      </c>
      <c r="AH713">
        <v>49.131265559474002</v>
      </c>
      <c r="AI713">
        <v>91.295336365666003</v>
      </c>
      <c r="AJ713">
        <v>82.202511199405606</v>
      </c>
      <c r="AK713">
        <v>49.602458996485197</v>
      </c>
      <c r="AL713">
        <v>78.994823163223899</v>
      </c>
      <c r="AM713">
        <v>82.974598375304396</v>
      </c>
      <c r="AN713">
        <v>1.00000006596265</v>
      </c>
    </row>
    <row r="714" spans="1:40" x14ac:dyDescent="0.25">
      <c r="A714" t="str">
        <f>"20190303170731837"</f>
        <v>20190303170731837</v>
      </c>
      <c r="B714" t="str">
        <f>"1551604051823811"</f>
        <v>1551604051823811</v>
      </c>
      <c r="C714" t="s">
        <v>40</v>
      </c>
      <c r="D714">
        <v>4.8733259999999996</v>
      </c>
      <c r="E714">
        <v>0.51038149999999904</v>
      </c>
      <c r="F714" t="s">
        <v>43</v>
      </c>
      <c r="G714">
        <v>-210.6465</v>
      </c>
      <c r="H714" s="1">
        <v>-5.5603599999999897E-6</v>
      </c>
      <c r="I714">
        <v>360.79140000000001</v>
      </c>
      <c r="J714">
        <v>-260.53140000000002</v>
      </c>
      <c r="K714">
        <v>1.12131</v>
      </c>
      <c r="L714">
        <v>367.42910000000001</v>
      </c>
      <c r="M714">
        <v>0.99990840000000003</v>
      </c>
      <c r="N714">
        <v>-1.2688970000000001E-2</v>
      </c>
      <c r="O714">
        <v>4.7119550000000003E-3</v>
      </c>
      <c r="P714">
        <v>0.97689090000000001</v>
      </c>
      <c r="Q714">
        <v>0.17920359999999999</v>
      </c>
      <c r="R714">
        <v>-0.1164905</v>
      </c>
      <c r="S714">
        <v>3.0351560000000002</v>
      </c>
      <c r="T714">
        <v>-6.7790149999999993E-2</v>
      </c>
      <c r="U714">
        <v>-0.40118409999999999</v>
      </c>
      <c r="V714">
        <v>0.1209784</v>
      </c>
      <c r="W714">
        <v>0.19165019999999999</v>
      </c>
      <c r="X714">
        <v>0.97397860000000003</v>
      </c>
      <c r="Y714">
        <v>0.1356569</v>
      </c>
      <c r="Z714">
        <v>-2.4180579999999998E-3</v>
      </c>
      <c r="AA714">
        <v>0.99075290000000005</v>
      </c>
      <c r="AB714">
        <v>32</v>
      </c>
      <c r="AC714">
        <v>49.884900000000002</v>
      </c>
      <c r="AD714">
        <v>-1.12131556036</v>
      </c>
      <c r="AE714">
        <v>-6.6376999999999899</v>
      </c>
      <c r="AF714">
        <v>6.8692902113166303</v>
      </c>
      <c r="AG714">
        <v>-1.12131556036</v>
      </c>
      <c r="AH714">
        <v>49.828328645465703</v>
      </c>
      <c r="AI714">
        <v>91.277068068013307</v>
      </c>
      <c r="AJ714">
        <v>82.150729447205904</v>
      </c>
      <c r="AK714">
        <v>50.3120942934572</v>
      </c>
      <c r="AL714">
        <v>78.950895692399897</v>
      </c>
      <c r="AM714">
        <v>82.919525262967099</v>
      </c>
      <c r="AN714">
        <v>0.999999942842278</v>
      </c>
    </row>
    <row r="715" spans="1:40" x14ac:dyDescent="0.25">
      <c r="A715" t="str">
        <f>"20190303170731859"</f>
        <v>20190303170731859</v>
      </c>
      <c r="B715" t="str">
        <f>"1551604051853092"</f>
        <v>1551604051853092</v>
      </c>
      <c r="C715" t="s">
        <v>40</v>
      </c>
      <c r="D715">
        <v>4.877243</v>
      </c>
      <c r="E715">
        <v>0.51057459999999999</v>
      </c>
      <c r="F715" t="s">
        <v>48</v>
      </c>
      <c r="G715">
        <v>-208.77780000000001</v>
      </c>
      <c r="H715" s="1">
        <v>-6.2948619999999999E-6</v>
      </c>
      <c r="I715">
        <v>360.53190000000001</v>
      </c>
      <c r="J715">
        <v>-260.1961</v>
      </c>
      <c r="K715">
        <v>1.121318</v>
      </c>
      <c r="L715">
        <v>367.43110000000001</v>
      </c>
      <c r="M715">
        <v>0.99990639999999997</v>
      </c>
      <c r="N715">
        <v>-1.272656E-2</v>
      </c>
      <c r="O715">
        <v>5.0248439999999997E-3</v>
      </c>
      <c r="P715">
        <v>0.97661929999999997</v>
      </c>
      <c r="Q715">
        <v>0.180169</v>
      </c>
      <c r="R715">
        <v>-0.1172777</v>
      </c>
      <c r="S715">
        <v>3.0347900000000001</v>
      </c>
      <c r="T715">
        <v>-6.5753099999999995E-2</v>
      </c>
      <c r="U715">
        <v>-0.40444950000000002</v>
      </c>
      <c r="V715">
        <v>0.12207</v>
      </c>
      <c r="W715">
        <v>0.19264790000000001</v>
      </c>
      <c r="X715">
        <v>0.9736456</v>
      </c>
      <c r="Y715">
        <v>0.13703189999999901</v>
      </c>
      <c r="Z715">
        <v>-2.398524E-3</v>
      </c>
      <c r="AA715">
        <v>0.99056379999999999</v>
      </c>
      <c r="AB715">
        <v>32</v>
      </c>
      <c r="AC715">
        <v>51.418299999999903</v>
      </c>
      <c r="AD715">
        <v>-1.1213242948619999</v>
      </c>
      <c r="AE715">
        <v>-6.8992000000000004</v>
      </c>
      <c r="AF715">
        <v>7.1541605152309504</v>
      </c>
      <c r="AG715">
        <v>-1.1213242948619999</v>
      </c>
      <c r="AH715">
        <v>51.358987019137203</v>
      </c>
      <c r="AI715">
        <v>91.2387869830997</v>
      </c>
      <c r="AJ715">
        <v>82.069889628071095</v>
      </c>
      <c r="AK715">
        <v>51.866992668592601</v>
      </c>
      <c r="AL715">
        <v>78.892647191835493</v>
      </c>
      <c r="AM715">
        <v>82.853876603149203</v>
      </c>
      <c r="AN715">
        <v>1.00000002633688</v>
      </c>
    </row>
    <row r="716" spans="1:40" x14ac:dyDescent="0.25">
      <c r="A716" t="str">
        <f>"20190303170731881"</f>
        <v>20190303170731881</v>
      </c>
      <c r="B716" t="str">
        <f>"1551604051872611"</f>
        <v>1551604051872611</v>
      </c>
      <c r="C716" t="s">
        <v>40</v>
      </c>
      <c r="D716">
        <v>4.8796999999999997</v>
      </c>
      <c r="E716">
        <v>0.5107083</v>
      </c>
      <c r="F716" t="s">
        <v>48</v>
      </c>
      <c r="G716">
        <v>-204.91659999999999</v>
      </c>
      <c r="H716" s="1">
        <v>-5.0478490000000001E-6</v>
      </c>
      <c r="I716">
        <v>359.98790000000002</v>
      </c>
      <c r="J716">
        <v>-259.89069999999998</v>
      </c>
      <c r="K716">
        <v>1.1213280000000001</v>
      </c>
      <c r="L716">
        <v>367.43299999999999</v>
      </c>
      <c r="M716">
        <v>0.99990460000000003</v>
      </c>
      <c r="N716">
        <v>-1.2766120000000001E-2</v>
      </c>
      <c r="O716">
        <v>5.3127360000000002E-3</v>
      </c>
      <c r="P716">
        <v>0.97657950000000004</v>
      </c>
      <c r="Q716">
        <v>0.1803283</v>
      </c>
      <c r="R716">
        <v>-0.11736439999999999</v>
      </c>
      <c r="S716">
        <v>3.0341490000000002</v>
      </c>
      <c r="T716">
        <v>-6.154656E-2</v>
      </c>
      <c r="U716">
        <v>-0.40853879999999998</v>
      </c>
      <c r="V716">
        <v>0.1224389</v>
      </c>
      <c r="W716">
        <v>0.19284399999999999</v>
      </c>
      <c r="X716">
        <v>0.97356050000000005</v>
      </c>
      <c r="Y716">
        <v>0.13866039999999999</v>
      </c>
      <c r="Z716">
        <v>-2.328882E-3</v>
      </c>
      <c r="AA716">
        <v>0.99033729999999998</v>
      </c>
      <c r="AB716">
        <v>32</v>
      </c>
      <c r="AC716">
        <v>54.9740999999999</v>
      </c>
      <c r="AD716">
        <v>-1.121333047849</v>
      </c>
      <c r="AE716">
        <v>-7.4451000000000196</v>
      </c>
      <c r="AF716">
        <v>7.7339217360334702</v>
      </c>
      <c r="AG716">
        <v>-1.121333047849</v>
      </c>
      <c r="AH716">
        <v>54.911332201306401</v>
      </c>
      <c r="AI716">
        <v>91.158432444332803</v>
      </c>
      <c r="AJ716">
        <v>81.982977230412402</v>
      </c>
      <c r="AK716">
        <v>55.4646314090838</v>
      </c>
      <c r="AL716">
        <v>78.881197269716907</v>
      </c>
      <c r="AM716">
        <v>82.831885022132596</v>
      </c>
      <c r="AN716">
        <v>1.00000006986472</v>
      </c>
    </row>
    <row r="717" spans="1:40" x14ac:dyDescent="0.25">
      <c r="A717" t="str">
        <f>"20190303170731903"</f>
        <v>20190303170731903</v>
      </c>
      <c r="B717" t="str">
        <f>"1551604051893108"</f>
        <v>1551604051893108</v>
      </c>
      <c r="C717" t="s">
        <v>40</v>
      </c>
      <c r="D717">
        <v>4.9375140000000002</v>
      </c>
      <c r="E717">
        <v>0.51087490000000002</v>
      </c>
      <c r="F717" t="s">
        <v>48</v>
      </c>
      <c r="G717">
        <v>-203.6456</v>
      </c>
      <c r="H717" s="1">
        <v>-4.4433810000000002E-6</v>
      </c>
      <c r="I717">
        <v>359.82940000000002</v>
      </c>
      <c r="J717">
        <v>-259.57709999999997</v>
      </c>
      <c r="K717">
        <v>1.121327</v>
      </c>
      <c r="L717">
        <v>367.435</v>
      </c>
      <c r="M717">
        <v>0.99990239999999997</v>
      </c>
      <c r="N717">
        <v>-1.2809950000000001E-2</v>
      </c>
      <c r="O717">
        <v>5.6094750000000001E-3</v>
      </c>
      <c r="P717">
        <v>0.97669810000000001</v>
      </c>
      <c r="Q717">
        <v>0.17977770000000001</v>
      </c>
      <c r="R717">
        <v>-0.1172233</v>
      </c>
      <c r="S717">
        <v>3.0338129999999999</v>
      </c>
      <c r="T717">
        <v>-6.048369E-2</v>
      </c>
      <c r="U717">
        <v>-0.41012569999999998</v>
      </c>
      <c r="V717">
        <v>0.1225898</v>
      </c>
      <c r="W717">
        <v>0.1923368</v>
      </c>
      <c r="X717">
        <v>0.9736418</v>
      </c>
      <c r="Y717">
        <v>0.139478399999999</v>
      </c>
      <c r="Z717">
        <v>-2.3213090000000001E-3</v>
      </c>
      <c r="AA717">
        <v>0.99022239999999995</v>
      </c>
      <c r="AB717">
        <v>32</v>
      </c>
      <c r="AC717">
        <v>55.9314999999999</v>
      </c>
      <c r="AD717">
        <v>-1.121331443381</v>
      </c>
      <c r="AE717">
        <v>-7.6055999999999804</v>
      </c>
      <c r="AF717">
        <v>7.9161283593338201</v>
      </c>
      <c r="AG717">
        <v>-1.121331443381</v>
      </c>
      <c r="AH717">
        <v>55.865906193719198</v>
      </c>
      <c r="AI717">
        <v>91.138507291158703</v>
      </c>
      <c r="AJ717">
        <v>81.934952489148799</v>
      </c>
      <c r="AK717">
        <v>56.435112715868698</v>
      </c>
      <c r="AL717">
        <v>78.910811642973101</v>
      </c>
      <c r="AM717">
        <v>82.823735756843206</v>
      </c>
      <c r="AN717">
        <v>1.00000002920275</v>
      </c>
    </row>
    <row r="718" spans="1:40" x14ac:dyDescent="0.25">
      <c r="A718" t="str">
        <f>"20190303170731926"</f>
        <v>20190303170731926</v>
      </c>
      <c r="B718" t="str">
        <f>"1551604051912628"</f>
        <v>1551604051912628</v>
      </c>
      <c r="C718" t="s">
        <v>40</v>
      </c>
      <c r="D718">
        <v>4.9341080000000002</v>
      </c>
      <c r="E718">
        <v>0.51103189999999998</v>
      </c>
      <c r="F718" t="s">
        <v>48</v>
      </c>
      <c r="G718">
        <v>-204.9075</v>
      </c>
      <c r="H718" s="1">
        <v>-5.0343409999999999E-6</v>
      </c>
      <c r="I718">
        <v>360.02820000000003</v>
      </c>
      <c r="J718">
        <v>-259.25479999999999</v>
      </c>
      <c r="K718">
        <v>1.1213310000000001</v>
      </c>
      <c r="L718">
        <v>367.43709999999999</v>
      </c>
      <c r="M718">
        <v>0.99990000000000001</v>
      </c>
      <c r="N718">
        <v>-1.2856859999999999E-2</v>
      </c>
      <c r="O718">
        <v>5.908338E-3</v>
      </c>
      <c r="P718">
        <v>0.97695920000000003</v>
      </c>
      <c r="Q718">
        <v>0.17860399999999901</v>
      </c>
      <c r="R718">
        <v>-0.11684029999999999</v>
      </c>
      <c r="S718">
        <v>3.0336910000000001</v>
      </c>
      <c r="T718">
        <v>-6.2224389999999997E-2</v>
      </c>
      <c r="U718">
        <v>-0.41101070000000001</v>
      </c>
      <c r="V718">
        <v>0.12250229999999999</v>
      </c>
      <c r="W718">
        <v>0.19121079999999999</v>
      </c>
      <c r="X718">
        <v>0.97387460000000003</v>
      </c>
      <c r="Y718">
        <v>0.14006099999999999</v>
      </c>
      <c r="Z718">
        <v>-2.3794039999999999E-3</v>
      </c>
      <c r="AA718">
        <v>0.99014000000000002</v>
      </c>
      <c r="AB718">
        <v>32</v>
      </c>
      <c r="AC718">
        <v>54.347299999999898</v>
      </c>
      <c r="AD718">
        <v>-1.1213360343409999</v>
      </c>
      <c r="AE718">
        <v>-7.4088999999999503</v>
      </c>
      <c r="AF718">
        <v>7.7266700673004403</v>
      </c>
      <c r="AG718">
        <v>-1.1213360343409999</v>
      </c>
      <c r="AH718">
        <v>54.279887369561003</v>
      </c>
      <c r="AI718">
        <v>91.171663309603503</v>
      </c>
      <c r="AJ718">
        <v>81.898450055163394</v>
      </c>
      <c r="AK718">
        <v>54.838535699661499</v>
      </c>
      <c r="AL718">
        <v>78.976547136916295</v>
      </c>
      <c r="AM718">
        <v>82.830500959560695</v>
      </c>
      <c r="AN718">
        <v>1.0000000600335399</v>
      </c>
    </row>
    <row r="719" spans="1:40" x14ac:dyDescent="0.25">
      <c r="A719" t="str">
        <f>"20190303170731949"</f>
        <v>20190303170731949</v>
      </c>
      <c r="B719" t="str">
        <f>"1551604051942887"</f>
        <v>1551604051942887</v>
      </c>
      <c r="C719" t="s">
        <v>40</v>
      </c>
      <c r="D719">
        <v>4.9430690000000004</v>
      </c>
      <c r="E719">
        <v>0.51123320000000005</v>
      </c>
      <c r="F719" t="s">
        <v>48</v>
      </c>
      <c r="G719">
        <v>-208.12970000000001</v>
      </c>
      <c r="H719" s="1">
        <v>-6.0804780000000003E-6</v>
      </c>
      <c r="I719">
        <v>360.5154</v>
      </c>
      <c r="J719">
        <v>-258.92160000000001</v>
      </c>
      <c r="K719">
        <v>1.121332</v>
      </c>
      <c r="L719">
        <v>367.43939999999998</v>
      </c>
      <c r="M719">
        <v>0.99989749999999999</v>
      </c>
      <c r="N719">
        <v>-1.2903690000000001E-2</v>
      </c>
      <c r="O719">
        <v>6.2071139999999997E-3</v>
      </c>
      <c r="P719">
        <v>0.97701510000000003</v>
      </c>
      <c r="Q719">
        <v>0.17840510000000001</v>
      </c>
      <c r="R719">
        <v>-0.11667619999999999</v>
      </c>
      <c r="S719">
        <v>3.0337830000000001</v>
      </c>
      <c r="T719">
        <v>-6.6540600000000005E-2</v>
      </c>
      <c r="U719">
        <v>-0.41073609999999999</v>
      </c>
      <c r="V719">
        <v>0.1226328</v>
      </c>
      <c r="W719">
        <v>0.1910558</v>
      </c>
      <c r="X719">
        <v>0.97388850000000005</v>
      </c>
      <c r="Y719">
        <v>0.1402592</v>
      </c>
      <c r="Z719">
        <v>-2.4960479999999998E-3</v>
      </c>
      <c r="AA719">
        <v>0.99011159999999998</v>
      </c>
      <c r="AB719">
        <v>32</v>
      </c>
      <c r="AC719">
        <v>50.791899999999998</v>
      </c>
      <c r="AD719">
        <v>-1.121338080478</v>
      </c>
      <c r="AE719">
        <v>-6.9239999999999702</v>
      </c>
      <c r="AF719">
        <v>7.2357016201534998</v>
      </c>
      <c r="AG719">
        <v>-1.121338080478</v>
      </c>
      <c r="AH719">
        <v>50.723668137879599</v>
      </c>
      <c r="AI719">
        <v>91.253732509085197</v>
      </c>
      <c r="AJ719">
        <v>81.881561838581703</v>
      </c>
      <c r="AK719">
        <v>51.2494223029721</v>
      </c>
      <c r="AL719">
        <v>78.985593739492202</v>
      </c>
      <c r="AM719">
        <v>82.823044360888105</v>
      </c>
      <c r="AN719">
        <v>0.99999996639086397</v>
      </c>
    </row>
    <row r="720" spans="1:40" x14ac:dyDescent="0.25">
      <c r="A720" t="str">
        <f>"20190303170731971"</f>
        <v>20190303170731971</v>
      </c>
      <c r="B720" t="str">
        <f>"1551604051962404"</f>
        <v>1551604051962404</v>
      </c>
      <c r="C720" t="s">
        <v>40</v>
      </c>
      <c r="D720">
        <v>5.0522799999999997</v>
      </c>
      <c r="E720">
        <v>0.51132820000000001</v>
      </c>
      <c r="F720" t="s">
        <v>48</v>
      </c>
      <c r="G720">
        <v>-208.9744</v>
      </c>
      <c r="H720" s="1">
        <v>-6.3391050000000004E-6</v>
      </c>
      <c r="I720">
        <v>360.66989999999998</v>
      </c>
      <c r="J720">
        <v>-258.60410000000002</v>
      </c>
      <c r="K720">
        <v>1.121335</v>
      </c>
      <c r="L720">
        <v>367.44170000000003</v>
      </c>
      <c r="M720">
        <v>0.99989519999999998</v>
      </c>
      <c r="N720">
        <v>-1.2950049999999999E-2</v>
      </c>
      <c r="O720">
        <v>6.4746179999999997E-3</v>
      </c>
      <c r="P720">
        <v>0.97683399999999998</v>
      </c>
      <c r="Q720">
        <v>0.17941699999999999</v>
      </c>
      <c r="R720">
        <v>-0.1166401</v>
      </c>
      <c r="S720">
        <v>3.03389</v>
      </c>
      <c r="T720">
        <v>-6.8112249999999999E-2</v>
      </c>
      <c r="U720">
        <v>-0.4111938</v>
      </c>
      <c r="V720">
        <v>0.12285980000000001</v>
      </c>
      <c r="W720">
        <v>0.19210840000000001</v>
      </c>
      <c r="X720">
        <v>0.97365279999999998</v>
      </c>
      <c r="Y720">
        <v>0.14066380000000001</v>
      </c>
      <c r="Z720">
        <v>-2.5480049999999999E-3</v>
      </c>
      <c r="AA720">
        <v>0.99005410000000005</v>
      </c>
      <c r="AB720">
        <v>32</v>
      </c>
      <c r="AC720">
        <v>49.6297</v>
      </c>
      <c r="AD720">
        <v>-1.121341339105</v>
      </c>
      <c r="AE720">
        <v>-6.7718000000000398</v>
      </c>
      <c r="AF720">
        <v>7.0894653310984603</v>
      </c>
      <c r="AG720">
        <v>-1.121341339105</v>
      </c>
      <c r="AH720">
        <v>49.559973316127</v>
      </c>
      <c r="AI720">
        <v>91.283093210566605</v>
      </c>
      <c r="AJ720">
        <v>81.859169696819606</v>
      </c>
      <c r="AK720">
        <v>50.077029466361601</v>
      </c>
      <c r="AL720">
        <v>78.924146030505497</v>
      </c>
      <c r="AM720">
        <v>82.808175990287694</v>
      </c>
      <c r="AN720">
        <v>0.99999997137721897</v>
      </c>
    </row>
    <row r="721" spans="1:40" x14ac:dyDescent="0.25">
      <c r="A721" t="str">
        <f>"20190303170731992"</f>
        <v>20190303170731992</v>
      </c>
      <c r="B721" t="str">
        <f>"1551604051982900"</f>
        <v>1551604051982900</v>
      </c>
      <c r="C721" t="s">
        <v>40</v>
      </c>
      <c r="D721">
        <v>4.8121689999999999</v>
      </c>
      <c r="E721">
        <v>0.51508589999999999</v>
      </c>
      <c r="F721" t="s">
        <v>48</v>
      </c>
      <c r="G721">
        <v>-206.61779999999999</v>
      </c>
      <c r="H721" s="1">
        <v>-5.5939760000000003E-6</v>
      </c>
      <c r="I721">
        <v>360.38990000000001</v>
      </c>
      <c r="J721">
        <v>-258.29719999999998</v>
      </c>
      <c r="K721">
        <v>1.1213420000000001</v>
      </c>
      <c r="L721">
        <v>367.44389999999999</v>
      </c>
      <c r="M721">
        <v>0.99989309999999998</v>
      </c>
      <c r="N721">
        <v>-1.299493E-2</v>
      </c>
      <c r="O721">
        <v>6.7187890000000002E-3</v>
      </c>
      <c r="P721">
        <v>0.97652459999999996</v>
      </c>
      <c r="Q721">
        <v>0.18094550000000001</v>
      </c>
      <c r="R721">
        <v>-0.1168695</v>
      </c>
      <c r="S721">
        <v>3.034027</v>
      </c>
      <c r="T721">
        <v>-6.5443749999999995E-2</v>
      </c>
      <c r="U721">
        <v>-0.41156009999999998</v>
      </c>
      <c r="V721">
        <v>0.1233296</v>
      </c>
      <c r="W721">
        <v>0.19367300000000001</v>
      </c>
      <c r="X721">
        <v>0.97328340000000002</v>
      </c>
      <c r="Y721">
        <v>0.14102029999999999</v>
      </c>
      <c r="Z721">
        <v>-2.491811E-3</v>
      </c>
      <c r="AA721">
        <v>0.99000359999999998</v>
      </c>
      <c r="AB721">
        <v>32</v>
      </c>
      <c r="AC721">
        <v>51.679400000000001</v>
      </c>
      <c r="AD721">
        <v>-1.121347593976</v>
      </c>
      <c r="AE721">
        <v>-7.0539999999999701</v>
      </c>
      <c r="AF721">
        <v>7.3976738269117002</v>
      </c>
      <c r="AG721">
        <v>-1.121347593976</v>
      </c>
      <c r="AH721">
        <v>51.606982317491799</v>
      </c>
      <c r="AI721">
        <v>91.232170218514995</v>
      </c>
      <c r="AJ721">
        <v>81.842429225213607</v>
      </c>
      <c r="AK721">
        <v>52.146559065712097</v>
      </c>
      <c r="AL721">
        <v>78.832785620814903</v>
      </c>
      <c r="AM721">
        <v>82.778253975160496</v>
      </c>
      <c r="AN721">
        <v>0.99999999894035996</v>
      </c>
    </row>
    <row r="722" spans="1:40" x14ac:dyDescent="0.25">
      <c r="A722" t="str">
        <f>"20190303170732017"</f>
        <v>20190303170732017</v>
      </c>
      <c r="B722" t="str">
        <f>"1551604052003396"</f>
        <v>1551604052003396</v>
      </c>
      <c r="C722" t="s">
        <v>40</v>
      </c>
      <c r="D722">
        <v>4.94238</v>
      </c>
      <c r="E722">
        <v>0.4938437</v>
      </c>
      <c r="F722" t="s">
        <v>48</v>
      </c>
      <c r="G722">
        <v>-205.14060000000001</v>
      </c>
      <c r="H722" s="1">
        <v>-5.20788E-6</v>
      </c>
      <c r="I722">
        <v>359.69600000000003</v>
      </c>
      <c r="J722">
        <v>-257.9572</v>
      </c>
      <c r="K722">
        <v>1.1213379999999999</v>
      </c>
      <c r="L722">
        <v>367.44650000000001</v>
      </c>
      <c r="M722">
        <v>0.99989059999999996</v>
      </c>
      <c r="N722">
        <v>-1.304261E-2</v>
      </c>
      <c r="O722">
        <v>6.9754880000000002E-3</v>
      </c>
      <c r="P722">
        <v>0.97633789999999998</v>
      </c>
      <c r="Q722">
        <v>0.18172920000000001</v>
      </c>
      <c r="R722">
        <v>-0.11721239999999999</v>
      </c>
      <c r="S722">
        <v>3.0310820000000001</v>
      </c>
      <c r="T722">
        <v>-6.3941120000000004E-2</v>
      </c>
      <c r="U722">
        <v>-0.441803</v>
      </c>
      <c r="V722">
        <v>0.1239268</v>
      </c>
      <c r="W722">
        <v>0.19449630000000001</v>
      </c>
      <c r="X722">
        <v>0.97304330000000006</v>
      </c>
      <c r="Y722">
        <v>0.1510792</v>
      </c>
      <c r="Z722">
        <v>-2.6314870000000001E-3</v>
      </c>
      <c r="AA722">
        <v>0.98851820000000001</v>
      </c>
      <c r="AB722">
        <v>32</v>
      </c>
      <c r="AC722">
        <v>52.816600000000001</v>
      </c>
      <c r="AD722">
        <v>-1.1213432078800001</v>
      </c>
      <c r="AE722">
        <v>-7.7505000000000397</v>
      </c>
      <c r="AF722">
        <v>8.1151834943259598</v>
      </c>
      <c r="AG722">
        <v>-1.1213432078800001</v>
      </c>
      <c r="AH722">
        <v>52.737976117762599</v>
      </c>
      <c r="AI722">
        <v>91.203904585512205</v>
      </c>
      <c r="AJ722">
        <v>81.252087966462199</v>
      </c>
      <c r="AK722">
        <v>53.370476283560997</v>
      </c>
      <c r="AL722">
        <v>78.784699231183197</v>
      </c>
      <c r="AM722">
        <v>82.741884480774402</v>
      </c>
      <c r="AN722">
        <v>0.99999996307340899</v>
      </c>
    </row>
    <row r="723" spans="1:40" x14ac:dyDescent="0.25">
      <c r="A723" t="str">
        <f>"20190303170732039"</f>
        <v>20190303170732039</v>
      </c>
      <c r="B723" t="str">
        <f>"1551604052032676"</f>
        <v>1551604052032676</v>
      </c>
      <c r="C723" t="s">
        <v>40</v>
      </c>
      <c r="D723">
        <v>4.9212889999999998</v>
      </c>
      <c r="E723">
        <v>0.48265330000000001</v>
      </c>
      <c r="F723" t="s">
        <v>48</v>
      </c>
      <c r="G723">
        <v>-206.18889999999999</v>
      </c>
      <c r="H723" s="1">
        <v>-5.0210870000000004E-6</v>
      </c>
      <c r="I723">
        <v>362.79559999999998</v>
      </c>
      <c r="J723">
        <v>-257.63440000000003</v>
      </c>
      <c r="K723">
        <v>1.121332</v>
      </c>
      <c r="L723">
        <v>367.44900000000001</v>
      </c>
      <c r="M723">
        <v>0.99988849999999996</v>
      </c>
      <c r="N723">
        <v>-1.309099E-2</v>
      </c>
      <c r="O723">
        <v>7.2031559999999996E-3</v>
      </c>
      <c r="P723">
        <v>0.9763925</v>
      </c>
      <c r="Q723">
        <v>0.18130660000000001</v>
      </c>
      <c r="R723">
        <v>-0.1174143</v>
      </c>
      <c r="S723">
        <v>3.052063</v>
      </c>
      <c r="T723">
        <v>-6.6110130000000003E-2</v>
      </c>
      <c r="U723">
        <v>-0.27420040000000001</v>
      </c>
      <c r="V723">
        <v>0.12435690000000001</v>
      </c>
      <c r="W723">
        <v>0.19411829999999999</v>
      </c>
      <c r="X723">
        <v>0.97306389999999998</v>
      </c>
      <c r="Y723">
        <v>9.6616759999999996E-2</v>
      </c>
      <c r="Z723">
        <v>-1.7396009999999999E-3</v>
      </c>
      <c r="AA723">
        <v>0.99532010000000004</v>
      </c>
      <c r="AB723">
        <v>32</v>
      </c>
      <c r="AC723">
        <v>51.445500000000003</v>
      </c>
      <c r="AD723">
        <v>-1.121337021087</v>
      </c>
      <c r="AE723">
        <v>-4.6534000000000297</v>
      </c>
      <c r="AF723">
        <v>5.0215146048066597</v>
      </c>
      <c r="AG723">
        <v>-1.121337021087</v>
      </c>
      <c r="AH723">
        <v>51.386427935112998</v>
      </c>
      <c r="AI723">
        <v>91.244165985712499</v>
      </c>
      <c r="AJ723">
        <v>84.418740514618804</v>
      </c>
      <c r="AK723">
        <v>51.643373065396403</v>
      </c>
      <c r="AL723">
        <v>78.806777727828603</v>
      </c>
      <c r="AM723">
        <v>82.717117020272696</v>
      </c>
      <c r="AN723">
        <v>0.99999995322785296</v>
      </c>
    </row>
    <row r="724" spans="1:40" x14ac:dyDescent="0.25">
      <c r="A724" t="str">
        <f>"20190303170732060"</f>
        <v>20190303170732060</v>
      </c>
      <c r="B724" t="str">
        <f>"1551604052053172"</f>
        <v>1551604052053172</v>
      </c>
      <c r="C724" t="s">
        <v>40</v>
      </c>
      <c r="D724">
        <v>4.9002699999999999</v>
      </c>
      <c r="E724">
        <v>0.47949190000000003</v>
      </c>
      <c r="F724" t="s">
        <v>48</v>
      </c>
      <c r="G724">
        <v>-209.72569999999999</v>
      </c>
      <c r="H724" s="1">
        <v>-5.9852720000000002E-6</v>
      </c>
      <c r="I724">
        <v>364.54539999999997</v>
      </c>
      <c r="J724">
        <v>-257.31670000000003</v>
      </c>
      <c r="K724">
        <v>1.1213280000000001</v>
      </c>
      <c r="L724">
        <v>367.45150000000001</v>
      </c>
      <c r="M724">
        <v>0.99988619999999995</v>
      </c>
      <c r="N724">
        <v>-1.314475E-2</v>
      </c>
      <c r="O724">
        <v>7.4108749999999999E-3</v>
      </c>
      <c r="P724">
        <v>0.97626389999999996</v>
      </c>
      <c r="Q724">
        <v>0.18136650000000001</v>
      </c>
      <c r="R724">
        <v>-0.1183845</v>
      </c>
      <c r="S724">
        <v>3.0635219999999999</v>
      </c>
      <c r="T724">
        <v>-7.1703909999999996E-2</v>
      </c>
      <c r="U724">
        <v>-0.1856689</v>
      </c>
      <c r="V724">
        <v>0.1255346</v>
      </c>
      <c r="W724">
        <v>0.19422449999999999</v>
      </c>
      <c r="X724">
        <v>0.97289150000000002</v>
      </c>
      <c r="Y724">
        <v>6.7862290000000006E-2</v>
      </c>
      <c r="Z724">
        <v>-1.3158499999999999E-3</v>
      </c>
      <c r="AA724">
        <v>0.99769379999999996</v>
      </c>
      <c r="AB724">
        <v>32</v>
      </c>
      <c r="AC724">
        <v>47.591000000000001</v>
      </c>
      <c r="AD724">
        <v>-1.1213339852719999</v>
      </c>
      <c r="AE724">
        <v>-2.9061000000000301</v>
      </c>
      <c r="AF724">
        <v>3.2569401723256601</v>
      </c>
      <c r="AG724">
        <v>-1.1213339852719999</v>
      </c>
      <c r="AH724">
        <v>47.541858861024402</v>
      </c>
      <c r="AI724">
        <v>91.347983551614902</v>
      </c>
      <c r="AJ724">
        <v>86.080973273157895</v>
      </c>
      <c r="AK724">
        <v>47.666480813609397</v>
      </c>
      <c r="AL724">
        <v>78.800575180957296</v>
      </c>
      <c r="AM724">
        <v>82.647608307092099</v>
      </c>
      <c r="AN724">
        <v>0.99999998148482905</v>
      </c>
    </row>
    <row r="725" spans="1:40" x14ac:dyDescent="0.25">
      <c r="A725" t="str">
        <f>"20190303170732082"</f>
        <v>20190303170732082</v>
      </c>
      <c r="B725" t="str">
        <f>"1551604052072692"</f>
        <v>1551604052072692</v>
      </c>
      <c r="C725" t="s">
        <v>40</v>
      </c>
      <c r="D725">
        <v>4.9476789999999999</v>
      </c>
      <c r="E725">
        <v>0.47806110000000002</v>
      </c>
      <c r="F725" t="s">
        <v>43</v>
      </c>
      <c r="G725">
        <v>-214.09950000000001</v>
      </c>
      <c r="H725" s="1">
        <v>-3.3059270000000001E-6</v>
      </c>
      <c r="I725">
        <v>365.14980000000003</v>
      </c>
      <c r="J725">
        <v>-257.01170000000002</v>
      </c>
      <c r="K725">
        <v>1.121326</v>
      </c>
      <c r="L725">
        <v>367.45400000000001</v>
      </c>
      <c r="M725">
        <v>0.99988410000000005</v>
      </c>
      <c r="N725">
        <v>-1.3199570000000001E-2</v>
      </c>
      <c r="O725">
        <v>7.5957530000000002E-3</v>
      </c>
      <c r="P725">
        <v>0.97603340000000005</v>
      </c>
      <c r="Q725">
        <v>0.18187010000000001</v>
      </c>
      <c r="R725">
        <v>-0.1195088</v>
      </c>
      <c r="S725">
        <v>3.0678860000000001</v>
      </c>
      <c r="T725">
        <v>-7.9600569999999995E-2</v>
      </c>
      <c r="U725">
        <v>-0.16339110000000001</v>
      </c>
      <c r="V725">
        <v>0.12684300000000001</v>
      </c>
      <c r="W725">
        <v>0.19477549999999999</v>
      </c>
      <c r="X725">
        <v>0.97261160000000002</v>
      </c>
      <c r="Y725">
        <v>6.0735890000000001E-2</v>
      </c>
      <c r="Z725">
        <v>-1.2852320000000001E-3</v>
      </c>
      <c r="AA725">
        <v>0.99815299999999996</v>
      </c>
      <c r="AB725">
        <v>32</v>
      </c>
      <c r="AC725">
        <v>42.912199999999999</v>
      </c>
      <c r="AD725">
        <v>-1.121329305927</v>
      </c>
      <c r="AE725">
        <v>-2.3041999999999798</v>
      </c>
      <c r="AF725">
        <v>2.6283228587765102</v>
      </c>
      <c r="AG725">
        <v>-1.121329305927</v>
      </c>
      <c r="AH725">
        <v>42.864273848436603</v>
      </c>
      <c r="AI725">
        <v>91.495707814630094</v>
      </c>
      <c r="AJ725">
        <v>86.491168852898298</v>
      </c>
      <c r="AK725">
        <v>42.959416115865203</v>
      </c>
      <c r="AL725">
        <v>78.768390580266001</v>
      </c>
      <c r="AM725">
        <v>82.5697147448534</v>
      </c>
      <c r="AN725">
        <v>0.99999998325190498</v>
      </c>
    </row>
    <row r="726" spans="1:40" x14ac:dyDescent="0.25">
      <c r="A726" t="str">
        <f>"20190303170732104"</f>
        <v>20190303170732104</v>
      </c>
      <c r="B726" t="str">
        <f>"1551604052093188"</f>
        <v>1551604052093188</v>
      </c>
      <c r="C726" t="s">
        <v>40</v>
      </c>
      <c r="D726">
        <v>4.9901489999999997</v>
      </c>
      <c r="E726">
        <v>0.47696440000000001</v>
      </c>
      <c r="F726" t="s">
        <v>43</v>
      </c>
      <c r="G726">
        <v>-214.62180000000001</v>
      </c>
      <c r="H726" s="1">
        <v>-3.0515770000000001E-6</v>
      </c>
      <c r="I726">
        <v>365.32049999999998</v>
      </c>
      <c r="J726">
        <v>-256.69130000000001</v>
      </c>
      <c r="K726">
        <v>1.121326</v>
      </c>
      <c r="L726">
        <v>367.45659999999998</v>
      </c>
      <c r="M726">
        <v>0.99988189999999999</v>
      </c>
      <c r="N726">
        <v>-1.3255319999999999E-2</v>
      </c>
      <c r="O726">
        <v>7.7735019999999998E-3</v>
      </c>
      <c r="P726">
        <v>0.97564320000000004</v>
      </c>
      <c r="Q726">
        <v>0.1833188</v>
      </c>
      <c r="R726">
        <v>-0.1204776</v>
      </c>
      <c r="S726">
        <v>3.0699010000000002</v>
      </c>
      <c r="T726">
        <v>-8.120716E-2</v>
      </c>
      <c r="U726">
        <v>-0.1545105</v>
      </c>
      <c r="V726">
        <v>0.1279882</v>
      </c>
      <c r="W726">
        <v>0.1962682</v>
      </c>
      <c r="X726">
        <v>0.97216139999999995</v>
      </c>
      <c r="Y726">
        <v>5.7998920000000002E-2</v>
      </c>
      <c r="Z726">
        <v>-1.2537589999999999E-3</v>
      </c>
      <c r="AA726">
        <v>0.99831590000000003</v>
      </c>
      <c r="AB726">
        <v>32</v>
      </c>
      <c r="AC726">
        <v>42.069499999999998</v>
      </c>
      <c r="AD726">
        <v>-1.121329051577</v>
      </c>
      <c r="AE726">
        <v>-2.1360999999999901</v>
      </c>
      <c r="AF726">
        <v>2.4613473742019898</v>
      </c>
      <c r="AG726">
        <v>-1.121329051577</v>
      </c>
      <c r="AH726">
        <v>42.021844740165498</v>
      </c>
      <c r="AI726">
        <v>91.525928489686393</v>
      </c>
      <c r="AJ726">
        <v>86.647841796353703</v>
      </c>
      <c r="AK726">
        <v>42.108800091013997</v>
      </c>
      <c r="AL726">
        <v>78.681182015406904</v>
      </c>
      <c r="AM726">
        <v>82.499958078281395</v>
      </c>
      <c r="AN726">
        <v>0.99999998666021905</v>
      </c>
    </row>
    <row r="727" spans="1:40" x14ac:dyDescent="0.25">
      <c r="A727" t="str">
        <f>"20190303170732127"</f>
        <v>20190303170732127</v>
      </c>
      <c r="B727" t="str">
        <f>"1551604052112709"</f>
        <v>1551604052112709</v>
      </c>
      <c r="C727" t="s">
        <v>40</v>
      </c>
      <c r="D727">
        <v>4.9839960000000003</v>
      </c>
      <c r="E727">
        <v>0.47607929999999998</v>
      </c>
      <c r="F727" t="s">
        <v>43</v>
      </c>
      <c r="G727">
        <v>-213.10820000000001</v>
      </c>
      <c r="H727" s="1">
        <v>-3.695484E-6</v>
      </c>
      <c r="I727">
        <v>365.35109999999997</v>
      </c>
      <c r="J727">
        <v>-256.36939999999998</v>
      </c>
      <c r="K727">
        <v>1.1213280000000001</v>
      </c>
      <c r="L727">
        <v>367.45929999999998</v>
      </c>
      <c r="M727">
        <v>0.99987999999999999</v>
      </c>
      <c r="N727">
        <v>-1.331094E-2</v>
      </c>
      <c r="O727">
        <v>7.9305369999999997E-3</v>
      </c>
      <c r="P727">
        <v>0.97539779999999998</v>
      </c>
      <c r="Q727">
        <v>0.18398700000000001</v>
      </c>
      <c r="R727">
        <v>-0.1214428</v>
      </c>
      <c r="S727">
        <v>3.0714109999999999</v>
      </c>
      <c r="T727">
        <v>-7.9022880000000004E-2</v>
      </c>
      <c r="U727">
        <v>-0.14837649999999999</v>
      </c>
      <c r="V727">
        <v>0.1291119</v>
      </c>
      <c r="W727">
        <v>0.19698209999999999</v>
      </c>
      <c r="X727">
        <v>0.97186839999999997</v>
      </c>
      <c r="Y727">
        <v>5.6144340000000001E-2</v>
      </c>
      <c r="Z727">
        <v>-1.194114E-3</v>
      </c>
      <c r="AA727">
        <v>0.99842200000000003</v>
      </c>
      <c r="AB727">
        <v>32</v>
      </c>
      <c r="AC727">
        <v>43.261199999999903</v>
      </c>
      <c r="AD727">
        <v>-1.121331695484</v>
      </c>
      <c r="AE727">
        <v>-2.1082000000000098</v>
      </c>
      <c r="AF727">
        <v>2.4496067568885298</v>
      </c>
      <c r="AG727">
        <v>-1.121331695484</v>
      </c>
      <c r="AH727">
        <v>43.2141541155993</v>
      </c>
      <c r="AI727">
        <v>91.4840104494494</v>
      </c>
      <c r="AJ727">
        <v>86.755644229178699</v>
      </c>
      <c r="AK727">
        <v>43.298049308963797</v>
      </c>
      <c r="AL727">
        <v>78.639464425254602</v>
      </c>
      <c r="AM727">
        <v>82.432614919417802</v>
      </c>
      <c r="AN727">
        <v>1.0000000086802801</v>
      </c>
    </row>
    <row r="728" spans="1:40" x14ac:dyDescent="0.25">
      <c r="A728" t="str">
        <f>"20190303170732150"</f>
        <v>20190303170732150</v>
      </c>
      <c r="B728" t="str">
        <f>"1551604052142964"</f>
        <v>1551604052142964</v>
      </c>
      <c r="C728" t="s">
        <v>40</v>
      </c>
      <c r="D728">
        <v>4.9782789999999997</v>
      </c>
      <c r="E728">
        <v>0.47517900000000002</v>
      </c>
      <c r="F728" t="s">
        <v>43</v>
      </c>
      <c r="G728">
        <v>-211.7106</v>
      </c>
      <c r="H728" s="1">
        <v>-4.2916929999999999E-6</v>
      </c>
      <c r="I728">
        <v>365.36989999999997</v>
      </c>
      <c r="J728">
        <v>-256.03680000000003</v>
      </c>
      <c r="K728">
        <v>1.1213280000000001</v>
      </c>
      <c r="L728">
        <v>367.46210000000002</v>
      </c>
      <c r="M728">
        <v>0.99987820000000005</v>
      </c>
      <c r="N728">
        <v>-1.337327E-2</v>
      </c>
      <c r="O728">
        <v>8.0644999999999901E-3</v>
      </c>
      <c r="P728">
        <v>0.97519710000000004</v>
      </c>
      <c r="Q728">
        <v>0.1844942</v>
      </c>
      <c r="R728">
        <v>-0.1222818</v>
      </c>
      <c r="S728">
        <v>3.072327</v>
      </c>
      <c r="T728">
        <v>-7.7142719999999998E-2</v>
      </c>
      <c r="U728">
        <v>-0.1437378</v>
      </c>
      <c r="V728">
        <v>0.1300895</v>
      </c>
      <c r="W728">
        <v>0.19754070000000001</v>
      </c>
      <c r="X728">
        <v>0.97162459999999995</v>
      </c>
      <c r="Y728">
        <v>5.4761480000000001E-2</v>
      </c>
      <c r="Z728">
        <v>-1.1480640000000001E-3</v>
      </c>
      <c r="AA728">
        <v>0.99849880000000002</v>
      </c>
      <c r="AB728">
        <v>32</v>
      </c>
      <c r="AC728">
        <v>44.3262</v>
      </c>
      <c r="AD728">
        <v>-1.121332291693</v>
      </c>
      <c r="AE728">
        <v>-2.09220000000004</v>
      </c>
      <c r="AF728">
        <v>2.4480693441299701</v>
      </c>
      <c r="AG728">
        <v>-1.121332291693</v>
      </c>
      <c r="AH728">
        <v>44.2796104108441</v>
      </c>
      <c r="AI728">
        <v>91.448431360513794</v>
      </c>
      <c r="AJ728">
        <v>86.835532407984203</v>
      </c>
      <c r="AK728">
        <v>44.361405836134097</v>
      </c>
      <c r="AL728">
        <v>78.606817244881398</v>
      </c>
      <c r="AM728">
        <v>82.374097715644794</v>
      </c>
      <c r="AN728">
        <v>0.99999998474594898</v>
      </c>
    </row>
    <row r="729" spans="1:40" x14ac:dyDescent="0.25">
      <c r="A729" t="str">
        <f>"20190303170732172"</f>
        <v>20190303170732172</v>
      </c>
      <c r="B729" t="str">
        <f>"1551604052162484"</f>
        <v>1551604052162484</v>
      </c>
      <c r="C729" t="s">
        <v>40</v>
      </c>
      <c r="D729">
        <v>4.9986769999999998</v>
      </c>
      <c r="E729">
        <v>0.47457490000000002</v>
      </c>
      <c r="F729" t="s">
        <v>43</v>
      </c>
      <c r="G729">
        <v>-211.28469999999999</v>
      </c>
      <c r="H729" s="1">
        <v>-4.4628080000000001E-6</v>
      </c>
      <c r="I729">
        <v>365.43540000000002</v>
      </c>
      <c r="J729">
        <v>-255.73429999999999</v>
      </c>
      <c r="K729">
        <v>1.121324</v>
      </c>
      <c r="L729">
        <v>367.46460000000002</v>
      </c>
      <c r="M729">
        <v>0.9998764</v>
      </c>
      <c r="N729">
        <v>-1.343546E-2</v>
      </c>
      <c r="O729">
        <v>8.1580760000000002E-3</v>
      </c>
      <c r="P729">
        <v>0.97491530000000004</v>
      </c>
      <c r="Q729">
        <v>0.1854198</v>
      </c>
      <c r="R729">
        <v>-0.12312430000000001</v>
      </c>
      <c r="S729">
        <v>3.0734560000000002</v>
      </c>
      <c r="T729">
        <v>-7.7010040000000002E-2</v>
      </c>
      <c r="U729">
        <v>-0.1391907</v>
      </c>
      <c r="V729">
        <v>0.13103139999999999</v>
      </c>
      <c r="W729">
        <v>0.1985161</v>
      </c>
      <c r="X729">
        <v>0.97129920000000003</v>
      </c>
      <c r="Y729">
        <v>5.3364349999999998E-2</v>
      </c>
      <c r="Z729">
        <v>-1.1216279999999999E-3</v>
      </c>
      <c r="AA729">
        <v>0.99857450000000003</v>
      </c>
      <c r="AB729">
        <v>32</v>
      </c>
      <c r="AC729">
        <v>44.449599999999997</v>
      </c>
      <c r="AD729">
        <v>-1.121328462808</v>
      </c>
      <c r="AE729">
        <v>-2.0291999999999999</v>
      </c>
      <c r="AF729">
        <v>2.3902704268133799</v>
      </c>
      <c r="AG729">
        <v>-1.121328462808</v>
      </c>
      <c r="AH729">
        <v>44.403365172115997</v>
      </c>
      <c r="AI729">
        <v>91.444505616556299</v>
      </c>
      <c r="AJ729">
        <v>86.918694083042993</v>
      </c>
      <c r="AK729">
        <v>44.481789631748001</v>
      </c>
      <c r="AL729">
        <v>78.549802030633302</v>
      </c>
      <c r="AM729">
        <v>82.316997536310396</v>
      </c>
      <c r="AN729">
        <v>1.0000000028328999</v>
      </c>
    </row>
    <row r="730" spans="1:40" x14ac:dyDescent="0.25">
      <c r="A730" t="str">
        <f>"20190303170732194"</f>
        <v>20190303170732194</v>
      </c>
      <c r="B730" t="str">
        <f>"1551604052182980"</f>
        <v>1551604052182980</v>
      </c>
      <c r="C730" t="s">
        <v>40</v>
      </c>
      <c r="D730">
        <v>4.9852999999999996</v>
      </c>
      <c r="E730">
        <v>0.47419050000000001</v>
      </c>
      <c r="F730" t="s">
        <v>48</v>
      </c>
      <c r="G730">
        <v>-209.5908</v>
      </c>
      <c r="H730" s="1">
        <v>-5.8072299999999996E-6</v>
      </c>
      <c r="I730">
        <v>365.3963</v>
      </c>
      <c r="J730">
        <v>-255.42099999999999</v>
      </c>
      <c r="K730">
        <v>1.1213139999999999</v>
      </c>
      <c r="L730">
        <v>367.46730000000002</v>
      </c>
      <c r="M730">
        <v>0.99987510000000002</v>
      </c>
      <c r="N730">
        <v>-1.350021E-2</v>
      </c>
      <c r="O730">
        <v>8.2297999999999902E-3</v>
      </c>
      <c r="P730">
        <v>0.97460029999999997</v>
      </c>
      <c r="Q730">
        <v>0.18658069999999999</v>
      </c>
      <c r="R730">
        <v>-0.1238641</v>
      </c>
      <c r="S730">
        <v>3.0739749999999999</v>
      </c>
      <c r="T730">
        <v>-7.4700470000000005E-2</v>
      </c>
      <c r="U730">
        <v>-0.13778689999999999</v>
      </c>
      <c r="V730">
        <v>0.13184939999999901</v>
      </c>
      <c r="W730">
        <v>0.1997274</v>
      </c>
      <c r="X730">
        <v>0.97094009999999997</v>
      </c>
      <c r="Y730">
        <v>5.2974729999999998E-2</v>
      </c>
      <c r="Z730">
        <v>-1.08994E-3</v>
      </c>
      <c r="AA730">
        <v>0.99859520000000002</v>
      </c>
      <c r="AB730">
        <v>32</v>
      </c>
      <c r="AC730">
        <v>45.830199999999898</v>
      </c>
      <c r="AD730">
        <v>-1.1213198072299999</v>
      </c>
      <c r="AE730">
        <v>-2.0710000000000202</v>
      </c>
      <c r="AF730">
        <v>2.4466759110054799</v>
      </c>
      <c r="AG730">
        <v>-1.1213198072299999</v>
      </c>
      <c r="AH730">
        <v>45.784250408545503</v>
      </c>
      <c r="AI730">
        <v>91.400974461094805</v>
      </c>
      <c r="AJ730">
        <v>86.941066269710007</v>
      </c>
      <c r="AK730">
        <v>45.863287786594398</v>
      </c>
      <c r="AL730">
        <v>78.478981277929606</v>
      </c>
      <c r="AM730">
        <v>82.266787966978498</v>
      </c>
      <c r="AN730">
        <v>0.99999998818956404</v>
      </c>
    </row>
    <row r="731" spans="1:40" x14ac:dyDescent="0.25">
      <c r="A731" t="str">
        <f>"20190303170732218"</f>
        <v>20190303170732218</v>
      </c>
      <c r="B731" t="str">
        <f>"1551604052202501"</f>
        <v>1551604052202501</v>
      </c>
      <c r="C731" t="s">
        <v>40</v>
      </c>
      <c r="D731">
        <v>4.9829089999999896</v>
      </c>
      <c r="E731">
        <v>0.47379310000000002</v>
      </c>
      <c r="F731" t="s">
        <v>48</v>
      </c>
      <c r="G731">
        <v>-208.65209999999999</v>
      </c>
      <c r="H731" s="1">
        <v>-5.494105E-6</v>
      </c>
      <c r="I731">
        <v>365.38920000000002</v>
      </c>
      <c r="J731">
        <v>-255.0873</v>
      </c>
      <c r="K731">
        <v>1.121297</v>
      </c>
      <c r="L731">
        <v>367.4701</v>
      </c>
      <c r="M731">
        <v>0.99987349999999997</v>
      </c>
      <c r="N731">
        <v>-1.357153E-2</v>
      </c>
      <c r="O731">
        <v>8.2781030000000002E-3</v>
      </c>
      <c r="P731">
        <v>0.97440720000000003</v>
      </c>
      <c r="Q731">
        <v>0.18674009999999999</v>
      </c>
      <c r="R731">
        <v>-0.12513460000000001</v>
      </c>
      <c r="S731">
        <v>3.074951</v>
      </c>
      <c r="T731">
        <v>-7.3724269999999995E-2</v>
      </c>
      <c r="U731">
        <v>-0.1366272</v>
      </c>
      <c r="V731">
        <v>0.13317689999999999</v>
      </c>
      <c r="W731">
        <v>0.19994600000000001</v>
      </c>
      <c r="X731">
        <v>0.97071390000000002</v>
      </c>
      <c r="Y731">
        <v>5.2633609999999997E-2</v>
      </c>
      <c r="Z731">
        <v>-1.074066E-3</v>
      </c>
      <c r="AA731">
        <v>0.99861330000000004</v>
      </c>
      <c r="AB731">
        <v>32</v>
      </c>
      <c r="AC731">
        <v>46.435200000000002</v>
      </c>
      <c r="AD731">
        <v>-1.121302494105</v>
      </c>
      <c r="AE731">
        <v>-2.0808999999999802</v>
      </c>
      <c r="AF731">
        <v>2.46382570874378</v>
      </c>
      <c r="AG731">
        <v>-1.121302494105</v>
      </c>
      <c r="AH731">
        <v>46.389385224627297</v>
      </c>
      <c r="AI731">
        <v>91.382709034987101</v>
      </c>
      <c r="AJ731">
        <v>86.959772144992797</v>
      </c>
      <c r="AK731">
        <v>46.468299064257003</v>
      </c>
      <c r="AL731">
        <v>78.466198518392403</v>
      </c>
      <c r="AM731">
        <v>82.188086358754504</v>
      </c>
      <c r="AN731">
        <v>0.99999998263140999</v>
      </c>
    </row>
    <row r="732" spans="1:40" x14ac:dyDescent="0.25">
      <c r="A732" t="str">
        <f>"20190303170732241"</f>
        <v>20190303170732241</v>
      </c>
      <c r="B732" t="str">
        <f>"1551604052232756"</f>
        <v>1551604052232756</v>
      </c>
      <c r="C732" t="s">
        <v>40</v>
      </c>
      <c r="D732">
        <v>5.0023210000000002</v>
      </c>
      <c r="E732">
        <v>0.4731689</v>
      </c>
      <c r="F732" t="s">
        <v>48</v>
      </c>
      <c r="G732">
        <v>-208.80680000000001</v>
      </c>
      <c r="H732" s="1">
        <v>-5.5440869999999901E-6</v>
      </c>
      <c r="I732">
        <v>365.40069999999997</v>
      </c>
      <c r="J732">
        <v>-254.7612</v>
      </c>
      <c r="K732">
        <v>1.1212850000000001</v>
      </c>
      <c r="L732">
        <v>367.47280000000001</v>
      </c>
      <c r="M732">
        <v>0.99987239999999999</v>
      </c>
      <c r="N732">
        <v>-1.364633E-2</v>
      </c>
      <c r="O732">
        <v>8.3019519999999996E-3</v>
      </c>
      <c r="P732">
        <v>0.97424390000000005</v>
      </c>
      <c r="Q732">
        <v>0.18681970000000001</v>
      </c>
      <c r="R732">
        <v>-0.12628300000000001</v>
      </c>
      <c r="S732">
        <v>3.0753940000000002</v>
      </c>
      <c r="T732">
        <v>-7.4511889999999997E-2</v>
      </c>
      <c r="U732">
        <v>-0.1375122</v>
      </c>
      <c r="V732">
        <v>0.13435659999999999</v>
      </c>
      <c r="W732">
        <v>0.20008989999999999</v>
      </c>
      <c r="X732">
        <v>0.97052169999999904</v>
      </c>
      <c r="Y732">
        <v>5.2937240000000003E-2</v>
      </c>
      <c r="Z732">
        <v>-1.09015E-3</v>
      </c>
      <c r="AA732">
        <v>0.99859730000000002</v>
      </c>
      <c r="AB732">
        <v>32</v>
      </c>
      <c r="AC732">
        <v>45.9543999999999</v>
      </c>
      <c r="AD732">
        <v>-1.121290544087</v>
      </c>
      <c r="AE732">
        <v>-2.07210000000003</v>
      </c>
      <c r="AF732">
        <v>2.4521183974107399</v>
      </c>
      <c r="AG732">
        <v>-1.121290544087</v>
      </c>
      <c r="AH732">
        <v>45.908335272298402</v>
      </c>
      <c r="AI732">
        <v>91.3971547720583</v>
      </c>
      <c r="AJ732">
        <v>86.942545371386998</v>
      </c>
      <c r="AK732">
        <v>45.987448554936599</v>
      </c>
      <c r="AL732">
        <v>78.457784012445401</v>
      </c>
      <c r="AM732">
        <v>82.118211956790503</v>
      </c>
      <c r="AN732">
        <v>1.00000001710822</v>
      </c>
    </row>
    <row r="733" spans="1:40" x14ac:dyDescent="0.25">
      <c r="A733" t="str">
        <f>"20190303170732262"</f>
        <v>20190303170732262</v>
      </c>
      <c r="B733" t="str">
        <f>"1551604052253253"</f>
        <v>1551604052253253</v>
      </c>
      <c r="C733" t="s">
        <v>40</v>
      </c>
      <c r="D733">
        <v>5.0173069999999997</v>
      </c>
      <c r="E733">
        <v>0.47285519999999998</v>
      </c>
      <c r="F733" t="s">
        <v>48</v>
      </c>
      <c r="G733">
        <v>-209.67429999999999</v>
      </c>
      <c r="H733" s="1">
        <v>-5.8205009999999998E-6</v>
      </c>
      <c r="I733">
        <v>365.49009999999998</v>
      </c>
      <c r="J733">
        <v>-254.45160000000001</v>
      </c>
      <c r="K733">
        <v>1.1212879999999901</v>
      </c>
      <c r="L733">
        <v>367.47539999999998</v>
      </c>
      <c r="M733">
        <v>0.99987150000000002</v>
      </c>
      <c r="N733">
        <v>-1.372055E-2</v>
      </c>
      <c r="O733">
        <v>8.3102760000000001E-3</v>
      </c>
      <c r="P733">
        <v>0.97396550000000004</v>
      </c>
      <c r="Q733">
        <v>0.1865146</v>
      </c>
      <c r="R733">
        <v>-0.128857</v>
      </c>
      <c r="S733">
        <v>3.0764619999999998</v>
      </c>
      <c r="T733">
        <v>-7.6510190000000006E-2</v>
      </c>
      <c r="U733">
        <v>-0.1352844</v>
      </c>
      <c r="V733">
        <v>0.136942799999999</v>
      </c>
      <c r="W733">
        <v>0.19984789999999999</v>
      </c>
      <c r="X733">
        <v>0.97021000000000002</v>
      </c>
      <c r="Y733">
        <v>5.220756E-2</v>
      </c>
      <c r="Z733">
        <v>-1.0997979999999999E-3</v>
      </c>
      <c r="AA733">
        <v>0.99863559999999996</v>
      </c>
      <c r="AB733">
        <v>32</v>
      </c>
      <c r="AC733">
        <v>44.777299999999997</v>
      </c>
      <c r="AD733">
        <v>-1.1212938205009999</v>
      </c>
      <c r="AE733">
        <v>-1.9852999999999901</v>
      </c>
      <c r="AF733">
        <v>2.3559036814521002</v>
      </c>
      <c r="AG733">
        <v>-1.1212938205009999</v>
      </c>
      <c r="AH733">
        <v>44.731258513866599</v>
      </c>
      <c r="AI733">
        <v>91.433965624531496</v>
      </c>
      <c r="AJ733">
        <v>86.985134355512898</v>
      </c>
      <c r="AK733">
        <v>44.807288137339199</v>
      </c>
      <c r="AL733">
        <v>78.4719349704379</v>
      </c>
      <c r="AM733">
        <v>81.965911886762896</v>
      </c>
      <c r="AN733">
        <v>0.99999997885312397</v>
      </c>
    </row>
    <row r="734" spans="1:40" x14ac:dyDescent="0.25">
      <c r="A734" t="str">
        <f>"20190303170732295"</f>
        <v>20190303170732295</v>
      </c>
      <c r="B734" t="str">
        <f>"1551604052282532"</f>
        <v>1551604052282532</v>
      </c>
      <c r="C734" t="s">
        <v>40</v>
      </c>
      <c r="D734">
        <v>4.9798669999999996</v>
      </c>
      <c r="E734">
        <v>0.47231070000000003</v>
      </c>
      <c r="F734" t="s">
        <v>43</v>
      </c>
      <c r="G734">
        <v>-210.94560000000001</v>
      </c>
      <c r="H734" s="1">
        <v>-4.6005829999999998E-6</v>
      </c>
      <c r="I734">
        <v>365.4787</v>
      </c>
      <c r="J734">
        <v>-253.9914</v>
      </c>
      <c r="K734">
        <v>1.121291</v>
      </c>
      <c r="L734">
        <v>367.47919999999999</v>
      </c>
      <c r="M734">
        <v>0.99986989999999998</v>
      </c>
      <c r="N734">
        <v>-1.382628E-2</v>
      </c>
      <c r="O734">
        <v>8.3004099999999994E-3</v>
      </c>
      <c r="P734">
        <v>0.97366799999999998</v>
      </c>
      <c r="Q734">
        <v>0.18510589999999999</v>
      </c>
      <c r="R734">
        <v>-0.13306579999999901</v>
      </c>
      <c r="S734">
        <v>3.0766909999999998</v>
      </c>
      <c r="T734">
        <v>-7.9296350000000002E-2</v>
      </c>
      <c r="U734">
        <v>-0.14120479999999899</v>
      </c>
      <c r="V734">
        <v>0.14114679999999999</v>
      </c>
      <c r="W734">
        <v>0.19853299999999999</v>
      </c>
      <c r="X734">
        <v>0.9698774</v>
      </c>
      <c r="Y734">
        <v>5.4109520000000001E-2</v>
      </c>
      <c r="Z734">
        <v>-1.1702769999999999E-3</v>
      </c>
      <c r="AA734">
        <v>0.99853429999999999</v>
      </c>
      <c r="AB734">
        <v>32</v>
      </c>
      <c r="AC734">
        <v>43.0457999999999</v>
      </c>
      <c r="AD734">
        <v>-1.1212956005829999</v>
      </c>
      <c r="AE734">
        <v>-2.0004999999999802</v>
      </c>
      <c r="AF734">
        <v>2.3561677180693601</v>
      </c>
      <c r="AG734">
        <v>-1.1212956005829999</v>
      </c>
      <c r="AH734">
        <v>42.998596669178902</v>
      </c>
      <c r="AI734">
        <v>91.491555122972898</v>
      </c>
      <c r="AJ734">
        <v>86.863535045811801</v>
      </c>
      <c r="AK734">
        <v>43.077698936436803</v>
      </c>
      <c r="AL734">
        <v>78.548813699569493</v>
      </c>
      <c r="AM734">
        <v>81.719842209522696</v>
      </c>
      <c r="AN734">
        <v>0.99999997113499905</v>
      </c>
    </row>
    <row r="735" spans="1:40" x14ac:dyDescent="0.25">
      <c r="A735" t="str">
        <f>"20190303170732317"</f>
        <v>20190303170732317</v>
      </c>
      <c r="B735" t="str">
        <f>"1551604052303028"</f>
        <v>1551604052303028</v>
      </c>
      <c r="C735" t="s">
        <v>40</v>
      </c>
      <c r="D735">
        <v>5.1037569999999999</v>
      </c>
      <c r="E735">
        <v>0.47244710000000001</v>
      </c>
      <c r="F735" t="s">
        <v>43</v>
      </c>
      <c r="G735">
        <v>-213.3433</v>
      </c>
      <c r="H735" s="1">
        <v>-3.5710019999999998E-6</v>
      </c>
      <c r="I735">
        <v>365.48419999999999</v>
      </c>
      <c r="J735">
        <v>-253.6729</v>
      </c>
      <c r="K735">
        <v>1.1212770000000001</v>
      </c>
      <c r="L735">
        <v>367.48180000000002</v>
      </c>
      <c r="M735">
        <v>0.99986929999999996</v>
      </c>
      <c r="N735">
        <v>-1.389197E-2</v>
      </c>
      <c r="O735">
        <v>8.2779529999999994E-3</v>
      </c>
      <c r="P735">
        <v>0.97327339999999996</v>
      </c>
      <c r="Q735">
        <v>0.1849557</v>
      </c>
      <c r="R735">
        <v>-0.1361272</v>
      </c>
      <c r="S735">
        <v>3.07666</v>
      </c>
      <c r="T735">
        <v>-8.4870929999999997E-2</v>
      </c>
      <c r="U735">
        <v>-0.151001</v>
      </c>
      <c r="V735">
        <v>0.14418800000000001</v>
      </c>
      <c r="W735">
        <v>0.19843669999999999</v>
      </c>
      <c r="X735">
        <v>0.96944969999999997</v>
      </c>
      <c r="Y735">
        <v>5.7254159999999998E-2</v>
      </c>
      <c r="Z735">
        <v>-1.300385E-3</v>
      </c>
      <c r="AA735">
        <v>0.99835879999999999</v>
      </c>
      <c r="AB735">
        <v>32</v>
      </c>
      <c r="AC735">
        <v>40.329599999999999</v>
      </c>
      <c r="AD735">
        <v>-1.121280571002</v>
      </c>
      <c r="AE735">
        <v>-1.99760000000003</v>
      </c>
      <c r="AF735">
        <v>2.3296138843390599</v>
      </c>
      <c r="AG735">
        <v>-1.121280571002</v>
      </c>
      <c r="AH735">
        <v>40.280619487873601</v>
      </c>
      <c r="AI735">
        <v>91.591856490826203</v>
      </c>
      <c r="AJ735">
        <v>86.690008166603505</v>
      </c>
      <c r="AK735">
        <v>40.363506751716599</v>
      </c>
      <c r="AL735">
        <v>78.554443764397007</v>
      </c>
      <c r="AM735">
        <v>81.540311089942605</v>
      </c>
      <c r="AN735">
        <v>1.0000000120404899</v>
      </c>
    </row>
    <row r="736" spans="1:40" x14ac:dyDescent="0.25">
      <c r="A736" t="str">
        <f>"20190303170732340"</f>
        <v>20190303170732340</v>
      </c>
      <c r="B736" t="str">
        <f>"1551604052333284"</f>
        <v>1551604052333284</v>
      </c>
      <c r="C736" t="s">
        <v>40</v>
      </c>
      <c r="D736">
        <v>5.1049850000000001</v>
      </c>
      <c r="E736">
        <v>0.51289700000000005</v>
      </c>
      <c r="F736" t="s">
        <v>43</v>
      </c>
      <c r="G736">
        <v>-213.75839999999999</v>
      </c>
      <c r="H736" s="1">
        <v>-3.410317E-6</v>
      </c>
      <c r="I736">
        <v>365.38630000000001</v>
      </c>
      <c r="J736">
        <v>-253.34649999999999</v>
      </c>
      <c r="K736">
        <v>1.121273</v>
      </c>
      <c r="L736">
        <v>367.48450000000003</v>
      </c>
      <c r="M736">
        <v>0.9998688</v>
      </c>
      <c r="N736">
        <v>-1.3952529999999999E-2</v>
      </c>
      <c r="O736">
        <v>8.2442369999999997E-3</v>
      </c>
      <c r="P736">
        <v>0.97290779999999999</v>
      </c>
      <c r="Q736">
        <v>0.1847879</v>
      </c>
      <c r="R736">
        <v>-0.1389388</v>
      </c>
      <c r="S736">
        <v>3.0762019999999999</v>
      </c>
      <c r="T736">
        <v>-8.6416720000000002E-2</v>
      </c>
      <c r="U736">
        <v>-0.161499</v>
      </c>
      <c r="V736">
        <v>0.14696989999999999</v>
      </c>
      <c r="W736">
        <v>0.19831750000000001</v>
      </c>
      <c r="X736">
        <v>0.96905620000000003</v>
      </c>
      <c r="Y736">
        <v>6.062265E-2</v>
      </c>
      <c r="Z736">
        <v>-1.3905740000000001E-3</v>
      </c>
      <c r="AA736">
        <v>0.99815980000000004</v>
      </c>
      <c r="AB736">
        <v>32</v>
      </c>
      <c r="AC736">
        <v>39.588099999999997</v>
      </c>
      <c r="AD736">
        <v>-1.1212764103170001</v>
      </c>
      <c r="AE736">
        <v>-2.0982000000000198</v>
      </c>
      <c r="AF736">
        <v>2.4225960672620999</v>
      </c>
      <c r="AG736">
        <v>-1.1212764103170001</v>
      </c>
      <c r="AH736">
        <v>39.537825252461801</v>
      </c>
      <c r="AI736">
        <v>91.621410059618</v>
      </c>
      <c r="AJ736">
        <v>86.493706675210106</v>
      </c>
      <c r="AK736">
        <v>39.627841957235802</v>
      </c>
      <c r="AL736">
        <v>78.561411194682606</v>
      </c>
      <c r="AM736">
        <v>81.376075080723993</v>
      </c>
      <c r="AN736">
        <v>0.99999995053534796</v>
      </c>
    </row>
    <row r="737" spans="1:40" x14ac:dyDescent="0.25">
      <c r="A737" t="str">
        <f>"20190303170732362"</f>
        <v>20190303170732362</v>
      </c>
      <c r="B737" t="str">
        <f>"1551604052352804"</f>
        <v>1551604052352804</v>
      </c>
      <c r="C737" t="s">
        <v>40</v>
      </c>
      <c r="D737">
        <v>5.0438219999999996</v>
      </c>
      <c r="E737">
        <v>0.51614720000000003</v>
      </c>
      <c r="F737" t="s">
        <v>48</v>
      </c>
      <c r="G737">
        <v>-204.703</v>
      </c>
      <c r="H737">
        <v>3.5966339999999999E-2</v>
      </c>
      <c r="I737">
        <v>359.59980000000002</v>
      </c>
      <c r="J737">
        <v>-253.04089999999999</v>
      </c>
      <c r="K737">
        <v>1.121264</v>
      </c>
      <c r="L737">
        <v>367.48700000000002</v>
      </c>
      <c r="M737">
        <v>0.99986839999999999</v>
      </c>
      <c r="N737">
        <v>-1.4003170000000001E-2</v>
      </c>
      <c r="O737">
        <v>8.20099E-3</v>
      </c>
      <c r="P737">
        <v>0.972526</v>
      </c>
      <c r="Q737">
        <v>0.1850308</v>
      </c>
      <c r="R737">
        <v>-0.14126859999999999</v>
      </c>
      <c r="S737">
        <v>3.0263209999999998</v>
      </c>
      <c r="T737">
        <v>-6.7521570000000003E-2</v>
      </c>
      <c r="U737">
        <v>-0.49053960000000002</v>
      </c>
      <c r="V737">
        <v>0.1492607</v>
      </c>
      <c r="W737">
        <v>0.19859889999999999</v>
      </c>
      <c r="X737">
        <v>0.96864839999999997</v>
      </c>
      <c r="Y737">
        <v>0.16802629999999999</v>
      </c>
      <c r="Z737">
        <v>-3.1141620000000002E-3</v>
      </c>
      <c r="AA737">
        <v>0.98577760000000003</v>
      </c>
      <c r="AB737">
        <v>32</v>
      </c>
      <c r="AC737">
        <v>48.337899999999898</v>
      </c>
      <c r="AD737">
        <v>-1.0852976599999999</v>
      </c>
      <c r="AE737">
        <v>-7.8871999999999503</v>
      </c>
      <c r="AF737">
        <v>8.2793267623436808</v>
      </c>
      <c r="AG737">
        <v>-1.0852976599999999</v>
      </c>
      <c r="AH737">
        <v>48.247893638755798</v>
      </c>
      <c r="AI737">
        <v>91.270047945497097</v>
      </c>
      <c r="AJ737">
        <v>80.2628935932389</v>
      </c>
      <c r="AK737">
        <v>48.965134159166297</v>
      </c>
      <c r="AL737">
        <v>78.544961544147</v>
      </c>
      <c r="AM737">
        <v>81.240093542692307</v>
      </c>
      <c r="AN737">
        <v>1.0000000012341299</v>
      </c>
    </row>
    <row r="738" spans="1:40" x14ac:dyDescent="0.25">
      <c r="A738" t="str">
        <f>"20190303170732384"</f>
        <v>20190303170732384</v>
      </c>
      <c r="B738" t="str">
        <f>"1551604052373300"</f>
        <v>1551604052373300</v>
      </c>
      <c r="C738" t="s">
        <v>40</v>
      </c>
      <c r="D738">
        <v>4.8804699999999999</v>
      </c>
      <c r="E738">
        <v>0.51732389999999995</v>
      </c>
      <c r="F738" t="s">
        <v>48</v>
      </c>
      <c r="G738">
        <v>-207.41239999999999</v>
      </c>
      <c r="H738">
        <v>3.1020639999999999E-2</v>
      </c>
      <c r="I738">
        <v>359.6</v>
      </c>
      <c r="J738">
        <v>-252.7328</v>
      </c>
      <c r="K738">
        <v>1.1212530000000001</v>
      </c>
      <c r="L738">
        <v>367.48939999999999</v>
      </c>
      <c r="M738">
        <v>0.99986819999999998</v>
      </c>
      <c r="N738">
        <v>-1.4048369999999999E-2</v>
      </c>
      <c r="O738">
        <v>8.1457400000000003E-3</v>
      </c>
      <c r="P738">
        <v>0.97216899999999995</v>
      </c>
      <c r="Q738">
        <v>0.18468229999999999</v>
      </c>
      <c r="R738">
        <v>-0.14415269999999999</v>
      </c>
      <c r="S738">
        <v>3.0225979999999999</v>
      </c>
      <c r="T738">
        <v>-7.2221640000000004E-2</v>
      </c>
      <c r="U738">
        <v>-0.52246090000000001</v>
      </c>
      <c r="V738">
        <v>0.152093899999999</v>
      </c>
      <c r="W738">
        <v>0.1982844</v>
      </c>
      <c r="X738">
        <v>0.96827200000000002</v>
      </c>
      <c r="Y738">
        <v>0.17826810000000001</v>
      </c>
      <c r="Z738">
        <v>-3.4551690000000001E-3</v>
      </c>
      <c r="AA738">
        <v>0.98397590000000001</v>
      </c>
      <c r="AB738">
        <v>32</v>
      </c>
      <c r="AC738">
        <v>45.320399999999999</v>
      </c>
      <c r="AD738">
        <v>-1.0902323599999999</v>
      </c>
      <c r="AE738">
        <v>-7.8893999999999602</v>
      </c>
      <c r="AF738">
        <v>8.2537069042751607</v>
      </c>
      <c r="AG738">
        <v>-1.0902323599999999</v>
      </c>
      <c r="AH738">
        <v>45.229220632180898</v>
      </c>
      <c r="AI738">
        <v>91.3584002334281</v>
      </c>
      <c r="AJ738">
        <v>79.658110138841394</v>
      </c>
      <c r="AK738">
        <v>45.989071345863998</v>
      </c>
      <c r="AL738">
        <v>78.563346241279902</v>
      </c>
      <c r="AM738">
        <v>81.07305543583</v>
      </c>
      <c r="AN738">
        <v>0.99999996184228401</v>
      </c>
    </row>
    <row r="739" spans="1:40" x14ac:dyDescent="0.25">
      <c r="A739" t="str">
        <f>"20190303170732407"</f>
        <v>20190303170732407</v>
      </c>
      <c r="B739" t="str">
        <f>"1551604052392821"</f>
        <v>1551604052392821</v>
      </c>
      <c r="C739" t="s">
        <v>40</v>
      </c>
      <c r="D739">
        <v>5.1042259999999997</v>
      </c>
      <c r="E739">
        <v>0.517571</v>
      </c>
      <c r="F739" t="s">
        <v>48</v>
      </c>
      <c r="G739">
        <v>-208.56309999999999</v>
      </c>
      <c r="H739">
        <v>4.3109769999999999E-2</v>
      </c>
      <c r="I739">
        <v>359.6</v>
      </c>
      <c r="J739">
        <v>-252.4093</v>
      </c>
      <c r="K739">
        <v>1.121243</v>
      </c>
      <c r="L739">
        <v>367.49200000000002</v>
      </c>
      <c r="M739">
        <v>0.99986819999999998</v>
      </c>
      <c r="N739">
        <v>-1.4090139999999999E-2</v>
      </c>
      <c r="O739">
        <v>8.0755700000000007E-3</v>
      </c>
      <c r="P739">
        <v>0.97167870000000001</v>
      </c>
      <c r="Q739">
        <v>0.1842878</v>
      </c>
      <c r="R739">
        <v>-0.1479135</v>
      </c>
      <c r="S739">
        <v>3.019882</v>
      </c>
      <c r="T739">
        <v>-7.3712589999999995E-2</v>
      </c>
      <c r="U739">
        <v>-0.53939820000000005</v>
      </c>
      <c r="V739">
        <v>0.15578789999999901</v>
      </c>
      <c r="W739">
        <v>0.19791839999999999</v>
      </c>
      <c r="X739">
        <v>0.96775949999999999</v>
      </c>
      <c r="Y739">
        <v>0.18369269999999999</v>
      </c>
      <c r="Z739">
        <v>-3.6113159999999998E-3</v>
      </c>
      <c r="AA739">
        <v>0.98297710000000005</v>
      </c>
      <c r="AB739">
        <v>31</v>
      </c>
      <c r="AC739">
        <v>43.846200000000003</v>
      </c>
      <c r="AD739">
        <v>-1.0781332299999999</v>
      </c>
      <c r="AE739">
        <v>-7.8919999999999302</v>
      </c>
      <c r="AF739">
        <v>8.2410344727468292</v>
      </c>
      <c r="AG739">
        <v>-1.0781332299999999</v>
      </c>
      <c r="AH739">
        <v>43.7554061499958</v>
      </c>
      <c r="AI739">
        <v>91.387104117360494</v>
      </c>
      <c r="AJ739">
        <v>79.333679243182104</v>
      </c>
      <c r="AK739">
        <v>44.537765859927497</v>
      </c>
      <c r="AL739">
        <v>78.584741013779094</v>
      </c>
      <c r="AM739">
        <v>80.855099978616494</v>
      </c>
      <c r="AN739">
        <v>1.0000000063426</v>
      </c>
    </row>
    <row r="740" spans="1:40" x14ac:dyDescent="0.25">
      <c r="A740" t="str">
        <f>"20190303170732430"</f>
        <v>20190303170732430</v>
      </c>
      <c r="B740" t="str">
        <f>"1551604052423076"</f>
        <v>1551604052423076</v>
      </c>
      <c r="C740" t="s">
        <v>40</v>
      </c>
      <c r="D740">
        <v>4.8732170000000004</v>
      </c>
      <c r="E740">
        <v>0.51847790000000005</v>
      </c>
      <c r="F740" t="s">
        <v>48</v>
      </c>
      <c r="G740">
        <v>-209.25069999999999</v>
      </c>
      <c r="H740">
        <v>5.1622939999999999E-2</v>
      </c>
      <c r="I740">
        <v>359.59840000000003</v>
      </c>
      <c r="J740">
        <v>-252.084</v>
      </c>
      <c r="K740">
        <v>1.121237</v>
      </c>
      <c r="L740">
        <v>367.49450000000002</v>
      </c>
      <c r="M740">
        <v>0.99986830000000004</v>
      </c>
      <c r="N740">
        <v>-1.412632E-2</v>
      </c>
      <c r="O740">
        <v>7.9930260000000003E-3</v>
      </c>
      <c r="P740">
        <v>0.97115620000000002</v>
      </c>
      <c r="Q740">
        <v>0.1838574</v>
      </c>
      <c r="R740">
        <v>-0.15182889999999999</v>
      </c>
      <c r="S740">
        <v>3.0175930000000002</v>
      </c>
      <c r="T740">
        <v>-7.4786420000000006E-2</v>
      </c>
      <c r="U740">
        <v>-0.55191040000000002</v>
      </c>
      <c r="V740">
        <v>0.15962309999999999</v>
      </c>
      <c r="W740">
        <v>0.19751170000000001</v>
      </c>
      <c r="X740">
        <v>0.9672174</v>
      </c>
      <c r="Y740">
        <v>0.18768180000000001</v>
      </c>
      <c r="Z740">
        <v>-3.727644E-3</v>
      </c>
      <c r="AA740">
        <v>0.98222279999999995</v>
      </c>
      <c r="AB740">
        <v>31</v>
      </c>
      <c r="AC740">
        <v>42.833300000000001</v>
      </c>
      <c r="AD740">
        <v>-1.0696140599999999</v>
      </c>
      <c r="AE740">
        <v>-7.8960999999999899</v>
      </c>
      <c r="AF740">
        <v>8.2332841856593308</v>
      </c>
      <c r="AG740">
        <v>-1.0696140599999999</v>
      </c>
      <c r="AH740">
        <v>42.743033764561801</v>
      </c>
      <c r="AI740">
        <v>91.407621664543001</v>
      </c>
      <c r="AJ740">
        <v>79.097061766602195</v>
      </c>
      <c r="AK740">
        <v>43.541910593331203</v>
      </c>
      <c r="AL740">
        <v>78.608511842703393</v>
      </c>
      <c r="AM740">
        <v>80.628756339785099</v>
      </c>
      <c r="AN740">
        <v>0.99999995227662797</v>
      </c>
    </row>
    <row r="741" spans="1:40" x14ac:dyDescent="0.25">
      <c r="A741" t="str">
        <f>"20190303170732452"</f>
        <v>20190303170732452</v>
      </c>
      <c r="B741" t="str">
        <f>"1551604052442596"</f>
        <v>1551604052442596</v>
      </c>
      <c r="C741" t="s">
        <v>40</v>
      </c>
      <c r="D741">
        <v>4.9839549999999999</v>
      </c>
      <c r="E741">
        <v>0.51889229999999997</v>
      </c>
      <c r="F741" t="s">
        <v>43</v>
      </c>
      <c r="G741">
        <v>-210.45590000000001</v>
      </c>
      <c r="H741">
        <v>4.3079239999999998E-2</v>
      </c>
      <c r="I741">
        <v>359.61649999999997</v>
      </c>
      <c r="J741">
        <v>-251.77619999999999</v>
      </c>
      <c r="K741">
        <v>1.1212299999999999</v>
      </c>
      <c r="L741">
        <v>367.49689999999998</v>
      </c>
      <c r="M741">
        <v>0.9998686</v>
      </c>
      <c r="N741">
        <v>-1.4155640000000001E-2</v>
      </c>
      <c r="O741">
        <v>7.9074079999999995E-3</v>
      </c>
      <c r="P741">
        <v>0.97060389999999996</v>
      </c>
      <c r="Q741">
        <v>0.1838477</v>
      </c>
      <c r="R741">
        <v>-0.15533169999999999</v>
      </c>
      <c r="S741">
        <v>3.0147089999999999</v>
      </c>
      <c r="T741">
        <v>-7.8080060000000007E-2</v>
      </c>
      <c r="U741">
        <v>-0.57052609999999904</v>
      </c>
      <c r="V741">
        <v>0.16304170000000001</v>
      </c>
      <c r="W741">
        <v>0.19751869999999999</v>
      </c>
      <c r="X741">
        <v>0.96664570000000005</v>
      </c>
      <c r="Y741">
        <v>0.1936128</v>
      </c>
      <c r="Z741">
        <v>-3.9596980000000002E-3</v>
      </c>
      <c r="AA741">
        <v>0.98107</v>
      </c>
      <c r="AB741">
        <v>31</v>
      </c>
      <c r="AC741">
        <v>41.320299999999897</v>
      </c>
      <c r="AD741">
        <v>-1.07815076</v>
      </c>
      <c r="AE741">
        <v>-7.8803999999999998</v>
      </c>
      <c r="AF741">
        <v>8.2015349689425907</v>
      </c>
      <c r="AG741">
        <v>-1.07815076</v>
      </c>
      <c r="AH741">
        <v>41.229603334559499</v>
      </c>
      <c r="AI741">
        <v>91.469165732017501</v>
      </c>
      <c r="AJ741">
        <v>78.749389139582306</v>
      </c>
      <c r="AK741">
        <v>42.051251777244403</v>
      </c>
      <c r="AL741">
        <v>78.608104083554394</v>
      </c>
      <c r="AM741">
        <v>80.426173949706097</v>
      </c>
      <c r="AN741">
        <v>1.0000000710585299</v>
      </c>
    </row>
    <row r="742" spans="1:40" x14ac:dyDescent="0.25">
      <c r="A742" t="str">
        <f>"20190303170732473"</f>
        <v>20190303170732473</v>
      </c>
      <c r="B742" t="str">
        <f>"1551604052463093"</f>
        <v>1551604052463093</v>
      </c>
      <c r="C742" t="s">
        <v>40</v>
      </c>
      <c r="D742">
        <v>5.0989129999999996</v>
      </c>
      <c r="E742">
        <v>0.51864149999999998</v>
      </c>
      <c r="F742" t="s">
        <v>43</v>
      </c>
      <c r="G742">
        <v>-211.03989999999999</v>
      </c>
      <c r="H742">
        <v>7.9699779999999998E-2</v>
      </c>
      <c r="I742">
        <v>359.58679999999998</v>
      </c>
      <c r="J742">
        <v>-251.4812</v>
      </c>
      <c r="K742">
        <v>1.121224</v>
      </c>
      <c r="L742">
        <v>367.4991</v>
      </c>
      <c r="M742">
        <v>0.99986889999999995</v>
      </c>
      <c r="N742">
        <v>-1.417996E-2</v>
      </c>
      <c r="O742">
        <v>7.8215679999999992E-3</v>
      </c>
      <c r="P742">
        <v>0.97028110000000001</v>
      </c>
      <c r="Q742">
        <v>0.18278649999999999</v>
      </c>
      <c r="R742">
        <v>-0.1585684</v>
      </c>
      <c r="S742">
        <v>3.0118710000000002</v>
      </c>
      <c r="T742">
        <v>-7.7006340000000006E-2</v>
      </c>
      <c r="U742">
        <v>-0.58483890000000005</v>
      </c>
      <c r="V742">
        <v>0.16619419999999999</v>
      </c>
      <c r="W742">
        <v>0.19647390000000001</v>
      </c>
      <c r="X742">
        <v>0.9663216</v>
      </c>
      <c r="Y742">
        <v>0.1981919</v>
      </c>
      <c r="Z742">
        <v>-4.0166749999999999E-3</v>
      </c>
      <c r="AA742">
        <v>0.980155</v>
      </c>
      <c r="AB742">
        <v>31</v>
      </c>
      <c r="AC742">
        <v>40.441299999999998</v>
      </c>
      <c r="AD742">
        <v>-1.0415242199999999</v>
      </c>
      <c r="AE742">
        <v>-7.9123000000000099</v>
      </c>
      <c r="AF742">
        <v>8.2231510290123797</v>
      </c>
      <c r="AG742">
        <v>-1.0415242199999999</v>
      </c>
      <c r="AH742">
        <v>40.352392195112003</v>
      </c>
      <c r="AI742">
        <v>91.4487542924319</v>
      </c>
      <c r="AJ742">
        <v>78.481779985109696</v>
      </c>
      <c r="AK742">
        <v>41.194909168669497</v>
      </c>
      <c r="AL742">
        <v>78.669162053745296</v>
      </c>
      <c r="AM742">
        <v>80.241374024639398</v>
      </c>
      <c r="AN742">
        <v>0.99999997006070396</v>
      </c>
    </row>
    <row r="743" spans="1:40" x14ac:dyDescent="0.25">
      <c r="A743" t="str">
        <f>"20190303170732496"</f>
        <v>20190303170732496</v>
      </c>
      <c r="B743" t="str">
        <f>"1551604052482613"</f>
        <v>1551604052482613</v>
      </c>
      <c r="C743" t="s">
        <v>40</v>
      </c>
      <c r="D743">
        <v>5.0411380000000001</v>
      </c>
      <c r="E743">
        <v>0.51871909999999999</v>
      </c>
      <c r="F743" t="s">
        <v>43</v>
      </c>
      <c r="G743">
        <v>-211.41460000000001</v>
      </c>
      <c r="H743">
        <v>6.2076350000000002E-2</v>
      </c>
      <c r="I743">
        <v>359.6044</v>
      </c>
      <c r="J743">
        <v>-251.1678</v>
      </c>
      <c r="K743">
        <v>1.121219</v>
      </c>
      <c r="L743">
        <v>367.50139999999999</v>
      </c>
      <c r="M743">
        <v>0.99986929999999996</v>
      </c>
      <c r="N743">
        <v>-1.420214E-2</v>
      </c>
      <c r="O743">
        <v>7.7277730000000003E-3</v>
      </c>
      <c r="P743">
        <v>0.96971790000000002</v>
      </c>
      <c r="Q743">
        <v>0.18243770000000001</v>
      </c>
      <c r="R743">
        <v>-0.16236989999999901</v>
      </c>
      <c r="S743">
        <v>3.0099640000000001</v>
      </c>
      <c r="T743">
        <v>-7.9567310000000002E-2</v>
      </c>
      <c r="U743">
        <v>-0.59307860000000001</v>
      </c>
      <c r="V743">
        <v>0.169902</v>
      </c>
      <c r="W743">
        <v>0.1961368</v>
      </c>
      <c r="X743">
        <v>0.96574519999999997</v>
      </c>
      <c r="Y743">
        <v>0.20079279999999999</v>
      </c>
      <c r="Z743">
        <v>-4.1617479999999998E-3</v>
      </c>
      <c r="AA743">
        <v>0.97962490000000002</v>
      </c>
      <c r="AB743">
        <v>31</v>
      </c>
      <c r="AC743">
        <v>39.7531999999999</v>
      </c>
      <c r="AD743">
        <v>-1.0591426500000001</v>
      </c>
      <c r="AE743">
        <v>-7.8969999999999896</v>
      </c>
      <c r="AF743">
        <v>8.1984001628145098</v>
      </c>
      <c r="AG743">
        <v>-1.0591426500000001</v>
      </c>
      <c r="AH743">
        <v>39.663893956659201</v>
      </c>
      <c r="AI743">
        <v>91.497952976565301</v>
      </c>
      <c r="AJ743">
        <v>78.321606100851298</v>
      </c>
      <c r="AK743">
        <v>40.516170008871597</v>
      </c>
      <c r="AL743">
        <v>78.688860783720699</v>
      </c>
      <c r="AM743">
        <v>80.022150332851595</v>
      </c>
      <c r="AN743">
        <v>1.00000006262063</v>
      </c>
    </row>
    <row r="744" spans="1:40" x14ac:dyDescent="0.25">
      <c r="A744" t="str">
        <f>"20190303170732518"</f>
        <v>20190303170732518</v>
      </c>
      <c r="B744" t="str">
        <f>"1551604052512868"</f>
        <v>1551604052512868</v>
      </c>
      <c r="C744" t="s">
        <v>40</v>
      </c>
      <c r="D744">
        <v>5.0428040000000003</v>
      </c>
      <c r="E744">
        <v>0.51840159999999902</v>
      </c>
      <c r="F744" t="s">
        <v>43</v>
      </c>
      <c r="G744">
        <v>-211.95089999999999</v>
      </c>
      <c r="H744">
        <v>6.4134999999999998E-2</v>
      </c>
      <c r="I744">
        <v>359.60230000000001</v>
      </c>
      <c r="J744">
        <v>-250.84639999999999</v>
      </c>
      <c r="K744">
        <v>1.1212040000000001</v>
      </c>
      <c r="L744">
        <v>367.50380000000001</v>
      </c>
      <c r="M744">
        <v>0.99986980000000003</v>
      </c>
      <c r="N744">
        <v>-1.4221589999999999E-2</v>
      </c>
      <c r="O744">
        <v>7.6307299999999996E-3</v>
      </c>
      <c r="P744">
        <v>0.96920430000000002</v>
      </c>
      <c r="Q744">
        <v>0.18155070000000001</v>
      </c>
      <c r="R744">
        <v>-0.16637959999999999</v>
      </c>
      <c r="S744">
        <v>3.0075069999999999</v>
      </c>
      <c r="T744">
        <v>-8.1066609999999997E-2</v>
      </c>
      <c r="U744">
        <v>-0.60577389999999998</v>
      </c>
      <c r="V744">
        <v>0.173815</v>
      </c>
      <c r="W744">
        <v>0.19525899999999999</v>
      </c>
      <c r="X744">
        <v>0.96522649999999999</v>
      </c>
      <c r="Y744">
        <v>0.20481930000000001</v>
      </c>
      <c r="Z744">
        <v>-4.3001000000000003E-3</v>
      </c>
      <c r="AA744">
        <v>0.9787903</v>
      </c>
      <c r="AB744">
        <v>31</v>
      </c>
      <c r="AC744">
        <v>38.895499999999998</v>
      </c>
      <c r="AD744">
        <v>-1.057069</v>
      </c>
      <c r="AE744">
        <v>-7.9014999999999898</v>
      </c>
      <c r="AF744">
        <v>8.1922899742396407</v>
      </c>
      <c r="AG744">
        <v>-1.057069</v>
      </c>
      <c r="AH744">
        <v>38.806540599200098</v>
      </c>
      <c r="AI744">
        <v>91.526688235665702</v>
      </c>
      <c r="AJ744">
        <v>78.079546878766095</v>
      </c>
      <c r="AK744">
        <v>39.675919689027403</v>
      </c>
      <c r="AL744">
        <v>78.7401455424707</v>
      </c>
      <c r="AM744">
        <v>79.791758331084694</v>
      </c>
      <c r="AN744">
        <v>0.99999996380412404</v>
      </c>
    </row>
    <row r="745" spans="1:40" x14ac:dyDescent="0.25">
      <c r="A745" t="str">
        <f>"20190303170732541"</f>
        <v>20190303170732541</v>
      </c>
      <c r="B745" t="str">
        <f>"1551604052533364"</f>
        <v>1551604052533364</v>
      </c>
      <c r="C745" t="s">
        <v>40</v>
      </c>
      <c r="D745">
        <v>4.9892539999999999</v>
      </c>
      <c r="E745">
        <v>0.51804079999999997</v>
      </c>
      <c r="F745" t="s">
        <v>43</v>
      </c>
      <c r="G745">
        <v>-212.10669999999999</v>
      </c>
      <c r="H745">
        <v>7.9986199999999993E-2</v>
      </c>
      <c r="I745">
        <v>359.56169999999997</v>
      </c>
      <c r="J745">
        <v>-250.5386</v>
      </c>
      <c r="K745">
        <v>1.1211960000000001</v>
      </c>
      <c r="L745">
        <v>367.50599999999997</v>
      </c>
      <c r="M745">
        <v>0.99987029999999999</v>
      </c>
      <c r="N745">
        <v>-1.4237100000000001E-2</v>
      </c>
      <c r="O745">
        <v>7.5370080000000004E-3</v>
      </c>
      <c r="P745">
        <v>0.96893940000000001</v>
      </c>
      <c r="Q745">
        <v>0.1801818</v>
      </c>
      <c r="R745">
        <v>-0.1693846</v>
      </c>
      <c r="S745">
        <v>3.004715</v>
      </c>
      <c r="T745">
        <v>-8.0758449999999996E-2</v>
      </c>
      <c r="U745">
        <v>-0.61599729999999997</v>
      </c>
      <c r="V745">
        <v>0.1767273</v>
      </c>
      <c r="W745">
        <v>0.19389989999999999</v>
      </c>
      <c r="X745">
        <v>0.96497169999999999</v>
      </c>
      <c r="Y745">
        <v>0.20809939999999999</v>
      </c>
      <c r="Z745">
        <v>-4.3587030000000002E-3</v>
      </c>
      <c r="AA745">
        <v>0.97809800000000002</v>
      </c>
      <c r="AB745">
        <v>31</v>
      </c>
      <c r="AC745">
        <v>38.431899999999999</v>
      </c>
      <c r="AD745">
        <v>-1.0412098000000001</v>
      </c>
      <c r="AE745">
        <v>-7.9442999999999904</v>
      </c>
      <c r="AF745">
        <v>8.2279733826710508</v>
      </c>
      <c r="AG745">
        <v>-1.0412098000000001</v>
      </c>
      <c r="AH745">
        <v>38.343934926625003</v>
      </c>
      <c r="AI745">
        <v>91.520851405750406</v>
      </c>
      <c r="AJ745">
        <v>77.888934507894106</v>
      </c>
      <c r="AK745">
        <v>39.230613167408102</v>
      </c>
      <c r="AL745">
        <v>78.819534537898804</v>
      </c>
      <c r="AM745">
        <v>79.621722634130904</v>
      </c>
      <c r="AN745">
        <v>1.00000004579309</v>
      </c>
    </row>
    <row r="746" spans="1:40" x14ac:dyDescent="0.25">
      <c r="A746" t="str">
        <f>"20190303170732562"</f>
        <v>20190303170732562</v>
      </c>
      <c r="B746" t="str">
        <f>"1551604052552884"</f>
        <v>1551604052552884</v>
      </c>
      <c r="C746" t="s">
        <v>40</v>
      </c>
      <c r="D746">
        <v>4.9278190000000004</v>
      </c>
      <c r="E746">
        <v>0.51777569999999995</v>
      </c>
      <c r="F746" t="s">
        <v>43</v>
      </c>
      <c r="G746">
        <v>-212.41800000000001</v>
      </c>
      <c r="H746">
        <v>6.457707E-2</v>
      </c>
      <c r="I746">
        <v>359.6019</v>
      </c>
      <c r="J746">
        <v>-250.23410000000001</v>
      </c>
      <c r="K746">
        <v>1.121191</v>
      </c>
      <c r="L746">
        <v>367.50819999999999</v>
      </c>
      <c r="M746">
        <v>0.99987079999999995</v>
      </c>
      <c r="N746">
        <v>-1.4250000000000001E-2</v>
      </c>
      <c r="O746">
        <v>7.4409669999999997E-3</v>
      </c>
      <c r="P746">
        <v>0.96858219999999995</v>
      </c>
      <c r="Q746">
        <v>0.1798438</v>
      </c>
      <c r="R746">
        <v>-0.17176959999999999</v>
      </c>
      <c r="S746">
        <v>3.0028229999999998</v>
      </c>
      <c r="T746">
        <v>-8.3231330000000006E-2</v>
      </c>
      <c r="U746">
        <v>-0.62261959999999905</v>
      </c>
      <c r="V746">
        <v>0.17901810000000001</v>
      </c>
      <c r="W746">
        <v>0.19356719999999999</v>
      </c>
      <c r="X746">
        <v>0.96461609999999998</v>
      </c>
      <c r="Y746">
        <v>0.21018819999999999</v>
      </c>
      <c r="Z746">
        <v>-4.4948100000000001E-3</v>
      </c>
      <c r="AA746">
        <v>0.97765060000000004</v>
      </c>
      <c r="AB746">
        <v>31</v>
      </c>
      <c r="AC746">
        <v>37.816099999999999</v>
      </c>
      <c r="AD746">
        <v>-1.0566139299999999</v>
      </c>
      <c r="AE746">
        <v>-7.9062999999999803</v>
      </c>
      <c r="AF746">
        <v>8.1813783621488305</v>
      </c>
      <c r="AG746">
        <v>-1.0566139299999999</v>
      </c>
      <c r="AH746">
        <v>37.727996021053997</v>
      </c>
      <c r="AI746">
        <v>91.567791716027401</v>
      </c>
      <c r="AJ746">
        <v>77.764753938634499</v>
      </c>
      <c r="AK746">
        <v>38.619335424970302</v>
      </c>
      <c r="AL746">
        <v>78.838964232591294</v>
      </c>
      <c r="AM746">
        <v>79.486386685303401</v>
      </c>
      <c r="AN746">
        <v>0.99999998071132901</v>
      </c>
    </row>
    <row r="747" spans="1:40" x14ac:dyDescent="0.25">
      <c r="A747" t="str">
        <f>"20190303170732585"</f>
        <v>20190303170732585</v>
      </c>
      <c r="B747" t="str">
        <f>"1551604052573381"</f>
        <v>1551604052573381</v>
      </c>
      <c r="C747" t="s">
        <v>40</v>
      </c>
      <c r="D747">
        <v>4.8716910000000002</v>
      </c>
      <c r="E747">
        <v>0.51757659999999905</v>
      </c>
      <c r="F747" t="s">
        <v>43</v>
      </c>
      <c r="G747">
        <v>-212.1885</v>
      </c>
      <c r="H747">
        <v>7.9986180000000004E-2</v>
      </c>
      <c r="I747">
        <v>359.54160000000002</v>
      </c>
      <c r="J747">
        <v>-249.93010000000001</v>
      </c>
      <c r="K747">
        <v>1.121197</v>
      </c>
      <c r="L747">
        <v>367.51029999999997</v>
      </c>
      <c r="M747">
        <v>0.99987139999999997</v>
      </c>
      <c r="N747">
        <v>-1.4260750000000001E-2</v>
      </c>
      <c r="O747">
        <v>7.3356459999999899E-3</v>
      </c>
      <c r="P747">
        <v>0.96813320000000003</v>
      </c>
      <c r="Q747">
        <v>0.17963970000000001</v>
      </c>
      <c r="R747">
        <v>-0.1744936</v>
      </c>
      <c r="S747">
        <v>3.0011139999999998</v>
      </c>
      <c r="T747">
        <v>-8.2132339999999998E-2</v>
      </c>
      <c r="U747">
        <v>-0.62841800000000003</v>
      </c>
      <c r="V747">
        <v>0.18163950000000001</v>
      </c>
      <c r="W747">
        <v>0.19336420000000001</v>
      </c>
      <c r="X747">
        <v>0.96416659999999998</v>
      </c>
      <c r="Y747">
        <v>0.21200730000000001</v>
      </c>
      <c r="Z747">
        <v>-4.4929330000000002E-3</v>
      </c>
      <c r="AA747">
        <v>0.97725770000000001</v>
      </c>
      <c r="AB747">
        <v>31</v>
      </c>
      <c r="AC747">
        <v>37.741599999999998</v>
      </c>
      <c r="AD747">
        <v>-1.0412108200000001</v>
      </c>
      <c r="AE747">
        <v>-7.9686999999999504</v>
      </c>
      <c r="AF747">
        <v>8.2393694339617696</v>
      </c>
      <c r="AG747">
        <v>-1.0412108200000001</v>
      </c>
      <c r="AH747">
        <v>37.654687212085904</v>
      </c>
      <c r="AI747">
        <v>91.547323014209994</v>
      </c>
      <c r="AJ747">
        <v>77.657418076551295</v>
      </c>
      <c r="AK747">
        <v>38.559652457990502</v>
      </c>
      <c r="AL747">
        <v>78.850818648018105</v>
      </c>
      <c r="AM747">
        <v>79.331082427467294</v>
      </c>
      <c r="AN747">
        <v>0.99999992717872199</v>
      </c>
    </row>
    <row r="748" spans="1:40" x14ac:dyDescent="0.25">
      <c r="A748" t="str">
        <f>"20190303170732608"</f>
        <v>20190303170732608</v>
      </c>
      <c r="B748" t="str">
        <f>"1551604052602661"</f>
        <v>1551604052602661</v>
      </c>
      <c r="C748" t="s">
        <v>40</v>
      </c>
      <c r="D748">
        <v>4.9261679999999997</v>
      </c>
      <c r="E748">
        <v>0.51728390000000002</v>
      </c>
      <c r="F748" t="s">
        <v>43</v>
      </c>
      <c r="G748">
        <v>-211.27780000000001</v>
      </c>
      <c r="H748">
        <v>7.9986459999999995E-2</v>
      </c>
      <c r="I748">
        <v>359.30799999999999</v>
      </c>
      <c r="J748">
        <v>-249.59870000000001</v>
      </c>
      <c r="K748">
        <v>1.1211880000000001</v>
      </c>
      <c r="L748">
        <v>367.51260000000002</v>
      </c>
      <c r="M748">
        <v>0.99987219999999999</v>
      </c>
      <c r="N748">
        <v>-1.4270400000000001E-2</v>
      </c>
      <c r="O748">
        <v>7.2018489999999998E-3</v>
      </c>
      <c r="P748">
        <v>0.96768520000000002</v>
      </c>
      <c r="Q748">
        <v>0.17979879999999901</v>
      </c>
      <c r="R748">
        <v>-0.17679879999999901</v>
      </c>
      <c r="S748">
        <v>2.9990389999999998</v>
      </c>
      <c r="T748">
        <v>-8.0787419999999999E-2</v>
      </c>
      <c r="U748">
        <v>-0.63641359999999902</v>
      </c>
      <c r="V748">
        <v>0.18381810000000001</v>
      </c>
      <c r="W748">
        <v>0.19352</v>
      </c>
      <c r="X748">
        <v>0.96372250000000004</v>
      </c>
      <c r="Y748">
        <v>0.2145077</v>
      </c>
      <c r="Z748">
        <v>-4.4950140000000003E-3</v>
      </c>
      <c r="AA748">
        <v>0.97671189999999997</v>
      </c>
      <c r="AB748">
        <v>31</v>
      </c>
      <c r="AC748">
        <v>38.320900000000002</v>
      </c>
      <c r="AD748">
        <v>-1.0412015400000001</v>
      </c>
      <c r="AE748">
        <v>-8.2045999999999708</v>
      </c>
      <c r="AF748">
        <v>8.4744146829332401</v>
      </c>
      <c r="AG748">
        <v>-1.0412015400000001</v>
      </c>
      <c r="AH748">
        <v>38.233823063424303</v>
      </c>
      <c r="AI748">
        <v>91.522976804117505</v>
      </c>
      <c r="AJ748">
        <v>77.502599389554504</v>
      </c>
      <c r="AK748">
        <v>39.175566759275497</v>
      </c>
      <c r="AL748">
        <v>78.841721730291496</v>
      </c>
      <c r="AM748">
        <v>79.201250505715095</v>
      </c>
      <c r="AN748">
        <v>1.0000000706469201</v>
      </c>
    </row>
    <row r="749" spans="1:40" x14ac:dyDescent="0.25">
      <c r="A749" t="str">
        <f>"20190303170732630"</f>
        <v>20190303170732630</v>
      </c>
      <c r="B749" t="str">
        <f>"1551604052623156"</f>
        <v>1551604052623156</v>
      </c>
      <c r="C749" t="s">
        <v>40</v>
      </c>
      <c r="D749">
        <v>4.6820959999999996</v>
      </c>
      <c r="E749">
        <v>0.51703319999999997</v>
      </c>
      <c r="F749" t="s">
        <v>48</v>
      </c>
      <c r="G749">
        <v>-209.5429</v>
      </c>
      <c r="H749">
        <v>7.9986589999999996E-2</v>
      </c>
      <c r="I749">
        <v>358.94929999999999</v>
      </c>
      <c r="J749">
        <v>-249.2919</v>
      </c>
      <c r="K749">
        <v>1.1211719999999901</v>
      </c>
      <c r="L749">
        <v>367.5147</v>
      </c>
      <c r="M749">
        <v>0.99987320000000002</v>
      </c>
      <c r="N749">
        <v>-1.427752E-2</v>
      </c>
      <c r="O749">
        <v>7.0489269999999904E-3</v>
      </c>
      <c r="P749">
        <v>0.96748820000000002</v>
      </c>
      <c r="Q749">
        <v>0.179126799999999</v>
      </c>
      <c r="R749">
        <v>-0.17855090000000001</v>
      </c>
      <c r="S749">
        <v>2.9975740000000002</v>
      </c>
      <c r="T749">
        <v>-7.7918290000000001E-2</v>
      </c>
      <c r="U749">
        <v>-0.64083859999999904</v>
      </c>
      <c r="V749">
        <v>0.18542990000000001</v>
      </c>
      <c r="W749">
        <v>0.19284299999999999</v>
      </c>
      <c r="X749">
        <v>0.96354930000000005</v>
      </c>
      <c r="Y749">
        <v>0.21584020000000001</v>
      </c>
      <c r="Z749">
        <v>-4.4136649999999998E-3</v>
      </c>
      <c r="AA749">
        <v>0.97641869999999997</v>
      </c>
      <c r="AB749">
        <v>31</v>
      </c>
      <c r="AC749">
        <v>39.749000000000002</v>
      </c>
      <c r="AD749">
        <v>-1.04118540999999</v>
      </c>
      <c r="AE749">
        <v>-8.5654000000000092</v>
      </c>
      <c r="AF749">
        <v>8.8396075769373201</v>
      </c>
      <c r="AG749">
        <v>-1.04118540999999</v>
      </c>
      <c r="AH749">
        <v>39.661623926266799</v>
      </c>
      <c r="AI749">
        <v>91.467770231190997</v>
      </c>
      <c r="AJ749">
        <v>77.435524023972107</v>
      </c>
      <c r="AK749">
        <v>40.648089028155603</v>
      </c>
      <c r="AL749">
        <v>78.881254446892001</v>
      </c>
      <c r="AM749">
        <v>79.106906340571499</v>
      </c>
      <c r="AN749">
        <v>0.99999996199674901</v>
      </c>
    </row>
    <row r="750" spans="1:40" x14ac:dyDescent="0.25">
      <c r="A750" t="str">
        <f>"20190303170732654"</f>
        <v>20190303170732654</v>
      </c>
      <c r="B750" t="str">
        <f>"1551604052642677"</f>
        <v>1551604052642677</v>
      </c>
      <c r="C750" t="s">
        <v>40</v>
      </c>
      <c r="D750">
        <v>4.8708530000000003</v>
      </c>
      <c r="E750">
        <v>0.51681739999999998</v>
      </c>
      <c r="F750" t="s">
        <v>48</v>
      </c>
      <c r="G750">
        <v>-209.36330000000001</v>
      </c>
      <c r="H750">
        <v>7.9986619999999994E-2</v>
      </c>
      <c r="I750">
        <v>358.93419999999998</v>
      </c>
      <c r="J750">
        <v>-248.9759</v>
      </c>
      <c r="K750">
        <v>1.1211409999999999</v>
      </c>
      <c r="L750">
        <v>367.51670000000001</v>
      </c>
      <c r="M750">
        <v>0.9998745</v>
      </c>
      <c r="N750">
        <v>-1.428337E-2</v>
      </c>
      <c r="O750">
        <v>6.8521750000000003E-3</v>
      </c>
      <c r="P750">
        <v>0.96737240000000002</v>
      </c>
      <c r="Q750">
        <v>0.17915</v>
      </c>
      <c r="R750">
        <v>-0.17915410000000001</v>
      </c>
      <c r="S750">
        <v>2.996429</v>
      </c>
      <c r="T750">
        <v>-7.8135490000000002E-2</v>
      </c>
      <c r="U750">
        <v>-0.64392090000000002</v>
      </c>
      <c r="V750">
        <v>0.1858553</v>
      </c>
      <c r="W750">
        <v>0.19285749999999999</v>
      </c>
      <c r="X750">
        <v>0.96346449999999995</v>
      </c>
      <c r="Y750">
        <v>0.2166835</v>
      </c>
      <c r="Z750">
        <v>-4.4381400000000001E-3</v>
      </c>
      <c r="AA750">
        <v>0.97623179999999998</v>
      </c>
      <c r="AB750">
        <v>31</v>
      </c>
      <c r="AC750">
        <v>39.612599999999901</v>
      </c>
      <c r="AD750">
        <v>-1.04115438</v>
      </c>
      <c r="AE750">
        <v>-8.5825000000000298</v>
      </c>
      <c r="AF750">
        <v>8.8479203914052</v>
      </c>
      <c r="AG750">
        <v>-1.04115438</v>
      </c>
      <c r="AH750">
        <v>39.526773569329997</v>
      </c>
      <c r="AI750">
        <v>91.472427665694198</v>
      </c>
      <c r="AJ750">
        <v>77.382551241528503</v>
      </c>
      <c r="AK750">
        <v>40.518335682709399</v>
      </c>
      <c r="AL750">
        <v>78.880408477205094</v>
      </c>
      <c r="AM750">
        <v>79.081578221987996</v>
      </c>
      <c r="AN750">
        <v>1.00000002530229</v>
      </c>
    </row>
    <row r="751" spans="1:40" x14ac:dyDescent="0.25">
      <c r="A751" t="str">
        <f>"20190303170732674"</f>
        <v>20190303170732674</v>
      </c>
      <c r="B751" t="str">
        <f>"1551604052663173"</f>
        <v>1551604052663173</v>
      </c>
      <c r="C751" t="s">
        <v>40</v>
      </c>
      <c r="D751">
        <v>4.8764260000000004</v>
      </c>
      <c r="E751">
        <v>0.51651789999999997</v>
      </c>
      <c r="F751" t="s">
        <v>48</v>
      </c>
      <c r="G751">
        <v>-208.16730000000001</v>
      </c>
      <c r="H751">
        <v>7.9986899999999903E-2</v>
      </c>
      <c r="I751">
        <v>358.74430000000001</v>
      </c>
      <c r="J751">
        <v>-248.68020000000001</v>
      </c>
      <c r="K751">
        <v>1.1211169999999999</v>
      </c>
      <c r="L751">
        <v>367.51850000000002</v>
      </c>
      <c r="M751">
        <v>0.99987599999999999</v>
      </c>
      <c r="N751">
        <v>-1.4287799999999899E-2</v>
      </c>
      <c r="O751">
        <v>6.6349290000000003E-3</v>
      </c>
      <c r="P751">
        <v>0.96724310000000002</v>
      </c>
      <c r="Q751">
        <v>0.1797726</v>
      </c>
      <c r="R751">
        <v>-0.17922879999999899</v>
      </c>
      <c r="S751">
        <v>2.9960629999999999</v>
      </c>
      <c r="T751">
        <v>-7.6438899999999907E-2</v>
      </c>
      <c r="U751">
        <v>-0.64404300000000003</v>
      </c>
      <c r="V751">
        <v>0.1857327</v>
      </c>
      <c r="W751">
        <v>0.1934709</v>
      </c>
      <c r="X751">
        <v>0.96336509999999997</v>
      </c>
      <c r="Y751">
        <v>0.21653790000000001</v>
      </c>
      <c r="Z751">
        <v>-4.369169E-3</v>
      </c>
      <c r="AA751">
        <v>0.97626440000000003</v>
      </c>
      <c r="AB751">
        <v>31</v>
      </c>
      <c r="AC751">
        <v>40.512900000000002</v>
      </c>
      <c r="AD751">
        <v>-1.0411300999999999</v>
      </c>
      <c r="AE751">
        <v>-8.7742000000000004</v>
      </c>
      <c r="AF751">
        <v>9.0371335217182693</v>
      </c>
      <c r="AG751">
        <v>-1.0411300999999999</v>
      </c>
      <c r="AH751">
        <v>40.428282373235298</v>
      </c>
      <c r="AI751">
        <v>91.439669908718301</v>
      </c>
      <c r="AJ751">
        <v>77.399538709217893</v>
      </c>
      <c r="AK751">
        <v>41.439108941005699</v>
      </c>
      <c r="AL751">
        <v>78.844588011496697</v>
      </c>
      <c r="AM751">
        <v>79.087508845594996</v>
      </c>
      <c r="AN751">
        <v>0.99999997044705402</v>
      </c>
    </row>
    <row r="752" spans="1:40" x14ac:dyDescent="0.25">
      <c r="A752" t="str">
        <f>"20190303170732697"</f>
        <v>20190303170732697</v>
      </c>
      <c r="B752" t="str">
        <f>"1551604052682692"</f>
        <v>1551604052682692</v>
      </c>
      <c r="C752" t="s">
        <v>40</v>
      </c>
      <c r="D752">
        <v>4.931114</v>
      </c>
      <c r="E752">
        <v>0.51629849999999999</v>
      </c>
      <c r="F752" t="s">
        <v>48</v>
      </c>
      <c r="G752">
        <v>-205.68620000000001</v>
      </c>
      <c r="H752">
        <v>7.9987489999999994E-2</v>
      </c>
      <c r="I752">
        <v>358.30399999999997</v>
      </c>
      <c r="J752">
        <v>-248.37440000000001</v>
      </c>
      <c r="K752">
        <v>1.1210910000000001</v>
      </c>
      <c r="L752">
        <v>367.52019999999999</v>
      </c>
      <c r="M752">
        <v>0.99987760000000003</v>
      </c>
      <c r="N752">
        <v>-1.4291369999999999E-2</v>
      </c>
      <c r="O752">
        <v>6.3703800000000001E-3</v>
      </c>
      <c r="P752">
        <v>0.96698030000000001</v>
      </c>
      <c r="Q752">
        <v>0.18001679999999901</v>
      </c>
      <c r="R752">
        <v>-0.180398</v>
      </c>
      <c r="S752">
        <v>2.9960939999999998</v>
      </c>
      <c r="T752">
        <v>-7.2552439999999996E-2</v>
      </c>
      <c r="U752">
        <v>-0.64212040000000004</v>
      </c>
      <c r="V752">
        <v>0.18665899999999999</v>
      </c>
      <c r="W752">
        <v>0.19370109999999999</v>
      </c>
      <c r="X752">
        <v>0.96313979999999999</v>
      </c>
      <c r="Y752">
        <v>0.21568780000000001</v>
      </c>
      <c r="Z752">
        <v>-4.2033289999999996E-3</v>
      </c>
      <c r="AA752">
        <v>0.97645329999999997</v>
      </c>
      <c r="AB752">
        <v>31</v>
      </c>
      <c r="AC752">
        <v>42.688200000000002</v>
      </c>
      <c r="AD752">
        <v>-1.0411035099999999</v>
      </c>
      <c r="AE752">
        <v>-9.2161999999999509</v>
      </c>
      <c r="AF752">
        <v>9.4825917094564893</v>
      </c>
      <c r="AG752">
        <v>-1.0411035099999999</v>
      </c>
      <c r="AH752">
        <v>42.604404346143497</v>
      </c>
      <c r="AI752">
        <v>91.366408201378505</v>
      </c>
      <c r="AJ752">
        <v>77.452039343234404</v>
      </c>
      <c r="AK752">
        <v>43.659348503344297</v>
      </c>
      <c r="AL752">
        <v>78.831144390669195</v>
      </c>
      <c r="AM752">
        <v>79.031898476898405</v>
      </c>
      <c r="AN752">
        <v>0.99999998638312404</v>
      </c>
    </row>
    <row r="753" spans="1:40" x14ac:dyDescent="0.25">
      <c r="A753" t="str">
        <f>"20190303170732719"</f>
        <v>20190303170732719</v>
      </c>
      <c r="B753" t="str">
        <f>"1551604052712948"</f>
        <v>1551604052712948</v>
      </c>
      <c r="C753" t="s">
        <v>40</v>
      </c>
      <c r="D753">
        <v>4.8727559999999999</v>
      </c>
      <c r="E753">
        <v>0.5159338</v>
      </c>
      <c r="F753" t="s">
        <v>48</v>
      </c>
      <c r="G753">
        <v>-203.90469999999999</v>
      </c>
      <c r="H753">
        <v>7.9987719999999998E-2</v>
      </c>
      <c r="I753">
        <v>357.96140000000003</v>
      </c>
      <c r="J753">
        <v>-248.06450000000001</v>
      </c>
      <c r="K753">
        <v>1.121065</v>
      </c>
      <c r="L753">
        <v>367.52190000000002</v>
      </c>
      <c r="M753">
        <v>0.99987950000000003</v>
      </c>
      <c r="N753">
        <v>-1.4294070000000001E-2</v>
      </c>
      <c r="O753">
        <v>6.0538040000000003E-3</v>
      </c>
      <c r="P753">
        <v>0.96670990000000001</v>
      </c>
      <c r="Q753">
        <v>0.18052299999999999</v>
      </c>
      <c r="R753">
        <v>-0.18133959999999999</v>
      </c>
      <c r="S753">
        <v>2.9953609999999999</v>
      </c>
      <c r="T753">
        <v>-7.0125939999999998E-2</v>
      </c>
      <c r="U753">
        <v>-0.64385990000000004</v>
      </c>
      <c r="V753">
        <v>0.187309</v>
      </c>
      <c r="W753">
        <v>0.19419130000000001</v>
      </c>
      <c r="X753">
        <v>0.96291490000000002</v>
      </c>
      <c r="Y753">
        <v>0.21597469999999999</v>
      </c>
      <c r="Z753">
        <v>-4.1152790000000003E-3</v>
      </c>
      <c r="AA753">
        <v>0.97639030000000004</v>
      </c>
      <c r="AB753">
        <v>31</v>
      </c>
      <c r="AC753">
        <v>44.159799999999997</v>
      </c>
      <c r="AD753">
        <v>-1.0410772800000001</v>
      </c>
      <c r="AE753">
        <v>-9.5604999999999905</v>
      </c>
      <c r="AF753">
        <v>9.8224720455267107</v>
      </c>
      <c r="AG753">
        <v>-1.0410772800000001</v>
      </c>
      <c r="AH753">
        <v>44.077706161228001</v>
      </c>
      <c r="AI753">
        <v>91.320643032053894</v>
      </c>
      <c r="AJ753">
        <v>77.437223615424102</v>
      </c>
      <c r="AK753">
        <v>45.170886413968503</v>
      </c>
      <c r="AL753">
        <v>78.802514685143194</v>
      </c>
      <c r="AM753">
        <v>78.992127735622503</v>
      </c>
      <c r="AN753">
        <v>1.0000000135593401</v>
      </c>
    </row>
    <row r="754" spans="1:40" x14ac:dyDescent="0.25">
      <c r="A754" t="str">
        <f>"20190303170732741"</f>
        <v>20190303170732741</v>
      </c>
      <c r="B754" t="str">
        <f>"1551604052732468"</f>
        <v>1551604052732468</v>
      </c>
      <c r="C754" t="s">
        <v>40</v>
      </c>
      <c r="D754">
        <v>4.8719080000000003</v>
      </c>
      <c r="E754">
        <v>0.51571420000000001</v>
      </c>
      <c r="F754" t="s">
        <v>48</v>
      </c>
      <c r="G754">
        <v>-201.2414</v>
      </c>
      <c r="H754">
        <v>7.9987749999999996E-2</v>
      </c>
      <c r="I754">
        <v>357.4468</v>
      </c>
      <c r="J754">
        <v>-247.76050000000001</v>
      </c>
      <c r="K754">
        <v>1.12104</v>
      </c>
      <c r="L754">
        <v>367.52330000000001</v>
      </c>
      <c r="M754">
        <v>0.99988160000000004</v>
      </c>
      <c r="N754">
        <v>-1.429591E-2</v>
      </c>
      <c r="O754">
        <v>5.6917519999999996E-3</v>
      </c>
      <c r="P754">
        <v>0.96645219999999998</v>
      </c>
      <c r="Q754">
        <v>0.18087710000000001</v>
      </c>
      <c r="R754">
        <v>-0.18235589999999999</v>
      </c>
      <c r="S754">
        <v>2.9948429999999999</v>
      </c>
      <c r="T754">
        <v>-6.6588159999999993E-2</v>
      </c>
      <c r="U754">
        <v>-0.64440920000000002</v>
      </c>
      <c r="V754">
        <v>0.1879923</v>
      </c>
      <c r="W754">
        <v>0.1945267</v>
      </c>
      <c r="X754">
        <v>0.96271399999999996</v>
      </c>
      <c r="Y754">
        <v>0.21583459999999999</v>
      </c>
      <c r="Z754">
        <v>-3.9773350000000002E-3</v>
      </c>
      <c r="AA754">
        <v>0.97642180000000001</v>
      </c>
      <c r="AB754">
        <v>31</v>
      </c>
      <c r="AC754">
        <v>46.519100000000002</v>
      </c>
      <c r="AD754">
        <v>-1.0410522499999999</v>
      </c>
      <c r="AE754">
        <v>-10.076499999999999</v>
      </c>
      <c r="AF754">
        <v>10.3361944062483</v>
      </c>
      <c r="AG754">
        <v>-1.0410522499999999</v>
      </c>
      <c r="AH754">
        <v>46.438772346671797</v>
      </c>
      <c r="AI754">
        <v>91.253561185589604</v>
      </c>
      <c r="AJ754">
        <v>77.451832725363801</v>
      </c>
      <c r="AK754">
        <v>47.586555681799403</v>
      </c>
      <c r="AL754">
        <v>78.782923873352601</v>
      </c>
      <c r="AM754">
        <v>78.9507087322377</v>
      </c>
      <c r="AN754">
        <v>0.999999993834089</v>
      </c>
    </row>
    <row r="755" spans="1:40" x14ac:dyDescent="0.25">
      <c r="A755" t="str">
        <f>"20190303170732763"</f>
        <v>20190303170732763</v>
      </c>
      <c r="B755" t="str">
        <f>"1551604052752965"</f>
        <v>1551604052752965</v>
      </c>
      <c r="C755" t="s">
        <v>40</v>
      </c>
      <c r="D755">
        <v>4.8718370000000002</v>
      </c>
      <c r="E755">
        <v>0.5155092</v>
      </c>
      <c r="F755" t="s">
        <v>48</v>
      </c>
      <c r="G755">
        <v>-195.624</v>
      </c>
      <c r="H755" s="1">
        <v>-4.9810560000000001E-6</v>
      </c>
      <c r="I755">
        <v>356.26600000000002</v>
      </c>
      <c r="J755">
        <v>-247.45740000000001</v>
      </c>
      <c r="K755">
        <v>1.1210059999999999</v>
      </c>
      <c r="L755">
        <v>367.52460000000002</v>
      </c>
      <c r="M755">
        <v>0.999884</v>
      </c>
      <c r="N755">
        <v>-1.429711E-2</v>
      </c>
      <c r="O755">
        <v>5.2772940000000001E-3</v>
      </c>
      <c r="P755">
        <v>0.96615839999999997</v>
      </c>
      <c r="Q755">
        <v>0.18178900000000001</v>
      </c>
      <c r="R755">
        <v>-0.18300530000000001</v>
      </c>
      <c r="S755">
        <v>2.9942169999999999</v>
      </c>
      <c r="T755">
        <v>-6.4381960000000002E-2</v>
      </c>
      <c r="U755">
        <v>-0.6465149</v>
      </c>
      <c r="V755">
        <v>0.18826010000000001</v>
      </c>
      <c r="W755">
        <v>0.1954176</v>
      </c>
      <c r="X755">
        <v>0.96248120000000004</v>
      </c>
      <c r="Y755">
        <v>0.2161323</v>
      </c>
      <c r="Z755">
        <v>-3.8975300000000002E-3</v>
      </c>
      <c r="AA755">
        <v>0.97635629999999995</v>
      </c>
      <c r="AB755">
        <v>31</v>
      </c>
      <c r="AC755">
        <v>51.833399999999898</v>
      </c>
      <c r="AD755">
        <v>-1.1210109810560001</v>
      </c>
      <c r="AE755">
        <v>-11.258599999999999</v>
      </c>
      <c r="AF755">
        <v>11.526862590727101</v>
      </c>
      <c r="AG755">
        <v>-1.1210109810560001</v>
      </c>
      <c r="AH755">
        <v>51.750142222110902</v>
      </c>
      <c r="AI755">
        <v>91.211271666638297</v>
      </c>
      <c r="AJ755">
        <v>77.442887099711996</v>
      </c>
      <c r="AK755">
        <v>53.030203156445303</v>
      </c>
      <c r="AL755">
        <v>78.730880145871893</v>
      </c>
      <c r="AM755">
        <v>78.932746688272303</v>
      </c>
      <c r="AN755">
        <v>0.99999998199760398</v>
      </c>
    </row>
    <row r="756" spans="1:40" x14ac:dyDescent="0.25">
      <c r="A756" t="str">
        <f>"20190303170732787"</f>
        <v>20190303170732787</v>
      </c>
      <c r="B756" t="str">
        <f>"1551604052772485"</f>
        <v>1551604052772485</v>
      </c>
      <c r="C756" t="s">
        <v>40</v>
      </c>
      <c r="D756">
        <v>4.8693010000000001</v>
      </c>
      <c r="E756">
        <v>0.51533589999999996</v>
      </c>
      <c r="F756" t="s">
        <v>48</v>
      </c>
      <c r="G756">
        <v>-192.29230000000001</v>
      </c>
      <c r="H756" s="1">
        <v>-3.9372399999999996E-6</v>
      </c>
      <c r="I756">
        <v>355.61110000000002</v>
      </c>
      <c r="J756">
        <v>-247.14529999999999</v>
      </c>
      <c r="K756">
        <v>1.120957</v>
      </c>
      <c r="L756">
        <v>367.5258</v>
      </c>
      <c r="M756">
        <v>0.99988630000000001</v>
      </c>
      <c r="N756">
        <v>-1.4297890000000001E-2</v>
      </c>
      <c r="O756">
        <v>4.794324E-3</v>
      </c>
      <c r="P756">
        <v>0.96570049999999996</v>
      </c>
      <c r="Q756">
        <v>0.18356420000000001</v>
      </c>
      <c r="R756">
        <v>-0.1836486</v>
      </c>
      <c r="S756">
        <v>2.9940799999999999</v>
      </c>
      <c r="T756">
        <v>-6.0842630000000002E-2</v>
      </c>
      <c r="U756">
        <v>-0.64660640000000003</v>
      </c>
      <c r="V756">
        <v>0.1884585</v>
      </c>
      <c r="W756">
        <v>0.19716719999999999</v>
      </c>
      <c r="X756">
        <v>0.96208550000000004</v>
      </c>
      <c r="Y756">
        <v>0.21570549999999999</v>
      </c>
      <c r="Z756">
        <v>-3.7550249999999999E-3</v>
      </c>
      <c r="AA756">
        <v>0.97645119999999996</v>
      </c>
      <c r="AB756">
        <v>31</v>
      </c>
      <c r="AC756">
        <v>54.852999999999902</v>
      </c>
      <c r="AD756">
        <v>-1.12096093724</v>
      </c>
      <c r="AE756">
        <v>-11.9146999999999</v>
      </c>
      <c r="AF756">
        <v>12.172718456174699</v>
      </c>
      <c r="AG756">
        <v>-1.12096093724</v>
      </c>
      <c r="AH756">
        <v>54.773396883744702</v>
      </c>
      <c r="AI756">
        <v>91.144503913878495</v>
      </c>
      <c r="AJ756">
        <v>77.470342518018498</v>
      </c>
      <c r="AK756">
        <v>56.120910846317599</v>
      </c>
      <c r="AL756">
        <v>78.628646843928394</v>
      </c>
      <c r="AM756">
        <v>78.916927957998794</v>
      </c>
      <c r="AN756">
        <v>1.0000000101441699</v>
      </c>
    </row>
    <row r="757" spans="1:40" x14ac:dyDescent="0.25">
      <c r="A757" t="str">
        <f>"20190303170732810"</f>
        <v>20190303170732810</v>
      </c>
      <c r="B757" t="str">
        <f>"1551604052802740"</f>
        <v>1551604052802740</v>
      </c>
      <c r="C757" t="s">
        <v>40</v>
      </c>
      <c r="D757">
        <v>4.7330069999999997</v>
      </c>
      <c r="E757">
        <v>0.51511169999999995</v>
      </c>
      <c r="F757" t="s">
        <v>48</v>
      </c>
      <c r="G757">
        <v>-185.2621</v>
      </c>
      <c r="H757" s="1">
        <v>-3.3509730000000001E-6</v>
      </c>
      <c r="I757">
        <v>354.14940000000001</v>
      </c>
      <c r="J757">
        <v>-246.8244</v>
      </c>
      <c r="K757">
        <v>1.1209229999999999</v>
      </c>
      <c r="L757">
        <v>367.52679999999998</v>
      </c>
      <c r="M757">
        <v>0.99988900000000003</v>
      </c>
      <c r="N757">
        <v>-1.429821E-2</v>
      </c>
      <c r="O757">
        <v>4.2341569999999997E-3</v>
      </c>
      <c r="P757">
        <v>0.96535610000000005</v>
      </c>
      <c r="Q757">
        <v>0.18489030000000001</v>
      </c>
      <c r="R757">
        <v>-0.1841303</v>
      </c>
      <c r="S757">
        <v>2.993805</v>
      </c>
      <c r="T757">
        <v>-5.4230210000000001E-2</v>
      </c>
      <c r="U757">
        <v>-0.64712519999999996</v>
      </c>
      <c r="V757">
        <v>0.18842329999999999</v>
      </c>
      <c r="W757">
        <v>0.19846710000000001</v>
      </c>
      <c r="X757">
        <v>0.96182509999999999</v>
      </c>
      <c r="Y757">
        <v>0.21535090000000001</v>
      </c>
      <c r="Z757">
        <v>-3.5014529999999999E-3</v>
      </c>
      <c r="AA757">
        <v>0.97653040000000002</v>
      </c>
      <c r="AB757">
        <v>31</v>
      </c>
      <c r="AC757">
        <v>61.562299999999901</v>
      </c>
      <c r="AD757">
        <v>-1.1209263509730001</v>
      </c>
      <c r="AE757">
        <v>-13.3773999999999</v>
      </c>
      <c r="AF757">
        <v>13.633654923917099</v>
      </c>
      <c r="AG757">
        <v>-1.1209263509730001</v>
      </c>
      <c r="AH757">
        <v>61.485634960767896</v>
      </c>
      <c r="AI757">
        <v>91.019665679064602</v>
      </c>
      <c r="AJ757">
        <v>77.497674863157698</v>
      </c>
      <c r="AK757">
        <v>62.989017526847903</v>
      </c>
      <c r="AL757">
        <v>78.5526667929079</v>
      </c>
      <c r="AM757">
        <v>78.916021046661896</v>
      </c>
      <c r="AN757">
        <v>1.0000000263776501</v>
      </c>
    </row>
    <row r="758" spans="1:40" x14ac:dyDescent="0.25">
      <c r="A758" t="str">
        <f>"20190303170732832"</f>
        <v>20190303170732832</v>
      </c>
      <c r="B758" t="str">
        <f>"1551604052823236"</f>
        <v>1551604052823236</v>
      </c>
      <c r="C758" t="s">
        <v>40</v>
      </c>
      <c r="D758">
        <v>4.9852660000000002</v>
      </c>
      <c r="E758">
        <v>0.51504209999999995</v>
      </c>
      <c r="F758" t="s">
        <v>48</v>
      </c>
      <c r="G758">
        <v>-180</v>
      </c>
      <c r="H758">
        <v>3.178367E-2</v>
      </c>
      <c r="I758">
        <v>353.0763</v>
      </c>
      <c r="J758">
        <v>-246.51240000000001</v>
      </c>
      <c r="K758">
        <v>1.120886</v>
      </c>
      <c r="L758">
        <v>367.5274</v>
      </c>
      <c r="M758">
        <v>0.99989119999999998</v>
      </c>
      <c r="N758">
        <v>-1.4298119999999999E-2</v>
      </c>
      <c r="O758">
        <v>3.6189859999999998E-3</v>
      </c>
      <c r="P758">
        <v>0.96509080000000003</v>
      </c>
      <c r="Q758">
        <v>0.186</v>
      </c>
      <c r="R758">
        <v>-0.18440139999999999</v>
      </c>
      <c r="S758">
        <v>2.9935459999999998</v>
      </c>
      <c r="T758">
        <v>-4.8790340000000001E-2</v>
      </c>
      <c r="U758">
        <v>-0.64733890000000005</v>
      </c>
      <c r="V758">
        <v>0.18812499999999999</v>
      </c>
      <c r="W758">
        <v>0.19955210000000001</v>
      </c>
      <c r="X758">
        <v>0.96165900000000004</v>
      </c>
      <c r="Y758">
        <v>0.21484349999999999</v>
      </c>
      <c r="Z758">
        <v>-3.2916059999999999E-3</v>
      </c>
      <c r="AA758">
        <v>0.97664300000000004</v>
      </c>
      <c r="AB758">
        <v>31</v>
      </c>
      <c r="AC758">
        <v>66.5124</v>
      </c>
      <c r="AD758">
        <v>-1.08910233</v>
      </c>
      <c r="AE758">
        <v>-14.451099999999901</v>
      </c>
      <c r="AF758">
        <v>14.6879767641034</v>
      </c>
      <c r="AG758">
        <v>-1.08910233</v>
      </c>
      <c r="AH758">
        <v>66.442649003108997</v>
      </c>
      <c r="AI758">
        <v>90.916952321874007</v>
      </c>
      <c r="AJ758">
        <v>77.534529176204998</v>
      </c>
      <c r="AK758">
        <v>68.055480395471406</v>
      </c>
      <c r="AL758">
        <v>78.489232227422804</v>
      </c>
      <c r="AM758">
        <v>78.931270688816397</v>
      </c>
      <c r="AN758">
        <v>1.0000000442601999</v>
      </c>
    </row>
    <row r="759" spans="1:40" x14ac:dyDescent="0.25">
      <c r="A759" t="str">
        <f>"20190303170732853"</f>
        <v>20190303170732853</v>
      </c>
      <c r="B759" t="str">
        <f>"1551604052842757"</f>
        <v>1551604052842757</v>
      </c>
      <c r="C759" t="s">
        <v>40</v>
      </c>
      <c r="D759">
        <v>4.9263079999999997</v>
      </c>
      <c r="E759">
        <v>0.51494220000000002</v>
      </c>
      <c r="F759" t="s">
        <v>48</v>
      </c>
      <c r="G759">
        <v>-176.62530000000001</v>
      </c>
      <c r="H759">
        <v>7.9987340000000004E-2</v>
      </c>
      <c r="I759">
        <v>352.3963</v>
      </c>
      <c r="J759">
        <v>-246.22110000000001</v>
      </c>
      <c r="K759">
        <v>1.120854</v>
      </c>
      <c r="L759">
        <v>367.52780000000001</v>
      </c>
      <c r="M759">
        <v>0.99989340000000004</v>
      </c>
      <c r="N759">
        <v>-1.429773E-2</v>
      </c>
      <c r="O759">
        <v>2.9978639999999998E-3</v>
      </c>
      <c r="P759">
        <v>0.96471629999999997</v>
      </c>
      <c r="Q759">
        <v>0.18747639999999999</v>
      </c>
      <c r="R759">
        <v>-0.1848651</v>
      </c>
      <c r="S759">
        <v>2.9932859999999999</v>
      </c>
      <c r="T759">
        <v>-4.4582009999999998E-2</v>
      </c>
      <c r="U759">
        <v>-0.64807130000000002</v>
      </c>
      <c r="V759">
        <v>0.1880107</v>
      </c>
      <c r="W759">
        <v>0.20100509999999999</v>
      </c>
      <c r="X759">
        <v>0.96137870000000003</v>
      </c>
      <c r="Y759">
        <v>0.21448929999999999</v>
      </c>
      <c r="Z759">
        <v>-3.1318520000000001E-3</v>
      </c>
      <c r="AA759">
        <v>0.97672130000000001</v>
      </c>
      <c r="AB759">
        <v>31</v>
      </c>
      <c r="AC759">
        <v>69.595799999999997</v>
      </c>
      <c r="AD759">
        <v>-1.0408666600000001</v>
      </c>
      <c r="AE759">
        <v>-15.131500000000001</v>
      </c>
      <c r="AF759">
        <v>15.336816370019299</v>
      </c>
      <c r="AG759">
        <v>-1.0408666600000001</v>
      </c>
      <c r="AH759">
        <v>69.535268897903094</v>
      </c>
      <c r="AI759">
        <v>90.837465467113304</v>
      </c>
      <c r="AJ759">
        <v>77.561888390671797</v>
      </c>
      <c r="AK759">
        <v>71.2141485975595</v>
      </c>
      <c r="AL759">
        <v>78.404259768384705</v>
      </c>
      <c r="AM759">
        <v>78.934684136154402</v>
      </c>
      <c r="AN759">
        <v>1.00000003917709</v>
      </c>
    </row>
    <row r="760" spans="1:40" x14ac:dyDescent="0.25">
      <c r="A760" t="str">
        <f>"20190303170732875"</f>
        <v>20190303170732875</v>
      </c>
      <c r="B760" t="str">
        <f>"1551604052863253"</f>
        <v>1551604052863253</v>
      </c>
      <c r="C760" t="s">
        <v>40</v>
      </c>
      <c r="D760">
        <v>4.9233630000000002</v>
      </c>
      <c r="E760">
        <v>0.51483400000000001</v>
      </c>
      <c r="F760" t="s">
        <v>46</v>
      </c>
      <c r="G760">
        <v>-157.56200000000001</v>
      </c>
      <c r="H760">
        <v>-0.05</v>
      </c>
      <c r="I760">
        <v>348.30110000000002</v>
      </c>
      <c r="J760">
        <v>-245.9194</v>
      </c>
      <c r="K760">
        <v>1.120825</v>
      </c>
      <c r="L760">
        <v>367.52800000000002</v>
      </c>
      <c r="M760">
        <v>0.99989530000000004</v>
      </c>
      <c r="N760">
        <v>-1.4296980000000001E-2</v>
      </c>
      <c r="O760">
        <v>2.3039879999999999E-3</v>
      </c>
      <c r="P760">
        <v>0.96437819999999996</v>
      </c>
      <c r="Q760">
        <v>0.18895010000000001</v>
      </c>
      <c r="R760">
        <v>-0.18512989999999999</v>
      </c>
      <c r="S760">
        <v>2.9930569999999999</v>
      </c>
      <c r="T760">
        <v>-3.9527060000000003E-2</v>
      </c>
      <c r="U760">
        <v>-0.64907840000000006</v>
      </c>
      <c r="V760">
        <v>0.1876274</v>
      </c>
      <c r="W760">
        <v>0.2024571</v>
      </c>
      <c r="X760">
        <v>0.96114889999999997</v>
      </c>
      <c r="Y760">
        <v>0.21414830000000001</v>
      </c>
      <c r="Z760">
        <v>-2.9439000000000002E-3</v>
      </c>
      <c r="AA760">
        <v>0.97679669999999996</v>
      </c>
      <c r="AB760">
        <v>31</v>
      </c>
      <c r="AC760">
        <v>88.357399999999899</v>
      </c>
      <c r="AD760">
        <v>-1.170825</v>
      </c>
      <c r="AE760">
        <v>-19.226900000000001</v>
      </c>
      <c r="AF760">
        <v>19.4271871391005</v>
      </c>
      <c r="AG760">
        <v>-1.170825</v>
      </c>
      <c r="AH760">
        <v>88.298059124648802</v>
      </c>
      <c r="AI760">
        <v>90.741948931215106</v>
      </c>
      <c r="AJ760">
        <v>77.5915824351748</v>
      </c>
      <c r="AK760">
        <v>90.417551816548496</v>
      </c>
      <c r="AL760">
        <v>78.319320295516903</v>
      </c>
      <c r="AM760">
        <v>78.954112632379207</v>
      </c>
      <c r="AN760">
        <v>1.0000000632711801</v>
      </c>
    </row>
    <row r="761" spans="1:40" x14ac:dyDescent="0.25">
      <c r="A761" t="str">
        <f>"20190303170732900"</f>
        <v>20190303170732900</v>
      </c>
      <c r="B761" t="str">
        <f>"1551604052892532"</f>
        <v>1551604052892532</v>
      </c>
      <c r="C761" t="s">
        <v>40</v>
      </c>
      <c r="D761">
        <v>4.9231099999999897</v>
      </c>
      <c r="E761">
        <v>0.51476499999999903</v>
      </c>
      <c r="F761" t="s">
        <v>46</v>
      </c>
      <c r="G761">
        <v>-144.33519999999999</v>
      </c>
      <c r="H761">
        <v>-0.05</v>
      </c>
      <c r="I761">
        <v>345.51479999999998</v>
      </c>
      <c r="J761">
        <v>-245.57419999999999</v>
      </c>
      <c r="K761">
        <v>1.120787</v>
      </c>
      <c r="L761">
        <v>367.52789999999999</v>
      </c>
      <c r="M761">
        <v>0.99989689999999998</v>
      </c>
      <c r="N761">
        <v>-1.4295789999999999E-2</v>
      </c>
      <c r="O761">
        <v>1.4464040000000001E-3</v>
      </c>
      <c r="P761">
        <v>0.96380710000000003</v>
      </c>
      <c r="Q761">
        <v>0.19098889999999999</v>
      </c>
      <c r="R761">
        <v>-0.18600990000000001</v>
      </c>
      <c r="S761">
        <v>2.993042</v>
      </c>
      <c r="T761">
        <v>-3.4496779999999998E-2</v>
      </c>
      <c r="U761">
        <v>-0.64859009999999995</v>
      </c>
      <c r="V761">
        <v>0.1877055</v>
      </c>
      <c r="W761">
        <v>0.20446739999999999</v>
      </c>
      <c r="X761">
        <v>0.96070800000000001</v>
      </c>
      <c r="Y761">
        <v>0.2131662</v>
      </c>
      <c r="Z761">
        <v>-2.7517069999999999E-3</v>
      </c>
      <c r="AA761">
        <v>0.97701210000000005</v>
      </c>
      <c r="AB761">
        <v>31</v>
      </c>
      <c r="AC761">
        <v>101.238999999999</v>
      </c>
      <c r="AD761">
        <v>-1.170787</v>
      </c>
      <c r="AE761">
        <v>-22.013100000000001</v>
      </c>
      <c r="AF761">
        <v>22.156694954046198</v>
      </c>
      <c r="AG761">
        <v>-1.170787</v>
      </c>
      <c r="AH761">
        <v>101.19412829791401</v>
      </c>
      <c r="AI761">
        <v>90.647527893480103</v>
      </c>
      <c r="AJ761">
        <v>77.649847345236594</v>
      </c>
      <c r="AK761">
        <v>103.597980074231</v>
      </c>
      <c r="AL761">
        <v>78.201677865162097</v>
      </c>
      <c r="AM761">
        <v>78.944681463919906</v>
      </c>
      <c r="AN761">
        <v>1.0000000668285001</v>
      </c>
    </row>
    <row r="762" spans="1:40" x14ac:dyDescent="0.25">
      <c r="A762" t="str">
        <f>"20190303170732920"</f>
        <v>20190303170732920</v>
      </c>
      <c r="B762" t="str">
        <f>"1551604052913029"</f>
        <v>1551604052913029</v>
      </c>
      <c r="C762" t="s">
        <v>40</v>
      </c>
      <c r="D762">
        <v>4.9204999999999997</v>
      </c>
      <c r="E762">
        <v>0.5147079</v>
      </c>
      <c r="F762" t="s">
        <v>46</v>
      </c>
      <c r="G762">
        <v>-119.761</v>
      </c>
      <c r="H762">
        <v>-0.05</v>
      </c>
      <c r="I762">
        <v>340.15159999999997</v>
      </c>
      <c r="J762">
        <v>-245.30199999999999</v>
      </c>
      <c r="K762">
        <v>1.120757</v>
      </c>
      <c r="L762">
        <v>367.52760000000001</v>
      </c>
      <c r="M762">
        <v>0.99989760000000005</v>
      </c>
      <c r="N762">
        <v>-1.4294690000000001E-2</v>
      </c>
      <c r="O762">
        <v>7.2513000000000005E-4</v>
      </c>
      <c r="P762">
        <v>0.96338570000000001</v>
      </c>
      <c r="Q762">
        <v>0.19228600000000001</v>
      </c>
      <c r="R762">
        <v>-0.18685350000000001</v>
      </c>
      <c r="S762">
        <v>2.9925079999999999</v>
      </c>
      <c r="T762">
        <v>-2.7847529999999999E-2</v>
      </c>
      <c r="U762">
        <v>-0.6511536</v>
      </c>
      <c r="V762">
        <v>0.18787390000000001</v>
      </c>
      <c r="W762">
        <v>0.20574239999999999</v>
      </c>
      <c r="X762">
        <v>0.9604028</v>
      </c>
      <c r="Y762">
        <v>0.21330479999999999</v>
      </c>
      <c r="Z762">
        <v>-2.519762E-3</v>
      </c>
      <c r="AA762">
        <v>0.97698249999999998</v>
      </c>
      <c r="AB762">
        <v>31</v>
      </c>
      <c r="AC762">
        <v>125.541</v>
      </c>
      <c r="AD762">
        <v>-1.170757</v>
      </c>
      <c r="AE762">
        <v>-27.376000000000001</v>
      </c>
      <c r="AF762">
        <v>27.464755500169701</v>
      </c>
      <c r="AG762">
        <v>-1.170757</v>
      </c>
      <c r="AH762">
        <v>125.51069380636299</v>
      </c>
      <c r="AI762">
        <v>90.522083598544697</v>
      </c>
      <c r="AJ762">
        <v>77.656865018691306</v>
      </c>
      <c r="AK762">
        <v>128.48586586232699</v>
      </c>
      <c r="AL762">
        <v>78.127038572266301</v>
      </c>
      <c r="AM762">
        <v>78.931578398774207</v>
      </c>
      <c r="AN762">
        <v>1.0000000378534</v>
      </c>
    </row>
    <row r="763" spans="1:40" x14ac:dyDescent="0.25">
      <c r="A763" t="str">
        <f>"20190303170732942"</f>
        <v>20190303170732942</v>
      </c>
      <c r="B763" t="str">
        <f>"1551604052932549"</f>
        <v>1551604052932549</v>
      </c>
      <c r="C763" t="s">
        <v>40</v>
      </c>
      <c r="D763">
        <v>4.9330619999999996</v>
      </c>
      <c r="E763">
        <v>0.49529079999999898</v>
      </c>
      <c r="F763" t="s">
        <v>46</v>
      </c>
      <c r="G763">
        <v>-98.482069999999993</v>
      </c>
      <c r="H763">
        <v>-0.05</v>
      </c>
      <c r="I763">
        <v>335.46620000000001</v>
      </c>
      <c r="J763">
        <v>-245.0094</v>
      </c>
      <c r="K763">
        <v>1.1207240000000001</v>
      </c>
      <c r="L763">
        <v>367.52690000000001</v>
      </c>
      <c r="M763">
        <v>0.99989799999999995</v>
      </c>
      <c r="N763">
        <v>-1.429336E-2</v>
      </c>
      <c r="O763" s="1">
        <v>-8.8119380000000001E-5</v>
      </c>
      <c r="P763">
        <v>0.96300399999999997</v>
      </c>
      <c r="Q763">
        <v>0.19309879999999999</v>
      </c>
      <c r="R763">
        <v>-0.18798049999999999</v>
      </c>
      <c r="S763">
        <v>2.9920650000000002</v>
      </c>
      <c r="T763">
        <v>-2.3859020000000002E-2</v>
      </c>
      <c r="U763">
        <v>-0.65338130000000005</v>
      </c>
      <c r="V763">
        <v>0.18823699999999999</v>
      </c>
      <c r="W763">
        <v>0.20653289999999999</v>
      </c>
      <c r="X763">
        <v>0.96016199999999996</v>
      </c>
      <c r="Y763">
        <v>0.21323900000000001</v>
      </c>
      <c r="Z763">
        <v>-2.3826749999999999E-3</v>
      </c>
      <c r="AA763">
        <v>0.97699709999999995</v>
      </c>
      <c r="AB763">
        <v>31</v>
      </c>
      <c r="AC763">
        <v>146.52733000000001</v>
      </c>
      <c r="AD763">
        <v>-1.1707239999999901</v>
      </c>
      <c r="AE763">
        <v>-32.060699999999997</v>
      </c>
      <c r="AF763">
        <v>32.0458344179075</v>
      </c>
      <c r="AG763">
        <v>-1.1707239999999901</v>
      </c>
      <c r="AH763">
        <v>146.5212287656</v>
      </c>
      <c r="AI763">
        <v>90.447220204915894</v>
      </c>
      <c r="AJ763">
        <v>77.663034053070803</v>
      </c>
      <c r="AK763">
        <v>149.98925487249201</v>
      </c>
      <c r="AL763">
        <v>78.080752150804599</v>
      </c>
      <c r="AM763">
        <v>78.908004291063804</v>
      </c>
      <c r="AN763">
        <v>1.0000000365977</v>
      </c>
    </row>
    <row r="764" spans="1:40" x14ac:dyDescent="0.25">
      <c r="A764" t="str">
        <f>"20190303170732965"</f>
        <v>20190303170732965</v>
      </c>
      <c r="B764" t="str">
        <f>"1551604052953045"</f>
        <v>1551604052953045</v>
      </c>
      <c r="C764" t="s">
        <v>40</v>
      </c>
      <c r="D764">
        <v>4.9064839999999998</v>
      </c>
      <c r="E764">
        <v>0.48657739999999999</v>
      </c>
      <c r="F764" t="s">
        <v>44</v>
      </c>
      <c r="G764">
        <v>-169.2955</v>
      </c>
      <c r="H764">
        <v>0.2188196</v>
      </c>
      <c r="I764">
        <v>354.91849999999999</v>
      </c>
      <c r="J764">
        <v>-244.70009999999999</v>
      </c>
      <c r="K764">
        <v>1.120692</v>
      </c>
      <c r="L764">
        <v>367.52589999999998</v>
      </c>
      <c r="M764">
        <v>0.99989749999999999</v>
      </c>
      <c r="N764">
        <v>-1.4291740000000001E-2</v>
      </c>
      <c r="O764">
        <v>-9.7834039999999999E-4</v>
      </c>
      <c r="P764">
        <v>0.96278269999999999</v>
      </c>
      <c r="Q764">
        <v>0.19303129999999999</v>
      </c>
      <c r="R764">
        <v>-0.18917970000000001</v>
      </c>
      <c r="S764">
        <v>3.0241549999999999</v>
      </c>
      <c r="T764">
        <v>-3.6020280000000002E-2</v>
      </c>
      <c r="U764">
        <v>-0.50360109999999902</v>
      </c>
      <c r="V764">
        <v>0.18859480000000001</v>
      </c>
      <c r="W764">
        <v>0.20644789999999999</v>
      </c>
      <c r="X764">
        <v>0.96011000000000002</v>
      </c>
      <c r="Y764">
        <v>0.1632738</v>
      </c>
      <c r="Z764">
        <v>-2.1428599999999999E-3</v>
      </c>
      <c r="AA764">
        <v>0.98657850000000002</v>
      </c>
      <c r="AB764">
        <v>30</v>
      </c>
      <c r="AC764">
        <v>75.404599999999903</v>
      </c>
      <c r="AD764">
        <v>-0.90187240000000002</v>
      </c>
      <c r="AE764">
        <v>-12.607399999999901</v>
      </c>
      <c r="AF764">
        <v>12.531871111950601</v>
      </c>
      <c r="AG764">
        <v>-0.90187240000000002</v>
      </c>
      <c r="AH764">
        <v>75.406405790295807</v>
      </c>
      <c r="AI764">
        <v>90.675963390371095</v>
      </c>
      <c r="AJ764">
        <v>80.5641931506958</v>
      </c>
      <c r="AK764">
        <v>76.445975705743905</v>
      </c>
      <c r="AL764">
        <v>78.085728793704106</v>
      </c>
      <c r="AM764">
        <v>78.886858089557194</v>
      </c>
      <c r="AN764">
        <v>0.99999997305072397</v>
      </c>
    </row>
    <row r="765" spans="1:40" x14ac:dyDescent="0.25">
      <c r="A765" t="str">
        <f>"20190303170732988"</f>
        <v>20190303170732988</v>
      </c>
      <c r="B765" t="str">
        <f>"1551604052983301"</f>
        <v>1551604052983301</v>
      </c>
      <c r="C765" t="s">
        <v>40</v>
      </c>
      <c r="D765">
        <v>4.9279010000000003</v>
      </c>
      <c r="E765">
        <v>0.4820757</v>
      </c>
      <c r="F765" t="s">
        <v>44</v>
      </c>
      <c r="G765">
        <v>-169.0214</v>
      </c>
      <c r="H765">
        <v>0.1237526</v>
      </c>
      <c r="I765">
        <v>356.61509999999998</v>
      </c>
      <c r="J765">
        <v>-244.39080000000001</v>
      </c>
      <c r="K765">
        <v>1.120673</v>
      </c>
      <c r="L765">
        <v>367.5247</v>
      </c>
      <c r="M765">
        <v>0.99989620000000001</v>
      </c>
      <c r="N765">
        <v>-1.428987E-2</v>
      </c>
      <c r="O765">
        <v>-1.8919679999999999E-3</v>
      </c>
      <c r="P765">
        <v>0.96259159999999999</v>
      </c>
      <c r="Q765">
        <v>0.19261329999999999</v>
      </c>
      <c r="R765">
        <v>-0.19057250000000001</v>
      </c>
      <c r="S765">
        <v>3.0379330000000002</v>
      </c>
      <c r="T765">
        <v>-4.0016059999999999E-2</v>
      </c>
      <c r="U765">
        <v>-0.4379883</v>
      </c>
      <c r="V765">
        <v>0.18911829999999999</v>
      </c>
      <c r="W765">
        <v>0.20601729999999999</v>
      </c>
      <c r="X765">
        <v>0.96009960000000005</v>
      </c>
      <c r="Y765">
        <v>0.14079939999999999</v>
      </c>
      <c r="Z765">
        <v>-1.9359329999999999E-3</v>
      </c>
      <c r="AA765">
        <v>0.99003620000000003</v>
      </c>
      <c r="AB765">
        <v>30</v>
      </c>
      <c r="AC765">
        <v>75.369399999999999</v>
      </c>
      <c r="AD765">
        <v>-0.99692039999999904</v>
      </c>
      <c r="AE765">
        <v>-10.909599999999999</v>
      </c>
      <c r="AF765">
        <v>10.765124649718</v>
      </c>
      <c r="AG765">
        <v>-0.99692039999999904</v>
      </c>
      <c r="AH765">
        <v>75.376990720304406</v>
      </c>
      <c r="AI765">
        <v>90.750127309561094</v>
      </c>
      <c r="AJ765">
        <v>81.872144995432393</v>
      </c>
      <c r="AK765">
        <v>76.148358413407394</v>
      </c>
      <c r="AL765">
        <v>78.110943309231899</v>
      </c>
      <c r="AM765">
        <v>78.856663613972003</v>
      </c>
      <c r="AN765">
        <v>1.00000005060716</v>
      </c>
    </row>
    <row r="766" spans="1:40" x14ac:dyDescent="0.25">
      <c r="A766" t="str">
        <f>"20190303170733010"</f>
        <v>20190303170733010</v>
      </c>
      <c r="B766" t="str">
        <f>"1551604053002821"</f>
        <v>1551604053002821</v>
      </c>
      <c r="C766" t="s">
        <v>40</v>
      </c>
      <c r="D766">
        <v>4.9406100000000004</v>
      </c>
      <c r="E766">
        <v>0.48094120000000001</v>
      </c>
      <c r="F766" t="s">
        <v>46</v>
      </c>
      <c r="G766">
        <v>-163.54429999999999</v>
      </c>
      <c r="H766">
        <v>-0.05</v>
      </c>
      <c r="I766">
        <v>356.73829999999998</v>
      </c>
      <c r="J766">
        <v>-244.09059999999999</v>
      </c>
      <c r="K766">
        <v>1.1206640000000001</v>
      </c>
      <c r="L766">
        <v>367.5231</v>
      </c>
      <c r="M766">
        <v>0.99989410000000001</v>
      </c>
      <c r="N766">
        <v>-1.428781E-2</v>
      </c>
      <c r="O766">
        <v>-2.7932389999999999E-3</v>
      </c>
      <c r="P766">
        <v>0.96233159999999895</v>
      </c>
      <c r="Q766">
        <v>0.19276180000000001</v>
      </c>
      <c r="R766">
        <v>-0.1917316</v>
      </c>
      <c r="S766">
        <v>3.0449679999999999</v>
      </c>
      <c r="T766">
        <v>-4.4091699999999998E-2</v>
      </c>
      <c r="U766">
        <v>-0.40625</v>
      </c>
      <c r="V766">
        <v>0.18941630000000001</v>
      </c>
      <c r="W766">
        <v>0.2061568</v>
      </c>
      <c r="X766">
        <v>0.9600109</v>
      </c>
      <c r="Y766">
        <v>0.1294488</v>
      </c>
      <c r="Z766">
        <v>-1.8615050000000001E-3</v>
      </c>
      <c r="AA766">
        <v>0.99158440000000003</v>
      </c>
      <c r="AB766">
        <v>30</v>
      </c>
      <c r="AC766">
        <v>80.546300000000002</v>
      </c>
      <c r="AD766">
        <v>-1.1706639999999999</v>
      </c>
      <c r="AE766">
        <v>-10.784800000000001</v>
      </c>
      <c r="AF766">
        <v>10.557559015928099</v>
      </c>
      <c r="AG766">
        <v>-1.1706639999999999</v>
      </c>
      <c r="AH766">
        <v>80.559395770450493</v>
      </c>
      <c r="AI766">
        <v>90.825488112179997</v>
      </c>
      <c r="AJ766">
        <v>82.533760137075603</v>
      </c>
      <c r="AK766">
        <v>81.256684361815999</v>
      </c>
      <c r="AL766">
        <v>78.102775135553202</v>
      </c>
      <c r="AM766">
        <v>78.838539863663101</v>
      </c>
      <c r="AN766">
        <v>1.0000000445053601</v>
      </c>
    </row>
    <row r="767" spans="1:40" x14ac:dyDescent="0.25">
      <c r="A767" t="str">
        <f>"20190303170733033"</f>
        <v>20190303170733033</v>
      </c>
      <c r="B767" t="str">
        <f>"1551604053023317"</f>
        <v>1551604053023317</v>
      </c>
      <c r="C767" t="s">
        <v>40</v>
      </c>
      <c r="D767">
        <v>4.9756819999999999</v>
      </c>
      <c r="E767">
        <v>0.48039470000000001</v>
      </c>
      <c r="F767" t="s">
        <v>48</v>
      </c>
      <c r="G767">
        <v>-176.39230000000001</v>
      </c>
      <c r="H767">
        <v>7.9988030000000002E-2</v>
      </c>
      <c r="I767">
        <v>358.62389999999999</v>
      </c>
      <c r="J767">
        <v>-243.7843</v>
      </c>
      <c r="K767">
        <v>1.120663</v>
      </c>
      <c r="L767">
        <v>367.52120000000002</v>
      </c>
      <c r="M767">
        <v>0.99989119999999998</v>
      </c>
      <c r="N767">
        <v>-1.4285539999999999E-2</v>
      </c>
      <c r="O767">
        <v>-3.7198980000000001E-3</v>
      </c>
      <c r="P767">
        <v>0.96206749999999996</v>
      </c>
      <c r="Q767">
        <v>0.1935366</v>
      </c>
      <c r="R767">
        <v>-0.19227610000000001</v>
      </c>
      <c r="S767">
        <v>3.0470120000000001</v>
      </c>
      <c r="T767">
        <v>-4.6839480000000003E-2</v>
      </c>
      <c r="U767">
        <v>-0.40054319999999999</v>
      </c>
      <c r="V767">
        <v>0.18907350000000001</v>
      </c>
      <c r="W767">
        <v>0.2069261</v>
      </c>
      <c r="X767">
        <v>0.95991289999999996</v>
      </c>
      <c r="Y767">
        <v>0.12661510000000001</v>
      </c>
      <c r="Z767">
        <v>-1.8733479999999999E-3</v>
      </c>
      <c r="AA767">
        <v>0.9919502</v>
      </c>
      <c r="AB767">
        <v>30</v>
      </c>
      <c r="AC767">
        <v>67.391999999999996</v>
      </c>
      <c r="AD767">
        <v>-1.04067497</v>
      </c>
      <c r="AE767">
        <v>-8.8973000000000297</v>
      </c>
      <c r="AF767">
        <v>8.6444954765277906</v>
      </c>
      <c r="AG767">
        <v>-1.04067497</v>
      </c>
      <c r="AH767">
        <v>67.408835190243394</v>
      </c>
      <c r="AI767">
        <v>90.877293557596403</v>
      </c>
      <c r="AJ767">
        <v>82.692286107322701</v>
      </c>
      <c r="AK767">
        <v>67.968826443762296</v>
      </c>
      <c r="AL767">
        <v>78.057725448292004</v>
      </c>
      <c r="AM767">
        <v>78.857124680597494</v>
      </c>
      <c r="AN767">
        <v>0.99999998742493401</v>
      </c>
    </row>
    <row r="768" spans="1:40" x14ac:dyDescent="0.25">
      <c r="A768" t="str">
        <f>"20190303170733054"</f>
        <v>20190303170733054</v>
      </c>
      <c r="B768" t="str">
        <f>"1551604053042836"</f>
        <v>1551604053042836</v>
      </c>
      <c r="C768" t="s">
        <v>40</v>
      </c>
      <c r="D768">
        <v>5.001957</v>
      </c>
      <c r="E768">
        <v>0.47983779999999998</v>
      </c>
      <c r="F768" t="s">
        <v>48</v>
      </c>
      <c r="G768">
        <v>-179.9879</v>
      </c>
      <c r="H768">
        <v>6.2095690000000002E-2</v>
      </c>
      <c r="I768">
        <v>359.18849999999998</v>
      </c>
      <c r="J768">
        <v>-243.488</v>
      </c>
      <c r="K768">
        <v>1.1206579999999999</v>
      </c>
      <c r="L768">
        <v>367.51920000000001</v>
      </c>
      <c r="M768">
        <v>0.99988750000000004</v>
      </c>
      <c r="N768">
        <v>-1.4283229999999999E-2</v>
      </c>
      <c r="O768">
        <v>-4.6156219999999998E-3</v>
      </c>
      <c r="P768">
        <v>0.96169819999999995</v>
      </c>
      <c r="Q768">
        <v>0.1947103</v>
      </c>
      <c r="R768">
        <v>-0.192937</v>
      </c>
      <c r="S768">
        <v>3.0488590000000002</v>
      </c>
      <c r="T768">
        <v>-5.0589439999999999E-2</v>
      </c>
      <c r="U768">
        <v>-0.39822390000000002</v>
      </c>
      <c r="V768">
        <v>0.18887699999999999</v>
      </c>
      <c r="W768">
        <v>0.20809369999999999</v>
      </c>
      <c r="X768">
        <v>0.95969919999999997</v>
      </c>
      <c r="Y768">
        <v>0.12490370000000001</v>
      </c>
      <c r="Z768">
        <v>-1.917155E-3</v>
      </c>
      <c r="AA768">
        <v>0.99216700000000002</v>
      </c>
      <c r="AB768">
        <v>30</v>
      </c>
      <c r="AC768">
        <v>63.500100000000003</v>
      </c>
      <c r="AD768">
        <v>-1.0585623099999999</v>
      </c>
      <c r="AE768">
        <v>-8.3307000000000304</v>
      </c>
      <c r="AF768">
        <v>8.03529372822128</v>
      </c>
      <c r="AG768">
        <v>-1.0585623099999999</v>
      </c>
      <c r="AH768">
        <v>63.520525241279998</v>
      </c>
      <c r="AI768">
        <v>90.947192221368397</v>
      </c>
      <c r="AJ768">
        <v>82.790424673228003</v>
      </c>
      <c r="AK768">
        <v>64.035487242551895</v>
      </c>
      <c r="AL768">
        <v>77.989338842967001</v>
      </c>
      <c r="AM768">
        <v>78.865999077314598</v>
      </c>
      <c r="AN768">
        <v>1.00000003179466</v>
      </c>
    </row>
    <row r="769" spans="1:40" x14ac:dyDescent="0.25">
      <c r="A769" t="str">
        <f>"20190303170733080"</f>
        <v>20190303170733080</v>
      </c>
      <c r="B769" t="str">
        <f>"1551604053073093"</f>
        <v>1551604053073093</v>
      </c>
      <c r="C769" t="s">
        <v>40</v>
      </c>
      <c r="D769">
        <v>4.9780759999999997</v>
      </c>
      <c r="E769">
        <v>0.47919010000000001</v>
      </c>
      <c r="F769" t="s">
        <v>48</v>
      </c>
      <c r="G769">
        <v>-178.00120000000001</v>
      </c>
      <c r="H769">
        <v>7.9987970000000005E-2</v>
      </c>
      <c r="I769">
        <v>359.0204</v>
      </c>
      <c r="J769">
        <v>-243.1268</v>
      </c>
      <c r="K769">
        <v>1.1206659999999999</v>
      </c>
      <c r="L769">
        <v>367.5163</v>
      </c>
      <c r="M769">
        <v>0.99988180000000004</v>
      </c>
      <c r="N769">
        <v>-1.42802E-2</v>
      </c>
      <c r="O769">
        <v>-5.7037049999999999E-3</v>
      </c>
      <c r="P769">
        <v>0.96157360000000003</v>
      </c>
      <c r="Q769">
        <v>0.1949853</v>
      </c>
      <c r="R769">
        <v>-0.1932798</v>
      </c>
      <c r="S769">
        <v>3.0498959999999999</v>
      </c>
      <c r="T769">
        <v>-4.8466799999999997E-2</v>
      </c>
      <c r="U769">
        <v>-0.39581300000000003</v>
      </c>
      <c r="V769">
        <v>0.18817400000000001</v>
      </c>
      <c r="W769">
        <v>0.20836750000000001</v>
      </c>
      <c r="X769">
        <v>0.95977789999999996</v>
      </c>
      <c r="Y769">
        <v>0.1230117</v>
      </c>
      <c r="Z769">
        <v>-1.846274E-3</v>
      </c>
      <c r="AA769">
        <v>0.99240349999999999</v>
      </c>
      <c r="AB769">
        <v>30</v>
      </c>
      <c r="AC769">
        <v>65.125599999999906</v>
      </c>
      <c r="AD769">
        <v>-1.04067803</v>
      </c>
      <c r="AE769">
        <v>-8.4959000000000007</v>
      </c>
      <c r="AF769">
        <v>8.1222274232023093</v>
      </c>
      <c r="AG769">
        <v>-1.04067803</v>
      </c>
      <c r="AH769">
        <v>65.156644387228894</v>
      </c>
      <c r="AI769">
        <v>90.908020324850398</v>
      </c>
      <c r="AJ769">
        <v>82.894338380865094</v>
      </c>
      <c r="AK769">
        <v>65.669185291734493</v>
      </c>
      <c r="AL769">
        <v>77.973299817436498</v>
      </c>
      <c r="AM769">
        <v>78.907297099778901</v>
      </c>
      <c r="AN769">
        <v>1.00000004333032</v>
      </c>
    </row>
    <row r="770" spans="1:40" x14ac:dyDescent="0.25">
      <c r="A770" t="str">
        <f>"20190303170733099"</f>
        <v>20190303170733099</v>
      </c>
      <c r="B770" t="str">
        <f>"1551604053092613"</f>
        <v>1551604053092613</v>
      </c>
      <c r="C770" t="s">
        <v>40</v>
      </c>
      <c r="D770">
        <v>5.0016920000000002</v>
      </c>
      <c r="E770">
        <v>0.47909160000000001</v>
      </c>
      <c r="F770" t="s">
        <v>48</v>
      </c>
      <c r="G770">
        <v>-179.97020000000001</v>
      </c>
      <c r="H770">
        <v>7.9844100000000001E-2</v>
      </c>
      <c r="I770">
        <v>359.3954</v>
      </c>
      <c r="J770">
        <v>-242.87559999999999</v>
      </c>
      <c r="K770">
        <v>1.120665</v>
      </c>
      <c r="L770">
        <v>367.51409999999998</v>
      </c>
      <c r="M770">
        <v>0.99987729999999997</v>
      </c>
      <c r="N770">
        <v>-1.4277979999999999E-2</v>
      </c>
      <c r="O770">
        <v>-6.4576490000000002E-3</v>
      </c>
      <c r="P770">
        <v>0.96168350000000002</v>
      </c>
      <c r="Q770">
        <v>0.1952161</v>
      </c>
      <c r="R770">
        <v>-0.19249849999999999</v>
      </c>
      <c r="S770">
        <v>3.0512079999999999</v>
      </c>
      <c r="T770">
        <v>-5.0283910000000001E-2</v>
      </c>
      <c r="U770">
        <v>-0.39233400000000002</v>
      </c>
      <c r="V770">
        <v>0.18666659999999999</v>
      </c>
      <c r="W770">
        <v>0.2086025</v>
      </c>
      <c r="X770">
        <v>0.96002109999999996</v>
      </c>
      <c r="Y770">
        <v>0.12109449999999999</v>
      </c>
      <c r="Z770">
        <v>-1.8477229999999999E-3</v>
      </c>
      <c r="AA770">
        <v>0.99263920000000005</v>
      </c>
      <c r="AB770">
        <v>30</v>
      </c>
      <c r="AC770">
        <v>62.905399999999901</v>
      </c>
      <c r="AD770">
        <v>-1.0408208999999999</v>
      </c>
      <c r="AE770">
        <v>-8.1186999999999898</v>
      </c>
      <c r="AF770">
        <v>7.7101921248043599</v>
      </c>
      <c r="AG770">
        <v>-1.0408208999999999</v>
      </c>
      <c r="AH770">
        <v>62.939572883659999</v>
      </c>
      <c r="AI770">
        <v>90.940375725792293</v>
      </c>
      <c r="AJ770">
        <v>83.015977833525</v>
      </c>
      <c r="AK770">
        <v>63.4186108766568</v>
      </c>
      <c r="AL770">
        <v>77.959531860431994</v>
      </c>
      <c r="AM770">
        <v>78.996698922817899</v>
      </c>
      <c r="AN770">
        <v>0.99999996750350895</v>
      </c>
    </row>
    <row r="771" spans="1:40" x14ac:dyDescent="0.25">
      <c r="A771" t="str">
        <f>"20190303170733122"</f>
        <v>20190303170733122</v>
      </c>
      <c r="B771" t="str">
        <f>"1551604053113263"</f>
        <v>1551604053113263</v>
      </c>
      <c r="C771" t="s">
        <v>40</v>
      </c>
      <c r="D771">
        <v>4.9886569999999999</v>
      </c>
      <c r="E771">
        <v>0.47887639999999998</v>
      </c>
      <c r="F771" t="s">
        <v>48</v>
      </c>
      <c r="G771">
        <v>-179.47190000000001</v>
      </c>
      <c r="H771">
        <v>7.9987899999999904E-2</v>
      </c>
      <c r="I771">
        <v>359.41199999999998</v>
      </c>
      <c r="J771">
        <v>-242.57550000000001</v>
      </c>
      <c r="K771">
        <v>1.1206739999999999</v>
      </c>
      <c r="L771">
        <v>367.51119999999997</v>
      </c>
      <c r="M771">
        <v>0.99987110000000001</v>
      </c>
      <c r="N771">
        <v>-1.4275299999999999E-2</v>
      </c>
      <c r="O771">
        <v>-7.3559259999999996E-3</v>
      </c>
      <c r="P771">
        <v>0.96176609999999996</v>
      </c>
      <c r="Q771">
        <v>0.1953317</v>
      </c>
      <c r="R771">
        <v>-0.19196779999999999</v>
      </c>
      <c r="S771">
        <v>3.0516510000000001</v>
      </c>
      <c r="T771">
        <v>-5.0088290000000001E-2</v>
      </c>
      <c r="U771">
        <v>-0.38995360000000001</v>
      </c>
      <c r="V771">
        <v>0.18526970000000001</v>
      </c>
      <c r="W771">
        <v>0.2087224</v>
      </c>
      <c r="X771">
        <v>0.96026560000000005</v>
      </c>
      <c r="Y771">
        <v>0.11942319999999999</v>
      </c>
      <c r="Z771">
        <v>-1.816422E-3</v>
      </c>
      <c r="AA771">
        <v>0.9928418</v>
      </c>
      <c r="AB771">
        <v>30</v>
      </c>
      <c r="AC771">
        <v>63.1036</v>
      </c>
      <c r="AD771">
        <v>-1.0406860999999901</v>
      </c>
      <c r="AE771">
        <v>-8.0991999999999909</v>
      </c>
      <c r="AF771">
        <v>7.6327058663111798</v>
      </c>
      <c r="AG771">
        <v>-1.0406860999999901</v>
      </c>
      <c r="AH771">
        <v>63.144580042025297</v>
      </c>
      <c r="AI771">
        <v>90.937384433975197</v>
      </c>
      <c r="AJ771">
        <v>83.107715904251194</v>
      </c>
      <c r="AK771">
        <v>63.6127284046526</v>
      </c>
      <c r="AL771">
        <v>77.952507409485605</v>
      </c>
      <c r="AM771">
        <v>79.079767444376998</v>
      </c>
      <c r="AN771">
        <v>0.99999996227160404</v>
      </c>
    </row>
    <row r="772" spans="1:40" x14ac:dyDescent="0.25">
      <c r="A772" t="str">
        <f>"20190303170733143"</f>
        <v>20190303170733143</v>
      </c>
      <c r="B772" t="str">
        <f>"1551604053132783"</f>
        <v>1551604053132783</v>
      </c>
      <c r="C772" t="s">
        <v>40</v>
      </c>
      <c r="D772">
        <v>4.9843299999999999</v>
      </c>
      <c r="E772">
        <v>0.47881050000000003</v>
      </c>
      <c r="F772" t="s">
        <v>48</v>
      </c>
      <c r="G772">
        <v>-179.98060000000001</v>
      </c>
      <c r="H772">
        <v>6.9401870000000004E-2</v>
      </c>
      <c r="I772">
        <v>359.59059999999999</v>
      </c>
      <c r="J772">
        <v>-242.28720000000001</v>
      </c>
      <c r="K772">
        <v>1.1206700000000001</v>
      </c>
      <c r="L772">
        <v>367.50810000000001</v>
      </c>
      <c r="M772">
        <v>0.99986439999999999</v>
      </c>
      <c r="N772">
        <v>-1.4272679999999999E-2</v>
      </c>
      <c r="O772">
        <v>-8.2176030000000004E-3</v>
      </c>
      <c r="P772">
        <v>0.96150389999999997</v>
      </c>
      <c r="Q772">
        <v>0.19602919999999999</v>
      </c>
      <c r="R772">
        <v>-0.1925694</v>
      </c>
      <c r="S772">
        <v>3.0525669999999998</v>
      </c>
      <c r="T772">
        <v>-5.1267390000000003E-2</v>
      </c>
      <c r="U772">
        <v>-0.38626100000000002</v>
      </c>
      <c r="V772">
        <v>0.18504399999999999</v>
      </c>
      <c r="W772">
        <v>0.20941670000000001</v>
      </c>
      <c r="X772">
        <v>0.96015799999999996</v>
      </c>
      <c r="Y772">
        <v>0.11734749999999999</v>
      </c>
      <c r="Z772">
        <v>-1.8017490000000001E-3</v>
      </c>
      <c r="AA772">
        <v>0.99308929999999995</v>
      </c>
      <c r="AB772">
        <v>30</v>
      </c>
      <c r="AC772">
        <v>62.306600000000003</v>
      </c>
      <c r="AD772">
        <v>-1.05126813</v>
      </c>
      <c r="AE772">
        <v>-7.9175000000000102</v>
      </c>
      <c r="AF772">
        <v>7.4030955314033404</v>
      </c>
      <c r="AG772">
        <v>-1.05126813</v>
      </c>
      <c r="AH772">
        <v>62.3520968814517</v>
      </c>
      <c r="AI772">
        <v>90.959190257147498</v>
      </c>
      <c r="AJ772">
        <v>83.228941865266407</v>
      </c>
      <c r="AK772">
        <v>62.798845320930702</v>
      </c>
      <c r="AL772">
        <v>77.911828555608906</v>
      </c>
      <c r="AM772">
        <v>79.091558466083598</v>
      </c>
      <c r="AN772">
        <v>1.00000001056944</v>
      </c>
    </row>
    <row r="773" spans="1:40" x14ac:dyDescent="0.25">
      <c r="A773" t="str">
        <f>"20190303170733165"</f>
        <v>20190303170733165</v>
      </c>
      <c r="B773" t="str">
        <f>"1551604053153279"</f>
        <v>1551604053153279</v>
      </c>
      <c r="C773" t="s">
        <v>40</v>
      </c>
      <c r="D773">
        <v>4.9901609999999996</v>
      </c>
      <c r="E773">
        <v>0.47896689999999997</v>
      </c>
      <c r="F773" t="s">
        <v>48</v>
      </c>
      <c r="G773">
        <v>-178.59899999999999</v>
      </c>
      <c r="H773">
        <v>7.9987939999999993E-2</v>
      </c>
      <c r="I773">
        <v>359.41559999999998</v>
      </c>
      <c r="J773">
        <v>-241.99189999999999</v>
      </c>
      <c r="K773">
        <v>1.1206739999999999</v>
      </c>
      <c r="L773">
        <v>367.50470000000001</v>
      </c>
      <c r="M773">
        <v>0.99985690000000005</v>
      </c>
      <c r="N773">
        <v>-1.426992E-2</v>
      </c>
      <c r="O773">
        <v>-9.1004840000000007E-3</v>
      </c>
      <c r="P773">
        <v>0.96105110000000005</v>
      </c>
      <c r="Q773">
        <v>0.19708139999999999</v>
      </c>
      <c r="R773">
        <v>-0.19375310000000001</v>
      </c>
      <c r="S773">
        <v>3.052597</v>
      </c>
      <c r="T773">
        <v>-4.9880269999999997E-2</v>
      </c>
      <c r="U773">
        <v>-0.38787840000000001</v>
      </c>
      <c r="V773">
        <v>0.1853823</v>
      </c>
      <c r="W773">
        <v>0.21046239999999999</v>
      </c>
      <c r="X773">
        <v>0.9598641</v>
      </c>
      <c r="Y773">
        <v>0.1169886</v>
      </c>
      <c r="Z773">
        <v>-1.771412E-3</v>
      </c>
      <c r="AA773">
        <v>0.99313169999999995</v>
      </c>
      <c r="AB773">
        <v>30</v>
      </c>
      <c r="AC773">
        <v>63.392899999999898</v>
      </c>
      <c r="AD773">
        <v>-1.0406860600000001</v>
      </c>
      <c r="AE773">
        <v>-8.0891000000000304</v>
      </c>
      <c r="AF773">
        <v>7.5098087539060003</v>
      </c>
      <c r="AG773">
        <v>-1.0406860600000001</v>
      </c>
      <c r="AH773">
        <v>63.447071548196597</v>
      </c>
      <c r="AI773">
        <v>90.933192604779407</v>
      </c>
      <c r="AJ773">
        <v>83.249685653110603</v>
      </c>
      <c r="AK773">
        <v>63.898443979784901</v>
      </c>
      <c r="AL773">
        <v>77.850549240548105</v>
      </c>
      <c r="AM773">
        <v>79.068829806642697</v>
      </c>
      <c r="AN773">
        <v>1.00000005471792</v>
      </c>
    </row>
    <row r="774" spans="1:40" x14ac:dyDescent="0.25">
      <c r="A774" t="str">
        <f>"20190303170733189"</f>
        <v>20190303170733189</v>
      </c>
      <c r="B774" t="str">
        <f>"1551604053183535"</f>
        <v>1551604053183535</v>
      </c>
      <c r="C774" t="s">
        <v>40</v>
      </c>
      <c r="D774">
        <v>4.9885339999999996</v>
      </c>
      <c r="E774">
        <v>0.47912500000000002</v>
      </c>
      <c r="F774" t="s">
        <v>48</v>
      </c>
      <c r="G774">
        <v>-175.70959999999999</v>
      </c>
      <c r="H774">
        <v>7.9988069999999994E-2</v>
      </c>
      <c r="I774">
        <v>358.99250000000001</v>
      </c>
      <c r="J774">
        <v>-241.67320000000001</v>
      </c>
      <c r="K774">
        <v>1.120681</v>
      </c>
      <c r="L774">
        <v>367.50080000000003</v>
      </c>
      <c r="M774">
        <v>0.99984779999999995</v>
      </c>
      <c r="N774">
        <v>-1.4266900000000001E-2</v>
      </c>
      <c r="O774">
        <v>-1.005285E-2</v>
      </c>
      <c r="P774">
        <v>0.96067080000000005</v>
      </c>
      <c r="Q774">
        <v>0.1971802</v>
      </c>
      <c r="R774">
        <v>-0.19552900000000001</v>
      </c>
      <c r="S774">
        <v>3.0523989999999999</v>
      </c>
      <c r="T774">
        <v>-4.792511E-2</v>
      </c>
      <c r="U774">
        <v>-0.39199830000000002</v>
      </c>
      <c r="V774">
        <v>0.1862441</v>
      </c>
      <c r="W774">
        <v>0.2105551</v>
      </c>
      <c r="X774">
        <v>0.95967690000000005</v>
      </c>
      <c r="Y774">
        <v>0.11737119999999999</v>
      </c>
      <c r="Z774">
        <v>-1.7441259999999999E-3</v>
      </c>
      <c r="AA774">
        <v>0.99308660000000004</v>
      </c>
      <c r="AB774">
        <v>30</v>
      </c>
      <c r="AC774">
        <v>65.9636</v>
      </c>
      <c r="AD774">
        <v>-1.0406929300000001</v>
      </c>
      <c r="AE774">
        <v>-8.5083000000000197</v>
      </c>
      <c r="AF774">
        <v>7.8427602104037497</v>
      </c>
      <c r="AG774">
        <v>-1.0406929300000001</v>
      </c>
      <c r="AH774">
        <v>66.029641206185701</v>
      </c>
      <c r="AI774">
        <v>90.896662022445994</v>
      </c>
      <c r="AJ774">
        <v>83.226350915220706</v>
      </c>
      <c r="AK774">
        <v>66.501920628731199</v>
      </c>
      <c r="AL774">
        <v>77.845115917974297</v>
      </c>
      <c r="AM774">
        <v>79.017155868761094</v>
      </c>
      <c r="AN774">
        <v>1.0000000336572099</v>
      </c>
    </row>
    <row r="775" spans="1:40" x14ac:dyDescent="0.25">
      <c r="A775" t="str">
        <f>"20190303170733210"</f>
        <v>20190303170733210</v>
      </c>
      <c r="B775" t="str">
        <f>"1551604053203058"</f>
        <v>1551604053203058</v>
      </c>
      <c r="C775" t="s">
        <v>40</v>
      </c>
      <c r="D775">
        <v>4.9759140000000004</v>
      </c>
      <c r="E775">
        <v>0.47922680000000001</v>
      </c>
      <c r="F775" t="s">
        <v>48</v>
      </c>
      <c r="G775">
        <v>-177.07390000000001</v>
      </c>
      <c r="H775">
        <v>7.9988000000000004E-2</v>
      </c>
      <c r="I775">
        <v>359.0582</v>
      </c>
      <c r="J775">
        <v>-241.38120000000001</v>
      </c>
      <c r="K775">
        <v>1.120684</v>
      </c>
      <c r="L775">
        <v>367.49689999999998</v>
      </c>
      <c r="M775">
        <v>0.99983860000000002</v>
      </c>
      <c r="N775">
        <v>-1.426416E-2</v>
      </c>
      <c r="O775">
        <v>-1.0925600000000001E-2</v>
      </c>
      <c r="P775">
        <v>0.9604258</v>
      </c>
      <c r="Q775">
        <v>0.19682630000000001</v>
      </c>
      <c r="R775">
        <v>-0.19708339999999999</v>
      </c>
      <c r="S775">
        <v>3.0517270000000001</v>
      </c>
      <c r="T775">
        <v>-4.9163220000000001E-2</v>
      </c>
      <c r="U775">
        <v>-0.39883420000000003</v>
      </c>
      <c r="V775">
        <v>0.18695909999999999</v>
      </c>
      <c r="W775">
        <v>0.21019660000000001</v>
      </c>
      <c r="X775">
        <v>0.95961640000000004</v>
      </c>
      <c r="Y775">
        <v>0.1187182</v>
      </c>
      <c r="Z775">
        <v>-1.78260299999999E-3</v>
      </c>
      <c r="AA775">
        <v>0.99292639999999999</v>
      </c>
      <c r="AB775">
        <v>30</v>
      </c>
      <c r="AC775">
        <v>64.307299999999998</v>
      </c>
      <c r="AD775">
        <v>-1.0406959999999901</v>
      </c>
      <c r="AE775">
        <v>-8.4386999999999794</v>
      </c>
      <c r="AF775">
        <v>7.7335378318038304</v>
      </c>
      <c r="AG775">
        <v>-1.0406959999999901</v>
      </c>
      <c r="AH775">
        <v>64.379093062095194</v>
      </c>
      <c r="AI775">
        <v>90.919503384553707</v>
      </c>
      <c r="AJ775">
        <v>83.150167021411306</v>
      </c>
      <c r="AK775">
        <v>64.850275859538698</v>
      </c>
      <c r="AL775">
        <v>77.866125945385207</v>
      </c>
      <c r="AM775">
        <v>78.975345226451296</v>
      </c>
      <c r="AN775">
        <v>0.99999997543666397</v>
      </c>
    </row>
    <row r="776" spans="1:40" x14ac:dyDescent="0.25">
      <c r="A776" t="str">
        <f>"20190303170733234"</f>
        <v>20190303170733234</v>
      </c>
      <c r="B776" t="str">
        <f>"1551604053222575"</f>
        <v>1551604053222575</v>
      </c>
      <c r="C776" t="s">
        <v>40</v>
      </c>
      <c r="D776">
        <v>4.9952110000000003</v>
      </c>
      <c r="E776">
        <v>0.47934710000000003</v>
      </c>
      <c r="F776" t="s">
        <v>48</v>
      </c>
      <c r="G776">
        <v>-179.56280000000001</v>
      </c>
      <c r="H776">
        <v>7.9987899999999904E-2</v>
      </c>
      <c r="I776">
        <v>359.30119999999999</v>
      </c>
      <c r="J776">
        <v>-241.0778</v>
      </c>
      <c r="K776">
        <v>1.1206830000000001</v>
      </c>
      <c r="L776">
        <v>367.49259999999998</v>
      </c>
      <c r="M776">
        <v>0.99982850000000001</v>
      </c>
      <c r="N776">
        <v>-1.426124E-2</v>
      </c>
      <c r="O776">
        <v>-1.183185E-2</v>
      </c>
      <c r="P776">
        <v>0.96011440000000003</v>
      </c>
      <c r="Q776">
        <v>0.19622439999999999</v>
      </c>
      <c r="R776">
        <v>-0.1991908</v>
      </c>
      <c r="S776">
        <v>3.0511469999999998</v>
      </c>
      <c r="T776">
        <v>-5.1365260000000003E-2</v>
      </c>
      <c r="U776">
        <v>-0.4045105</v>
      </c>
      <c r="V776">
        <v>0.18819559999999999</v>
      </c>
      <c r="W776">
        <v>0.2095892</v>
      </c>
      <c r="X776">
        <v>0.95950760000000002</v>
      </c>
      <c r="Y776">
        <v>0.119656</v>
      </c>
      <c r="Z776">
        <v>-1.829605E-3</v>
      </c>
      <c r="AA776">
        <v>0.99281370000000002</v>
      </c>
      <c r="AB776">
        <v>30</v>
      </c>
      <c r="AC776">
        <v>61.514999999999901</v>
      </c>
      <c r="AD776">
        <v>-1.0406951</v>
      </c>
      <c r="AE776">
        <v>-8.1913999999999803</v>
      </c>
      <c r="AF776">
        <v>7.4608182068471001</v>
      </c>
      <c r="AG776">
        <v>-1.0406951</v>
      </c>
      <c r="AH776">
        <v>61.590301764593796</v>
      </c>
      <c r="AI776">
        <v>90.961014226432994</v>
      </c>
      <c r="AJ776">
        <v>83.093057062107903</v>
      </c>
      <c r="AK776">
        <v>62.04927176092</v>
      </c>
      <c r="AL776">
        <v>77.901720904638495</v>
      </c>
      <c r="AM776">
        <v>78.9030077015221</v>
      </c>
      <c r="AN776">
        <v>1.00000002553687</v>
      </c>
    </row>
    <row r="777" spans="1:40" x14ac:dyDescent="0.25">
      <c r="A777" t="str">
        <f>"20190303170733255"</f>
        <v>20190303170733255</v>
      </c>
      <c r="B777" t="str">
        <f>"1551604053243072"</f>
        <v>1551604053243072</v>
      </c>
      <c r="C777" t="s">
        <v>40</v>
      </c>
      <c r="D777">
        <v>4.9542359999999999</v>
      </c>
      <c r="E777">
        <v>0.47943659999999999</v>
      </c>
      <c r="F777" t="s">
        <v>48</v>
      </c>
      <c r="G777">
        <v>-180</v>
      </c>
      <c r="H777">
        <v>2.2827469999999999E-2</v>
      </c>
      <c r="I777">
        <v>359.24259999999998</v>
      </c>
      <c r="J777">
        <v>-240.7869</v>
      </c>
      <c r="K777">
        <v>1.120687</v>
      </c>
      <c r="L777">
        <v>367.48820000000001</v>
      </c>
      <c r="M777">
        <v>0.99981770000000003</v>
      </c>
      <c r="N777">
        <v>-1.425853E-2</v>
      </c>
      <c r="O777">
        <v>-1.2701270000000001E-2</v>
      </c>
      <c r="P777">
        <v>0.95981170000000005</v>
      </c>
      <c r="Q777">
        <v>0.19591410000000001</v>
      </c>
      <c r="R777">
        <v>-0.20094670000000001</v>
      </c>
      <c r="S777">
        <v>3.050354</v>
      </c>
      <c r="T777">
        <v>-5.4829240000000001E-2</v>
      </c>
      <c r="U777">
        <v>-0.41201779999999999</v>
      </c>
      <c r="V777">
        <v>0.1891169</v>
      </c>
      <c r="W777">
        <v>0.2092735</v>
      </c>
      <c r="X777">
        <v>0.95939529999999995</v>
      </c>
      <c r="Y777">
        <v>0.12122289999999999</v>
      </c>
      <c r="Z777">
        <v>-1.9059000000000001E-3</v>
      </c>
      <c r="AA777">
        <v>0.99262349999999999</v>
      </c>
      <c r="AB777">
        <v>30</v>
      </c>
      <c r="AC777">
        <v>60.786900000000003</v>
      </c>
      <c r="AD777">
        <v>-1.09785953</v>
      </c>
      <c r="AE777">
        <v>-8.2456000000000191</v>
      </c>
      <c r="AF777">
        <v>7.4703926812808801</v>
      </c>
      <c r="AG777">
        <v>-1.09785953</v>
      </c>
      <c r="AH777">
        <v>60.867240209584601</v>
      </c>
      <c r="AI777">
        <v>91.025635033801294</v>
      </c>
      <c r="AJ777">
        <v>83.002934763727396</v>
      </c>
      <c r="AK777">
        <v>61.333783456521097</v>
      </c>
      <c r="AL777">
        <v>77.920218743972399</v>
      </c>
      <c r="AM777">
        <v>78.848768630145003</v>
      </c>
      <c r="AN777">
        <v>0.99999997066497404</v>
      </c>
    </row>
    <row r="778" spans="1:40" x14ac:dyDescent="0.25">
      <c r="A778" t="str">
        <f>"20190303170733278"</f>
        <v>20190303170733278</v>
      </c>
      <c r="B778" t="str">
        <f>"1551604053273327"</f>
        <v>1551604053273327</v>
      </c>
      <c r="C778" t="s">
        <v>40</v>
      </c>
      <c r="D778">
        <v>4.9478479999999996</v>
      </c>
      <c r="E778">
        <v>0.47959960000000001</v>
      </c>
      <c r="F778" t="s">
        <v>48</v>
      </c>
      <c r="G778">
        <v>-180.67760000000001</v>
      </c>
      <c r="H778" s="1">
        <v>-5.6611779999999999E-6</v>
      </c>
      <c r="I778">
        <v>359.23090000000002</v>
      </c>
      <c r="J778">
        <v>-240.4829</v>
      </c>
      <c r="K778">
        <v>1.1207</v>
      </c>
      <c r="L778">
        <v>367.48329999999999</v>
      </c>
      <c r="M778">
        <v>0.99980570000000002</v>
      </c>
      <c r="N778">
        <v>-1.4255459999999999E-2</v>
      </c>
      <c r="O778">
        <v>-1.3610499999999999E-2</v>
      </c>
      <c r="P778">
        <v>0.95909909999999998</v>
      </c>
      <c r="Q778">
        <v>0.19769300000000001</v>
      </c>
      <c r="R778">
        <v>-0.20259930000000001</v>
      </c>
      <c r="S778">
        <v>3.049515</v>
      </c>
      <c r="T778">
        <v>-5.6855919999999997E-2</v>
      </c>
      <c r="U778">
        <v>-0.41891479999999998</v>
      </c>
      <c r="V778">
        <v>0.1899062</v>
      </c>
      <c r="W778">
        <v>0.21104129999999999</v>
      </c>
      <c r="X778">
        <v>0.95885209999999998</v>
      </c>
      <c r="Y778">
        <v>0.122558</v>
      </c>
      <c r="Z778">
        <v>-1.955572E-3</v>
      </c>
      <c r="AA778">
        <v>0.99245939999999999</v>
      </c>
      <c r="AB778">
        <v>30</v>
      </c>
      <c r="AC778">
        <v>59.805299999999903</v>
      </c>
      <c r="AD778">
        <v>-1.120705661178</v>
      </c>
      <c r="AE778">
        <v>-8.2523999999999607</v>
      </c>
      <c r="AF778">
        <v>7.4350105651985503</v>
      </c>
      <c r="AG778">
        <v>-1.120705661178</v>
      </c>
      <c r="AH778">
        <v>59.891451537055602</v>
      </c>
      <c r="AI778">
        <v>91.063845337438593</v>
      </c>
      <c r="AJ778">
        <v>82.923424269698003</v>
      </c>
      <c r="AK778">
        <v>60.361588203915701</v>
      </c>
      <c r="AL778">
        <v>77.816618838212307</v>
      </c>
      <c r="AM778">
        <v>78.797218650722101</v>
      </c>
      <c r="AN778">
        <v>1.0000000723892599</v>
      </c>
    </row>
    <row r="779" spans="1:40" x14ac:dyDescent="0.25">
      <c r="A779" t="str">
        <f>"20190303170733301"</f>
        <v>20190303170733301</v>
      </c>
      <c r="B779" t="str">
        <f>"1551604053292851"</f>
        <v>1551604053292851</v>
      </c>
      <c r="C779" t="s">
        <v>40</v>
      </c>
      <c r="D779">
        <v>4.9823879999999896</v>
      </c>
      <c r="E779">
        <v>0.49655500000000002</v>
      </c>
      <c r="F779" t="s">
        <v>48</v>
      </c>
      <c r="G779">
        <v>-178.9374</v>
      </c>
      <c r="H779">
        <v>7.9987929999999999E-2</v>
      </c>
      <c r="I779">
        <v>358.89530000000002</v>
      </c>
      <c r="J779">
        <v>-240.17859999999999</v>
      </c>
      <c r="K779">
        <v>1.1207039999999999</v>
      </c>
      <c r="L779">
        <v>367.47809999999998</v>
      </c>
      <c r="M779">
        <v>0.99979320000000005</v>
      </c>
      <c r="N779">
        <v>-1.425221E-2</v>
      </c>
      <c r="O779">
        <v>-1.4521030000000001E-2</v>
      </c>
      <c r="P779">
        <v>0.95875949999999999</v>
      </c>
      <c r="Q779">
        <v>0.19826440000000001</v>
      </c>
      <c r="R779">
        <v>-0.20364670000000001</v>
      </c>
      <c r="S779">
        <v>3.048721</v>
      </c>
      <c r="T779">
        <v>-5.1552769999999998E-2</v>
      </c>
      <c r="U779">
        <v>-0.42541499999999999</v>
      </c>
      <c r="V779">
        <v>0.19008249999999999</v>
      </c>
      <c r="W779">
        <v>0.21160760000000001</v>
      </c>
      <c r="X779">
        <v>0.95869230000000005</v>
      </c>
      <c r="Y779">
        <v>0.12377000000000001</v>
      </c>
      <c r="Z779">
        <v>-1.8894929999999999E-3</v>
      </c>
      <c r="AA779">
        <v>0.9923092</v>
      </c>
      <c r="AB779">
        <v>30</v>
      </c>
      <c r="AC779">
        <v>61.2411999999999</v>
      </c>
      <c r="AD779">
        <v>-1.04071607</v>
      </c>
      <c r="AE779">
        <v>-8.5827999999999598</v>
      </c>
      <c r="AF779">
        <v>7.6903413515045598</v>
      </c>
      <c r="AG779">
        <v>-1.04071607</v>
      </c>
      <c r="AH779">
        <v>61.342011894163498</v>
      </c>
      <c r="AI779">
        <v>90.964427209365795</v>
      </c>
      <c r="AJ779">
        <v>82.854209410287098</v>
      </c>
      <c r="AK779">
        <v>61.830953924912997</v>
      </c>
      <c r="AL779">
        <v>77.783422003440606</v>
      </c>
      <c r="AM779">
        <v>78.7852602560355</v>
      </c>
      <c r="AN779">
        <v>1.00000002963164</v>
      </c>
    </row>
    <row r="780" spans="1:40" x14ac:dyDescent="0.25">
      <c r="A780" t="str">
        <f>"20190303170733322"</f>
        <v>20190303170733322</v>
      </c>
      <c r="B780" t="str">
        <f>"1551604053312878"</f>
        <v>1551604053312878</v>
      </c>
      <c r="C780" t="s">
        <v>40</v>
      </c>
      <c r="D780">
        <v>4.9285379999999996</v>
      </c>
      <c r="E780">
        <v>0.49993840000000001</v>
      </c>
      <c r="F780" t="s">
        <v>44</v>
      </c>
      <c r="G780">
        <v>-169.2955</v>
      </c>
      <c r="H780">
        <v>5.1023480000000003E-2</v>
      </c>
      <c r="I780">
        <v>354.3107</v>
      </c>
      <c r="J780">
        <v>-239.8965</v>
      </c>
      <c r="K780">
        <v>1.1207020000000001</v>
      </c>
      <c r="L780">
        <v>367.47309999999999</v>
      </c>
      <c r="M780">
        <v>0.99978049999999996</v>
      </c>
      <c r="N780">
        <v>-1.424919E-2</v>
      </c>
      <c r="O780">
        <v>-1.5365169999999999E-2</v>
      </c>
      <c r="P780">
        <v>0.95865860000000003</v>
      </c>
      <c r="Q780">
        <v>0.19752230000000001</v>
      </c>
      <c r="R780">
        <v>-0.20483860000000001</v>
      </c>
      <c r="S780">
        <v>3.0193479999999999</v>
      </c>
      <c r="T780">
        <v>-4.556048E-2</v>
      </c>
      <c r="U780">
        <v>-0.56088260000000001</v>
      </c>
      <c r="V780">
        <v>0.19046160000000001</v>
      </c>
      <c r="W780">
        <v>0.2108642</v>
      </c>
      <c r="X780">
        <v>0.95878079999999999</v>
      </c>
      <c r="Y780">
        <v>0.16747200000000001</v>
      </c>
      <c r="Z780">
        <v>-2.4436240000000001E-3</v>
      </c>
      <c r="AA780">
        <v>0.98587380000000002</v>
      </c>
      <c r="AB780">
        <v>30</v>
      </c>
      <c r="AC780">
        <v>70.600999999999999</v>
      </c>
      <c r="AD780">
        <v>-1.0696785200000001</v>
      </c>
      <c r="AE780">
        <v>-13.1623999999999</v>
      </c>
      <c r="AF780">
        <v>12.0732610592952</v>
      </c>
      <c r="AG780">
        <v>-1.0696785200000001</v>
      </c>
      <c r="AH780">
        <v>70.779224912144301</v>
      </c>
      <c r="AI780">
        <v>90.853512670938102</v>
      </c>
      <c r="AJ780">
        <v>80.319863477971296</v>
      </c>
      <c r="AK780">
        <v>71.809515552647696</v>
      </c>
      <c r="AL780">
        <v>77.826998347565194</v>
      </c>
      <c r="AM780">
        <v>78.764472965491507</v>
      </c>
      <c r="AN780">
        <v>0.99999997718241895</v>
      </c>
    </row>
    <row r="781" spans="1:40" x14ac:dyDescent="0.25">
      <c r="A781" t="str">
        <f>"20190303170733344"</f>
        <v>20190303170733344</v>
      </c>
      <c r="B781" t="str">
        <f>"1551604053333370"</f>
        <v>1551604053333370</v>
      </c>
      <c r="C781" t="s">
        <v>40</v>
      </c>
      <c r="D781">
        <v>4.9239750000000004</v>
      </c>
      <c r="E781">
        <v>0.50156089999999998</v>
      </c>
      <c r="F781" t="s">
        <v>46</v>
      </c>
      <c r="G781">
        <v>-166.83789999999999</v>
      </c>
      <c r="H781">
        <v>-0.05</v>
      </c>
      <c r="I781">
        <v>353.14909999999998</v>
      </c>
      <c r="J781">
        <v>-239.59970000000001</v>
      </c>
      <c r="K781">
        <v>1.1206959999999999</v>
      </c>
      <c r="L781">
        <v>367.4676</v>
      </c>
      <c r="M781">
        <v>0.9997665</v>
      </c>
      <c r="N781">
        <v>-1.424599E-2</v>
      </c>
      <c r="O781">
        <v>-1.6253299999999998E-2</v>
      </c>
      <c r="P781">
        <v>0.95878099999999999</v>
      </c>
      <c r="Q781">
        <v>0.1959611</v>
      </c>
      <c r="R781">
        <v>-0.20576359999999999</v>
      </c>
      <c r="S781">
        <v>3.0131230000000002</v>
      </c>
      <c r="T781">
        <v>-4.8282739999999998E-2</v>
      </c>
      <c r="U781">
        <v>-0.59075929999999999</v>
      </c>
      <c r="V781">
        <v>0.19052649999999999</v>
      </c>
      <c r="W781">
        <v>0.2093052</v>
      </c>
      <c r="X781">
        <v>0.95910949999999995</v>
      </c>
      <c r="Y781">
        <v>0.1763805</v>
      </c>
      <c r="Z781">
        <v>-2.6397880000000001E-3</v>
      </c>
      <c r="AA781">
        <v>0.98431849999999999</v>
      </c>
      <c r="AB781">
        <v>30</v>
      </c>
      <c r="AC781">
        <v>72.761799999999994</v>
      </c>
      <c r="AD781">
        <v>-1.170696</v>
      </c>
      <c r="AE781">
        <v>-14.3185</v>
      </c>
      <c r="AF781">
        <v>13.1305965561201</v>
      </c>
      <c r="AG781">
        <v>-1.170696</v>
      </c>
      <c r="AH781">
        <v>72.966748465766102</v>
      </c>
      <c r="AI781">
        <v>90.904659669891203</v>
      </c>
      <c r="AJ781">
        <v>79.798626117888602</v>
      </c>
      <c r="AK781">
        <v>74.148024091747601</v>
      </c>
      <c r="AL781">
        <v>77.918361980625093</v>
      </c>
      <c r="AM781">
        <v>78.764495734459302</v>
      </c>
      <c r="AN781">
        <v>1.0000000234697599</v>
      </c>
    </row>
    <row r="782" spans="1:40" x14ac:dyDescent="0.25">
      <c r="A782" t="str">
        <f>"20190303170733367"</f>
        <v>20190303170733367</v>
      </c>
      <c r="B782" t="str">
        <f>"1551604053352889"</f>
        <v>1551604053352889</v>
      </c>
      <c r="C782" t="s">
        <v>40</v>
      </c>
      <c r="D782">
        <v>5.039777</v>
      </c>
      <c r="E782">
        <v>0.5024324</v>
      </c>
      <c r="F782" t="s">
        <v>48</v>
      </c>
      <c r="G782">
        <v>-178.4614</v>
      </c>
      <c r="H782">
        <v>7.9987939999999993E-2</v>
      </c>
      <c r="I782">
        <v>355.16750000000002</v>
      </c>
      <c r="J782">
        <v>-239.28989999999999</v>
      </c>
      <c r="K782">
        <v>1.120695</v>
      </c>
      <c r="L782">
        <v>367.4615</v>
      </c>
      <c r="M782">
        <v>0.99975099999999995</v>
      </c>
      <c r="N782">
        <v>-1.4242599999999999E-2</v>
      </c>
      <c r="O782">
        <v>-1.7180879999999999E-2</v>
      </c>
      <c r="P782">
        <v>0.95872690000000005</v>
      </c>
      <c r="Q782">
        <v>0.1951521</v>
      </c>
      <c r="R782">
        <v>-0.2067822</v>
      </c>
      <c r="S782">
        <v>3.0095209999999999</v>
      </c>
      <c r="T782">
        <v>-5.1228639999999999E-2</v>
      </c>
      <c r="U782">
        <v>-0.60546880000000003</v>
      </c>
      <c r="V782">
        <v>0.19065099999999999</v>
      </c>
      <c r="W782">
        <v>0.20849519999999999</v>
      </c>
      <c r="X782">
        <v>0.95926109999999998</v>
      </c>
      <c r="Y782">
        <v>0.18031140000000001</v>
      </c>
      <c r="Z782">
        <v>-2.7693370000000002E-3</v>
      </c>
      <c r="AA782">
        <v>0.98360570000000003</v>
      </c>
      <c r="AB782">
        <v>30</v>
      </c>
      <c r="AC782">
        <v>60.828499999999899</v>
      </c>
      <c r="AD782">
        <v>-1.0407070599999999</v>
      </c>
      <c r="AE782">
        <v>-12.293999999999899</v>
      </c>
      <c r="AF782">
        <v>11.2438298297473</v>
      </c>
      <c r="AG782">
        <v>-1.0407070599999999</v>
      </c>
      <c r="AH782">
        <v>61.013604303146401</v>
      </c>
      <c r="AI782">
        <v>90.961018461280005</v>
      </c>
      <c r="AJ782">
        <v>79.558454246013</v>
      </c>
      <c r="AK782">
        <v>62.049711445630201</v>
      </c>
      <c r="AL782">
        <v>77.965817764361205</v>
      </c>
      <c r="AM782">
        <v>78.759072341833104</v>
      </c>
      <c r="AN782">
        <v>0.99999995509862305</v>
      </c>
    </row>
    <row r="783" spans="1:40" x14ac:dyDescent="0.25">
      <c r="A783" t="str">
        <f>"20190303170733390"</f>
        <v>20190303170733390</v>
      </c>
      <c r="B783" t="str">
        <f>"1551604053383145"</f>
        <v>1551604053383145</v>
      </c>
      <c r="C783" t="s">
        <v>40</v>
      </c>
      <c r="D783">
        <v>4.9829619999999997</v>
      </c>
      <c r="E783">
        <v>0.50294490000000003</v>
      </c>
      <c r="F783" t="s">
        <v>48</v>
      </c>
      <c r="G783">
        <v>-180</v>
      </c>
      <c r="H783">
        <v>2.5628399999999999E-2</v>
      </c>
      <c r="I783">
        <v>355.32569999999998</v>
      </c>
      <c r="J783">
        <v>-238.98759999999999</v>
      </c>
      <c r="K783">
        <v>1.120698</v>
      </c>
      <c r="L783">
        <v>367.45530000000002</v>
      </c>
      <c r="M783">
        <v>0.99973520000000005</v>
      </c>
      <c r="N783">
        <v>-1.423934E-2</v>
      </c>
      <c r="O783">
        <v>-1.8086169999999999E-2</v>
      </c>
      <c r="P783">
        <v>0.95850630000000003</v>
      </c>
      <c r="Q783">
        <v>0.1950316</v>
      </c>
      <c r="R783">
        <v>-0.20791580000000001</v>
      </c>
      <c r="S783">
        <v>3.0076900000000002</v>
      </c>
      <c r="T783">
        <v>-5.5551169999999997E-2</v>
      </c>
      <c r="U783">
        <v>-0.61563109999999999</v>
      </c>
      <c r="V783">
        <v>0.1909159</v>
      </c>
      <c r="W783">
        <v>0.20837159999999999</v>
      </c>
      <c r="X783">
        <v>0.95923530000000001</v>
      </c>
      <c r="Y783">
        <v>0.18272099999999999</v>
      </c>
      <c r="Z783">
        <v>-2.9090750000000001E-3</v>
      </c>
      <c r="AA783">
        <v>0.98316049999999999</v>
      </c>
      <c r="AB783">
        <v>30</v>
      </c>
      <c r="AC783">
        <v>58.987599999999901</v>
      </c>
      <c r="AD783">
        <v>-1.0950696</v>
      </c>
      <c r="AE783">
        <v>-12.1296</v>
      </c>
      <c r="AF783">
        <v>11.0569917689738</v>
      </c>
      <c r="AG783">
        <v>-1.0950696</v>
      </c>
      <c r="AH783">
        <v>59.177782292882</v>
      </c>
      <c r="AI783">
        <v>91.042092743319401</v>
      </c>
      <c r="AJ783">
        <v>79.416678939912501</v>
      </c>
      <c r="AK783">
        <v>60.211844030155198</v>
      </c>
      <c r="AL783">
        <v>77.973058892182806</v>
      </c>
      <c r="AM783">
        <v>78.743557133021994</v>
      </c>
      <c r="AN783">
        <v>0.99999998266272905</v>
      </c>
    </row>
    <row r="784" spans="1:40" x14ac:dyDescent="0.25">
      <c r="A784" t="str">
        <f>"20190303170733411"</f>
        <v>20190303170733411</v>
      </c>
      <c r="B784" t="str">
        <f>"1551604053403173"</f>
        <v>1551604053403173</v>
      </c>
      <c r="C784" t="s">
        <v>40</v>
      </c>
      <c r="D784">
        <v>4.9798710000000002</v>
      </c>
      <c r="E784">
        <v>0.5034246</v>
      </c>
      <c r="F784" t="s">
        <v>48</v>
      </c>
      <c r="G784">
        <v>-180</v>
      </c>
      <c r="H784">
        <v>7.0935709999999999E-3</v>
      </c>
      <c r="I784">
        <v>355.21949999999998</v>
      </c>
      <c r="J784">
        <v>-238.70419999999999</v>
      </c>
      <c r="K784">
        <v>1.1207020000000001</v>
      </c>
      <c r="L784">
        <v>367.44929999999999</v>
      </c>
      <c r="M784">
        <v>0.99971940000000004</v>
      </c>
      <c r="N784">
        <v>-1.4236230000000001E-2</v>
      </c>
      <c r="O784">
        <v>-1.8934960000000001E-2</v>
      </c>
      <c r="P784">
        <v>0.95821579999999995</v>
      </c>
      <c r="Q784">
        <v>0.1952276</v>
      </c>
      <c r="R784">
        <v>-0.20906669999999999</v>
      </c>
      <c r="S784">
        <v>3.0061490000000002</v>
      </c>
      <c r="T784">
        <v>-5.6751969999999999E-2</v>
      </c>
      <c r="U784">
        <v>-0.623565699999999</v>
      </c>
      <c r="V784">
        <v>0.1912546</v>
      </c>
      <c r="W784">
        <v>0.20856330000000001</v>
      </c>
      <c r="X784">
        <v>0.95912620000000004</v>
      </c>
      <c r="Y784">
        <v>0.18447189999999999</v>
      </c>
      <c r="Z784">
        <v>-2.963383E-3</v>
      </c>
      <c r="AA784">
        <v>0.98283330000000002</v>
      </c>
      <c r="AB784">
        <v>30</v>
      </c>
      <c r="AC784">
        <v>58.704199999999901</v>
      </c>
      <c r="AD784">
        <v>-1.1136084289999999</v>
      </c>
      <c r="AE784">
        <v>-12.229799999999999</v>
      </c>
      <c r="AF784">
        <v>11.1121002703598</v>
      </c>
      <c r="AG784">
        <v>-1.1136084289999999</v>
      </c>
      <c r="AH784">
        <v>58.904951984606903</v>
      </c>
      <c r="AI784">
        <v>91.064290369768997</v>
      </c>
      <c r="AJ784">
        <v>79.317005187193004</v>
      </c>
      <c r="AK784">
        <v>59.954251429406703</v>
      </c>
      <c r="AL784">
        <v>77.961829006766294</v>
      </c>
      <c r="AM784">
        <v>78.722848767295801</v>
      </c>
      <c r="AN784">
        <v>1.0000000198272401</v>
      </c>
    </row>
    <row r="785" spans="1:40" x14ac:dyDescent="0.25">
      <c r="A785" t="str">
        <f>"20190303170733434"</f>
        <v>20190303170733434</v>
      </c>
      <c r="B785" t="str">
        <f>"1551604053422692"</f>
        <v>1551604053422692</v>
      </c>
      <c r="C785" t="s">
        <v>40</v>
      </c>
      <c r="D785">
        <v>4.9827339999999998</v>
      </c>
      <c r="E785">
        <v>0.50379449999999903</v>
      </c>
      <c r="F785" t="s">
        <v>48</v>
      </c>
      <c r="G785">
        <v>-180.43039999999999</v>
      </c>
      <c r="H785" s="1">
        <v>-4.472985E-6</v>
      </c>
      <c r="I785">
        <v>355.20159999999998</v>
      </c>
      <c r="J785">
        <v>-238.40539999999999</v>
      </c>
      <c r="K785">
        <v>1.1207</v>
      </c>
      <c r="L785">
        <v>367.44260000000003</v>
      </c>
      <c r="M785">
        <v>0.99970210000000004</v>
      </c>
      <c r="N785">
        <v>-1.423309E-2</v>
      </c>
      <c r="O785">
        <v>-1.9830710000000001E-2</v>
      </c>
      <c r="P785">
        <v>0.95811619999999997</v>
      </c>
      <c r="Q785">
        <v>0.19529650000000001</v>
      </c>
      <c r="R785">
        <v>-0.20945859999999999</v>
      </c>
      <c r="S785">
        <v>3.004791</v>
      </c>
      <c r="T785">
        <v>-5.77873E-2</v>
      </c>
      <c r="U785">
        <v>-0.63153079999999995</v>
      </c>
      <c r="V785">
        <v>0.19078580000000001</v>
      </c>
      <c r="W785">
        <v>0.20863229999999999</v>
      </c>
      <c r="X785">
        <v>0.95920459999999996</v>
      </c>
      <c r="Y785">
        <v>0.18617359999999999</v>
      </c>
      <c r="Z785">
        <v>-3.0125820000000002E-3</v>
      </c>
      <c r="AA785">
        <v>0.98251219999999995</v>
      </c>
      <c r="AB785">
        <v>30</v>
      </c>
      <c r="AC785">
        <v>57.975000000000001</v>
      </c>
      <c r="AD785">
        <v>-1.120704472985</v>
      </c>
      <c r="AE785">
        <v>-12.241</v>
      </c>
      <c r="AF785">
        <v>11.0848251339059</v>
      </c>
      <c r="AG785">
        <v>-1.120704472985</v>
      </c>
      <c r="AH785">
        <v>58.185554461479299</v>
      </c>
      <c r="AI785">
        <v>91.083940351405801</v>
      </c>
      <c r="AJ785">
        <v>79.213932449619193</v>
      </c>
      <c r="AK785">
        <v>59.242620424444503</v>
      </c>
      <c r="AL785">
        <v>77.957787180629694</v>
      </c>
      <c r="AM785">
        <v>78.750681340095696</v>
      </c>
      <c r="AN785">
        <v>1.00000006137304</v>
      </c>
    </row>
    <row r="786" spans="1:40" x14ac:dyDescent="0.25">
      <c r="A786" t="str">
        <f>"20190303170733456"</f>
        <v>20190303170733456</v>
      </c>
      <c r="B786" t="str">
        <f>"1551604053443188"</f>
        <v>1551604053443188</v>
      </c>
      <c r="C786" t="s">
        <v>40</v>
      </c>
      <c r="D786">
        <v>4.7883979999999999</v>
      </c>
      <c r="E786">
        <v>0.50418090000000004</v>
      </c>
      <c r="F786" t="s">
        <v>48</v>
      </c>
      <c r="G786">
        <v>-180.53030000000001</v>
      </c>
      <c r="H786" s="1">
        <v>-4.4582540000000002E-6</v>
      </c>
      <c r="I786">
        <v>355.19889999999998</v>
      </c>
      <c r="J786">
        <v>-238.1122</v>
      </c>
      <c r="K786">
        <v>1.1206969999999901</v>
      </c>
      <c r="L786">
        <v>367.4359</v>
      </c>
      <c r="M786">
        <v>0.99968440000000003</v>
      </c>
      <c r="N786">
        <v>-1.422999E-2</v>
      </c>
      <c r="O786">
        <v>-2.0709419999999999E-2</v>
      </c>
      <c r="P786">
        <v>0.95807739999999997</v>
      </c>
      <c r="Q786">
        <v>0.19455159999999999</v>
      </c>
      <c r="R786">
        <v>-0.2103274</v>
      </c>
      <c r="S786">
        <v>3.004089</v>
      </c>
      <c r="T786">
        <v>-5.8171750000000001E-2</v>
      </c>
      <c r="U786">
        <v>-0.6355286</v>
      </c>
      <c r="V786">
        <v>0.19080730000000001</v>
      </c>
      <c r="W786">
        <v>0.20788699999999999</v>
      </c>
      <c r="X786">
        <v>0.95936200000000005</v>
      </c>
      <c r="Y786">
        <v>0.1866073</v>
      </c>
      <c r="Z786">
        <v>-3.0246280000000001E-3</v>
      </c>
      <c r="AA786">
        <v>0.98242989999999997</v>
      </c>
      <c r="AB786">
        <v>30</v>
      </c>
      <c r="AC786">
        <v>57.581899999999898</v>
      </c>
      <c r="AD786">
        <v>-1.12070145825399</v>
      </c>
      <c r="AE786">
        <v>-12.237</v>
      </c>
      <c r="AF786">
        <v>11.037766325494101</v>
      </c>
      <c r="AG786">
        <v>-1.12070145825399</v>
      </c>
      <c r="AH786">
        <v>57.802045920386199</v>
      </c>
      <c r="AI786">
        <v>91.0910371676446</v>
      </c>
      <c r="AJ786">
        <v>79.189062241699503</v>
      </c>
      <c r="AK786">
        <v>58.857155638012102</v>
      </c>
      <c r="AL786">
        <v>78.001445534990907</v>
      </c>
      <c r="AM786">
        <v>78.751244745378699</v>
      </c>
      <c r="AN786">
        <v>0.99999993877314297</v>
      </c>
    </row>
    <row r="787" spans="1:40" x14ac:dyDescent="0.25">
      <c r="A787" t="str">
        <f>"20190303170733480"</f>
        <v>20190303170733480</v>
      </c>
      <c r="B787" t="str">
        <f>"1551604053473445"</f>
        <v>1551604053473445</v>
      </c>
      <c r="C787" t="s">
        <v>40</v>
      </c>
      <c r="D787">
        <v>4.9797900000000004</v>
      </c>
      <c r="E787">
        <v>0.50451080000000004</v>
      </c>
      <c r="F787" t="s">
        <v>48</v>
      </c>
      <c r="G787">
        <v>-183.869</v>
      </c>
      <c r="H787" s="1">
        <v>-4.1920200000000004E-6</v>
      </c>
      <c r="I787">
        <v>355.8535</v>
      </c>
      <c r="J787">
        <v>-237.80260000000001</v>
      </c>
      <c r="K787">
        <v>1.12069</v>
      </c>
      <c r="L787">
        <v>367.42840000000001</v>
      </c>
      <c r="M787">
        <v>0.99966469999999996</v>
      </c>
      <c r="N787">
        <v>-1.422672E-2</v>
      </c>
      <c r="O787">
        <v>-2.1637590000000002E-2</v>
      </c>
      <c r="P787">
        <v>0.95817319999999995</v>
      </c>
      <c r="Q787">
        <v>0.1937596</v>
      </c>
      <c r="R787">
        <v>-0.21062130000000001</v>
      </c>
      <c r="S787">
        <v>3.003082</v>
      </c>
      <c r="T787">
        <v>-6.2045690000000001E-2</v>
      </c>
      <c r="U787">
        <v>-0.64123540000000001</v>
      </c>
      <c r="V787">
        <v>0.19020310000000001</v>
      </c>
      <c r="W787">
        <v>0.2070978</v>
      </c>
      <c r="X787">
        <v>0.95965270000000003</v>
      </c>
      <c r="Y787">
        <v>0.1875415</v>
      </c>
      <c r="Z787">
        <v>-3.1276609999999999E-3</v>
      </c>
      <c r="AA787">
        <v>0.98225169999999995</v>
      </c>
      <c r="AB787">
        <v>30</v>
      </c>
      <c r="AC787">
        <v>53.933599999999899</v>
      </c>
      <c r="AD787">
        <v>-1.12069419202</v>
      </c>
      <c r="AE787">
        <v>-11.5749</v>
      </c>
      <c r="AF787">
        <v>10.4007853069107</v>
      </c>
      <c r="AG787">
        <v>-1.12069419202</v>
      </c>
      <c r="AH787">
        <v>54.149098121762201</v>
      </c>
      <c r="AI787">
        <v>91.164371746863296</v>
      </c>
      <c r="AJ787">
        <v>79.127231037295402</v>
      </c>
      <c r="AK787">
        <v>55.150313851080803</v>
      </c>
      <c r="AL787">
        <v>78.047670234418206</v>
      </c>
      <c r="AM787">
        <v>78.789271279752199</v>
      </c>
      <c r="AN787">
        <v>1.00000001131587</v>
      </c>
    </row>
    <row r="788" spans="1:40" x14ac:dyDescent="0.25">
      <c r="A788" t="str">
        <f>"20190303170733501"</f>
        <v>20190303170733501</v>
      </c>
      <c r="B788" t="str">
        <f>"1551604053492965"</f>
        <v>1551604053492965</v>
      </c>
      <c r="C788" t="s">
        <v>40</v>
      </c>
      <c r="D788">
        <v>5.0379440000000004</v>
      </c>
      <c r="E788">
        <v>0.50474049999999904</v>
      </c>
      <c r="F788" t="s">
        <v>48</v>
      </c>
      <c r="G788">
        <v>-185.89580000000001</v>
      </c>
      <c r="H788" s="1">
        <v>-4.0363260000000001E-6</v>
      </c>
      <c r="I788">
        <v>356.27050000000003</v>
      </c>
      <c r="J788">
        <v>-237.51820000000001</v>
      </c>
      <c r="K788">
        <v>1.1206910000000001</v>
      </c>
      <c r="L788">
        <v>367.42129999999997</v>
      </c>
      <c r="M788">
        <v>0.99964600000000003</v>
      </c>
      <c r="N788">
        <v>-1.422375E-2</v>
      </c>
      <c r="O788">
        <v>-2.2490670000000001E-2</v>
      </c>
      <c r="P788">
        <v>0.95810110000000004</v>
      </c>
      <c r="Q788">
        <v>0.19406219999999999</v>
      </c>
      <c r="R788">
        <v>-0.21067230000000001</v>
      </c>
      <c r="S788">
        <v>3.0021969999999998</v>
      </c>
      <c r="T788">
        <v>-6.4818979999999998E-2</v>
      </c>
      <c r="U788">
        <v>-0.64535520000000002</v>
      </c>
      <c r="V788">
        <v>0.18943380000000001</v>
      </c>
      <c r="W788">
        <v>0.207401</v>
      </c>
      <c r="X788">
        <v>0.95973940000000002</v>
      </c>
      <c r="Y788">
        <v>0.1880464</v>
      </c>
      <c r="Z788">
        <v>-3.196422E-3</v>
      </c>
      <c r="AA788">
        <v>0.982155</v>
      </c>
      <c r="AB788">
        <v>30</v>
      </c>
      <c r="AC788">
        <v>51.622399999999999</v>
      </c>
      <c r="AD788">
        <v>-1.120695036326</v>
      </c>
      <c r="AE788">
        <v>-11.150799999999901</v>
      </c>
      <c r="AF788">
        <v>9.9823442374443498</v>
      </c>
      <c r="AG788">
        <v>-1.120695036326</v>
      </c>
      <c r="AH788">
        <v>51.836812274841698</v>
      </c>
      <c r="AI788">
        <v>91.216184769188303</v>
      </c>
      <c r="AJ788">
        <v>79.099842711824195</v>
      </c>
      <c r="AK788">
        <v>52.801119880703901</v>
      </c>
      <c r="AL788">
        <v>78.029912801391902</v>
      </c>
      <c r="AM788">
        <v>78.834456149898202</v>
      </c>
      <c r="AN788">
        <v>1.00000002764789</v>
      </c>
    </row>
    <row r="789" spans="1:40" x14ac:dyDescent="0.25">
      <c r="A789" t="str">
        <f>"20190303170733523"</f>
        <v>20190303170733523</v>
      </c>
      <c r="B789" t="str">
        <f>"1551604053512991"</f>
        <v>1551604053512991</v>
      </c>
      <c r="C789" t="s">
        <v>40</v>
      </c>
      <c r="D789">
        <v>4.978955</v>
      </c>
      <c r="E789">
        <v>0.50488290000000002</v>
      </c>
      <c r="F789" t="s">
        <v>48</v>
      </c>
      <c r="G789">
        <v>-185.63030000000001</v>
      </c>
      <c r="H789" s="1">
        <v>-4.0614069999999998E-6</v>
      </c>
      <c r="I789">
        <v>356.23129999999998</v>
      </c>
      <c r="J789">
        <v>-237.23400000000001</v>
      </c>
      <c r="K789">
        <v>1.1206959999999999</v>
      </c>
      <c r="L789">
        <v>367.41399999999999</v>
      </c>
      <c r="M789">
        <v>0.99962649999999997</v>
      </c>
      <c r="N789">
        <v>-1.422084E-2</v>
      </c>
      <c r="O789">
        <v>-2.334292E-2</v>
      </c>
      <c r="P789">
        <v>0.95795589999999997</v>
      </c>
      <c r="Q789">
        <v>0.19455069999999999</v>
      </c>
      <c r="R789">
        <v>-0.21088180000000001</v>
      </c>
      <c r="S789">
        <v>3.0019840000000002</v>
      </c>
      <c r="T789">
        <v>-6.4838049999999994E-2</v>
      </c>
      <c r="U789">
        <v>-0.64739990000000003</v>
      </c>
      <c r="V789">
        <v>0.18882589999999999</v>
      </c>
      <c r="W789">
        <v>0.20788889999999999</v>
      </c>
      <c r="X789">
        <v>0.95975359999999998</v>
      </c>
      <c r="Y789">
        <v>0.1878629</v>
      </c>
      <c r="Z789">
        <v>-3.187151E-3</v>
      </c>
      <c r="AA789">
        <v>0.98219009999999995</v>
      </c>
      <c r="AB789">
        <v>29</v>
      </c>
      <c r="AC789">
        <v>51.603700000000003</v>
      </c>
      <c r="AD789">
        <v>-1.120700061407</v>
      </c>
      <c r="AE789">
        <v>-11.182700000000001</v>
      </c>
      <c r="AF789">
        <v>9.9704579756044396</v>
      </c>
      <c r="AG789">
        <v>-1.120700061407</v>
      </c>
      <c r="AH789">
        <v>51.827351464965098</v>
      </c>
      <c r="AI789">
        <v>91.216455992311694</v>
      </c>
      <c r="AJ789">
        <v>79.110571529542099</v>
      </c>
      <c r="AK789">
        <v>52.789585722412603</v>
      </c>
      <c r="AL789">
        <v>78.001334913842797</v>
      </c>
      <c r="AM789">
        <v>78.869551276748595</v>
      </c>
      <c r="AN789">
        <v>0.99999999398348904</v>
      </c>
    </row>
    <row r="790" spans="1:40" x14ac:dyDescent="0.25">
      <c r="A790" t="str">
        <f>"20190303170733546"</f>
        <v>20190303170733546</v>
      </c>
      <c r="B790" t="str">
        <f>"1551604053533488"</f>
        <v>1551604053533488</v>
      </c>
      <c r="C790" t="s">
        <v>40</v>
      </c>
      <c r="D790">
        <v>4.9781690000000003</v>
      </c>
      <c r="E790">
        <v>0.50506110000000004</v>
      </c>
      <c r="F790" t="s">
        <v>48</v>
      </c>
      <c r="G790">
        <v>-183.69390000000001</v>
      </c>
      <c r="H790" s="1">
        <v>-4.2114449999999998E-6</v>
      </c>
      <c r="I790">
        <v>355.8372</v>
      </c>
      <c r="J790">
        <v>-236.9384</v>
      </c>
      <c r="K790">
        <v>1.1207039999999999</v>
      </c>
      <c r="L790">
        <v>367.40609999999998</v>
      </c>
      <c r="M790">
        <v>0.99960550000000004</v>
      </c>
      <c r="N790">
        <v>-1.4217820000000001E-2</v>
      </c>
      <c r="O790">
        <v>-2.4227450000000001E-2</v>
      </c>
      <c r="P790">
        <v>0.95789669999999905</v>
      </c>
      <c r="Q790">
        <v>0.1945443</v>
      </c>
      <c r="R790">
        <v>-0.21115600000000001</v>
      </c>
      <c r="S790">
        <v>3.0015559999999999</v>
      </c>
      <c r="T790">
        <v>-6.2828540000000002E-2</v>
      </c>
      <c r="U790">
        <v>-0.64901730000000002</v>
      </c>
      <c r="V790">
        <v>0.18824830000000001</v>
      </c>
      <c r="W790">
        <v>0.20788380000000001</v>
      </c>
      <c r="X790">
        <v>0.95986819999999895</v>
      </c>
      <c r="Y790">
        <v>0.1875317</v>
      </c>
      <c r="Z790">
        <v>-3.1286249999999999E-3</v>
      </c>
      <c r="AA790">
        <v>0.98225359999999995</v>
      </c>
      <c r="AB790">
        <v>29</v>
      </c>
      <c r="AC790">
        <v>53.244499999999903</v>
      </c>
      <c r="AD790">
        <v>-1.120708211445</v>
      </c>
      <c r="AE790">
        <v>-11.5688999999999</v>
      </c>
      <c r="AF790">
        <v>10.271049564121499</v>
      </c>
      <c r="AG790">
        <v>-1.120708211445</v>
      </c>
      <c r="AH790">
        <v>53.486553335348297</v>
      </c>
      <c r="AI790">
        <v>91.178815771717495</v>
      </c>
      <c r="AJ790">
        <v>79.129789295006603</v>
      </c>
      <c r="AK790">
        <v>54.475332341702099</v>
      </c>
      <c r="AL790">
        <v>78.001634075949099</v>
      </c>
      <c r="AM790">
        <v>78.904043912253002</v>
      </c>
      <c r="AN790">
        <v>1.00000002906328</v>
      </c>
    </row>
    <row r="791" spans="1:40" x14ac:dyDescent="0.25">
      <c r="A791" t="str">
        <f>"20190303170733570"</f>
        <v>20190303170733570</v>
      </c>
      <c r="B791" t="str">
        <f>"1551604053562768"</f>
        <v>1551604053562768</v>
      </c>
      <c r="C791" t="s">
        <v>40</v>
      </c>
      <c r="D791">
        <v>5.093928</v>
      </c>
      <c r="E791">
        <v>0.50535370000000002</v>
      </c>
      <c r="F791" t="s">
        <v>48</v>
      </c>
      <c r="G791">
        <v>-183.3407</v>
      </c>
      <c r="H791" s="1">
        <v>-4.2421149999999998E-6</v>
      </c>
      <c r="I791">
        <v>355.77620000000002</v>
      </c>
      <c r="J791">
        <v>-236.62190000000001</v>
      </c>
      <c r="K791">
        <v>1.1207180000000001</v>
      </c>
      <c r="L791">
        <v>367.39729999999997</v>
      </c>
      <c r="M791">
        <v>0.99958230000000003</v>
      </c>
      <c r="N791">
        <v>-1.4214650000000001E-2</v>
      </c>
      <c r="O791">
        <v>-2.5165420000000001E-2</v>
      </c>
      <c r="P791">
        <v>0.95801820000000004</v>
      </c>
      <c r="Q791">
        <v>0.19381109999999999</v>
      </c>
      <c r="R791">
        <v>-0.21127870000000001</v>
      </c>
      <c r="S791">
        <v>3.0010530000000002</v>
      </c>
      <c r="T791">
        <v>-6.2750819999999999E-2</v>
      </c>
      <c r="U791">
        <v>-0.65118409999999904</v>
      </c>
      <c r="V791">
        <v>0.18745970000000001</v>
      </c>
      <c r="W791">
        <v>0.20715610000000001</v>
      </c>
      <c r="X791">
        <v>0.96017980000000003</v>
      </c>
      <c r="Y791">
        <v>0.18732170000000001</v>
      </c>
      <c r="Z791">
        <v>-3.1168379999999998E-3</v>
      </c>
      <c r="AA791">
        <v>0.98229370000000005</v>
      </c>
      <c r="AB791">
        <v>29</v>
      </c>
      <c r="AC791">
        <v>53.281199999999998</v>
      </c>
      <c r="AD791">
        <v>-1.120722242115</v>
      </c>
      <c r="AE791">
        <v>-11.621099999999901</v>
      </c>
      <c r="AF791">
        <v>10.272101348566199</v>
      </c>
      <c r="AG791">
        <v>-1.120722242115</v>
      </c>
      <c r="AH791">
        <v>53.534192123905797</v>
      </c>
      <c r="AI791">
        <v>91.177814776171303</v>
      </c>
      <c r="AJ791">
        <v>79.1381465621552</v>
      </c>
      <c r="AK791">
        <v>54.522305626398897</v>
      </c>
      <c r="AL791">
        <v>78.044255934833899</v>
      </c>
      <c r="AM791">
        <v>78.952877962083505</v>
      </c>
      <c r="AN791">
        <v>1.00000001860966</v>
      </c>
    </row>
    <row r="792" spans="1:40" x14ac:dyDescent="0.25">
      <c r="A792" t="str">
        <f>"20190303170733592"</f>
        <v>20190303170733592</v>
      </c>
      <c r="B792" t="str">
        <f>"1551604053583263"</f>
        <v>1551604053583263</v>
      </c>
      <c r="C792" t="s">
        <v>40</v>
      </c>
      <c r="D792">
        <v>4.9808949999999896</v>
      </c>
      <c r="E792">
        <v>0.5055248</v>
      </c>
      <c r="F792" t="s">
        <v>48</v>
      </c>
      <c r="G792">
        <v>-185.30510000000001</v>
      </c>
      <c r="H792" s="1">
        <v>-4.1030740000000003E-6</v>
      </c>
      <c r="I792">
        <v>356.21940000000001</v>
      </c>
      <c r="J792">
        <v>-236.33099999999999</v>
      </c>
      <c r="K792">
        <v>1.120727</v>
      </c>
      <c r="L792">
        <v>367.38909999999998</v>
      </c>
      <c r="M792">
        <v>0.99956089999999997</v>
      </c>
      <c r="N792">
        <v>-1.4211639999999999E-2</v>
      </c>
      <c r="O792">
        <v>-2.600442E-2</v>
      </c>
      <c r="P792">
        <v>0.9580649</v>
      </c>
      <c r="Q792">
        <v>0.19324479999999999</v>
      </c>
      <c r="R792">
        <v>-0.21158560000000001</v>
      </c>
      <c r="S792">
        <v>3.0005799999999998</v>
      </c>
      <c r="T792">
        <v>-6.5530420000000006E-2</v>
      </c>
      <c r="U792">
        <v>-0.65359500000000004</v>
      </c>
      <c r="V792">
        <v>0.18694849999999999</v>
      </c>
      <c r="W792">
        <v>0.2065977</v>
      </c>
      <c r="X792">
        <v>0.96039969999999997</v>
      </c>
      <c r="Y792">
        <v>0.18727830000000001</v>
      </c>
      <c r="Z792">
        <v>-3.172336E-3</v>
      </c>
      <c r="AA792">
        <v>0.9823018</v>
      </c>
      <c r="AB792">
        <v>29</v>
      </c>
      <c r="AC792">
        <v>51.025899999999901</v>
      </c>
      <c r="AD792">
        <v>-1.1207311030739999</v>
      </c>
      <c r="AE792">
        <v>-11.169699999999899</v>
      </c>
      <c r="AF792">
        <v>9.8343618225687095</v>
      </c>
      <c r="AG792">
        <v>-1.1207311030739999</v>
      </c>
      <c r="AH792">
        <v>51.275526849005203</v>
      </c>
      <c r="AI792">
        <v>91.2297104339047</v>
      </c>
      <c r="AJ792">
        <v>79.142833142848403</v>
      </c>
      <c r="AK792">
        <v>52.222125237351797</v>
      </c>
      <c r="AL792">
        <v>78.076956709876796</v>
      </c>
      <c r="AM792">
        <v>78.984726161186401</v>
      </c>
      <c r="AN792">
        <v>0.99999996752881404</v>
      </c>
    </row>
    <row r="793" spans="1:40" x14ac:dyDescent="0.25">
      <c r="A793" t="str">
        <f>"20190303170733614"</f>
        <v>20190303170733614</v>
      </c>
      <c r="B793" t="str">
        <f>"1551604053603290"</f>
        <v>1551604053603290</v>
      </c>
      <c r="C793" t="s">
        <v>40</v>
      </c>
      <c r="D793">
        <v>5.0381519999999904</v>
      </c>
      <c r="E793">
        <v>0.50575700000000001</v>
      </c>
      <c r="F793" t="s">
        <v>48</v>
      </c>
      <c r="G793">
        <v>-186.57939999999999</v>
      </c>
      <c r="H793" s="1">
        <v>-4.0426549999999997E-6</v>
      </c>
      <c r="I793">
        <v>356.50229999999999</v>
      </c>
      <c r="J793">
        <v>-236.05199999999999</v>
      </c>
      <c r="K793">
        <v>1.120744</v>
      </c>
      <c r="L793">
        <v>367.3809</v>
      </c>
      <c r="M793">
        <v>0.99954030000000005</v>
      </c>
      <c r="N793">
        <v>-1.420855E-2</v>
      </c>
      <c r="O793">
        <v>-2.678672E-2</v>
      </c>
      <c r="P793">
        <v>0.95795379999999997</v>
      </c>
      <c r="Q793">
        <v>0.1933597</v>
      </c>
      <c r="R793">
        <v>-0.21198230000000001</v>
      </c>
      <c r="S793">
        <v>2.9999690000000001</v>
      </c>
      <c r="T793">
        <v>-6.7579029999999998E-2</v>
      </c>
      <c r="U793">
        <v>-0.65646359999999904</v>
      </c>
      <c r="V793">
        <v>0.1865848</v>
      </c>
      <c r="W793">
        <v>0.2067195</v>
      </c>
      <c r="X793">
        <v>0.96044430000000003</v>
      </c>
      <c r="Y793">
        <v>0.1874441</v>
      </c>
      <c r="Z793">
        <v>-3.2145239999999999E-3</v>
      </c>
      <c r="AA793">
        <v>0.98226999999999998</v>
      </c>
      <c r="AB793">
        <v>29</v>
      </c>
      <c r="AC793">
        <v>49.4726</v>
      </c>
      <c r="AD793">
        <v>-1.1207480426549901</v>
      </c>
      <c r="AE793">
        <v>-10.8786</v>
      </c>
      <c r="AF793">
        <v>9.54468092767803</v>
      </c>
      <c r="AG793">
        <v>-1.1207480426549901</v>
      </c>
      <c r="AH793">
        <v>49.721935258154303</v>
      </c>
      <c r="AI793">
        <v>91.268101163375405</v>
      </c>
      <c r="AJ793">
        <v>79.133620303796903</v>
      </c>
      <c r="AK793">
        <v>50.642154930476501</v>
      </c>
      <c r="AL793">
        <v>78.069825067164501</v>
      </c>
      <c r="AM793">
        <v>79.006131320005906</v>
      </c>
      <c r="AN793">
        <v>1.0000000463368801</v>
      </c>
    </row>
    <row r="794" spans="1:40" x14ac:dyDescent="0.25">
      <c r="A794" t="str">
        <f>"20190303170733636"</f>
        <v>20190303170733636</v>
      </c>
      <c r="B794" t="str">
        <f>"1551604053622812"</f>
        <v>1551604053622812</v>
      </c>
      <c r="C794" t="s">
        <v>40</v>
      </c>
      <c r="D794">
        <v>5.0952099999999998</v>
      </c>
      <c r="E794">
        <v>0.50601989999999997</v>
      </c>
      <c r="F794" t="s">
        <v>48</v>
      </c>
      <c r="G794">
        <v>-186.59309999999999</v>
      </c>
      <c r="H794" s="1">
        <v>-4.0433209999999998E-6</v>
      </c>
      <c r="I794">
        <v>356.50540000000001</v>
      </c>
      <c r="J794">
        <v>-235.7569</v>
      </c>
      <c r="K794">
        <v>1.1207769999999999</v>
      </c>
      <c r="L794">
        <v>367.37220000000002</v>
      </c>
      <c r="M794">
        <v>0.99951880000000004</v>
      </c>
      <c r="N794">
        <v>-1.420533E-2</v>
      </c>
      <c r="O794">
        <v>-2.757633E-2</v>
      </c>
      <c r="P794">
        <v>0.95765449999999996</v>
      </c>
      <c r="Q794">
        <v>0.19416630000000001</v>
      </c>
      <c r="R794">
        <v>-0.21259729999999999</v>
      </c>
      <c r="S794">
        <v>2.9994350000000001</v>
      </c>
      <c r="T794">
        <v>-6.7967769999999997E-2</v>
      </c>
      <c r="U794">
        <v>-0.65954590000000002</v>
      </c>
      <c r="V794">
        <v>0.1864333</v>
      </c>
      <c r="W794">
        <v>0.20753440000000001</v>
      </c>
      <c r="X794">
        <v>0.96029790000000004</v>
      </c>
      <c r="Y794">
        <v>0.187667</v>
      </c>
      <c r="Z794">
        <v>-3.220466E-3</v>
      </c>
      <c r="AA794">
        <v>0.98222739999999997</v>
      </c>
      <c r="AB794">
        <v>29</v>
      </c>
      <c r="AC794">
        <v>49.163800000000002</v>
      </c>
      <c r="AD794">
        <v>-1.1207810433209999</v>
      </c>
      <c r="AE794">
        <v>-10.8668</v>
      </c>
      <c r="AF794">
        <v>9.5020644185123597</v>
      </c>
      <c r="AG794">
        <v>-1.1207810433209999</v>
      </c>
      <c r="AH794">
        <v>49.420308681448702</v>
      </c>
      <c r="AI794">
        <v>91.275802677860597</v>
      </c>
      <c r="AJ794">
        <v>79.116531325385694</v>
      </c>
      <c r="AK794">
        <v>50.337980576601403</v>
      </c>
      <c r="AL794">
        <v>78.022098959129494</v>
      </c>
      <c r="AM794">
        <v>79.013206729810307</v>
      </c>
      <c r="AN794">
        <v>0.99999997963832898</v>
      </c>
    </row>
    <row r="795" spans="1:40" x14ac:dyDescent="0.25">
      <c r="A795" t="str">
        <f>"20190303170733670"</f>
        <v>20190303170733670</v>
      </c>
      <c r="B795" t="str">
        <f>"1551604053662826"</f>
        <v>1551604053662826</v>
      </c>
      <c r="C795" t="s">
        <v>40</v>
      </c>
      <c r="D795">
        <v>4.8390930000000001</v>
      </c>
      <c r="E795">
        <v>0.51050320000000005</v>
      </c>
      <c r="F795" t="s">
        <v>48</v>
      </c>
      <c r="G795">
        <v>-185.0727</v>
      </c>
      <c r="H795" s="1">
        <v>-4.117546E-6</v>
      </c>
      <c r="I795">
        <v>356.16039999999998</v>
      </c>
      <c r="J795">
        <v>-235.31460000000001</v>
      </c>
      <c r="K795">
        <v>1.1208400000000001</v>
      </c>
      <c r="L795">
        <v>367.35860000000002</v>
      </c>
      <c r="M795">
        <v>0.99948870000000001</v>
      </c>
      <c r="N795">
        <v>-1.4200229999999999E-2</v>
      </c>
      <c r="O795">
        <v>-2.8655429999999999E-2</v>
      </c>
      <c r="P795">
        <v>0.95771079999999997</v>
      </c>
      <c r="Q795">
        <v>0.19363089999999999</v>
      </c>
      <c r="R795">
        <v>-0.21283299999999999</v>
      </c>
      <c r="S795">
        <v>2.9988100000000002</v>
      </c>
      <c r="T795">
        <v>-6.6312789999999996E-2</v>
      </c>
      <c r="U795">
        <v>-0.66336059999999997</v>
      </c>
      <c r="V795">
        <v>0.1855945</v>
      </c>
      <c r="W795">
        <v>0.2070273</v>
      </c>
      <c r="X795">
        <v>0.96056980000000003</v>
      </c>
      <c r="Y795">
        <v>0.18784380000000001</v>
      </c>
      <c r="Z795">
        <v>-3.1787809999999999E-3</v>
      </c>
      <c r="AA795">
        <v>0.98219380000000001</v>
      </c>
      <c r="AB795">
        <v>29</v>
      </c>
      <c r="AC795">
        <v>50.241900000000001</v>
      </c>
      <c r="AD795">
        <v>-1.120844117546</v>
      </c>
      <c r="AE795">
        <v>-11.1982</v>
      </c>
      <c r="AF795">
        <v>9.7491300066783992</v>
      </c>
      <c r="AG795">
        <v>-1.120844117546</v>
      </c>
      <c r="AH795">
        <v>50.5182330027327</v>
      </c>
      <c r="AI795">
        <v>91.247989461684398</v>
      </c>
      <c r="AJ795">
        <v>79.077198208423596</v>
      </c>
      <c r="AK795">
        <v>51.462546508517697</v>
      </c>
      <c r="AL795">
        <v>78.051798700849702</v>
      </c>
      <c r="AM795">
        <v>79.064465097177802</v>
      </c>
      <c r="AN795">
        <v>0.99999998102378895</v>
      </c>
    </row>
    <row r="796" spans="1:40" x14ac:dyDescent="0.25">
      <c r="A796" t="str">
        <f>"20190303170733692"</f>
        <v>20190303170733692</v>
      </c>
      <c r="B796" t="str">
        <f>"1551604053683323"</f>
        <v>1551604053683323</v>
      </c>
      <c r="C796" t="s">
        <v>40</v>
      </c>
      <c r="D796">
        <v>4.855899</v>
      </c>
      <c r="E796">
        <v>0.51007579999999997</v>
      </c>
      <c r="F796" t="s">
        <v>48</v>
      </c>
      <c r="G796">
        <v>-193.24959999999999</v>
      </c>
      <c r="H796" s="1">
        <v>-5.0488369999999901E-6</v>
      </c>
      <c r="I796">
        <v>357.54169999999999</v>
      </c>
      <c r="J796">
        <v>-235.03280000000001</v>
      </c>
      <c r="K796">
        <v>1.120889</v>
      </c>
      <c r="L796">
        <v>367.34989999999999</v>
      </c>
      <c r="M796">
        <v>0.99947140000000001</v>
      </c>
      <c r="N796">
        <v>-1.419685E-2</v>
      </c>
      <c r="O796">
        <v>-2.924703E-2</v>
      </c>
      <c r="P796">
        <v>0.95794710000000005</v>
      </c>
      <c r="Q796">
        <v>0.19283359999999999</v>
      </c>
      <c r="R796">
        <v>-0.21249090000000001</v>
      </c>
      <c r="S796">
        <v>2.993347</v>
      </c>
      <c r="T796">
        <v>-7.9759479999999994E-2</v>
      </c>
      <c r="U796">
        <v>-0.69857789999999997</v>
      </c>
      <c r="V796">
        <v>0.1846468</v>
      </c>
      <c r="W796">
        <v>0.206258</v>
      </c>
      <c r="X796">
        <v>0.96091789999999999</v>
      </c>
      <c r="Y796">
        <v>0.19858600000000001</v>
      </c>
      <c r="Z796">
        <v>-3.680965E-3</v>
      </c>
      <c r="AA796">
        <v>0.98007659999999996</v>
      </c>
      <c r="AB796">
        <v>29</v>
      </c>
      <c r="AC796">
        <v>41.783200000000001</v>
      </c>
      <c r="AD796">
        <v>-1.1208940488370001</v>
      </c>
      <c r="AE796">
        <v>-9.8081999999999994</v>
      </c>
      <c r="AF796">
        <v>8.5759962269507</v>
      </c>
      <c r="AG796">
        <v>-1.1208940488370001</v>
      </c>
      <c r="AH796">
        <v>42.023548634052702</v>
      </c>
      <c r="AI796">
        <v>91.497046683173807</v>
      </c>
      <c r="AJ796">
        <v>78.465691112557806</v>
      </c>
      <c r="AK796">
        <v>42.904344238689603</v>
      </c>
      <c r="AL796">
        <v>78.096848996075295</v>
      </c>
      <c r="AM796">
        <v>79.122816595956195</v>
      </c>
      <c r="AN796">
        <v>1.0000000069273201</v>
      </c>
    </row>
    <row r="797" spans="1:40" x14ac:dyDescent="0.25">
      <c r="A797" t="str">
        <f>"20190303170733713"</f>
        <v>20190303170733713</v>
      </c>
      <c r="B797" t="str">
        <f>"1551604053703349"</f>
        <v>1551604053703349</v>
      </c>
      <c r="C797" t="s">
        <v>40</v>
      </c>
      <c r="D797">
        <v>5.03254</v>
      </c>
      <c r="E797">
        <v>0.5098743</v>
      </c>
      <c r="F797" t="s">
        <v>48</v>
      </c>
      <c r="G797">
        <v>-193.95179999999999</v>
      </c>
      <c r="H797" s="1">
        <v>-5.3096E-6</v>
      </c>
      <c r="I797">
        <v>357.82330000000002</v>
      </c>
      <c r="J797">
        <v>-234.75059999999999</v>
      </c>
      <c r="K797">
        <v>1.1209450000000001</v>
      </c>
      <c r="L797">
        <v>367.34100000000001</v>
      </c>
      <c r="M797">
        <v>0.99945589999999995</v>
      </c>
      <c r="N797">
        <v>-1.419348E-2</v>
      </c>
      <c r="O797">
        <v>-2.9773279999999999E-2</v>
      </c>
      <c r="P797">
        <v>0.95806939999999996</v>
      </c>
      <c r="Q797">
        <v>0.19244240000000001</v>
      </c>
      <c r="R797">
        <v>-0.21229429999999999</v>
      </c>
      <c r="S797">
        <v>2.9941409999999999</v>
      </c>
      <c r="T797">
        <v>-8.1695080000000003E-2</v>
      </c>
      <c r="U797">
        <v>-0.69433590000000001</v>
      </c>
      <c r="V797">
        <v>0.18390980000000001</v>
      </c>
      <c r="W797">
        <v>0.2058931</v>
      </c>
      <c r="X797">
        <v>0.96113740000000003</v>
      </c>
      <c r="Y797">
        <v>0.19669200000000001</v>
      </c>
      <c r="Z797">
        <v>-3.6790009999999999E-3</v>
      </c>
      <c r="AA797">
        <v>0.98045839999999995</v>
      </c>
      <c r="AB797">
        <v>29</v>
      </c>
      <c r="AC797">
        <v>40.7988</v>
      </c>
      <c r="AD797">
        <v>-1.1209503096</v>
      </c>
      <c r="AE797">
        <v>-9.5176999999999907</v>
      </c>
      <c r="AF797">
        <v>8.2927063659478293</v>
      </c>
      <c r="AG797">
        <v>-1.1209503096</v>
      </c>
      <c r="AH797">
        <v>41.034733492623197</v>
      </c>
      <c r="AI797">
        <v>91.533774675047496</v>
      </c>
      <c r="AJ797">
        <v>78.5749753852661</v>
      </c>
      <c r="AK797">
        <v>41.879289168741103</v>
      </c>
      <c r="AL797">
        <v>78.118214042633895</v>
      </c>
      <c r="AM797">
        <v>79.167618060386502</v>
      </c>
      <c r="AN797">
        <v>0.99999994242120305</v>
      </c>
    </row>
    <row r="798" spans="1:40" x14ac:dyDescent="0.25">
      <c r="A798" t="str">
        <f>"20190303170733735"</f>
        <v>20190303170733735</v>
      </c>
      <c r="B798" t="str">
        <f>"1551604053722869"</f>
        <v>1551604053722869</v>
      </c>
      <c r="C798" t="s">
        <v>40</v>
      </c>
      <c r="D798">
        <v>4.8626300000000002</v>
      </c>
      <c r="E798">
        <v>0.50988440000000002</v>
      </c>
      <c r="F798" t="s">
        <v>48</v>
      </c>
      <c r="G798">
        <v>-194.95650000000001</v>
      </c>
      <c r="H798" s="1">
        <v>-5.5734139999999998E-6</v>
      </c>
      <c r="I798">
        <v>358.14260000000002</v>
      </c>
      <c r="J798">
        <v>-234.459</v>
      </c>
      <c r="K798">
        <v>1.1210070000000001</v>
      </c>
      <c r="L798">
        <v>367.33170000000001</v>
      </c>
      <c r="M798">
        <v>0.99944219999999895</v>
      </c>
      <c r="N798">
        <v>-1.4190009999999999E-2</v>
      </c>
      <c r="O798">
        <v>-3.023437E-2</v>
      </c>
      <c r="P798">
        <v>0.95808579999999999</v>
      </c>
      <c r="Q798">
        <v>0.1926409</v>
      </c>
      <c r="R798">
        <v>-0.21204010000000001</v>
      </c>
      <c r="S798">
        <v>2.9948579999999998</v>
      </c>
      <c r="T798">
        <v>-8.4361430000000001E-2</v>
      </c>
      <c r="U798">
        <v>-0.69226069999999995</v>
      </c>
      <c r="V798">
        <v>0.1831796</v>
      </c>
      <c r="W798">
        <v>0.206118</v>
      </c>
      <c r="X798">
        <v>0.96122870000000005</v>
      </c>
      <c r="Y798">
        <v>0.1955383</v>
      </c>
      <c r="Z798">
        <v>-3.7077989999999999E-3</v>
      </c>
      <c r="AA798">
        <v>0.98068900000000003</v>
      </c>
      <c r="AB798">
        <v>29</v>
      </c>
      <c r="AC798">
        <v>39.502499999999998</v>
      </c>
      <c r="AD798">
        <v>-1.121012573414</v>
      </c>
      <c r="AE798">
        <v>-9.1890999999999892</v>
      </c>
      <c r="AF798">
        <v>7.98434496483726</v>
      </c>
      <c r="AG798">
        <v>-1.121012573414</v>
      </c>
      <c r="AH798">
        <v>39.731937272947</v>
      </c>
      <c r="AI798">
        <v>91.584477260119399</v>
      </c>
      <c r="AJ798">
        <v>78.637445523966306</v>
      </c>
      <c r="AK798">
        <v>40.541747288056897</v>
      </c>
      <c r="AL798">
        <v>78.105046524597</v>
      </c>
      <c r="AM798">
        <v>79.210616361669295</v>
      </c>
      <c r="AN798">
        <v>1.00000000474192</v>
      </c>
    </row>
    <row r="799" spans="1:40" x14ac:dyDescent="0.25">
      <c r="A799" t="str">
        <f>"20190303170733758"</f>
        <v>20190303170733758</v>
      </c>
      <c r="B799" t="str">
        <f>"1551604053753125"</f>
        <v>1551604053753125</v>
      </c>
      <c r="C799" t="s">
        <v>40</v>
      </c>
      <c r="D799">
        <v>4.9183300000000001</v>
      </c>
      <c r="E799">
        <v>0.51006189999999996</v>
      </c>
      <c r="F799" t="s">
        <v>48</v>
      </c>
      <c r="G799">
        <v>-193.81909999999999</v>
      </c>
      <c r="H799" s="1">
        <v>-5.3303420000000003E-6</v>
      </c>
      <c r="I799">
        <v>357.94709999999998</v>
      </c>
      <c r="J799">
        <v>-234.1601</v>
      </c>
      <c r="K799">
        <v>1.1210770000000001</v>
      </c>
      <c r="L799">
        <v>367.32220000000001</v>
      </c>
      <c r="M799">
        <v>0.99943040000000005</v>
      </c>
      <c r="N799">
        <v>-1.4186499999999999E-2</v>
      </c>
      <c r="O799">
        <v>-3.0622369999999999E-2</v>
      </c>
      <c r="P799">
        <v>0.95801530000000001</v>
      </c>
      <c r="Q799">
        <v>0.19326209999999999</v>
      </c>
      <c r="R799">
        <v>-0.21179400000000001</v>
      </c>
      <c r="S799">
        <v>2.9947970000000002</v>
      </c>
      <c r="T799">
        <v>-8.2608580000000001E-2</v>
      </c>
      <c r="U799">
        <v>-0.69155880000000003</v>
      </c>
      <c r="V799">
        <v>0.18253</v>
      </c>
      <c r="W799">
        <v>0.2067647</v>
      </c>
      <c r="X799">
        <v>0.9612134</v>
      </c>
      <c r="Y799">
        <v>0.1949478</v>
      </c>
      <c r="Z799">
        <v>-3.6510079999999999E-3</v>
      </c>
      <c r="AA799">
        <v>0.98080679999999998</v>
      </c>
      <c r="AB799">
        <v>29</v>
      </c>
      <c r="AC799">
        <v>40.341000000000001</v>
      </c>
      <c r="AD799">
        <v>-1.1210823303419899</v>
      </c>
      <c r="AE799">
        <v>-9.37510000000003</v>
      </c>
      <c r="AF799">
        <v>8.1292846560299292</v>
      </c>
      <c r="AG799">
        <v>-1.1210823303419899</v>
      </c>
      <c r="AH799">
        <v>40.5794605781523</v>
      </c>
      <c r="AI799">
        <v>91.551684501124598</v>
      </c>
      <c r="AJ799">
        <v>78.671886499005495</v>
      </c>
      <c r="AK799">
        <v>41.400902350359303</v>
      </c>
      <c r="AL799">
        <v>78.067177807508003</v>
      </c>
      <c r="AM799">
        <v>79.247817524077604</v>
      </c>
      <c r="AN799">
        <v>1.0000000212028199</v>
      </c>
    </row>
    <row r="800" spans="1:40" x14ac:dyDescent="0.25">
      <c r="A800" t="str">
        <f>"20190303170733781"</f>
        <v>20190303170733781</v>
      </c>
      <c r="B800" t="str">
        <f>"1551604053772645"</f>
        <v>1551604053772645</v>
      </c>
      <c r="C800" t="s">
        <v>40</v>
      </c>
      <c r="D800">
        <v>4.8801649999999999</v>
      </c>
      <c r="E800">
        <v>0.51055200000000001</v>
      </c>
      <c r="F800" t="s">
        <v>48</v>
      </c>
      <c r="G800">
        <v>-193.0153</v>
      </c>
      <c r="H800" s="1">
        <v>-5.1236879999999901E-6</v>
      </c>
      <c r="I800">
        <v>357.81389999999999</v>
      </c>
      <c r="J800">
        <v>-233.86660000000001</v>
      </c>
      <c r="K800">
        <v>1.12114</v>
      </c>
      <c r="L800">
        <v>367.31279999999998</v>
      </c>
      <c r="M800">
        <v>0.9994208</v>
      </c>
      <c r="N800">
        <v>-1.4183009999999999E-2</v>
      </c>
      <c r="O800">
        <v>-3.093315E-2</v>
      </c>
      <c r="P800">
        <v>0.95811299999999999</v>
      </c>
      <c r="Q800">
        <v>0.1934119</v>
      </c>
      <c r="R800">
        <v>-0.2112145</v>
      </c>
      <c r="S800">
        <v>2.9949189999999999</v>
      </c>
      <c r="T800">
        <v>-8.1603289999999995E-2</v>
      </c>
      <c r="U800">
        <v>-0.69210819999999995</v>
      </c>
      <c r="V800">
        <v>0.1816198</v>
      </c>
      <c r="W800">
        <v>0.2069387</v>
      </c>
      <c r="X800">
        <v>0.96134839999999999</v>
      </c>
      <c r="Y800">
        <v>0.19480700000000001</v>
      </c>
      <c r="Z800">
        <v>-3.6214300000000001E-3</v>
      </c>
      <c r="AA800">
        <v>0.98083489999999995</v>
      </c>
      <c r="AB800">
        <v>29</v>
      </c>
      <c r="AC800">
        <v>40.851300000000002</v>
      </c>
      <c r="AD800">
        <v>-1.1211451236879999</v>
      </c>
      <c r="AE800">
        <v>-9.4988999999999901</v>
      </c>
      <c r="AF800">
        <v>8.2246898028120992</v>
      </c>
      <c r="AG800">
        <v>-1.1211451236879999</v>
      </c>
      <c r="AH800">
        <v>41.096241309511498</v>
      </c>
      <c r="AI800">
        <v>91.532325645714707</v>
      </c>
      <c r="AJ800">
        <v>78.682772983999001</v>
      </c>
      <c r="AK800">
        <v>41.926167705985897</v>
      </c>
      <c r="AL800">
        <v>78.056988450529701</v>
      </c>
      <c r="AM800">
        <v>79.301661096414193</v>
      </c>
      <c r="AN800">
        <v>1.00000006174614</v>
      </c>
    </row>
    <row r="801" spans="1:40" x14ac:dyDescent="0.25">
      <c r="A801" t="str">
        <f>"20190303170733802"</f>
        <v>20190303170733802</v>
      </c>
      <c r="B801" t="str">
        <f>"1551604053793141"</f>
        <v>1551604053793141</v>
      </c>
      <c r="C801" t="s">
        <v>40</v>
      </c>
      <c r="D801">
        <v>5.0940440000000002</v>
      </c>
      <c r="E801">
        <v>0.51105800000000001</v>
      </c>
      <c r="F801" t="s">
        <v>48</v>
      </c>
      <c r="G801">
        <v>-192.74979999999999</v>
      </c>
      <c r="H801" s="1">
        <v>-5.0509969999999997E-6</v>
      </c>
      <c r="I801">
        <v>357.7842</v>
      </c>
      <c r="J801">
        <v>-233.58869999999999</v>
      </c>
      <c r="K801">
        <v>1.1211789999999999</v>
      </c>
      <c r="L801">
        <v>367.3039</v>
      </c>
      <c r="M801">
        <v>0.99941329999999995</v>
      </c>
      <c r="N801">
        <v>-1.417974E-2</v>
      </c>
      <c r="O801">
        <v>-3.117897E-2</v>
      </c>
      <c r="P801">
        <v>0.95819739999999998</v>
      </c>
      <c r="Q801">
        <v>0.19340350000000001</v>
      </c>
      <c r="R801">
        <v>-0.2108392</v>
      </c>
      <c r="S801">
        <v>2.994675</v>
      </c>
      <c r="T801">
        <v>-8.1656809999999996E-2</v>
      </c>
      <c r="U801">
        <v>-0.69400019999999996</v>
      </c>
      <c r="V801">
        <v>0.180983</v>
      </c>
      <c r="W801">
        <v>0.20694850000000001</v>
      </c>
      <c r="X801">
        <v>0.9614663</v>
      </c>
      <c r="Y801">
        <v>0.19517119999999999</v>
      </c>
      <c r="Z801">
        <v>-3.6266319999999999E-3</v>
      </c>
      <c r="AA801">
        <v>0.98076249999999998</v>
      </c>
      <c r="AB801">
        <v>29</v>
      </c>
      <c r="AC801">
        <v>40.838900000000002</v>
      </c>
      <c r="AD801">
        <v>-1.1211840509969999</v>
      </c>
      <c r="AE801">
        <v>-9.5197000000000003</v>
      </c>
      <c r="AF801">
        <v>8.2357405095467193</v>
      </c>
      <c r="AG801">
        <v>-1.1211840509969999</v>
      </c>
      <c r="AH801">
        <v>41.086513669620302</v>
      </c>
      <c r="AI801">
        <v>91.532648134181898</v>
      </c>
      <c r="AJ801">
        <v>78.665346811268194</v>
      </c>
      <c r="AK801">
        <v>41.918803429257103</v>
      </c>
      <c r="AL801">
        <v>78.056413622120601</v>
      </c>
      <c r="AM801">
        <v>79.339587923388905</v>
      </c>
      <c r="AN801">
        <v>0.99999998698846904</v>
      </c>
    </row>
    <row r="802" spans="1:40" x14ac:dyDescent="0.25">
      <c r="A802" t="str">
        <f>"20190303170733826"</f>
        <v>20190303170733826</v>
      </c>
      <c r="B802" t="str">
        <f>"1551604053812661"</f>
        <v>1551604053812661</v>
      </c>
      <c r="C802" t="s">
        <v>40</v>
      </c>
      <c r="D802">
        <v>5.086055</v>
      </c>
      <c r="E802">
        <v>0.51153870000000001</v>
      </c>
      <c r="F802" t="s">
        <v>48</v>
      </c>
      <c r="G802">
        <v>-193.29509999999999</v>
      </c>
      <c r="H802" s="1">
        <v>-5.2325070000000003E-6</v>
      </c>
      <c r="I802">
        <v>357.91430000000003</v>
      </c>
      <c r="J802">
        <v>-233.2937</v>
      </c>
      <c r="K802">
        <v>1.12121</v>
      </c>
      <c r="L802">
        <v>367.2944</v>
      </c>
      <c r="M802">
        <v>0.99940629999999997</v>
      </c>
      <c r="N802">
        <v>-1.4176289999999999E-2</v>
      </c>
      <c r="O802">
        <v>-3.1406759999999999E-2</v>
      </c>
      <c r="P802">
        <v>0.95809469999999997</v>
      </c>
      <c r="Q802">
        <v>0.1934978</v>
      </c>
      <c r="R802">
        <v>-0.2112195</v>
      </c>
      <c r="S802">
        <v>2.9941559999999998</v>
      </c>
      <c r="T802">
        <v>-8.3313470000000001E-2</v>
      </c>
      <c r="U802">
        <v>-0.69772339999999999</v>
      </c>
      <c r="V802">
        <v>0.18113009999999999</v>
      </c>
      <c r="W802">
        <v>0.20705299999999999</v>
      </c>
      <c r="X802">
        <v>0.9614161</v>
      </c>
      <c r="Y802">
        <v>0.19613810000000001</v>
      </c>
      <c r="Z802">
        <v>-3.679814E-3</v>
      </c>
      <c r="AA802">
        <v>0.98056940000000004</v>
      </c>
      <c r="AB802">
        <v>29</v>
      </c>
      <c r="AC802">
        <v>39.998600000000003</v>
      </c>
      <c r="AD802">
        <v>-1.1212152325069999</v>
      </c>
      <c r="AE802">
        <v>-9.3800999999999704</v>
      </c>
      <c r="AF802">
        <v>8.1130766534925502</v>
      </c>
      <c r="AG802">
        <v>-1.1212152325069999</v>
      </c>
      <c r="AH802">
        <v>40.243519032360197</v>
      </c>
      <c r="AI802">
        <v>91.564433002065101</v>
      </c>
      <c r="AJ802">
        <v>78.601970318080305</v>
      </c>
      <c r="AK802">
        <v>41.068478916207702</v>
      </c>
      <c r="AL802">
        <v>78.050293667349194</v>
      </c>
      <c r="AM802">
        <v>79.330577856861296</v>
      </c>
      <c r="AN802">
        <v>0.99999998763710896</v>
      </c>
    </row>
    <row r="803" spans="1:40" x14ac:dyDescent="0.25">
      <c r="A803" t="str">
        <f>"20190303170733848"</f>
        <v>20190303170733848</v>
      </c>
      <c r="B803" t="str">
        <f>"1551604053842917"</f>
        <v>1551604053842917</v>
      </c>
      <c r="C803" t="s">
        <v>40</v>
      </c>
      <c r="D803">
        <v>4.9097720000000002</v>
      </c>
      <c r="E803">
        <v>0.517015</v>
      </c>
      <c r="F803" t="s">
        <v>48</v>
      </c>
      <c r="G803">
        <v>-192.8706</v>
      </c>
      <c r="H803" s="1">
        <v>-5.0847980000000004E-6</v>
      </c>
      <c r="I803">
        <v>357.79930000000002</v>
      </c>
      <c r="J803">
        <v>-233.00540000000001</v>
      </c>
      <c r="K803">
        <v>1.1212359999999999</v>
      </c>
      <c r="L803">
        <v>367.2851</v>
      </c>
      <c r="M803">
        <v>0.99939979999999995</v>
      </c>
      <c r="N803">
        <v>-1.4172809999999999E-2</v>
      </c>
      <c r="O803">
        <v>-3.1609039999999998E-2</v>
      </c>
      <c r="P803">
        <v>0.95784740000000002</v>
      </c>
      <c r="Q803">
        <v>0.19362960000000001</v>
      </c>
      <c r="R803">
        <v>-0.21221770000000001</v>
      </c>
      <c r="S803">
        <v>2.9929960000000002</v>
      </c>
      <c r="T803">
        <v>-8.3016629999999994E-2</v>
      </c>
      <c r="U803">
        <v>-0.70303340000000003</v>
      </c>
      <c r="V803">
        <v>0.18193090000000001</v>
      </c>
      <c r="W803">
        <v>0.20718690000000001</v>
      </c>
      <c r="X803">
        <v>0.96123610000000004</v>
      </c>
      <c r="Y803">
        <v>0.1976725</v>
      </c>
      <c r="Z803">
        <v>-3.7026910000000001E-3</v>
      </c>
      <c r="AA803">
        <v>0.9802611</v>
      </c>
      <c r="AB803">
        <v>29</v>
      </c>
      <c r="AC803">
        <v>40.134799999999998</v>
      </c>
      <c r="AD803">
        <v>-1.1212410847980001</v>
      </c>
      <c r="AE803">
        <v>-9.4857999999999798</v>
      </c>
      <c r="AF803">
        <v>8.2062432494945199</v>
      </c>
      <c r="AG803">
        <v>-1.1212410847980001</v>
      </c>
      <c r="AH803">
        <v>40.384756609004903</v>
      </c>
      <c r="AI803">
        <v>91.5585150781789</v>
      </c>
      <c r="AJ803">
        <v>78.513799085395505</v>
      </c>
      <c r="AK803">
        <v>41.225334155209502</v>
      </c>
      <c r="AL803">
        <v>78.042452494046103</v>
      </c>
      <c r="AM803">
        <v>79.282536780453498</v>
      </c>
      <c r="AN803">
        <v>1.00000005192481</v>
      </c>
    </row>
    <row r="804" spans="1:40" x14ac:dyDescent="0.25">
      <c r="A804" t="str">
        <f>"20190303170733871"</f>
        <v>20190303170733871</v>
      </c>
      <c r="B804" t="str">
        <f>"1551604053863414"</f>
        <v>1551604053863414</v>
      </c>
      <c r="C804" t="s">
        <v>40</v>
      </c>
      <c r="D804">
        <v>4.903778</v>
      </c>
      <c r="E804">
        <v>0.51670850000000002</v>
      </c>
      <c r="F804" t="s">
        <v>48</v>
      </c>
      <c r="G804">
        <v>-204.82730000000001</v>
      </c>
      <c r="H804" s="1">
        <v>-4.9503179999999999E-6</v>
      </c>
      <c r="I804">
        <v>360.22500000000002</v>
      </c>
      <c r="J804">
        <v>-232.71440000000001</v>
      </c>
      <c r="K804">
        <v>1.1212500000000001</v>
      </c>
      <c r="L804">
        <v>367.27569999999997</v>
      </c>
      <c r="M804">
        <v>0.99939359999999999</v>
      </c>
      <c r="N804">
        <v>-1.416942E-2</v>
      </c>
      <c r="O804">
        <v>-3.1805890000000003E-2</v>
      </c>
      <c r="P804">
        <v>0.95777860000000004</v>
      </c>
      <c r="Q804">
        <v>0.1931349</v>
      </c>
      <c r="R804">
        <v>-0.21297679999999999</v>
      </c>
      <c r="S804">
        <v>2.9900820000000001</v>
      </c>
      <c r="T804">
        <v>-0.118979</v>
      </c>
      <c r="U804">
        <v>-0.74917599999999995</v>
      </c>
      <c r="V804">
        <v>0.18249679999999999</v>
      </c>
      <c r="W804">
        <v>0.20669290000000001</v>
      </c>
      <c r="X804">
        <v>0.96123519999999896</v>
      </c>
      <c r="Y804">
        <v>0.21185599999999999</v>
      </c>
      <c r="Z804">
        <v>-4.8736600000000001E-3</v>
      </c>
      <c r="AA804">
        <v>0.97728870000000001</v>
      </c>
      <c r="AB804">
        <v>29</v>
      </c>
      <c r="AC804">
        <v>27.8871</v>
      </c>
      <c r="AD804">
        <v>-1.121254950318</v>
      </c>
      <c r="AE804">
        <v>-7.0506999999999396</v>
      </c>
      <c r="AF804">
        <v>6.1507231445258297</v>
      </c>
      <c r="AG804">
        <v>-1.121254950318</v>
      </c>
      <c r="AH804">
        <v>28.054636259807801</v>
      </c>
      <c r="AI804">
        <v>92.235668674288604</v>
      </c>
      <c r="AJ804">
        <v>77.634074498475499</v>
      </c>
      <c r="AK804">
        <v>28.742846475851</v>
      </c>
      <c r="AL804">
        <v>78.071383103185198</v>
      </c>
      <c r="AM804">
        <v>79.249965760593895</v>
      </c>
      <c r="AN804">
        <v>1.00000007331984</v>
      </c>
    </row>
    <row r="805" spans="1:40" x14ac:dyDescent="0.25">
      <c r="A805" t="str">
        <f>"20190303170733893"</f>
        <v>20190303170733893</v>
      </c>
      <c r="B805" t="str">
        <f>"1551604053882933"</f>
        <v>1551604053882933</v>
      </c>
      <c r="C805" t="s">
        <v>40</v>
      </c>
      <c r="D805">
        <v>4.8488350000000002</v>
      </c>
      <c r="E805">
        <v>0.51717899999999895</v>
      </c>
      <c r="F805" t="s">
        <v>48</v>
      </c>
      <c r="G805">
        <v>-203.65520000000001</v>
      </c>
      <c r="H805" s="1">
        <v>-4.4120579999999998E-6</v>
      </c>
      <c r="I805">
        <v>359.99250000000001</v>
      </c>
      <c r="J805">
        <v>-232.42359999999999</v>
      </c>
      <c r="K805">
        <v>1.1212549999999999</v>
      </c>
      <c r="L805">
        <v>367.26620000000003</v>
      </c>
      <c r="M805">
        <v>0.99938749999999998</v>
      </c>
      <c r="N805">
        <v>-1.4166059999999999E-2</v>
      </c>
      <c r="O805">
        <v>-3.2005329999999999E-2</v>
      </c>
      <c r="P805">
        <v>0.95772729999999995</v>
      </c>
      <c r="Q805">
        <v>0.19283410000000001</v>
      </c>
      <c r="R805">
        <v>-0.2134809</v>
      </c>
      <c r="S805">
        <v>2.9889070000000002</v>
      </c>
      <c r="T805">
        <v>-0.115327399999999</v>
      </c>
      <c r="U805">
        <v>-0.74911499999999998</v>
      </c>
      <c r="V805">
        <v>0.18280769999999999</v>
      </c>
      <c r="W805">
        <v>0.2063905</v>
      </c>
      <c r="X805">
        <v>0.96124100000000001</v>
      </c>
      <c r="Y805">
        <v>0.21174319999999999</v>
      </c>
      <c r="Z805">
        <v>-4.7774419999999998E-3</v>
      </c>
      <c r="AA805">
        <v>0.9773136</v>
      </c>
      <c r="AB805">
        <v>29</v>
      </c>
      <c r="AC805">
        <v>28.7683999999999</v>
      </c>
      <c r="AD805">
        <v>-1.1212594120579999</v>
      </c>
      <c r="AE805">
        <v>-7.2737000000000096</v>
      </c>
      <c r="AF805">
        <v>6.3400861553533501</v>
      </c>
      <c r="AG805">
        <v>-1.1212594120579999</v>
      </c>
      <c r="AH805">
        <v>28.9451513630782</v>
      </c>
      <c r="AI805">
        <v>92.167054069453997</v>
      </c>
      <c r="AJ805">
        <v>77.645169638902203</v>
      </c>
      <c r="AK805">
        <v>29.6525834044512</v>
      </c>
      <c r="AL805">
        <v>78.089090004990993</v>
      </c>
      <c r="AM805">
        <v>79.232143383590696</v>
      </c>
      <c r="AN805">
        <v>0.99999997687526898</v>
      </c>
    </row>
    <row r="806" spans="1:40" x14ac:dyDescent="0.25">
      <c r="A806" t="str">
        <f>"20190303170733916"</f>
        <v>20190303170733916</v>
      </c>
      <c r="B806" t="str">
        <f>"1551604053903430"</f>
        <v>1551604053903430</v>
      </c>
      <c r="C806" t="s">
        <v>40</v>
      </c>
      <c r="D806">
        <v>4.8402149999999997</v>
      </c>
      <c r="E806">
        <v>0.51782419999999996</v>
      </c>
      <c r="F806" t="s">
        <v>48</v>
      </c>
      <c r="G806">
        <v>-204.37540000000001</v>
      </c>
      <c r="H806" s="1">
        <v>-4.7320830000000001E-6</v>
      </c>
      <c r="I806">
        <v>360.18360000000001</v>
      </c>
      <c r="J806">
        <v>-232.13570000000001</v>
      </c>
      <c r="K806">
        <v>1.1212580000000001</v>
      </c>
      <c r="L806">
        <v>367.25670000000002</v>
      </c>
      <c r="M806">
        <v>0.99938090000000002</v>
      </c>
      <c r="N806">
        <v>-1.416277E-2</v>
      </c>
      <c r="O806">
        <v>-3.2208519999999997E-2</v>
      </c>
      <c r="P806">
        <v>0.95753180000000004</v>
      </c>
      <c r="Q806">
        <v>0.19323129999999999</v>
      </c>
      <c r="R806">
        <v>-0.21399609999999999</v>
      </c>
      <c r="S806">
        <v>2.988251</v>
      </c>
      <c r="T806">
        <v>-0.1194586</v>
      </c>
      <c r="U806">
        <v>-0.75457759999999996</v>
      </c>
      <c r="V806">
        <v>0.1831324</v>
      </c>
      <c r="W806">
        <v>0.20678340000000001</v>
      </c>
      <c r="X806">
        <v>0.96109469999999997</v>
      </c>
      <c r="Y806">
        <v>0.2132617</v>
      </c>
      <c r="Z806">
        <v>-4.9133880000000003E-3</v>
      </c>
      <c r="AA806">
        <v>0.97698280000000004</v>
      </c>
      <c r="AB806">
        <v>29</v>
      </c>
      <c r="AC806">
        <v>27.760300000000001</v>
      </c>
      <c r="AD806">
        <v>-1.121262732083</v>
      </c>
      <c r="AE806">
        <v>-7.0731000000000099</v>
      </c>
      <c r="AF806">
        <v>6.1657759641456504</v>
      </c>
      <c r="AG806">
        <v>-1.121262732083</v>
      </c>
      <c r="AH806">
        <v>27.930941848839101</v>
      </c>
      <c r="AI806">
        <v>92.244864347168104</v>
      </c>
      <c r="AJ806">
        <v>77.551559716480398</v>
      </c>
      <c r="AK806">
        <v>28.625365253872801</v>
      </c>
      <c r="AL806">
        <v>78.066081683156298</v>
      </c>
      <c r="AM806">
        <v>79.211862602223803</v>
      </c>
      <c r="AN806">
        <v>0.99999993640670204</v>
      </c>
    </row>
    <row r="807" spans="1:40" x14ac:dyDescent="0.25">
      <c r="A807" t="str">
        <f>"20190303170733939"</f>
        <v>20190303170733939</v>
      </c>
      <c r="B807" t="str">
        <f>"1551604053932710"</f>
        <v>1551604053932710</v>
      </c>
      <c r="C807" t="s">
        <v>40</v>
      </c>
      <c r="D807">
        <v>5.0893470000000001</v>
      </c>
      <c r="E807">
        <v>0.51754160000000005</v>
      </c>
      <c r="F807" t="s">
        <v>48</v>
      </c>
      <c r="G807">
        <v>-204.10730000000001</v>
      </c>
      <c r="H807" s="1">
        <v>-4.6109820000000003E-6</v>
      </c>
      <c r="I807">
        <v>360.12139999999999</v>
      </c>
      <c r="J807">
        <v>-231.83430000000001</v>
      </c>
      <c r="K807">
        <v>1.1212599999999999</v>
      </c>
      <c r="L807">
        <v>367.24680000000001</v>
      </c>
      <c r="M807">
        <v>0.99937390000000004</v>
      </c>
      <c r="N807">
        <v>-1.4159349999999999E-2</v>
      </c>
      <c r="O807">
        <v>-3.2429140000000002E-2</v>
      </c>
      <c r="P807">
        <v>0.95736279999999996</v>
      </c>
      <c r="Q807">
        <v>0.19275120000000001</v>
      </c>
      <c r="R807">
        <v>-0.21518229999999999</v>
      </c>
      <c r="S807">
        <v>2.9872130000000001</v>
      </c>
      <c r="T807">
        <v>-0.11950180000000001</v>
      </c>
      <c r="U807">
        <v>-0.76046749999999996</v>
      </c>
      <c r="V807">
        <v>0.1841103</v>
      </c>
      <c r="W807">
        <v>0.2062986</v>
      </c>
      <c r="X807">
        <v>0.96101210000000004</v>
      </c>
      <c r="Y807">
        <v>0.2149345</v>
      </c>
      <c r="Z807">
        <v>-4.9539049999999998E-3</v>
      </c>
      <c r="AA807">
        <v>0.97661589999999998</v>
      </c>
      <c r="AB807">
        <v>29</v>
      </c>
      <c r="AC807">
        <v>27.727</v>
      </c>
      <c r="AD807">
        <v>-1.1212646109819999</v>
      </c>
      <c r="AE807">
        <v>-7.1254000000000097</v>
      </c>
      <c r="AF807">
        <v>6.2128680011319597</v>
      </c>
      <c r="AG807">
        <v>-1.1212646109819999</v>
      </c>
      <c r="AH807">
        <v>27.9007066368453</v>
      </c>
      <c r="AI807">
        <v>92.246384249510598</v>
      </c>
      <c r="AJ807">
        <v>77.446320313289405</v>
      </c>
      <c r="AK807">
        <v>28.6060551975038</v>
      </c>
      <c r="AL807">
        <v>78.0944714017363</v>
      </c>
      <c r="AM807">
        <v>79.154708022505005</v>
      </c>
      <c r="AN807">
        <v>0.99999998563722903</v>
      </c>
    </row>
    <row r="808" spans="1:40" x14ac:dyDescent="0.25">
      <c r="A808" t="str">
        <f>"20190303170733960"</f>
        <v>20190303170733960</v>
      </c>
      <c r="B808" t="str">
        <f>"1551604053953206"</f>
        <v>1551604053953206</v>
      </c>
      <c r="C808" t="s">
        <v>40</v>
      </c>
      <c r="D808">
        <v>4.8665229999999999</v>
      </c>
      <c r="E808">
        <v>0.51727829999999997</v>
      </c>
      <c r="F808" t="s">
        <v>48</v>
      </c>
      <c r="G808">
        <v>-202.1354</v>
      </c>
      <c r="H808" s="1">
        <v>-3.7172920000000002E-6</v>
      </c>
      <c r="I808">
        <v>359.67669999999998</v>
      </c>
      <c r="J808">
        <v>-231.57390000000001</v>
      </c>
      <c r="K808">
        <v>1.1212610000000001</v>
      </c>
      <c r="L808">
        <v>367.23809999999997</v>
      </c>
      <c r="M808">
        <v>0.99936749999999996</v>
      </c>
      <c r="N808">
        <v>-1.4156419999999999E-2</v>
      </c>
      <c r="O808">
        <v>-3.2624380000000001E-2</v>
      </c>
      <c r="P808">
        <v>0.95687710000000004</v>
      </c>
      <c r="Q808">
        <v>0.19342309999999999</v>
      </c>
      <c r="R808">
        <v>-0.21673519999999999</v>
      </c>
      <c r="S808">
        <v>2.9852449999999999</v>
      </c>
      <c r="T808">
        <v>-0.11270620000000001</v>
      </c>
      <c r="U808">
        <v>-0.76092530000000003</v>
      </c>
      <c r="V808">
        <v>0.1854903</v>
      </c>
      <c r="W808">
        <v>0.20696059999999999</v>
      </c>
      <c r="X808">
        <v>0.96060429999999997</v>
      </c>
      <c r="Y808">
        <v>0.21505750000000001</v>
      </c>
      <c r="Z808">
        <v>-4.7859369999999997E-3</v>
      </c>
      <c r="AA808">
        <v>0.9765897</v>
      </c>
      <c r="AB808">
        <v>29</v>
      </c>
      <c r="AC808">
        <v>29.438500000000001</v>
      </c>
      <c r="AD808">
        <v>-1.1212647172920001</v>
      </c>
      <c r="AE808">
        <v>-7.5613999999999901</v>
      </c>
      <c r="AF808">
        <v>6.5878994248562401</v>
      </c>
      <c r="AG808">
        <v>-1.1212647172920001</v>
      </c>
      <c r="AH808">
        <v>29.6292134219206</v>
      </c>
      <c r="AI808">
        <v>92.1156070609766</v>
      </c>
      <c r="AJ808">
        <v>77.464503661893403</v>
      </c>
      <c r="AK808">
        <v>30.373474305715899</v>
      </c>
      <c r="AL808">
        <v>78.055704932546405</v>
      </c>
      <c r="AM808">
        <v>79.070839914740702</v>
      </c>
      <c r="AN808">
        <v>0.99999998126246903</v>
      </c>
    </row>
    <row r="809" spans="1:40" x14ac:dyDescent="0.25">
      <c r="A809" t="str">
        <f>"20190303170733993"</f>
        <v>20190303170733993</v>
      </c>
      <c r="B809" t="str">
        <f>"1551604053983462"</f>
        <v>1551604053983462</v>
      </c>
      <c r="C809" t="s">
        <v>40</v>
      </c>
      <c r="D809">
        <v>4.8467570000000002</v>
      </c>
      <c r="E809">
        <v>0.51724740000000002</v>
      </c>
      <c r="F809" t="s">
        <v>48</v>
      </c>
      <c r="G809">
        <v>-200.4469</v>
      </c>
      <c r="H809" s="1">
        <v>-6.5747610000000001E-6</v>
      </c>
      <c r="I809">
        <v>359.27080000000001</v>
      </c>
      <c r="J809">
        <v>-231.1456</v>
      </c>
      <c r="K809">
        <v>1.1212629999999999</v>
      </c>
      <c r="L809">
        <v>367.22370000000001</v>
      </c>
      <c r="M809">
        <v>0.99935689999999999</v>
      </c>
      <c r="N809">
        <v>-1.415167E-2</v>
      </c>
      <c r="O809">
        <v>-3.2950630000000002E-2</v>
      </c>
      <c r="P809">
        <v>0.95635040000000004</v>
      </c>
      <c r="Q809">
        <v>0.19463829999999999</v>
      </c>
      <c r="R809">
        <v>-0.21796779999999999</v>
      </c>
      <c r="S809">
        <v>2.9839319999999998</v>
      </c>
      <c r="T809">
        <v>-0.10748829999999999</v>
      </c>
      <c r="U809">
        <v>-0.76376339999999998</v>
      </c>
      <c r="V809">
        <v>0.18642619999999999</v>
      </c>
      <c r="W809">
        <v>0.20816460000000001</v>
      </c>
      <c r="X809">
        <v>0.96016290000000004</v>
      </c>
      <c r="Y809">
        <v>0.21572720000000001</v>
      </c>
      <c r="Z809">
        <v>-4.6670870000000003E-3</v>
      </c>
      <c r="AA809">
        <v>0.97644249999999999</v>
      </c>
      <c r="AB809">
        <v>29</v>
      </c>
      <c r="AC809">
        <v>30.698699999999999</v>
      </c>
      <c r="AD809">
        <v>-1.121269574761</v>
      </c>
      <c r="AE809">
        <v>-7.9528999999999996</v>
      </c>
      <c r="AF809">
        <v>6.9282763303086901</v>
      </c>
      <c r="AG809">
        <v>-1.121269574761</v>
      </c>
      <c r="AH809">
        <v>30.905468832231801</v>
      </c>
      <c r="AI809">
        <v>92.027536164368797</v>
      </c>
      <c r="AJ809">
        <v>77.364540134198194</v>
      </c>
      <c r="AK809">
        <v>31.692369146348899</v>
      </c>
      <c r="AL809">
        <v>77.985185376631406</v>
      </c>
      <c r="AM809">
        <v>79.012107857493106</v>
      </c>
      <c r="AN809">
        <v>1.0000000116379999</v>
      </c>
    </row>
    <row r="810" spans="1:40" x14ac:dyDescent="0.25">
      <c r="A810" t="str">
        <f>"20190303170734014"</f>
        <v>20190303170734014</v>
      </c>
      <c r="B810" t="str">
        <f>"1551604054002981"</f>
        <v>1551604054002981</v>
      </c>
      <c r="C810" t="s">
        <v>40</v>
      </c>
      <c r="D810">
        <v>5.0324099999999996</v>
      </c>
      <c r="E810">
        <v>0.51750479999999999</v>
      </c>
      <c r="F810" t="s">
        <v>48</v>
      </c>
      <c r="G810">
        <v>-198.14879999999999</v>
      </c>
      <c r="H810" s="1">
        <v>-6.2679730000000003E-6</v>
      </c>
      <c r="I810">
        <v>358.72800000000001</v>
      </c>
      <c r="J810">
        <v>-230.864</v>
      </c>
      <c r="K810">
        <v>1.121265</v>
      </c>
      <c r="L810">
        <v>367.21420000000001</v>
      </c>
      <c r="M810">
        <v>0.99934979999999995</v>
      </c>
      <c r="N810">
        <v>-1.414866E-2</v>
      </c>
      <c r="O810">
        <v>-3.3166620000000001E-2</v>
      </c>
      <c r="P810">
        <v>0.95634779999999997</v>
      </c>
      <c r="Q810">
        <v>0.1945944</v>
      </c>
      <c r="R810">
        <v>-0.2180194</v>
      </c>
      <c r="S810">
        <v>2.982513</v>
      </c>
      <c r="T810">
        <v>-0.10134940000000001</v>
      </c>
      <c r="U810">
        <v>-0.76791379999999998</v>
      </c>
      <c r="V810">
        <v>0.1862702</v>
      </c>
      <c r="W810">
        <v>0.20811789999999999</v>
      </c>
      <c r="X810">
        <v>0.96020329999999998</v>
      </c>
      <c r="Y810">
        <v>0.21691769999999999</v>
      </c>
      <c r="Z810">
        <v>-4.540189E-3</v>
      </c>
      <c r="AA810">
        <v>0.97617929999999997</v>
      </c>
      <c r="AB810">
        <v>29</v>
      </c>
      <c r="AC810">
        <v>32.715200000000003</v>
      </c>
      <c r="AD810">
        <v>-1.1212712679729999</v>
      </c>
      <c r="AE810">
        <v>-8.4861999999999895</v>
      </c>
      <c r="AF810">
        <v>7.3882374506229898</v>
      </c>
      <c r="AG810">
        <v>-1.1212712679729999</v>
      </c>
      <c r="AH810">
        <v>32.942426983368598</v>
      </c>
      <c r="AI810">
        <v>91.902222804748007</v>
      </c>
      <c r="AJ810">
        <v>77.359036878632196</v>
      </c>
      <c r="AK810">
        <v>33.7793842074976</v>
      </c>
      <c r="AL810">
        <v>77.987921013811999</v>
      </c>
      <c r="AM810">
        <v>79.021529636902798</v>
      </c>
      <c r="AN810">
        <v>1.00000001251967</v>
      </c>
    </row>
    <row r="811" spans="1:40" x14ac:dyDescent="0.25">
      <c r="A811" t="str">
        <f>"20190303170734038"</f>
        <v>20190303170734038</v>
      </c>
      <c r="B811" t="str">
        <f>"1551604054023478"</f>
        <v>1551604054023478</v>
      </c>
      <c r="C811" t="s">
        <v>40</v>
      </c>
      <c r="D811">
        <v>4.8944799999999997</v>
      </c>
      <c r="E811">
        <v>0.51752310000000001</v>
      </c>
      <c r="F811" t="s">
        <v>48</v>
      </c>
      <c r="G811">
        <v>-197.98259999999999</v>
      </c>
      <c r="H811" s="1">
        <v>-6.2396609999999997E-6</v>
      </c>
      <c r="I811">
        <v>358.72089999999997</v>
      </c>
      <c r="J811">
        <v>-230.5772</v>
      </c>
      <c r="K811">
        <v>1.121262</v>
      </c>
      <c r="L811">
        <v>367.20440000000002</v>
      </c>
      <c r="M811">
        <v>0.99934259999999997</v>
      </c>
      <c r="N811">
        <v>-1.414546E-2</v>
      </c>
      <c r="O811">
        <v>-3.338667E-2</v>
      </c>
      <c r="P811">
        <v>0.95657210000000004</v>
      </c>
      <c r="Q811">
        <v>0.19446469999999999</v>
      </c>
      <c r="R811">
        <v>-0.2171488</v>
      </c>
      <c r="S811">
        <v>2.982056</v>
      </c>
      <c r="T811">
        <v>-0.1016893</v>
      </c>
      <c r="U811">
        <v>-0.7702637</v>
      </c>
      <c r="V811">
        <v>0.18518109999999999</v>
      </c>
      <c r="W811">
        <v>0.20798829999999999</v>
      </c>
      <c r="X811">
        <v>0.96044200000000002</v>
      </c>
      <c r="Y811">
        <v>0.21745900000000001</v>
      </c>
      <c r="Z811">
        <v>-4.5570949999999997E-3</v>
      </c>
      <c r="AA811">
        <v>0.9760588</v>
      </c>
      <c r="AB811">
        <v>29</v>
      </c>
      <c r="AC811">
        <v>32.5946</v>
      </c>
      <c r="AD811">
        <v>-1.1212682396610001</v>
      </c>
      <c r="AE811">
        <v>-8.4835000000000491</v>
      </c>
      <c r="AF811">
        <v>7.38225393016155</v>
      </c>
      <c r="AG811">
        <v>-1.1212682396610001</v>
      </c>
      <c r="AH811">
        <v>32.823310885184</v>
      </c>
      <c r="AI811">
        <v>91.908858132382605</v>
      </c>
      <c r="AJ811">
        <v>77.324586093627502</v>
      </c>
      <c r="AK811">
        <v>33.661916954031199</v>
      </c>
      <c r="AL811">
        <v>77.995512567735403</v>
      </c>
      <c r="AM811">
        <v>79.086820862763304</v>
      </c>
      <c r="AN811">
        <v>1.00000000404905</v>
      </c>
    </row>
    <row r="812" spans="1:40" x14ac:dyDescent="0.25">
      <c r="A812" t="str">
        <f>"20190303170734061"</f>
        <v>20190303170734061</v>
      </c>
      <c r="B812" t="str">
        <f>"1551604054052757"</f>
        <v>1551604054052757</v>
      </c>
      <c r="C812" t="s">
        <v>40</v>
      </c>
      <c r="D812">
        <v>5.0321829999999999</v>
      </c>
      <c r="E812">
        <v>0.51769480000000001</v>
      </c>
      <c r="F812" t="s">
        <v>48</v>
      </c>
      <c r="G812">
        <v>-197.64279999999999</v>
      </c>
      <c r="H812" s="1">
        <v>-6.186914E-6</v>
      </c>
      <c r="I812">
        <v>358.72190000000001</v>
      </c>
      <c r="J812">
        <v>-230.2825</v>
      </c>
      <c r="K812">
        <v>1.1212660000000001</v>
      </c>
      <c r="L812">
        <v>367.19439999999997</v>
      </c>
      <c r="M812">
        <v>0.99933490000000003</v>
      </c>
      <c r="N812">
        <v>-1.414209E-2</v>
      </c>
      <c r="O812">
        <v>-3.3612900000000001E-2</v>
      </c>
      <c r="P812">
        <v>0.95678390000000002</v>
      </c>
      <c r="Q812">
        <v>0.1945086</v>
      </c>
      <c r="R812">
        <v>-0.2161738</v>
      </c>
      <c r="S812">
        <v>2.9824679999999999</v>
      </c>
      <c r="T812">
        <v>-0.1015395</v>
      </c>
      <c r="U812">
        <v>-0.76815800000000001</v>
      </c>
      <c r="V812">
        <v>0.18398149999999999</v>
      </c>
      <c r="W812">
        <v>0.20803260000000001</v>
      </c>
      <c r="X812">
        <v>0.96066289999999999</v>
      </c>
      <c r="Y812">
        <v>0.21656030000000001</v>
      </c>
      <c r="Z812">
        <v>-4.526759E-3</v>
      </c>
      <c r="AA812">
        <v>0.97625879999999998</v>
      </c>
      <c r="AB812">
        <v>29</v>
      </c>
      <c r="AC812">
        <v>32.639699999999998</v>
      </c>
      <c r="AD812">
        <v>-1.1212721869140001</v>
      </c>
      <c r="AE812">
        <v>-8.4724999999999593</v>
      </c>
      <c r="AF812">
        <v>7.3623467492174601</v>
      </c>
      <c r="AG812">
        <v>-1.1212721869140001</v>
      </c>
      <c r="AH812">
        <v>32.869724429694202</v>
      </c>
      <c r="AI812">
        <v>91.906547234939296</v>
      </c>
      <c r="AJ812">
        <v>77.374945773133703</v>
      </c>
      <c r="AK812">
        <v>33.702821618625599</v>
      </c>
      <c r="AL812">
        <v>77.992917325858002</v>
      </c>
      <c r="AM812">
        <v>79.158269219966201</v>
      </c>
      <c r="AN812">
        <v>0.99999998122070899</v>
      </c>
    </row>
    <row r="813" spans="1:40" x14ac:dyDescent="0.25">
      <c r="A813" t="str">
        <f>"20190303170734083"</f>
        <v>20190303170734083</v>
      </c>
      <c r="B813" t="str">
        <f>"1551604054073253"</f>
        <v>1551604054073253</v>
      </c>
      <c r="C813" t="s">
        <v>40</v>
      </c>
      <c r="D813">
        <v>4.8573849999999998</v>
      </c>
      <c r="E813">
        <v>0.51788149999999999</v>
      </c>
      <c r="F813" t="s">
        <v>48</v>
      </c>
      <c r="G813">
        <v>-197.95310000000001</v>
      </c>
      <c r="H813" s="1">
        <v>-6.2918200000000002E-6</v>
      </c>
      <c r="I813">
        <v>358.89049999999997</v>
      </c>
      <c r="J813">
        <v>-229.99959999999999</v>
      </c>
      <c r="K813">
        <v>1.12127</v>
      </c>
      <c r="L813">
        <v>367.18459999999999</v>
      </c>
      <c r="M813">
        <v>0.99932770000000004</v>
      </c>
      <c r="N813">
        <v>-1.413886E-2</v>
      </c>
      <c r="O813">
        <v>-3.3829940000000003E-2</v>
      </c>
      <c r="P813">
        <v>0.95689760000000001</v>
      </c>
      <c r="Q813">
        <v>0.19507730000000001</v>
      </c>
      <c r="R813">
        <v>-0.21515570000000001</v>
      </c>
      <c r="S813">
        <v>2.9834139999999998</v>
      </c>
      <c r="T813">
        <v>-0.1034732</v>
      </c>
      <c r="U813">
        <v>-0.76629639999999999</v>
      </c>
      <c r="V813">
        <v>0.1827511</v>
      </c>
      <c r="W813">
        <v>0.2086006</v>
      </c>
      <c r="X813">
        <v>0.96077460000000003</v>
      </c>
      <c r="Y813">
        <v>0.2156978</v>
      </c>
      <c r="Z813">
        <v>-4.5479769999999999E-3</v>
      </c>
      <c r="AA813">
        <v>0.97644960000000003</v>
      </c>
      <c r="AB813">
        <v>29</v>
      </c>
      <c r="AC813">
        <v>32.046499999999902</v>
      </c>
      <c r="AD813">
        <v>-1.1212762918200001</v>
      </c>
      <c r="AE813">
        <v>-8.2941000000000091</v>
      </c>
      <c r="AF813">
        <v>7.1968546116549099</v>
      </c>
      <c r="AG813">
        <v>-1.1212762918200001</v>
      </c>
      <c r="AH813">
        <v>32.271742140054002</v>
      </c>
      <c r="AI813">
        <v>91.942258958276497</v>
      </c>
      <c r="AJ813">
        <v>77.428299840312107</v>
      </c>
      <c r="AK813">
        <v>33.083490105761697</v>
      </c>
      <c r="AL813">
        <v>77.959643610325799</v>
      </c>
      <c r="AM813">
        <v>79.230295964795602</v>
      </c>
      <c r="AN813">
        <v>1.00000000343836</v>
      </c>
    </row>
    <row r="814" spans="1:40" x14ac:dyDescent="0.25">
      <c r="A814" t="str">
        <f>"20190303170734116"</f>
        <v>20190303170734116</v>
      </c>
      <c r="B814" t="str">
        <f>"1551604054102533"</f>
        <v>1551604054102533</v>
      </c>
      <c r="C814" t="s">
        <v>40</v>
      </c>
      <c r="D814">
        <v>4.895937</v>
      </c>
      <c r="E814">
        <v>0.51818609999999998</v>
      </c>
      <c r="F814" t="s">
        <v>48</v>
      </c>
      <c r="G814">
        <v>-196.91720000000001</v>
      </c>
      <c r="H814" s="1">
        <v>-6.0671750000000001E-6</v>
      </c>
      <c r="I814">
        <v>358.70280000000002</v>
      </c>
      <c r="J814">
        <v>-229.58629999999999</v>
      </c>
      <c r="K814">
        <v>1.1212719999999901</v>
      </c>
      <c r="L814">
        <v>367.17020000000002</v>
      </c>
      <c r="M814">
        <v>0.99931700000000001</v>
      </c>
      <c r="N814">
        <v>-1.413409E-2</v>
      </c>
      <c r="O814">
        <v>-3.4147209999999997E-2</v>
      </c>
      <c r="P814">
        <v>0.95710099999999998</v>
      </c>
      <c r="Q814">
        <v>0.19515089999999999</v>
      </c>
      <c r="R814">
        <v>-0.2141824</v>
      </c>
      <c r="S814">
        <v>2.9837340000000001</v>
      </c>
      <c r="T814">
        <v>-0.1011291</v>
      </c>
      <c r="U814">
        <v>-0.76498409999999994</v>
      </c>
      <c r="V814">
        <v>0.18146519999999999</v>
      </c>
      <c r="W814">
        <v>0.20867330000000001</v>
      </c>
      <c r="X814">
        <v>0.96100249999999998</v>
      </c>
      <c r="Y814">
        <v>0.2149663</v>
      </c>
      <c r="Z814">
        <v>-4.4663000000000003E-3</v>
      </c>
      <c r="AA814">
        <v>0.97661129999999996</v>
      </c>
      <c r="AB814">
        <v>28</v>
      </c>
      <c r="AC814">
        <v>32.669099999999901</v>
      </c>
      <c r="AD814">
        <v>-1.12127806717499</v>
      </c>
      <c r="AE814">
        <v>-8.4673999999999907</v>
      </c>
      <c r="AF814">
        <v>7.3386901172114696</v>
      </c>
      <c r="AG814">
        <v>-1.12127806717499</v>
      </c>
      <c r="AH814">
        <v>32.902890653449099</v>
      </c>
      <c r="AI814">
        <v>91.905019641438599</v>
      </c>
      <c r="AJ814">
        <v>77.426501020592994</v>
      </c>
      <c r="AK814">
        <v>33.730014089727398</v>
      </c>
      <c r="AL814">
        <v>77.955384251392502</v>
      </c>
      <c r="AM814">
        <v>79.306799078000594</v>
      </c>
      <c r="AN814">
        <v>0.99999998497508902</v>
      </c>
    </row>
    <row r="815" spans="1:40" x14ac:dyDescent="0.25">
      <c r="A815" t="str">
        <f>"20190303170734139"</f>
        <v>20190303170734139</v>
      </c>
      <c r="B815" t="str">
        <f>"1551604054132790"</f>
        <v>1551604054132790</v>
      </c>
      <c r="C815" t="s">
        <v>40</v>
      </c>
      <c r="D815">
        <v>4.9195909999999996</v>
      </c>
      <c r="E815">
        <v>0.5248739</v>
      </c>
      <c r="F815" t="s">
        <v>48</v>
      </c>
      <c r="G815">
        <v>-196.55959999999999</v>
      </c>
      <c r="H815" s="1">
        <v>-6.014823E-6</v>
      </c>
      <c r="I815">
        <v>358.71319999999997</v>
      </c>
      <c r="J815">
        <v>-229.28219999999999</v>
      </c>
      <c r="K815">
        <v>1.1212660000000001</v>
      </c>
      <c r="L815">
        <v>367.15949999999998</v>
      </c>
      <c r="M815">
        <v>0.99930909999999995</v>
      </c>
      <c r="N815">
        <v>-1.413055E-2</v>
      </c>
      <c r="O815">
        <v>-3.4380229999999998E-2</v>
      </c>
      <c r="P815">
        <v>0.95720419999999995</v>
      </c>
      <c r="Q815">
        <v>0.19497500000000001</v>
      </c>
      <c r="R815">
        <v>-0.2138815</v>
      </c>
      <c r="S815">
        <v>2.9841310000000001</v>
      </c>
      <c r="T815">
        <v>-0.1013131</v>
      </c>
      <c r="U815">
        <v>-0.76412959999999996</v>
      </c>
      <c r="V815">
        <v>0.18093609999999999</v>
      </c>
      <c r="W815">
        <v>0.2084966</v>
      </c>
      <c r="X815">
        <v>0.96114060000000001</v>
      </c>
      <c r="Y815">
        <v>0.21444489999999999</v>
      </c>
      <c r="Z815">
        <v>-4.453009E-3</v>
      </c>
      <c r="AA815">
        <v>0.97672590000000004</v>
      </c>
      <c r="AB815">
        <v>28</v>
      </c>
      <c r="AC815">
        <v>32.7226</v>
      </c>
      <c r="AD815">
        <v>-1.121272014823</v>
      </c>
      <c r="AE815">
        <v>-8.4463000000000008</v>
      </c>
      <c r="AF815">
        <v>7.3081382004210296</v>
      </c>
      <c r="AG815">
        <v>-1.121272014823</v>
      </c>
      <c r="AH815">
        <v>32.957386039396297</v>
      </c>
      <c r="AI815">
        <v>91.902383664485995</v>
      </c>
      <c r="AJ815">
        <v>77.497246657751802</v>
      </c>
      <c r="AK815">
        <v>33.776551473433003</v>
      </c>
      <c r="AL815">
        <v>77.965736036470503</v>
      </c>
      <c r="AM815">
        <v>79.338758388515302</v>
      </c>
      <c r="AN815">
        <v>0.99999997873156399</v>
      </c>
    </row>
    <row r="816" spans="1:40" x14ac:dyDescent="0.25">
      <c r="A816" t="str">
        <f>"20190303170734161"</f>
        <v>20190303170734161</v>
      </c>
      <c r="B816" t="str">
        <f>"1551604054153285"</f>
        <v>1551604054153285</v>
      </c>
      <c r="C816" t="s">
        <v>40</v>
      </c>
      <c r="D816">
        <v>4.8727179999999999</v>
      </c>
      <c r="E816">
        <v>0.49457309999999999</v>
      </c>
      <c r="F816" t="s">
        <v>48</v>
      </c>
      <c r="G816">
        <v>-205.12700000000001</v>
      </c>
      <c r="H816" s="1">
        <v>-5.0220369999999999E-6</v>
      </c>
      <c r="I816">
        <v>360.56040000000002</v>
      </c>
      <c r="J816">
        <v>-229.01</v>
      </c>
      <c r="K816">
        <v>1.1212679999999999</v>
      </c>
      <c r="L816">
        <v>367.1499</v>
      </c>
      <c r="M816">
        <v>0.99930180000000002</v>
      </c>
      <c r="N816">
        <v>-1.412743E-2</v>
      </c>
      <c r="O816">
        <v>-3.4589040000000001E-2</v>
      </c>
      <c r="P816">
        <v>0.95720989999999995</v>
      </c>
      <c r="Q816">
        <v>0.19527800000000001</v>
      </c>
      <c r="R816">
        <v>-0.21357960000000001</v>
      </c>
      <c r="S816">
        <v>2.9803920000000002</v>
      </c>
      <c r="T816">
        <v>-0.13834850000000001</v>
      </c>
      <c r="U816">
        <v>-0.8142395</v>
      </c>
      <c r="V816">
        <v>0.18043229999999999</v>
      </c>
      <c r="W816">
        <v>0.20879739999999999</v>
      </c>
      <c r="X816">
        <v>0.96116999999999997</v>
      </c>
      <c r="Y816">
        <v>0.22972600000000001</v>
      </c>
      <c r="Z816">
        <v>-5.7928719999999897E-3</v>
      </c>
      <c r="AA816">
        <v>0.97323809999999999</v>
      </c>
      <c r="AB816">
        <v>28</v>
      </c>
      <c r="AC816">
        <v>23.8829999999999</v>
      </c>
      <c r="AD816">
        <v>-1.121273022037</v>
      </c>
      <c r="AE816">
        <v>-6.5894999999999797</v>
      </c>
      <c r="AF816">
        <v>5.7476112010924796</v>
      </c>
      <c r="AG816">
        <v>-1.121273022037</v>
      </c>
      <c r="AH816">
        <v>24.047398254304198</v>
      </c>
      <c r="AI816">
        <v>92.596599319034397</v>
      </c>
      <c r="AJ816">
        <v>76.557816396757502</v>
      </c>
      <c r="AK816">
        <v>24.7501444543256</v>
      </c>
      <c r="AL816">
        <v>77.948113495074196</v>
      </c>
      <c r="AM816">
        <v>79.368083728150395</v>
      </c>
      <c r="AN816">
        <v>0.99999996901502397</v>
      </c>
    </row>
    <row r="817" spans="1:40" x14ac:dyDescent="0.25">
      <c r="A817" t="str">
        <f>"20190303170734182"</f>
        <v>20190303170734182</v>
      </c>
      <c r="B817" t="str">
        <f>"1551604054172805"</f>
        <v>1551604054172805</v>
      </c>
      <c r="C817" t="s">
        <v>40</v>
      </c>
      <c r="D817">
        <v>5.009417</v>
      </c>
      <c r="E817">
        <v>0.47560819999999998</v>
      </c>
      <c r="F817" t="s">
        <v>48</v>
      </c>
      <c r="G817">
        <v>-187.74850000000001</v>
      </c>
      <c r="H817" s="1">
        <v>-5.2571430000000002E-6</v>
      </c>
      <c r="I817">
        <v>359.25510000000003</v>
      </c>
      <c r="J817">
        <v>-228.73750000000001</v>
      </c>
      <c r="K817">
        <v>1.1212759999999999</v>
      </c>
      <c r="L817">
        <v>367.14030000000002</v>
      </c>
      <c r="M817">
        <v>0.99929460000000003</v>
      </c>
      <c r="N817">
        <v>-1.4124279999999999E-2</v>
      </c>
      <c r="O817">
        <v>-3.479761E-2</v>
      </c>
      <c r="P817">
        <v>0.95706259999999999</v>
      </c>
      <c r="Q817">
        <v>0.19598889999999999</v>
      </c>
      <c r="R817">
        <v>-0.21358730000000001</v>
      </c>
      <c r="S817">
        <v>3.0218349999999998</v>
      </c>
      <c r="T817">
        <v>-8.2117800000000005E-2</v>
      </c>
      <c r="U817">
        <v>-0.57818599999999998</v>
      </c>
      <c r="V817">
        <v>0.18024399999999999</v>
      </c>
      <c r="W817">
        <v>0.2095043</v>
      </c>
      <c r="X817">
        <v>0.96105149999999995</v>
      </c>
      <c r="Y817">
        <v>0.15355099999999999</v>
      </c>
      <c r="Z817">
        <v>-2.7132369999999999E-3</v>
      </c>
      <c r="AA817">
        <v>0.98813700000000004</v>
      </c>
      <c r="AB817">
        <v>28</v>
      </c>
      <c r="AC817">
        <v>40.988999999999997</v>
      </c>
      <c r="AD817">
        <v>-1.121281257143</v>
      </c>
      <c r="AE817">
        <v>-7.8851999999999904</v>
      </c>
      <c r="AF817">
        <v>6.4493081360879803</v>
      </c>
      <c r="AG817">
        <v>-1.121281257143</v>
      </c>
      <c r="AH817">
        <v>41.208847357286302</v>
      </c>
      <c r="AI817">
        <v>91.539882580537196</v>
      </c>
      <c r="AJ817">
        <v>81.105191169709698</v>
      </c>
      <c r="AK817">
        <v>41.7255311243362</v>
      </c>
      <c r="AL817">
        <v>77.906695064142198</v>
      </c>
      <c r="AM817">
        <v>79.377646873326</v>
      </c>
      <c r="AN817">
        <v>0.99999996845336903</v>
      </c>
    </row>
    <row r="818" spans="1:40" x14ac:dyDescent="0.25">
      <c r="A818" t="str">
        <f>"20190303170734205"</f>
        <v>20190303170734205</v>
      </c>
      <c r="B818" t="str">
        <f>"1551604054193301"</f>
        <v>1551604054193301</v>
      </c>
      <c r="C818" t="s">
        <v>40</v>
      </c>
      <c r="D818">
        <v>5.0167599999999997</v>
      </c>
      <c r="E818">
        <v>0.4260931</v>
      </c>
      <c r="F818" t="s">
        <v>46</v>
      </c>
      <c r="G818">
        <v>-166.46</v>
      </c>
      <c r="H818">
        <v>-0.05</v>
      </c>
      <c r="I818">
        <v>358.36020000000002</v>
      </c>
      <c r="J818">
        <v>-228.45769999999999</v>
      </c>
      <c r="K818">
        <v>1.1212819999999999</v>
      </c>
      <c r="L818">
        <v>367.13029999999998</v>
      </c>
      <c r="M818">
        <v>0.99928720000000004</v>
      </c>
      <c r="N818">
        <v>-1.4121150000000001E-2</v>
      </c>
      <c r="O818">
        <v>-3.501203E-2</v>
      </c>
      <c r="P818">
        <v>0.95677009999999996</v>
      </c>
      <c r="Q818">
        <v>0.19678090000000001</v>
      </c>
      <c r="R818">
        <v>-0.2141691</v>
      </c>
      <c r="S818">
        <v>3.0503849999999999</v>
      </c>
      <c r="T818">
        <v>-5.7369709999999997E-2</v>
      </c>
      <c r="U818">
        <v>-0.43005369999999998</v>
      </c>
      <c r="V818">
        <v>0.18062909999999999</v>
      </c>
      <c r="W818">
        <v>0.2102899</v>
      </c>
      <c r="X818">
        <v>0.96080759999999998</v>
      </c>
      <c r="Y818">
        <v>0.1048129</v>
      </c>
      <c r="Z818">
        <v>-1.5622120000000001E-3</v>
      </c>
      <c r="AA818">
        <v>0.99449069999999995</v>
      </c>
      <c r="AB818">
        <v>28</v>
      </c>
      <c r="AC818">
        <v>61.997699999999902</v>
      </c>
      <c r="AD818">
        <v>-1.1712819999999999</v>
      </c>
      <c r="AE818">
        <v>-8.7700999999999496</v>
      </c>
      <c r="AF818">
        <v>6.5915337825046603</v>
      </c>
      <c r="AG818">
        <v>-1.1712819999999999</v>
      </c>
      <c r="AH818">
        <v>62.244989984233797</v>
      </c>
      <c r="AI818">
        <v>91.072031285370201</v>
      </c>
      <c r="AJ818">
        <v>83.955099704157206</v>
      </c>
      <c r="AK818">
        <v>62.6039854743034</v>
      </c>
      <c r="AL818">
        <v>77.860658080445305</v>
      </c>
      <c r="AM818">
        <v>79.352829461000596</v>
      </c>
      <c r="AN818">
        <v>0.99999997901328896</v>
      </c>
    </row>
    <row r="819" spans="1:40" x14ac:dyDescent="0.25">
      <c r="A819" t="str">
        <f>"20190303170734227"</f>
        <v>20190303170734227</v>
      </c>
      <c r="B819" t="str">
        <f>"1551604054223558"</f>
        <v>1551604054223558</v>
      </c>
      <c r="C819" t="s">
        <v>40</v>
      </c>
      <c r="D819">
        <v>5.0053089999999996</v>
      </c>
      <c r="E819">
        <v>0.42715419999999998</v>
      </c>
      <c r="F819" t="s">
        <v>44</v>
      </c>
      <c r="G819">
        <v>-158.19499999999999</v>
      </c>
      <c r="H819">
        <v>1.6940809999999999</v>
      </c>
      <c r="I819">
        <v>366.04700000000003</v>
      </c>
      <c r="J819">
        <v>-228.1721</v>
      </c>
      <c r="K819">
        <v>1.121283</v>
      </c>
      <c r="L819">
        <v>367.12</v>
      </c>
      <c r="M819">
        <v>0.99927940000000004</v>
      </c>
      <c r="N819">
        <v>-1.411812E-2</v>
      </c>
      <c r="O819">
        <v>-3.5229900000000001E-2</v>
      </c>
      <c r="P819">
        <v>0.95663229999999999</v>
      </c>
      <c r="Q819">
        <v>0.19661300000000001</v>
      </c>
      <c r="R819">
        <v>-0.21493709999999999</v>
      </c>
      <c r="S819">
        <v>3.119583</v>
      </c>
      <c r="T819">
        <v>2.5435449999999998E-2</v>
      </c>
      <c r="U819">
        <v>-4.8095699999999998E-2</v>
      </c>
      <c r="V819">
        <v>0.18119099999999999</v>
      </c>
      <c r="W819">
        <v>0.21011830000000001</v>
      </c>
      <c r="X819">
        <v>0.96073940000000002</v>
      </c>
      <c r="Y819">
        <v>-1.9815030000000001E-2</v>
      </c>
      <c r="Z819">
        <v>-7.2550939999999997E-4</v>
      </c>
      <c r="AA819">
        <v>0.99980340000000001</v>
      </c>
      <c r="AB819">
        <v>28</v>
      </c>
      <c r="AC819">
        <v>69.977099999999993</v>
      </c>
      <c r="AD819">
        <v>0.57279800000000003</v>
      </c>
      <c r="AE819">
        <v>-1.0730000000000299</v>
      </c>
      <c r="AF819">
        <v>-1.3931051222616599</v>
      </c>
      <c r="AG819">
        <v>0.57279800000000003</v>
      </c>
      <c r="AH819">
        <v>69.966770558311495</v>
      </c>
      <c r="AI819">
        <v>89.531039214937806</v>
      </c>
      <c r="AJ819">
        <v>91.140662886294905</v>
      </c>
      <c r="AK819">
        <v>69.982982372787504</v>
      </c>
      <c r="AL819">
        <v>77.870715435847202</v>
      </c>
      <c r="AM819">
        <v>79.319728320219596</v>
      </c>
      <c r="AN819">
        <v>1.00000003659412</v>
      </c>
    </row>
    <row r="820" spans="1:40" x14ac:dyDescent="0.25">
      <c r="A820" t="str">
        <f>"20190303170734251"</f>
        <v>20190303170734251</v>
      </c>
      <c r="B820" t="str">
        <f>"1551604054243077"</f>
        <v>1551604054243077</v>
      </c>
      <c r="C820" t="s">
        <v>40</v>
      </c>
      <c r="D820">
        <v>5.0210699999999999</v>
      </c>
      <c r="E820">
        <v>0.4277205</v>
      </c>
      <c r="F820" t="s">
        <v>44</v>
      </c>
      <c r="G820">
        <v>-158.19499999999999</v>
      </c>
      <c r="H820">
        <v>1.2633430000000001</v>
      </c>
      <c r="I820">
        <v>365.8141</v>
      </c>
      <c r="J820">
        <v>-227.87389999999999</v>
      </c>
      <c r="K820">
        <v>1.1212759999999999</v>
      </c>
      <c r="L820">
        <v>367.10919999999999</v>
      </c>
      <c r="M820">
        <v>0.99927160000000004</v>
      </c>
      <c r="N820">
        <v>-1.411485E-2</v>
      </c>
      <c r="O820">
        <v>-3.5458740000000002E-2</v>
      </c>
      <c r="P820">
        <v>0.95679919999999996</v>
      </c>
      <c r="Q820">
        <v>0.19532530000000001</v>
      </c>
      <c r="R820">
        <v>-0.21536859999999999</v>
      </c>
      <c r="S820">
        <v>3.1215820000000001</v>
      </c>
      <c r="T820">
        <v>6.3409809999999999E-3</v>
      </c>
      <c r="U820">
        <v>-5.825806E-2</v>
      </c>
      <c r="V820">
        <v>0.18139459999999999</v>
      </c>
      <c r="W820">
        <v>0.2088305</v>
      </c>
      <c r="X820">
        <v>0.96098170000000005</v>
      </c>
      <c r="Y820">
        <v>-1.680367E-2</v>
      </c>
      <c r="Z820">
        <v>-4.7105630000000002E-4</v>
      </c>
      <c r="AA820">
        <v>0.99985869999999999</v>
      </c>
      <c r="AB820">
        <v>28</v>
      </c>
      <c r="AC820">
        <v>69.678899999999999</v>
      </c>
      <c r="AD820">
        <v>0.142067</v>
      </c>
      <c r="AE820">
        <v>-1.2950999999999899</v>
      </c>
      <c r="AF820">
        <v>-1.1766815146568499</v>
      </c>
      <c r="AG820">
        <v>0.142067</v>
      </c>
      <c r="AH820">
        <v>69.6807107026019</v>
      </c>
      <c r="AI820">
        <v>89.8832005613733</v>
      </c>
      <c r="AJ820">
        <v>90.967448187411094</v>
      </c>
      <c r="AK820">
        <v>69.690789968539804</v>
      </c>
      <c r="AL820">
        <v>77.946174672998495</v>
      </c>
      <c r="AM820">
        <v>79.310637415046799</v>
      </c>
      <c r="AN820">
        <v>1.0000000031871501</v>
      </c>
    </row>
    <row r="821" spans="1:40" x14ac:dyDescent="0.25">
      <c r="A821" t="str">
        <f>"20190303170734273"</f>
        <v>20190303170734273</v>
      </c>
      <c r="B821" t="str">
        <f>"1551604054262597"</f>
        <v>1551604054262597</v>
      </c>
      <c r="C821" t="s">
        <v>40</v>
      </c>
      <c r="D821">
        <v>5.0456500000000002</v>
      </c>
      <c r="E821">
        <v>0.42803550000000001</v>
      </c>
      <c r="F821" t="s">
        <v>44</v>
      </c>
      <c r="G821">
        <v>-158.19499999999999</v>
      </c>
      <c r="H821">
        <v>1.016643</v>
      </c>
      <c r="I821">
        <v>365.6891</v>
      </c>
      <c r="J821">
        <v>-227.59630000000001</v>
      </c>
      <c r="K821">
        <v>1.1212719999999901</v>
      </c>
      <c r="L821">
        <v>367.09910000000002</v>
      </c>
      <c r="M821">
        <v>0.99926389999999998</v>
      </c>
      <c r="N821">
        <v>-1.4111820000000001E-2</v>
      </c>
      <c r="O821">
        <v>-3.5671370000000001E-2</v>
      </c>
      <c r="P821">
        <v>0.95702500000000001</v>
      </c>
      <c r="Q821">
        <v>0.19418750000000001</v>
      </c>
      <c r="R821">
        <v>-0.21539369999999999</v>
      </c>
      <c r="S821">
        <v>3.1220859999999999</v>
      </c>
      <c r="T821">
        <v>-4.6843290000000001E-3</v>
      </c>
      <c r="U821">
        <v>-6.3629149999999995E-2</v>
      </c>
      <c r="V821">
        <v>0.18120600000000001</v>
      </c>
      <c r="W821">
        <v>0.20769389999999999</v>
      </c>
      <c r="X821">
        <v>0.96126350000000005</v>
      </c>
      <c r="Y821">
        <v>-1.530137E-2</v>
      </c>
      <c r="Z821">
        <v>-3.3052709999999998E-4</v>
      </c>
      <c r="AA821">
        <v>0.99988290000000002</v>
      </c>
      <c r="AB821">
        <v>28</v>
      </c>
      <c r="AC821">
        <v>69.401300000000006</v>
      </c>
      <c r="AD821">
        <v>-0.104628999999999</v>
      </c>
      <c r="AE821">
        <v>-1.4100000000000199</v>
      </c>
      <c r="AF821">
        <v>-1.0667811912427001</v>
      </c>
      <c r="AG821">
        <v>-0.104628999999999</v>
      </c>
      <c r="AH821">
        <v>69.407266371752002</v>
      </c>
      <c r="AI821">
        <v>90.086361096306902</v>
      </c>
      <c r="AJ821">
        <v>90.880559785458004</v>
      </c>
      <c r="AK821">
        <v>69.415542888728993</v>
      </c>
      <c r="AL821">
        <v>78.012756282358396</v>
      </c>
      <c r="AM821">
        <v>79.324554175635001</v>
      </c>
      <c r="AN821">
        <v>0.99999994348272803</v>
      </c>
    </row>
    <row r="822" spans="1:40" x14ac:dyDescent="0.25">
      <c r="A822" t="str">
        <f>"20190303170734294"</f>
        <v>20190303170734294</v>
      </c>
      <c r="B822" t="str">
        <f>"1551604054283094"</f>
        <v>1551604054283094</v>
      </c>
      <c r="C822" t="s">
        <v>40</v>
      </c>
      <c r="D822">
        <v>5.0205219999999997</v>
      </c>
      <c r="E822">
        <v>0.42817349999999998</v>
      </c>
      <c r="F822" t="s">
        <v>44</v>
      </c>
      <c r="G822">
        <v>-158.19499999999999</v>
      </c>
      <c r="H822">
        <v>0.91031649999999997</v>
      </c>
      <c r="I822">
        <v>365.63170000000002</v>
      </c>
      <c r="J822">
        <v>-227.32900000000001</v>
      </c>
      <c r="K822">
        <v>1.1212740000000001</v>
      </c>
      <c r="L822">
        <v>367.08929999999998</v>
      </c>
      <c r="M822">
        <v>0.9992567</v>
      </c>
      <c r="N822">
        <v>-1.410893E-2</v>
      </c>
      <c r="O822">
        <v>-3.587601E-2</v>
      </c>
      <c r="P822">
        <v>0.95701720000000001</v>
      </c>
      <c r="Q822">
        <v>0.1939362</v>
      </c>
      <c r="R822">
        <v>-0.21565490000000001</v>
      </c>
      <c r="S822">
        <v>3.1217649999999999</v>
      </c>
      <c r="T822">
        <v>-9.485126E-3</v>
      </c>
      <c r="U822">
        <v>-6.6009520000000002E-2</v>
      </c>
      <c r="V822">
        <v>0.18126929999999999</v>
      </c>
      <c r="W822">
        <v>0.20744070000000001</v>
      </c>
      <c r="X822">
        <v>0.96130629999999995</v>
      </c>
      <c r="Y822">
        <v>-1.4742379999999999E-2</v>
      </c>
      <c r="Z822">
        <v>-2.7089790000000001E-4</v>
      </c>
      <c r="AA822">
        <v>0.99989130000000004</v>
      </c>
      <c r="AB822">
        <v>28</v>
      </c>
      <c r="AC822">
        <v>69.134</v>
      </c>
      <c r="AD822">
        <v>-0.21095749999999899</v>
      </c>
      <c r="AE822">
        <v>-1.45759999999995</v>
      </c>
      <c r="AF822">
        <v>-1.0238278366764599</v>
      </c>
      <c r="AG822">
        <v>-0.21095749999999899</v>
      </c>
      <c r="AH822">
        <v>69.141140614179903</v>
      </c>
      <c r="AI822">
        <v>90.174796248115001</v>
      </c>
      <c r="AJ822">
        <v>90.848362154333799</v>
      </c>
      <c r="AK822">
        <v>69.149042306714193</v>
      </c>
      <c r="AL822">
        <v>78.027587287705998</v>
      </c>
      <c r="AM822">
        <v>79.321375245485498</v>
      </c>
      <c r="AN822">
        <v>1.0000000027793301</v>
      </c>
    </row>
    <row r="823" spans="1:40" x14ac:dyDescent="0.25">
      <c r="A823" t="str">
        <f>"20190303170734317"</f>
        <v>20190303170734317</v>
      </c>
      <c r="B823" t="str">
        <f>"1551604054313350"</f>
        <v>1551604054313350</v>
      </c>
      <c r="C823" t="s">
        <v>40</v>
      </c>
      <c r="D823">
        <v>5.047358</v>
      </c>
      <c r="E823">
        <v>0.42839500000000003</v>
      </c>
      <c r="F823" t="s">
        <v>44</v>
      </c>
      <c r="G823">
        <v>-158.19499999999999</v>
      </c>
      <c r="H823">
        <v>0.94156479999999998</v>
      </c>
      <c r="I823">
        <v>365.59539999999998</v>
      </c>
      <c r="J823">
        <v>-227.05029999999999</v>
      </c>
      <c r="K823">
        <v>1.1212660000000001</v>
      </c>
      <c r="L823">
        <v>367.07909999999998</v>
      </c>
      <c r="M823">
        <v>0.99924900000000005</v>
      </c>
      <c r="N823">
        <v>-1.4105990000000001E-2</v>
      </c>
      <c r="O823">
        <v>-3.6090200000000003E-2</v>
      </c>
      <c r="P823">
        <v>0.95700280000000004</v>
      </c>
      <c r="Q823">
        <v>0.19400680000000001</v>
      </c>
      <c r="R823">
        <v>-0.2156554</v>
      </c>
      <c r="S823">
        <v>3.1211549999999999</v>
      </c>
      <c r="T823">
        <v>-8.1092119999999993E-3</v>
      </c>
      <c r="U823">
        <v>-6.744385E-2</v>
      </c>
      <c r="V823">
        <v>0.18106359999999999</v>
      </c>
      <c r="W823">
        <v>0.2075092</v>
      </c>
      <c r="X823">
        <v>0.96133029999999997</v>
      </c>
      <c r="Y823">
        <v>-1.449316E-2</v>
      </c>
      <c r="Z823">
        <v>-2.943946E-4</v>
      </c>
      <c r="AA823">
        <v>0.99989490000000003</v>
      </c>
      <c r="AB823">
        <v>28</v>
      </c>
      <c r="AC823">
        <v>68.8553</v>
      </c>
      <c r="AD823">
        <v>-0.17970120000000001</v>
      </c>
      <c r="AE823">
        <v>-1.48369999999999</v>
      </c>
      <c r="AF823">
        <v>-1.00250870348827</v>
      </c>
      <c r="AG823">
        <v>-0.17970120000000001</v>
      </c>
      <c r="AH823">
        <v>68.863517886442693</v>
      </c>
      <c r="AI823">
        <v>90.149498695641796</v>
      </c>
      <c r="AJ823">
        <v>90.834047724306799</v>
      </c>
      <c r="AK823">
        <v>68.871049156508803</v>
      </c>
      <c r="AL823">
        <v>78.023575441222405</v>
      </c>
      <c r="AM823">
        <v>79.333475063377094</v>
      </c>
      <c r="AN823">
        <v>1.00000002051384</v>
      </c>
    </row>
    <row r="824" spans="1:40" x14ac:dyDescent="0.25">
      <c r="A824" t="str">
        <f>"20190303170734340"</f>
        <v>20190303170734340</v>
      </c>
      <c r="B824" t="str">
        <f>"1551604054332869"</f>
        <v>1551604054332869</v>
      </c>
      <c r="C824" t="s">
        <v>40</v>
      </c>
      <c r="D824">
        <v>5.0413579999999998</v>
      </c>
      <c r="E824">
        <v>0.42848799999999998</v>
      </c>
      <c r="F824" t="s">
        <v>44</v>
      </c>
      <c r="G824">
        <v>-158.19499999999999</v>
      </c>
      <c r="H824">
        <v>0.9914906</v>
      </c>
      <c r="I824">
        <v>365.56</v>
      </c>
      <c r="J824">
        <v>-226.76</v>
      </c>
      <c r="K824">
        <v>1.121265</v>
      </c>
      <c r="L824">
        <v>367.06830000000002</v>
      </c>
      <c r="M824">
        <v>0.99924109999999999</v>
      </c>
      <c r="N824">
        <v>-1.4102959999999999E-2</v>
      </c>
      <c r="O824">
        <v>-3.6314890000000002E-2</v>
      </c>
      <c r="P824">
        <v>0.95708349999999998</v>
      </c>
      <c r="Q824">
        <v>0.19360720000000001</v>
      </c>
      <c r="R824">
        <v>-0.2156573</v>
      </c>
      <c r="S824">
        <v>3.1204679999999998</v>
      </c>
      <c r="T824">
        <v>-5.8773760000000001E-3</v>
      </c>
      <c r="U824">
        <v>-6.8847660000000005E-2</v>
      </c>
      <c r="V824">
        <v>0.18084600000000001</v>
      </c>
      <c r="W824">
        <v>0.2071076</v>
      </c>
      <c r="X824">
        <v>0.96145780000000003</v>
      </c>
      <c r="Y824">
        <v>-1.4263400000000001E-2</v>
      </c>
      <c r="Z824">
        <v>-3.2985000000000002E-4</v>
      </c>
      <c r="AA824">
        <v>0.99989819999999996</v>
      </c>
      <c r="AB824">
        <v>28</v>
      </c>
      <c r="AC824">
        <v>68.564999999999998</v>
      </c>
      <c r="AD824">
        <v>-0.12977440000000001</v>
      </c>
      <c r="AE824">
        <v>-1.50830000000001</v>
      </c>
      <c r="AF824">
        <v>-0.98286909416815804</v>
      </c>
      <c r="AG824">
        <v>-0.12977440000000001</v>
      </c>
      <c r="AH824">
        <v>68.574298972901204</v>
      </c>
      <c r="AI824">
        <v>90.108418941435801</v>
      </c>
      <c r="AJ824">
        <v>90.821158888593402</v>
      </c>
      <c r="AK824">
        <v>68.581465081142795</v>
      </c>
      <c r="AL824">
        <v>78.047095760045096</v>
      </c>
      <c r="AM824">
        <v>79.347380842513203</v>
      </c>
      <c r="AN824">
        <v>0.99999996743729902</v>
      </c>
    </row>
    <row r="825" spans="1:40" x14ac:dyDescent="0.25">
      <c r="A825" t="str">
        <f>"20190303170734362"</f>
        <v>20190303170734362</v>
      </c>
      <c r="B825" t="str">
        <f>"1551604054353366"</f>
        <v>1551604054353366</v>
      </c>
      <c r="C825" t="s">
        <v>40</v>
      </c>
      <c r="D825">
        <v>5.0840480000000001</v>
      </c>
      <c r="E825">
        <v>0.42852639999999997</v>
      </c>
      <c r="F825" t="s">
        <v>44</v>
      </c>
      <c r="G825">
        <v>-158.19499999999999</v>
      </c>
      <c r="H825">
        <v>0.99366690000000002</v>
      </c>
      <c r="I825">
        <v>365.54259999999999</v>
      </c>
      <c r="J825">
        <v>-226.48769999999999</v>
      </c>
      <c r="K825">
        <v>1.121264</v>
      </c>
      <c r="L825">
        <v>367.0582</v>
      </c>
      <c r="M825">
        <v>0.99923320000000004</v>
      </c>
      <c r="N825">
        <v>-1.410019E-2</v>
      </c>
      <c r="O825">
        <v>-3.6526940000000001E-2</v>
      </c>
      <c r="P825">
        <v>0.95733069999999998</v>
      </c>
      <c r="Q825">
        <v>0.19298119999999999</v>
      </c>
      <c r="R825">
        <v>-0.21511930000000001</v>
      </c>
      <c r="S825">
        <v>3.1200559999999999</v>
      </c>
      <c r="T825">
        <v>-5.8023930000000003E-3</v>
      </c>
      <c r="U825">
        <v>-6.9427489999999994E-2</v>
      </c>
      <c r="V825">
        <v>0.18009500000000001</v>
      </c>
      <c r="W825">
        <v>0.2064829</v>
      </c>
      <c r="X825">
        <v>0.96173310000000001</v>
      </c>
      <c r="Y825">
        <v>-1.428694E-2</v>
      </c>
      <c r="Z825">
        <v>-3.3321160000000002E-4</v>
      </c>
      <c r="AA825">
        <v>0.99989790000000001</v>
      </c>
      <c r="AB825">
        <v>28</v>
      </c>
      <c r="AC825">
        <v>68.292699999999996</v>
      </c>
      <c r="AD825">
        <v>-0.12759709999999999</v>
      </c>
      <c r="AE825">
        <v>-1.5156000000000001</v>
      </c>
      <c r="AF825">
        <v>-0.98017952984458401</v>
      </c>
      <c r="AG825">
        <v>-0.12759709999999999</v>
      </c>
      <c r="AH825">
        <v>68.302244493646199</v>
      </c>
      <c r="AI825">
        <v>90.107024508272403</v>
      </c>
      <c r="AJ825">
        <v>90.822173501111095</v>
      </c>
      <c r="AK825">
        <v>68.309396394643102</v>
      </c>
      <c r="AL825">
        <v>78.083679322001402</v>
      </c>
      <c r="AM825">
        <v>79.393579791937597</v>
      </c>
      <c r="AN825">
        <v>0.99999997632650905</v>
      </c>
    </row>
    <row r="826" spans="1:40" x14ac:dyDescent="0.25">
      <c r="A826" t="str">
        <f>"20190303170734383"</f>
        <v>20190303170734383</v>
      </c>
      <c r="B826" t="str">
        <f>"1551604054372885"</f>
        <v>1551604054372885</v>
      </c>
      <c r="C826" t="s">
        <v>40</v>
      </c>
      <c r="D826">
        <v>5.0274299999999998</v>
      </c>
      <c r="E826">
        <v>0.42857400000000001</v>
      </c>
      <c r="F826" t="s">
        <v>44</v>
      </c>
      <c r="G826">
        <v>-158.19499999999999</v>
      </c>
      <c r="H826">
        <v>0.97532030000000003</v>
      </c>
      <c r="I826">
        <v>365.59469999999999</v>
      </c>
      <c r="J826">
        <v>-226.2209</v>
      </c>
      <c r="K826">
        <v>1.1212660000000001</v>
      </c>
      <c r="L826">
        <v>367.04820000000001</v>
      </c>
      <c r="M826">
        <v>0.99922569999999999</v>
      </c>
      <c r="N826">
        <v>-1.409758E-2</v>
      </c>
      <c r="O826">
        <v>-3.6736499999999998E-2</v>
      </c>
      <c r="P826">
        <v>0.95758149999999997</v>
      </c>
      <c r="Q826">
        <v>0.1924971</v>
      </c>
      <c r="R826">
        <v>-0.21443609999999999</v>
      </c>
      <c r="S826">
        <v>3.1200260000000002</v>
      </c>
      <c r="T826">
        <v>-6.6635610000000001E-3</v>
      </c>
      <c r="U826">
        <v>-6.6864010000000001E-2</v>
      </c>
      <c r="V826">
        <v>0.1792011</v>
      </c>
      <c r="W826">
        <v>0.2060004</v>
      </c>
      <c r="X826">
        <v>0.96200350000000001</v>
      </c>
      <c r="Y826">
        <v>-1.5317610000000001E-2</v>
      </c>
      <c r="Z826">
        <v>-3.1522949999999999E-4</v>
      </c>
      <c r="AA826">
        <v>0.99988259999999995</v>
      </c>
      <c r="AB826">
        <v>28</v>
      </c>
      <c r="AC826">
        <v>68.025899999999993</v>
      </c>
      <c r="AD826">
        <v>-0.14594569999999901</v>
      </c>
      <c r="AE826">
        <v>-1.45350000000001</v>
      </c>
      <c r="AF826">
        <v>-1.04675796418494</v>
      </c>
      <c r="AG826">
        <v>-0.14594569999999901</v>
      </c>
      <c r="AH826">
        <v>68.0330613071594</v>
      </c>
      <c r="AI826">
        <v>90.122897163018393</v>
      </c>
      <c r="AJ826">
        <v>90.881484390607895</v>
      </c>
      <c r="AK826">
        <v>68.041270073438795</v>
      </c>
      <c r="AL826">
        <v>78.111931818864406</v>
      </c>
      <c r="AM826">
        <v>79.447938972723193</v>
      </c>
      <c r="AN826">
        <v>0.999999966526809</v>
      </c>
    </row>
    <row r="827" spans="1:40" x14ac:dyDescent="0.25">
      <c r="A827" t="str">
        <f>"20190303170734406"</f>
        <v>20190303170734406</v>
      </c>
      <c r="B827" t="str">
        <f>"1551604054393381"</f>
        <v>1551604054393381</v>
      </c>
      <c r="C827" t="s">
        <v>40</v>
      </c>
      <c r="D827">
        <v>5.0191169999999996</v>
      </c>
      <c r="E827">
        <v>0.42851590000000001</v>
      </c>
      <c r="F827" t="s">
        <v>44</v>
      </c>
      <c r="G827">
        <v>-158.19499999999999</v>
      </c>
      <c r="H827">
        <v>0.94472999999999996</v>
      </c>
      <c r="I827">
        <v>365.63029999999998</v>
      </c>
      <c r="J827">
        <v>-225.9365</v>
      </c>
      <c r="K827">
        <v>1.1212740000000001</v>
      </c>
      <c r="L827">
        <v>367.03750000000002</v>
      </c>
      <c r="M827">
        <v>0.99921729999999997</v>
      </c>
      <c r="N827">
        <v>-1.409477E-2</v>
      </c>
      <c r="O827">
        <v>-3.6961670000000002E-2</v>
      </c>
      <c r="P827">
        <v>0.9575359</v>
      </c>
      <c r="Q827">
        <v>0.19328970000000001</v>
      </c>
      <c r="R827">
        <v>-0.21392549999999999</v>
      </c>
      <c r="S827">
        <v>3.1199490000000001</v>
      </c>
      <c r="T827">
        <v>-8.0926419999999902E-3</v>
      </c>
      <c r="U827">
        <v>-6.5032960000000001E-2</v>
      </c>
      <c r="V827">
        <v>0.17847569999999999</v>
      </c>
      <c r="W827">
        <v>0.2067899</v>
      </c>
      <c r="X827">
        <v>0.96196899999999996</v>
      </c>
      <c r="Y827">
        <v>-1.6129049999999999E-2</v>
      </c>
      <c r="Z827">
        <v>-2.9063960000000002E-4</v>
      </c>
      <c r="AA827">
        <v>0.99986989999999998</v>
      </c>
      <c r="AB827">
        <v>28</v>
      </c>
      <c r="AC827">
        <v>67.741500000000002</v>
      </c>
      <c r="AD827">
        <v>-0.17654399999999901</v>
      </c>
      <c r="AE827">
        <v>-1.40720000000004</v>
      </c>
      <c r="AF827">
        <v>-1.0978419645620601</v>
      </c>
      <c r="AG827">
        <v>-0.17654399999999901</v>
      </c>
      <c r="AH827">
        <v>67.746759643378994</v>
      </c>
      <c r="AI827">
        <v>90.149289432759701</v>
      </c>
      <c r="AJ827">
        <v>90.928401686573693</v>
      </c>
      <c r="AK827">
        <v>67.755884371328605</v>
      </c>
      <c r="AL827">
        <v>78.065701774227506</v>
      </c>
      <c r="AM827">
        <v>79.489331155224704</v>
      </c>
      <c r="AN827">
        <v>0.99999999759674996</v>
      </c>
    </row>
    <row r="828" spans="1:40" x14ac:dyDescent="0.25">
      <c r="A828" t="str">
        <f>"20190303170734428"</f>
        <v>20190303170734428</v>
      </c>
      <c r="B828" t="str">
        <f>"1551604054422661"</f>
        <v>1551604054422661</v>
      </c>
      <c r="C828" t="s">
        <v>40</v>
      </c>
      <c r="D828">
        <v>5.0137679999999998</v>
      </c>
      <c r="E828">
        <v>0.42847619999999997</v>
      </c>
      <c r="F828" t="s">
        <v>44</v>
      </c>
      <c r="G828">
        <v>-158.19499999999999</v>
      </c>
      <c r="H828">
        <v>1.012637</v>
      </c>
      <c r="I828">
        <v>365.66789999999997</v>
      </c>
      <c r="J828">
        <v>-225.65559999999999</v>
      </c>
      <c r="K828">
        <v>1.1212789999999999</v>
      </c>
      <c r="L828">
        <v>367.02690000000001</v>
      </c>
      <c r="M828">
        <v>0.99920900000000001</v>
      </c>
      <c r="N828">
        <v>-1.4091960000000001E-2</v>
      </c>
      <c r="O828">
        <v>-3.7185879999999998E-2</v>
      </c>
      <c r="P828">
        <v>0.95751160000000002</v>
      </c>
      <c r="Q828">
        <v>0.193712</v>
      </c>
      <c r="R828">
        <v>-0.21365229999999999</v>
      </c>
      <c r="S828">
        <v>3.1199650000000001</v>
      </c>
      <c r="T828">
        <v>-4.9993989999999999E-3</v>
      </c>
      <c r="U828">
        <v>-6.3079830000000003E-2</v>
      </c>
      <c r="V828">
        <v>0.17798739999999999</v>
      </c>
      <c r="W828">
        <v>0.20720930000000001</v>
      </c>
      <c r="X828">
        <v>0.96196919999999997</v>
      </c>
      <c r="Y828">
        <v>-1.697885E-2</v>
      </c>
      <c r="Z828">
        <v>-3.3131909999999998E-4</v>
      </c>
      <c r="AA828">
        <v>0.99985579999999996</v>
      </c>
      <c r="AB828">
        <v>28</v>
      </c>
      <c r="AC828">
        <v>67.460599999999999</v>
      </c>
      <c r="AD828">
        <v>-0.108642</v>
      </c>
      <c r="AE828">
        <v>-1.35900000000003</v>
      </c>
      <c r="AF828">
        <v>-1.15076803036236</v>
      </c>
      <c r="AG828">
        <v>-0.108642</v>
      </c>
      <c r="AH828">
        <v>67.464298412002805</v>
      </c>
      <c r="AI828">
        <v>90.092253495285306</v>
      </c>
      <c r="AJ828">
        <v>90.977224389151999</v>
      </c>
      <c r="AK828">
        <v>67.474199738623298</v>
      </c>
      <c r="AL828">
        <v>78.041139667610395</v>
      </c>
      <c r="AM828">
        <v>79.517451649737893</v>
      </c>
      <c r="AN828">
        <v>0.99999997515694405</v>
      </c>
    </row>
    <row r="829" spans="1:40" x14ac:dyDescent="0.25">
      <c r="A829" t="str">
        <f>"20190303170734450"</f>
        <v>20190303170734450</v>
      </c>
      <c r="B829" t="str">
        <f>"1551604054443157"</f>
        <v>1551604054443157</v>
      </c>
      <c r="C829" t="s">
        <v>40</v>
      </c>
      <c r="D829">
        <v>5.0114289999999997</v>
      </c>
      <c r="E829">
        <v>0.42849660000000001</v>
      </c>
      <c r="F829" t="s">
        <v>44</v>
      </c>
      <c r="G829">
        <v>-158.19499999999999</v>
      </c>
      <c r="H829">
        <v>1.0570389999999901</v>
      </c>
      <c r="I829">
        <v>365.68079999999998</v>
      </c>
      <c r="J829">
        <v>-225.3826</v>
      </c>
      <c r="K829">
        <v>1.1212759999999999</v>
      </c>
      <c r="L829">
        <v>367.01650000000001</v>
      </c>
      <c r="M829">
        <v>0.99920089999999995</v>
      </c>
      <c r="N829">
        <v>-1.408912E-2</v>
      </c>
      <c r="O829">
        <v>-3.740665E-2</v>
      </c>
      <c r="P829">
        <v>0.95781850000000002</v>
      </c>
      <c r="Q829">
        <v>0.1937053</v>
      </c>
      <c r="R829">
        <v>-0.21227960000000001</v>
      </c>
      <c r="S829">
        <v>3.1198429999999999</v>
      </c>
      <c r="T829">
        <v>-2.9668810000000002E-3</v>
      </c>
      <c r="U829">
        <v>-6.2255860000000003E-2</v>
      </c>
      <c r="V829">
        <v>0.17639160000000001</v>
      </c>
      <c r="W829">
        <v>0.2072041</v>
      </c>
      <c r="X829">
        <v>0.96226420000000001</v>
      </c>
      <c r="Y829">
        <v>-1.7462689999999999E-2</v>
      </c>
      <c r="Z829">
        <v>-3.602457E-4</v>
      </c>
      <c r="AA829">
        <v>0.9998475</v>
      </c>
      <c r="AB829">
        <v>28</v>
      </c>
      <c r="AC829">
        <v>67.187600000000003</v>
      </c>
      <c r="AD829">
        <v>-6.42370000000001E-2</v>
      </c>
      <c r="AE829">
        <v>-1.3357000000000301</v>
      </c>
      <c r="AF829">
        <v>-1.17874619927734</v>
      </c>
      <c r="AG829">
        <v>-6.42370000000001E-2</v>
      </c>
      <c r="AH829">
        <v>67.190475462483903</v>
      </c>
      <c r="AI829">
        <v>90.054768798693999</v>
      </c>
      <c r="AJ829">
        <v>91.005056959756203</v>
      </c>
      <c r="AK829">
        <v>67.200844949071396</v>
      </c>
      <c r="AL829">
        <v>78.041444068951904</v>
      </c>
      <c r="AM829">
        <v>79.612496134060507</v>
      </c>
      <c r="AN829">
        <v>0.99999996310450401</v>
      </c>
    </row>
    <row r="830" spans="1:40" x14ac:dyDescent="0.25">
      <c r="A830" t="str">
        <f>"20190303170734473"</f>
        <v>20190303170734473</v>
      </c>
      <c r="B830" t="str">
        <f>"1551604054462677"</f>
        <v>1551604054462677</v>
      </c>
      <c r="C830" t="s">
        <v>40</v>
      </c>
      <c r="D830">
        <v>5.026993</v>
      </c>
      <c r="E830">
        <v>0.42853150000000001</v>
      </c>
      <c r="F830" t="s">
        <v>44</v>
      </c>
      <c r="G830">
        <v>-158.19499999999999</v>
      </c>
      <c r="H830">
        <v>1.0439130000000001</v>
      </c>
      <c r="I830">
        <v>365.76519999999999</v>
      </c>
      <c r="J830">
        <v>-225.102</v>
      </c>
      <c r="K830">
        <v>1.1212740000000001</v>
      </c>
      <c r="L830">
        <v>367.00569999999999</v>
      </c>
      <c r="M830">
        <v>0.99919210000000003</v>
      </c>
      <c r="N830">
        <v>-1.408629E-2</v>
      </c>
      <c r="O830">
        <v>-3.7640079999999999E-2</v>
      </c>
      <c r="P830">
        <v>0.95843210000000001</v>
      </c>
      <c r="Q830">
        <v>0.19314300000000001</v>
      </c>
      <c r="R830">
        <v>-0.2100098</v>
      </c>
      <c r="S830">
        <v>3.11998</v>
      </c>
      <c r="T830">
        <v>-3.5884379999999998E-3</v>
      </c>
      <c r="U830">
        <v>-5.8105469999999999E-2</v>
      </c>
      <c r="V830">
        <v>0.17387610000000001</v>
      </c>
      <c r="W830">
        <v>0.2066471</v>
      </c>
      <c r="X830">
        <v>0.96284170000000002</v>
      </c>
      <c r="Y830">
        <v>-1.9026729999999999E-2</v>
      </c>
      <c r="Z830">
        <v>-3.4208779999999998E-4</v>
      </c>
      <c r="AA830">
        <v>0.99981889999999995</v>
      </c>
      <c r="AB830">
        <v>28</v>
      </c>
      <c r="AC830">
        <v>66.906999999999996</v>
      </c>
      <c r="AD830">
        <v>-7.7360999999999999E-2</v>
      </c>
      <c r="AE830">
        <v>-1.2404999999999899</v>
      </c>
      <c r="AF830">
        <v>-1.27901218953471</v>
      </c>
      <c r="AG830">
        <v>-7.7360999999999999E-2</v>
      </c>
      <c r="AH830">
        <v>66.906185421412005</v>
      </c>
      <c r="AI830">
        <v>90.066236733097497</v>
      </c>
      <c r="AJ830">
        <v>91.095161458710507</v>
      </c>
      <c r="AK830">
        <v>66.918454140466096</v>
      </c>
      <c r="AL830">
        <v>78.074064637188698</v>
      </c>
      <c r="AM830">
        <v>79.7634867270488</v>
      </c>
      <c r="AN830">
        <v>1.00000003067425</v>
      </c>
    </row>
    <row r="831" spans="1:40" x14ac:dyDescent="0.25">
      <c r="A831" t="str">
        <f>"20190303170734494"</f>
        <v>20190303170734494</v>
      </c>
      <c r="B831" t="str">
        <f>"1551604054483174"</f>
        <v>1551604054483174</v>
      </c>
      <c r="C831" t="s">
        <v>40</v>
      </c>
      <c r="D831">
        <v>5.0226449999999998</v>
      </c>
      <c r="E831">
        <v>0.4285543</v>
      </c>
      <c r="F831" t="s">
        <v>44</v>
      </c>
      <c r="G831">
        <v>-158.19499999999999</v>
      </c>
      <c r="H831">
        <v>0.99262379999999995</v>
      </c>
      <c r="I831">
        <v>365.90429999999998</v>
      </c>
      <c r="J831">
        <v>-224.83320000000001</v>
      </c>
      <c r="K831">
        <v>1.1212719999999901</v>
      </c>
      <c r="L831">
        <v>366.99529999999999</v>
      </c>
      <c r="M831">
        <v>0.9991835</v>
      </c>
      <c r="N831">
        <v>-1.40836E-2</v>
      </c>
      <c r="O831">
        <v>-3.7868760000000001E-2</v>
      </c>
      <c r="P831">
        <v>0.9587561</v>
      </c>
      <c r="Q831">
        <v>0.1932635</v>
      </c>
      <c r="R831">
        <v>-0.2084136</v>
      </c>
      <c r="S831">
        <v>3.1200709999999998</v>
      </c>
      <c r="T831">
        <v>-5.9952740000000001E-3</v>
      </c>
      <c r="U831">
        <v>-5.1361080000000003E-2</v>
      </c>
      <c r="V831">
        <v>0.1720497</v>
      </c>
      <c r="W831">
        <v>0.20676839999999999</v>
      </c>
      <c r="X831">
        <v>0.96314359999999999</v>
      </c>
      <c r="Y831">
        <v>-2.1416790000000002E-2</v>
      </c>
      <c r="Z831">
        <v>-2.89311E-4</v>
      </c>
      <c r="AA831">
        <v>0.99977059999999995</v>
      </c>
      <c r="AB831">
        <v>28</v>
      </c>
      <c r="AC831">
        <v>66.638199999999998</v>
      </c>
      <c r="AD831">
        <v>-0.12864819999999899</v>
      </c>
      <c r="AE831">
        <v>-1.091</v>
      </c>
      <c r="AF831">
        <v>-1.43353359827625</v>
      </c>
      <c r="AG831">
        <v>-0.12864819999999899</v>
      </c>
      <c r="AH831">
        <v>66.6314629970623</v>
      </c>
      <c r="AI831">
        <v>90.110597668284001</v>
      </c>
      <c r="AJ831">
        <v>91.232492161794198</v>
      </c>
      <c r="AK831">
        <v>66.647006159809095</v>
      </c>
      <c r="AL831">
        <v>78.066960055105397</v>
      </c>
      <c r="AM831">
        <v>79.871882560193399</v>
      </c>
      <c r="AN831">
        <v>0.999999932364802</v>
      </c>
    </row>
    <row r="832" spans="1:40" x14ac:dyDescent="0.25">
      <c r="A832" t="str">
        <f>"20190303170734518"</f>
        <v>20190303170734518</v>
      </c>
      <c r="B832" t="str">
        <f>"1551604054513430"</f>
        <v>1551604054513430</v>
      </c>
      <c r="C832" t="s">
        <v>40</v>
      </c>
      <c r="D832">
        <v>5.0304799999999998</v>
      </c>
      <c r="E832">
        <v>0.42865300000000001</v>
      </c>
      <c r="F832" t="s">
        <v>44</v>
      </c>
      <c r="G832">
        <v>-158.19499999999999</v>
      </c>
      <c r="H832">
        <v>0.98271509999999995</v>
      </c>
      <c r="I832">
        <v>365.98970000000003</v>
      </c>
      <c r="J832">
        <v>-224.54429999999999</v>
      </c>
      <c r="K832">
        <v>1.1212740000000001</v>
      </c>
      <c r="L832">
        <v>366.98410000000001</v>
      </c>
      <c r="M832">
        <v>0.99917389999999995</v>
      </c>
      <c r="N832">
        <v>-1.408069E-2</v>
      </c>
      <c r="O832">
        <v>-3.8123949999999997E-2</v>
      </c>
      <c r="P832">
        <v>0.95885359999999997</v>
      </c>
      <c r="Q832">
        <v>0.1941812</v>
      </c>
      <c r="R832">
        <v>-0.2071075</v>
      </c>
      <c r="S832">
        <v>3.1201020000000002</v>
      </c>
      <c r="T832">
        <v>-6.4833159999999898E-3</v>
      </c>
      <c r="U832">
        <v>-4.7088619999999998E-2</v>
      </c>
      <c r="V832">
        <v>0.17049800000000001</v>
      </c>
      <c r="W832">
        <v>0.20768229999999999</v>
      </c>
      <c r="X832">
        <v>0.96322300000000005</v>
      </c>
      <c r="Y832">
        <v>-2.3040930000000001E-2</v>
      </c>
      <c r="Z832">
        <v>-2.715816E-4</v>
      </c>
      <c r="AA832">
        <v>0.99973449999999997</v>
      </c>
      <c r="AB832">
        <v>28</v>
      </c>
      <c r="AC832">
        <v>66.349299999999999</v>
      </c>
      <c r="AD832">
        <v>-0.13855889999999901</v>
      </c>
      <c r="AE832">
        <v>-0.99439999999998396</v>
      </c>
      <c r="AF832">
        <v>-1.53606431368731</v>
      </c>
      <c r="AG832">
        <v>-0.13855889999999901</v>
      </c>
      <c r="AH832">
        <v>66.338680657575594</v>
      </c>
      <c r="AI832">
        <v>90.119639118938807</v>
      </c>
      <c r="AJ832">
        <v>91.326439983562196</v>
      </c>
      <c r="AK832">
        <v>66.356606630631305</v>
      </c>
      <c r="AL832">
        <v>78.013436741403694</v>
      </c>
      <c r="AM832">
        <v>79.962171660127595</v>
      </c>
      <c r="AN832">
        <v>1.0000000267331399</v>
      </c>
    </row>
    <row r="833" spans="1:40" x14ac:dyDescent="0.25">
      <c r="A833" t="str">
        <f>"20190303170734539"</f>
        <v>20190303170734539</v>
      </c>
      <c r="B833" t="str">
        <f>"1551604054532950"</f>
        <v>1551604054532950</v>
      </c>
      <c r="C833" t="s">
        <v>40</v>
      </c>
      <c r="D833">
        <v>5.0282429999999998</v>
      </c>
      <c r="E833">
        <v>0.42872470000000001</v>
      </c>
      <c r="F833" t="s">
        <v>44</v>
      </c>
      <c r="G833">
        <v>-158.19499999999999</v>
      </c>
      <c r="H833">
        <v>1.020751</v>
      </c>
      <c r="I833">
        <v>366.03919999999999</v>
      </c>
      <c r="J833">
        <v>-224.27440000000001</v>
      </c>
      <c r="K833">
        <v>1.121265</v>
      </c>
      <c r="L833">
        <v>366.9735</v>
      </c>
      <c r="M833">
        <v>0.99916419999999995</v>
      </c>
      <c r="N833">
        <v>-1.4077950000000001E-2</v>
      </c>
      <c r="O833">
        <v>-3.8375359999999997E-2</v>
      </c>
      <c r="P833">
        <v>0.95900609999999997</v>
      </c>
      <c r="Q833">
        <v>0.1950943</v>
      </c>
      <c r="R833">
        <v>-0.20553750000000001</v>
      </c>
      <c r="S833">
        <v>3.1200869999999998</v>
      </c>
      <c r="T833">
        <v>-4.7229530000000002E-3</v>
      </c>
      <c r="U833">
        <v>-4.4433590000000002E-2</v>
      </c>
      <c r="V833">
        <v>0.16868469999999999</v>
      </c>
      <c r="W833">
        <v>0.20859269999999999</v>
      </c>
      <c r="X833">
        <v>0.96334549999999997</v>
      </c>
      <c r="Y833">
        <v>-2.4142750000000001E-2</v>
      </c>
      <c r="Z833">
        <v>-2.9408260000000002E-4</v>
      </c>
      <c r="AA833">
        <v>0.9997085</v>
      </c>
      <c r="AB833">
        <v>28</v>
      </c>
      <c r="AC833">
        <v>66.079400000000007</v>
      </c>
      <c r="AD833">
        <v>-0.10051400000000001</v>
      </c>
      <c r="AE833">
        <v>-0.93430000000000701</v>
      </c>
      <c r="AF833">
        <v>-1.6024567828363701</v>
      </c>
      <c r="AG833">
        <v>-0.10051400000000001</v>
      </c>
      <c r="AH833">
        <v>66.066420722261498</v>
      </c>
      <c r="AI833">
        <v>90.087144576031093</v>
      </c>
      <c r="AJ833">
        <v>91.389450353491895</v>
      </c>
      <c r="AK833">
        <v>66.085928289280403</v>
      </c>
      <c r="AL833">
        <v>77.960106354844996</v>
      </c>
      <c r="AM833">
        <v>80.0680277449448</v>
      </c>
      <c r="AN833">
        <v>0.99999999743881396</v>
      </c>
    </row>
    <row r="834" spans="1:40" x14ac:dyDescent="0.25">
      <c r="A834" t="str">
        <f>"20190303170734562"</f>
        <v>20190303170734562</v>
      </c>
      <c r="B834" t="str">
        <f>"1551604054553446"</f>
        <v>1551604054553446</v>
      </c>
      <c r="C834" t="s">
        <v>40</v>
      </c>
      <c r="D834">
        <v>5.0223300000000002</v>
      </c>
      <c r="E834">
        <v>0.42880849999999998</v>
      </c>
      <c r="F834" t="s">
        <v>44</v>
      </c>
      <c r="G834">
        <v>-158.19499999999999</v>
      </c>
      <c r="H834">
        <v>1.0821940000000001</v>
      </c>
      <c r="I834">
        <v>366.13529999999997</v>
      </c>
      <c r="J834">
        <v>-224.00309999999999</v>
      </c>
      <c r="K834">
        <v>1.1212569999999999</v>
      </c>
      <c r="L834">
        <v>366.96280000000002</v>
      </c>
      <c r="M834">
        <v>0.99915370000000003</v>
      </c>
      <c r="N834">
        <v>-1.407519E-2</v>
      </c>
      <c r="O834">
        <v>-3.8647220000000003E-2</v>
      </c>
      <c r="P834">
        <v>0.95928539999999995</v>
      </c>
      <c r="Q834">
        <v>0.1948078</v>
      </c>
      <c r="R834">
        <v>-0.2045033</v>
      </c>
      <c r="S834">
        <v>3.1201319999999999</v>
      </c>
      <c r="T834">
        <v>-1.8407110000000001E-3</v>
      </c>
      <c r="U834">
        <v>-3.95813E-2</v>
      </c>
      <c r="V834">
        <v>0.16738359999999999</v>
      </c>
      <c r="W834">
        <v>0.20830309999999999</v>
      </c>
      <c r="X834">
        <v>0.96363509999999997</v>
      </c>
      <c r="Y834">
        <v>-2.5969039999999999E-2</v>
      </c>
      <c r="Z834">
        <v>-3.3087870000000002E-4</v>
      </c>
      <c r="AA834">
        <v>0.99966270000000002</v>
      </c>
      <c r="AB834">
        <v>28</v>
      </c>
      <c r="AC834">
        <v>65.808099999999996</v>
      </c>
      <c r="AD834">
        <v>-3.9062999999999799E-2</v>
      </c>
      <c r="AE834">
        <v>-0.82750000000004298</v>
      </c>
      <c r="AF834">
        <v>-1.7166700228304801</v>
      </c>
      <c r="AG834">
        <v>-3.9062999999999799E-2</v>
      </c>
      <c r="AH834">
        <v>65.790886709774497</v>
      </c>
      <c r="AI834">
        <v>90.034007495093107</v>
      </c>
      <c r="AJ834">
        <v>91.494669540072806</v>
      </c>
      <c r="AK834">
        <v>65.813290876111296</v>
      </c>
      <c r="AL834">
        <v>77.977072265372996</v>
      </c>
      <c r="AM834">
        <v>80.146031049651597</v>
      </c>
      <c r="AN834">
        <v>1.0000000284852799</v>
      </c>
    </row>
    <row r="835" spans="1:40" x14ac:dyDescent="0.25">
      <c r="A835" t="str">
        <f>"20190303170734583"</f>
        <v>20190303170734583</v>
      </c>
      <c r="B835" t="str">
        <f>"1551604054572966"</f>
        <v>1551604054572966</v>
      </c>
      <c r="C835" t="s">
        <v>40</v>
      </c>
      <c r="D835">
        <v>5.0176600000000002</v>
      </c>
      <c r="E835">
        <v>0.4289328</v>
      </c>
      <c r="F835" t="s">
        <v>44</v>
      </c>
      <c r="G835">
        <v>-158.19499999999999</v>
      </c>
      <c r="H835">
        <v>1.0611200000000001</v>
      </c>
      <c r="I835">
        <v>366.19299999999998</v>
      </c>
      <c r="J835">
        <v>-223.7319</v>
      </c>
      <c r="K835">
        <v>1.1212439999999999</v>
      </c>
      <c r="L835">
        <v>366.952</v>
      </c>
      <c r="M835">
        <v>0.99914230000000004</v>
      </c>
      <c r="N835">
        <v>-1.407245E-2</v>
      </c>
      <c r="O835">
        <v>-3.8941080000000003E-2</v>
      </c>
      <c r="P835">
        <v>0.95941379999999998</v>
      </c>
      <c r="Q835">
        <v>0.1945674</v>
      </c>
      <c r="R835">
        <v>-0.2041287</v>
      </c>
      <c r="S835">
        <v>3.120117</v>
      </c>
      <c r="T835">
        <v>-2.8470750000000001E-3</v>
      </c>
      <c r="U835">
        <v>-3.649902E-2</v>
      </c>
      <c r="V835">
        <v>0.16672819999999999</v>
      </c>
      <c r="W835">
        <v>0.20805589999999999</v>
      </c>
      <c r="X835">
        <v>0.96380209999999999</v>
      </c>
      <c r="Y835">
        <v>-2.7250429999999999E-2</v>
      </c>
      <c r="Z835">
        <v>-3.0842910000000002E-4</v>
      </c>
      <c r="AA835">
        <v>0.99962859999999998</v>
      </c>
      <c r="AB835">
        <v>28</v>
      </c>
      <c r="AC835">
        <v>65.536900000000003</v>
      </c>
      <c r="AD835">
        <v>-6.0123999999999997E-2</v>
      </c>
      <c r="AE835">
        <v>-0.75899999999995704</v>
      </c>
      <c r="AF835">
        <v>-1.7939049862918801</v>
      </c>
      <c r="AG835">
        <v>-6.0123999999999997E-2</v>
      </c>
      <c r="AH835">
        <v>65.516685033116005</v>
      </c>
      <c r="AI835">
        <v>90.052560044520405</v>
      </c>
      <c r="AJ835">
        <v>91.568417420612704</v>
      </c>
      <c r="AK835">
        <v>65.541267364338793</v>
      </c>
      <c r="AL835">
        <v>77.991552931766094</v>
      </c>
      <c r="AM835">
        <v>80.185530594709604</v>
      </c>
      <c r="AN835">
        <v>1.00000001908222</v>
      </c>
    </row>
    <row r="836" spans="1:40" x14ac:dyDescent="0.25">
      <c r="A836" t="str">
        <f>"20190303170734607"</f>
        <v>20190303170734607</v>
      </c>
      <c r="B836" t="str">
        <f>"1551604054593461"</f>
        <v>1551604054593461</v>
      </c>
      <c r="C836" t="s">
        <v>40</v>
      </c>
      <c r="D836">
        <v>5.1184120000000002</v>
      </c>
      <c r="E836">
        <v>0.42901050000000002</v>
      </c>
      <c r="F836" t="s">
        <v>44</v>
      </c>
      <c r="G836">
        <v>-158.19499999999999</v>
      </c>
      <c r="H836">
        <v>1.036251</v>
      </c>
      <c r="I836">
        <v>366.19299999999998</v>
      </c>
      <c r="J836">
        <v>-223.4504</v>
      </c>
      <c r="K836">
        <v>1.121224</v>
      </c>
      <c r="L836">
        <v>366.94069999999999</v>
      </c>
      <c r="M836">
        <v>0.9991295</v>
      </c>
      <c r="N836">
        <v>-1.4069679999999999E-2</v>
      </c>
      <c r="O836">
        <v>-3.9271E-2</v>
      </c>
      <c r="P836">
        <v>0.95909610000000001</v>
      </c>
      <c r="Q836">
        <v>0.1950624</v>
      </c>
      <c r="R836">
        <v>-0.20514669999999999</v>
      </c>
      <c r="S836">
        <v>3.1200260000000002</v>
      </c>
      <c r="T836">
        <v>-4.0421490000000001E-3</v>
      </c>
      <c r="U836">
        <v>-3.6132810000000001E-2</v>
      </c>
      <c r="V836">
        <v>0.1674486</v>
      </c>
      <c r="W836">
        <v>0.20853720000000001</v>
      </c>
      <c r="X836">
        <v>0.96357320000000002</v>
      </c>
      <c r="Y836">
        <v>-2.7697550000000001E-2</v>
      </c>
      <c r="Z836">
        <v>-2.8901030000000002E-4</v>
      </c>
      <c r="AA836">
        <v>0.99961630000000001</v>
      </c>
      <c r="AB836">
        <v>28</v>
      </c>
      <c r="AC836">
        <v>65.255399999999995</v>
      </c>
      <c r="AD836">
        <v>-8.4972999999999896E-2</v>
      </c>
      <c r="AE836">
        <v>-0.74769999999995196</v>
      </c>
      <c r="AF836">
        <v>-1.8157724064185199</v>
      </c>
      <c r="AG836">
        <v>-8.4972999999999896E-2</v>
      </c>
      <c r="AH836">
        <v>65.2343070342082</v>
      </c>
      <c r="AI836">
        <v>90.074603484382905</v>
      </c>
      <c r="AJ836">
        <v>91.594394801891895</v>
      </c>
      <c r="AK836">
        <v>65.259628133142101</v>
      </c>
      <c r="AL836">
        <v>77.963358472380193</v>
      </c>
      <c r="AM836">
        <v>80.141658680046703</v>
      </c>
      <c r="AN836">
        <v>1.00000005459201</v>
      </c>
    </row>
    <row r="837" spans="1:40" x14ac:dyDescent="0.25">
      <c r="A837" t="str">
        <f>"20190303170734630"</f>
        <v>20190303170734630</v>
      </c>
      <c r="B837" t="str">
        <f>"1551604054622741"</f>
        <v>1551604054622741</v>
      </c>
      <c r="C837" t="s">
        <v>40</v>
      </c>
      <c r="D837">
        <v>5.0764469999999999</v>
      </c>
      <c r="E837">
        <v>0.47020689999999998</v>
      </c>
      <c r="F837" t="s">
        <v>44</v>
      </c>
      <c r="G837">
        <v>-158.19499999999999</v>
      </c>
      <c r="H837">
        <v>1.0719069999999999</v>
      </c>
      <c r="I837">
        <v>366.1148</v>
      </c>
      <c r="J837">
        <v>-223.16319999999999</v>
      </c>
      <c r="K837">
        <v>1.121208</v>
      </c>
      <c r="L837">
        <v>366.92899999999997</v>
      </c>
      <c r="M837">
        <v>0.99911530000000004</v>
      </c>
      <c r="N837">
        <v>-1.4066800000000001E-2</v>
      </c>
      <c r="O837">
        <v>-3.9634780000000001E-2</v>
      </c>
      <c r="P837">
        <v>0.9584492</v>
      </c>
      <c r="Q837">
        <v>0.19558239999999999</v>
      </c>
      <c r="R837">
        <v>-0.20766019999999999</v>
      </c>
      <c r="S837">
        <v>3.1199949999999999</v>
      </c>
      <c r="T837">
        <v>-2.353787E-3</v>
      </c>
      <c r="U837">
        <v>-3.9489749999999997E-2</v>
      </c>
      <c r="V837">
        <v>0.16964409999999999</v>
      </c>
      <c r="W837">
        <v>0.209038</v>
      </c>
      <c r="X837">
        <v>0.96308050000000001</v>
      </c>
      <c r="Y837">
        <v>-2.6985840000000001E-2</v>
      </c>
      <c r="Z837">
        <v>-3.2779489999999999E-4</v>
      </c>
      <c r="AA837">
        <v>0.99963579999999996</v>
      </c>
      <c r="AB837">
        <v>28</v>
      </c>
      <c r="AC837">
        <v>64.968199999999996</v>
      </c>
      <c r="AD837">
        <v>-4.9300999999999998E-2</v>
      </c>
      <c r="AE837">
        <v>-0.81420000000002801</v>
      </c>
      <c r="AF837">
        <v>-1.7616937759000999</v>
      </c>
      <c r="AG837">
        <v>-4.9300999999999998E-2</v>
      </c>
      <c r="AH837">
        <v>64.949376492364706</v>
      </c>
      <c r="AI837">
        <v>90.043475400455506</v>
      </c>
      <c r="AJ837">
        <v>91.553715842705301</v>
      </c>
      <c r="AK837">
        <v>64.973282988437603</v>
      </c>
      <c r="AL837">
        <v>77.934017787259705</v>
      </c>
      <c r="AM837">
        <v>80.009980769233096</v>
      </c>
      <c r="AN837">
        <v>1.00000002779452</v>
      </c>
    </row>
    <row r="838" spans="1:40" x14ac:dyDescent="0.25">
      <c r="A838" t="str">
        <f>"20190303170734651"</f>
        <v>20190303170734651</v>
      </c>
      <c r="B838" t="str">
        <f>"1551604054643238"</f>
        <v>1551604054643238</v>
      </c>
      <c r="C838" t="s">
        <v>40</v>
      </c>
      <c r="D838">
        <v>4.9184590000000004</v>
      </c>
      <c r="E838">
        <v>0.52904739999999995</v>
      </c>
      <c r="F838" t="s">
        <v>48</v>
      </c>
      <c r="G838">
        <v>-187.5068</v>
      </c>
      <c r="H838" s="1">
        <v>-6.5507160000000003E-6</v>
      </c>
      <c r="I838">
        <v>362.6773</v>
      </c>
      <c r="J838">
        <v>-222.90379999999999</v>
      </c>
      <c r="K838">
        <v>1.1211899999999999</v>
      </c>
      <c r="L838">
        <v>366.91829999999999</v>
      </c>
      <c r="M838">
        <v>0.99910109999999996</v>
      </c>
      <c r="N838">
        <v>-1.4064159999999999E-2</v>
      </c>
      <c r="O838">
        <v>-3.9988860000000001E-2</v>
      </c>
      <c r="P838">
        <v>0.95796760000000003</v>
      </c>
      <c r="Q838">
        <v>0.19559950000000001</v>
      </c>
      <c r="R838">
        <v>-0.20985429999999999</v>
      </c>
      <c r="S838">
        <v>3.070465</v>
      </c>
      <c r="T838">
        <v>-9.6550700000000003E-2</v>
      </c>
      <c r="U838">
        <v>-0.36611939999999998</v>
      </c>
      <c r="V838">
        <v>0.1715219</v>
      </c>
      <c r="W838">
        <v>0.20903939999999999</v>
      </c>
      <c r="X838">
        <v>0.96274749999999998</v>
      </c>
      <c r="Y838">
        <v>7.8544470000000005E-2</v>
      </c>
      <c r="Z838">
        <v>-1.093873E-3</v>
      </c>
      <c r="AA838">
        <v>0.99690999999999996</v>
      </c>
      <c r="AB838">
        <v>28</v>
      </c>
      <c r="AC838">
        <v>35.396999999999899</v>
      </c>
      <c r="AD838">
        <v>-1.121196550716</v>
      </c>
      <c r="AE838">
        <v>-4.2409999999999801</v>
      </c>
      <c r="AF838">
        <v>2.8191928463456901</v>
      </c>
      <c r="AG838">
        <v>-1.121196550716</v>
      </c>
      <c r="AH838">
        <v>35.503174555429197</v>
      </c>
      <c r="AI838">
        <v>91.803137640115594</v>
      </c>
      <c r="AJ838">
        <v>85.459853064420003</v>
      </c>
      <c r="AK838">
        <v>35.632574051329797</v>
      </c>
      <c r="AL838">
        <v>77.933935308438507</v>
      </c>
      <c r="AM838">
        <v>79.898243532755899</v>
      </c>
      <c r="AN838">
        <v>0.99999999084410895</v>
      </c>
    </row>
    <row r="839" spans="1:40" x14ac:dyDescent="0.25">
      <c r="A839" t="str">
        <f>"20190303170734673"</f>
        <v>20190303170734673</v>
      </c>
      <c r="B839" t="str">
        <f>"1551604054662759"</f>
        <v>1551604054662759</v>
      </c>
      <c r="C839" t="s">
        <v>40</v>
      </c>
      <c r="D839">
        <v>4.920388</v>
      </c>
      <c r="E839">
        <v>0.53360810000000003</v>
      </c>
      <c r="F839" t="s">
        <v>48</v>
      </c>
      <c r="G839">
        <v>-195.85579999999999</v>
      </c>
      <c r="H839" s="1">
        <v>-6.1172730000000002E-6</v>
      </c>
      <c r="I839">
        <v>359.34769999999997</v>
      </c>
      <c r="J839">
        <v>-222.62639999999999</v>
      </c>
      <c r="K839">
        <v>1.1211709999999999</v>
      </c>
      <c r="L839">
        <v>366.90679999999998</v>
      </c>
      <c r="M839">
        <v>0.99908520000000001</v>
      </c>
      <c r="N839">
        <v>-1.406132E-2</v>
      </c>
      <c r="O839">
        <v>-4.0388809999999997E-2</v>
      </c>
      <c r="P839">
        <v>0.95741120000000002</v>
      </c>
      <c r="Q839">
        <v>0.1960914</v>
      </c>
      <c r="R839">
        <v>-0.21192440000000001</v>
      </c>
      <c r="S839">
        <v>2.9744109999999999</v>
      </c>
      <c r="T839">
        <v>-0.1232954</v>
      </c>
      <c r="U839">
        <v>-0.83251949999999997</v>
      </c>
      <c r="V839">
        <v>0.17323469999999999</v>
      </c>
      <c r="W839">
        <v>0.20951549999999999</v>
      </c>
      <c r="X839">
        <v>0.96233729999999995</v>
      </c>
      <c r="Y839">
        <v>0.2301822</v>
      </c>
      <c r="Z839">
        <v>-5.2473729999999996E-3</v>
      </c>
      <c r="AA839">
        <v>0.97313340000000004</v>
      </c>
      <c r="AB839">
        <v>27</v>
      </c>
      <c r="AC839">
        <v>26.770600000000002</v>
      </c>
      <c r="AD839">
        <v>-1.1211771172729901</v>
      </c>
      <c r="AE839">
        <v>-7.5590999999999999</v>
      </c>
      <c r="AF839">
        <v>6.4610954010744699</v>
      </c>
      <c r="AG839">
        <v>-1.1211771172729901</v>
      </c>
      <c r="AH839">
        <v>27.010207330287599</v>
      </c>
      <c r="AI839">
        <v>92.311799973618704</v>
      </c>
      <c r="AJ839">
        <v>76.547105552932393</v>
      </c>
      <c r="AK839">
        <v>27.794857292945501</v>
      </c>
      <c r="AL839">
        <v>77.906039695336503</v>
      </c>
      <c r="AM839">
        <v>79.795219712584199</v>
      </c>
      <c r="AN839">
        <v>1.0000000424978099</v>
      </c>
    </row>
    <row r="840" spans="1:40" x14ac:dyDescent="0.25">
      <c r="A840" t="str">
        <f>"20190303170734696"</f>
        <v>20190303170734696</v>
      </c>
      <c r="B840" t="str">
        <f>"1551604054683253"</f>
        <v>1551604054683253</v>
      </c>
      <c r="C840" t="s">
        <v>40</v>
      </c>
      <c r="D840">
        <v>4.8909580000000004</v>
      </c>
      <c r="E840">
        <v>0.53580939999999999</v>
      </c>
      <c r="F840" t="s">
        <v>48</v>
      </c>
      <c r="G840">
        <v>-198.04230000000001</v>
      </c>
      <c r="H840" s="1">
        <v>-9.6641979999999993E-6</v>
      </c>
      <c r="I840">
        <v>359.65460000000002</v>
      </c>
      <c r="J840">
        <v>-222.3492</v>
      </c>
      <c r="K840">
        <v>1.1211519999999999</v>
      </c>
      <c r="L840">
        <v>366.89510000000001</v>
      </c>
      <c r="M840">
        <v>0.99906810000000001</v>
      </c>
      <c r="N840">
        <v>-1.405849E-2</v>
      </c>
      <c r="O840">
        <v>-4.0810430000000002E-2</v>
      </c>
      <c r="P840">
        <v>0.95714900000000003</v>
      </c>
      <c r="Q840">
        <v>0.19613069999999999</v>
      </c>
      <c r="R840">
        <v>-0.2130708</v>
      </c>
      <c r="S840">
        <v>2.9673919999999998</v>
      </c>
      <c r="T840">
        <v>-0.13533120000000001</v>
      </c>
      <c r="U840">
        <v>-0.87536619999999998</v>
      </c>
      <c r="V840">
        <v>0.17399049999999999</v>
      </c>
      <c r="W840">
        <v>0.20954300000000001</v>
      </c>
      <c r="X840">
        <v>0.96219489999999996</v>
      </c>
      <c r="Y840">
        <v>0.24326809999999999</v>
      </c>
      <c r="Z840">
        <v>-5.9198899999999997E-3</v>
      </c>
      <c r="AA840">
        <v>0.96994100000000005</v>
      </c>
      <c r="AB840">
        <v>27</v>
      </c>
      <c r="AC840">
        <v>24.306899999999899</v>
      </c>
      <c r="AD840">
        <v>-1.121161664198</v>
      </c>
      <c r="AE840">
        <v>-7.2404999999999902</v>
      </c>
      <c r="AF840">
        <v>6.2302190734717202</v>
      </c>
      <c r="AG840">
        <v>-1.121161664198</v>
      </c>
      <c r="AH840">
        <v>24.534219798992599</v>
      </c>
      <c r="AI840">
        <v>92.536091897212202</v>
      </c>
      <c r="AJ840">
        <v>75.751489598424996</v>
      </c>
      <c r="AK840">
        <v>25.3377302520569</v>
      </c>
      <c r="AL840">
        <v>77.904427699896999</v>
      </c>
      <c r="AM840">
        <v>79.7501546330097</v>
      </c>
      <c r="AN840">
        <v>0.99999999426262998</v>
      </c>
    </row>
    <row r="841" spans="1:40" x14ac:dyDescent="0.25">
      <c r="A841" t="str">
        <f>"20190303170734719"</f>
        <v>20190303170734719</v>
      </c>
      <c r="B841" t="str">
        <f>"1551604054713510"</f>
        <v>1551604054713510</v>
      </c>
      <c r="C841" t="s">
        <v>40</v>
      </c>
      <c r="D841">
        <v>4.8966209999999997</v>
      </c>
      <c r="E841">
        <v>0.53740259999999995</v>
      </c>
      <c r="F841" t="s">
        <v>48</v>
      </c>
      <c r="G841">
        <v>-198.68340000000001</v>
      </c>
      <c r="H841" s="1">
        <v>-9.8761849999999994E-6</v>
      </c>
      <c r="I841">
        <v>359.738</v>
      </c>
      <c r="J841">
        <v>-222.06739999999999</v>
      </c>
      <c r="K841">
        <v>1.1211390000000001</v>
      </c>
      <c r="L841">
        <v>366.88310000000001</v>
      </c>
      <c r="M841">
        <v>0.99904950000000003</v>
      </c>
      <c r="N841">
        <v>-1.405561E-2</v>
      </c>
      <c r="O841">
        <v>-4.1264870000000002E-2</v>
      </c>
      <c r="P841">
        <v>0.95696890000000001</v>
      </c>
      <c r="Q841">
        <v>0.1955288</v>
      </c>
      <c r="R841">
        <v>-0.21442839999999999</v>
      </c>
      <c r="S841">
        <v>2.9635310000000001</v>
      </c>
      <c r="T841">
        <v>-0.1403964</v>
      </c>
      <c r="U841">
        <v>-0.89624020000000004</v>
      </c>
      <c r="V841">
        <v>0.174923</v>
      </c>
      <c r="W841">
        <v>0.2089308</v>
      </c>
      <c r="X841">
        <v>0.96215899999999999</v>
      </c>
      <c r="Y841">
        <v>0.24940979999999999</v>
      </c>
      <c r="Z841">
        <v>-6.228351E-3</v>
      </c>
      <c r="AA841">
        <v>0.96837799999999996</v>
      </c>
      <c r="AB841">
        <v>27</v>
      </c>
      <c r="AC841">
        <v>23.383999999999901</v>
      </c>
      <c r="AD841">
        <v>-1.1211488761849999</v>
      </c>
      <c r="AE841">
        <v>-7.1450999999999496</v>
      </c>
      <c r="AF841">
        <v>6.1610267696085499</v>
      </c>
      <c r="AG841">
        <v>-1.1211488761849999</v>
      </c>
      <c r="AH841">
        <v>23.6093120513139</v>
      </c>
      <c r="AI841">
        <v>92.630822263974693</v>
      </c>
      <c r="AJ841">
        <v>75.374409480926502</v>
      </c>
      <c r="AK841">
        <v>24.425700423830602</v>
      </c>
      <c r="AL841">
        <v>77.940298708381107</v>
      </c>
      <c r="AM841">
        <v>79.696018187700403</v>
      </c>
      <c r="AN841">
        <v>1.0000000381993099</v>
      </c>
    </row>
    <row r="842" spans="1:40" x14ac:dyDescent="0.25">
      <c r="A842" t="str">
        <f>"20190303170734740"</f>
        <v>20190303170734740</v>
      </c>
      <c r="B842" t="str">
        <f>"1551604054733031"</f>
        <v>1551604054733031</v>
      </c>
      <c r="C842" t="s">
        <v>40</v>
      </c>
      <c r="D842">
        <v>4.9319610000000003</v>
      </c>
      <c r="E842">
        <v>0.53797050000000002</v>
      </c>
      <c r="F842" t="s">
        <v>48</v>
      </c>
      <c r="G842">
        <v>-199.47450000000001</v>
      </c>
      <c r="H842" s="1">
        <v>-1.0125419999999999E-5</v>
      </c>
      <c r="I842">
        <v>359.9203</v>
      </c>
      <c r="J842">
        <v>-221.8032</v>
      </c>
      <c r="K842">
        <v>1.12112099999999</v>
      </c>
      <c r="L842">
        <v>366.87169999999998</v>
      </c>
      <c r="M842">
        <v>0.99903070000000005</v>
      </c>
      <c r="N842">
        <v>-1.405292E-2</v>
      </c>
      <c r="O842">
        <v>-4.1716120000000002E-2</v>
      </c>
      <c r="P842">
        <v>0.95660149999999999</v>
      </c>
      <c r="Q842">
        <v>0.19563420000000001</v>
      </c>
      <c r="R842">
        <v>-0.2159655</v>
      </c>
      <c r="S842">
        <v>2.9604949999999999</v>
      </c>
      <c r="T842">
        <v>-0.14691199999999999</v>
      </c>
      <c r="U842">
        <v>-0.91238399999999997</v>
      </c>
      <c r="V842">
        <v>0.17604779999999901</v>
      </c>
      <c r="W842">
        <v>0.20902119999999999</v>
      </c>
      <c r="X842">
        <v>0.96193410000000001</v>
      </c>
      <c r="Y842">
        <v>0.25404300000000002</v>
      </c>
      <c r="Z842">
        <v>-6.5391410000000001E-3</v>
      </c>
      <c r="AA842">
        <v>0.9671708</v>
      </c>
      <c r="AB842">
        <v>27</v>
      </c>
      <c r="AC842">
        <v>22.328700000000001</v>
      </c>
      <c r="AD842">
        <v>-1.12113112541999</v>
      </c>
      <c r="AE842">
        <v>-6.9513999999999703</v>
      </c>
      <c r="AF842">
        <v>5.99999902580275</v>
      </c>
      <c r="AG842">
        <v>-1.12113112541999</v>
      </c>
      <c r="AH842">
        <v>22.547451904296601</v>
      </c>
      <c r="AI842">
        <v>92.751002763239399</v>
      </c>
      <c r="AJ842">
        <v>75.098609486951901</v>
      </c>
      <c r="AK842">
        <v>23.3590348834576</v>
      </c>
      <c r="AL842">
        <v>77.935001164160198</v>
      </c>
      <c r="AM842">
        <v>79.6288220443885</v>
      </c>
      <c r="AN842">
        <v>0.99999995133854302</v>
      </c>
    </row>
    <row r="843" spans="1:40" x14ac:dyDescent="0.25">
      <c r="A843" t="str">
        <f>"20190303170734762"</f>
        <v>20190303170734762</v>
      </c>
      <c r="B843" t="str">
        <f>"1551604054753526"</f>
        <v>1551604054753526</v>
      </c>
      <c r="C843" t="s">
        <v>40</v>
      </c>
      <c r="D843">
        <v>4.897316</v>
      </c>
      <c r="E843">
        <v>0.53836969999999995</v>
      </c>
      <c r="F843" t="s">
        <v>48</v>
      </c>
      <c r="G843">
        <v>-199.51609999999999</v>
      </c>
      <c r="H843" s="1">
        <v>-1.013848E-5</v>
      </c>
      <c r="I843">
        <v>359.93009999999998</v>
      </c>
      <c r="J843">
        <v>-221.54050000000001</v>
      </c>
      <c r="K843">
        <v>1.1211070000000001</v>
      </c>
      <c r="L843">
        <v>366.86020000000002</v>
      </c>
      <c r="M843">
        <v>0.99901090000000003</v>
      </c>
      <c r="N843">
        <v>-1.405036E-2</v>
      </c>
      <c r="O843">
        <v>-4.218947E-2</v>
      </c>
      <c r="P843">
        <v>0.95631319999999997</v>
      </c>
      <c r="Q843">
        <v>0.19604460000000001</v>
      </c>
      <c r="R843">
        <v>-0.21686800000000001</v>
      </c>
      <c r="S843">
        <v>2.958542</v>
      </c>
      <c r="T843">
        <v>-0.1488264</v>
      </c>
      <c r="U843">
        <v>-0.92147829999999997</v>
      </c>
      <c r="V843">
        <v>0.17651500000000001</v>
      </c>
      <c r="W843">
        <v>0.20941799999999999</v>
      </c>
      <c r="X843">
        <v>0.96176220000000001</v>
      </c>
      <c r="Y843">
        <v>0.256465</v>
      </c>
      <c r="Z843">
        <v>-6.6542270000000004E-3</v>
      </c>
      <c r="AA843">
        <v>0.96653060000000002</v>
      </c>
      <c r="AB843">
        <v>27</v>
      </c>
      <c r="AC843">
        <v>22.0244</v>
      </c>
      <c r="AD843">
        <v>-1.1211171384799901</v>
      </c>
      <c r="AE843">
        <v>-6.9301000000000403</v>
      </c>
      <c r="AF843">
        <v>5.9805385288933302</v>
      </c>
      <c r="AG843">
        <v>-1.1211171384799901</v>
      </c>
      <c r="AH843">
        <v>22.244745344167001</v>
      </c>
      <c r="AI843">
        <v>92.786437155943304</v>
      </c>
      <c r="AJ843">
        <v>74.9517626978067</v>
      </c>
      <c r="AK843">
        <v>23.061926202306001</v>
      </c>
      <c r="AL843">
        <v>77.911752088525304</v>
      </c>
      <c r="AM843">
        <v>79.600080398724003</v>
      </c>
      <c r="AN843">
        <v>0.99999998664891998</v>
      </c>
    </row>
    <row r="844" spans="1:40" x14ac:dyDescent="0.25">
      <c r="A844" t="str">
        <f>"20190303170734785"</f>
        <v>20190303170734785</v>
      </c>
      <c r="B844" t="str">
        <f>"1551604054773046"</f>
        <v>1551604054773046</v>
      </c>
      <c r="C844" t="s">
        <v>40</v>
      </c>
      <c r="D844">
        <v>4.8941460000000001</v>
      </c>
      <c r="E844">
        <v>0.53874639999999996</v>
      </c>
      <c r="F844" t="s">
        <v>48</v>
      </c>
      <c r="G844">
        <v>-199.3201</v>
      </c>
      <c r="H844" s="1">
        <v>-1.0075049999999999E-5</v>
      </c>
      <c r="I844">
        <v>359.89569999999998</v>
      </c>
      <c r="J844">
        <v>-221.26390000000001</v>
      </c>
      <c r="K844">
        <v>1.121095</v>
      </c>
      <c r="L844">
        <v>366.84789999999998</v>
      </c>
      <c r="M844">
        <v>0.9989886</v>
      </c>
      <c r="N844">
        <v>-1.404766E-2</v>
      </c>
      <c r="O844">
        <v>-4.2715059999999999E-2</v>
      </c>
      <c r="P844">
        <v>0.95584380000000002</v>
      </c>
      <c r="Q844">
        <v>0.19685230000000001</v>
      </c>
      <c r="R844">
        <v>-0.21820220000000001</v>
      </c>
      <c r="S844">
        <v>2.957443</v>
      </c>
      <c r="T844">
        <v>-0.14921579999999901</v>
      </c>
      <c r="U844">
        <v>-0.92694089999999996</v>
      </c>
      <c r="V844">
        <v>0.17737249999999999</v>
      </c>
      <c r="W844">
        <v>0.21020829999999999</v>
      </c>
      <c r="X844">
        <v>0.96143199999999995</v>
      </c>
      <c r="Y844">
        <v>0.25768160000000001</v>
      </c>
      <c r="Z844">
        <v>-6.6857100000000001E-3</v>
      </c>
      <c r="AA844">
        <v>0.96620669999999997</v>
      </c>
      <c r="AB844">
        <v>27</v>
      </c>
      <c r="AC844">
        <v>21.9438</v>
      </c>
      <c r="AD844">
        <v>-1.12110507505</v>
      </c>
      <c r="AE844">
        <v>-6.9522000000000004</v>
      </c>
      <c r="AF844">
        <v>5.99421154591366</v>
      </c>
      <c r="AG844">
        <v>-1.12110507505</v>
      </c>
      <c r="AH844">
        <v>22.1681761555026</v>
      </c>
      <c r="AI844">
        <v>92.794932112821897</v>
      </c>
      <c r="AJ844">
        <v>74.869218365696199</v>
      </c>
      <c r="AK844">
        <v>22.991639408877798</v>
      </c>
      <c r="AL844">
        <v>77.865440714211303</v>
      </c>
      <c r="AM844">
        <v>79.547158724293894</v>
      </c>
      <c r="AN844">
        <v>1.00000001188456</v>
      </c>
    </row>
    <row r="845" spans="1:40" x14ac:dyDescent="0.25">
      <c r="A845" t="str">
        <f>"20190303170734808"</f>
        <v>20190303170734808</v>
      </c>
      <c r="B845" t="str">
        <f>"1551604054793542"</f>
        <v>1551604054793542</v>
      </c>
      <c r="C845" t="s">
        <v>40</v>
      </c>
      <c r="D845">
        <v>4.8909219999999998</v>
      </c>
      <c r="E845">
        <v>0.53909609999999997</v>
      </c>
      <c r="F845" t="s">
        <v>48</v>
      </c>
      <c r="G845">
        <v>-198.95820000000001</v>
      </c>
      <c r="H845" s="1">
        <v>-9.9624249999999997E-6</v>
      </c>
      <c r="I845">
        <v>359.80349999999999</v>
      </c>
      <c r="J845">
        <v>-220.988</v>
      </c>
      <c r="K845">
        <v>1.1210789999999999</v>
      </c>
      <c r="L845">
        <v>366.83539999999999</v>
      </c>
      <c r="M845">
        <v>0.99896479999999999</v>
      </c>
      <c r="N845">
        <v>-1.4045139999999999E-2</v>
      </c>
      <c r="O845">
        <v>-4.3267470000000002E-2</v>
      </c>
      <c r="P845">
        <v>0.95525559999999998</v>
      </c>
      <c r="Q845">
        <v>0.19739809999999999</v>
      </c>
      <c r="R845">
        <v>-0.2202742</v>
      </c>
      <c r="S845">
        <v>2.9560849999999999</v>
      </c>
      <c r="T845">
        <v>-0.1485754</v>
      </c>
      <c r="U845">
        <v>-0.93356320000000004</v>
      </c>
      <c r="V845">
        <v>0.17894640000000001</v>
      </c>
      <c r="W845">
        <v>0.21073500000000001</v>
      </c>
      <c r="X845">
        <v>0.96102489999999996</v>
      </c>
      <c r="Y845">
        <v>0.25924380000000002</v>
      </c>
      <c r="Z845">
        <v>-6.6981430000000002E-3</v>
      </c>
      <c r="AA845">
        <v>0.96578869999999895</v>
      </c>
      <c r="AB845">
        <v>27</v>
      </c>
      <c r="AC845">
        <v>22.029799999999899</v>
      </c>
      <c r="AD845">
        <v>-1.121088962425</v>
      </c>
      <c r="AE845">
        <v>-7.0319000000000003</v>
      </c>
      <c r="AF845">
        <v>6.05780815815978</v>
      </c>
      <c r="AG845">
        <v>-1.121088962425</v>
      </c>
      <c r="AH845">
        <v>22.2611279852505</v>
      </c>
      <c r="AI845">
        <v>92.782027384336899</v>
      </c>
      <c r="AJ845">
        <v>74.777007999422594</v>
      </c>
      <c r="AK845">
        <v>23.097872181619699</v>
      </c>
      <c r="AL845">
        <v>77.834570870953598</v>
      </c>
      <c r="AM845">
        <v>79.452111142310102</v>
      </c>
      <c r="AN845">
        <v>0.99999995635898398</v>
      </c>
    </row>
    <row r="846" spans="1:40" x14ac:dyDescent="0.25">
      <c r="A846" t="str">
        <f>"20190303170734830"</f>
        <v>20190303170734830</v>
      </c>
      <c r="B846" t="str">
        <f>"1551604054822822"</f>
        <v>1551604054822822</v>
      </c>
      <c r="C846" t="s">
        <v>40</v>
      </c>
      <c r="D846">
        <v>4.8602509999999999</v>
      </c>
      <c r="E846">
        <v>0.53964409999999996</v>
      </c>
      <c r="F846" t="s">
        <v>48</v>
      </c>
      <c r="G846">
        <v>-198.50700000000001</v>
      </c>
      <c r="H846" s="1">
        <v>-9.8247999999999995E-6</v>
      </c>
      <c r="I846">
        <v>359.67070000000001</v>
      </c>
      <c r="J846">
        <v>-220.70939999999999</v>
      </c>
      <c r="K846">
        <v>1.121059</v>
      </c>
      <c r="L846">
        <v>366.8227</v>
      </c>
      <c r="M846">
        <v>0.99893920000000003</v>
      </c>
      <c r="N846">
        <v>-1.404244E-2</v>
      </c>
      <c r="O846">
        <v>-4.3854740000000003E-2</v>
      </c>
      <c r="P846">
        <v>0.95490319999999995</v>
      </c>
      <c r="Q846">
        <v>0.1967796</v>
      </c>
      <c r="R846">
        <v>-0.22234570000000001</v>
      </c>
      <c r="S846">
        <v>2.9538730000000002</v>
      </c>
      <c r="T846">
        <v>-0.14730480000000001</v>
      </c>
      <c r="U846">
        <v>-0.94140630000000003</v>
      </c>
      <c r="V846">
        <v>0.1804733</v>
      </c>
      <c r="W846">
        <v>0.2101025</v>
      </c>
      <c r="X846">
        <v>0.96087789999999995</v>
      </c>
      <c r="Y846">
        <v>0.26121549999999999</v>
      </c>
      <c r="Z846">
        <v>-6.7051130000000004E-3</v>
      </c>
      <c r="AA846">
        <v>0.96525720000000004</v>
      </c>
      <c r="AB846">
        <v>27</v>
      </c>
      <c r="AC846">
        <v>22.202399999999901</v>
      </c>
      <c r="AD846">
        <v>-1.1210688248</v>
      </c>
      <c r="AE846">
        <v>-7.1519999999999797</v>
      </c>
      <c r="AF846">
        <v>6.1571191662013796</v>
      </c>
      <c r="AG846">
        <v>-1.1210688248</v>
      </c>
      <c r="AH846">
        <v>22.4428751516445</v>
      </c>
      <c r="AI846">
        <v>92.757927752984997</v>
      </c>
      <c r="AJ846">
        <v>74.658576894455905</v>
      </c>
      <c r="AK846">
        <v>23.299132104201799</v>
      </c>
      <c r="AL846">
        <v>77.871640996870198</v>
      </c>
      <c r="AM846">
        <v>79.362563933123795</v>
      </c>
      <c r="AN846">
        <v>1.0000000056137699</v>
      </c>
    </row>
    <row r="847" spans="1:40" x14ac:dyDescent="0.25">
      <c r="A847" t="str">
        <f>"20190303170734852"</f>
        <v>20190303170734852</v>
      </c>
      <c r="B847" t="str">
        <f>"1551604054843318"</f>
        <v>1551604054843318</v>
      </c>
      <c r="C847" t="s">
        <v>40</v>
      </c>
      <c r="D847">
        <v>4.8506739999999997</v>
      </c>
      <c r="E847">
        <v>0.54003800000000002</v>
      </c>
      <c r="F847" t="s">
        <v>48</v>
      </c>
      <c r="G847">
        <v>-198.69319999999999</v>
      </c>
      <c r="H847" s="1">
        <v>-9.8828189999999999E-6</v>
      </c>
      <c r="I847">
        <v>359.71749999999997</v>
      </c>
      <c r="J847">
        <v>-220.44980000000001</v>
      </c>
      <c r="K847">
        <v>1.1210389999999999</v>
      </c>
      <c r="L847">
        <v>366.8107</v>
      </c>
      <c r="M847">
        <v>0.99891419999999997</v>
      </c>
      <c r="N847">
        <v>-1.4039640000000001E-2</v>
      </c>
      <c r="O847">
        <v>-4.4422030000000001E-2</v>
      </c>
      <c r="P847">
        <v>0.95471240000000002</v>
      </c>
      <c r="Q847">
        <v>0.1962401</v>
      </c>
      <c r="R847">
        <v>-0.2236389</v>
      </c>
      <c r="S847">
        <v>2.9509120000000002</v>
      </c>
      <c r="T847">
        <v>-0.1502607</v>
      </c>
      <c r="U847">
        <v>-0.9523315</v>
      </c>
      <c r="V847">
        <v>0.18123310000000001</v>
      </c>
      <c r="W847">
        <v>0.20955280000000001</v>
      </c>
      <c r="X847">
        <v>0.96085489999999996</v>
      </c>
      <c r="Y847">
        <v>0.26416970000000001</v>
      </c>
      <c r="Z847">
        <v>-6.8661499999999997E-3</v>
      </c>
      <c r="AA847">
        <v>0.96445179999999997</v>
      </c>
      <c r="AB847">
        <v>27</v>
      </c>
      <c r="AC847">
        <v>21.756599999999999</v>
      </c>
      <c r="AD847">
        <v>-1.1210488828189999</v>
      </c>
      <c r="AE847">
        <v>-7.0932000000000199</v>
      </c>
      <c r="AF847">
        <v>6.1049775287383801</v>
      </c>
      <c r="AG847">
        <v>-1.1210488828189999</v>
      </c>
      <c r="AH847">
        <v>21.997452066567899</v>
      </c>
      <c r="AI847">
        <v>92.811340691351305</v>
      </c>
      <c r="AJ847">
        <v>74.489009886839298</v>
      </c>
      <c r="AK847">
        <v>22.856408262126902</v>
      </c>
      <c r="AL847">
        <v>77.903853223951799</v>
      </c>
      <c r="AM847">
        <v>79.318558419399807</v>
      </c>
      <c r="AN847">
        <v>0.999999975688729</v>
      </c>
    </row>
    <row r="848" spans="1:40" x14ac:dyDescent="0.25">
      <c r="A848" t="str">
        <f>"20190303170734875"</f>
        <v>20190303170734875</v>
      </c>
      <c r="B848" t="str">
        <f>"1551604054862838"</f>
        <v>1551604054862838</v>
      </c>
      <c r="C848" t="s">
        <v>40</v>
      </c>
      <c r="D848">
        <v>4.824884</v>
      </c>
      <c r="E848">
        <v>0.54030690000000003</v>
      </c>
      <c r="F848" t="s">
        <v>48</v>
      </c>
      <c r="G848">
        <v>-198.8552</v>
      </c>
      <c r="H848" s="1">
        <v>-9.9298189999999997E-6</v>
      </c>
      <c r="I848">
        <v>359.78089999999997</v>
      </c>
      <c r="J848">
        <v>-220.16900000000001</v>
      </c>
      <c r="K848">
        <v>1.12103</v>
      </c>
      <c r="L848">
        <v>366.79750000000001</v>
      </c>
      <c r="M848">
        <v>0.99888619999999995</v>
      </c>
      <c r="N848">
        <v>-1.4036720000000001E-2</v>
      </c>
      <c r="O848">
        <v>-4.5051239999999999E-2</v>
      </c>
      <c r="P848">
        <v>0.95431790000000005</v>
      </c>
      <c r="Q848">
        <v>0.19686619999999999</v>
      </c>
      <c r="R848">
        <v>-0.22476979999999999</v>
      </c>
      <c r="S848">
        <v>2.9489290000000001</v>
      </c>
      <c r="T848">
        <v>-0.15308929999999901</v>
      </c>
      <c r="U848">
        <v>-0.9599915</v>
      </c>
      <c r="V848">
        <v>0.18177940000000001</v>
      </c>
      <c r="W848">
        <v>0.21016779999999999</v>
      </c>
      <c r="X848">
        <v>0.96061739999999995</v>
      </c>
      <c r="Y848">
        <v>0.26600370000000001</v>
      </c>
      <c r="Z848">
        <v>-6.9857390000000004E-3</v>
      </c>
      <c r="AA848">
        <v>0.96394669999999905</v>
      </c>
      <c r="AB848">
        <v>27</v>
      </c>
      <c r="AC848">
        <v>21.313800000000001</v>
      </c>
      <c r="AD848">
        <v>-1.1210399298189999</v>
      </c>
      <c r="AE848">
        <v>-7.0166000000000404</v>
      </c>
      <c r="AF848">
        <v>6.0341061515324803</v>
      </c>
      <c r="AG848">
        <v>-1.1210399298189999</v>
      </c>
      <c r="AH848">
        <v>21.554494353639601</v>
      </c>
      <c r="AI848">
        <v>92.867208182909707</v>
      </c>
      <c r="AJ848">
        <v>74.360593843024006</v>
      </c>
      <c r="AK848">
        <v>22.411233665581499</v>
      </c>
      <c r="AL848">
        <v>77.867814337094202</v>
      </c>
      <c r="AM848">
        <v>79.284517621108705</v>
      </c>
      <c r="AN848">
        <v>1.00000002180197</v>
      </c>
    </row>
    <row r="849" spans="1:40" x14ac:dyDescent="0.25">
      <c r="A849" t="str">
        <f>"20190303170734897"</f>
        <v>20190303170734897</v>
      </c>
      <c r="B849" t="str">
        <f>"1551604054883334"</f>
        <v>1551604054883334</v>
      </c>
      <c r="C849" t="s">
        <v>40</v>
      </c>
      <c r="D849">
        <v>4.7874919999999896</v>
      </c>
      <c r="E849">
        <v>0.54058719999999905</v>
      </c>
      <c r="F849" t="s">
        <v>48</v>
      </c>
      <c r="G849">
        <v>-198.3777</v>
      </c>
      <c r="H849" s="1">
        <v>-9.7814170000000007E-6</v>
      </c>
      <c r="I849">
        <v>359.65780000000001</v>
      </c>
      <c r="J849">
        <v>-219.89940000000001</v>
      </c>
      <c r="K849">
        <v>1.1210249999999999</v>
      </c>
      <c r="L849">
        <v>366.78469999999999</v>
      </c>
      <c r="M849">
        <v>0.99885829999999998</v>
      </c>
      <c r="N849">
        <v>-1.4033840000000001E-2</v>
      </c>
      <c r="O849">
        <v>-4.5664280000000002E-2</v>
      </c>
      <c r="P849">
        <v>0.95411069999999998</v>
      </c>
      <c r="Q849">
        <v>0.19701869999999999</v>
      </c>
      <c r="R849">
        <v>-0.2255144</v>
      </c>
      <c r="S849">
        <v>2.9474179999999999</v>
      </c>
      <c r="T849">
        <v>-0.15162800000000001</v>
      </c>
      <c r="U849">
        <v>-0.96569819999999995</v>
      </c>
      <c r="V849">
        <v>0.18194469999999999</v>
      </c>
      <c r="W849">
        <v>0.21031320000000001</v>
      </c>
      <c r="X849">
        <v>0.96055420000000002</v>
      </c>
      <c r="Y849">
        <v>0.2672484</v>
      </c>
      <c r="Z849">
        <v>-6.9620080000000004E-3</v>
      </c>
      <c r="AA849">
        <v>0.96360250000000003</v>
      </c>
      <c r="AB849">
        <v>27</v>
      </c>
      <c r="AC849">
        <v>21.521699999999999</v>
      </c>
      <c r="AD849">
        <v>-1.1210347814170001</v>
      </c>
      <c r="AE849">
        <v>-7.1268999999999698</v>
      </c>
      <c r="AF849">
        <v>6.1216264326627998</v>
      </c>
      <c r="AG849">
        <v>-1.1210347814170001</v>
      </c>
      <c r="AH849">
        <v>21.771488575051201</v>
      </c>
      <c r="AI849">
        <v>92.837758669324799</v>
      </c>
      <c r="AJ849">
        <v>74.295275823380194</v>
      </c>
      <c r="AK849">
        <v>22.643514390125301</v>
      </c>
      <c r="AL849">
        <v>77.859292113650696</v>
      </c>
      <c r="AM849">
        <v>79.274310201590694</v>
      </c>
      <c r="AN849">
        <v>0.99999994354498301</v>
      </c>
    </row>
    <row r="850" spans="1:40" x14ac:dyDescent="0.25">
      <c r="A850" t="str">
        <f>"20190303170734920"</f>
        <v>20190303170734920</v>
      </c>
      <c r="B850" t="str">
        <f>"1551604054912614"</f>
        <v>1551604054912614</v>
      </c>
      <c r="C850" t="s">
        <v>40</v>
      </c>
      <c r="D850">
        <v>4.7725549999999997</v>
      </c>
      <c r="E850">
        <v>0.54101100000000002</v>
      </c>
      <c r="F850" t="s">
        <v>48</v>
      </c>
      <c r="G850">
        <v>-198.1267</v>
      </c>
      <c r="H850" s="1">
        <v>-9.6994370000000002E-6</v>
      </c>
      <c r="I850">
        <v>359.61860000000001</v>
      </c>
      <c r="J850">
        <v>-219.62700000000001</v>
      </c>
      <c r="K850">
        <v>1.1210199999999999</v>
      </c>
      <c r="L850">
        <v>366.7715</v>
      </c>
      <c r="M850">
        <v>0.99882950000000004</v>
      </c>
      <c r="N850">
        <v>-1.4030910000000001E-2</v>
      </c>
      <c r="O850">
        <v>-4.6289669999999998E-2</v>
      </c>
      <c r="P850">
        <v>0.95405240000000002</v>
      </c>
      <c r="Q850">
        <v>0.19640360000000001</v>
      </c>
      <c r="R850">
        <v>-0.22629650000000001</v>
      </c>
      <c r="S850">
        <v>2.9464109999999999</v>
      </c>
      <c r="T850">
        <v>-0.15170539999999999</v>
      </c>
      <c r="U850">
        <v>-0.96975710000000004</v>
      </c>
      <c r="V850">
        <v>0.18212639999999999</v>
      </c>
      <c r="W850">
        <v>0.2096954</v>
      </c>
      <c r="X850">
        <v>0.96065489999999998</v>
      </c>
      <c r="Y850">
        <v>0.2679396</v>
      </c>
      <c r="Z850">
        <v>-6.9642069999999896E-3</v>
      </c>
      <c r="AA850">
        <v>0.96341060000000001</v>
      </c>
      <c r="AB850">
        <v>27</v>
      </c>
      <c r="AC850">
        <v>21.500299999999999</v>
      </c>
      <c r="AD850">
        <v>-1.1210296994369999</v>
      </c>
      <c r="AE850">
        <v>-7.1528999999999803</v>
      </c>
      <c r="AF850">
        <v>6.13487496887939</v>
      </c>
      <c r="AG850">
        <v>-1.1210296994369999</v>
      </c>
      <c r="AH850">
        <v>21.755136646152</v>
      </c>
      <c r="AI850">
        <v>92.839268547431303</v>
      </c>
      <c r="AJ850">
        <v>74.251727571246306</v>
      </c>
      <c r="AK850">
        <v>22.631380182471201</v>
      </c>
      <c r="AL850">
        <v>77.895497633260106</v>
      </c>
      <c r="AM850">
        <v>79.264947044639001</v>
      </c>
      <c r="AN850">
        <v>1.0000000116260599</v>
      </c>
    </row>
    <row r="851" spans="1:40" x14ac:dyDescent="0.25">
      <c r="A851" t="str">
        <f>"20190303170734940"</f>
        <v>20190303170734940</v>
      </c>
      <c r="B851" t="str">
        <f>"1551604054933110"</f>
        <v>1551604054933110</v>
      </c>
      <c r="C851" t="s">
        <v>40</v>
      </c>
      <c r="D851">
        <v>4.7464309999999896</v>
      </c>
      <c r="E851">
        <v>0.54132119999999995</v>
      </c>
      <c r="F851" t="s">
        <v>48</v>
      </c>
      <c r="G851">
        <v>-198.21350000000001</v>
      </c>
      <c r="H851" s="1">
        <v>-9.7205389999999995E-6</v>
      </c>
      <c r="I851">
        <v>359.67849999999999</v>
      </c>
      <c r="J851">
        <v>-219.37039999999999</v>
      </c>
      <c r="K851">
        <v>1.1210169999999999</v>
      </c>
      <c r="L851">
        <v>366.75889999999998</v>
      </c>
      <c r="M851">
        <v>0.99880210000000003</v>
      </c>
      <c r="N851">
        <v>-1.402808E-2</v>
      </c>
      <c r="O851">
        <v>-4.6881279999999997E-2</v>
      </c>
      <c r="P851">
        <v>0.95412379999999997</v>
      </c>
      <c r="Q851">
        <v>0.1956215</v>
      </c>
      <c r="R851">
        <v>-0.2266726</v>
      </c>
      <c r="S851">
        <v>2.9448850000000002</v>
      </c>
      <c r="T851">
        <v>-0.154169</v>
      </c>
      <c r="U851">
        <v>-0.97546390000000005</v>
      </c>
      <c r="V851">
        <v>0.18192810000000001</v>
      </c>
      <c r="W851">
        <v>0.2089126</v>
      </c>
      <c r="X851">
        <v>0.96086300000000002</v>
      </c>
      <c r="Y851">
        <v>0.26918799999999998</v>
      </c>
      <c r="Z851">
        <v>-7.0552979999999998E-3</v>
      </c>
      <c r="AA851">
        <v>0.96306179999999997</v>
      </c>
      <c r="AB851">
        <v>27</v>
      </c>
      <c r="AC851">
        <v>21.156899999999901</v>
      </c>
      <c r="AD851">
        <v>-1.1210267205390001</v>
      </c>
      <c r="AE851">
        <v>-7.0803999999999903</v>
      </c>
      <c r="AF851">
        <v>6.0653396669065902</v>
      </c>
      <c r="AG851">
        <v>-1.1210267205390001</v>
      </c>
      <c r="AH851">
        <v>21.411544115737598</v>
      </c>
      <c r="AI851">
        <v>92.8837836145089</v>
      </c>
      <c r="AJ851">
        <v>74.183938360747504</v>
      </c>
      <c r="AK851">
        <v>22.282263520641099</v>
      </c>
      <c r="AL851">
        <v>77.941364633192805</v>
      </c>
      <c r="AM851">
        <v>79.2786328599299</v>
      </c>
      <c r="AN851">
        <v>1.00000000638868</v>
      </c>
    </row>
    <row r="852" spans="1:40" x14ac:dyDescent="0.25">
      <c r="A852" t="str">
        <f>"20190303170734963"</f>
        <v>20190303170734963</v>
      </c>
      <c r="B852" t="str">
        <f>"1551604054952630"</f>
        <v>1551604054952630</v>
      </c>
      <c r="C852" t="s">
        <v>40</v>
      </c>
      <c r="D852">
        <v>4.7435400000000003</v>
      </c>
      <c r="E852">
        <v>0.54158339999999905</v>
      </c>
      <c r="F852" t="s">
        <v>48</v>
      </c>
      <c r="G852">
        <v>-198.36490000000001</v>
      </c>
      <c r="H852" s="1">
        <v>-9.7586899999999996E-6</v>
      </c>
      <c r="I852">
        <v>359.77460000000002</v>
      </c>
      <c r="J852">
        <v>-219.10249999999999</v>
      </c>
      <c r="K852">
        <v>1.1210119999999999</v>
      </c>
      <c r="L852">
        <v>366.7457</v>
      </c>
      <c r="M852">
        <v>0.99877280000000002</v>
      </c>
      <c r="N852">
        <v>-1.402514E-2</v>
      </c>
      <c r="O852">
        <v>-4.7500059999999997E-2</v>
      </c>
      <c r="P852">
        <v>0.95429410000000003</v>
      </c>
      <c r="Q852">
        <v>0.19468930000000001</v>
      </c>
      <c r="R852">
        <v>-0.22675799999999999</v>
      </c>
      <c r="S852">
        <v>2.9439090000000001</v>
      </c>
      <c r="T852">
        <v>-0.15711140000000001</v>
      </c>
      <c r="U852">
        <v>-0.97885129999999998</v>
      </c>
      <c r="V852">
        <v>0.1814075</v>
      </c>
      <c r="W852">
        <v>0.20798220000000001</v>
      </c>
      <c r="X852">
        <v>0.9611632</v>
      </c>
      <c r="Y852">
        <v>0.26967160000000001</v>
      </c>
      <c r="Z852">
        <v>-7.1335119999999998E-3</v>
      </c>
      <c r="AA852">
        <v>0.9629259</v>
      </c>
      <c r="AB852">
        <v>27</v>
      </c>
      <c r="AC852">
        <v>20.737599999999901</v>
      </c>
      <c r="AD852">
        <v>-1.12102175869</v>
      </c>
      <c r="AE852">
        <v>-6.9710999999999697</v>
      </c>
      <c r="AF852">
        <v>5.9624411081730102</v>
      </c>
      <c r="AG852">
        <v>-1.12102175869</v>
      </c>
      <c r="AH852">
        <v>20.990237475701999</v>
      </c>
      <c r="AI852">
        <v>92.940947983068497</v>
      </c>
      <c r="AJ852">
        <v>74.142388005891505</v>
      </c>
      <c r="AK852">
        <v>21.849427064301999</v>
      </c>
      <c r="AL852">
        <v>77.995869675735605</v>
      </c>
      <c r="AM852">
        <v>79.311866894846204</v>
      </c>
      <c r="AN852">
        <v>0.99999998680366498</v>
      </c>
    </row>
    <row r="853" spans="1:40" x14ac:dyDescent="0.25">
      <c r="A853" t="str">
        <f>"20190303170734986"</f>
        <v>20190303170734986</v>
      </c>
      <c r="B853" t="str">
        <f>"1551604054973126"</f>
        <v>1551604054973126</v>
      </c>
      <c r="C853" t="s">
        <v>40</v>
      </c>
      <c r="D853">
        <v>4.7199109999999997</v>
      </c>
      <c r="E853">
        <v>0.54192709999999999</v>
      </c>
      <c r="F853" t="s">
        <v>48</v>
      </c>
      <c r="G853">
        <v>-198.48230000000001</v>
      </c>
      <c r="H853" s="1">
        <v>-9.7847589999999994E-6</v>
      </c>
      <c r="I853">
        <v>359.87150000000003</v>
      </c>
      <c r="J853">
        <v>-218.8244</v>
      </c>
      <c r="K853">
        <v>1.121005</v>
      </c>
      <c r="L853">
        <v>366.73169999999999</v>
      </c>
      <c r="M853">
        <v>0.99874189999999996</v>
      </c>
      <c r="N853">
        <v>-1.4022140000000001E-2</v>
      </c>
      <c r="O853">
        <v>-4.8144590000000001E-2</v>
      </c>
      <c r="P853">
        <v>0.95441560000000003</v>
      </c>
      <c r="Q853">
        <v>0.19422819999999999</v>
      </c>
      <c r="R853">
        <v>-0.22664090000000001</v>
      </c>
      <c r="S853">
        <v>2.9431759999999998</v>
      </c>
      <c r="T853">
        <v>-0.16000629999999999</v>
      </c>
      <c r="U853">
        <v>-0.98117069999999995</v>
      </c>
      <c r="V853">
        <v>0.18066280000000001</v>
      </c>
      <c r="W853">
        <v>0.20752139999999999</v>
      </c>
      <c r="X853">
        <v>0.96140309999999995</v>
      </c>
      <c r="Y853">
        <v>0.26979239999999999</v>
      </c>
      <c r="Z853">
        <v>-7.1962349999999996E-3</v>
      </c>
      <c r="AA853">
        <v>0.96289159999999996</v>
      </c>
      <c r="AB853">
        <v>27</v>
      </c>
      <c r="AC853">
        <v>20.342099999999899</v>
      </c>
      <c r="AD853">
        <v>-1.121014784759</v>
      </c>
      <c r="AE853">
        <v>-6.8601999999999599</v>
      </c>
      <c r="AF853">
        <v>5.8568145220451902</v>
      </c>
      <c r="AG853">
        <v>-1.121014784759</v>
      </c>
      <c r="AH853">
        <v>20.592668466998301</v>
      </c>
      <c r="AI853">
        <v>92.997326559203003</v>
      </c>
      <c r="AJ853">
        <v>74.123579751601895</v>
      </c>
      <c r="AK853">
        <v>21.438678715932902</v>
      </c>
      <c r="AL853">
        <v>78.022861233012804</v>
      </c>
      <c r="AM853">
        <v>79.357333856009205</v>
      </c>
      <c r="AN853">
        <v>1.0000000497257</v>
      </c>
    </row>
    <row r="854" spans="1:40" x14ac:dyDescent="0.25">
      <c r="A854" t="str">
        <f>"20190303170735003"</f>
        <v>20190303170735003</v>
      </c>
      <c r="B854" t="str">
        <f>"1551604054993622"</f>
        <v>1551604054993622</v>
      </c>
      <c r="C854" t="s">
        <v>40</v>
      </c>
      <c r="D854">
        <v>4.7069830000000001</v>
      </c>
      <c r="E854">
        <v>0.5421125</v>
      </c>
      <c r="F854" t="s">
        <v>48</v>
      </c>
      <c r="G854">
        <v>-198.40049999999999</v>
      </c>
      <c r="H854" s="1">
        <v>-9.7508630000000006E-6</v>
      </c>
      <c r="I854">
        <v>359.90469999999999</v>
      </c>
      <c r="J854">
        <v>-218.62129999999999</v>
      </c>
      <c r="K854">
        <v>1.121003</v>
      </c>
      <c r="L854">
        <v>366.72140000000002</v>
      </c>
      <c r="M854">
        <v>0.99871909999999997</v>
      </c>
      <c r="N854">
        <v>-1.4020019999999999E-2</v>
      </c>
      <c r="O854">
        <v>-4.8618809999999998E-2</v>
      </c>
      <c r="P854">
        <v>0.95433670000000004</v>
      </c>
      <c r="Q854">
        <v>0.19434709999999999</v>
      </c>
      <c r="R854">
        <v>-0.2268722</v>
      </c>
      <c r="S854">
        <v>2.942596</v>
      </c>
      <c r="T854">
        <v>-0.16151170000000001</v>
      </c>
      <c r="U854">
        <v>-0.98361209999999999</v>
      </c>
      <c r="V854">
        <v>0.18044109999999999</v>
      </c>
      <c r="W854">
        <v>0.2076375</v>
      </c>
      <c r="X854">
        <v>0.96141960000000004</v>
      </c>
      <c r="Y854">
        <v>0.27010400000000001</v>
      </c>
      <c r="Z854">
        <v>-7.2313459999999996E-3</v>
      </c>
      <c r="AA854">
        <v>0.96280399999999999</v>
      </c>
      <c r="AB854">
        <v>27</v>
      </c>
      <c r="AC854">
        <v>20.220800000000001</v>
      </c>
      <c r="AD854">
        <v>-1.1210127508629999</v>
      </c>
      <c r="AE854">
        <v>-6.8167000000000204</v>
      </c>
      <c r="AF854">
        <v>5.8093964860033296</v>
      </c>
      <c r="AG854">
        <v>-1.1210127508629999</v>
      </c>
      <c r="AH854">
        <v>20.471836535528102</v>
      </c>
      <c r="AI854">
        <v>93.015484238866506</v>
      </c>
      <c r="AJ854">
        <v>74.157380868016901</v>
      </c>
      <c r="AK854">
        <v>21.309665606399602</v>
      </c>
      <c r="AL854">
        <v>78.016060281569693</v>
      </c>
      <c r="AM854">
        <v>79.370274449136403</v>
      </c>
      <c r="AN854">
        <v>0.99999998461980899</v>
      </c>
    </row>
    <row r="855" spans="1:40" x14ac:dyDescent="0.25">
      <c r="A855" t="str">
        <f>"20190303170735020"</f>
        <v>20190303170735020</v>
      </c>
      <c r="B855" t="str">
        <f>"1551604055013142"</f>
        <v>1551604055013142</v>
      </c>
      <c r="C855" t="s">
        <v>40</v>
      </c>
      <c r="D855">
        <v>4.6970190000000001</v>
      </c>
      <c r="E855">
        <v>0.54955919999999903</v>
      </c>
      <c r="F855" t="s">
        <v>48</v>
      </c>
      <c r="G855">
        <v>-198.10489999999999</v>
      </c>
      <c r="H855" s="1">
        <v>-9.6569239999999996E-6</v>
      </c>
      <c r="I855">
        <v>359.8417</v>
      </c>
      <c r="J855">
        <v>-218.41499999999999</v>
      </c>
      <c r="K855">
        <v>1.121003</v>
      </c>
      <c r="L855">
        <v>366.71080000000001</v>
      </c>
      <c r="M855">
        <v>0.99869509999999995</v>
      </c>
      <c r="N855">
        <v>-1.401793E-2</v>
      </c>
      <c r="O855">
        <v>-4.9107119999999997E-2</v>
      </c>
      <c r="P855">
        <v>0.95429070000000005</v>
      </c>
      <c r="Q855">
        <v>0.19430729999999999</v>
      </c>
      <c r="R855">
        <v>-0.227099</v>
      </c>
      <c r="S855">
        <v>2.9417719999999998</v>
      </c>
      <c r="T855">
        <v>-0.16073750000000001</v>
      </c>
      <c r="U855">
        <v>-0.98645020000000005</v>
      </c>
      <c r="V855">
        <v>0.18020030000000001</v>
      </c>
      <c r="W855">
        <v>0.20759549999999999</v>
      </c>
      <c r="X855">
        <v>0.96147380000000005</v>
      </c>
      <c r="Y855">
        <v>0.27055259999999998</v>
      </c>
      <c r="Z855">
        <v>-7.2055950000000004E-3</v>
      </c>
      <c r="AA855">
        <v>0.96267829999999999</v>
      </c>
      <c r="AB855">
        <v>27</v>
      </c>
      <c r="AC855">
        <v>20.310099999999998</v>
      </c>
      <c r="AD855">
        <v>-1.121012656924</v>
      </c>
      <c r="AE855">
        <v>-6.8691000000000004</v>
      </c>
      <c r="AF855">
        <v>5.8473570602297897</v>
      </c>
      <c r="AG855">
        <v>-1.121012656924</v>
      </c>
      <c r="AH855">
        <v>20.5667217210028</v>
      </c>
      <c r="AI855">
        <v>93.001174983277494</v>
      </c>
      <c r="AJ855">
        <v>74.128935348556396</v>
      </c>
      <c r="AK855">
        <v>21.411172231243501</v>
      </c>
      <c r="AL855">
        <v>78.018519934212804</v>
      </c>
      <c r="AM855">
        <v>79.384722094471002</v>
      </c>
      <c r="AN855">
        <v>0.99999995391338903</v>
      </c>
    </row>
    <row r="856" spans="1:40" x14ac:dyDescent="0.25">
      <c r="A856" t="str">
        <f>"20190303170735042"</f>
        <v>20190303170735042</v>
      </c>
      <c r="B856" t="str">
        <f>"1551604055032662"</f>
        <v>1551604055032662</v>
      </c>
      <c r="C856" t="s">
        <v>40</v>
      </c>
      <c r="D856">
        <v>4.701174</v>
      </c>
      <c r="E856">
        <v>0.55034069999999902</v>
      </c>
      <c r="F856" t="s">
        <v>48</v>
      </c>
      <c r="G856">
        <v>-197.55950000000001</v>
      </c>
      <c r="H856" s="1">
        <v>-6.3548910000000003E-6</v>
      </c>
      <c r="I856">
        <v>359.26260000000002</v>
      </c>
      <c r="J856">
        <v>-218.16030000000001</v>
      </c>
      <c r="K856">
        <v>1.1209910000000001</v>
      </c>
      <c r="L856">
        <v>366.69760000000002</v>
      </c>
      <c r="M856">
        <v>0.99866469999999896</v>
      </c>
      <c r="N856">
        <v>-1.4015369999999999E-2</v>
      </c>
      <c r="O856">
        <v>-4.9722460000000003E-2</v>
      </c>
      <c r="P856">
        <v>0.95413769999999998</v>
      </c>
      <c r="Q856">
        <v>0.19396939999999999</v>
      </c>
      <c r="R856">
        <v>-0.2280288</v>
      </c>
      <c r="S856">
        <v>2.926971</v>
      </c>
      <c r="T856">
        <v>-0.15732860000000001</v>
      </c>
      <c r="U856">
        <v>-1.0453190000000001</v>
      </c>
      <c r="V856">
        <v>0.18054580000000001</v>
      </c>
      <c r="W856">
        <v>0.20725180000000001</v>
      </c>
      <c r="X856">
        <v>0.96148319999999998</v>
      </c>
      <c r="Y856">
        <v>0.28864190000000001</v>
      </c>
      <c r="Z856">
        <v>-7.6979650000000002E-3</v>
      </c>
      <c r="AA856">
        <v>0.95740619999999999</v>
      </c>
      <c r="AB856">
        <v>27</v>
      </c>
      <c r="AC856">
        <v>20.6007999999999</v>
      </c>
      <c r="AD856">
        <v>-1.1209973548909999</v>
      </c>
      <c r="AE856">
        <v>-7.4349999999999996</v>
      </c>
      <c r="AF856">
        <v>6.3846521604940403</v>
      </c>
      <c r="AG856">
        <v>-1.1209973548909999</v>
      </c>
      <c r="AH856">
        <v>20.8903081409184</v>
      </c>
      <c r="AI856">
        <v>92.937720086827099</v>
      </c>
      <c r="AJ856">
        <v>73.005407896149507</v>
      </c>
      <c r="AK856">
        <v>21.872937445681501</v>
      </c>
      <c r="AL856">
        <v>78.038651098286095</v>
      </c>
      <c r="AM856">
        <v>79.364934764863193</v>
      </c>
      <c r="AN856">
        <v>1.0000000191915599</v>
      </c>
    </row>
    <row r="857" spans="1:40" x14ac:dyDescent="0.25">
      <c r="A857" t="str">
        <f>"20190303170735063"</f>
        <v>20190303170735063</v>
      </c>
      <c r="B857" t="str">
        <f>"1551604055053158"</f>
        <v>1551604055053158</v>
      </c>
      <c r="C857" t="s">
        <v>40</v>
      </c>
      <c r="D857">
        <v>4.6854839999999998</v>
      </c>
      <c r="E857">
        <v>0.55071250000000005</v>
      </c>
      <c r="F857" t="s">
        <v>48</v>
      </c>
      <c r="G857">
        <v>-197.3794</v>
      </c>
      <c r="H857" s="1">
        <v>-6.3073440000000001E-6</v>
      </c>
      <c r="I857">
        <v>359.20460000000003</v>
      </c>
      <c r="J857">
        <v>-217.89570000000001</v>
      </c>
      <c r="K857">
        <v>1.1209750000000001</v>
      </c>
      <c r="L857">
        <v>366.68369999999999</v>
      </c>
      <c r="M857">
        <v>0.99863179999999996</v>
      </c>
      <c r="N857">
        <v>-1.4012699999999999E-2</v>
      </c>
      <c r="O857">
        <v>-5.0380550000000003E-2</v>
      </c>
      <c r="P857">
        <v>0.95396800000000004</v>
      </c>
      <c r="Q857">
        <v>0.19325690000000001</v>
      </c>
      <c r="R857">
        <v>-0.22934060000000001</v>
      </c>
      <c r="S857">
        <v>2.9242859999999999</v>
      </c>
      <c r="T857">
        <v>-0.15774669999999999</v>
      </c>
      <c r="U857">
        <v>-1.0544129999999901</v>
      </c>
      <c r="V857">
        <v>0.18123439999999999</v>
      </c>
      <c r="W857">
        <v>0.20653050000000001</v>
      </c>
      <c r="X857">
        <v>0.9615089</v>
      </c>
      <c r="Y857">
        <v>0.29092069999999998</v>
      </c>
      <c r="Z857">
        <v>-7.7638749999999999E-3</v>
      </c>
      <c r="AA857">
        <v>0.9567156</v>
      </c>
      <c r="AB857">
        <v>27</v>
      </c>
      <c r="AC857">
        <v>20.516300000000001</v>
      </c>
      <c r="AD857">
        <v>-1.120981307344</v>
      </c>
      <c r="AE857">
        <v>-7.4790999999999599</v>
      </c>
      <c r="AF857">
        <v>6.41896131534667</v>
      </c>
      <c r="AG857">
        <v>-1.120981307344</v>
      </c>
      <c r="AH857">
        <v>20.8122353255552</v>
      </c>
      <c r="AI857">
        <v>92.946371378837398</v>
      </c>
      <c r="AJ857">
        <v>72.859061111883094</v>
      </c>
      <c r="AK857">
        <v>21.808457137212201</v>
      </c>
      <c r="AL857">
        <v>78.080892973467201</v>
      </c>
      <c r="AM857">
        <v>79.325581919453896</v>
      </c>
      <c r="AN857">
        <v>1.0000000599764001</v>
      </c>
    </row>
    <row r="858" spans="1:40" x14ac:dyDescent="0.25">
      <c r="A858" t="str">
        <f>"20190303170735088"</f>
        <v>20190303170735088</v>
      </c>
      <c r="B858" t="str">
        <f>"1551604055083416"</f>
        <v>1551604055083416</v>
      </c>
      <c r="C858" t="s">
        <v>40</v>
      </c>
      <c r="D858">
        <v>4.7486940000000004</v>
      </c>
      <c r="E858">
        <v>0.55142869999999899</v>
      </c>
      <c r="F858" t="s">
        <v>48</v>
      </c>
      <c r="G858">
        <v>-197.30359999999999</v>
      </c>
      <c r="H858" s="1">
        <v>-6.2937880000000003E-6</v>
      </c>
      <c r="I858">
        <v>359.1995</v>
      </c>
      <c r="J858">
        <v>-217.60769999999999</v>
      </c>
      <c r="K858">
        <v>1.1209519999999999</v>
      </c>
      <c r="L858">
        <v>366.66829999999999</v>
      </c>
      <c r="M858">
        <v>0.99859390000000003</v>
      </c>
      <c r="N858">
        <v>-1.4009850000000001E-2</v>
      </c>
      <c r="O858">
        <v>-5.112734E-2</v>
      </c>
      <c r="P858">
        <v>0.95380240000000005</v>
      </c>
      <c r="Q858">
        <v>0.1929361</v>
      </c>
      <c r="R858">
        <v>-0.23029730000000001</v>
      </c>
      <c r="S858">
        <v>2.9216920000000002</v>
      </c>
      <c r="T858">
        <v>-0.1590493</v>
      </c>
      <c r="U858">
        <v>-1.06189</v>
      </c>
      <c r="V858">
        <v>0.18148629999999999</v>
      </c>
      <c r="W858">
        <v>0.2061983</v>
      </c>
      <c r="X858">
        <v>0.96153259999999996</v>
      </c>
      <c r="Y858">
        <v>0.29263149999999999</v>
      </c>
      <c r="Z858">
        <v>-7.8355909999999994E-3</v>
      </c>
      <c r="AA858">
        <v>0.95619319999999997</v>
      </c>
      <c r="AB858">
        <v>27</v>
      </c>
      <c r="AC858">
        <v>20.304099999999998</v>
      </c>
      <c r="AD858">
        <v>-1.120958293788</v>
      </c>
      <c r="AE858">
        <v>-7.4687999999999803</v>
      </c>
      <c r="AF858">
        <v>6.4036415849282404</v>
      </c>
      <c r="AG858">
        <v>-1.120958293788</v>
      </c>
      <c r="AH858">
        <v>20.6041212862465</v>
      </c>
      <c r="AI858">
        <v>92.974027380372505</v>
      </c>
      <c r="AJ858">
        <v>72.735057907901293</v>
      </c>
      <c r="AK858">
        <v>21.6053925449872</v>
      </c>
      <c r="AL858">
        <v>78.100344353934304</v>
      </c>
      <c r="AM858">
        <v>79.3113444254857</v>
      </c>
      <c r="AN858">
        <v>0.99999997843666899</v>
      </c>
    </row>
    <row r="859" spans="1:40" x14ac:dyDescent="0.25">
      <c r="A859" t="str">
        <f>"20190303170735110"</f>
        <v>20190303170735110</v>
      </c>
      <c r="B859" t="str">
        <f>"1551604055102934"</f>
        <v>1551604055102934</v>
      </c>
      <c r="C859" t="s">
        <v>40</v>
      </c>
      <c r="D859">
        <v>4.8645040000000002</v>
      </c>
      <c r="E859">
        <v>0.52875419999999995</v>
      </c>
      <c r="F859" t="s">
        <v>48</v>
      </c>
      <c r="G859">
        <v>-197.1773</v>
      </c>
      <c r="H859" s="1">
        <v>-6.2654799999999999E-6</v>
      </c>
      <c r="I859">
        <v>359.17380000000003</v>
      </c>
      <c r="J859">
        <v>-217.34809999999999</v>
      </c>
      <c r="K859">
        <v>1.1209290000000001</v>
      </c>
      <c r="L859">
        <v>366.6542</v>
      </c>
      <c r="M859">
        <v>0.99855709999999998</v>
      </c>
      <c r="N859">
        <v>-1.400738E-2</v>
      </c>
      <c r="O859">
        <v>-5.1842539999999999E-2</v>
      </c>
      <c r="P859">
        <v>0.95349340000000005</v>
      </c>
      <c r="Q859">
        <v>0.1932275</v>
      </c>
      <c r="R859">
        <v>-0.23133119999999999</v>
      </c>
      <c r="S859">
        <v>2.9191440000000002</v>
      </c>
      <c r="T859">
        <v>-0.16016569999999999</v>
      </c>
      <c r="U859">
        <v>-1.0708310000000001</v>
      </c>
      <c r="V859">
        <v>0.18185709999999999</v>
      </c>
      <c r="W859">
        <v>0.20647409999999999</v>
      </c>
      <c r="X859">
        <v>0.96140340000000002</v>
      </c>
      <c r="Y859">
        <v>0.29478929999999998</v>
      </c>
      <c r="Z859">
        <v>-7.9175789999999992E-3</v>
      </c>
      <c r="AA859">
        <v>0.95552950000000003</v>
      </c>
      <c r="AB859">
        <v>27</v>
      </c>
      <c r="AC859">
        <v>20.1707999999999</v>
      </c>
      <c r="AD859">
        <v>-1.12093526548</v>
      </c>
      <c r="AE859">
        <v>-7.4803999999999702</v>
      </c>
      <c r="AF859">
        <v>6.4071362516661097</v>
      </c>
      <c r="AG859">
        <v>-1.12093526548</v>
      </c>
      <c r="AH859">
        <v>20.475921637750702</v>
      </c>
      <c r="AI859">
        <v>92.990756283200795</v>
      </c>
      <c r="AJ859">
        <v>72.624536773917399</v>
      </c>
      <c r="AK859">
        <v>21.4842094974919</v>
      </c>
      <c r="AL859">
        <v>78.084195255872402</v>
      </c>
      <c r="AM859">
        <v>79.288604795618994</v>
      </c>
      <c r="AN859">
        <v>1.0000000281613799</v>
      </c>
    </row>
    <row r="860" spans="1:40" x14ac:dyDescent="0.25">
      <c r="A860" t="str">
        <f>"20190303170735132"</f>
        <v>20190303170735132</v>
      </c>
      <c r="B860" t="str">
        <f>"1551604055123431"</f>
        <v>1551604055123431</v>
      </c>
      <c r="C860" t="s">
        <v>40</v>
      </c>
      <c r="D860">
        <v>4.8441269999999896</v>
      </c>
      <c r="E860">
        <v>0.51676699999999998</v>
      </c>
      <c r="F860" t="s">
        <v>48</v>
      </c>
      <c r="G860">
        <v>-206.3494</v>
      </c>
      <c r="H860" s="1">
        <v>-4.9700270000000004E-6</v>
      </c>
      <c r="I860">
        <v>363.363</v>
      </c>
      <c r="J860">
        <v>-217.0847</v>
      </c>
      <c r="K860">
        <v>1.120897</v>
      </c>
      <c r="L860">
        <v>366.63959999999997</v>
      </c>
      <c r="M860">
        <v>0.99851639999999997</v>
      </c>
      <c r="N860">
        <v>-1.400496E-2</v>
      </c>
      <c r="O860">
        <v>-5.2621679999999997E-2</v>
      </c>
      <c r="P860">
        <v>0.95284990000000003</v>
      </c>
      <c r="Q860">
        <v>0.19437779999999999</v>
      </c>
      <c r="R860">
        <v>-0.2330112</v>
      </c>
      <c r="S860">
        <v>2.9909669999999999</v>
      </c>
      <c r="T860">
        <v>-0.30482670000000001</v>
      </c>
      <c r="U860">
        <v>-0.89498899999999904</v>
      </c>
      <c r="V860">
        <v>0.1828352</v>
      </c>
      <c r="W860">
        <v>0.2075997</v>
      </c>
      <c r="X860">
        <v>0.96097529999999998</v>
      </c>
      <c r="Y860">
        <v>0.23476459999999999</v>
      </c>
      <c r="Z860">
        <v>-8.8599919999999902E-3</v>
      </c>
      <c r="AA860">
        <v>0.97201190000000004</v>
      </c>
      <c r="AB860">
        <v>27</v>
      </c>
      <c r="AC860">
        <v>10.735299999999899</v>
      </c>
      <c r="AD860">
        <v>-1.120901970027</v>
      </c>
      <c r="AE860">
        <v>-3.27659999999991</v>
      </c>
      <c r="AF860">
        <v>2.68036340756424</v>
      </c>
      <c r="AG860">
        <v>-1.120901970027</v>
      </c>
      <c r="AH860">
        <v>10.785299264352</v>
      </c>
      <c r="AI860">
        <v>95.759412789648493</v>
      </c>
      <c r="AJ860">
        <v>76.043589758387796</v>
      </c>
      <c r="AK860">
        <v>11.1697560154487</v>
      </c>
      <c r="AL860">
        <v>78.018273720930694</v>
      </c>
      <c r="AM860">
        <v>79.227653467209393</v>
      </c>
      <c r="AN860">
        <v>0.99999993650460794</v>
      </c>
    </row>
    <row r="861" spans="1:40" x14ac:dyDescent="0.25">
      <c r="A861" t="str">
        <f>"20190303170735153"</f>
        <v>20190303170735153</v>
      </c>
      <c r="B861" t="str">
        <f>"1551604055142951"</f>
        <v>1551604055142951</v>
      </c>
      <c r="C861" t="s">
        <v>40</v>
      </c>
      <c r="D861">
        <v>4.9190019999999999</v>
      </c>
      <c r="E861">
        <v>0.50968959999999996</v>
      </c>
      <c r="F861" t="s">
        <v>47</v>
      </c>
      <c r="G861">
        <v>-216.18109999999999</v>
      </c>
      <c r="H861">
        <v>0.99738170000000004</v>
      </c>
      <c r="I861">
        <v>366.40019999999998</v>
      </c>
      <c r="J861">
        <v>-216.82579999999999</v>
      </c>
      <c r="K861">
        <v>1.1208750000000001</v>
      </c>
      <c r="L861">
        <v>366.62509999999997</v>
      </c>
      <c r="M861">
        <v>0.99847330000000001</v>
      </c>
      <c r="N861">
        <v>-1.4002789999999999E-2</v>
      </c>
      <c r="O861">
        <v>-5.343436E-2</v>
      </c>
      <c r="P861">
        <v>0.95227349999999999</v>
      </c>
      <c r="Q861">
        <v>0.19473879999999999</v>
      </c>
      <c r="R861">
        <v>-0.2350585</v>
      </c>
      <c r="S861">
        <v>3.0366520000000001</v>
      </c>
      <c r="T861">
        <v>-0.41527320000000001</v>
      </c>
      <c r="U861">
        <v>-0.80358890000000005</v>
      </c>
      <c r="V861">
        <v>0.18414459999999999</v>
      </c>
      <c r="W861">
        <v>0.2079356</v>
      </c>
      <c r="X861">
        <v>0.96065270000000003</v>
      </c>
      <c r="Y861">
        <v>0.20222490000000001</v>
      </c>
      <c r="Z861">
        <v>-8.5774809999999996E-3</v>
      </c>
      <c r="AA861">
        <v>0.97930159999999999</v>
      </c>
      <c r="AB861">
        <v>27</v>
      </c>
      <c r="AC861">
        <v>0.64470000000000005</v>
      </c>
      <c r="AD861">
        <v>-0.1234933</v>
      </c>
      <c r="AE861">
        <v>-0.224899999999991</v>
      </c>
      <c r="AF861">
        <v>0.184103856668004</v>
      </c>
      <c r="AG861">
        <v>-0.1234933</v>
      </c>
      <c r="AH861">
        <v>0.63502486043490003</v>
      </c>
      <c r="AI861">
        <v>100.579735890856</v>
      </c>
      <c r="AJ861">
        <v>73.832281465152306</v>
      </c>
      <c r="AK861">
        <v>0.67260790848405005</v>
      </c>
      <c r="AL861">
        <v>77.998599846870306</v>
      </c>
      <c r="AM861">
        <v>79.148773603821198</v>
      </c>
      <c r="AN861">
        <v>1.0000000287369</v>
      </c>
    </row>
    <row r="862" spans="1:40" x14ac:dyDescent="0.25">
      <c r="A862" t="str">
        <f>"20190303170735176"</f>
        <v>20190303170735176</v>
      </c>
      <c r="B862" t="str">
        <f>"1551604055163446"</f>
        <v>1551604055163446</v>
      </c>
      <c r="C862" t="s">
        <v>40</v>
      </c>
      <c r="D862">
        <v>4.8723850000000004</v>
      </c>
      <c r="E862">
        <v>0.50710739999999999</v>
      </c>
      <c r="F862" t="s">
        <v>47</v>
      </c>
      <c r="G862">
        <v>-215.9513</v>
      </c>
      <c r="H862">
        <v>0.98142119999999999</v>
      </c>
      <c r="I862">
        <v>366.41</v>
      </c>
      <c r="J862">
        <v>-216.55940000000001</v>
      </c>
      <c r="K862">
        <v>1.1208400000000001</v>
      </c>
      <c r="L862">
        <v>366.60980000000001</v>
      </c>
      <c r="M862">
        <v>0.99842489999999995</v>
      </c>
      <c r="N862">
        <v>-1.400062E-2</v>
      </c>
      <c r="O862">
        <v>-5.4329139999999998E-2</v>
      </c>
      <c r="P862">
        <v>0.95156810000000003</v>
      </c>
      <c r="Q862">
        <v>0.19469839999999999</v>
      </c>
      <c r="R862">
        <v>-0.23793020000000001</v>
      </c>
      <c r="S862">
        <v>3.0644070000000001</v>
      </c>
      <c r="T862">
        <v>-0.48872399999999999</v>
      </c>
      <c r="U862">
        <v>-0.75314329999999996</v>
      </c>
      <c r="V862">
        <v>0.1862074</v>
      </c>
      <c r="W862">
        <v>0.20786650000000001</v>
      </c>
      <c r="X862">
        <v>0.96026990000000001</v>
      </c>
      <c r="Y862">
        <v>0.1837019</v>
      </c>
      <c r="Z862">
        <v>-7.9381190000000004E-3</v>
      </c>
      <c r="AA862">
        <v>0.98294990000000004</v>
      </c>
      <c r="AB862">
        <v>27</v>
      </c>
      <c r="AC862">
        <v>0.60810000000000697</v>
      </c>
      <c r="AD862">
        <v>-0.13941880000000001</v>
      </c>
      <c r="AE862">
        <v>-0.19979999999998199</v>
      </c>
      <c r="AF862">
        <v>0.15892424612647901</v>
      </c>
      <c r="AG862">
        <v>-0.13941880000000001</v>
      </c>
      <c r="AH862">
        <v>0.59006344726904403</v>
      </c>
      <c r="AI862">
        <v>102.851915652494</v>
      </c>
      <c r="AJ862">
        <v>74.9259882094604</v>
      </c>
      <c r="AK862">
        <v>0.62679293997566499</v>
      </c>
      <c r="AL862">
        <v>78.002646822613897</v>
      </c>
      <c r="AM862">
        <v>79.025883767723997</v>
      </c>
      <c r="AN862">
        <v>0.99999997924150896</v>
      </c>
    </row>
    <row r="863" spans="1:40" x14ac:dyDescent="0.25">
      <c r="A863" t="str">
        <f>"20190303170735199"</f>
        <v>20190303170735199</v>
      </c>
      <c r="B863" t="str">
        <f>"1551604055192726"</f>
        <v>1551604055192726</v>
      </c>
      <c r="C863" t="s">
        <v>40</v>
      </c>
      <c r="D863">
        <v>4.9059879999999998</v>
      </c>
      <c r="E863">
        <v>0.50456619999999996</v>
      </c>
      <c r="F863" t="s">
        <v>47</v>
      </c>
      <c r="G863">
        <v>-215.7166</v>
      </c>
      <c r="H863">
        <v>0.97466710000000001</v>
      </c>
      <c r="I863">
        <v>366.40660000000003</v>
      </c>
      <c r="J863">
        <v>-216.28110000000001</v>
      </c>
      <c r="K863">
        <v>1.120792</v>
      </c>
      <c r="L863">
        <v>366.59350000000001</v>
      </c>
      <c r="M863">
        <v>0.99836939999999996</v>
      </c>
      <c r="N863">
        <v>-1.399854E-2</v>
      </c>
      <c r="O863">
        <v>-5.5343169999999997E-2</v>
      </c>
      <c r="P863">
        <v>0.95064340000000003</v>
      </c>
      <c r="Q863">
        <v>0.19526160000000001</v>
      </c>
      <c r="R863">
        <v>-0.2411452</v>
      </c>
      <c r="S863">
        <v>3.0765690000000001</v>
      </c>
      <c r="T863">
        <v>-0.53364750000000005</v>
      </c>
      <c r="U863">
        <v>-0.74108890000000005</v>
      </c>
      <c r="V863">
        <v>0.18851580000000001</v>
      </c>
      <c r="W863">
        <v>0.20839360000000001</v>
      </c>
      <c r="X863">
        <v>0.95970509999999998</v>
      </c>
      <c r="Y863">
        <v>0.17795320000000001</v>
      </c>
      <c r="Z863">
        <v>-7.7627540000000002E-3</v>
      </c>
      <c r="AA863">
        <v>0.98400829999999995</v>
      </c>
      <c r="AB863">
        <v>27</v>
      </c>
      <c r="AC863">
        <v>0.56450000000000899</v>
      </c>
      <c r="AD863">
        <v>-0.1461249</v>
      </c>
      <c r="AE863">
        <v>-0.18689999999998</v>
      </c>
      <c r="AF863">
        <v>0.14652119199150801</v>
      </c>
      <c r="AG863">
        <v>-0.1461249</v>
      </c>
      <c r="AH863">
        <v>0.54129211113422404</v>
      </c>
      <c r="AI863">
        <v>104.605228684899</v>
      </c>
      <c r="AJ863">
        <v>74.853698749726206</v>
      </c>
      <c r="AK863">
        <v>0.57949814122114995</v>
      </c>
      <c r="AL863">
        <v>77.971770171911004</v>
      </c>
      <c r="AM863">
        <v>78.886827354734294</v>
      </c>
      <c r="AN863">
        <v>0.99999998916830402</v>
      </c>
    </row>
    <row r="864" spans="1:40" x14ac:dyDescent="0.25">
      <c r="A864" t="str">
        <f>"20190303170735221"</f>
        <v>20190303170735221</v>
      </c>
      <c r="B864" t="str">
        <f>"1551604055213197"</f>
        <v>1551604055213197</v>
      </c>
      <c r="C864" t="s">
        <v>40</v>
      </c>
      <c r="D864">
        <v>4.9162600000000003</v>
      </c>
      <c r="E864">
        <v>0.50313560000000002</v>
      </c>
      <c r="F864" t="s">
        <v>47</v>
      </c>
      <c r="G864">
        <v>-215.47989999999999</v>
      </c>
      <c r="H864">
        <v>0.97273719999999997</v>
      </c>
      <c r="I864">
        <v>366.4042</v>
      </c>
      <c r="J864">
        <v>-216.0223</v>
      </c>
      <c r="K864">
        <v>1.1207339999999999</v>
      </c>
      <c r="L864">
        <v>366.57799999999997</v>
      </c>
      <c r="M864">
        <v>0.99831190000000003</v>
      </c>
      <c r="N864">
        <v>-1.39967999999999E-2</v>
      </c>
      <c r="O864">
        <v>-5.6370429999999999E-2</v>
      </c>
      <c r="P864">
        <v>0.94935570000000002</v>
      </c>
      <c r="Q864">
        <v>0.1961319</v>
      </c>
      <c r="R864">
        <v>-0.24547169999999999</v>
      </c>
      <c r="S864">
        <v>3.0881500000000002</v>
      </c>
      <c r="T864">
        <v>-0.57079840000000004</v>
      </c>
      <c r="U864">
        <v>-0.7287903</v>
      </c>
      <c r="V864">
        <v>0.19194710000000001</v>
      </c>
      <c r="W864">
        <v>0.2092194</v>
      </c>
      <c r="X864">
        <v>0.9588449</v>
      </c>
      <c r="Y864">
        <v>0.17224419999999999</v>
      </c>
      <c r="Z864">
        <v>-7.4078669999999899E-3</v>
      </c>
      <c r="AA864">
        <v>0.98502639999999997</v>
      </c>
      <c r="AB864">
        <v>27</v>
      </c>
      <c r="AC864">
        <v>0.54240000000001398</v>
      </c>
      <c r="AD864">
        <v>-0.14799680000000001</v>
      </c>
      <c r="AE864">
        <v>-0.17380000000002799</v>
      </c>
      <c r="AF864">
        <v>0.13390435152386099</v>
      </c>
      <c r="AG864">
        <v>-0.14799680000000001</v>
      </c>
      <c r="AH864">
        <v>0.51646494427</v>
      </c>
      <c r="AI864">
        <v>105.503258498077</v>
      </c>
      <c r="AJ864">
        <v>75.464917820870895</v>
      </c>
      <c r="AK864">
        <v>0.55368715609726704</v>
      </c>
      <c r="AL864">
        <v>77.923388908332399</v>
      </c>
      <c r="AM864">
        <v>78.679833698349</v>
      </c>
      <c r="AN864">
        <v>0.99999999439539</v>
      </c>
    </row>
    <row r="865" spans="1:40" x14ac:dyDescent="0.25">
      <c r="A865" t="str">
        <f>"20190303170735254"</f>
        <v>20190303170735254</v>
      </c>
      <c r="B865" t="str">
        <f>"1551604055243453"</f>
        <v>1551604055243453</v>
      </c>
      <c r="C865" t="s">
        <v>40</v>
      </c>
      <c r="D865">
        <v>4.9365019999999999</v>
      </c>
      <c r="E865">
        <v>0.50175890000000001</v>
      </c>
      <c r="F865" t="s">
        <v>47</v>
      </c>
      <c r="G865">
        <v>-215.24260000000001</v>
      </c>
      <c r="H865">
        <v>0.97313939999999999</v>
      </c>
      <c r="I865">
        <v>366.39339999999999</v>
      </c>
      <c r="J865">
        <v>-215.63319999999999</v>
      </c>
      <c r="K865">
        <v>1.120635</v>
      </c>
      <c r="L865">
        <v>366.55410000000001</v>
      </c>
      <c r="M865">
        <v>0.99821320000000002</v>
      </c>
      <c r="N865">
        <v>-1.3994700000000001E-2</v>
      </c>
      <c r="O865">
        <v>-5.8089050000000003E-2</v>
      </c>
      <c r="P865">
        <v>0.94810289999999997</v>
      </c>
      <c r="Q865">
        <v>0.19595779999999999</v>
      </c>
      <c r="R865">
        <v>-0.25040240000000002</v>
      </c>
      <c r="S865">
        <v>3.0918730000000001</v>
      </c>
      <c r="T865">
        <v>-0.58527369999999901</v>
      </c>
      <c r="U865">
        <v>-0.73126219999999997</v>
      </c>
      <c r="V865">
        <v>0.1953375</v>
      </c>
      <c r="W865">
        <v>0.20897969999999999</v>
      </c>
      <c r="X865">
        <v>0.95821230000000002</v>
      </c>
      <c r="Y865">
        <v>0.1709792</v>
      </c>
      <c r="Z865">
        <v>-7.1164019999999904E-3</v>
      </c>
      <c r="AA865">
        <v>0.98524889999999998</v>
      </c>
      <c r="AB865">
        <v>27</v>
      </c>
      <c r="AC865">
        <v>0.39059999999997702</v>
      </c>
      <c r="AD865">
        <v>-0.1474956</v>
      </c>
      <c r="AE865">
        <v>-0.16070000000001899</v>
      </c>
      <c r="AF865">
        <v>0.122765560439412</v>
      </c>
      <c r="AG865">
        <v>-0.1474956</v>
      </c>
      <c r="AH865">
        <v>0.35587703812426602</v>
      </c>
      <c r="AI865">
        <v>111.395214220813</v>
      </c>
      <c r="AJ865">
        <v>70.967294701892897</v>
      </c>
      <c r="AK865">
        <v>0.40432017153916899</v>
      </c>
      <c r="AL865">
        <v>77.937433635457893</v>
      </c>
      <c r="AM865">
        <v>78.477780835363006</v>
      </c>
      <c r="AN865">
        <v>1.00000003289481</v>
      </c>
    </row>
    <row r="866" spans="1:40" x14ac:dyDescent="0.25">
      <c r="A866" t="str">
        <f>"20190303170735276"</f>
        <v>20190303170735276</v>
      </c>
      <c r="B866" t="str">
        <f>"1551604055262972"</f>
        <v>1551604055262972</v>
      </c>
      <c r="C866" t="s">
        <v>40</v>
      </c>
      <c r="D866">
        <v>4.9604330000000001</v>
      </c>
      <c r="E866">
        <v>0.50104040000000005</v>
      </c>
      <c r="F866" t="s">
        <v>47</v>
      </c>
      <c r="G866">
        <v>-214.77850000000001</v>
      </c>
      <c r="H866">
        <v>0.95425159999999998</v>
      </c>
      <c r="I866">
        <v>366.35079999999999</v>
      </c>
      <c r="J866">
        <v>-215.3621</v>
      </c>
      <c r="K866">
        <v>1.120557</v>
      </c>
      <c r="L866">
        <v>366.5369</v>
      </c>
      <c r="M866">
        <v>0.99813490000000005</v>
      </c>
      <c r="N866">
        <v>-1.399361E-2</v>
      </c>
      <c r="O866">
        <v>-5.942331E-2</v>
      </c>
      <c r="P866">
        <v>0.94715059999999995</v>
      </c>
      <c r="Q866">
        <v>0.19611770000000001</v>
      </c>
      <c r="R866">
        <v>-0.25385809999999998</v>
      </c>
      <c r="S866">
        <v>3.0945429999999998</v>
      </c>
      <c r="T866">
        <v>-0.60246060000000001</v>
      </c>
      <c r="U866">
        <v>-0.735321</v>
      </c>
      <c r="V866">
        <v>0.19759959999999999</v>
      </c>
      <c r="W866">
        <v>0.20908879999999999</v>
      </c>
      <c r="X866">
        <v>0.95772449999999998</v>
      </c>
      <c r="Y866">
        <v>0.17060520000000001</v>
      </c>
      <c r="Z866">
        <v>-6.9858949999999998E-3</v>
      </c>
      <c r="AA866">
        <v>0.98531469999999999</v>
      </c>
      <c r="AB866">
        <v>27</v>
      </c>
      <c r="AC866">
        <v>0.58359999999998902</v>
      </c>
      <c r="AD866">
        <v>-0.16630539999999999</v>
      </c>
      <c r="AE866">
        <v>-0.18610000000001001</v>
      </c>
      <c r="AF866">
        <v>0.14071610605048199</v>
      </c>
      <c r="AG866">
        <v>-0.16630539999999999</v>
      </c>
      <c r="AH866">
        <v>0.55287598069769905</v>
      </c>
      <c r="AI866">
        <v>106.25177209042199</v>
      </c>
      <c r="AJ866">
        <v>75.720457771807901</v>
      </c>
      <c r="AK866">
        <v>0.59424772494609801</v>
      </c>
      <c r="AL866">
        <v>77.931040718949802</v>
      </c>
      <c r="AM866">
        <v>78.342204467795995</v>
      </c>
      <c r="AN866">
        <v>0.99999997305292398</v>
      </c>
    </row>
    <row r="867" spans="1:40" x14ac:dyDescent="0.25">
      <c r="A867" t="str">
        <f>"20190303170735300"</f>
        <v>20190303170735300</v>
      </c>
      <c r="B867" t="str">
        <f>"1551604055293230"</f>
        <v>1551604055293230</v>
      </c>
      <c r="C867" t="s">
        <v>40</v>
      </c>
      <c r="D867">
        <v>5.014888</v>
      </c>
      <c r="E867">
        <v>0.5001004</v>
      </c>
      <c r="F867" t="s">
        <v>47</v>
      </c>
      <c r="G867">
        <v>-214.5401</v>
      </c>
      <c r="H867">
        <v>0.95873149999999996</v>
      </c>
      <c r="I867">
        <v>366.33969999999999</v>
      </c>
      <c r="J867">
        <v>-215.08940000000001</v>
      </c>
      <c r="K867">
        <v>1.1204879999999999</v>
      </c>
      <c r="L867">
        <v>366.51900000000001</v>
      </c>
      <c r="M867">
        <v>0.99804740000000003</v>
      </c>
      <c r="N867">
        <v>-1.399272E-2</v>
      </c>
      <c r="O867">
        <v>-6.087331E-2</v>
      </c>
      <c r="P867">
        <v>0.94587589999999999</v>
      </c>
      <c r="Q867">
        <v>0.19766069999999999</v>
      </c>
      <c r="R867">
        <v>-0.25738919999999998</v>
      </c>
      <c r="S867">
        <v>3.0947110000000002</v>
      </c>
      <c r="T867">
        <v>-0.60927299999999995</v>
      </c>
      <c r="U867">
        <v>-0.74194340000000003</v>
      </c>
      <c r="V867">
        <v>0.19984969999999999</v>
      </c>
      <c r="W867">
        <v>0.21057699999999999</v>
      </c>
      <c r="X867">
        <v>0.95693119999999998</v>
      </c>
      <c r="Y867">
        <v>0.17112269999999999</v>
      </c>
      <c r="Z867">
        <v>-6.8354790000000002E-3</v>
      </c>
      <c r="AA867">
        <v>0.98522600000000005</v>
      </c>
      <c r="AB867">
        <v>26</v>
      </c>
      <c r="AC867">
        <v>0.549300000000016</v>
      </c>
      <c r="AD867">
        <v>-0.161756499999999</v>
      </c>
      <c r="AE867">
        <v>-0.17930000000001201</v>
      </c>
      <c r="AF867">
        <v>0.13495072694875099</v>
      </c>
      <c r="AG867">
        <v>-0.161756499999999</v>
      </c>
      <c r="AH867">
        <v>0.51855877112884796</v>
      </c>
      <c r="AI867">
        <v>106.797998175751</v>
      </c>
      <c r="AJ867">
        <v>75.412801584379494</v>
      </c>
      <c r="AK867">
        <v>0.55971426916857103</v>
      </c>
      <c r="AL867">
        <v>77.843831311987003</v>
      </c>
      <c r="AM867">
        <v>78.203651302023601</v>
      </c>
      <c r="AN867">
        <v>0.99999994852626295</v>
      </c>
    </row>
    <row r="868" spans="1:40" x14ac:dyDescent="0.25">
      <c r="A868" t="str">
        <f>"20190303170735321"</f>
        <v>20190303170735321</v>
      </c>
      <c r="B868" t="str">
        <f>"1551604055312749"</f>
        <v>1551604055312749</v>
      </c>
      <c r="C868" t="s">
        <v>40</v>
      </c>
      <c r="D868">
        <v>5.0371269999999999</v>
      </c>
      <c r="E868">
        <v>0.49941370000000002</v>
      </c>
      <c r="F868" t="s">
        <v>47</v>
      </c>
      <c r="G868">
        <v>-214.3013</v>
      </c>
      <c r="H868">
        <v>0.96428000000000003</v>
      </c>
      <c r="I868">
        <v>366.32859999999999</v>
      </c>
      <c r="J868">
        <v>-214.8374</v>
      </c>
      <c r="K868">
        <v>1.1204259999999999</v>
      </c>
      <c r="L868">
        <v>366.50200000000001</v>
      </c>
      <c r="M868">
        <v>0.99795750000000005</v>
      </c>
      <c r="N868">
        <v>-1.399191E-2</v>
      </c>
      <c r="O868">
        <v>-6.2333090000000001E-2</v>
      </c>
      <c r="P868">
        <v>0.94440239999999998</v>
      </c>
      <c r="Q868">
        <v>0.20006959999999999</v>
      </c>
      <c r="R868">
        <v>-0.26091579999999998</v>
      </c>
      <c r="S868">
        <v>3.096603</v>
      </c>
      <c r="T868">
        <v>-0.61381980000000003</v>
      </c>
      <c r="U868">
        <v>-0.74719239999999998</v>
      </c>
      <c r="V868">
        <v>0.2021028</v>
      </c>
      <c r="W868">
        <v>0.21292810000000001</v>
      </c>
      <c r="X868">
        <v>0.95593729999999999</v>
      </c>
      <c r="Y868">
        <v>0.17111889999999999</v>
      </c>
      <c r="Z868">
        <v>-6.6053469999999897E-3</v>
      </c>
      <c r="AA868">
        <v>0.9852282</v>
      </c>
      <c r="AB868">
        <v>26</v>
      </c>
      <c r="AC868">
        <v>0.53610000000000402</v>
      </c>
      <c r="AD868">
        <v>-0.15614600000000001</v>
      </c>
      <c r="AE868">
        <v>-0.173399999999958</v>
      </c>
      <c r="AF868">
        <v>0.12968311660912399</v>
      </c>
      <c r="AG868">
        <v>-0.15614600000000001</v>
      </c>
      <c r="AH868">
        <v>0.50693462252221899</v>
      </c>
      <c r="AI868">
        <v>106.615645141443</v>
      </c>
      <c r="AJ868">
        <v>75.650438113672394</v>
      </c>
      <c r="AK868">
        <v>0.546060432151242</v>
      </c>
      <c r="AL868">
        <v>77.705998433899893</v>
      </c>
      <c r="AM868">
        <v>78.0624035900222</v>
      </c>
      <c r="AN868">
        <v>1.0000000195343699</v>
      </c>
    </row>
    <row r="869" spans="1:40" x14ac:dyDescent="0.25">
      <c r="A869" t="str">
        <f>"20190303170735343"</f>
        <v>20190303170735343</v>
      </c>
      <c r="B869" t="str">
        <f>"1551604055333245"</f>
        <v>1551604055333245</v>
      </c>
      <c r="C869" t="s">
        <v>40</v>
      </c>
      <c r="D869">
        <v>5.0226790000000001</v>
      </c>
      <c r="E869">
        <v>0.49881259999999999</v>
      </c>
      <c r="F869" t="s">
        <v>47</v>
      </c>
      <c r="G869">
        <v>-214.06389999999999</v>
      </c>
      <c r="H869">
        <v>0.96799480000000004</v>
      </c>
      <c r="I869">
        <v>366.3134</v>
      </c>
      <c r="J869">
        <v>-214.57859999999999</v>
      </c>
      <c r="K869">
        <v>1.1203449999999999</v>
      </c>
      <c r="L869">
        <v>366.48410000000001</v>
      </c>
      <c r="M869">
        <v>0.99785420000000002</v>
      </c>
      <c r="N869">
        <v>-1.399155E-2</v>
      </c>
      <c r="O869">
        <v>-6.3966209999999996E-2</v>
      </c>
      <c r="P869">
        <v>0.94294429999999996</v>
      </c>
      <c r="Q869">
        <v>0.20153119999999999</v>
      </c>
      <c r="R869">
        <v>-0.26503159999999998</v>
      </c>
      <c r="S869">
        <v>3.0974879999999998</v>
      </c>
      <c r="T869">
        <v>-0.61050959999999999</v>
      </c>
      <c r="U869">
        <v>-0.75448609999999905</v>
      </c>
      <c r="V869">
        <v>0.20478440000000001</v>
      </c>
      <c r="W869">
        <v>0.21432609999999999</v>
      </c>
      <c r="X869">
        <v>0.95505370000000001</v>
      </c>
      <c r="Y869">
        <v>0.1716751</v>
      </c>
      <c r="Z869">
        <v>-6.3464319999999999E-3</v>
      </c>
      <c r="AA869">
        <v>0.98513320000000004</v>
      </c>
      <c r="AB869">
        <v>26</v>
      </c>
      <c r="AC869">
        <v>0.51470000000000404</v>
      </c>
      <c r="AD869">
        <v>-0.15235019999999999</v>
      </c>
      <c r="AE869">
        <v>-0.17070000000001001</v>
      </c>
      <c r="AF869">
        <v>0.127370037482955</v>
      </c>
      <c r="AG869">
        <v>-0.15235019999999999</v>
      </c>
      <c r="AH869">
        <v>0.486189470935602</v>
      </c>
      <c r="AI869">
        <v>106.863431725239</v>
      </c>
      <c r="AJ869">
        <v>75.319780162726303</v>
      </c>
      <c r="AK869">
        <v>0.52517988493190604</v>
      </c>
      <c r="AL869">
        <v>77.624005269311894</v>
      </c>
      <c r="AM869">
        <v>77.897784490175596</v>
      </c>
      <c r="AN869">
        <v>0.99999994875412801</v>
      </c>
    </row>
    <row r="870" spans="1:40" x14ac:dyDescent="0.25">
      <c r="A870" t="str">
        <f>"20190303170735367"</f>
        <v>20190303170735367</v>
      </c>
      <c r="B870" t="str">
        <f>"1551604055363501"</f>
        <v>1551604055363501</v>
      </c>
      <c r="C870" t="s">
        <v>40</v>
      </c>
      <c r="D870">
        <v>5.0162639999999996</v>
      </c>
      <c r="E870">
        <v>0.49907950000000001</v>
      </c>
      <c r="F870" t="s">
        <v>47</v>
      </c>
      <c r="G870">
        <v>-213.82660000000001</v>
      </c>
      <c r="H870">
        <v>0.97200229999999999</v>
      </c>
      <c r="I870">
        <v>366.29829999999998</v>
      </c>
      <c r="J870">
        <v>-214.30439999999999</v>
      </c>
      <c r="K870">
        <v>1.1202570000000001</v>
      </c>
      <c r="L870">
        <v>366.46440000000001</v>
      </c>
      <c r="M870">
        <v>0.9977319</v>
      </c>
      <c r="N870">
        <v>-1.3991899999999899E-2</v>
      </c>
      <c r="O870">
        <v>-6.5845749999999995E-2</v>
      </c>
      <c r="P870">
        <v>0.94096630000000003</v>
      </c>
      <c r="Q870">
        <v>0.20258499999999999</v>
      </c>
      <c r="R870">
        <v>-0.27118639999999999</v>
      </c>
      <c r="S870">
        <v>3.0972749999999998</v>
      </c>
      <c r="T870">
        <v>-0.61103649999999998</v>
      </c>
      <c r="U870">
        <v>-0.76446530000000001</v>
      </c>
      <c r="V870">
        <v>0.2093093</v>
      </c>
      <c r="W870">
        <v>0.21529709999999999</v>
      </c>
      <c r="X870">
        <v>0.95385370000000003</v>
      </c>
      <c r="Y870">
        <v>0.17283470000000001</v>
      </c>
      <c r="Z870">
        <v>-6.135054E-3</v>
      </c>
      <c r="AA870">
        <v>0.98493180000000002</v>
      </c>
      <c r="AB870">
        <v>26</v>
      </c>
      <c r="AC870">
        <v>0.47779999999997302</v>
      </c>
      <c r="AD870">
        <v>-0.14825469999999899</v>
      </c>
      <c r="AE870">
        <v>-0.166100000000028</v>
      </c>
      <c r="AF870">
        <v>0.123653817578184</v>
      </c>
      <c r="AG870">
        <v>-0.14825469999999899</v>
      </c>
      <c r="AH870">
        <v>0.44912271400432402</v>
      </c>
      <c r="AI870">
        <v>107.654003661438</v>
      </c>
      <c r="AJ870">
        <v>74.606544248122901</v>
      </c>
      <c r="AK870">
        <v>0.48885676318156701</v>
      </c>
      <c r="AL870">
        <v>77.567042578571403</v>
      </c>
      <c r="AM870">
        <v>77.623439080908199</v>
      </c>
      <c r="AN870">
        <v>1.00000005266929</v>
      </c>
    </row>
    <row r="871" spans="1:40" x14ac:dyDescent="0.25">
      <c r="A871" t="str">
        <f>"20190303170735388"</f>
        <v>20190303170735388</v>
      </c>
      <c r="B871" t="str">
        <f>"1551604055383022"</f>
        <v>1551604055383022</v>
      </c>
      <c r="C871" t="s">
        <v>40</v>
      </c>
      <c r="D871">
        <v>4.8891369999999998</v>
      </c>
      <c r="E871">
        <v>0.54036770000000001</v>
      </c>
      <c r="F871" t="s">
        <v>47</v>
      </c>
      <c r="G871">
        <v>-213.5882</v>
      </c>
      <c r="H871">
        <v>0.97886810000000002</v>
      </c>
      <c r="I871">
        <v>366.28120000000001</v>
      </c>
      <c r="J871">
        <v>-214.04660000000001</v>
      </c>
      <c r="K871">
        <v>1.120169</v>
      </c>
      <c r="L871">
        <v>366.44540000000001</v>
      </c>
      <c r="M871">
        <v>0.99760400000000005</v>
      </c>
      <c r="N871">
        <v>-1.399269E-2</v>
      </c>
      <c r="O871">
        <v>-6.7755709999999997E-2</v>
      </c>
      <c r="P871">
        <v>0.93864329999999996</v>
      </c>
      <c r="Q871">
        <v>0.20466670000000001</v>
      </c>
      <c r="R871">
        <v>-0.277597599999999</v>
      </c>
      <c r="S871">
        <v>3.0916139999999999</v>
      </c>
      <c r="T871">
        <v>-0.61035790000000001</v>
      </c>
      <c r="U871">
        <v>-0.79116819999999999</v>
      </c>
      <c r="V871">
        <v>0.2140929</v>
      </c>
      <c r="W871">
        <v>0.21728910000000001</v>
      </c>
      <c r="X871">
        <v>0.95233909999999999</v>
      </c>
      <c r="Y871">
        <v>0.17927390000000001</v>
      </c>
      <c r="Z871">
        <v>-6.4617379999999999E-3</v>
      </c>
      <c r="AA871">
        <v>0.98377800000000004</v>
      </c>
      <c r="AB871">
        <v>26</v>
      </c>
      <c r="AC871">
        <v>0.45840000000001102</v>
      </c>
      <c r="AD871">
        <v>-0.14130089999999901</v>
      </c>
      <c r="AE871">
        <v>-0.16419999999999299</v>
      </c>
      <c r="AF871">
        <v>0.122448714120309</v>
      </c>
      <c r="AG871">
        <v>-0.14130089999999901</v>
      </c>
      <c r="AH871">
        <v>0.43208621122613999</v>
      </c>
      <c r="AI871">
        <v>107.465149524201</v>
      </c>
      <c r="AJ871">
        <v>74.177824825176103</v>
      </c>
      <c r="AK871">
        <v>0.470805826070885</v>
      </c>
      <c r="AL871">
        <v>77.450142023566301</v>
      </c>
      <c r="AM871">
        <v>77.330119054460894</v>
      </c>
      <c r="AN871">
        <v>1.0000000420990101</v>
      </c>
    </row>
    <row r="872" spans="1:40" x14ac:dyDescent="0.25">
      <c r="A872" t="str">
        <f>"20190303170735411"</f>
        <v>20190303170735411</v>
      </c>
      <c r="B872" t="str">
        <f>"1551604055403519"</f>
        <v>1551604055403519</v>
      </c>
      <c r="C872" t="s">
        <v>40</v>
      </c>
      <c r="D872">
        <v>4.8427809999999996</v>
      </c>
      <c r="E872">
        <v>0.55283450000000001</v>
      </c>
      <c r="F872" t="s">
        <v>48</v>
      </c>
      <c r="G872">
        <v>-204.75970000000001</v>
      </c>
      <c r="H872" s="1">
        <v>-4.3322760000000002E-6</v>
      </c>
      <c r="I872">
        <v>362.85890000000001</v>
      </c>
      <c r="J872">
        <v>-213.77760000000001</v>
      </c>
      <c r="K872">
        <v>1.120079</v>
      </c>
      <c r="L872">
        <v>366.42469999999997</v>
      </c>
      <c r="M872">
        <v>0.99745519999999999</v>
      </c>
      <c r="N872">
        <v>-1.3993759999999999E-2</v>
      </c>
      <c r="O872">
        <v>-6.9907289999999997E-2</v>
      </c>
      <c r="P872">
        <v>0.93654020000000004</v>
      </c>
      <c r="Q872">
        <v>0.2079694</v>
      </c>
      <c r="R872">
        <v>-0.2822075</v>
      </c>
      <c r="S872">
        <v>2.9378510000000002</v>
      </c>
      <c r="T872">
        <v>-0.35435680000000003</v>
      </c>
      <c r="U872">
        <v>-1.134552</v>
      </c>
      <c r="V872">
        <v>0.21684639999999999</v>
      </c>
      <c r="W872">
        <v>0.22050839999999999</v>
      </c>
      <c r="X872">
        <v>0.95097509999999996</v>
      </c>
      <c r="Y872">
        <v>0.29242109999999999</v>
      </c>
      <c r="Z872">
        <v>-1.1956079999999999E-2</v>
      </c>
      <c r="AA872">
        <v>0.95621489999999998</v>
      </c>
      <c r="AB872">
        <v>26</v>
      </c>
      <c r="AC872">
        <v>9.0178999999999903</v>
      </c>
      <c r="AD872">
        <v>-1.120083332276</v>
      </c>
      <c r="AE872">
        <v>-3.5657999999999599</v>
      </c>
      <c r="AF872">
        <v>2.8880650697135599</v>
      </c>
      <c r="AG872">
        <v>-1.120083332276</v>
      </c>
      <c r="AH872">
        <v>9.1234144892743405</v>
      </c>
      <c r="AI872">
        <v>96.675852765389607</v>
      </c>
      <c r="AJ872">
        <v>72.434541511319594</v>
      </c>
      <c r="AK872">
        <v>9.6349467285109096</v>
      </c>
      <c r="AL872">
        <v>77.2611042004213</v>
      </c>
      <c r="AM872">
        <v>77.154738204927398</v>
      </c>
      <c r="AN872">
        <v>0.99999997824176401</v>
      </c>
    </row>
    <row r="873" spans="1:40" x14ac:dyDescent="0.25">
      <c r="A873" t="str">
        <f>"20190303170735432"</f>
        <v>20190303170735432</v>
      </c>
      <c r="B873" t="str">
        <f>"1551604055423544"</f>
        <v>1551604055423544</v>
      </c>
      <c r="C873" t="s">
        <v>40</v>
      </c>
      <c r="D873">
        <v>4.8105869999999999</v>
      </c>
      <c r="E873">
        <v>0.56014839999999999</v>
      </c>
      <c r="F873" t="s">
        <v>48</v>
      </c>
      <c r="G873">
        <v>-200.4795</v>
      </c>
      <c r="H873" s="1">
        <v>-2.6575989999999999E-6</v>
      </c>
      <c r="I873">
        <v>360.67469999999997</v>
      </c>
      <c r="J873">
        <v>-213.53039999999999</v>
      </c>
      <c r="K873">
        <v>1.1199950000000001</v>
      </c>
      <c r="L873">
        <v>366.40499999999997</v>
      </c>
      <c r="M873">
        <v>0.99730589999999997</v>
      </c>
      <c r="N873">
        <v>-1.399481E-2</v>
      </c>
      <c r="O873">
        <v>-7.2009519999999994E-2</v>
      </c>
      <c r="P873">
        <v>0.9349113</v>
      </c>
      <c r="Q873">
        <v>0.2103052</v>
      </c>
      <c r="R873">
        <v>-0.28585490000000002</v>
      </c>
      <c r="S873">
        <v>2.8817140000000001</v>
      </c>
      <c r="T873">
        <v>-0.24272289999999999</v>
      </c>
      <c r="U873">
        <v>-1.2460329999999999</v>
      </c>
      <c r="V873">
        <v>0.21864800000000001</v>
      </c>
      <c r="W873">
        <v>0.22277749999999999</v>
      </c>
      <c r="X873">
        <v>0.95003329999999997</v>
      </c>
      <c r="Y873">
        <v>0.32873540000000001</v>
      </c>
      <c r="Z873">
        <v>-1.0830680000000001E-2</v>
      </c>
      <c r="AA873">
        <v>0.94435999999999998</v>
      </c>
      <c r="AB873">
        <v>26</v>
      </c>
      <c r="AC873">
        <v>13.050899999999899</v>
      </c>
      <c r="AD873">
        <v>-1.1199976575990001</v>
      </c>
      <c r="AE873">
        <v>-5.7302999999999997</v>
      </c>
      <c r="AF873">
        <v>4.7462350522290198</v>
      </c>
      <c r="AG873">
        <v>-1.1199976575990001</v>
      </c>
      <c r="AH873">
        <v>13.3472782847868</v>
      </c>
      <c r="AI873">
        <v>94.520525650269505</v>
      </c>
      <c r="AJ873">
        <v>70.424831137219698</v>
      </c>
      <c r="AK873">
        <v>14.210242064636899</v>
      </c>
      <c r="AL873">
        <v>77.127778715998602</v>
      </c>
      <c r="AM873">
        <v>77.039197130768201</v>
      </c>
      <c r="AN873">
        <v>1.00000001675956</v>
      </c>
    </row>
    <row r="874" spans="1:40" x14ac:dyDescent="0.25">
      <c r="A874" t="str">
        <f>"20190303170735454"</f>
        <v>20190303170735454</v>
      </c>
      <c r="B874" t="str">
        <f>"1551604055443065"</f>
        <v>1551604055443065</v>
      </c>
      <c r="C874" t="s">
        <v>40</v>
      </c>
      <c r="D874">
        <v>4.8111699999999997</v>
      </c>
      <c r="E874">
        <v>0.56387369999999903</v>
      </c>
      <c r="F874" t="s">
        <v>48</v>
      </c>
      <c r="G874">
        <v>-196.39070000000001</v>
      </c>
      <c r="H874" s="1">
        <v>-5.9183770000000004E-6</v>
      </c>
      <c r="I874">
        <v>358.50389999999999</v>
      </c>
      <c r="J874">
        <v>-213.2698</v>
      </c>
      <c r="K874">
        <v>1.1199079999999999</v>
      </c>
      <c r="L874">
        <v>366.38350000000003</v>
      </c>
      <c r="M874">
        <v>0.99713549999999995</v>
      </c>
      <c r="N874">
        <v>-1.399572E-2</v>
      </c>
      <c r="O874">
        <v>-7.4330809999999997E-2</v>
      </c>
      <c r="P874">
        <v>0.93332899999999996</v>
      </c>
      <c r="Q874">
        <v>0.21006379999999999</v>
      </c>
      <c r="R874">
        <v>-0.29115370000000002</v>
      </c>
      <c r="S874">
        <v>2.8491819999999999</v>
      </c>
      <c r="T874">
        <v>-0.1861806</v>
      </c>
      <c r="U874">
        <v>-1.3134159999999999</v>
      </c>
      <c r="V874">
        <v>0.22187119999999999</v>
      </c>
      <c r="W874">
        <v>0.2224739</v>
      </c>
      <c r="X874">
        <v>0.94935689999999995</v>
      </c>
      <c r="Y874">
        <v>0.34928779999999998</v>
      </c>
      <c r="Z874">
        <v>-9.8150879999999996E-3</v>
      </c>
      <c r="AA874">
        <v>0.93696409999999997</v>
      </c>
      <c r="AB874">
        <v>26</v>
      </c>
      <c r="AC874">
        <v>16.879099999999902</v>
      </c>
      <c r="AD874">
        <v>-1.1199139183769999</v>
      </c>
      <c r="AE874">
        <v>-7.8796000000000301</v>
      </c>
      <c r="AF874">
        <v>6.5792571288415598</v>
      </c>
      <c r="AG874">
        <v>-1.1199139183769999</v>
      </c>
      <c r="AH874">
        <v>17.355420162762002</v>
      </c>
      <c r="AI874">
        <v>93.452933316210604</v>
      </c>
      <c r="AJ874">
        <v>69.238809275815598</v>
      </c>
      <c r="AK874">
        <v>18.594392718720201</v>
      </c>
      <c r="AL874">
        <v>77.145621206906895</v>
      </c>
      <c r="AM874">
        <v>76.845684051818296</v>
      </c>
      <c r="AN874">
        <v>0.99999999457412903</v>
      </c>
    </row>
    <row r="875" spans="1:40" x14ac:dyDescent="0.25">
      <c r="A875" t="str">
        <f>"20190303170735478"</f>
        <v>20190303170735478</v>
      </c>
      <c r="B875" t="str">
        <f>"1551604055473321"</f>
        <v>1551604055473321</v>
      </c>
      <c r="C875" t="s">
        <v>40</v>
      </c>
      <c r="D875">
        <v>4.7623340000000001</v>
      </c>
      <c r="E875">
        <v>0.56654859999999996</v>
      </c>
      <c r="F875" t="s">
        <v>48</v>
      </c>
      <c r="G875">
        <v>-193.78710000000001</v>
      </c>
      <c r="H875" s="1">
        <v>-4.9298559999999996E-6</v>
      </c>
      <c r="I875">
        <v>357.03039999999999</v>
      </c>
      <c r="J875">
        <v>-213</v>
      </c>
      <c r="K875">
        <v>1.119842</v>
      </c>
      <c r="L875">
        <v>366.36059999999998</v>
      </c>
      <c r="M875">
        <v>0.99694590000000005</v>
      </c>
      <c r="N875">
        <v>-1.399621E-2</v>
      </c>
      <c r="O875">
        <v>-7.6830709999999997E-2</v>
      </c>
      <c r="P875">
        <v>0.93136660000000004</v>
      </c>
      <c r="Q875">
        <v>0.2095294</v>
      </c>
      <c r="R875">
        <v>-0.297747599999999</v>
      </c>
      <c r="S875">
        <v>2.8274689999999998</v>
      </c>
      <c r="T875">
        <v>-0.162529799999999</v>
      </c>
      <c r="U875">
        <v>-1.357391</v>
      </c>
      <c r="V875">
        <v>0.2262392</v>
      </c>
      <c r="W875">
        <v>0.2218755</v>
      </c>
      <c r="X875">
        <v>0.94846560000000002</v>
      </c>
      <c r="Y875">
        <v>0.36167290000000002</v>
      </c>
      <c r="Z875">
        <v>-9.3753970000000006E-3</v>
      </c>
      <c r="AA875">
        <v>0.93225789999999997</v>
      </c>
      <c r="AB875">
        <v>26</v>
      </c>
      <c r="AC875">
        <v>19.212899999999902</v>
      </c>
      <c r="AD875">
        <v>-1.1198469298559901</v>
      </c>
      <c r="AE875">
        <v>-9.3301999999999907</v>
      </c>
      <c r="AF875">
        <v>7.8048750399761904</v>
      </c>
      <c r="AG875">
        <v>-1.1198469298559901</v>
      </c>
      <c r="AH875">
        <v>19.818533602808099</v>
      </c>
      <c r="AI875">
        <v>93.009552031389703</v>
      </c>
      <c r="AJ875">
        <v>68.504637524555804</v>
      </c>
      <c r="AK875">
        <v>21.329425817437901</v>
      </c>
      <c r="AL875">
        <v>77.180785345009298</v>
      </c>
      <c r="AM875">
        <v>76.583833717647394</v>
      </c>
      <c r="AN875">
        <v>0.99999995375012296</v>
      </c>
    </row>
    <row r="876" spans="1:40" x14ac:dyDescent="0.25">
      <c r="A876" t="str">
        <f>"20190303170735500"</f>
        <v>20190303170735500</v>
      </c>
      <c r="B876" t="str">
        <f>"1551604055492842"</f>
        <v>1551604055492842</v>
      </c>
      <c r="C876" t="s">
        <v>40</v>
      </c>
      <c r="D876">
        <v>4.7313910000000003</v>
      </c>
      <c r="E876">
        <v>0.56768009999999902</v>
      </c>
      <c r="F876" t="s">
        <v>48</v>
      </c>
      <c r="G876">
        <v>-191.3031</v>
      </c>
      <c r="H876" s="1">
        <v>-3.6934819999999998E-6</v>
      </c>
      <c r="I876">
        <v>355.55860000000001</v>
      </c>
      <c r="J876">
        <v>-212.73519999999999</v>
      </c>
      <c r="K876">
        <v>1.119794</v>
      </c>
      <c r="L876">
        <v>366.3374</v>
      </c>
      <c r="M876">
        <v>0.9967473</v>
      </c>
      <c r="N876">
        <v>-1.3996420000000001E-2</v>
      </c>
      <c r="O876">
        <v>-7.9366569999999997E-2</v>
      </c>
      <c r="P876">
        <v>0.92871610000000004</v>
      </c>
      <c r="Q876">
        <v>0.21134539999999999</v>
      </c>
      <c r="R876">
        <v>-0.30466300000000002</v>
      </c>
      <c r="S876">
        <v>2.8069310000000001</v>
      </c>
      <c r="T876">
        <v>-0.144874799999999</v>
      </c>
      <c r="U876">
        <v>-1.3974610000000001</v>
      </c>
      <c r="V876">
        <v>0.23095599999999999</v>
      </c>
      <c r="W876">
        <v>0.22362299999999999</v>
      </c>
      <c r="X876">
        <v>0.94691709999999996</v>
      </c>
      <c r="Y876">
        <v>0.37274069999999998</v>
      </c>
      <c r="Z876">
        <v>-9.0455540000000008E-3</v>
      </c>
      <c r="AA876">
        <v>0.92789140000000003</v>
      </c>
      <c r="AB876">
        <v>26</v>
      </c>
      <c r="AC876">
        <v>21.432099999999899</v>
      </c>
      <c r="AD876">
        <v>-1.119797693482</v>
      </c>
      <c r="AE876">
        <v>-10.778799999999899</v>
      </c>
      <c r="AF876">
        <v>9.0239712233165701</v>
      </c>
      <c r="AG876">
        <v>-1.119797693482</v>
      </c>
      <c r="AH876">
        <v>22.1717311474751</v>
      </c>
      <c r="AI876">
        <v>92.678315183848895</v>
      </c>
      <c r="AJ876">
        <v>67.853506926281597</v>
      </c>
      <c r="AK876">
        <v>23.9639659820633</v>
      </c>
      <c r="AL876">
        <v>77.078080616776205</v>
      </c>
      <c r="AM876">
        <v>76.293004172569596</v>
      </c>
      <c r="AN876">
        <v>0.99999995716870305</v>
      </c>
    </row>
    <row r="877" spans="1:40" x14ac:dyDescent="0.25">
      <c r="A877" t="str">
        <f>"20190303170735522"</f>
        <v>20190303170735522</v>
      </c>
      <c r="B877" t="str">
        <f>"1551604055512868"</f>
        <v>1551604055512868</v>
      </c>
      <c r="C877" t="s">
        <v>40</v>
      </c>
      <c r="D877">
        <v>4.7049399999999997</v>
      </c>
      <c r="E877">
        <v>0.56850500000000004</v>
      </c>
      <c r="F877" t="s">
        <v>48</v>
      </c>
      <c r="G877">
        <v>-188.95609999999999</v>
      </c>
      <c r="H877" s="1">
        <v>-2.850305E-6</v>
      </c>
      <c r="I877">
        <v>354.17250000000001</v>
      </c>
      <c r="J877">
        <v>-212.47649999999999</v>
      </c>
      <c r="K877">
        <v>1.1197490000000001</v>
      </c>
      <c r="L877">
        <v>366.31389999999999</v>
      </c>
      <c r="M877">
        <v>0.99654160000000003</v>
      </c>
      <c r="N877">
        <v>-1.39965E-2</v>
      </c>
      <c r="O877">
        <v>-8.1909200000000001E-2</v>
      </c>
      <c r="P877">
        <v>0.92649389999999998</v>
      </c>
      <c r="Q877">
        <v>0.21191869999999999</v>
      </c>
      <c r="R877">
        <v>-0.31096590000000002</v>
      </c>
      <c r="S877">
        <v>2.7916720000000002</v>
      </c>
      <c r="T877">
        <v>-0.13146469999999999</v>
      </c>
      <c r="U877">
        <v>-1.4281619999999999</v>
      </c>
      <c r="V877">
        <v>0.2350209</v>
      </c>
      <c r="W877">
        <v>0.2241388</v>
      </c>
      <c r="X877">
        <v>0.94579429999999998</v>
      </c>
      <c r="Y877">
        <v>0.38056640000000003</v>
      </c>
      <c r="Z877">
        <v>-8.7320219999999903E-3</v>
      </c>
      <c r="AA877">
        <v>0.92471239999999999</v>
      </c>
      <c r="AB877">
        <v>26</v>
      </c>
      <c r="AC877">
        <v>23.520399999999899</v>
      </c>
      <c r="AD877">
        <v>-1.1197518503049999</v>
      </c>
      <c r="AE877">
        <v>-12.1413999999999</v>
      </c>
      <c r="AF877">
        <v>10.1556939410107</v>
      </c>
      <c r="AG877">
        <v>-1.1197518503049999</v>
      </c>
      <c r="AH877">
        <v>24.392288083479698</v>
      </c>
      <c r="AI877">
        <v>92.426716318393801</v>
      </c>
      <c r="AJ877">
        <v>67.395666951666996</v>
      </c>
      <c r="AK877">
        <v>26.445711969565298</v>
      </c>
      <c r="AL877">
        <v>77.047757545472095</v>
      </c>
      <c r="AM877">
        <v>76.045185764686394</v>
      </c>
      <c r="AN877">
        <v>0.99999994150736804</v>
      </c>
    </row>
    <row r="878" spans="1:40" x14ac:dyDescent="0.25">
      <c r="A878" t="str">
        <f>"20190303170735545"</f>
        <v>20190303170735545</v>
      </c>
      <c r="B878" t="str">
        <f>"1551604055533364"</f>
        <v>1551604055533364</v>
      </c>
      <c r="C878" t="s">
        <v>40</v>
      </c>
      <c r="D878">
        <v>4.689279</v>
      </c>
      <c r="E878">
        <v>0.56906269999999903</v>
      </c>
      <c r="F878" t="s">
        <v>48</v>
      </c>
      <c r="G878">
        <v>-187.6797</v>
      </c>
      <c r="H878" s="1">
        <v>-2.5433249999999999E-6</v>
      </c>
      <c r="I878">
        <v>353.35359999999997</v>
      </c>
      <c r="J878">
        <v>-212.22460000000001</v>
      </c>
      <c r="K878">
        <v>1.119712</v>
      </c>
      <c r="L878">
        <v>366.29039999999998</v>
      </c>
      <c r="M878">
        <v>0.99633020000000005</v>
      </c>
      <c r="N878">
        <v>-1.399659E-2</v>
      </c>
      <c r="O878">
        <v>-8.4441669999999996E-2</v>
      </c>
      <c r="P878">
        <v>0.92469539999999995</v>
      </c>
      <c r="Q878">
        <v>0.21038860000000001</v>
      </c>
      <c r="R878">
        <v>-0.31729420000000003</v>
      </c>
      <c r="S878">
        <v>2.7792050000000001</v>
      </c>
      <c r="T878">
        <v>-0.1255008</v>
      </c>
      <c r="U878">
        <v>-1.4525760000000001</v>
      </c>
      <c r="V878">
        <v>0.2390813</v>
      </c>
      <c r="W878">
        <v>0.22255810000000001</v>
      </c>
      <c r="X878">
        <v>0.94514980000000004</v>
      </c>
      <c r="Y878">
        <v>0.38631650000000001</v>
      </c>
      <c r="Z878">
        <v>-8.6190529999999998E-3</v>
      </c>
      <c r="AA878">
        <v>0.92232599999999998</v>
      </c>
      <c r="AB878">
        <v>26</v>
      </c>
      <c r="AC878">
        <v>24.544899999999998</v>
      </c>
      <c r="AD878">
        <v>-1.119714543325</v>
      </c>
      <c r="AE878">
        <v>-12.9368</v>
      </c>
      <c r="AF878">
        <v>10.8001811725756</v>
      </c>
      <c r="AG878">
        <v>-1.119714543325</v>
      </c>
      <c r="AH878">
        <v>25.5081866884465</v>
      </c>
      <c r="AI878">
        <v>92.314769354166401</v>
      </c>
      <c r="AJ878">
        <v>67.0521723227546</v>
      </c>
      <c r="AK878">
        <v>27.723009615689801</v>
      </c>
      <c r="AL878">
        <v>77.1406736998524</v>
      </c>
      <c r="AM878">
        <v>75.804464865815802</v>
      </c>
      <c r="AN878">
        <v>1.00000006016266</v>
      </c>
    </row>
    <row r="879" spans="1:40" x14ac:dyDescent="0.25">
      <c r="A879" t="str">
        <f>"20190303170735567"</f>
        <v>20190303170735567</v>
      </c>
      <c r="B879" t="str">
        <f>"1551604055563620"</f>
        <v>1551604055563620</v>
      </c>
      <c r="C879" t="s">
        <v>40</v>
      </c>
      <c r="D879">
        <v>4.6924010000000003</v>
      </c>
      <c r="E879">
        <v>0.56972749999999905</v>
      </c>
      <c r="F879" t="s">
        <v>48</v>
      </c>
      <c r="G879">
        <v>-188.1482</v>
      </c>
      <c r="H879" s="1">
        <v>-2.5486660000000002E-6</v>
      </c>
      <c r="I879">
        <v>353.47289999999998</v>
      </c>
      <c r="J879">
        <v>-211.9614</v>
      </c>
      <c r="K879">
        <v>1.1196660000000001</v>
      </c>
      <c r="L879">
        <v>366.26499999999999</v>
      </c>
      <c r="M879">
        <v>0.99609720000000002</v>
      </c>
      <c r="N879">
        <v>-1.399681E-2</v>
      </c>
      <c r="O879">
        <v>-8.7146210000000002E-2</v>
      </c>
      <c r="P879">
        <v>0.92191049999999997</v>
      </c>
      <c r="Q879">
        <v>0.21097009999999999</v>
      </c>
      <c r="R879">
        <v>-0.32491950000000003</v>
      </c>
      <c r="S879">
        <v>2.76796</v>
      </c>
      <c r="T879">
        <v>-0.1287285</v>
      </c>
      <c r="U879">
        <v>-1.4735720000000001</v>
      </c>
      <c r="V879">
        <v>0.24437149999999999</v>
      </c>
      <c r="W879">
        <v>0.2230694</v>
      </c>
      <c r="X879">
        <v>0.94367500000000004</v>
      </c>
      <c r="Y879">
        <v>0.39079209999999998</v>
      </c>
      <c r="Z879">
        <v>-8.8013840000000006E-3</v>
      </c>
      <c r="AA879">
        <v>0.9204369</v>
      </c>
      <c r="AB879">
        <v>26</v>
      </c>
      <c r="AC879">
        <v>23.813199999999899</v>
      </c>
      <c r="AD879">
        <v>-1.1196685486660001</v>
      </c>
      <c r="AE879">
        <v>-12.7921</v>
      </c>
      <c r="AF879">
        <v>10.649718377452</v>
      </c>
      <c r="AG879">
        <v>-1.1196685486660001</v>
      </c>
      <c r="AH879">
        <v>24.794937743564201</v>
      </c>
      <c r="AI879">
        <v>92.375943533403998</v>
      </c>
      <c r="AJ879">
        <v>66.755906187141903</v>
      </c>
      <c r="AK879">
        <v>27.008500456062698</v>
      </c>
      <c r="AL879">
        <v>77.110621432546395</v>
      </c>
      <c r="AM879">
        <v>75.481759159734906</v>
      </c>
      <c r="AN879">
        <v>0.99999994642680301</v>
      </c>
    </row>
    <row r="880" spans="1:40" x14ac:dyDescent="0.25">
      <c r="A880" t="str">
        <f>"20190303170735589"</f>
        <v>20190303170735589</v>
      </c>
      <c r="B880" t="str">
        <f>"1551604055583140"</f>
        <v>1551604055583140</v>
      </c>
      <c r="C880" t="s">
        <v>40</v>
      </c>
      <c r="D880">
        <v>4.6804739999999896</v>
      </c>
      <c r="E880">
        <v>0.56999709999999904</v>
      </c>
      <c r="F880" t="s">
        <v>48</v>
      </c>
      <c r="G880">
        <v>-187.29480000000001</v>
      </c>
      <c r="H880" s="1">
        <v>-2.28774E-6</v>
      </c>
      <c r="I880">
        <v>352.8313</v>
      </c>
      <c r="J880">
        <v>-211.69980000000001</v>
      </c>
      <c r="K880">
        <v>1.119623</v>
      </c>
      <c r="L880">
        <v>366.23899999999998</v>
      </c>
      <c r="M880">
        <v>0.99585250000000003</v>
      </c>
      <c r="N880">
        <v>-1.3996969999999999E-2</v>
      </c>
      <c r="O880">
        <v>-8.9900399999999894E-2</v>
      </c>
      <c r="P880">
        <v>0.9190895</v>
      </c>
      <c r="Q880">
        <v>0.21199779999999999</v>
      </c>
      <c r="R880">
        <v>-0.3321617</v>
      </c>
      <c r="S880">
        <v>2.754089</v>
      </c>
      <c r="T880">
        <v>-0.12501370000000001</v>
      </c>
      <c r="U880">
        <v>-1.499908</v>
      </c>
      <c r="V880">
        <v>0.24924859999999999</v>
      </c>
      <c r="W880">
        <v>0.22402630000000001</v>
      </c>
      <c r="X880">
        <v>0.9421716</v>
      </c>
      <c r="Y880">
        <v>0.39698689999999998</v>
      </c>
      <c r="Z880">
        <v>-8.7786859999999904E-3</v>
      </c>
      <c r="AA880">
        <v>0.91778230000000005</v>
      </c>
      <c r="AB880">
        <v>26</v>
      </c>
      <c r="AC880">
        <v>24.405000000000001</v>
      </c>
      <c r="AD880">
        <v>-1.1196252877399999</v>
      </c>
      <c r="AE880">
        <v>-13.4077</v>
      </c>
      <c r="AF880">
        <v>11.1411521916731</v>
      </c>
      <c r="AG880">
        <v>-1.1196252877399999</v>
      </c>
      <c r="AH880">
        <v>25.4704557766736</v>
      </c>
      <c r="AI880">
        <v>92.3062566743113</v>
      </c>
      <c r="AJ880">
        <v>66.374723758571093</v>
      </c>
      <c r="AK880">
        <v>27.823065079434699</v>
      </c>
      <c r="AL880">
        <v>77.054372096123998</v>
      </c>
      <c r="AM880">
        <v>75.182031553290102</v>
      </c>
      <c r="AN880">
        <v>0.99999998577010396</v>
      </c>
    </row>
    <row r="881" spans="1:40" x14ac:dyDescent="0.25">
      <c r="A881" t="str">
        <f>"20190303170735611"</f>
        <v>20190303170735611</v>
      </c>
      <c r="B881" t="str">
        <f>"1551604055603636"</f>
        <v>1551604055603636</v>
      </c>
      <c r="C881" t="s">
        <v>40</v>
      </c>
      <c r="D881">
        <v>4.6726229999999997</v>
      </c>
      <c r="E881">
        <v>0.57007149999999995</v>
      </c>
      <c r="F881" t="s">
        <v>48</v>
      </c>
      <c r="G881">
        <v>-186.2353</v>
      </c>
      <c r="H881" s="1">
        <v>-1.9950680000000001E-6</v>
      </c>
      <c r="I881">
        <v>352.08760000000001</v>
      </c>
      <c r="J881">
        <v>-211.4479</v>
      </c>
      <c r="K881">
        <v>1.1195820000000001</v>
      </c>
      <c r="L881">
        <v>366.2131</v>
      </c>
      <c r="M881">
        <v>0.9956026</v>
      </c>
      <c r="N881">
        <v>-1.399738E-2</v>
      </c>
      <c r="O881">
        <v>-9.2627089999999995E-2</v>
      </c>
      <c r="P881">
        <v>0.91635889999999998</v>
      </c>
      <c r="Q881">
        <v>0.21277779999999999</v>
      </c>
      <c r="R881">
        <v>-0.33913450000000001</v>
      </c>
      <c r="S881">
        <v>2.741333</v>
      </c>
      <c r="T881">
        <v>-0.120531</v>
      </c>
      <c r="U881">
        <v>-1.5234379999999901</v>
      </c>
      <c r="V881">
        <v>0.2538842</v>
      </c>
      <c r="W881">
        <v>0.2247364</v>
      </c>
      <c r="X881">
        <v>0.94076369999999998</v>
      </c>
      <c r="Y881">
        <v>0.40231679999999997</v>
      </c>
      <c r="Z881">
        <v>-8.7015349999999998E-3</v>
      </c>
      <c r="AA881">
        <v>0.91545920000000003</v>
      </c>
      <c r="AB881">
        <v>26</v>
      </c>
      <c r="AC881">
        <v>25.212599999999998</v>
      </c>
      <c r="AD881">
        <v>-1.119583995068</v>
      </c>
      <c r="AE881">
        <v>-14.125499999999899</v>
      </c>
      <c r="AF881">
        <v>11.711585778050599</v>
      </c>
      <c r="AG881">
        <v>-1.119583995068</v>
      </c>
      <c r="AH881">
        <v>26.373137910389499</v>
      </c>
      <c r="AI881">
        <v>92.221858046717301</v>
      </c>
      <c r="AJ881">
        <v>66.055308242124497</v>
      </c>
      <c r="AK881">
        <v>28.878315619147099</v>
      </c>
      <c r="AL881">
        <v>77.012621815390006</v>
      </c>
      <c r="AM881">
        <v>74.897350411850198</v>
      </c>
      <c r="AN881">
        <v>0.99999998786614397</v>
      </c>
    </row>
    <row r="882" spans="1:40" x14ac:dyDescent="0.25">
      <c r="A882" t="str">
        <f>"20190303170735633"</f>
        <v>20190303170735633</v>
      </c>
      <c r="B882" t="str">
        <f>"1551604055622688"</f>
        <v>1551604055622688</v>
      </c>
      <c r="C882" t="s">
        <v>40</v>
      </c>
      <c r="D882">
        <v>4.7053960000000004</v>
      </c>
      <c r="E882">
        <v>0.57013570000000002</v>
      </c>
      <c r="F882" t="s">
        <v>48</v>
      </c>
      <c r="G882">
        <v>-185.47890000000001</v>
      </c>
      <c r="H882" s="1">
        <v>-1.8511350000000001E-6</v>
      </c>
      <c r="I882">
        <v>351.52100000000002</v>
      </c>
      <c r="J882">
        <v>-211.19239999999999</v>
      </c>
      <c r="K882">
        <v>1.1195459999999999</v>
      </c>
      <c r="L882">
        <v>366.18610000000001</v>
      </c>
      <c r="M882">
        <v>0.99533519999999998</v>
      </c>
      <c r="N882">
        <v>-1.399798E-2</v>
      </c>
      <c r="O882">
        <v>-9.545708E-2</v>
      </c>
      <c r="P882">
        <v>0.9134776</v>
      </c>
      <c r="Q882">
        <v>0.21383050000000001</v>
      </c>
      <c r="R882">
        <v>-0.3461728</v>
      </c>
      <c r="S882">
        <v>2.7296450000000001</v>
      </c>
      <c r="T882">
        <v>-0.11768099999999999</v>
      </c>
      <c r="U882">
        <v>-1.5443119999999999</v>
      </c>
      <c r="V882">
        <v>0.25851059999999998</v>
      </c>
      <c r="W882">
        <v>0.225718</v>
      </c>
      <c r="X882">
        <v>0.93926759999999998</v>
      </c>
      <c r="Y882">
        <v>0.40670319999999999</v>
      </c>
      <c r="Z882">
        <v>-8.6549169999999998E-3</v>
      </c>
      <c r="AA882">
        <v>0.91351939999999998</v>
      </c>
      <c r="AB882">
        <v>26</v>
      </c>
      <c r="AC882">
        <v>25.7134999999999</v>
      </c>
      <c r="AD882">
        <v>-1.1195478511350001</v>
      </c>
      <c r="AE882">
        <v>-14.665100000000001</v>
      </c>
      <c r="AF882">
        <v>12.1259983838272</v>
      </c>
      <c r="AG882">
        <v>-1.1195478511350001</v>
      </c>
      <c r="AH882">
        <v>26.957522085158999</v>
      </c>
      <c r="AI882">
        <v>92.169025718581693</v>
      </c>
      <c r="AJ882">
        <v>65.780892216283405</v>
      </c>
      <c r="AK882">
        <v>29.580419556987302</v>
      </c>
      <c r="AL882">
        <v>76.954897075396104</v>
      </c>
      <c r="AM882">
        <v>74.611726004923497</v>
      </c>
      <c r="AN882">
        <v>0.99999998512305899</v>
      </c>
    </row>
    <row r="883" spans="1:40" x14ac:dyDescent="0.25">
      <c r="A883" t="str">
        <f>"20190303170735657"</f>
        <v>20190303170735657</v>
      </c>
      <c r="B883" t="str">
        <f>"1551604055652944"</f>
        <v>1551604055652944</v>
      </c>
      <c r="C883" t="s">
        <v>40</v>
      </c>
      <c r="D883">
        <v>4.6952720000000001</v>
      </c>
      <c r="E883">
        <v>0.57006129999999999</v>
      </c>
      <c r="F883" t="s">
        <v>48</v>
      </c>
      <c r="G883">
        <v>-184.6669</v>
      </c>
      <c r="H883" s="1">
        <v>-1.863238E-6</v>
      </c>
      <c r="I883">
        <v>350.91809999999998</v>
      </c>
      <c r="J883">
        <v>-210.9195</v>
      </c>
      <c r="K883">
        <v>1.119505</v>
      </c>
      <c r="L883">
        <v>366.15629999999999</v>
      </c>
      <c r="M883">
        <v>0.99503280000000005</v>
      </c>
      <c r="N883">
        <v>-1.3998460000000001E-2</v>
      </c>
      <c r="O883">
        <v>-9.8559279999999999E-2</v>
      </c>
      <c r="P883">
        <v>0.91059679999999998</v>
      </c>
      <c r="Q883">
        <v>0.21415409999999999</v>
      </c>
      <c r="R883">
        <v>-0.35348459999999998</v>
      </c>
      <c r="S883">
        <v>2.7181090000000001</v>
      </c>
      <c r="T883">
        <v>-0.11472209999999999</v>
      </c>
      <c r="U883">
        <v>-1.5645450000000001</v>
      </c>
      <c r="V883">
        <v>0.26315939999999999</v>
      </c>
      <c r="W883">
        <v>0.22597030000000001</v>
      </c>
      <c r="X883">
        <v>0.93791500000000005</v>
      </c>
      <c r="Y883">
        <v>0.41064709999999899</v>
      </c>
      <c r="Z883">
        <v>-8.5859899999999999E-3</v>
      </c>
      <c r="AA883">
        <v>0.91175390000000001</v>
      </c>
      <c r="AB883">
        <v>26</v>
      </c>
      <c r="AC883">
        <v>26.252600000000001</v>
      </c>
      <c r="AD883">
        <v>-1.1195068632380001</v>
      </c>
      <c r="AE883">
        <v>-15.238200000000001</v>
      </c>
      <c r="AF883">
        <v>12.559219591148199</v>
      </c>
      <c r="AG883">
        <v>-1.1195068632380001</v>
      </c>
      <c r="AH883">
        <v>27.589241797964402</v>
      </c>
      <c r="AI883">
        <v>92.115036547591203</v>
      </c>
      <c r="AJ883">
        <v>65.523945356476304</v>
      </c>
      <c r="AK883">
        <v>30.3340329554457</v>
      </c>
      <c r="AL883">
        <v>76.940058112939795</v>
      </c>
      <c r="AM883">
        <v>74.326987354809702</v>
      </c>
      <c r="AN883">
        <v>0.999999996757725</v>
      </c>
    </row>
    <row r="884" spans="1:40" x14ac:dyDescent="0.25">
      <c r="A884" t="str">
        <f>"20190303170735679"</f>
        <v>20190303170735679</v>
      </c>
      <c r="B884" t="str">
        <f>"1551604055673441"</f>
        <v>1551604055673441</v>
      </c>
      <c r="C884" t="s">
        <v>40</v>
      </c>
      <c r="D884">
        <v>4.7055030000000002</v>
      </c>
      <c r="E884">
        <v>0.56996780000000002</v>
      </c>
      <c r="F884" t="s">
        <v>48</v>
      </c>
      <c r="G884">
        <v>-184.5455</v>
      </c>
      <c r="H884" s="1">
        <v>-1.8270649999999999E-6</v>
      </c>
      <c r="I884">
        <v>350.71559999999999</v>
      </c>
      <c r="J884">
        <v>-210.66120000000001</v>
      </c>
      <c r="K884">
        <v>1.1194489999999999</v>
      </c>
      <c r="L884">
        <v>366.12720000000002</v>
      </c>
      <c r="M884">
        <v>0.99472839999999996</v>
      </c>
      <c r="N884">
        <v>-1.399915E-2</v>
      </c>
      <c r="O884">
        <v>-0.1015851</v>
      </c>
      <c r="P884">
        <v>0.90738819999999998</v>
      </c>
      <c r="Q884">
        <v>0.21358070000000001</v>
      </c>
      <c r="R884">
        <v>-0.36198079999999999</v>
      </c>
      <c r="S884">
        <v>2.706467</v>
      </c>
      <c r="T884">
        <v>-0.1148821</v>
      </c>
      <c r="U884">
        <v>-1.584503</v>
      </c>
      <c r="V884">
        <v>0.26909809999999901</v>
      </c>
      <c r="W884">
        <v>0.2253144</v>
      </c>
      <c r="X884">
        <v>0.93638650000000001</v>
      </c>
      <c r="Y884">
        <v>0.41458349999999999</v>
      </c>
      <c r="Z884">
        <v>-8.6342899999999993E-3</v>
      </c>
      <c r="AA884">
        <v>0.90997030000000001</v>
      </c>
      <c r="AB884">
        <v>26</v>
      </c>
      <c r="AC884">
        <v>26.1157</v>
      </c>
      <c r="AD884">
        <v>-1.1194508270650001</v>
      </c>
      <c r="AE884">
        <v>-15.4116</v>
      </c>
      <c r="AF884">
        <v>12.661376925683699</v>
      </c>
      <c r="AG884">
        <v>-1.1194508270650001</v>
      </c>
      <c r="AH884">
        <v>27.508826025479401</v>
      </c>
      <c r="AI884">
        <v>92.117065969057293</v>
      </c>
      <c r="AJ884">
        <v>65.284992751647493</v>
      </c>
      <c r="AK884">
        <v>30.3034510428853</v>
      </c>
      <c r="AL884">
        <v>76.978633592871503</v>
      </c>
      <c r="AM884">
        <v>73.966444346998102</v>
      </c>
      <c r="AN884">
        <v>1.0000000218266001</v>
      </c>
    </row>
    <row r="885" spans="1:40" x14ac:dyDescent="0.25">
      <c r="A885" t="str">
        <f>"20190303170735701"</f>
        <v>20190303170735701</v>
      </c>
      <c r="B885" t="str">
        <f>"1551604055692960"</f>
        <v>1551604055692960</v>
      </c>
      <c r="C885" t="s">
        <v>40</v>
      </c>
      <c r="D885">
        <v>4.7005080000000001</v>
      </c>
      <c r="E885">
        <v>0.56983099999999998</v>
      </c>
      <c r="F885" t="s">
        <v>48</v>
      </c>
      <c r="G885">
        <v>-185.08789999999999</v>
      </c>
      <c r="H885" s="1">
        <v>-1.7331960000000001E-6</v>
      </c>
      <c r="I885">
        <v>350.86470000000003</v>
      </c>
      <c r="J885">
        <v>-210.40889999999999</v>
      </c>
      <c r="K885">
        <v>1.1193820000000001</v>
      </c>
      <c r="L885">
        <v>366.09800000000001</v>
      </c>
      <c r="M885">
        <v>0.99441270000000004</v>
      </c>
      <c r="N885">
        <v>-1.400032E-2</v>
      </c>
      <c r="O885">
        <v>-0.1046305</v>
      </c>
      <c r="P885">
        <v>0.90452330000000003</v>
      </c>
      <c r="Q885">
        <v>0.21288360000000001</v>
      </c>
      <c r="R885">
        <v>-0.36948379999999997</v>
      </c>
      <c r="S885">
        <v>2.692825</v>
      </c>
      <c r="T885">
        <v>-0.1178763</v>
      </c>
      <c r="U885">
        <v>-1.6071169999999999</v>
      </c>
      <c r="V885">
        <v>0.27400819999999998</v>
      </c>
      <c r="W885">
        <v>0.2245384</v>
      </c>
      <c r="X885">
        <v>0.93514810000000004</v>
      </c>
      <c r="Y885">
        <v>0.41943429999999998</v>
      </c>
      <c r="Z885">
        <v>-8.8122280000000001E-3</v>
      </c>
      <c r="AA885">
        <v>0.90774290000000002</v>
      </c>
      <c r="AB885">
        <v>26</v>
      </c>
      <c r="AC885">
        <v>25.321000000000002</v>
      </c>
      <c r="AD885">
        <v>-1.1193837331959999</v>
      </c>
      <c r="AE885">
        <v>-15.2332999999999</v>
      </c>
      <c r="AF885">
        <v>12.4821507235939</v>
      </c>
      <c r="AG885">
        <v>-1.1193837331959999</v>
      </c>
      <c r="AH885">
        <v>26.737646252673699</v>
      </c>
      <c r="AI885">
        <v>92.172489582484502</v>
      </c>
      <c r="AJ885">
        <v>64.975043408976006</v>
      </c>
      <c r="AK885">
        <v>29.528949079873701</v>
      </c>
      <c r="AL885">
        <v>77.024263791573404</v>
      </c>
      <c r="AM885">
        <v>73.668862154298395</v>
      </c>
      <c r="AN885">
        <v>0.999999977837704</v>
      </c>
    </row>
    <row r="886" spans="1:40" x14ac:dyDescent="0.25">
      <c r="A886" t="str">
        <f>"20190303170735723"</f>
        <v>20190303170735723</v>
      </c>
      <c r="B886" t="str">
        <f>"1551604055712926"</f>
        <v>1551604055712926</v>
      </c>
      <c r="C886" t="s">
        <v>40</v>
      </c>
      <c r="D886">
        <v>4.7210700000000001</v>
      </c>
      <c r="E886">
        <v>0.56962440000000003</v>
      </c>
      <c r="F886" t="s">
        <v>48</v>
      </c>
      <c r="G886">
        <v>-185.68180000000001</v>
      </c>
      <c r="H886" s="1">
        <v>-1.6531680000000001E-6</v>
      </c>
      <c r="I886">
        <v>351.09530000000001</v>
      </c>
      <c r="J886">
        <v>-210.15620000000001</v>
      </c>
      <c r="K886">
        <v>1.1193139999999999</v>
      </c>
      <c r="L886">
        <v>366.06779999999998</v>
      </c>
      <c r="M886">
        <v>0.99407690000000004</v>
      </c>
      <c r="N886">
        <v>-1.4001980000000001E-2</v>
      </c>
      <c r="O886">
        <v>-0.1077742</v>
      </c>
      <c r="P886">
        <v>0.90205000000000002</v>
      </c>
      <c r="Q886">
        <v>0.21292040000000001</v>
      </c>
      <c r="R886">
        <v>-0.37546119999999999</v>
      </c>
      <c r="S886">
        <v>2.6808010000000002</v>
      </c>
      <c r="T886">
        <v>-0.1213586</v>
      </c>
      <c r="U886">
        <v>-1.6265259999999999</v>
      </c>
      <c r="V886">
        <v>0.27728340000000001</v>
      </c>
      <c r="W886">
        <v>0.22450410000000001</v>
      </c>
      <c r="X886">
        <v>0.93419050000000003</v>
      </c>
      <c r="Y886">
        <v>0.42314790000000002</v>
      </c>
      <c r="Z886">
        <v>-8.9707439999999992E-3</v>
      </c>
      <c r="AA886">
        <v>0.90601620000000005</v>
      </c>
      <c r="AB886">
        <v>26</v>
      </c>
      <c r="AC886">
        <v>24.474399999999999</v>
      </c>
      <c r="AD886">
        <v>-1.119315653168</v>
      </c>
      <c r="AE886">
        <v>-14.972499999999901</v>
      </c>
      <c r="AF886">
        <v>12.228694742434</v>
      </c>
      <c r="AG886">
        <v>-1.119315653168</v>
      </c>
      <c r="AH886">
        <v>25.906196371688502</v>
      </c>
      <c r="AI886">
        <v>92.237533510093002</v>
      </c>
      <c r="AJ886">
        <v>64.730934975667495</v>
      </c>
      <c r="AK886">
        <v>28.669231818860201</v>
      </c>
      <c r="AL886">
        <v>77.026281248063199</v>
      </c>
      <c r="AM886">
        <v>73.468228676200297</v>
      </c>
      <c r="AN886">
        <v>1.0000000325613001</v>
      </c>
    </row>
    <row r="887" spans="1:40" x14ac:dyDescent="0.25">
      <c r="A887" t="str">
        <f>"20190303170735746"</f>
        <v>20190303170735746</v>
      </c>
      <c r="B887" t="str">
        <f>"1551604055733423"</f>
        <v>1551604055733423</v>
      </c>
      <c r="C887" t="s">
        <v>40</v>
      </c>
      <c r="D887">
        <v>4.7450080000000003</v>
      </c>
      <c r="E887">
        <v>0.5694089</v>
      </c>
      <c r="F887" t="s">
        <v>48</v>
      </c>
      <c r="G887">
        <v>-185.75299999999999</v>
      </c>
      <c r="H887" s="1">
        <v>-1.6291439999999999E-6</v>
      </c>
      <c r="I887">
        <v>351.08030000000002</v>
      </c>
      <c r="J887">
        <v>-209.90440000000001</v>
      </c>
      <c r="K887">
        <v>1.1192500000000001</v>
      </c>
      <c r="L887">
        <v>366.0369</v>
      </c>
      <c r="M887">
        <v>0.99372169999999904</v>
      </c>
      <c r="N887">
        <v>-1.400387E-2</v>
      </c>
      <c r="O887">
        <v>-0.1110009</v>
      </c>
      <c r="P887">
        <v>0.90035589999999999</v>
      </c>
      <c r="Q887">
        <v>0.2128448</v>
      </c>
      <c r="R887">
        <v>-0.37954769999999999</v>
      </c>
      <c r="S887">
        <v>2.6717219999999999</v>
      </c>
      <c r="T887">
        <v>-0.1225454</v>
      </c>
      <c r="U887">
        <v>-1.6408689999999999</v>
      </c>
      <c r="V887">
        <v>0.27852339999999998</v>
      </c>
      <c r="W887">
        <v>0.22437489999999999</v>
      </c>
      <c r="X887">
        <v>0.93385260000000003</v>
      </c>
      <c r="Y887">
        <v>0.42510239999999999</v>
      </c>
      <c r="Z887">
        <v>-8.9891520000000003E-3</v>
      </c>
      <c r="AA887">
        <v>0.90510060000000003</v>
      </c>
      <c r="AB887">
        <v>26</v>
      </c>
      <c r="AC887">
        <v>24.151399999999999</v>
      </c>
      <c r="AD887">
        <v>-1.119251629144</v>
      </c>
      <c r="AE887">
        <v>-14.9565999999999</v>
      </c>
      <c r="AF887">
        <v>12.164181771957001</v>
      </c>
      <c r="AG887">
        <v>-1.119251629144</v>
      </c>
      <c r="AH887">
        <v>25.622705962414798</v>
      </c>
      <c r="AI887">
        <v>92.259772241201304</v>
      </c>
      <c r="AJ887">
        <v>64.604331183449304</v>
      </c>
      <c r="AK887">
        <v>28.385614371137301</v>
      </c>
      <c r="AL887">
        <v>77.033877619189596</v>
      </c>
      <c r="AM887">
        <v>73.3926837392316</v>
      </c>
      <c r="AN887">
        <v>1.00000002931216</v>
      </c>
    </row>
    <row r="888" spans="1:40" x14ac:dyDescent="0.25">
      <c r="A888" t="str">
        <f>"20190303170735762"</f>
        <v>20190303170735762</v>
      </c>
      <c r="B888" t="str">
        <f>"1551604055752943"</f>
        <v>1551604055752943</v>
      </c>
      <c r="C888" t="s">
        <v>40</v>
      </c>
      <c r="D888">
        <v>4.7418969999999998</v>
      </c>
      <c r="E888">
        <v>0.56914659999999995</v>
      </c>
      <c r="F888" t="s">
        <v>48</v>
      </c>
      <c r="G888">
        <v>-185.67939999999999</v>
      </c>
      <c r="H888" s="1">
        <v>-1.6343829999999999E-6</v>
      </c>
      <c r="I888">
        <v>351.03789999999998</v>
      </c>
      <c r="J888">
        <v>-209.70529999999999</v>
      </c>
      <c r="K888">
        <v>1.1192029999999999</v>
      </c>
      <c r="L888">
        <v>366.01170000000002</v>
      </c>
      <c r="M888">
        <v>0.99342509999999995</v>
      </c>
      <c r="N888">
        <v>-1.4005470000000001E-2</v>
      </c>
      <c r="O888">
        <v>-0.11362410000000001</v>
      </c>
      <c r="P888">
        <v>0.89859849999999997</v>
      </c>
      <c r="Q888">
        <v>0.21313029999999999</v>
      </c>
      <c r="R888">
        <v>-0.38353169999999998</v>
      </c>
      <c r="S888">
        <v>2.6654209999999998</v>
      </c>
      <c r="T888">
        <v>-0.12314840000000001</v>
      </c>
      <c r="U888">
        <v>-1.650299</v>
      </c>
      <c r="V888">
        <v>0.28023599999999999</v>
      </c>
      <c r="W888">
        <v>0.22460949999999999</v>
      </c>
      <c r="X888">
        <v>0.93328359999999999</v>
      </c>
      <c r="Y888">
        <v>0.42598130000000001</v>
      </c>
      <c r="Z888">
        <v>-8.9687369999999992E-3</v>
      </c>
      <c r="AA888">
        <v>0.90468749999999998</v>
      </c>
      <c r="AB888">
        <v>26</v>
      </c>
      <c r="AC888">
        <v>24.0259</v>
      </c>
      <c r="AD888">
        <v>-1.119204634383</v>
      </c>
      <c r="AE888">
        <v>-14.973800000000001</v>
      </c>
      <c r="AF888">
        <v>12.127664122303001</v>
      </c>
      <c r="AG888">
        <v>-1.119204634383</v>
      </c>
      <c r="AH888">
        <v>25.531920084276098</v>
      </c>
      <c r="AI888">
        <v>92.267477709301701</v>
      </c>
      <c r="AJ888">
        <v>64.592278078471494</v>
      </c>
      <c r="AK888">
        <v>28.288015117128399</v>
      </c>
      <c r="AL888">
        <v>77.020083051374101</v>
      </c>
      <c r="AM888">
        <v>73.286624351521994</v>
      </c>
      <c r="AN888">
        <v>0.99999996060760399</v>
      </c>
    </row>
    <row r="889" spans="1:40" x14ac:dyDescent="0.25">
      <c r="A889" t="str">
        <f>"20190303170735780"</f>
        <v>20190303170735780</v>
      </c>
      <c r="B889" t="str">
        <f>"1551604055773438"</f>
        <v>1551604055773438</v>
      </c>
      <c r="C889" t="s">
        <v>40</v>
      </c>
      <c r="D889">
        <v>4.7421100000000003</v>
      </c>
      <c r="E889">
        <v>0.56883790000000001</v>
      </c>
      <c r="F889" t="s">
        <v>48</v>
      </c>
      <c r="G889">
        <v>-185.35650000000001</v>
      </c>
      <c r="H889" s="1">
        <v>-1.645132E-6</v>
      </c>
      <c r="I889">
        <v>350.81569999999999</v>
      </c>
      <c r="J889">
        <v>-209.5085</v>
      </c>
      <c r="K889">
        <v>1.1191610000000001</v>
      </c>
      <c r="L889">
        <v>365.9862</v>
      </c>
      <c r="M889">
        <v>0.99311870000000002</v>
      </c>
      <c r="N889">
        <v>-1.4007E-2</v>
      </c>
      <c r="O889">
        <v>-0.1162726</v>
      </c>
      <c r="P889">
        <v>0.89577030000000002</v>
      </c>
      <c r="Q889">
        <v>0.21322579999999999</v>
      </c>
      <c r="R889">
        <v>-0.39004</v>
      </c>
      <c r="S889">
        <v>2.6592099999999999</v>
      </c>
      <c r="T889">
        <v>-0.1222322</v>
      </c>
      <c r="U889">
        <v>-1.6596070000000001</v>
      </c>
      <c r="V889">
        <v>0.28455799999999998</v>
      </c>
      <c r="W889">
        <v>0.22463</v>
      </c>
      <c r="X889">
        <v>0.93196999999999997</v>
      </c>
      <c r="Y889">
        <v>0.42680109999999899</v>
      </c>
      <c r="Z889">
        <v>-8.8932790000000005E-3</v>
      </c>
      <c r="AA889">
        <v>0.90430180000000004</v>
      </c>
      <c r="AB889">
        <v>26</v>
      </c>
      <c r="AC889">
        <v>24.151999999999902</v>
      </c>
      <c r="AD889">
        <v>-1.119162645132</v>
      </c>
      <c r="AE889">
        <v>-15.170500000000001</v>
      </c>
      <c r="AF889">
        <v>12.2402455807365</v>
      </c>
      <c r="AG889">
        <v>-1.119162645132</v>
      </c>
      <c r="AH889">
        <v>25.712648369414701</v>
      </c>
      <c r="AI889">
        <v>92.250565410167297</v>
      </c>
      <c r="AJ889">
        <v>64.543689795805705</v>
      </c>
      <c r="AK889">
        <v>28.499410925002699</v>
      </c>
      <c r="AL889">
        <v>77.018878029613902</v>
      </c>
      <c r="AM889">
        <v>73.021019785006899</v>
      </c>
      <c r="AN889">
        <v>0.99999998658199896</v>
      </c>
    </row>
    <row r="890" spans="1:40" x14ac:dyDescent="0.25">
      <c r="A890" t="str">
        <f>"20190303170735801"</f>
        <v>20190303170735801</v>
      </c>
      <c r="B890" t="str">
        <f>"1551604055792958"</f>
        <v>1551604055792958</v>
      </c>
      <c r="C890" t="s">
        <v>40</v>
      </c>
      <c r="D890">
        <v>4.7795189999999996</v>
      </c>
      <c r="E890">
        <v>0.56850369999999995</v>
      </c>
      <c r="F890" t="s">
        <v>48</v>
      </c>
      <c r="G890">
        <v>-185.43</v>
      </c>
      <c r="H890" s="1">
        <v>-1.6081060000000001E-6</v>
      </c>
      <c r="I890">
        <v>350.76400000000001</v>
      </c>
      <c r="J890">
        <v>-209.2662</v>
      </c>
      <c r="K890">
        <v>1.1191009999999999</v>
      </c>
      <c r="L890">
        <v>365.95400000000001</v>
      </c>
      <c r="M890">
        <v>0.9927222</v>
      </c>
      <c r="N890">
        <v>-1.400882E-2</v>
      </c>
      <c r="O890">
        <v>-0.1196101</v>
      </c>
      <c r="P890">
        <v>0.89260099999999998</v>
      </c>
      <c r="Q890">
        <v>0.21394289999999999</v>
      </c>
      <c r="R890">
        <v>-0.39685300000000001</v>
      </c>
      <c r="S890">
        <v>2.6491699999999998</v>
      </c>
      <c r="T890">
        <v>-0.12313250000000001</v>
      </c>
      <c r="U890">
        <v>-1.674774</v>
      </c>
      <c r="V890">
        <v>0.2885913</v>
      </c>
      <c r="W890">
        <v>0.22526650000000001</v>
      </c>
      <c r="X890">
        <v>0.93057509999999999</v>
      </c>
      <c r="Y890">
        <v>0.4290002</v>
      </c>
      <c r="Z890">
        <v>-8.9035599999999996E-3</v>
      </c>
      <c r="AA890">
        <v>0.90326050000000002</v>
      </c>
      <c r="AB890">
        <v>26</v>
      </c>
      <c r="AC890">
        <v>23.836199999999899</v>
      </c>
      <c r="AD890">
        <v>-1.119102608106</v>
      </c>
      <c r="AE890">
        <v>-15.1899999999999</v>
      </c>
      <c r="AF890">
        <v>12.210457228979401</v>
      </c>
      <c r="AG890">
        <v>-1.119102608106</v>
      </c>
      <c r="AH890">
        <v>25.442216118507599</v>
      </c>
      <c r="AI890">
        <v>92.2709050413158</v>
      </c>
      <c r="AJ890">
        <v>64.362300711792599</v>
      </c>
      <c r="AK890">
        <v>28.242769294264502</v>
      </c>
      <c r="AL890">
        <v>76.981449865736394</v>
      </c>
      <c r="AM890">
        <v>72.770215507021007</v>
      </c>
      <c r="AN890">
        <v>0.99999997559897402</v>
      </c>
    </row>
    <row r="891" spans="1:40" x14ac:dyDescent="0.25">
      <c r="A891" t="str">
        <f>"20190303170735823"</f>
        <v>20190303170735823</v>
      </c>
      <c r="B891" t="str">
        <f>"1551604055813455"</f>
        <v>1551604055813455</v>
      </c>
      <c r="C891" t="s">
        <v>40</v>
      </c>
      <c r="D891">
        <v>4.7813699999999999</v>
      </c>
      <c r="E891">
        <v>0.56817799999999996</v>
      </c>
      <c r="F891" t="s">
        <v>48</v>
      </c>
      <c r="G891">
        <v>-185.21940000000001</v>
      </c>
      <c r="H891" s="1">
        <v>-1.592777E-6</v>
      </c>
      <c r="I891">
        <v>350.55309999999997</v>
      </c>
      <c r="J891">
        <v>-209.011</v>
      </c>
      <c r="K891">
        <v>1.119041</v>
      </c>
      <c r="L891">
        <v>365.91919999999999</v>
      </c>
      <c r="M891">
        <v>0.99228179999999999</v>
      </c>
      <c r="N891">
        <v>-1.4010720000000001E-2</v>
      </c>
      <c r="O891">
        <v>-0.12320879999999999</v>
      </c>
      <c r="P891">
        <v>0.88919179999999998</v>
      </c>
      <c r="Q891">
        <v>0.2138071</v>
      </c>
      <c r="R891">
        <v>-0.40450510000000001</v>
      </c>
      <c r="S891">
        <v>2.6389770000000001</v>
      </c>
      <c r="T891">
        <v>-0.1228143</v>
      </c>
      <c r="U891">
        <v>-1.6901550000000001</v>
      </c>
      <c r="V891">
        <v>0.29324630000000002</v>
      </c>
      <c r="W891">
        <v>0.2250472</v>
      </c>
      <c r="X891">
        <v>0.92917190000000005</v>
      </c>
      <c r="Y891">
        <v>0.43104160000000002</v>
      </c>
      <c r="Z891">
        <v>-8.8609669999999904E-3</v>
      </c>
      <c r="AA891">
        <v>0.9022886</v>
      </c>
      <c r="AB891">
        <v>26</v>
      </c>
      <c r="AC891">
        <v>23.791599999999899</v>
      </c>
      <c r="AD891">
        <v>-1.119042592777</v>
      </c>
      <c r="AE891">
        <v>-15.366099999999999</v>
      </c>
      <c r="AF891">
        <v>12.298177818328799</v>
      </c>
      <c r="AG891">
        <v>-1.119042592777</v>
      </c>
      <c r="AH891">
        <v>25.463963203294899</v>
      </c>
      <c r="AI891">
        <v>92.266159098858694</v>
      </c>
      <c r="AJ891">
        <v>64.221129351231198</v>
      </c>
      <c r="AK891">
        <v>28.3003684780683</v>
      </c>
      <c r="AL891">
        <v>76.994346653007398</v>
      </c>
      <c r="AM891">
        <v>72.484323497895204</v>
      </c>
      <c r="AN891">
        <v>1.00000002722056</v>
      </c>
    </row>
    <row r="892" spans="1:40" x14ac:dyDescent="0.25">
      <c r="A892" t="str">
        <f>"20190303170735847"</f>
        <v>20190303170735847</v>
      </c>
      <c r="B892" t="str">
        <f>"1551604055832975"</f>
        <v>1551604055832975</v>
      </c>
      <c r="C892" t="s">
        <v>40</v>
      </c>
      <c r="D892">
        <v>4.7871819999999996</v>
      </c>
      <c r="E892">
        <v>0.56784209999999902</v>
      </c>
      <c r="F892" t="s">
        <v>48</v>
      </c>
      <c r="G892">
        <v>-185.62270000000001</v>
      </c>
      <c r="H892" s="1">
        <v>-1.5452729999999999E-6</v>
      </c>
      <c r="I892">
        <v>350.72980000000001</v>
      </c>
      <c r="J892">
        <v>-208.75</v>
      </c>
      <c r="K892">
        <v>1.1189849999999999</v>
      </c>
      <c r="L892">
        <v>365.88249999999999</v>
      </c>
      <c r="M892">
        <v>0.99180699999999999</v>
      </c>
      <c r="N892">
        <v>-1.401263E-2</v>
      </c>
      <c r="O892">
        <v>-0.12697349999999999</v>
      </c>
      <c r="P892">
        <v>0.8856908</v>
      </c>
      <c r="Q892">
        <v>0.21193000000000001</v>
      </c>
      <c r="R892">
        <v>-0.41308289999999998</v>
      </c>
      <c r="S892">
        <v>2.6277620000000002</v>
      </c>
      <c r="T892">
        <v>-0.12572809999999901</v>
      </c>
      <c r="U892">
        <v>-1.7065729999999999</v>
      </c>
      <c r="V892">
        <v>0.29867460000000001</v>
      </c>
      <c r="W892">
        <v>0.22308430000000001</v>
      </c>
      <c r="X892">
        <v>0.9279153</v>
      </c>
      <c r="Y892">
        <v>0.43332229999999999</v>
      </c>
      <c r="Z892">
        <v>-8.9241149999999998E-3</v>
      </c>
      <c r="AA892">
        <v>0.90119479999999996</v>
      </c>
      <c r="AB892">
        <v>26</v>
      </c>
      <c r="AC892">
        <v>23.127299999999899</v>
      </c>
      <c r="AD892">
        <v>-1.1189865452729999</v>
      </c>
      <c r="AE892">
        <v>-15.1526999999999</v>
      </c>
      <c r="AF892">
        <v>12.0734135847123</v>
      </c>
      <c r="AG892">
        <v>-1.1189865452729999</v>
      </c>
      <c r="AH892">
        <v>24.8235953153075</v>
      </c>
      <c r="AI892">
        <v>92.321338670566405</v>
      </c>
      <c r="AJ892">
        <v>64.063173465861396</v>
      </c>
      <c r="AK892">
        <v>27.626623587658599</v>
      </c>
      <c r="AL892">
        <v>77.109745871048005</v>
      </c>
      <c r="AM892">
        <v>72.157826613557603</v>
      </c>
      <c r="AN892">
        <v>0.99999996278286896</v>
      </c>
    </row>
    <row r="893" spans="1:40" x14ac:dyDescent="0.25">
      <c r="A893" t="str">
        <f>"20190303170735870"</f>
        <v>20190303170735870</v>
      </c>
      <c r="B893" t="str">
        <f>"1551604055863234"</f>
        <v>1551604055863234</v>
      </c>
      <c r="C893" t="s">
        <v>40</v>
      </c>
      <c r="D893">
        <v>4.8486909999999996</v>
      </c>
      <c r="E893">
        <v>0.5675249</v>
      </c>
      <c r="F893" t="s">
        <v>48</v>
      </c>
      <c r="G893">
        <v>-186.93639999999999</v>
      </c>
      <c r="H893" s="1">
        <v>-1.53982E-6</v>
      </c>
      <c r="I893">
        <v>351.48340000000002</v>
      </c>
      <c r="J893">
        <v>-208.48750000000001</v>
      </c>
      <c r="K893">
        <v>1.1189199999999999</v>
      </c>
      <c r="L893">
        <v>365.84440000000001</v>
      </c>
      <c r="M893">
        <v>0.99130359999999995</v>
      </c>
      <c r="N893">
        <v>-1.4014550000000001E-2</v>
      </c>
      <c r="O893">
        <v>-0.1308463</v>
      </c>
      <c r="P893">
        <v>0.8819321</v>
      </c>
      <c r="Q893">
        <v>0.210172</v>
      </c>
      <c r="R893">
        <v>-0.42192790000000002</v>
      </c>
      <c r="S893">
        <v>2.6143800000000001</v>
      </c>
      <c r="T893">
        <v>-0.13411149999999999</v>
      </c>
      <c r="U893">
        <v>-1.7257389999999999</v>
      </c>
      <c r="V893">
        <v>0.30431269999999999</v>
      </c>
      <c r="W893">
        <v>0.22123619999999999</v>
      </c>
      <c r="X893">
        <v>0.92652489999999998</v>
      </c>
      <c r="Y893">
        <v>0.43647170000000002</v>
      </c>
      <c r="Z893">
        <v>-9.1764359999999996E-3</v>
      </c>
      <c r="AA893">
        <v>0.8996712</v>
      </c>
      <c r="AB893">
        <v>26</v>
      </c>
      <c r="AC893">
        <v>21.551100000000002</v>
      </c>
      <c r="AD893">
        <v>-1.1189215398200001</v>
      </c>
      <c r="AE893">
        <v>-14.360999999999899</v>
      </c>
      <c r="AF893">
        <v>11.3960773913432</v>
      </c>
      <c r="AG893">
        <v>-1.1189215398200001</v>
      </c>
      <c r="AH893">
        <v>23.201738628273599</v>
      </c>
      <c r="AI893">
        <v>92.478568055064201</v>
      </c>
      <c r="AJ893">
        <v>63.840955980852499</v>
      </c>
      <c r="AK893">
        <v>25.873601231689399</v>
      </c>
      <c r="AL893">
        <v>77.218349089241002</v>
      </c>
      <c r="AM893">
        <v>71.817479738617905</v>
      </c>
      <c r="AN893">
        <v>1.00000003294586</v>
      </c>
    </row>
    <row r="894" spans="1:40" x14ac:dyDescent="0.25">
      <c r="A894" t="str">
        <f>"20190303170735892"</f>
        <v>20190303170735892</v>
      </c>
      <c r="B894" t="str">
        <f>"1551604055882751"</f>
        <v>1551604055882751</v>
      </c>
      <c r="C894" t="s">
        <v>40</v>
      </c>
      <c r="D894">
        <v>4.853046</v>
      </c>
      <c r="E894">
        <v>0.55822209999999906</v>
      </c>
      <c r="F894" t="s">
        <v>48</v>
      </c>
      <c r="G894">
        <v>-187.7799</v>
      </c>
      <c r="H894" s="1">
        <v>-1.6842229999999999E-6</v>
      </c>
      <c r="I894">
        <v>351.92579999999998</v>
      </c>
      <c r="J894">
        <v>-208.23650000000001</v>
      </c>
      <c r="K894">
        <v>1.118857</v>
      </c>
      <c r="L894">
        <v>365.80689999999998</v>
      </c>
      <c r="M894">
        <v>0.99079530000000005</v>
      </c>
      <c r="N894">
        <v>-1.401674E-2</v>
      </c>
      <c r="O894">
        <v>-0.1346415</v>
      </c>
      <c r="P894">
        <v>0.87807950000000001</v>
      </c>
      <c r="Q894">
        <v>0.20937610000000001</v>
      </c>
      <c r="R894">
        <v>-0.43027650000000001</v>
      </c>
      <c r="S894">
        <v>2.5992739999999999</v>
      </c>
      <c r="T894">
        <v>-0.14044999999999999</v>
      </c>
      <c r="U894">
        <v>-1.74710099999999</v>
      </c>
      <c r="V894">
        <v>0.30956460000000002</v>
      </c>
      <c r="W894">
        <v>0.2203484</v>
      </c>
      <c r="X894">
        <v>0.92499529999999996</v>
      </c>
      <c r="Y894">
        <v>0.44049329999999998</v>
      </c>
      <c r="Z894">
        <v>-9.3878880000000005E-3</v>
      </c>
      <c r="AA894">
        <v>0.89770680000000003</v>
      </c>
      <c r="AB894">
        <v>25</v>
      </c>
      <c r="AC894">
        <v>20.456600000000002</v>
      </c>
      <c r="AD894">
        <v>-1.1188586842229999</v>
      </c>
      <c r="AE894">
        <v>-13.8811</v>
      </c>
      <c r="AF894">
        <v>10.977615614916999</v>
      </c>
      <c r="AG894">
        <v>-1.1188586842229999</v>
      </c>
      <c r="AH894">
        <v>22.094192862464201</v>
      </c>
      <c r="AI894">
        <v>92.596644603154601</v>
      </c>
      <c r="AJ894">
        <v>63.579275002645097</v>
      </c>
      <c r="AK894">
        <v>24.6964217567626</v>
      </c>
      <c r="AL894">
        <v>77.270502747243796</v>
      </c>
      <c r="AM894">
        <v>71.496351267974205</v>
      </c>
      <c r="AN894">
        <v>0.99999998198890405</v>
      </c>
    </row>
    <row r="895" spans="1:40" x14ac:dyDescent="0.25">
      <c r="A895" t="str">
        <f>"20190303170735914"</f>
        <v>20190303170735914</v>
      </c>
      <c r="B895" t="str">
        <f>"1551604055903247"</f>
        <v>1551604055903247</v>
      </c>
      <c r="C895" t="s">
        <v>40</v>
      </c>
      <c r="D895">
        <v>4.8532120000000001</v>
      </c>
      <c r="E895">
        <v>0.5576044</v>
      </c>
      <c r="F895" t="s">
        <v>48</v>
      </c>
      <c r="G895">
        <v>-187.31530000000001</v>
      </c>
      <c r="H895" s="1">
        <v>-1.905054E-6</v>
      </c>
      <c r="I895">
        <v>352.18959999999998</v>
      </c>
      <c r="J895">
        <v>-207.98750000000001</v>
      </c>
      <c r="K895">
        <v>1.1188009999999999</v>
      </c>
      <c r="L895">
        <v>365.76859999999999</v>
      </c>
      <c r="M895">
        <v>0.99026599999999998</v>
      </c>
      <c r="N895">
        <v>-1.401899E-2</v>
      </c>
      <c r="O895">
        <v>-0.138479399999999</v>
      </c>
      <c r="P895">
        <v>0.87389099999999997</v>
      </c>
      <c r="Q895">
        <v>0.21080850000000001</v>
      </c>
      <c r="R895">
        <v>-0.43803510000000001</v>
      </c>
      <c r="S895">
        <v>2.6156459999999999</v>
      </c>
      <c r="T895">
        <v>-0.13988349999999999</v>
      </c>
      <c r="U895">
        <v>-1.7024840000000001</v>
      </c>
      <c r="V895">
        <v>0.31426680000000001</v>
      </c>
      <c r="W895">
        <v>0.2216863</v>
      </c>
      <c r="X895">
        <v>0.92308809999999997</v>
      </c>
      <c r="Y895">
        <v>0.42368919999999999</v>
      </c>
      <c r="Z895">
        <v>-8.6900409999999904E-3</v>
      </c>
      <c r="AA895">
        <v>0.90576599999999996</v>
      </c>
      <c r="AB895">
        <v>25</v>
      </c>
      <c r="AC895">
        <v>20.6722</v>
      </c>
      <c r="AD895">
        <v>-1.118802905054</v>
      </c>
      <c r="AE895">
        <v>-13.579000000000001</v>
      </c>
      <c r="AF895">
        <v>10.563574109382699</v>
      </c>
      <c r="AG895">
        <v>-1.118802905054</v>
      </c>
      <c r="AH895">
        <v>22.307940713837699</v>
      </c>
      <c r="AI895">
        <v>92.595297977756999</v>
      </c>
      <c r="AJ895">
        <v>64.660841717110998</v>
      </c>
      <c r="AK895">
        <v>24.707995402235198</v>
      </c>
      <c r="AL895">
        <v>77.191903671966898</v>
      </c>
      <c r="AM895">
        <v>71.198777521139803</v>
      </c>
      <c r="AN895">
        <v>1.0000000387757599</v>
      </c>
    </row>
    <row r="896" spans="1:40" x14ac:dyDescent="0.25">
      <c r="A896" t="str">
        <f>"20190303170735936"</f>
        <v>20190303170735936</v>
      </c>
      <c r="B896" t="str">
        <f>"1551604055923273"</f>
        <v>1551604055923273</v>
      </c>
      <c r="C896" t="s">
        <v>40</v>
      </c>
      <c r="D896">
        <v>4.8825649999999996</v>
      </c>
      <c r="E896">
        <v>0.55720069999999999</v>
      </c>
      <c r="F896" t="s">
        <v>48</v>
      </c>
      <c r="G896">
        <v>-186.41589999999999</v>
      </c>
      <c r="H896" s="1">
        <v>-1.630066E-6</v>
      </c>
      <c r="I896">
        <v>351.51350000000002</v>
      </c>
      <c r="J896">
        <v>-207.73320000000001</v>
      </c>
      <c r="K896">
        <v>1.118744</v>
      </c>
      <c r="L896">
        <v>365.7285</v>
      </c>
      <c r="M896">
        <v>0.98969669999999998</v>
      </c>
      <c r="N896">
        <v>-1.4021459999999999E-2</v>
      </c>
      <c r="O896">
        <v>-0.14249100000000001</v>
      </c>
      <c r="P896">
        <v>0.8704383</v>
      </c>
      <c r="Q896">
        <v>0.21150550000000001</v>
      </c>
      <c r="R896">
        <v>-0.44452459999999999</v>
      </c>
      <c r="S896">
        <v>2.6032099999999998</v>
      </c>
      <c r="T896">
        <v>-0.1350142</v>
      </c>
      <c r="U896">
        <v>-1.7202759999999999</v>
      </c>
      <c r="V896">
        <v>0.31746210000000002</v>
      </c>
      <c r="W896">
        <v>0.22230420000000001</v>
      </c>
      <c r="X896">
        <v>0.92184529999999998</v>
      </c>
      <c r="Y896">
        <v>0.42633969999999999</v>
      </c>
      <c r="Z896">
        <v>-8.5268819999999995E-3</v>
      </c>
      <c r="AA896">
        <v>0.90452290000000002</v>
      </c>
      <c r="AB896">
        <v>25</v>
      </c>
      <c r="AC896">
        <v>21.317299999999999</v>
      </c>
      <c r="AD896">
        <v>-1.1187456300659999</v>
      </c>
      <c r="AE896">
        <v>-14.2149999999999</v>
      </c>
      <c r="AF896">
        <v>11.011108112489101</v>
      </c>
      <c r="AG896">
        <v>-1.1187456300659999</v>
      </c>
      <c r="AH896">
        <v>23.0814418766826</v>
      </c>
      <c r="AI896">
        <v>92.504892763419306</v>
      </c>
      <c r="AJ896">
        <v>64.496309338109597</v>
      </c>
      <c r="AK896">
        <v>25.5978329699292</v>
      </c>
      <c r="AL896">
        <v>77.155594760615998</v>
      </c>
      <c r="AM896">
        <v>70.997482477774</v>
      </c>
      <c r="AN896">
        <v>1.0000000497030599</v>
      </c>
    </row>
    <row r="897" spans="1:40" x14ac:dyDescent="0.25">
      <c r="A897" t="str">
        <f>"20190303170735959"</f>
        <v>20190303170735959</v>
      </c>
      <c r="B897" t="str">
        <f>"1551604055953528"</f>
        <v>1551604055953528</v>
      </c>
      <c r="C897" t="s">
        <v>40</v>
      </c>
      <c r="D897">
        <v>4.8965329999999998</v>
      </c>
      <c r="E897">
        <v>0.55617169999999905</v>
      </c>
      <c r="F897" t="s">
        <v>48</v>
      </c>
      <c r="G897">
        <v>-185.71889999999999</v>
      </c>
      <c r="H897" s="1">
        <v>-1.607551E-6</v>
      </c>
      <c r="I897">
        <v>350.98970000000003</v>
      </c>
      <c r="J897">
        <v>-207.4845</v>
      </c>
      <c r="K897">
        <v>1.1186640000000001</v>
      </c>
      <c r="L897">
        <v>365.68799999999999</v>
      </c>
      <c r="M897">
        <v>0.98910730000000002</v>
      </c>
      <c r="N897">
        <v>-1.402459E-2</v>
      </c>
      <c r="O897">
        <v>-0.14652679999999901</v>
      </c>
      <c r="P897">
        <v>0.86746080000000003</v>
      </c>
      <c r="Q897">
        <v>0.2101894</v>
      </c>
      <c r="R897">
        <v>-0.45092369999999998</v>
      </c>
      <c r="S897">
        <v>2.5922390000000002</v>
      </c>
      <c r="T897">
        <v>-0.1317354</v>
      </c>
      <c r="U897">
        <v>-1.7355349999999901</v>
      </c>
      <c r="V897">
        <v>0.3204805</v>
      </c>
      <c r="W897">
        <v>0.2209074</v>
      </c>
      <c r="X897">
        <v>0.92113630000000002</v>
      </c>
      <c r="Y897">
        <v>0.42811129999999997</v>
      </c>
      <c r="Z897">
        <v>-8.3817539999999999E-3</v>
      </c>
      <c r="AA897">
        <v>0.90368720000000002</v>
      </c>
      <c r="AB897">
        <v>25</v>
      </c>
      <c r="AC897">
        <v>21.765599999999999</v>
      </c>
      <c r="AD897">
        <v>-1.118665607551</v>
      </c>
      <c r="AE897">
        <v>-14.6983</v>
      </c>
      <c r="AF897">
        <v>11.3295139457215</v>
      </c>
      <c r="AG897">
        <v>-1.118665607551</v>
      </c>
      <c r="AH897">
        <v>23.641646496879201</v>
      </c>
      <c r="AI897">
        <v>92.443379912544998</v>
      </c>
      <c r="AJ897">
        <v>64.395398055995898</v>
      </c>
      <c r="AK897">
        <v>26.239983766595898</v>
      </c>
      <c r="AL897">
        <v>77.237664896888404</v>
      </c>
      <c r="AM897">
        <v>70.816260906704102</v>
      </c>
      <c r="AN897">
        <v>0.999999956716349</v>
      </c>
    </row>
    <row r="898" spans="1:40" x14ac:dyDescent="0.25">
      <c r="A898" t="str">
        <f>"20190303170735975"</f>
        <v>20190303170735975</v>
      </c>
      <c r="B898" t="str">
        <f>"1551604055963290"</f>
        <v>1551604055963290</v>
      </c>
      <c r="C898" t="s">
        <v>40</v>
      </c>
      <c r="D898">
        <v>4.9165400000000004</v>
      </c>
      <c r="E898">
        <v>0.55590450000000002</v>
      </c>
      <c r="F898" t="s">
        <v>48</v>
      </c>
      <c r="G898">
        <v>-185.85990000000001</v>
      </c>
      <c r="H898" s="1">
        <v>-1.5935749999999901E-6</v>
      </c>
      <c r="I898">
        <v>351.05930000000001</v>
      </c>
      <c r="J898">
        <v>-207.3</v>
      </c>
      <c r="K898">
        <v>1.1186</v>
      </c>
      <c r="L898">
        <v>365.65730000000002</v>
      </c>
      <c r="M898">
        <v>0.98864560000000001</v>
      </c>
      <c r="N898">
        <v>-1.402786E-2</v>
      </c>
      <c r="O898">
        <v>-0.14961050000000001</v>
      </c>
      <c r="P898">
        <v>0.8655159</v>
      </c>
      <c r="Q898">
        <v>0.20880950000000001</v>
      </c>
      <c r="R898">
        <v>-0.45528099999999999</v>
      </c>
      <c r="S898">
        <v>2.5825650000000002</v>
      </c>
      <c r="T898">
        <v>-0.133599</v>
      </c>
      <c r="U898">
        <v>-1.7470699999999999</v>
      </c>
      <c r="V898">
        <v>0.32222009999999901</v>
      </c>
      <c r="W898">
        <v>0.21946550000000001</v>
      </c>
      <c r="X898">
        <v>0.92087410000000003</v>
      </c>
      <c r="Y898">
        <v>0.42961959999999999</v>
      </c>
      <c r="Z898">
        <v>-8.384542E-3</v>
      </c>
      <c r="AA898">
        <v>0.90297099999999997</v>
      </c>
      <c r="AB898">
        <v>25</v>
      </c>
      <c r="AC898">
        <v>21.440100000000001</v>
      </c>
      <c r="AD898">
        <v>-1.118601593575</v>
      </c>
      <c r="AE898">
        <v>-14.598000000000001</v>
      </c>
      <c r="AF898">
        <v>11.204848444609899</v>
      </c>
      <c r="AG898">
        <v>-1.118601593575</v>
      </c>
      <c r="AH898">
        <v>23.339564874790302</v>
      </c>
      <c r="AI898">
        <v>92.473993997065406</v>
      </c>
      <c r="AJ898">
        <v>64.355288620963705</v>
      </c>
      <c r="AK898">
        <v>25.913995962343801</v>
      </c>
      <c r="AL898">
        <v>77.322358855098599</v>
      </c>
      <c r="AM898">
        <v>70.714711656129793</v>
      </c>
      <c r="AN898">
        <v>1.00000000329253</v>
      </c>
    </row>
    <row r="899" spans="1:40" x14ac:dyDescent="0.25">
      <c r="A899" t="str">
        <f>"20190303170735995"</f>
        <v>20190303170735995</v>
      </c>
      <c r="B899" t="str">
        <f>"1551604055982809"</f>
        <v>1551604055982809</v>
      </c>
      <c r="C899" t="s">
        <v>40</v>
      </c>
      <c r="D899">
        <v>5.052746</v>
      </c>
      <c r="E899">
        <v>0.55797929999999996</v>
      </c>
      <c r="F899" t="s">
        <v>48</v>
      </c>
      <c r="G899">
        <v>-186.34440000000001</v>
      </c>
      <c r="H899" s="1">
        <v>-1.561562E-6</v>
      </c>
      <c r="I899">
        <v>351.34570000000002</v>
      </c>
      <c r="J899">
        <v>-207.071</v>
      </c>
      <c r="K899">
        <v>1.118501</v>
      </c>
      <c r="L899">
        <v>365.61810000000003</v>
      </c>
      <c r="M899">
        <v>0.988039</v>
      </c>
      <c r="N899">
        <v>-1.403339E-2</v>
      </c>
      <c r="O899">
        <v>-0.15356449999999999</v>
      </c>
      <c r="P899">
        <v>0.86238689999999996</v>
      </c>
      <c r="Q899">
        <v>0.20558390000000001</v>
      </c>
      <c r="R899">
        <v>-0.46262769999999998</v>
      </c>
      <c r="S899">
        <v>2.5744479999999998</v>
      </c>
      <c r="T899">
        <v>-0.1374233</v>
      </c>
      <c r="U899">
        <v>-1.7582089999999999</v>
      </c>
      <c r="V899">
        <v>0.32628859999999998</v>
      </c>
      <c r="W899">
        <v>0.2161315</v>
      </c>
      <c r="X899">
        <v>0.92022990000000005</v>
      </c>
      <c r="Y899">
        <v>0.42997750000000001</v>
      </c>
      <c r="Z899">
        <v>-8.3625519999999901E-3</v>
      </c>
      <c r="AA899">
        <v>0.90280090000000002</v>
      </c>
      <c r="AB899">
        <v>25</v>
      </c>
      <c r="AC899">
        <v>20.726599999999902</v>
      </c>
      <c r="AD899">
        <v>-1.1185025615619999</v>
      </c>
      <c r="AE899">
        <v>-14.272399999999999</v>
      </c>
      <c r="AF899">
        <v>10.898363537795699</v>
      </c>
      <c r="AG899">
        <v>-1.1185025615619999</v>
      </c>
      <c r="AH899">
        <v>22.627954398849901</v>
      </c>
      <c r="AI899">
        <v>92.549924820535907</v>
      </c>
      <c r="AJ899">
        <v>64.283011443800007</v>
      </c>
      <c r="AK899">
        <v>25.140598562059001</v>
      </c>
      <c r="AL899">
        <v>77.518082534783304</v>
      </c>
      <c r="AM899">
        <v>70.476871955088995</v>
      </c>
      <c r="AN899">
        <v>1.0000000723181</v>
      </c>
    </row>
    <row r="900" spans="1:40" x14ac:dyDescent="0.25">
      <c r="A900" t="str">
        <f>"20190303170736010"</f>
        <v>20190303170736010</v>
      </c>
      <c r="B900" t="str">
        <f>"1551604056003304"</f>
        <v>1551604056003304</v>
      </c>
      <c r="C900" t="s">
        <v>40</v>
      </c>
      <c r="D900">
        <v>4.966513</v>
      </c>
      <c r="E900">
        <v>0.60489499999999996</v>
      </c>
      <c r="F900" t="s">
        <v>48</v>
      </c>
      <c r="G900">
        <v>-187.84030000000001</v>
      </c>
      <c r="H900" s="1">
        <v>-1.775341E-6</v>
      </c>
      <c r="I900">
        <v>352.09390000000002</v>
      </c>
      <c r="J900">
        <v>-206.89259999999999</v>
      </c>
      <c r="K900">
        <v>1.118411</v>
      </c>
      <c r="L900">
        <v>365.58690000000001</v>
      </c>
      <c r="M900">
        <v>0.98754010000000003</v>
      </c>
      <c r="N900">
        <v>-1.40386E-2</v>
      </c>
      <c r="O900">
        <v>-0.1567395</v>
      </c>
      <c r="P900">
        <v>0.85999190000000003</v>
      </c>
      <c r="Q900">
        <v>0.20508589999999999</v>
      </c>
      <c r="R900">
        <v>-0.46728320000000001</v>
      </c>
      <c r="S900">
        <v>2.5515140000000001</v>
      </c>
      <c r="T900">
        <v>-0.14840149999999999</v>
      </c>
      <c r="U900">
        <v>-1.794373</v>
      </c>
      <c r="V900">
        <v>0.32833410000000002</v>
      </c>
      <c r="W900">
        <v>0.21554670000000001</v>
      </c>
      <c r="X900">
        <v>0.91963919999999999</v>
      </c>
      <c r="Y900">
        <v>0.43936409999999998</v>
      </c>
      <c r="Z900">
        <v>-8.8283719999999993E-3</v>
      </c>
      <c r="AA900">
        <v>0.89826569999999994</v>
      </c>
      <c r="AB900">
        <v>25</v>
      </c>
      <c r="AC900">
        <v>19.052299999999899</v>
      </c>
      <c r="AD900">
        <v>-1.118412775341</v>
      </c>
      <c r="AE900">
        <v>-13.492999999999901</v>
      </c>
      <c r="AF900">
        <v>10.315976239560401</v>
      </c>
      <c r="AG900">
        <v>-1.118412775341</v>
      </c>
      <c r="AH900">
        <v>20.883934249501099</v>
      </c>
      <c r="AI900">
        <v>92.748958723422504</v>
      </c>
      <c r="AJ900">
        <v>63.712143784017201</v>
      </c>
      <c r="AK900">
        <v>23.319711032701601</v>
      </c>
      <c r="AL900">
        <v>77.552396530310304</v>
      </c>
      <c r="AM900">
        <v>70.352169718366099</v>
      </c>
      <c r="AN900">
        <v>0.99999995964016897</v>
      </c>
    </row>
    <row r="901" spans="1:40" x14ac:dyDescent="0.25">
      <c r="A901" t="str">
        <f>"20190303170736026"</f>
        <v>20190303170736026</v>
      </c>
      <c r="B901" t="str">
        <f>"1551604056013571"</f>
        <v>1551604056013571</v>
      </c>
      <c r="C901" t="s">
        <v>40</v>
      </c>
      <c r="D901">
        <v>4.9539160000000004</v>
      </c>
      <c r="E901">
        <v>0.61130699999999905</v>
      </c>
      <c r="F901" t="s">
        <v>43</v>
      </c>
      <c r="G901">
        <v>-180.90700000000001</v>
      </c>
      <c r="H901" s="1">
        <v>-3.1980839999999999E-6</v>
      </c>
      <c r="I901">
        <v>341.93619999999999</v>
      </c>
      <c r="J901">
        <v>-206.72370000000001</v>
      </c>
      <c r="K901">
        <v>1.118328</v>
      </c>
      <c r="L901">
        <v>365.55669999999998</v>
      </c>
      <c r="M901">
        <v>0.98704239999999999</v>
      </c>
      <c r="N901">
        <v>-1.404444E-2</v>
      </c>
      <c r="O901">
        <v>-0.15984389999999901</v>
      </c>
      <c r="P901">
        <v>0.85627779999999998</v>
      </c>
      <c r="Q901">
        <v>0.20552780000000001</v>
      </c>
      <c r="R901">
        <v>-0.47386349999999999</v>
      </c>
      <c r="S901">
        <v>2.35025</v>
      </c>
      <c r="T901">
        <v>-0.1011541</v>
      </c>
      <c r="U901">
        <v>-2.1390690000000001</v>
      </c>
      <c r="V901">
        <v>0.33257009999999998</v>
      </c>
      <c r="W901">
        <v>0.21586929999999999</v>
      </c>
      <c r="X901">
        <v>0.91804010000000003</v>
      </c>
      <c r="Y901">
        <v>0.5458385</v>
      </c>
      <c r="Z901">
        <v>-1.0607760000000001E-2</v>
      </c>
      <c r="AA901">
        <v>0.83782319999999999</v>
      </c>
      <c r="AB901">
        <v>25</v>
      </c>
      <c r="AC901">
        <v>25.816700000000001</v>
      </c>
      <c r="AD901">
        <v>-1.1183311980840001</v>
      </c>
      <c r="AE901">
        <v>-23.6205</v>
      </c>
      <c r="AF901">
        <v>19.170104619816499</v>
      </c>
      <c r="AG901">
        <v>-1.1183311980840001</v>
      </c>
      <c r="AH901">
        <v>29.2307989257848</v>
      </c>
      <c r="AI901">
        <v>91.832404538950698</v>
      </c>
      <c r="AJ901">
        <v>56.742388205622397</v>
      </c>
      <c r="AK901">
        <v>34.974035821491697</v>
      </c>
      <c r="AL901">
        <v>77.533468113035994</v>
      </c>
      <c r="AM901">
        <v>70.086524878130803</v>
      </c>
      <c r="AN901">
        <v>1.0000000256522501</v>
      </c>
    </row>
    <row r="902" spans="1:40" x14ac:dyDescent="0.25">
      <c r="A902" t="str">
        <f>"20190303170736047"</f>
        <v>20190303170736047</v>
      </c>
      <c r="B902" t="str">
        <f>"1551604056033092"</f>
        <v>1551604056033092</v>
      </c>
      <c r="C902" t="s">
        <v>40</v>
      </c>
      <c r="D902">
        <v>5.1954979999999997</v>
      </c>
      <c r="E902">
        <v>0.61948950000000003</v>
      </c>
      <c r="F902" t="s">
        <v>43</v>
      </c>
      <c r="G902">
        <v>-179.95779999999999</v>
      </c>
      <c r="H902">
        <v>3.5867530000000002E-2</v>
      </c>
      <c r="I902">
        <v>340.0147</v>
      </c>
      <c r="J902">
        <v>-206.48689999999999</v>
      </c>
      <c r="K902">
        <v>1.1182030000000001</v>
      </c>
      <c r="L902">
        <v>365.51319999999998</v>
      </c>
      <c r="M902">
        <v>0.98630260000000003</v>
      </c>
      <c r="N902">
        <v>-1.4053390000000001E-2</v>
      </c>
      <c r="O902">
        <v>-0.16434609999999999</v>
      </c>
      <c r="P902">
        <v>0.85167479999999995</v>
      </c>
      <c r="Q902">
        <v>0.2080929</v>
      </c>
      <c r="R902">
        <v>-0.48098570000000002</v>
      </c>
      <c r="S902">
        <v>2.3074189999999999</v>
      </c>
      <c r="T902">
        <v>-9.3315960000000003E-2</v>
      </c>
      <c r="U902">
        <v>-2.2019039999999999</v>
      </c>
      <c r="V902">
        <v>0.33623320000000001</v>
      </c>
      <c r="W902">
        <v>0.2182837</v>
      </c>
      <c r="X902">
        <v>0.91613290000000003</v>
      </c>
      <c r="Y902">
        <v>0.56172860000000002</v>
      </c>
      <c r="Z902">
        <v>-1.0635850000000001E-2</v>
      </c>
      <c r="AA902">
        <v>0.82725319999999902</v>
      </c>
      <c r="AB902">
        <v>25</v>
      </c>
      <c r="AC902">
        <v>26.5291</v>
      </c>
      <c r="AD902">
        <v>-1.0823354700000001</v>
      </c>
      <c r="AE902">
        <v>-25.4984999999999</v>
      </c>
      <c r="AF902">
        <v>20.773363307883599</v>
      </c>
      <c r="AG902">
        <v>-1.0823354700000001</v>
      </c>
      <c r="AH902">
        <v>30.333053966036999</v>
      </c>
      <c r="AI902">
        <v>91.686283958712707</v>
      </c>
      <c r="AJ902">
        <v>55.595000685436702</v>
      </c>
      <c r="AK902">
        <v>36.780405599958499</v>
      </c>
      <c r="AL902">
        <v>77.3917537703486</v>
      </c>
      <c r="AM902">
        <v>69.846178324017302</v>
      </c>
      <c r="AN902">
        <v>1.00000001446517</v>
      </c>
    </row>
    <row r="903" spans="1:40" x14ac:dyDescent="0.25">
      <c r="A903" t="str">
        <f>"20190303170736071"</f>
        <v>20190303170736071</v>
      </c>
      <c r="B903" t="str">
        <f>"1551604056063347"</f>
        <v>1551604056063347</v>
      </c>
      <c r="C903" t="s">
        <v>40</v>
      </c>
      <c r="D903">
        <v>4.9854529999999997</v>
      </c>
      <c r="E903">
        <v>0.62360389999999999</v>
      </c>
      <c r="F903" t="s">
        <v>43</v>
      </c>
      <c r="G903">
        <v>-176.53200000000001</v>
      </c>
      <c r="H903">
        <v>7.9985699999999896E-2</v>
      </c>
      <c r="I903">
        <v>335.24930000000001</v>
      </c>
      <c r="J903">
        <v>-206.2276</v>
      </c>
      <c r="K903">
        <v>1.1180600000000001</v>
      </c>
      <c r="L903">
        <v>365.46409999999997</v>
      </c>
      <c r="M903">
        <v>0.98542490000000005</v>
      </c>
      <c r="N903">
        <v>-1.406455E-2</v>
      </c>
      <c r="O903">
        <v>-0.16952919999999999</v>
      </c>
      <c r="P903">
        <v>0.84641359999999999</v>
      </c>
      <c r="Q903">
        <v>0.2094685</v>
      </c>
      <c r="R903">
        <v>-0.48959910000000001</v>
      </c>
      <c r="S903">
        <v>2.2549589999999999</v>
      </c>
      <c r="T903">
        <v>-7.8155639999999998E-2</v>
      </c>
      <c r="U903">
        <v>-2.2782290000000001</v>
      </c>
      <c r="V903">
        <v>0.34087009999999901</v>
      </c>
      <c r="W903">
        <v>0.21947710000000001</v>
      </c>
      <c r="X903">
        <v>0.9141321</v>
      </c>
      <c r="Y903">
        <v>0.58089150000000001</v>
      </c>
      <c r="Z903">
        <v>-1.0385989999999999E-2</v>
      </c>
      <c r="AA903">
        <v>0.81391469999999999</v>
      </c>
      <c r="AB903">
        <v>25</v>
      </c>
      <c r="AC903">
        <v>29.695599999999899</v>
      </c>
      <c r="AD903">
        <v>-1.0380742999999999</v>
      </c>
      <c r="AE903">
        <v>-30.214799999999901</v>
      </c>
      <c r="AF903">
        <v>24.727743004384799</v>
      </c>
      <c r="AG903">
        <v>-1.0380742999999999</v>
      </c>
      <c r="AH903">
        <v>34.367837686746299</v>
      </c>
      <c r="AI903">
        <v>91.404498304885195</v>
      </c>
      <c r="AJ903">
        <v>54.2648923354879</v>
      </c>
      <c r="AK903">
        <v>42.351943752391897</v>
      </c>
      <c r="AL903">
        <v>77.321678337567803</v>
      </c>
      <c r="AM903">
        <v>69.550051627042706</v>
      </c>
      <c r="AN903">
        <v>1.0000000593744101</v>
      </c>
    </row>
    <row r="904" spans="1:40" x14ac:dyDescent="0.25">
      <c r="A904" t="str">
        <f>"20190303170736092"</f>
        <v>20190303170736092</v>
      </c>
      <c r="B904" t="str">
        <f>"1551604056082882"</f>
        <v>1551604056082882</v>
      </c>
      <c r="C904" t="s">
        <v>40</v>
      </c>
      <c r="D904">
        <v>5.0190999999999999</v>
      </c>
      <c r="E904">
        <v>0.62390950000000001</v>
      </c>
      <c r="F904" t="s">
        <v>46</v>
      </c>
      <c r="G904">
        <v>-170.1508</v>
      </c>
      <c r="H904">
        <v>-0.05</v>
      </c>
      <c r="I904">
        <v>327.54660000000001</v>
      </c>
      <c r="J904">
        <v>-205.98849999999999</v>
      </c>
      <c r="K904">
        <v>1.1179110000000001</v>
      </c>
      <c r="L904">
        <v>365.4171</v>
      </c>
      <c r="M904">
        <v>0.98454560000000002</v>
      </c>
      <c r="N904">
        <v>-1.407738E-2</v>
      </c>
      <c r="O904">
        <v>-0.1745621</v>
      </c>
      <c r="P904">
        <v>0.84136869999999997</v>
      </c>
      <c r="Q904">
        <v>0.2103951</v>
      </c>
      <c r="R904">
        <v>-0.4978282</v>
      </c>
      <c r="S904">
        <v>2.2152859999999999</v>
      </c>
      <c r="T904">
        <v>-7.1724410000000002E-2</v>
      </c>
      <c r="U904">
        <v>-2.3283079999999998</v>
      </c>
      <c r="V904">
        <v>0.34525409999999901</v>
      </c>
      <c r="W904">
        <v>0.22022230000000001</v>
      </c>
      <c r="X904">
        <v>0.91230579999999994</v>
      </c>
      <c r="Y904">
        <v>0.59275880000000003</v>
      </c>
      <c r="Z904">
        <v>-1.032922E-2</v>
      </c>
      <c r="AA904">
        <v>0.80531379999999997</v>
      </c>
      <c r="AB904">
        <v>25</v>
      </c>
      <c r="AC904">
        <v>35.837699999999899</v>
      </c>
      <c r="AD904">
        <v>-1.1679109999999999</v>
      </c>
      <c r="AE904">
        <v>-37.8704999999999</v>
      </c>
      <c r="AF904">
        <v>31.0168401627209</v>
      </c>
      <c r="AG904">
        <v>-1.1679109999999999</v>
      </c>
      <c r="AH904">
        <v>41.877740596483001</v>
      </c>
      <c r="AI904">
        <v>91.283842160324198</v>
      </c>
      <c r="AJ904">
        <v>53.474420913964003</v>
      </c>
      <c r="AK904">
        <v>52.126322978414798</v>
      </c>
      <c r="AL904">
        <v>77.277910752188802</v>
      </c>
      <c r="AM904">
        <v>69.271292669764506</v>
      </c>
      <c r="AN904">
        <v>1.00000006384886</v>
      </c>
    </row>
    <row r="905" spans="1:40" x14ac:dyDescent="0.25">
      <c r="A905" t="str">
        <f>"20190303170736118"</f>
        <v>20190303170736118</v>
      </c>
      <c r="B905" t="str">
        <f>"1551604056103363"</f>
        <v>1551604056103363</v>
      </c>
      <c r="C905" t="s">
        <v>40</v>
      </c>
      <c r="D905">
        <v>5.0195379999999998</v>
      </c>
      <c r="E905">
        <v>0.62370749999999997</v>
      </c>
      <c r="F905" t="s">
        <v>51</v>
      </c>
      <c r="G905">
        <v>-168.4</v>
      </c>
      <c r="H905">
        <v>5.5487719999999997E-2</v>
      </c>
      <c r="I905">
        <v>325.01740000000001</v>
      </c>
      <c r="J905">
        <v>-205.71190000000001</v>
      </c>
      <c r="K905">
        <v>1.1177330000000001</v>
      </c>
      <c r="L905">
        <v>365.36099999999999</v>
      </c>
      <c r="M905">
        <v>0.98344739999999997</v>
      </c>
      <c r="N905">
        <v>-1.4094239999999999E-2</v>
      </c>
      <c r="O905">
        <v>-0.18064540000000001</v>
      </c>
      <c r="P905">
        <v>0.83604880000000004</v>
      </c>
      <c r="Q905">
        <v>0.2106198</v>
      </c>
      <c r="R905">
        <v>-0.50661820000000002</v>
      </c>
      <c r="S905">
        <v>2.1890109999999998</v>
      </c>
      <c r="T905">
        <v>-6.1871049999999997E-2</v>
      </c>
      <c r="U905">
        <v>-2.352722</v>
      </c>
      <c r="V905">
        <v>0.34928959999999998</v>
      </c>
      <c r="W905">
        <v>0.2202586</v>
      </c>
      <c r="X905">
        <v>0.91075950000000006</v>
      </c>
      <c r="Y905">
        <v>0.5968038</v>
      </c>
      <c r="Z905">
        <v>-9.9297859999999995E-3</v>
      </c>
      <c r="AA905">
        <v>0.80232569999999903</v>
      </c>
      <c r="AB905">
        <v>25</v>
      </c>
      <c r="AC905">
        <v>37.311900000000001</v>
      </c>
      <c r="AD905">
        <v>-1.06224528</v>
      </c>
      <c r="AE905">
        <v>-40.343599999999903</v>
      </c>
      <c r="AF905">
        <v>32.926550707135597</v>
      </c>
      <c r="AG905">
        <v>-1.06224528</v>
      </c>
      <c r="AH905">
        <v>43.9701118405114</v>
      </c>
      <c r="AI905">
        <v>91.107815990709696</v>
      </c>
      <c r="AJ905">
        <v>53.172685676733799</v>
      </c>
      <c r="AK905">
        <v>54.942304663815698</v>
      </c>
      <c r="AL905">
        <v>77.275777362112194</v>
      </c>
      <c r="AM905">
        <v>69.017450023205299</v>
      </c>
      <c r="AN905">
        <v>0.999999971191184</v>
      </c>
    </row>
    <row r="906" spans="1:40" x14ac:dyDescent="0.25">
      <c r="A906" t="str">
        <f>"20190303170736138"</f>
        <v>20190303170736138</v>
      </c>
      <c r="B906" t="str">
        <f>"1551604056122884"</f>
        <v>1551604056122884</v>
      </c>
      <c r="C906" t="s">
        <v>40</v>
      </c>
      <c r="D906">
        <v>4.9829670000000004</v>
      </c>
      <c r="E906">
        <v>0.62346210000000002</v>
      </c>
      <c r="F906" t="s">
        <v>51</v>
      </c>
      <c r="G906">
        <v>-168.4</v>
      </c>
      <c r="H906">
        <v>0.1451064</v>
      </c>
      <c r="I906">
        <v>324.39389999999997</v>
      </c>
      <c r="J906">
        <v>-205.4855</v>
      </c>
      <c r="K906">
        <v>1.1175820000000001</v>
      </c>
      <c r="L906">
        <v>365.31349999999998</v>
      </c>
      <c r="M906">
        <v>0.98248000000000002</v>
      </c>
      <c r="N906">
        <v>-1.4107939999999999E-2</v>
      </c>
      <c r="O906">
        <v>-0.18583350000000001</v>
      </c>
      <c r="P906">
        <v>0.83149030000000002</v>
      </c>
      <c r="Q906">
        <v>0.20959849999999999</v>
      </c>
      <c r="R906">
        <v>-0.51448320000000003</v>
      </c>
      <c r="S906">
        <v>2.1632389999999999</v>
      </c>
      <c r="T906">
        <v>-5.6389809999999999E-2</v>
      </c>
      <c r="U906">
        <v>-2.3751530000000001</v>
      </c>
      <c r="V906">
        <v>0.3531011</v>
      </c>
      <c r="W906">
        <v>0.21907940000000001</v>
      </c>
      <c r="X906">
        <v>0.90957339999999998</v>
      </c>
      <c r="Y906">
        <v>0.60111020000000004</v>
      </c>
      <c r="Z906">
        <v>-9.7549449999999992E-3</v>
      </c>
      <c r="AA906">
        <v>0.79910649999999905</v>
      </c>
      <c r="AB906">
        <v>25</v>
      </c>
      <c r="AC906">
        <v>37.085500000000003</v>
      </c>
      <c r="AD906">
        <v>-0.9724756</v>
      </c>
      <c r="AE906">
        <v>-40.919600000000003</v>
      </c>
      <c r="AF906">
        <v>33.303947253724999</v>
      </c>
      <c r="AG906">
        <v>-0.9724756</v>
      </c>
      <c r="AH906">
        <v>44.030722609995699</v>
      </c>
      <c r="AI906">
        <v>91.009157863913899</v>
      </c>
      <c r="AJ906">
        <v>52.896876645274503</v>
      </c>
      <c r="AK906">
        <v>55.215968206940701</v>
      </c>
      <c r="AL906">
        <v>77.345032123945998</v>
      </c>
      <c r="AM906">
        <v>68.783530148608506</v>
      </c>
      <c r="AN906">
        <v>0.99999997015656406</v>
      </c>
    </row>
    <row r="907" spans="1:40" x14ac:dyDescent="0.25">
      <c r="A907" t="str">
        <f>"20190303170736164"</f>
        <v>20190303170736164</v>
      </c>
      <c r="B907" t="str">
        <f>"1551604056153143"</f>
        <v>1551604056153143</v>
      </c>
      <c r="C907" t="s">
        <v>40</v>
      </c>
      <c r="D907">
        <v>4.9470549999999998</v>
      </c>
      <c r="E907">
        <v>0.6232221</v>
      </c>
      <c r="F907" t="s">
        <v>51</v>
      </c>
      <c r="G907">
        <v>-168.4</v>
      </c>
      <c r="H907">
        <v>0.1214095</v>
      </c>
      <c r="I907">
        <v>323.87369999999999</v>
      </c>
      <c r="J907">
        <v>-205.1951</v>
      </c>
      <c r="K907">
        <v>1.1173820000000001</v>
      </c>
      <c r="L907">
        <v>365.25049999999999</v>
      </c>
      <c r="M907">
        <v>0.98113510000000004</v>
      </c>
      <c r="N907">
        <v>-1.4126619999999999E-2</v>
      </c>
      <c r="O907">
        <v>-0.19280630000000001</v>
      </c>
      <c r="P907">
        <v>0.82598400000000005</v>
      </c>
      <c r="Q907">
        <v>0.20870830000000001</v>
      </c>
      <c r="R907">
        <v>-0.5236326</v>
      </c>
      <c r="S907">
        <v>2.141724</v>
      </c>
      <c r="T907">
        <v>-5.7529570000000002E-2</v>
      </c>
      <c r="U907">
        <v>-2.3931879999999999</v>
      </c>
      <c r="V907">
        <v>0.35674240000000002</v>
      </c>
      <c r="W907">
        <v>0.21799099999999999</v>
      </c>
      <c r="X907">
        <v>0.90841340000000004</v>
      </c>
      <c r="Y907">
        <v>0.60240819999999995</v>
      </c>
      <c r="Z907">
        <v>-9.8035489999999999E-3</v>
      </c>
      <c r="AA907">
        <v>0.7981279</v>
      </c>
      <c r="AB907">
        <v>25</v>
      </c>
      <c r="AC907">
        <v>36.795099999999898</v>
      </c>
      <c r="AD907">
        <v>-0.99597250000000004</v>
      </c>
      <c r="AE907">
        <v>-41.376800000000003</v>
      </c>
      <c r="AF907">
        <v>33.494411549073497</v>
      </c>
      <c r="AG907">
        <v>-0.99597250000000004</v>
      </c>
      <c r="AH907">
        <v>44.068814338547597</v>
      </c>
      <c r="AI907">
        <v>91.030821037168494</v>
      </c>
      <c r="AJ907">
        <v>52.763424964357498</v>
      </c>
      <c r="AK907">
        <v>55.361791548367002</v>
      </c>
      <c r="AL907">
        <v>77.408938667228895</v>
      </c>
      <c r="AM907">
        <v>68.559601734376301</v>
      </c>
      <c r="AN907">
        <v>1.0000000606691499</v>
      </c>
    </row>
    <row r="908" spans="1:40" x14ac:dyDescent="0.25">
      <c r="A908" t="str">
        <f>"20190303170736181"</f>
        <v>20190303170736181</v>
      </c>
      <c r="B908" t="str">
        <f>"1551604056173635"</f>
        <v>1551604056173635</v>
      </c>
      <c r="C908" t="s">
        <v>40</v>
      </c>
      <c r="D908">
        <v>4.9527910000000004</v>
      </c>
      <c r="E908">
        <v>0.62305749999999904</v>
      </c>
      <c r="F908" t="s">
        <v>51</v>
      </c>
      <c r="G908">
        <v>-168.4</v>
      </c>
      <c r="H908">
        <v>0.13415350000000001</v>
      </c>
      <c r="I908">
        <v>323.26819999999998</v>
      </c>
      <c r="J908">
        <v>-205.00139999999999</v>
      </c>
      <c r="K908">
        <v>1.1172249999999999</v>
      </c>
      <c r="L908">
        <v>365.20690000000002</v>
      </c>
      <c r="M908">
        <v>0.9801609</v>
      </c>
      <c r="N908">
        <v>-1.414222E-2</v>
      </c>
      <c r="O908">
        <v>-0.1976985</v>
      </c>
      <c r="P908">
        <v>0.82196039999999904</v>
      </c>
      <c r="Q908">
        <v>0.20698130000000001</v>
      </c>
      <c r="R908">
        <v>-0.5306033</v>
      </c>
      <c r="S908">
        <v>2.115875</v>
      </c>
      <c r="T908">
        <v>-5.653942E-2</v>
      </c>
      <c r="U908">
        <v>-2.4141539999999999</v>
      </c>
      <c r="V908">
        <v>0.3598787</v>
      </c>
      <c r="W908">
        <v>0.2161091</v>
      </c>
      <c r="X908">
        <v>0.90762560000000003</v>
      </c>
      <c r="Y908">
        <v>0.60668500000000003</v>
      </c>
      <c r="Z908">
        <v>-9.8365589999999999E-3</v>
      </c>
      <c r="AA908">
        <v>0.79488149999999902</v>
      </c>
      <c r="AB908">
        <v>25</v>
      </c>
      <c r="AC908">
        <v>36.601399999999899</v>
      </c>
      <c r="AD908">
        <v>-0.98307149999999999</v>
      </c>
      <c r="AE908">
        <v>-41.938699999999997</v>
      </c>
      <c r="AF908">
        <v>33.863456124985703</v>
      </c>
      <c r="AG908">
        <v>-0.98307149999999999</v>
      </c>
      <c r="AH908">
        <v>44.157122004124602</v>
      </c>
      <c r="AI908">
        <v>91.012094477362197</v>
      </c>
      <c r="AJ908">
        <v>52.515924936608201</v>
      </c>
      <c r="AK908">
        <v>55.655651231389697</v>
      </c>
      <c r="AL908">
        <v>77.519396435867094</v>
      </c>
      <c r="AM908">
        <v>68.371393163157805</v>
      </c>
      <c r="AN908">
        <v>1.0000000257959201</v>
      </c>
    </row>
    <row r="909" spans="1:40" x14ac:dyDescent="0.25">
      <c r="A909" t="str">
        <f>"20190303170736204"</f>
        <v>20190303170736204</v>
      </c>
      <c r="B909" t="str">
        <f>"1551604056193156"</f>
        <v>1551604056193156</v>
      </c>
      <c r="C909" t="s">
        <v>40</v>
      </c>
      <c r="D909">
        <v>4.9374729999999998</v>
      </c>
      <c r="E909">
        <v>0.62311919999999899</v>
      </c>
      <c r="F909" t="s">
        <v>51</v>
      </c>
      <c r="G909">
        <v>-168.4</v>
      </c>
      <c r="H909">
        <v>9.0456099999999998E-2</v>
      </c>
      <c r="I909">
        <v>322.75470000000001</v>
      </c>
      <c r="J909">
        <v>-204.7534</v>
      </c>
      <c r="K909">
        <v>1.117003</v>
      </c>
      <c r="L909">
        <v>365.14940000000001</v>
      </c>
      <c r="M909">
        <v>0.97881569999999996</v>
      </c>
      <c r="N909">
        <v>-1.416661E-2</v>
      </c>
      <c r="O909">
        <v>-0.20425260000000001</v>
      </c>
      <c r="P909">
        <v>0.81726350000000003</v>
      </c>
      <c r="Q909">
        <v>0.20562430000000001</v>
      </c>
      <c r="R909">
        <v>-0.53832979999999997</v>
      </c>
      <c r="S909">
        <v>2.095596</v>
      </c>
      <c r="T909">
        <v>-5.8786749999999999E-2</v>
      </c>
      <c r="U909">
        <v>-2.4305729999999999</v>
      </c>
      <c r="V909">
        <v>0.36239949999999999</v>
      </c>
      <c r="W909">
        <v>0.21454870000000001</v>
      </c>
      <c r="X909">
        <v>0.90699260000000004</v>
      </c>
      <c r="Y909">
        <v>0.60781289999999999</v>
      </c>
      <c r="Z909">
        <v>-9.9269449999999995E-3</v>
      </c>
      <c r="AA909">
        <v>0.79401820000000001</v>
      </c>
      <c r="AB909">
        <v>25</v>
      </c>
      <c r="AC909">
        <v>36.353399999999901</v>
      </c>
      <c r="AD909">
        <v>-1.0265469</v>
      </c>
      <c r="AE909">
        <v>-42.3947</v>
      </c>
      <c r="AF909">
        <v>34.063231884456897</v>
      </c>
      <c r="AG909">
        <v>-1.0265469</v>
      </c>
      <c r="AH909">
        <v>44.232001806863899</v>
      </c>
      <c r="AI909">
        <v>91.053415855474</v>
      </c>
      <c r="AJ909">
        <v>52.399996049675899</v>
      </c>
      <c r="AK909">
        <v>55.837510230978097</v>
      </c>
      <c r="AL909">
        <v>77.6109488662822</v>
      </c>
      <c r="AM909">
        <v>68.220242979200094</v>
      </c>
      <c r="AN909">
        <v>1.00000005936334</v>
      </c>
    </row>
    <row r="910" spans="1:40" x14ac:dyDescent="0.25">
      <c r="A910" t="str">
        <f>"20190303170736227"</f>
        <v>20190303170736227</v>
      </c>
      <c r="B910" t="str">
        <f>"1551604056213652"</f>
        <v>1551604056213652</v>
      </c>
      <c r="C910" t="s">
        <v>40</v>
      </c>
      <c r="D910">
        <v>4.9475030000000002</v>
      </c>
      <c r="E910">
        <v>0.62307319999999999</v>
      </c>
      <c r="F910" t="s">
        <v>51</v>
      </c>
      <c r="G910">
        <v>-168.4</v>
      </c>
      <c r="H910">
        <v>4.9773310000000001E-2</v>
      </c>
      <c r="I910">
        <v>322.15910000000002</v>
      </c>
      <c r="J910">
        <v>-204.50470000000001</v>
      </c>
      <c r="K910">
        <v>1.1167469999999999</v>
      </c>
      <c r="L910">
        <v>365.08949999999999</v>
      </c>
      <c r="M910">
        <v>0.97734169999999998</v>
      </c>
      <c r="N910">
        <v>-1.4196540000000001E-2</v>
      </c>
      <c r="O910">
        <v>-0.21119109999999999</v>
      </c>
      <c r="P910">
        <v>0.81141569999999996</v>
      </c>
      <c r="Q910">
        <v>0.2036492</v>
      </c>
      <c r="R910">
        <v>-0.54784270000000002</v>
      </c>
      <c r="S910">
        <v>2.0720670000000001</v>
      </c>
      <c r="T910">
        <v>-6.0829399999999999E-2</v>
      </c>
      <c r="U910">
        <v>-2.450348</v>
      </c>
      <c r="V910">
        <v>0.36657659999999997</v>
      </c>
      <c r="W910">
        <v>0.2123159</v>
      </c>
      <c r="X910">
        <v>0.90583860000000005</v>
      </c>
      <c r="Y910">
        <v>0.6097726</v>
      </c>
      <c r="Z910">
        <v>-1.001937E-2</v>
      </c>
      <c r="AA910">
        <v>0.79251309999999997</v>
      </c>
      <c r="AB910">
        <v>25</v>
      </c>
      <c r="AC910">
        <v>36.104700000000001</v>
      </c>
      <c r="AD910">
        <v>-1.06697369</v>
      </c>
      <c r="AE910">
        <v>-42.930399999999899</v>
      </c>
      <c r="AF910">
        <v>34.323720336270704</v>
      </c>
      <c r="AG910">
        <v>-1.06697369</v>
      </c>
      <c r="AH910">
        <v>44.341574147531901</v>
      </c>
      <c r="AI910">
        <v>91.0900901976011</v>
      </c>
      <c r="AJ910">
        <v>52.257428522020398</v>
      </c>
      <c r="AK910">
        <v>56.084145785228401</v>
      </c>
      <c r="AL910">
        <v>77.741895564318199</v>
      </c>
      <c r="AM910">
        <v>67.967705615846199</v>
      </c>
      <c r="AN910">
        <v>1.00000000715516</v>
      </c>
    </row>
    <row r="911" spans="1:40" x14ac:dyDescent="0.25">
      <c r="A911" t="str">
        <f>"20190303170736261"</f>
        <v>20190303170736261</v>
      </c>
      <c r="B911" t="str">
        <f>"1551604056252692"</f>
        <v>1551604056252692</v>
      </c>
      <c r="C911" t="s">
        <v>40</v>
      </c>
      <c r="D911">
        <v>4.9319629999999997</v>
      </c>
      <c r="E911">
        <v>0.62247219999999903</v>
      </c>
      <c r="F911" t="s">
        <v>51</v>
      </c>
      <c r="G911">
        <v>-168.4</v>
      </c>
      <c r="H911">
        <v>-2.0325570000000001E-2</v>
      </c>
      <c r="I911">
        <v>321.36090000000002</v>
      </c>
      <c r="J911">
        <v>-204.13460000000001</v>
      </c>
      <c r="K911">
        <v>1.1163400000000001</v>
      </c>
      <c r="L911">
        <v>364.99590000000001</v>
      </c>
      <c r="M911">
        <v>0.97486790000000001</v>
      </c>
      <c r="N911">
        <v>-1.4251639999999999E-2</v>
      </c>
      <c r="O911">
        <v>-0.22232730000000001</v>
      </c>
      <c r="P911">
        <v>0.80375509999999994</v>
      </c>
      <c r="Q911">
        <v>0.20431959999999999</v>
      </c>
      <c r="R911">
        <v>-0.55877659999999996</v>
      </c>
      <c r="S911">
        <v>2.0428470000000001</v>
      </c>
      <c r="T911">
        <v>-6.4336420000000005E-2</v>
      </c>
      <c r="U911">
        <v>-2.4742130000000002</v>
      </c>
      <c r="V911">
        <v>0.36877290000000001</v>
      </c>
      <c r="W911">
        <v>0.21262339999999999</v>
      </c>
      <c r="X911">
        <v>0.90487450000000003</v>
      </c>
      <c r="Y911">
        <v>0.61003229999999997</v>
      </c>
      <c r="Z911">
        <v>-1.009497E-2</v>
      </c>
      <c r="AA911">
        <v>0.79231219999999902</v>
      </c>
      <c r="AB911">
        <v>25</v>
      </c>
      <c r="AC911">
        <v>35.7346</v>
      </c>
      <c r="AD911">
        <v>-1.1366655699999999</v>
      </c>
      <c r="AE911">
        <v>-43.634999999999899</v>
      </c>
      <c r="AF911">
        <v>34.583051535529002</v>
      </c>
      <c r="AG911">
        <v>-1.1366655699999999</v>
      </c>
      <c r="AH911">
        <v>44.524206504759697</v>
      </c>
      <c r="AI911">
        <v>91.155028614328899</v>
      </c>
      <c r="AJ911">
        <v>52.162629598917803</v>
      </c>
      <c r="AK911">
        <v>56.388690594884103</v>
      </c>
      <c r="AL911">
        <v>77.723865495029202</v>
      </c>
      <c r="AM911">
        <v>67.827120135979996</v>
      </c>
      <c r="AN911">
        <v>1.0000000113761101</v>
      </c>
    </row>
    <row r="912" spans="1:40" x14ac:dyDescent="0.25">
      <c r="A912" t="str">
        <f>"20190303170736282"</f>
        <v>20190303170736282</v>
      </c>
      <c r="B912" t="str">
        <f>"1551604056273187"</f>
        <v>1551604056273187</v>
      </c>
      <c r="C912" t="s">
        <v>40</v>
      </c>
      <c r="D912">
        <v>4.9349600000000002</v>
      </c>
      <c r="E912">
        <v>0.62218709999999999</v>
      </c>
      <c r="F912" t="s">
        <v>51</v>
      </c>
      <c r="G912">
        <v>-168.4</v>
      </c>
      <c r="H912">
        <v>0.10150820000000001</v>
      </c>
      <c r="I912">
        <v>320.57209999999998</v>
      </c>
      <c r="J912">
        <v>-203.8931</v>
      </c>
      <c r="K912">
        <v>1.1160730000000001</v>
      </c>
      <c r="L912">
        <v>364.93189999999998</v>
      </c>
      <c r="M912">
        <v>0.97306919999999997</v>
      </c>
      <c r="N912">
        <v>-1.429193E-2</v>
      </c>
      <c r="O912">
        <v>-0.23006969999999999</v>
      </c>
      <c r="P912">
        <v>0.79822660000000001</v>
      </c>
      <c r="Q912">
        <v>0.20563219999999999</v>
      </c>
      <c r="R912">
        <v>-0.56617130000000004</v>
      </c>
      <c r="S912">
        <v>2.009903</v>
      </c>
      <c r="T912">
        <v>-5.7079199999999899E-2</v>
      </c>
      <c r="U912">
        <v>-2.4986269999999999</v>
      </c>
      <c r="V912">
        <v>0.37017040000000001</v>
      </c>
      <c r="W912">
        <v>0.21370149999999999</v>
      </c>
      <c r="X912">
        <v>0.90404960000000001</v>
      </c>
      <c r="Y912">
        <v>0.61387380000000003</v>
      </c>
      <c r="Z912">
        <v>-9.9085739999999999E-3</v>
      </c>
      <c r="AA912">
        <v>0.78934199999999999</v>
      </c>
      <c r="AB912">
        <v>25</v>
      </c>
      <c r="AC912">
        <v>35.493099999999998</v>
      </c>
      <c r="AD912">
        <v>-1.0145647999999901</v>
      </c>
      <c r="AE912">
        <v>-44.3598</v>
      </c>
      <c r="AF912">
        <v>34.991683676875397</v>
      </c>
      <c r="AG912">
        <v>-1.0145647999999901</v>
      </c>
      <c r="AH912">
        <v>44.7333922038721</v>
      </c>
      <c r="AI912">
        <v>91.023429877280194</v>
      </c>
      <c r="AJ912">
        <v>51.966509585306099</v>
      </c>
      <c r="AK912">
        <v>56.802496831929403</v>
      </c>
      <c r="AL912">
        <v>77.660642534189506</v>
      </c>
      <c r="AM912">
        <v>67.732958021139197</v>
      </c>
      <c r="AN912">
        <v>1.00000006769928</v>
      </c>
    </row>
    <row r="913" spans="1:40" x14ac:dyDescent="0.25">
      <c r="A913" t="str">
        <f>"20190303170736306"</f>
        <v>20190303170736306</v>
      </c>
      <c r="B913" t="str">
        <f>"1551604056293685"</f>
        <v>1551604056293685</v>
      </c>
      <c r="C913" t="s">
        <v>40</v>
      </c>
      <c r="D913">
        <v>4.9218840000000004</v>
      </c>
      <c r="E913">
        <v>0.62197460000000004</v>
      </c>
      <c r="F913" t="s">
        <v>51</v>
      </c>
      <c r="G913">
        <v>-168.4</v>
      </c>
      <c r="H913">
        <v>0.15655720000000001</v>
      </c>
      <c r="I913">
        <v>320.05579999999998</v>
      </c>
      <c r="J913">
        <v>-203.65029999999999</v>
      </c>
      <c r="K913">
        <v>1.115812</v>
      </c>
      <c r="L913">
        <v>364.86500000000001</v>
      </c>
      <c r="M913">
        <v>0.97109880000000004</v>
      </c>
      <c r="N913">
        <v>-1.433368E-2</v>
      </c>
      <c r="O913">
        <v>-0.23824809999999999</v>
      </c>
      <c r="P913">
        <v>0.79261649999999995</v>
      </c>
      <c r="Q913">
        <v>0.20595340000000001</v>
      </c>
      <c r="R913">
        <v>-0.57388419999999996</v>
      </c>
      <c r="S913">
        <v>1.9887239999999999</v>
      </c>
      <c r="T913">
        <v>-5.3762560000000001E-2</v>
      </c>
      <c r="U913">
        <v>-2.514465</v>
      </c>
      <c r="V913">
        <v>0.37149389999999999</v>
      </c>
      <c r="W913">
        <v>0.2138002</v>
      </c>
      <c r="X913">
        <v>0.90348309999999998</v>
      </c>
      <c r="Y913">
        <v>0.61375400000000002</v>
      </c>
      <c r="Z913">
        <v>-9.781662E-3</v>
      </c>
      <c r="AA913">
        <v>0.78943669999999899</v>
      </c>
      <c r="AB913">
        <v>25</v>
      </c>
      <c r="AC913">
        <v>35.250299999999903</v>
      </c>
      <c r="AD913">
        <v>-0.95925479999999996</v>
      </c>
      <c r="AE913">
        <v>-44.809199999999997</v>
      </c>
      <c r="AF913">
        <v>35.109503481644502</v>
      </c>
      <c r="AG913">
        <v>-0.95925479999999996</v>
      </c>
      <c r="AH913">
        <v>44.899123172260502</v>
      </c>
      <c r="AI913">
        <v>90.964199553123095</v>
      </c>
      <c r="AJ913">
        <v>51.9758680917558</v>
      </c>
      <c r="AK913">
        <v>57.004637233621203</v>
      </c>
      <c r="AL913">
        <v>77.654852520106004</v>
      </c>
      <c r="AM913">
        <v>67.648530589128498</v>
      </c>
      <c r="AN913">
        <v>0.999999977621429</v>
      </c>
    </row>
    <row r="914" spans="1:40" x14ac:dyDescent="0.25">
      <c r="A914" t="str">
        <f>"20190303170736328"</f>
        <v>20190303170736328</v>
      </c>
      <c r="B914" t="str">
        <f>"1551604056322964"</f>
        <v>1551604056322964</v>
      </c>
      <c r="C914" t="s">
        <v>40</v>
      </c>
      <c r="D914">
        <v>4.8847899999999997</v>
      </c>
      <c r="E914">
        <v>0.62171449999999995</v>
      </c>
      <c r="F914" t="s">
        <v>51</v>
      </c>
      <c r="G914">
        <v>-168.4</v>
      </c>
      <c r="H914">
        <v>0.161434299999999</v>
      </c>
      <c r="I914">
        <v>319.48469999999998</v>
      </c>
      <c r="J914">
        <v>-203.40559999999999</v>
      </c>
      <c r="K914">
        <v>1.115543</v>
      </c>
      <c r="L914">
        <v>364.79480000000001</v>
      </c>
      <c r="M914">
        <v>0.96892520000000004</v>
      </c>
      <c r="N914">
        <v>-1.437811E-2</v>
      </c>
      <c r="O914">
        <v>-0.2469364</v>
      </c>
      <c r="P914">
        <v>0.78675869999999903</v>
      </c>
      <c r="Q914">
        <v>0.2054821</v>
      </c>
      <c r="R914">
        <v>-0.58205519999999999</v>
      </c>
      <c r="S914">
        <v>1.9661249999999999</v>
      </c>
      <c r="T914">
        <v>-5.323112E-2</v>
      </c>
      <c r="U914">
        <v>-2.5311279999999998</v>
      </c>
      <c r="V914">
        <v>0.37285740000000001</v>
      </c>
      <c r="W914">
        <v>0.2131033</v>
      </c>
      <c r="X914">
        <v>0.90308600000000006</v>
      </c>
      <c r="Y914">
        <v>0.61359680000000005</v>
      </c>
      <c r="Z914">
        <v>-9.7459220000000006E-3</v>
      </c>
      <c r="AA914">
        <v>0.78955940000000002</v>
      </c>
      <c r="AB914">
        <v>25</v>
      </c>
      <c r="AC914">
        <v>35.005599999999902</v>
      </c>
      <c r="AD914">
        <v>-0.95410870000000003</v>
      </c>
      <c r="AE914">
        <v>-45.310099999999998</v>
      </c>
      <c r="AF914">
        <v>35.251791053329001</v>
      </c>
      <c r="AG914">
        <v>-0.95410870000000003</v>
      </c>
      <c r="AH914">
        <v>45.0986533293012</v>
      </c>
      <c r="AI914">
        <v>90.954926760860602</v>
      </c>
      <c r="AJ914">
        <v>51.986700386039502</v>
      </c>
      <c r="AK914">
        <v>57.249346092295902</v>
      </c>
      <c r="AL914">
        <v>77.695724046818199</v>
      </c>
      <c r="AM914">
        <v>67.5657227755826</v>
      </c>
      <c r="AN914">
        <v>0.99999999030082498</v>
      </c>
    </row>
    <row r="915" spans="1:40" x14ac:dyDescent="0.25">
      <c r="A915" t="str">
        <f>"20190303170736352"</f>
        <v>20190303170736352</v>
      </c>
      <c r="B915" t="str">
        <f>"1551604056343460"</f>
        <v>1551604056343460</v>
      </c>
      <c r="C915" t="s">
        <v>40</v>
      </c>
      <c r="D915">
        <v>4.8850769999999999</v>
      </c>
      <c r="E915">
        <v>0.62154900000000002</v>
      </c>
      <c r="F915" t="s">
        <v>51</v>
      </c>
      <c r="G915">
        <v>-168.4</v>
      </c>
      <c r="H915">
        <v>0.17591579999999901</v>
      </c>
      <c r="I915">
        <v>318.80450000000002</v>
      </c>
      <c r="J915">
        <v>-203.1533</v>
      </c>
      <c r="K915">
        <v>1.115243</v>
      </c>
      <c r="L915">
        <v>364.71929999999998</v>
      </c>
      <c r="M915">
        <v>0.9664585</v>
      </c>
      <c r="N915">
        <v>-1.443203E-2</v>
      </c>
      <c r="O915">
        <v>-0.25641779999999997</v>
      </c>
      <c r="P915">
        <v>0.78159889999999999</v>
      </c>
      <c r="Q915">
        <v>0.20499400000000001</v>
      </c>
      <c r="R915">
        <v>-0.58913599999999999</v>
      </c>
      <c r="S915">
        <v>1.9405520000000001</v>
      </c>
      <c r="T915">
        <v>-5.2088379999999997E-2</v>
      </c>
      <c r="U915">
        <v>-2.5495000000000001</v>
      </c>
      <c r="V915">
        <v>0.37227500000000002</v>
      </c>
      <c r="W915">
        <v>0.2124124</v>
      </c>
      <c r="X915">
        <v>0.90348899999999999</v>
      </c>
      <c r="Y915">
        <v>0.61361899999999903</v>
      </c>
      <c r="Z915">
        <v>-9.7043860000000006E-3</v>
      </c>
      <c r="AA915">
        <v>0.78954259999999998</v>
      </c>
      <c r="AB915">
        <v>25</v>
      </c>
      <c r="AC915">
        <v>34.753300000000003</v>
      </c>
      <c r="AD915">
        <v>-0.93932719999999903</v>
      </c>
      <c r="AE915">
        <v>-45.9147999999999</v>
      </c>
      <c r="AF915">
        <v>35.457635806765602</v>
      </c>
      <c r="AG915">
        <v>-0.93932719999999903</v>
      </c>
      <c r="AH915">
        <v>45.3536417042002</v>
      </c>
      <c r="AI915">
        <v>90.934785249613995</v>
      </c>
      <c r="AJ915">
        <v>51.981579508901604</v>
      </c>
      <c r="AK915">
        <v>57.576723495062197</v>
      </c>
      <c r="AL915">
        <v>77.736237850524603</v>
      </c>
      <c r="AM915">
        <v>67.606304223159299</v>
      </c>
      <c r="AN915">
        <v>1.0000000382098699</v>
      </c>
    </row>
    <row r="916" spans="1:40" x14ac:dyDescent="0.25">
      <c r="A916" t="str">
        <f>"20190303170736372"</f>
        <v>20190303170736372</v>
      </c>
      <c r="B916" t="str">
        <f>"1551604056362980"</f>
        <v>1551604056362980</v>
      </c>
      <c r="C916" t="s">
        <v>40</v>
      </c>
      <c r="D916">
        <v>4.8725310000000004</v>
      </c>
      <c r="E916">
        <v>0.62145629999999996</v>
      </c>
      <c r="F916" t="s">
        <v>51</v>
      </c>
      <c r="G916">
        <v>-168.4</v>
      </c>
      <c r="H916">
        <v>0.18754970000000001</v>
      </c>
      <c r="I916">
        <v>318.18790000000001</v>
      </c>
      <c r="J916">
        <v>-202.93029999999999</v>
      </c>
      <c r="K916">
        <v>1.114975</v>
      </c>
      <c r="L916">
        <v>364.6499</v>
      </c>
      <c r="M916">
        <v>0.96408360000000004</v>
      </c>
      <c r="N916">
        <v>-1.448646E-2</v>
      </c>
      <c r="O916">
        <v>-0.26520359999999998</v>
      </c>
      <c r="P916">
        <v>0.77794019999999897</v>
      </c>
      <c r="Q916">
        <v>0.20533460000000001</v>
      </c>
      <c r="R916">
        <v>-0.59384110000000001</v>
      </c>
      <c r="S916">
        <v>1.9170229999999999</v>
      </c>
      <c r="T916">
        <v>-5.1172019999999999E-2</v>
      </c>
      <c r="U916">
        <v>-2.5667110000000002</v>
      </c>
      <c r="V916">
        <v>0.36966280000000001</v>
      </c>
      <c r="W916">
        <v>0.21261459999999999</v>
      </c>
      <c r="X916">
        <v>0.90451340000000002</v>
      </c>
      <c r="Y916">
        <v>0.61361909999999997</v>
      </c>
      <c r="Z916">
        <v>-9.6772379999999995E-3</v>
      </c>
      <c r="AA916">
        <v>0.78954290000000005</v>
      </c>
      <c r="AB916">
        <v>25</v>
      </c>
      <c r="AC916">
        <v>34.530299999999897</v>
      </c>
      <c r="AD916">
        <v>-0.92742530000000001</v>
      </c>
      <c r="AE916">
        <v>-46.461999999999897</v>
      </c>
      <c r="AF916">
        <v>35.630287004919403</v>
      </c>
      <c r="AG916">
        <v>-0.92742530000000001</v>
      </c>
      <c r="AH916">
        <v>45.605067007259002</v>
      </c>
      <c r="AI916">
        <v>90.918089065417007</v>
      </c>
      <c r="AJ916">
        <v>52.000231191004097</v>
      </c>
      <c r="AK916">
        <v>57.880908825592897</v>
      </c>
      <c r="AL916">
        <v>77.724381632446494</v>
      </c>
      <c r="AM916">
        <v>67.770807376846193</v>
      </c>
      <c r="AN916">
        <v>1.0000000223082799</v>
      </c>
    </row>
    <row r="917" spans="1:40" x14ac:dyDescent="0.25">
      <c r="A917" t="str">
        <f>"20190303170736395"</f>
        <v>20190303170736395</v>
      </c>
      <c r="B917" t="str">
        <f>"1551604056383477"</f>
        <v>1551604056383477</v>
      </c>
      <c r="C917" t="s">
        <v>40</v>
      </c>
      <c r="D917">
        <v>4.8243640000000001</v>
      </c>
      <c r="E917">
        <v>0.62137039999999999</v>
      </c>
      <c r="F917" t="s">
        <v>51</v>
      </c>
      <c r="G917">
        <v>-168.4</v>
      </c>
      <c r="H917">
        <v>0.25199519999999997</v>
      </c>
      <c r="I917">
        <v>317.79919999999998</v>
      </c>
      <c r="J917">
        <v>-202.69450000000001</v>
      </c>
      <c r="K917">
        <v>1.1147</v>
      </c>
      <c r="L917">
        <v>364.57350000000002</v>
      </c>
      <c r="M917">
        <v>0.96137209999999995</v>
      </c>
      <c r="N917">
        <v>-1.454658E-2</v>
      </c>
      <c r="O917">
        <v>-0.274868</v>
      </c>
      <c r="P917">
        <v>0.77322449999999998</v>
      </c>
      <c r="Q917">
        <v>0.20659430000000001</v>
      </c>
      <c r="R917">
        <v>-0.59953630000000002</v>
      </c>
      <c r="S917">
        <v>1.9005129999999999</v>
      </c>
      <c r="T917">
        <v>-4.7497270000000001E-2</v>
      </c>
      <c r="U917">
        <v>-2.5786129999999998</v>
      </c>
      <c r="V917">
        <v>0.36746899999999999</v>
      </c>
      <c r="W917">
        <v>0.21373130000000001</v>
      </c>
      <c r="X917">
        <v>0.9051439</v>
      </c>
      <c r="Y917">
        <v>0.61071969999999898</v>
      </c>
      <c r="Z917">
        <v>-9.5502130000000001E-3</v>
      </c>
      <c r="AA917">
        <v>0.79178919999999997</v>
      </c>
      <c r="AB917">
        <v>25</v>
      </c>
      <c r="AC917">
        <v>34.294499999999999</v>
      </c>
      <c r="AD917">
        <v>-0.86270479999999905</v>
      </c>
      <c r="AE917">
        <v>-46.774299999999997</v>
      </c>
      <c r="AF917">
        <v>35.536938926487998</v>
      </c>
      <c r="AG917">
        <v>-0.86270479999999905</v>
      </c>
      <c r="AH917">
        <v>45.821237621637302</v>
      </c>
      <c r="AI917">
        <v>90.852362341497098</v>
      </c>
      <c r="AJ917">
        <v>52.204416073805298</v>
      </c>
      <c r="AK917">
        <v>57.9931384304681</v>
      </c>
      <c r="AL917">
        <v>77.658893979347994</v>
      </c>
      <c r="AM917">
        <v>67.903903072845296</v>
      </c>
      <c r="AN917">
        <v>1.0000000071339401</v>
      </c>
    </row>
    <row r="918" spans="1:40" x14ac:dyDescent="0.25">
      <c r="A918" t="str">
        <f>"20190303170736417"</f>
        <v>20190303170736417</v>
      </c>
      <c r="B918" t="str">
        <f>"1551604056402996"</f>
        <v>1551604056402996</v>
      </c>
      <c r="C918" t="s">
        <v>40</v>
      </c>
      <c r="D918">
        <v>4.8281109999999998</v>
      </c>
      <c r="E918">
        <v>0.62123640000000002</v>
      </c>
      <c r="F918" t="s">
        <v>51</v>
      </c>
      <c r="G918">
        <v>-168.40010000000001</v>
      </c>
      <c r="H918">
        <v>0.35464109999999999</v>
      </c>
      <c r="I918">
        <v>317.3202</v>
      </c>
      <c r="J918">
        <v>-202.4597</v>
      </c>
      <c r="K918">
        <v>1.1144400000000001</v>
      </c>
      <c r="L918">
        <v>364.49439999999998</v>
      </c>
      <c r="M918">
        <v>0.95845389999999997</v>
      </c>
      <c r="N918">
        <v>-1.460476E-2</v>
      </c>
      <c r="O918">
        <v>-0.28487370000000001</v>
      </c>
      <c r="P918">
        <v>0.76819040000000005</v>
      </c>
      <c r="Q918">
        <v>0.2052369</v>
      </c>
      <c r="R918">
        <v>-0.60643349999999996</v>
      </c>
      <c r="S918">
        <v>1.881195</v>
      </c>
      <c r="T918">
        <v>-4.1692020000000003E-2</v>
      </c>
      <c r="U918">
        <v>-2.592041</v>
      </c>
      <c r="V918">
        <v>0.36613950000000001</v>
      </c>
      <c r="W918">
        <v>0.21223429999999999</v>
      </c>
      <c r="X918">
        <v>0.90603449999999996</v>
      </c>
      <c r="Y918">
        <v>0.60829929999999999</v>
      </c>
      <c r="Z918">
        <v>-9.4328729999999996E-3</v>
      </c>
      <c r="AA918">
        <v>0.79365169999999996</v>
      </c>
      <c r="AB918">
        <v>25</v>
      </c>
      <c r="AC918">
        <v>34.059599999999897</v>
      </c>
      <c r="AD918">
        <v>-0.75979889999999894</v>
      </c>
      <c r="AE918">
        <v>-47.1741999999999</v>
      </c>
      <c r="AF918">
        <v>35.509340893731697</v>
      </c>
      <c r="AG918">
        <v>-0.75979889999999894</v>
      </c>
      <c r="AH918">
        <v>46.080298540832402</v>
      </c>
      <c r="AI918">
        <v>90.748275819990894</v>
      </c>
      <c r="AJ918">
        <v>52.3822604296248</v>
      </c>
      <c r="AK918">
        <v>58.179760215111997</v>
      </c>
      <c r="AL918">
        <v>77.746680137787706</v>
      </c>
      <c r="AM918">
        <v>67.995770597778105</v>
      </c>
      <c r="AN918">
        <v>1.00000002337349</v>
      </c>
    </row>
    <row r="919" spans="1:40" x14ac:dyDescent="0.25">
      <c r="A919" t="str">
        <f>"20190303170736440"</f>
        <v>20190303170736440</v>
      </c>
      <c r="B919" t="str">
        <f>"1551604056433252"</f>
        <v>1551604056433252</v>
      </c>
      <c r="C919" t="s">
        <v>40</v>
      </c>
      <c r="D919">
        <v>4.8865080000000001</v>
      </c>
      <c r="E919">
        <v>0.62118739999999995</v>
      </c>
      <c r="F919" t="s">
        <v>51</v>
      </c>
      <c r="G919">
        <v>-168.75819999999999</v>
      </c>
      <c r="H919">
        <v>0.29955969999999998</v>
      </c>
      <c r="I919">
        <v>317.19709999999998</v>
      </c>
      <c r="J919">
        <v>-202.21680000000001</v>
      </c>
      <c r="K919">
        <v>1.1141799999999999</v>
      </c>
      <c r="L919">
        <v>364.4092</v>
      </c>
      <c r="M919">
        <v>0.95518550000000002</v>
      </c>
      <c r="N919">
        <v>-1.4665279999999999E-2</v>
      </c>
      <c r="O919">
        <v>-0.29564459999999998</v>
      </c>
      <c r="P919">
        <v>0.76264030000000005</v>
      </c>
      <c r="Q919">
        <v>0.2030835</v>
      </c>
      <c r="R919">
        <v>-0.61411519999999897</v>
      </c>
      <c r="S919">
        <v>1.858368</v>
      </c>
      <c r="T919">
        <v>-4.4933800000000003E-2</v>
      </c>
      <c r="U919">
        <v>-2.608063</v>
      </c>
      <c r="V919">
        <v>0.36495810000000001</v>
      </c>
      <c r="W919">
        <v>0.2099444</v>
      </c>
      <c r="X919">
        <v>0.90704410000000002</v>
      </c>
      <c r="Y919">
        <v>0.60626199999999997</v>
      </c>
      <c r="Z919">
        <v>-9.4464609999999997E-3</v>
      </c>
      <c r="AA919">
        <v>0.7952089</v>
      </c>
      <c r="AB919">
        <v>25</v>
      </c>
      <c r="AC919">
        <v>33.458599999999997</v>
      </c>
      <c r="AD919">
        <v>-0.81462029999999896</v>
      </c>
      <c r="AE919">
        <v>-47.2121</v>
      </c>
      <c r="AF919">
        <v>35.201266532153802</v>
      </c>
      <c r="AG919">
        <v>-0.81462029999999896</v>
      </c>
      <c r="AH919">
        <v>45.913008144502101</v>
      </c>
      <c r="AI919">
        <v>90.806701093935501</v>
      </c>
      <c r="AJ919">
        <v>52.522803725495798</v>
      </c>
      <c r="AK919">
        <v>57.8601511281989</v>
      </c>
      <c r="AL919">
        <v>77.8809064372807</v>
      </c>
      <c r="AM919">
        <v>68.082127103199895</v>
      </c>
      <c r="AN919">
        <v>1.00000003259588</v>
      </c>
    </row>
    <row r="920" spans="1:40" x14ac:dyDescent="0.25">
      <c r="A920" t="str">
        <f>"20190303170736461"</f>
        <v>20190303170736461</v>
      </c>
      <c r="B920" t="str">
        <f>"1551604056452772"</f>
        <v>1551604056452772</v>
      </c>
      <c r="C920" t="s">
        <v>40</v>
      </c>
      <c r="D920">
        <v>4.8940109999999999</v>
      </c>
      <c r="E920">
        <v>0.63358110000000001</v>
      </c>
      <c r="F920" t="s">
        <v>51</v>
      </c>
      <c r="G920">
        <v>-168.9819</v>
      </c>
      <c r="H920">
        <v>0.26407920000000001</v>
      </c>
      <c r="I920">
        <v>316.71359999999999</v>
      </c>
      <c r="J920">
        <v>-201.99520000000001</v>
      </c>
      <c r="K920">
        <v>1.113939</v>
      </c>
      <c r="L920">
        <v>364.32830000000001</v>
      </c>
      <c r="M920">
        <v>0.95196179999999997</v>
      </c>
      <c r="N920">
        <v>-1.472505E-2</v>
      </c>
      <c r="O920">
        <v>-0.30586249999999998</v>
      </c>
      <c r="P920">
        <v>0.75688659999999996</v>
      </c>
      <c r="Q920">
        <v>0.2026309</v>
      </c>
      <c r="R920">
        <v>-0.62134019999999901</v>
      </c>
      <c r="S920">
        <v>1.830643</v>
      </c>
      <c r="T920">
        <v>-4.6824810000000001E-2</v>
      </c>
      <c r="U920">
        <v>-2.627167</v>
      </c>
      <c r="V920">
        <v>0.36393789999999998</v>
      </c>
      <c r="W920">
        <v>0.20936399999999999</v>
      </c>
      <c r="X920">
        <v>0.9075879</v>
      </c>
      <c r="Y920">
        <v>0.60609380000000002</v>
      </c>
      <c r="Z920">
        <v>-9.4652320000000005E-3</v>
      </c>
      <c r="AA920">
        <v>0.79533690000000001</v>
      </c>
      <c r="AB920">
        <v>24</v>
      </c>
      <c r="AC920">
        <v>33.013300000000001</v>
      </c>
      <c r="AD920">
        <v>-0.84985979999999905</v>
      </c>
      <c r="AE920">
        <v>-47.614699999999999</v>
      </c>
      <c r="AF920">
        <v>35.226086843154</v>
      </c>
      <c r="AG920">
        <v>-0.84985979999999905</v>
      </c>
      <c r="AH920">
        <v>45.986045507155197</v>
      </c>
      <c r="AI920">
        <v>90.840531677630693</v>
      </c>
      <c r="AJ920">
        <v>52.547275887244901</v>
      </c>
      <c r="AK920">
        <v>57.933719346743501</v>
      </c>
      <c r="AL920">
        <v>77.914915604605298</v>
      </c>
      <c r="AM920">
        <v>68.149478290389993</v>
      </c>
      <c r="AN920">
        <v>0.999999937889408</v>
      </c>
    </row>
    <row r="921" spans="1:40" x14ac:dyDescent="0.25">
      <c r="A921" t="str">
        <f>"20190303170736484"</f>
        <v>20190303170736484</v>
      </c>
      <c r="B921" t="str">
        <f>"1551604056473268"</f>
        <v>1551604056473268</v>
      </c>
      <c r="C921" t="s">
        <v>40</v>
      </c>
      <c r="D921">
        <v>4.8676209999999998</v>
      </c>
      <c r="E921">
        <v>0.63452569999999997</v>
      </c>
      <c r="F921" t="s">
        <v>52</v>
      </c>
      <c r="G921">
        <v>-157.25</v>
      </c>
      <c r="H921">
        <v>0.62789729999999999</v>
      </c>
      <c r="I921">
        <v>294.09120000000001</v>
      </c>
      <c r="J921">
        <v>-201.7604</v>
      </c>
      <c r="K921">
        <v>1.1136779999999999</v>
      </c>
      <c r="L921">
        <v>364.23919999999998</v>
      </c>
      <c r="M921">
        <v>0.94827910000000004</v>
      </c>
      <c r="N921">
        <v>-1.4794689999999999E-2</v>
      </c>
      <c r="O921">
        <v>-0.31709349999999997</v>
      </c>
      <c r="P921">
        <v>0.74949339999999998</v>
      </c>
      <c r="Q921">
        <v>0.2035381</v>
      </c>
      <c r="R921">
        <v>-0.62994619999999901</v>
      </c>
      <c r="S921">
        <v>1.7340850000000001</v>
      </c>
      <c r="T921">
        <v>-1.88334E-2</v>
      </c>
      <c r="U921">
        <v>-2.7220149999999999</v>
      </c>
      <c r="V921">
        <v>0.36380630000000003</v>
      </c>
      <c r="W921">
        <v>0.21010670000000001</v>
      </c>
      <c r="X921">
        <v>0.90746910000000003</v>
      </c>
      <c r="Y921">
        <v>0.62940600000000002</v>
      </c>
      <c r="Z921">
        <v>-9.7717069999999993E-3</v>
      </c>
      <c r="AA921">
        <v>0.77701519999999902</v>
      </c>
      <c r="AB921">
        <v>24</v>
      </c>
      <c r="AC921">
        <v>44.510399999999997</v>
      </c>
      <c r="AD921">
        <v>-0.48578070000000001</v>
      </c>
      <c r="AE921">
        <v>-70.147999999999897</v>
      </c>
      <c r="AF921">
        <v>52.409857100422997</v>
      </c>
      <c r="AG921">
        <v>-0.48578070000000001</v>
      </c>
      <c r="AH921">
        <v>64.456594304233505</v>
      </c>
      <c r="AI921">
        <v>90.335033243723004</v>
      </c>
      <c r="AJ921">
        <v>50.885332655544502</v>
      </c>
      <c r="AK921">
        <v>83.076360376919496</v>
      </c>
      <c r="AL921">
        <v>77.8713948946248</v>
      </c>
      <c r="AM921">
        <v>68.154045284118695</v>
      </c>
      <c r="AN921">
        <v>1.0000000083796901</v>
      </c>
    </row>
    <row r="922" spans="1:40" x14ac:dyDescent="0.25">
      <c r="A922" t="str">
        <f>"20190303170736506"</f>
        <v>20190303170736506</v>
      </c>
      <c r="B922" t="str">
        <f>"1551604056492788"</f>
        <v>1551604056492788</v>
      </c>
      <c r="C922" t="s">
        <v>40</v>
      </c>
      <c r="D922">
        <v>4.8713069999999998</v>
      </c>
      <c r="E922">
        <v>0.63533430000000002</v>
      </c>
      <c r="F922" t="s">
        <v>52</v>
      </c>
      <c r="G922">
        <v>-157.25</v>
      </c>
      <c r="H922">
        <v>0.79863549999999905</v>
      </c>
      <c r="I922">
        <v>292.18860000000001</v>
      </c>
      <c r="J922">
        <v>-201.52590000000001</v>
      </c>
      <c r="K922">
        <v>1.113421</v>
      </c>
      <c r="L922">
        <v>364.1465</v>
      </c>
      <c r="M922">
        <v>0.94430329999999996</v>
      </c>
      <c r="N922">
        <v>-1.486997E-2</v>
      </c>
      <c r="O922">
        <v>-0.32874059999999999</v>
      </c>
      <c r="P922">
        <v>0.74059549999999996</v>
      </c>
      <c r="Q922">
        <v>0.20450489999999999</v>
      </c>
      <c r="R922">
        <v>-0.64007550000000002</v>
      </c>
      <c r="S922">
        <v>1.6970670000000001</v>
      </c>
      <c r="T922">
        <v>-1.200879E-2</v>
      </c>
      <c r="U922">
        <v>-2.7471009999999998</v>
      </c>
      <c r="V922">
        <v>0.36522080000000001</v>
      </c>
      <c r="W922">
        <v>0.210867</v>
      </c>
      <c r="X922">
        <v>0.90672430000000004</v>
      </c>
      <c r="Y922">
        <v>0.63061659999999997</v>
      </c>
      <c r="Z922">
        <v>-9.9000930000000004E-3</v>
      </c>
      <c r="AA922">
        <v>0.77603140000000004</v>
      </c>
      <c r="AB922">
        <v>24</v>
      </c>
      <c r="AC922">
        <v>44.2759</v>
      </c>
      <c r="AD922">
        <v>-0.3147855</v>
      </c>
      <c r="AE922">
        <v>-71.957899999999995</v>
      </c>
      <c r="AF922">
        <v>53.399953543409602</v>
      </c>
      <c r="AG922">
        <v>-0.3147855</v>
      </c>
      <c r="AH922">
        <v>65.471684559709701</v>
      </c>
      <c r="AI922">
        <v>90.213473580328298</v>
      </c>
      <c r="AJ922">
        <v>50.798659579078397</v>
      </c>
      <c r="AK922">
        <v>84.4878429564599</v>
      </c>
      <c r="AL922">
        <v>77.826835009623906</v>
      </c>
      <c r="AM922">
        <v>68.060845278207196</v>
      </c>
      <c r="AN922">
        <v>1.00000004032606</v>
      </c>
    </row>
    <row r="923" spans="1:40" x14ac:dyDescent="0.25">
      <c r="A923" t="str">
        <f>"20190303170736530"</f>
        <v>20190303170736530</v>
      </c>
      <c r="B923" t="str">
        <f>"1551604056523044"</f>
        <v>1551604056523044</v>
      </c>
      <c r="C923" t="s">
        <v>40</v>
      </c>
      <c r="D923">
        <v>4.8402620000000001</v>
      </c>
      <c r="E923">
        <v>0.63552390000000003</v>
      </c>
      <c r="F923" t="s">
        <v>52</v>
      </c>
      <c r="G923">
        <v>-157.25</v>
      </c>
      <c r="H923">
        <v>0.83445789999999997</v>
      </c>
      <c r="I923">
        <v>289.94889999999998</v>
      </c>
      <c r="J923">
        <v>-201.28440000000001</v>
      </c>
      <c r="K923">
        <v>1.1131420000000001</v>
      </c>
      <c r="L923">
        <v>364.04700000000003</v>
      </c>
      <c r="M923">
        <v>0.93987449999999995</v>
      </c>
      <c r="N923">
        <v>-1.495202E-2</v>
      </c>
      <c r="O923">
        <v>-0.34119290000000002</v>
      </c>
      <c r="P923">
        <v>0.731761199999999</v>
      </c>
      <c r="Q923">
        <v>0.20417689999999999</v>
      </c>
      <c r="R923">
        <v>-0.65025999999999995</v>
      </c>
      <c r="S923">
        <v>1.6556850000000001</v>
      </c>
      <c r="T923">
        <v>-1.042879E-2</v>
      </c>
      <c r="U923">
        <v>-2.774597</v>
      </c>
      <c r="V923">
        <v>0.36589129999999997</v>
      </c>
      <c r="W923">
        <v>0.21034820000000001</v>
      </c>
      <c r="X923">
        <v>0.9065744</v>
      </c>
      <c r="Y923">
        <v>0.63228769999999901</v>
      </c>
      <c r="Z923">
        <v>-1.0089519999999999E-2</v>
      </c>
      <c r="AA923">
        <v>0.77466800000000002</v>
      </c>
      <c r="AB923">
        <v>24</v>
      </c>
      <c r="AC923">
        <v>44.034399999999998</v>
      </c>
      <c r="AD923">
        <v>-0.27868409999999999</v>
      </c>
      <c r="AE923">
        <v>-74.098099999999903</v>
      </c>
      <c r="AF923">
        <v>54.624219035744702</v>
      </c>
      <c r="AG923">
        <v>-0.27868409999999999</v>
      </c>
      <c r="AH923">
        <v>66.675304082436398</v>
      </c>
      <c r="AI923">
        <v>90.185249223547601</v>
      </c>
      <c r="AJ923">
        <v>50.673706688805098</v>
      </c>
      <c r="AK923">
        <v>86.194426412488895</v>
      </c>
      <c r="AL923">
        <v>77.8572412720317</v>
      </c>
      <c r="AM923">
        <v>68.021112698640906</v>
      </c>
      <c r="AN923">
        <v>0.99999997569714405</v>
      </c>
    </row>
    <row r="924" spans="1:40" x14ac:dyDescent="0.25">
      <c r="A924" t="str">
        <f>"20190303170736551"</f>
        <v>20190303170736551</v>
      </c>
      <c r="B924" t="str">
        <f>"1551604056543540"</f>
        <v>1551604056543540</v>
      </c>
      <c r="C924" t="s">
        <v>40</v>
      </c>
      <c r="D924">
        <v>4.9044179999999997</v>
      </c>
      <c r="E924">
        <v>0.63527609999999901</v>
      </c>
      <c r="F924" t="s">
        <v>52</v>
      </c>
      <c r="G924">
        <v>-157.25</v>
      </c>
      <c r="H924">
        <v>0.90289620000000004</v>
      </c>
      <c r="I924">
        <v>287.71699999999998</v>
      </c>
      <c r="J924">
        <v>-201.0658</v>
      </c>
      <c r="K924">
        <v>1.112881</v>
      </c>
      <c r="L924">
        <v>363.9529</v>
      </c>
      <c r="M924">
        <v>0.93554470000000001</v>
      </c>
      <c r="N924">
        <v>-1.5029789999999999E-2</v>
      </c>
      <c r="O924">
        <v>-0.35288900000000001</v>
      </c>
      <c r="P924">
        <v>0.72397339999999999</v>
      </c>
      <c r="Q924">
        <v>0.20348050000000001</v>
      </c>
      <c r="R924">
        <v>-0.65913469999999996</v>
      </c>
      <c r="S924">
        <v>1.6146849999999999</v>
      </c>
      <c r="T924">
        <v>-7.7065229999999998E-3</v>
      </c>
      <c r="U924">
        <v>-2.7989199999999999</v>
      </c>
      <c r="V924">
        <v>0.36568509999999999</v>
      </c>
      <c r="W924">
        <v>0.20950759999999999</v>
      </c>
      <c r="X924">
        <v>0.9068522</v>
      </c>
      <c r="Y924">
        <v>0.63405889999999998</v>
      </c>
      <c r="Z924">
        <v>-1.028945E-2</v>
      </c>
      <c r="AA924">
        <v>0.77321629999999997</v>
      </c>
      <c r="AB924">
        <v>24</v>
      </c>
      <c r="AC924">
        <v>43.815800000000003</v>
      </c>
      <c r="AD924">
        <v>-0.2099848</v>
      </c>
      <c r="AE924">
        <v>-76.235900000000001</v>
      </c>
      <c r="AF924">
        <v>55.865958131777802</v>
      </c>
      <c r="AG924">
        <v>-0.2099848</v>
      </c>
      <c r="AH924">
        <v>67.901718048885598</v>
      </c>
      <c r="AI924">
        <v>90.136827569430196</v>
      </c>
      <c r="AJ924">
        <v>50.5542511531267</v>
      </c>
      <c r="AK924">
        <v>87.930044271501103</v>
      </c>
      <c r="AL924">
        <v>77.906501712433197</v>
      </c>
      <c r="AM924">
        <v>68.038409393797096</v>
      </c>
      <c r="AN924">
        <v>0.99999996973230398</v>
      </c>
    </row>
    <row r="925" spans="1:40" x14ac:dyDescent="0.25">
      <c r="A925" t="str">
        <f>"20190303170736573"</f>
        <v>20190303170736573</v>
      </c>
      <c r="B925" t="str">
        <f>"1551604056563064"</f>
        <v>1551604056563064</v>
      </c>
      <c r="C925" t="s">
        <v>40</v>
      </c>
      <c r="D925">
        <v>4.901065</v>
      </c>
      <c r="E925">
        <v>0.63490219999999997</v>
      </c>
      <c r="F925" t="s">
        <v>52</v>
      </c>
      <c r="G925">
        <v>-157.5241</v>
      </c>
      <c r="H925">
        <v>0.893047699999999</v>
      </c>
      <c r="I925">
        <v>286.32650000000001</v>
      </c>
      <c r="J925">
        <v>-200.84360000000001</v>
      </c>
      <c r="K925">
        <v>1.112633</v>
      </c>
      <c r="L925">
        <v>363.8535</v>
      </c>
      <c r="M925">
        <v>0.93083579999999999</v>
      </c>
      <c r="N925">
        <v>-1.5109050000000001E-2</v>
      </c>
      <c r="O925">
        <v>-0.36512539999999999</v>
      </c>
      <c r="P925">
        <v>0.71524279999999996</v>
      </c>
      <c r="Q925">
        <v>0.20044780000000001</v>
      </c>
      <c r="R925">
        <v>-0.66951380000000005</v>
      </c>
      <c r="S925">
        <v>1.5805659999999999</v>
      </c>
      <c r="T925">
        <v>-7.977128E-3</v>
      </c>
      <c r="U925">
        <v>-2.817841</v>
      </c>
      <c r="V925">
        <v>0.36662610000000001</v>
      </c>
      <c r="W925">
        <v>0.2063275</v>
      </c>
      <c r="X925">
        <v>0.90720129999999999</v>
      </c>
      <c r="Y925">
        <v>0.63325350000000002</v>
      </c>
      <c r="Z925">
        <v>-1.0457910000000001E-2</v>
      </c>
      <c r="AA925">
        <v>0.77387379999999995</v>
      </c>
      <c r="AB925">
        <v>24</v>
      </c>
      <c r="AC925">
        <v>43.319499999999998</v>
      </c>
      <c r="AD925">
        <v>-0.21958530000000001</v>
      </c>
      <c r="AE925">
        <v>-77.526999999999902</v>
      </c>
      <c r="AF925">
        <v>56.353941921279798</v>
      </c>
      <c r="AG925">
        <v>-0.21958530000000001</v>
      </c>
      <c r="AH925">
        <v>68.637829253695003</v>
      </c>
      <c r="AI925">
        <v>90.141667861263997</v>
      </c>
      <c r="AJ925">
        <v>50.612865610421501</v>
      </c>
      <c r="AK925">
        <v>88.8085952621161</v>
      </c>
      <c r="AL925">
        <v>78.092778916441901</v>
      </c>
      <c r="AM925">
        <v>67.994951791006898</v>
      </c>
      <c r="AN925">
        <v>0.99999996658957402</v>
      </c>
    </row>
    <row r="926" spans="1:40" x14ac:dyDescent="0.25">
      <c r="A926" t="str">
        <f>"20190303170736596"</f>
        <v>20190303170736596</v>
      </c>
      <c r="B926" t="str">
        <f>"1551604056583556"</f>
        <v>1551604056583556</v>
      </c>
      <c r="C926" t="s">
        <v>40</v>
      </c>
      <c r="D926">
        <v>4.9163050000000004</v>
      </c>
      <c r="E926">
        <v>0.63441250000000005</v>
      </c>
      <c r="F926" t="s">
        <v>52</v>
      </c>
      <c r="G926">
        <v>-166.28909999999999</v>
      </c>
      <c r="H926">
        <v>0.70413110000000001</v>
      </c>
      <c r="I926">
        <v>300.31029999999998</v>
      </c>
      <c r="J926">
        <v>-200.62219999999999</v>
      </c>
      <c r="K926">
        <v>1.1124320000000001</v>
      </c>
      <c r="L926">
        <v>363.75040000000001</v>
      </c>
      <c r="M926">
        <v>0.92582529999999996</v>
      </c>
      <c r="N926">
        <v>-1.518506E-2</v>
      </c>
      <c r="O926">
        <v>-0.3776466</v>
      </c>
      <c r="P926">
        <v>0.70588130000000004</v>
      </c>
      <c r="Q926">
        <v>0.20002610000000001</v>
      </c>
      <c r="R926">
        <v>-0.67950059999999901</v>
      </c>
      <c r="S926">
        <v>1.543167</v>
      </c>
      <c r="T926">
        <v>-1.823986E-2</v>
      </c>
      <c r="U926">
        <v>-2.8377690000000002</v>
      </c>
      <c r="V926">
        <v>0.36719200000000002</v>
      </c>
      <c r="W926">
        <v>0.20578160000000001</v>
      </c>
      <c r="X926">
        <v>0.90709640000000002</v>
      </c>
      <c r="Y926">
        <v>0.63293429999999995</v>
      </c>
      <c r="Z926">
        <v>-1.048462E-2</v>
      </c>
      <c r="AA926">
        <v>0.77413449999999995</v>
      </c>
      <c r="AB926">
        <v>24</v>
      </c>
      <c r="AC926">
        <v>34.333100000000002</v>
      </c>
      <c r="AD926">
        <v>-0.40830089999999902</v>
      </c>
      <c r="AE926">
        <v>-63.440100000000001</v>
      </c>
      <c r="AF926">
        <v>45.7724817592782</v>
      </c>
      <c r="AG926">
        <v>-0.40830089999999902</v>
      </c>
      <c r="AH926">
        <v>55.749031865938001</v>
      </c>
      <c r="AI926">
        <v>90.324315946496895</v>
      </c>
      <c r="AJ926">
        <v>50.612453432189398</v>
      </c>
      <c r="AK926">
        <v>72.1334967266788</v>
      </c>
      <c r="AL926">
        <v>78.124742472996502</v>
      </c>
      <c r="AM926">
        <v>67.961931441251096</v>
      </c>
      <c r="AN926">
        <v>0.99999995532775898</v>
      </c>
    </row>
    <row r="927" spans="1:40" x14ac:dyDescent="0.25">
      <c r="A927" t="str">
        <f>"20190303170736619"</f>
        <v>20190303170736619</v>
      </c>
      <c r="B927" t="str">
        <f>"1551604056612836"</f>
        <v>1551604056612836</v>
      </c>
      <c r="C927" t="s">
        <v>40</v>
      </c>
      <c r="D927">
        <v>4.8962269999999997</v>
      </c>
      <c r="E927">
        <v>0.63362479999999999</v>
      </c>
      <c r="F927" t="s">
        <v>52</v>
      </c>
      <c r="G927">
        <v>-167.1711</v>
      </c>
      <c r="H927">
        <v>0.64896489999999996</v>
      </c>
      <c r="I927">
        <v>300.31029999999998</v>
      </c>
      <c r="J927">
        <v>-200.38650000000001</v>
      </c>
      <c r="K927">
        <v>1.1122339999999999</v>
      </c>
      <c r="L927">
        <v>363.63639999999998</v>
      </c>
      <c r="M927">
        <v>0.9201201</v>
      </c>
      <c r="N927">
        <v>-1.526305E-2</v>
      </c>
      <c r="O927">
        <v>-0.39133899999999999</v>
      </c>
      <c r="P927">
        <v>0.69559309999999996</v>
      </c>
      <c r="Q927">
        <v>0.2015884</v>
      </c>
      <c r="R927">
        <v>-0.68957449999999998</v>
      </c>
      <c r="S927">
        <v>1.5061800000000001</v>
      </c>
      <c r="T927">
        <v>-2.0864730000000001E-2</v>
      </c>
      <c r="U927">
        <v>-2.8564759999999998</v>
      </c>
      <c r="V927">
        <v>0.36708030000000003</v>
      </c>
      <c r="W927">
        <v>0.20724100000000001</v>
      </c>
      <c r="X927">
        <v>0.90680939999999999</v>
      </c>
      <c r="Y927">
        <v>0.63137169999999998</v>
      </c>
      <c r="Z927">
        <v>-1.055496E-2</v>
      </c>
      <c r="AA927">
        <v>0.77540849999999995</v>
      </c>
      <c r="AB927">
        <v>24</v>
      </c>
      <c r="AC927">
        <v>33.215400000000002</v>
      </c>
      <c r="AD927">
        <v>-0.46326909999999899</v>
      </c>
      <c r="AE927">
        <v>-63.326099999999997</v>
      </c>
      <c r="AF927">
        <v>45.272505890700103</v>
      </c>
      <c r="AG927">
        <v>-0.46326909999999899</v>
      </c>
      <c r="AH927">
        <v>55.348249649382502</v>
      </c>
      <c r="AI927">
        <v>90.371202405447804</v>
      </c>
      <c r="AJ927">
        <v>50.718298965562298</v>
      </c>
      <c r="AK927">
        <v>71.506944747575801</v>
      </c>
      <c r="AL927">
        <v>78.039283797225593</v>
      </c>
      <c r="AM927">
        <v>67.9616883717961</v>
      </c>
      <c r="AN927">
        <v>1.00000003332872</v>
      </c>
    </row>
    <row r="928" spans="1:40" x14ac:dyDescent="0.25">
      <c r="A928" t="str">
        <f>"20190303170736642"</f>
        <v>20190303170736642</v>
      </c>
      <c r="B928" t="str">
        <f>"1551604056633333"</f>
        <v>1551604056633333</v>
      </c>
      <c r="C928" t="s">
        <v>40</v>
      </c>
      <c r="D928">
        <v>4.9217849999999999</v>
      </c>
      <c r="E928">
        <v>0.62684419999999996</v>
      </c>
      <c r="F928" t="s">
        <v>52</v>
      </c>
      <c r="G928">
        <v>-168.011</v>
      </c>
      <c r="H928">
        <v>0.73135090000000003</v>
      </c>
      <c r="I928">
        <v>300.31029999999998</v>
      </c>
      <c r="J928">
        <v>-200.155</v>
      </c>
      <c r="K928">
        <v>1.1120509999999999</v>
      </c>
      <c r="L928">
        <v>363.5197</v>
      </c>
      <c r="M928">
        <v>0.91412749999999998</v>
      </c>
      <c r="N928">
        <v>-1.5340009999999999E-2</v>
      </c>
      <c r="O928">
        <v>-0.40513670000000002</v>
      </c>
      <c r="P928">
        <v>0.68503890000000001</v>
      </c>
      <c r="Q928">
        <v>0.20081360000000001</v>
      </c>
      <c r="R928">
        <v>-0.70028259999999998</v>
      </c>
      <c r="S928">
        <v>1.469131</v>
      </c>
      <c r="T928">
        <v>-1.7280219999999999E-2</v>
      </c>
      <c r="U928">
        <v>-2.873596</v>
      </c>
      <c r="V928">
        <v>0.36749009999999999</v>
      </c>
      <c r="W928">
        <v>0.2063681</v>
      </c>
      <c r="X928">
        <v>0.9068425</v>
      </c>
      <c r="Y928">
        <v>0.62950649999999997</v>
      </c>
      <c r="Z928">
        <v>-1.074927E-2</v>
      </c>
      <c r="AA928">
        <v>0.77692090000000003</v>
      </c>
      <c r="AB928">
        <v>24</v>
      </c>
      <c r="AC928">
        <v>32.143999999999998</v>
      </c>
      <c r="AD928">
        <v>-0.38070009999999999</v>
      </c>
      <c r="AE928">
        <v>-63.209400000000002</v>
      </c>
      <c r="AF928">
        <v>44.762710436051897</v>
      </c>
      <c r="AG928">
        <v>-0.38070009999999999</v>
      </c>
      <c r="AH928">
        <v>54.9970443403719</v>
      </c>
      <c r="AI928">
        <v>90.307600909946402</v>
      </c>
      <c r="AJ928">
        <v>50.857470958033602</v>
      </c>
      <c r="AK928">
        <v>70.912058666525795</v>
      </c>
      <c r="AL928">
        <v>78.090402467550604</v>
      </c>
      <c r="AM928">
        <v>67.940172632121104</v>
      </c>
      <c r="AN928">
        <v>1.0000000430509299</v>
      </c>
    </row>
    <row r="929" spans="1:40" x14ac:dyDescent="0.25">
      <c r="A929" t="str">
        <f>"20190303170736662"</f>
        <v>20190303170736662</v>
      </c>
      <c r="B929" t="str">
        <f>"1551604056652855"</f>
        <v>1551604056652855</v>
      </c>
      <c r="C929" t="s">
        <v>40</v>
      </c>
      <c r="D929">
        <v>4.9281810000000004</v>
      </c>
      <c r="E929">
        <v>0.62583199999999894</v>
      </c>
      <c r="F929" t="s">
        <v>52</v>
      </c>
      <c r="G929">
        <v>-167.66900000000001</v>
      </c>
      <c r="H929">
        <v>0.332901</v>
      </c>
      <c r="I929">
        <v>300.31029999999998</v>
      </c>
      <c r="J929">
        <v>-199.96029999999999</v>
      </c>
      <c r="K929">
        <v>1.111912</v>
      </c>
      <c r="L929">
        <v>363.41770000000002</v>
      </c>
      <c r="M929">
        <v>0.90876999999999997</v>
      </c>
      <c r="N929">
        <v>-1.5406410000000001E-2</v>
      </c>
      <c r="O929">
        <v>-0.41701280000000002</v>
      </c>
      <c r="P929">
        <v>0.67593369999999997</v>
      </c>
      <c r="Q929">
        <v>0.199771</v>
      </c>
      <c r="R929">
        <v>-0.70936969999999899</v>
      </c>
      <c r="S929">
        <v>1.468567</v>
      </c>
      <c r="T929">
        <v>-3.521883E-2</v>
      </c>
      <c r="U929">
        <v>-2.8574519999999999</v>
      </c>
      <c r="V929">
        <v>0.36770930000000002</v>
      </c>
      <c r="W929">
        <v>0.20525289999999999</v>
      </c>
      <c r="X929">
        <v>0.90700670000000005</v>
      </c>
      <c r="Y929">
        <v>0.61759949999999997</v>
      </c>
      <c r="Z929">
        <v>-1.0140089999999999E-2</v>
      </c>
      <c r="AA929">
        <v>0.7864274</v>
      </c>
      <c r="AB929">
        <v>24</v>
      </c>
      <c r="AC929">
        <v>32.2912999999999</v>
      </c>
      <c r="AD929">
        <v>-0.77901100000000001</v>
      </c>
      <c r="AE929">
        <v>-63.107399999999998</v>
      </c>
      <c r="AF929">
        <v>43.884137208945802</v>
      </c>
      <c r="AG929">
        <v>-0.77901100000000001</v>
      </c>
      <c r="AH929">
        <v>55.661845059426703</v>
      </c>
      <c r="AI929">
        <v>90.6296821665957</v>
      </c>
      <c r="AJ929">
        <v>51.747539031413503</v>
      </c>
      <c r="AK929">
        <v>70.884873930418493</v>
      </c>
      <c r="AL929">
        <v>78.155696246015296</v>
      </c>
      <c r="AM929">
        <v>67.931889875909704</v>
      </c>
      <c r="AN929">
        <v>1.00000001805489</v>
      </c>
    </row>
    <row r="930" spans="1:40" x14ac:dyDescent="0.25">
      <c r="A930" t="str">
        <f>"20190303170736690"</f>
        <v>20190303170736690</v>
      </c>
      <c r="B930" t="str">
        <f>"1551604056683108"</f>
        <v>1551604056683108</v>
      </c>
      <c r="C930" t="s">
        <v>40</v>
      </c>
      <c r="D930">
        <v>4.8886589999999996</v>
      </c>
      <c r="E930">
        <v>0.62570649999999906</v>
      </c>
      <c r="F930" t="s">
        <v>52</v>
      </c>
      <c r="G930">
        <v>-168.34119999999999</v>
      </c>
      <c r="H930">
        <v>0.16403010000000001</v>
      </c>
      <c r="I930">
        <v>300.31029999999998</v>
      </c>
      <c r="J930">
        <v>-199.69409999999999</v>
      </c>
      <c r="K930">
        <v>1.1117159999999999</v>
      </c>
      <c r="L930">
        <v>363.27280000000002</v>
      </c>
      <c r="M930">
        <v>0.90096989999999999</v>
      </c>
      <c r="N930">
        <v>-1.549788E-2</v>
      </c>
      <c r="O930">
        <v>-0.43360480000000001</v>
      </c>
      <c r="P930">
        <v>0.66400209999999904</v>
      </c>
      <c r="Q930">
        <v>0.19939899999999999</v>
      </c>
      <c r="R930">
        <v>-0.72065330000000005</v>
      </c>
      <c r="S930">
        <v>1.438339</v>
      </c>
      <c r="T930">
        <v>-4.3115140000000003E-2</v>
      </c>
      <c r="U930">
        <v>-2.8707280000000002</v>
      </c>
      <c r="V930">
        <v>0.36639470000000002</v>
      </c>
      <c r="W930">
        <v>0.2048286</v>
      </c>
      <c r="X930">
        <v>0.90763439999999995</v>
      </c>
      <c r="Y930">
        <v>0.61120419999999998</v>
      </c>
      <c r="Z930">
        <v>-9.7918750000000002E-3</v>
      </c>
      <c r="AA930">
        <v>0.79141240000000002</v>
      </c>
      <c r="AB930">
        <v>24</v>
      </c>
      <c r="AC930">
        <v>31.352900000000002</v>
      </c>
      <c r="AD930">
        <v>-0.94768589999999997</v>
      </c>
      <c r="AE930">
        <v>-62.962499999999999</v>
      </c>
      <c r="AF930">
        <v>43.1298991298153</v>
      </c>
      <c r="AG930">
        <v>-0.94768589999999997</v>
      </c>
      <c r="AH930">
        <v>55.545448216573398</v>
      </c>
      <c r="AI930">
        <v>90.772069362208896</v>
      </c>
      <c r="AJ930">
        <v>52.171395372329101</v>
      </c>
      <c r="AK930">
        <v>70.330527689568399</v>
      </c>
      <c r="AL930">
        <v>78.1805345712378</v>
      </c>
      <c r="AM930">
        <v>68.017009672680899</v>
      </c>
      <c r="AN930">
        <v>1.0000000178146999</v>
      </c>
    </row>
    <row r="931" spans="1:40" x14ac:dyDescent="0.25">
      <c r="A931" t="str">
        <f>"20190303170736707"</f>
        <v>20190303170736707</v>
      </c>
      <c r="B931" t="str">
        <f>"1551604056703604"</f>
        <v>1551604056703604</v>
      </c>
      <c r="C931" t="s">
        <v>40</v>
      </c>
      <c r="D931">
        <v>4.9379140000000001</v>
      </c>
      <c r="E931">
        <v>0.62554690000000002</v>
      </c>
      <c r="F931" t="s">
        <v>52</v>
      </c>
      <c r="G931">
        <v>-168.35050000000001</v>
      </c>
      <c r="H931">
        <v>0.2452126</v>
      </c>
      <c r="I931">
        <v>297.89749999999998</v>
      </c>
      <c r="J931">
        <v>-199.52119999999999</v>
      </c>
      <c r="K931">
        <v>1.1115919999999999</v>
      </c>
      <c r="L931">
        <v>363.1748</v>
      </c>
      <c r="M931">
        <v>0.89558019999999905</v>
      </c>
      <c r="N931">
        <v>-1.5557390000000001E-2</v>
      </c>
      <c r="O931">
        <v>-0.44462839999999998</v>
      </c>
      <c r="P931">
        <v>0.65586929999999999</v>
      </c>
      <c r="Q931">
        <v>0.200402</v>
      </c>
      <c r="R931">
        <v>-0.72778779999999998</v>
      </c>
      <c r="S931">
        <v>1.3878330000000001</v>
      </c>
      <c r="T931">
        <v>-3.8363580000000001E-2</v>
      </c>
      <c r="U931">
        <v>-2.8946839999999998</v>
      </c>
      <c r="V931">
        <v>0.36528519999999998</v>
      </c>
      <c r="W931">
        <v>0.20580590000000001</v>
      </c>
      <c r="X931">
        <v>0.90786049999999996</v>
      </c>
      <c r="Y931">
        <v>0.61527589999999999</v>
      </c>
      <c r="Z931">
        <v>-1.008248E-2</v>
      </c>
      <c r="AA931">
        <v>0.78824740000000004</v>
      </c>
      <c r="AB931">
        <v>24</v>
      </c>
      <c r="AC931">
        <v>31.170699999999901</v>
      </c>
      <c r="AD931">
        <v>-0.86637939999999902</v>
      </c>
      <c r="AE931">
        <v>-65.277299999999997</v>
      </c>
      <c r="AF931">
        <v>44.600672047439303</v>
      </c>
      <c r="AG931">
        <v>-0.86637939999999902</v>
      </c>
      <c r="AH931">
        <v>56.938717786072303</v>
      </c>
      <c r="AI931">
        <v>90.6862901398476</v>
      </c>
      <c r="AJ931">
        <v>51.928043521075303</v>
      </c>
      <c r="AK931">
        <v>72.332483321602993</v>
      </c>
      <c r="AL931">
        <v>78.1233204710379</v>
      </c>
      <c r="AM931">
        <v>68.082202417069595</v>
      </c>
      <c r="AN931">
        <v>1.00000001663704</v>
      </c>
    </row>
    <row r="932" spans="1:40" x14ac:dyDescent="0.25">
      <c r="A932" t="str">
        <f>"20190303170736734"</f>
        <v>20190303170736734</v>
      </c>
      <c r="B932" t="str">
        <f>"1551604056723124"</f>
        <v>1551604056723124</v>
      </c>
      <c r="C932" t="s">
        <v>40</v>
      </c>
      <c r="D932">
        <v>4.8971049999999998</v>
      </c>
      <c r="E932">
        <v>0.62531939999999997</v>
      </c>
      <c r="F932" t="s">
        <v>46</v>
      </c>
      <c r="G932">
        <v>-157.82040000000001</v>
      </c>
      <c r="H932">
        <v>-0.05</v>
      </c>
      <c r="I932">
        <v>273.74220000000003</v>
      </c>
      <c r="J932">
        <v>-199.2824</v>
      </c>
      <c r="K932">
        <v>1.11144</v>
      </c>
      <c r="L932">
        <v>363.03399999999999</v>
      </c>
      <c r="M932">
        <v>0.88771499999999903</v>
      </c>
      <c r="N932">
        <v>-1.563604E-2</v>
      </c>
      <c r="O932">
        <v>-0.46012769999999997</v>
      </c>
      <c r="P932">
        <v>0.64223240000000004</v>
      </c>
      <c r="Q932">
        <v>0.2020499</v>
      </c>
      <c r="R932">
        <v>-0.73940109999999903</v>
      </c>
      <c r="S932">
        <v>1.3567959999999999</v>
      </c>
      <c r="T932">
        <v>-3.7794109999999999E-2</v>
      </c>
      <c r="U932">
        <v>-2.909821</v>
      </c>
      <c r="V932">
        <v>0.36609730000000001</v>
      </c>
      <c r="W932">
        <v>0.2073632</v>
      </c>
      <c r="X932">
        <v>0.90717879999999995</v>
      </c>
      <c r="Y932">
        <v>0.61004040000000004</v>
      </c>
      <c r="Z932">
        <v>-1.0061809999999999E-2</v>
      </c>
      <c r="AA932">
        <v>0.79230639999999997</v>
      </c>
      <c r="AB932">
        <v>24</v>
      </c>
      <c r="AC932">
        <v>41.461999999999897</v>
      </c>
      <c r="AD932">
        <v>-1.16144</v>
      </c>
      <c r="AE932">
        <v>-89.291799999999895</v>
      </c>
      <c r="AF932">
        <v>60.186840454549099</v>
      </c>
      <c r="AG932">
        <v>-1.16144</v>
      </c>
      <c r="AH932">
        <v>77.890756221272497</v>
      </c>
      <c r="AI932">
        <v>90.676005518222297</v>
      </c>
      <c r="AJ932">
        <v>52.306437127538999</v>
      </c>
      <c r="AK932">
        <v>98.441732062660506</v>
      </c>
      <c r="AL932">
        <v>78.032127013704994</v>
      </c>
      <c r="AM932">
        <v>68.023172998690598</v>
      </c>
      <c r="AN932">
        <v>1.00000005247548</v>
      </c>
    </row>
    <row r="933" spans="1:40" x14ac:dyDescent="0.25">
      <c r="A933" t="str">
        <f>"20190303170736754"</f>
        <v>20190303170736754</v>
      </c>
      <c r="B933" t="str">
        <f>"1551604056743620"</f>
        <v>1551604056743620</v>
      </c>
      <c r="C933" t="s">
        <v>40</v>
      </c>
      <c r="D933">
        <v>4.8800850000000002</v>
      </c>
      <c r="E933">
        <v>0.62523030000000002</v>
      </c>
      <c r="F933" t="s">
        <v>46</v>
      </c>
      <c r="G933">
        <v>-158.488</v>
      </c>
      <c r="H933">
        <v>-0.05</v>
      </c>
      <c r="I933">
        <v>271.56599999999997</v>
      </c>
      <c r="J933">
        <v>-199.0898</v>
      </c>
      <c r="K933">
        <v>1.111327</v>
      </c>
      <c r="L933">
        <v>362.9162</v>
      </c>
      <c r="M933">
        <v>0.88100809999999996</v>
      </c>
      <c r="N933">
        <v>-1.5695799999999999E-2</v>
      </c>
      <c r="O933">
        <v>-0.4728406</v>
      </c>
      <c r="P933">
        <v>0.63104269999999996</v>
      </c>
      <c r="Q933">
        <v>0.20257259999999999</v>
      </c>
      <c r="R933">
        <v>-0.74883180000000005</v>
      </c>
      <c r="S933">
        <v>1.30757099999999</v>
      </c>
      <c r="T933">
        <v>-3.722727E-2</v>
      </c>
      <c r="U933">
        <v>-2.9317929999999999</v>
      </c>
      <c r="V933">
        <v>0.36664340000000001</v>
      </c>
      <c r="W933">
        <v>0.2078245</v>
      </c>
      <c r="X933">
        <v>0.90685260000000001</v>
      </c>
      <c r="Y933">
        <v>0.61195250000000001</v>
      </c>
      <c r="Z933">
        <v>-1.0157269999999999E-2</v>
      </c>
      <c r="AA933">
        <v>0.79082929999999996</v>
      </c>
      <c r="AB933">
        <v>24</v>
      </c>
      <c r="AC933">
        <v>40.601799999999997</v>
      </c>
      <c r="AD933">
        <v>-1.161327</v>
      </c>
      <c r="AE933">
        <v>-91.350200000000001</v>
      </c>
      <c r="AF933">
        <v>61.281370530142198</v>
      </c>
      <c r="AG933">
        <v>-1.161327</v>
      </c>
      <c r="AH933">
        <v>78.9636752840903</v>
      </c>
      <c r="AI933">
        <v>90.665672080644001</v>
      </c>
      <c r="AJ933">
        <v>52.1860198795966</v>
      </c>
      <c r="AK933">
        <v>99.960077375043895</v>
      </c>
      <c r="AL933">
        <v>78.005107489569298</v>
      </c>
      <c r="AM933">
        <v>67.986359263790405</v>
      </c>
      <c r="AN933">
        <v>1.00000002184528</v>
      </c>
    </row>
    <row r="934" spans="1:40" x14ac:dyDescent="0.25">
      <c r="A934" t="str">
        <f>"20190303170736776"</f>
        <v>20190303170736776</v>
      </c>
      <c r="B934" t="str">
        <f>"1551604056763140"</f>
        <v>1551604056763140</v>
      </c>
      <c r="C934" t="s">
        <v>40</v>
      </c>
      <c r="D934">
        <v>4.8731200000000001</v>
      </c>
      <c r="E934">
        <v>0.61891109999999905</v>
      </c>
      <c r="F934" t="s">
        <v>46</v>
      </c>
      <c r="G934">
        <v>-158.3064</v>
      </c>
      <c r="H934">
        <v>-0.05</v>
      </c>
      <c r="I934">
        <v>267.76440000000002</v>
      </c>
      <c r="J934">
        <v>-198.88579999999999</v>
      </c>
      <c r="K934">
        <v>1.11124</v>
      </c>
      <c r="L934">
        <v>362.78699999999998</v>
      </c>
      <c r="M934">
        <v>0.87353459999999905</v>
      </c>
      <c r="N934">
        <v>-1.575588E-2</v>
      </c>
      <c r="O934">
        <v>-0.48650719999999997</v>
      </c>
      <c r="P934">
        <v>0.61864750000000002</v>
      </c>
      <c r="Q934">
        <v>0.20356930000000001</v>
      </c>
      <c r="R934">
        <v>-0.75883800000000001</v>
      </c>
      <c r="S934">
        <v>1.264572</v>
      </c>
      <c r="T934">
        <v>-3.6009310000000003E-2</v>
      </c>
      <c r="U934">
        <v>-2.9503780000000002</v>
      </c>
      <c r="V934">
        <v>0.3672706</v>
      </c>
      <c r="W934">
        <v>0.2087657</v>
      </c>
      <c r="X934">
        <v>0.90638240000000003</v>
      </c>
      <c r="Y934">
        <v>0.61117569999999999</v>
      </c>
      <c r="Z934">
        <v>-1.0249029999999999E-2</v>
      </c>
      <c r="AA934">
        <v>0.79142860000000004</v>
      </c>
      <c r="AB934">
        <v>24</v>
      </c>
      <c r="AC934">
        <v>40.5793999999999</v>
      </c>
      <c r="AD934">
        <v>-1.16124</v>
      </c>
      <c r="AE934">
        <v>-95.022599999999898</v>
      </c>
      <c r="AF934">
        <v>63.2632154645882</v>
      </c>
      <c r="AG934">
        <v>-1.16124</v>
      </c>
      <c r="AH934">
        <v>81.676504200515595</v>
      </c>
      <c r="AI934">
        <v>90.643987239486293</v>
      </c>
      <c r="AJ934">
        <v>52.240129580347201</v>
      </c>
      <c r="AK934">
        <v>103.31812158413101</v>
      </c>
      <c r="AL934">
        <v>77.949970260286804</v>
      </c>
      <c r="AM934">
        <v>67.941967086538199</v>
      </c>
      <c r="AN934">
        <v>0.99999993307530199</v>
      </c>
    </row>
    <row r="935" spans="1:40" x14ac:dyDescent="0.25">
      <c r="A935" t="str">
        <f>"20190303170736799"</f>
        <v>20190303170736799</v>
      </c>
      <c r="B935" t="str">
        <f>"1551604056793395"</f>
        <v>1551604056793395</v>
      </c>
      <c r="C935" t="s">
        <v>40</v>
      </c>
      <c r="D935">
        <v>4.866117</v>
      </c>
      <c r="E935">
        <v>0.61757220000000002</v>
      </c>
      <c r="F935" t="s">
        <v>53</v>
      </c>
      <c r="G935">
        <v>-152.6884</v>
      </c>
      <c r="H935">
        <v>0.49638369999999998</v>
      </c>
      <c r="I935">
        <v>254.45500000000001</v>
      </c>
      <c r="J935">
        <v>-198.67949999999999</v>
      </c>
      <c r="K935">
        <v>1.1111580000000001</v>
      </c>
      <c r="L935">
        <v>362.65140000000002</v>
      </c>
      <c r="M935">
        <v>0.86557719999999905</v>
      </c>
      <c r="N935">
        <v>-1.5813919999999999E-2</v>
      </c>
      <c r="O935">
        <v>-0.50052609999999997</v>
      </c>
      <c r="P935">
        <v>0.60571379999999997</v>
      </c>
      <c r="Q935">
        <v>0.2053846</v>
      </c>
      <c r="R935">
        <v>-0.76871880000000004</v>
      </c>
      <c r="S935">
        <v>1.2524409999999999</v>
      </c>
      <c r="T935">
        <v>-1.666772E-2</v>
      </c>
      <c r="U935">
        <v>-2.9369510000000001</v>
      </c>
      <c r="V935">
        <v>0.36767680000000003</v>
      </c>
      <c r="W935">
        <v>0.2105388</v>
      </c>
      <c r="X935">
        <v>0.90580749999999999</v>
      </c>
      <c r="Y935">
        <v>0.5998675</v>
      </c>
      <c r="Z935">
        <v>-1.1372E-2</v>
      </c>
      <c r="AA935">
        <v>0.80001849999999997</v>
      </c>
      <c r="AB935">
        <v>24</v>
      </c>
      <c r="AC935">
        <v>45.991099999999904</v>
      </c>
      <c r="AD935">
        <v>-0.6147743</v>
      </c>
      <c r="AE935">
        <v>-108.1964</v>
      </c>
      <c r="AF935">
        <v>70.639480769303105</v>
      </c>
      <c r="AG935">
        <v>-0.6147743</v>
      </c>
      <c r="AH935">
        <v>93.973135229898105</v>
      </c>
      <c r="AI935">
        <v>90.299616984817902</v>
      </c>
      <c r="AJ935">
        <v>53.0678640869153</v>
      </c>
      <c r="AK935">
        <v>117.56387342943999</v>
      </c>
      <c r="AL935">
        <v>77.846071101846604</v>
      </c>
      <c r="AM935">
        <v>67.907248652117104</v>
      </c>
      <c r="AN935">
        <v>1.00000002130996</v>
      </c>
    </row>
    <row r="936" spans="1:40" x14ac:dyDescent="0.25">
      <c r="A936" t="str">
        <f>"20190303170736822"</f>
        <v>20190303170736822</v>
      </c>
      <c r="B936" t="str">
        <f>"1551604056812916"</f>
        <v>1551604056812916</v>
      </c>
      <c r="C936" t="s">
        <v>40</v>
      </c>
      <c r="D936">
        <v>5.0028949999999996</v>
      </c>
      <c r="E936">
        <v>0.61794199999999999</v>
      </c>
      <c r="F936" t="s">
        <v>53</v>
      </c>
      <c r="G936">
        <v>-154.2816</v>
      </c>
      <c r="H936">
        <v>0.69433210000000001</v>
      </c>
      <c r="I936">
        <v>254.45500000000001</v>
      </c>
      <c r="J936">
        <v>-198.46639999999999</v>
      </c>
      <c r="K936">
        <v>1.111089</v>
      </c>
      <c r="L936">
        <v>362.5061</v>
      </c>
      <c r="M936">
        <v>0.85692639999999998</v>
      </c>
      <c r="N936">
        <v>-1.587096E-2</v>
      </c>
      <c r="O936">
        <v>-0.51519429999999999</v>
      </c>
      <c r="P936">
        <v>0.59147039999999995</v>
      </c>
      <c r="Q936">
        <v>0.2068255</v>
      </c>
      <c r="R936">
        <v>-0.77934999999999999</v>
      </c>
      <c r="S936">
        <v>1.2110749999999999</v>
      </c>
      <c r="T936">
        <v>-1.1368629999999999E-2</v>
      </c>
      <c r="U936">
        <v>-2.951355</v>
      </c>
      <c r="V936">
        <v>0.36866850000000001</v>
      </c>
      <c r="W936">
        <v>0.21192630000000001</v>
      </c>
      <c r="X936">
        <v>0.90508060000000001</v>
      </c>
      <c r="Y936">
        <v>0.59721259999999998</v>
      </c>
      <c r="Z936">
        <v>-1.186212E-2</v>
      </c>
      <c r="AA936">
        <v>0.80199529999999997</v>
      </c>
      <c r="AB936">
        <v>24</v>
      </c>
      <c r="AC936">
        <v>44.184800000000003</v>
      </c>
      <c r="AD936">
        <v>-0.41675689999999999</v>
      </c>
      <c r="AE936">
        <v>-108.05110000000001</v>
      </c>
      <c r="AF936">
        <v>69.835992183760197</v>
      </c>
      <c r="AG936">
        <v>-0.41675689999999999</v>
      </c>
      <c r="AH936">
        <v>93.541026250375197</v>
      </c>
      <c r="AI936">
        <v>90.204551951514702</v>
      </c>
      <c r="AJ936">
        <v>53.255665132378702</v>
      </c>
      <c r="AK936">
        <v>116.735440559314</v>
      </c>
      <c r="AL936">
        <v>77.764738419203994</v>
      </c>
      <c r="AM936">
        <v>67.837348412073098</v>
      </c>
      <c r="AN936">
        <v>1.0000000560101401</v>
      </c>
    </row>
    <row r="937" spans="1:40" x14ac:dyDescent="0.25">
      <c r="A937" t="str">
        <f>"20190303170736847"</f>
        <v>20190303170736847</v>
      </c>
      <c r="B937" t="str">
        <f>"1551604056833412"</f>
        <v>1551604056833412</v>
      </c>
      <c r="C937" t="s">
        <v>40</v>
      </c>
      <c r="D937">
        <v>5.1028659999999997</v>
      </c>
      <c r="E937">
        <v>0.648474199999999</v>
      </c>
      <c r="F937" t="s">
        <v>53</v>
      </c>
      <c r="G937">
        <v>-156.6694</v>
      </c>
      <c r="H937">
        <v>0.83016780000000001</v>
      </c>
      <c r="I937">
        <v>254.97470000000001</v>
      </c>
      <c r="J937">
        <v>-198.25069999999999</v>
      </c>
      <c r="K937">
        <v>1.1110260000000001</v>
      </c>
      <c r="L937">
        <v>362.35329999999999</v>
      </c>
      <c r="M937">
        <v>0.84770419999999902</v>
      </c>
      <c r="N937">
        <v>-1.5925769999999999E-2</v>
      </c>
      <c r="O937">
        <v>-0.53023050000000005</v>
      </c>
      <c r="P937">
        <v>0.57700899999999999</v>
      </c>
      <c r="Q937">
        <v>0.2083142</v>
      </c>
      <c r="R937">
        <v>-0.78972549999999997</v>
      </c>
      <c r="S937">
        <v>1.1560060000000001</v>
      </c>
      <c r="T937">
        <v>-7.7680350000000004E-3</v>
      </c>
      <c r="U937">
        <v>-2.9740600000000001</v>
      </c>
      <c r="V937">
        <v>0.36912669999999997</v>
      </c>
      <c r="W937">
        <v>0.2133824</v>
      </c>
      <c r="X937">
        <v>0.90455149999999995</v>
      </c>
      <c r="Y937">
        <v>0.59804440000000003</v>
      </c>
      <c r="Z937">
        <v>-1.2322649999999999E-2</v>
      </c>
      <c r="AA937">
        <v>0.80136819999999997</v>
      </c>
      <c r="AB937">
        <v>24</v>
      </c>
      <c r="AC937">
        <v>41.581299999999999</v>
      </c>
      <c r="AD937">
        <v>-0.2808582</v>
      </c>
      <c r="AE937">
        <v>-107.378599999999</v>
      </c>
      <c r="AF937">
        <v>68.985940747801493</v>
      </c>
      <c r="AG937">
        <v>-0.2808582</v>
      </c>
      <c r="AH937">
        <v>92.195175934219193</v>
      </c>
      <c r="AI937">
        <v>90.139750484521599</v>
      </c>
      <c r="AJ937">
        <v>53.193968846057501</v>
      </c>
      <c r="AK937">
        <v>115.148119253982</v>
      </c>
      <c r="AL937">
        <v>77.679356354479793</v>
      </c>
      <c r="AM937">
        <v>67.800756356622898</v>
      </c>
      <c r="AN937">
        <v>0.99999999271744999</v>
      </c>
    </row>
    <row r="938" spans="1:40" x14ac:dyDescent="0.25">
      <c r="A938" t="str">
        <f>"20190303170736864"</f>
        <v>20190303170736864</v>
      </c>
      <c r="B938" t="str">
        <f>"1551604056852932"</f>
        <v>1551604056852932</v>
      </c>
      <c r="C938" t="s">
        <v>40</v>
      </c>
      <c r="D938">
        <v>5.0827689999999999</v>
      </c>
      <c r="E938">
        <v>0.65424359999999904</v>
      </c>
      <c r="F938" t="s">
        <v>53</v>
      </c>
      <c r="G938">
        <v>-166.6232</v>
      </c>
      <c r="H938">
        <v>1.3665799999999999</v>
      </c>
      <c r="I938">
        <v>252.31030000000001</v>
      </c>
      <c r="J938">
        <v>-198.0966</v>
      </c>
      <c r="K938">
        <v>1.110994</v>
      </c>
      <c r="L938">
        <v>362.24020000000002</v>
      </c>
      <c r="M938">
        <v>0.84080109999999997</v>
      </c>
      <c r="N938">
        <v>-1.5963100000000001E-2</v>
      </c>
      <c r="O938">
        <v>-0.54110879999999995</v>
      </c>
      <c r="P938">
        <v>0.56711519999999904</v>
      </c>
      <c r="Q938">
        <v>0.20948910000000001</v>
      </c>
      <c r="R938">
        <v>-0.79655200000000004</v>
      </c>
      <c r="S938">
        <v>0.90188599999999997</v>
      </c>
      <c r="T938">
        <v>7.288933E-3</v>
      </c>
      <c r="U938">
        <v>-3.1379700000000001</v>
      </c>
      <c r="V938">
        <v>0.36854680000000001</v>
      </c>
      <c r="W938">
        <v>0.21456549999999999</v>
      </c>
      <c r="X938">
        <v>0.90450810000000004</v>
      </c>
      <c r="Y938">
        <v>0.65867569999999998</v>
      </c>
      <c r="Z938">
        <v>-1.4187099999999999E-2</v>
      </c>
      <c r="AA938">
        <v>0.75229330000000005</v>
      </c>
      <c r="AB938">
        <v>24</v>
      </c>
      <c r="AC938">
        <v>31.473400000000002</v>
      </c>
      <c r="AD938">
        <v>0.25558599999999898</v>
      </c>
      <c r="AE938">
        <v>-109.9299</v>
      </c>
      <c r="AF938">
        <v>75.407877143885997</v>
      </c>
      <c r="AG938">
        <v>0.25558599999999898</v>
      </c>
      <c r="AH938">
        <v>85.957426897242996</v>
      </c>
      <c r="AI938">
        <v>89.871932871997799</v>
      </c>
      <c r="AJ938">
        <v>48.740492567078299</v>
      </c>
      <c r="AK938">
        <v>114.346370726602</v>
      </c>
      <c r="AL938">
        <v>77.609962602142105</v>
      </c>
      <c r="AM938">
        <v>67.8312909765271</v>
      </c>
      <c r="AN938">
        <v>1.00000000027305</v>
      </c>
    </row>
    <row r="939" spans="1:40" x14ac:dyDescent="0.25">
      <c r="A939" t="str">
        <f>"20190303170736888"</f>
        <v>20190303170736888</v>
      </c>
      <c r="B939" t="str">
        <f>"1551604056873428"</f>
        <v>1551604056873428</v>
      </c>
      <c r="C939" t="s">
        <v>40</v>
      </c>
      <c r="D939">
        <v>5.0745589999999998</v>
      </c>
      <c r="E939">
        <v>0.65626700000000004</v>
      </c>
      <c r="F939" t="s">
        <v>54</v>
      </c>
      <c r="G939">
        <v>-158.42429999999999</v>
      </c>
      <c r="H939">
        <v>2.005287</v>
      </c>
      <c r="I939">
        <v>209.34119999999999</v>
      </c>
      <c r="J939">
        <v>-197.8931</v>
      </c>
      <c r="K939">
        <v>1.110938</v>
      </c>
      <c r="L939">
        <v>362.08609999999999</v>
      </c>
      <c r="M939">
        <v>0.83129739999999996</v>
      </c>
      <c r="N939">
        <v>-1.6009820000000001E-2</v>
      </c>
      <c r="O939">
        <v>-0.55559720000000001</v>
      </c>
      <c r="P939">
        <v>0.55349899999999996</v>
      </c>
      <c r="Q939">
        <v>0.21059349999999999</v>
      </c>
      <c r="R939">
        <v>-0.80578509999999903</v>
      </c>
      <c r="S939">
        <v>0.82376099999999997</v>
      </c>
      <c r="T939">
        <v>1.8569829999999999E-2</v>
      </c>
      <c r="U939">
        <v>-3.1748050000000001</v>
      </c>
      <c r="V939">
        <v>0.36805929999999998</v>
      </c>
      <c r="W939">
        <v>0.2156757</v>
      </c>
      <c r="X939">
        <v>0.90444250000000004</v>
      </c>
      <c r="Y939">
        <v>0.66519589999999995</v>
      </c>
      <c r="Z939">
        <v>-1.5318389999999999E-2</v>
      </c>
      <c r="AA939">
        <v>0.74651179999999995</v>
      </c>
      <c r="AB939">
        <v>24</v>
      </c>
      <c r="AC939">
        <v>39.468800000000002</v>
      </c>
      <c r="AD939">
        <v>0.89434899999999995</v>
      </c>
      <c r="AE939">
        <v>-152.7449</v>
      </c>
      <c r="AF939">
        <v>105.05777605400399</v>
      </c>
      <c r="AG939">
        <v>0.89434899999999995</v>
      </c>
      <c r="AH939">
        <v>117.686255343952</v>
      </c>
      <c r="AI939">
        <v>89.675184260873095</v>
      </c>
      <c r="AJ939">
        <v>48.244912113065602</v>
      </c>
      <c r="AK939">
        <v>157.75928139551399</v>
      </c>
      <c r="AL939">
        <v>77.544827167211807</v>
      </c>
      <c r="AM939">
        <v>67.856328884125105</v>
      </c>
      <c r="AN939">
        <v>0.999999945846613</v>
      </c>
    </row>
    <row r="940" spans="1:40" x14ac:dyDescent="0.25">
      <c r="A940" t="str">
        <f>"20190303170736911"</f>
        <v>20190303170736911</v>
      </c>
      <c r="B940" t="str">
        <f>"1551604056903685"</f>
        <v>1551604056903685</v>
      </c>
      <c r="C940" t="s">
        <v>40</v>
      </c>
      <c r="D940">
        <v>5.1107860000000001</v>
      </c>
      <c r="E940">
        <v>0.65607789999999999</v>
      </c>
      <c r="F940" t="s">
        <v>54</v>
      </c>
      <c r="G940">
        <v>-161.7791</v>
      </c>
      <c r="H940">
        <v>2.297701</v>
      </c>
      <c r="I940">
        <v>209.34219999999999</v>
      </c>
      <c r="J940">
        <v>-197.6985</v>
      </c>
      <c r="K940">
        <v>1.110878</v>
      </c>
      <c r="L940">
        <v>361.93310000000002</v>
      </c>
      <c r="M940">
        <v>0.82176610000000005</v>
      </c>
      <c r="N940">
        <v>-1.6051220000000001E-2</v>
      </c>
      <c r="O940">
        <v>-0.56959890000000002</v>
      </c>
      <c r="P940">
        <v>0.53907430000000001</v>
      </c>
      <c r="Q940">
        <v>0.2101653</v>
      </c>
      <c r="R940">
        <v>-0.81561600000000001</v>
      </c>
      <c r="S940">
        <v>0.75596619999999903</v>
      </c>
      <c r="T940">
        <v>2.4842980000000001E-2</v>
      </c>
      <c r="U940">
        <v>-3.1973569999999998</v>
      </c>
      <c r="V940">
        <v>0.3689365</v>
      </c>
      <c r="W940">
        <v>0.21522069999999999</v>
      </c>
      <c r="X940">
        <v>0.90419349999999998</v>
      </c>
      <c r="Y940">
        <v>0.66875209999999996</v>
      </c>
      <c r="Z940">
        <v>-1.6127160000000001E-2</v>
      </c>
      <c r="AA940">
        <v>0.74331059999999904</v>
      </c>
      <c r="AB940">
        <v>24</v>
      </c>
      <c r="AC940">
        <v>35.919400000000003</v>
      </c>
      <c r="AD940">
        <v>1.186823</v>
      </c>
      <c r="AE940">
        <v>-152.5909</v>
      </c>
      <c r="AF940">
        <v>104.941879562643</v>
      </c>
      <c r="AG940">
        <v>1.186823</v>
      </c>
      <c r="AH940">
        <v>116.441277550321</v>
      </c>
      <c r="AI940">
        <v>89.566203933842999</v>
      </c>
      <c r="AJ940">
        <v>47.973466322186098</v>
      </c>
      <c r="AK940">
        <v>156.75706603698799</v>
      </c>
      <c r="AL940">
        <v>77.571524243158507</v>
      </c>
      <c r="AM940">
        <v>67.803152404038499</v>
      </c>
      <c r="AN940">
        <v>0.99999998809149404</v>
      </c>
    </row>
    <row r="941" spans="1:40" x14ac:dyDescent="0.25">
      <c r="A941" t="str">
        <f>"20190303170736935"</f>
        <v>20190303170736935</v>
      </c>
      <c r="B941" t="str">
        <f>"1551604056923204"</f>
        <v>1551604056923204</v>
      </c>
      <c r="C941" t="s">
        <v>40</v>
      </c>
      <c r="D941">
        <v>5.0814009999999996</v>
      </c>
      <c r="E941">
        <v>0.65517360000000002</v>
      </c>
      <c r="F941" t="s">
        <v>53</v>
      </c>
      <c r="G941">
        <v>-167.75319999999999</v>
      </c>
      <c r="H941">
        <v>2.089372</v>
      </c>
      <c r="I941">
        <v>224.61510000000001</v>
      </c>
      <c r="J941">
        <v>-197.49180000000001</v>
      </c>
      <c r="K941">
        <v>1.110841</v>
      </c>
      <c r="L941">
        <v>361.76409999999998</v>
      </c>
      <c r="M941">
        <v>0.81114640000000005</v>
      </c>
      <c r="N941">
        <v>-1.6090449999999999E-2</v>
      </c>
      <c r="O941">
        <v>-0.58462169999999902</v>
      </c>
      <c r="P941">
        <v>0.52449179999999995</v>
      </c>
      <c r="Q941">
        <v>0.21016280000000001</v>
      </c>
      <c r="R941">
        <v>-0.82506999999999997</v>
      </c>
      <c r="S941">
        <v>0.6999512</v>
      </c>
      <c r="T941">
        <v>2.2872920000000001E-2</v>
      </c>
      <c r="U941">
        <v>-3.2097169999999999</v>
      </c>
      <c r="V941">
        <v>0.36838789999999999</v>
      </c>
      <c r="W941">
        <v>0.21524399999999999</v>
      </c>
      <c r="X941">
        <v>0.90441159999999998</v>
      </c>
      <c r="Y941">
        <v>0.66804509999999995</v>
      </c>
      <c r="Z941">
        <v>-1.6314789999999999E-2</v>
      </c>
      <c r="AA941">
        <v>0.74394189999999905</v>
      </c>
      <c r="AB941">
        <v>23</v>
      </c>
      <c r="AC941">
        <v>29.738600000000002</v>
      </c>
      <c r="AD941">
        <v>0.97853099999999904</v>
      </c>
      <c r="AE941">
        <v>-137.14899999999901</v>
      </c>
      <c r="AF941">
        <v>93.869679661444096</v>
      </c>
      <c r="AG941">
        <v>0.97853099999999904</v>
      </c>
      <c r="AH941">
        <v>104.31107738411799</v>
      </c>
      <c r="AI941">
        <v>89.600477018340698</v>
      </c>
      <c r="AJ941">
        <v>48.0159103435087</v>
      </c>
      <c r="AK941">
        <v>140.33273013697001</v>
      </c>
      <c r="AL941">
        <v>77.570157151791605</v>
      </c>
      <c r="AM941">
        <v>67.837788249368799</v>
      </c>
      <c r="AN941">
        <v>0.99999998330848405</v>
      </c>
    </row>
    <row r="942" spans="1:40" x14ac:dyDescent="0.25">
      <c r="A942" t="str">
        <f>"20190303170736956"</f>
        <v>20190303170736956</v>
      </c>
      <c r="B942" t="str">
        <f>"1551604056942724"</f>
        <v>1551604056942724</v>
      </c>
      <c r="C942" t="s">
        <v>40</v>
      </c>
      <c r="D942">
        <v>4.9278440000000003</v>
      </c>
      <c r="E942">
        <v>0.65461780000000003</v>
      </c>
      <c r="F942" t="s">
        <v>54</v>
      </c>
      <c r="G942">
        <v>-166.72630000000001</v>
      </c>
      <c r="H942">
        <v>2.12121</v>
      </c>
      <c r="I942">
        <v>209.34389999999999</v>
      </c>
      <c r="J942">
        <v>-197.31890000000001</v>
      </c>
      <c r="K942">
        <v>1.110832</v>
      </c>
      <c r="L942">
        <v>361.61790000000002</v>
      </c>
      <c r="M942">
        <v>0.80188019999999904</v>
      </c>
      <c r="N942">
        <v>-1.611891E-2</v>
      </c>
      <c r="O942">
        <v>-0.59726749999999995</v>
      </c>
      <c r="P942">
        <v>0.51241459999999905</v>
      </c>
      <c r="Q942">
        <v>0.20972170000000001</v>
      </c>
      <c r="R942">
        <v>-0.83273560000000002</v>
      </c>
      <c r="S942">
        <v>0.64949040000000002</v>
      </c>
      <c r="T942">
        <v>2.1330600000000002E-2</v>
      </c>
      <c r="U942">
        <v>-3.217743</v>
      </c>
      <c r="V942">
        <v>0.36746669999999998</v>
      </c>
      <c r="W942">
        <v>0.2148486</v>
      </c>
      <c r="X942">
        <v>0.90488029999999997</v>
      </c>
      <c r="Y942">
        <v>0.66793539999999996</v>
      </c>
      <c r="Z942">
        <v>-1.6464340000000001E-2</v>
      </c>
      <c r="AA942">
        <v>0.74403710000000001</v>
      </c>
      <c r="AB942">
        <v>23</v>
      </c>
      <c r="AC942">
        <v>30.592600000000001</v>
      </c>
      <c r="AD942">
        <v>1.010378</v>
      </c>
      <c r="AE942">
        <v>-152.274</v>
      </c>
      <c r="AF942">
        <v>103.842629662493</v>
      </c>
      <c r="AG942">
        <v>1.010378</v>
      </c>
      <c r="AH942">
        <v>115.490020857776</v>
      </c>
      <c r="AI942">
        <v>89.627264633389103</v>
      </c>
      <c r="AJ942">
        <v>48.039766799759803</v>
      </c>
      <c r="AK942">
        <v>155.31341705291999</v>
      </c>
      <c r="AL942">
        <v>77.593355185091298</v>
      </c>
      <c r="AM942">
        <v>67.898211025506995</v>
      </c>
      <c r="AN942">
        <v>1.00000002692946</v>
      </c>
    </row>
    <row r="943" spans="1:40" x14ac:dyDescent="0.25">
      <c r="A943" t="str">
        <f>"20190303170736977"</f>
        <v>20190303170736977</v>
      </c>
      <c r="B943" t="str">
        <f>"1551604056972980"</f>
        <v>1551604056972980</v>
      </c>
      <c r="C943" t="s">
        <v>40</v>
      </c>
      <c r="D943">
        <v>4.8947940000000001</v>
      </c>
      <c r="E943">
        <v>0.65337599999999996</v>
      </c>
      <c r="F943" t="s">
        <v>54</v>
      </c>
      <c r="G943">
        <v>-168.94799999999901</v>
      </c>
      <c r="H943">
        <v>2.2879350000000001</v>
      </c>
      <c r="I943">
        <v>210.2363</v>
      </c>
      <c r="J943">
        <v>-197.14879999999999</v>
      </c>
      <c r="K943">
        <v>1.1108229999999999</v>
      </c>
      <c r="L943">
        <v>361.46929999999998</v>
      </c>
      <c r="M943">
        <v>0.79241039999999996</v>
      </c>
      <c r="N943">
        <v>-1.6142719999999999E-2</v>
      </c>
      <c r="O943">
        <v>-0.609774699999999</v>
      </c>
      <c r="P943">
        <v>0.49997619999999998</v>
      </c>
      <c r="Q943">
        <v>0.2099029</v>
      </c>
      <c r="R943">
        <v>-0.84021710000000005</v>
      </c>
      <c r="S943">
        <v>0.60429379999999999</v>
      </c>
      <c r="T943">
        <v>2.5072810000000001E-2</v>
      </c>
      <c r="U943">
        <v>-3.224396</v>
      </c>
      <c r="V943">
        <v>0.36669190000000002</v>
      </c>
      <c r="W943">
        <v>0.2150745</v>
      </c>
      <c r="X943">
        <v>0.90514090000000003</v>
      </c>
      <c r="Y943">
        <v>0.66661309999999996</v>
      </c>
      <c r="Z943">
        <v>-1.7077760000000001E-2</v>
      </c>
      <c r="AA943">
        <v>0.74520830000000005</v>
      </c>
      <c r="AB943">
        <v>23</v>
      </c>
      <c r="AC943">
        <v>28.200800000000001</v>
      </c>
      <c r="AD943">
        <v>1.1771119999999999</v>
      </c>
      <c r="AE943">
        <v>-151.23299999999901</v>
      </c>
      <c r="AF943">
        <v>102.64983347157499</v>
      </c>
      <c r="AG943">
        <v>1.1771119999999999</v>
      </c>
      <c r="AH943">
        <v>114.572885779842</v>
      </c>
      <c r="AI943">
        <v>89.561581909339907</v>
      </c>
      <c r="AJ943">
        <v>48.141732918206301</v>
      </c>
      <c r="AK943">
        <v>153.835366740952</v>
      </c>
      <c r="AL943">
        <v>77.580102154275906</v>
      </c>
      <c r="AM943">
        <v>67.946079866310498</v>
      </c>
      <c r="AN943">
        <v>1.0000000194643299</v>
      </c>
    </row>
    <row r="944" spans="1:40" x14ac:dyDescent="0.25">
      <c r="A944" t="str">
        <f>"20190303170737001"</f>
        <v>20190303170737001</v>
      </c>
      <c r="B944" t="str">
        <f>"1551604056993477"</f>
        <v>1551604056993477</v>
      </c>
      <c r="C944" t="s">
        <v>40</v>
      </c>
      <c r="D944">
        <v>4.8816759999999997</v>
      </c>
      <c r="E944">
        <v>0.65266290000000005</v>
      </c>
      <c r="F944" t="s">
        <v>54</v>
      </c>
      <c r="G944">
        <v>-168.4144</v>
      </c>
      <c r="H944">
        <v>2.5686460000000002</v>
      </c>
      <c r="I944">
        <v>197.12459999999999</v>
      </c>
      <c r="J944">
        <v>-196.9598</v>
      </c>
      <c r="K944">
        <v>1.1108309999999999</v>
      </c>
      <c r="L944">
        <v>361.29840000000002</v>
      </c>
      <c r="M944">
        <v>0.78144939999999996</v>
      </c>
      <c r="N944">
        <v>-1.616476E-2</v>
      </c>
      <c r="O944">
        <v>-0.62375939999999996</v>
      </c>
      <c r="P944">
        <v>0.48460059999999999</v>
      </c>
      <c r="Q944">
        <v>0.2102097</v>
      </c>
      <c r="R944">
        <v>-0.84910219999999903</v>
      </c>
      <c r="S944">
        <v>0.56431580000000003</v>
      </c>
      <c r="T944">
        <v>2.8630849999999999E-2</v>
      </c>
      <c r="U944">
        <v>-3.2275700000000001</v>
      </c>
      <c r="V944">
        <v>0.3670274</v>
      </c>
      <c r="W944">
        <v>0.2153977</v>
      </c>
      <c r="X944">
        <v>0.90492799999999995</v>
      </c>
      <c r="Y944">
        <v>0.66243430000000003</v>
      </c>
      <c r="Z944">
        <v>-1.7732649999999999E-2</v>
      </c>
      <c r="AA944">
        <v>0.74891009999999902</v>
      </c>
      <c r="AB944">
        <v>23</v>
      </c>
      <c r="AC944">
        <v>28.545400000000001</v>
      </c>
      <c r="AD944">
        <v>1.4578150000000001</v>
      </c>
      <c r="AE944">
        <v>-164.1738</v>
      </c>
      <c r="AF944">
        <v>110.494023293456</v>
      </c>
      <c r="AG944">
        <v>1.4578150000000001</v>
      </c>
      <c r="AH944">
        <v>124.718472259691</v>
      </c>
      <c r="AI944">
        <v>89.498725203560596</v>
      </c>
      <c r="AJ944">
        <v>48.460740980530602</v>
      </c>
      <c r="AK944">
        <v>166.63058462041201</v>
      </c>
      <c r="AL944">
        <v>77.561139261409195</v>
      </c>
      <c r="AM944">
        <v>67.923145085069507</v>
      </c>
      <c r="AN944">
        <v>0.99999998335002405</v>
      </c>
    </row>
    <row r="945" spans="1:40" x14ac:dyDescent="0.25">
      <c r="A945" t="str">
        <f>"20190303170737023"</f>
        <v>20190303170737023</v>
      </c>
      <c r="B945" t="str">
        <f>"1551604057012996"</f>
        <v>1551604057012996</v>
      </c>
      <c r="C945" t="s">
        <v>40</v>
      </c>
      <c r="D945">
        <v>4.9259000000000004</v>
      </c>
      <c r="E945">
        <v>0.65155980000000002</v>
      </c>
      <c r="F945" t="s">
        <v>54</v>
      </c>
      <c r="G945">
        <v>-169.3022</v>
      </c>
      <c r="H945">
        <v>2.6051099999999998</v>
      </c>
      <c r="I945">
        <v>186.40430000000001</v>
      </c>
      <c r="J945">
        <v>-196.7852</v>
      </c>
      <c r="K945">
        <v>1.110857</v>
      </c>
      <c r="L945">
        <v>361.13490000000002</v>
      </c>
      <c r="M945">
        <v>0.77091469999999995</v>
      </c>
      <c r="N945">
        <v>-1.6181270000000001E-2</v>
      </c>
      <c r="O945">
        <v>-0.63673290000000005</v>
      </c>
      <c r="P945">
        <v>0.46971679999999999</v>
      </c>
      <c r="Q945">
        <v>0.21032139999999999</v>
      </c>
      <c r="R945">
        <v>-0.85739809999999905</v>
      </c>
      <c r="S945">
        <v>0.51148990000000005</v>
      </c>
      <c r="T945">
        <v>2.7635340000000001E-2</v>
      </c>
      <c r="U945">
        <v>-3.2344360000000001</v>
      </c>
      <c r="V945">
        <v>0.36766130000000002</v>
      </c>
      <c r="W945">
        <v>0.21551970000000001</v>
      </c>
      <c r="X945">
        <v>0.90464160000000005</v>
      </c>
      <c r="Y945">
        <v>0.66208269999999902</v>
      </c>
      <c r="Z945">
        <v>-1.7936870000000001E-2</v>
      </c>
      <c r="AA945">
        <v>0.74921610000000005</v>
      </c>
      <c r="AB945">
        <v>23</v>
      </c>
      <c r="AC945">
        <v>27.483000000000001</v>
      </c>
      <c r="AD945">
        <v>1.4942529999999901</v>
      </c>
      <c r="AE945">
        <v>-174.73060000000001</v>
      </c>
      <c r="AF945">
        <v>117.210034211109</v>
      </c>
      <c r="AG945">
        <v>1.4942529999999901</v>
      </c>
      <c r="AH945">
        <v>132.45165397053799</v>
      </c>
      <c r="AI945">
        <v>89.515948322327006</v>
      </c>
      <c r="AJ945">
        <v>48.493519602666801</v>
      </c>
      <c r="AK945">
        <v>176.87245560382999</v>
      </c>
      <c r="AL945">
        <v>77.553981242896498</v>
      </c>
      <c r="AM945">
        <v>67.882362304880303</v>
      </c>
      <c r="AN945">
        <v>0.99999999852817001</v>
      </c>
    </row>
    <row r="946" spans="1:40" x14ac:dyDescent="0.25">
      <c r="A946" t="str">
        <f>"20190303170737044"</f>
        <v>20190303170737044</v>
      </c>
      <c r="B946" t="str">
        <f>"1551604057033493"</f>
        <v>1551604057033493</v>
      </c>
      <c r="C946" t="s">
        <v>40</v>
      </c>
      <c r="D946">
        <v>4.9261929999999996</v>
      </c>
      <c r="E946">
        <v>0.63724729999999996</v>
      </c>
      <c r="F946" t="s">
        <v>55</v>
      </c>
      <c r="G946">
        <v>-161.3716</v>
      </c>
      <c r="H946">
        <v>3.2473420000000002</v>
      </c>
      <c r="I946">
        <v>113.2517</v>
      </c>
      <c r="J946">
        <v>-196.62379999999999</v>
      </c>
      <c r="K946">
        <v>1.110887</v>
      </c>
      <c r="L946">
        <v>360.97879999999998</v>
      </c>
      <c r="M946">
        <v>0.76081350000000003</v>
      </c>
      <c r="N946">
        <v>-1.6193019999999999E-2</v>
      </c>
      <c r="O946">
        <v>-0.64876849999999997</v>
      </c>
      <c r="P946">
        <v>0.45556950000000002</v>
      </c>
      <c r="Q946">
        <v>0.2105255</v>
      </c>
      <c r="R946">
        <v>-0.86494850000000001</v>
      </c>
      <c r="S946">
        <v>0.462677</v>
      </c>
      <c r="T946">
        <v>2.7913210000000001E-2</v>
      </c>
      <c r="U946">
        <v>-3.2385860000000002</v>
      </c>
      <c r="V946">
        <v>0.36826229999999999</v>
      </c>
      <c r="W946">
        <v>0.21573619999999999</v>
      </c>
      <c r="X946">
        <v>0.90434550000000002</v>
      </c>
      <c r="Y946">
        <v>0.66149650000000004</v>
      </c>
      <c r="Z946">
        <v>-1.8245589999999999E-2</v>
      </c>
      <c r="AA946">
        <v>0.74972629999999996</v>
      </c>
      <c r="AB946">
        <v>23</v>
      </c>
      <c r="AC946">
        <v>35.252199999999903</v>
      </c>
      <c r="AD946">
        <v>2.1364550000000002</v>
      </c>
      <c r="AE946">
        <v>-247.72710000000001</v>
      </c>
      <c r="AF946">
        <v>165.61325087770999</v>
      </c>
      <c r="AG946">
        <v>2.1364550000000002</v>
      </c>
      <c r="AH946">
        <v>187.54881212951599</v>
      </c>
      <c r="AI946">
        <v>89.510772723718503</v>
      </c>
      <c r="AJ946">
        <v>48.554182985015998</v>
      </c>
      <c r="AK946">
        <v>250.21364918294</v>
      </c>
      <c r="AL946">
        <v>77.541277967900299</v>
      </c>
      <c r="AM946">
        <v>67.843150537804306</v>
      </c>
      <c r="AN946">
        <v>1.00000000648099</v>
      </c>
    </row>
    <row r="947" spans="1:40" x14ac:dyDescent="0.25">
      <c r="A947" t="str">
        <f>"20190303170737067"</f>
        <v>20190303170737067</v>
      </c>
      <c r="B947" t="str">
        <f>"1551604057062772"</f>
        <v>1551604057062772</v>
      </c>
      <c r="C947" t="s">
        <v>40</v>
      </c>
      <c r="D947">
        <v>4.8879910000000004</v>
      </c>
      <c r="E947">
        <v>0.63592550000000003</v>
      </c>
      <c r="F947" t="s">
        <v>54</v>
      </c>
      <c r="G947">
        <v>-168.63499999999999</v>
      </c>
      <c r="H947">
        <v>2.1132740000000001</v>
      </c>
      <c r="I947">
        <v>186.40430000000001</v>
      </c>
      <c r="J947">
        <v>-196.45230000000001</v>
      </c>
      <c r="K947">
        <v>1.1109199999999999</v>
      </c>
      <c r="L947">
        <v>360.8075</v>
      </c>
      <c r="M947">
        <v>0.74969049999999904</v>
      </c>
      <c r="N947">
        <v>-1.6201770000000001E-2</v>
      </c>
      <c r="O947">
        <v>-0.66159049999999997</v>
      </c>
      <c r="P947">
        <v>0.43970389999999998</v>
      </c>
      <c r="Q947">
        <v>0.2112512</v>
      </c>
      <c r="R947">
        <v>-0.87294550000000004</v>
      </c>
      <c r="S947">
        <v>0.51211549999999995</v>
      </c>
      <c r="T947">
        <v>1.8341420000000001E-2</v>
      </c>
      <c r="U947">
        <v>-3.1942140000000001</v>
      </c>
      <c r="V947">
        <v>0.3692935</v>
      </c>
      <c r="W947">
        <v>0.2164624</v>
      </c>
      <c r="X947">
        <v>0.90375130000000004</v>
      </c>
      <c r="Y947">
        <v>0.63557019999999997</v>
      </c>
      <c r="Z947">
        <v>-1.730377E-2</v>
      </c>
      <c r="AA947">
        <v>0.77184909999999995</v>
      </c>
      <c r="AB947">
        <v>23</v>
      </c>
      <c r="AC947">
        <v>27.817299999999999</v>
      </c>
      <c r="AD947">
        <v>1.002354</v>
      </c>
      <c r="AE947">
        <v>-174.4032</v>
      </c>
      <c r="AF947">
        <v>112.355870843652</v>
      </c>
      <c r="AG947">
        <v>1.002354</v>
      </c>
      <c r="AH947">
        <v>136.25133873287399</v>
      </c>
      <c r="AI947">
        <v>89.674805298453506</v>
      </c>
      <c r="AJ947">
        <v>50.490253021766897</v>
      </c>
      <c r="AK947">
        <v>176.60485195225201</v>
      </c>
      <c r="AL947">
        <v>77.498663210736396</v>
      </c>
      <c r="AM947">
        <v>67.7739495438272</v>
      </c>
      <c r="AN947">
        <v>1.0000000360038399</v>
      </c>
    </row>
    <row r="948" spans="1:40" x14ac:dyDescent="0.25">
      <c r="A948" t="str">
        <f>"20190303170737090"</f>
        <v>20190303170737090</v>
      </c>
      <c r="B948" t="str">
        <f>"1551604057083268"</f>
        <v>1551604057083268</v>
      </c>
      <c r="C948" t="s">
        <v>40</v>
      </c>
      <c r="D948">
        <v>4.9450129999999897</v>
      </c>
      <c r="E948">
        <v>0.63520379999999999</v>
      </c>
      <c r="F948" t="s">
        <v>54</v>
      </c>
      <c r="G948">
        <v>-169.33410000000001</v>
      </c>
      <c r="H948">
        <v>1.7575050000000001</v>
      </c>
      <c r="I948">
        <v>174.71270000000001</v>
      </c>
      <c r="J948">
        <v>-196.2824</v>
      </c>
      <c r="K948">
        <v>1.110948</v>
      </c>
      <c r="L948">
        <v>360.6318</v>
      </c>
      <c r="M948">
        <v>0.73824569999999901</v>
      </c>
      <c r="N948">
        <v>-1.6206740000000001E-2</v>
      </c>
      <c r="O948">
        <v>-0.67433739999999998</v>
      </c>
      <c r="P948">
        <v>0.42323430000000001</v>
      </c>
      <c r="Q948">
        <v>0.2114142</v>
      </c>
      <c r="R948">
        <v>-0.88100940000000005</v>
      </c>
      <c r="S948">
        <v>0.4661865</v>
      </c>
      <c r="T948">
        <v>1.111591E-2</v>
      </c>
      <c r="U948">
        <v>-3.1991269999999998</v>
      </c>
      <c r="V948">
        <v>0.37074119999999999</v>
      </c>
      <c r="W948">
        <v>0.21661559999999999</v>
      </c>
      <c r="X948">
        <v>0.90312159999999997</v>
      </c>
      <c r="Y948">
        <v>0.63333709999999999</v>
      </c>
      <c r="Z948">
        <v>-1.661514E-2</v>
      </c>
      <c r="AA948">
        <v>0.77369759999999999</v>
      </c>
      <c r="AB948">
        <v>23</v>
      </c>
      <c r="AC948">
        <v>26.9482999999999</v>
      </c>
      <c r="AD948">
        <v>0.64655699999999905</v>
      </c>
      <c r="AE948">
        <v>-185.91909999999999</v>
      </c>
      <c r="AF948">
        <v>119.09594293286401</v>
      </c>
      <c r="AG948">
        <v>0.64655699999999905</v>
      </c>
      <c r="AH948">
        <v>145.28400785213</v>
      </c>
      <c r="AI948">
        <v>89.802805866724597</v>
      </c>
      <c r="AJ948">
        <v>50.6569601571044</v>
      </c>
      <c r="AK948">
        <v>187.86086499481499</v>
      </c>
      <c r="AL948">
        <v>77.489671590755094</v>
      </c>
      <c r="AM948">
        <v>67.681318784773495</v>
      </c>
      <c r="AN948">
        <v>0.99999998996368</v>
      </c>
    </row>
    <row r="949" spans="1:40" x14ac:dyDescent="0.25">
      <c r="A949" t="str">
        <f>"20190303170737113"</f>
        <v>20190303170737113</v>
      </c>
      <c r="B949" t="str">
        <f>"1551604057102788"</f>
        <v>1551604057102788</v>
      </c>
      <c r="C949" t="s">
        <v>40</v>
      </c>
      <c r="D949">
        <v>4.8592620000000002</v>
      </c>
      <c r="E949">
        <v>0.62455509999999903</v>
      </c>
      <c r="F949" t="s">
        <v>55</v>
      </c>
      <c r="G949">
        <v>-164.01050000000001</v>
      </c>
      <c r="H949">
        <v>1.5478799999999999</v>
      </c>
      <c r="I949">
        <v>110.60720000000001</v>
      </c>
      <c r="J949">
        <v>-196.11369999999999</v>
      </c>
      <c r="K949">
        <v>1.1109990000000001</v>
      </c>
      <c r="L949">
        <v>360.45060000000001</v>
      </c>
      <c r="M949">
        <v>0.7264311</v>
      </c>
      <c r="N949">
        <v>-1.6208509999999999E-2</v>
      </c>
      <c r="O949">
        <v>-0.68704829999999995</v>
      </c>
      <c r="P949">
        <v>0.4068715</v>
      </c>
      <c r="Q949">
        <v>0.211364</v>
      </c>
      <c r="R949">
        <v>-0.88869629999999999</v>
      </c>
      <c r="S949">
        <v>0.41369630000000002</v>
      </c>
      <c r="T949">
        <v>5.6011680000000001E-3</v>
      </c>
      <c r="U949">
        <v>-3.2050779999999999</v>
      </c>
      <c r="V949">
        <v>0.37175599999999998</v>
      </c>
      <c r="W949">
        <v>0.21657000000000001</v>
      </c>
      <c r="X949">
        <v>0.9027153</v>
      </c>
      <c r="Y949">
        <v>0.63253459999999995</v>
      </c>
      <c r="Z949">
        <v>-1.6077480000000002E-2</v>
      </c>
      <c r="AA949">
        <v>0.77436519999999898</v>
      </c>
      <c r="AB949">
        <v>23</v>
      </c>
      <c r="AC949">
        <v>32.103199999999902</v>
      </c>
      <c r="AD949">
        <v>0.43688099999999902</v>
      </c>
      <c r="AE949">
        <v>-249.8434</v>
      </c>
      <c r="AF949">
        <v>159.45801679192101</v>
      </c>
      <c r="AG949">
        <v>0.43688099999999902</v>
      </c>
      <c r="AH949">
        <v>195.000254169817</v>
      </c>
      <c r="AI949">
        <v>89.900628272518603</v>
      </c>
      <c r="AJ949">
        <v>50.7260224931577</v>
      </c>
      <c r="AK949">
        <v>251.89710024236899</v>
      </c>
      <c r="AL949">
        <v>77.492347942003207</v>
      </c>
      <c r="AM949">
        <v>67.617167823864705</v>
      </c>
      <c r="AN949">
        <v>1.00000000064504</v>
      </c>
    </row>
    <row r="950" spans="1:40" x14ac:dyDescent="0.25">
      <c r="A950" t="str">
        <f>"20190303170737136"</f>
        <v>20190303170737136</v>
      </c>
      <c r="B950" t="str">
        <f>"1551604057133044"</f>
        <v>1551604057133044</v>
      </c>
      <c r="C950" t="s">
        <v>40</v>
      </c>
      <c r="D950">
        <v>4.8430749999999998</v>
      </c>
      <c r="E950">
        <v>0.62231479999999995</v>
      </c>
      <c r="F950" t="s">
        <v>55</v>
      </c>
      <c r="G950">
        <v>-162.29560000000001</v>
      </c>
      <c r="H950">
        <v>1.186742</v>
      </c>
      <c r="I950">
        <v>112.3248</v>
      </c>
      <c r="J950">
        <v>-195.94759999999999</v>
      </c>
      <c r="K950">
        <v>1.111048</v>
      </c>
      <c r="L950">
        <v>360.26600000000002</v>
      </c>
      <c r="M950">
        <v>0.714364</v>
      </c>
      <c r="N950">
        <v>-1.620802E-2</v>
      </c>
      <c r="O950">
        <v>-0.69958679999999995</v>
      </c>
      <c r="P950">
        <v>0.39247339999999997</v>
      </c>
      <c r="Q950">
        <v>0.2115118</v>
      </c>
      <c r="R950">
        <v>-0.89511319999999905</v>
      </c>
      <c r="S950">
        <v>0.4330444</v>
      </c>
      <c r="T950">
        <v>9.7000600000000004E-4</v>
      </c>
      <c r="U950">
        <v>-3.1772770000000001</v>
      </c>
      <c r="V950">
        <v>0.3705695</v>
      </c>
      <c r="W950">
        <v>0.21679200000000001</v>
      </c>
      <c r="X950">
        <v>0.9031498</v>
      </c>
      <c r="Y950">
        <v>0.61336569999999901</v>
      </c>
      <c r="Z950">
        <v>-1.5446959999999999E-2</v>
      </c>
      <c r="AA950">
        <v>0.78964799999999902</v>
      </c>
      <c r="AB950">
        <v>23</v>
      </c>
      <c r="AC950">
        <v>33.651999999999902</v>
      </c>
      <c r="AD950">
        <v>7.56939999999999E-2</v>
      </c>
      <c r="AE950">
        <v>-247.94120000000001</v>
      </c>
      <c r="AF950">
        <v>153.597910546538</v>
      </c>
      <c r="AG950">
        <v>7.56939999999999E-2</v>
      </c>
      <c r="AH950">
        <v>197.522065040885</v>
      </c>
      <c r="AI950">
        <v>89.982667083611503</v>
      </c>
      <c r="AJ950">
        <v>52.130504362411301</v>
      </c>
      <c r="AK950">
        <v>250.21448805346901</v>
      </c>
      <c r="AL950">
        <v>77.479319281321807</v>
      </c>
      <c r="AM950">
        <v>67.6912697343883</v>
      </c>
      <c r="AN950">
        <v>1.0000000434171401</v>
      </c>
    </row>
    <row r="951" spans="1:40" x14ac:dyDescent="0.25">
      <c r="A951" t="str">
        <f>"20190303170737159"</f>
        <v>20190303170737159</v>
      </c>
      <c r="B951" t="str">
        <f>"1551604057153540"</f>
        <v>1551604057153540</v>
      </c>
      <c r="C951" t="s">
        <v>40</v>
      </c>
      <c r="D951">
        <v>4.8494729999999997</v>
      </c>
      <c r="E951">
        <v>0.62053700000000001</v>
      </c>
      <c r="F951" t="s">
        <v>55</v>
      </c>
      <c r="G951">
        <v>-164.88319999999999</v>
      </c>
      <c r="H951">
        <v>2.3830339999999999</v>
      </c>
      <c r="I951">
        <v>109.73350000000001</v>
      </c>
      <c r="J951">
        <v>-195.79220000000001</v>
      </c>
      <c r="K951">
        <v>1.1110910000000001</v>
      </c>
      <c r="L951">
        <v>360.08749999999998</v>
      </c>
      <c r="M951">
        <v>0.70266260000000003</v>
      </c>
      <c r="N951">
        <v>-1.6205750000000001E-2</v>
      </c>
      <c r="O951">
        <v>-0.71133869999999999</v>
      </c>
      <c r="P951">
        <v>0.37922109999999998</v>
      </c>
      <c r="Q951">
        <v>0.2125966</v>
      </c>
      <c r="R951">
        <v>-0.90055219999999903</v>
      </c>
      <c r="S951">
        <v>0.39369199999999999</v>
      </c>
      <c r="T951">
        <v>1.6120550000000001E-2</v>
      </c>
      <c r="U951">
        <v>-3.1751100000000001</v>
      </c>
      <c r="V951">
        <v>0.36873889999999998</v>
      </c>
      <c r="W951">
        <v>0.21796450000000001</v>
      </c>
      <c r="X951">
        <v>0.90361670000000005</v>
      </c>
      <c r="Y951">
        <v>0.60984469999999902</v>
      </c>
      <c r="Z951">
        <v>-1.7783520000000001E-2</v>
      </c>
      <c r="AA951">
        <v>0.79232139999999995</v>
      </c>
      <c r="AB951">
        <v>23</v>
      </c>
      <c r="AC951">
        <v>30.908999999999999</v>
      </c>
      <c r="AD951">
        <v>1.2719429999999901</v>
      </c>
      <c r="AE951">
        <v>-250.35400000000001</v>
      </c>
      <c r="AF951">
        <v>153.94391956040801</v>
      </c>
      <c r="AG951">
        <v>1.2719429999999901</v>
      </c>
      <c r="AH951">
        <v>199.82623869948301</v>
      </c>
      <c r="AI951">
        <v>89.711092924237406</v>
      </c>
      <c r="AJ951">
        <v>52.389742352249897</v>
      </c>
      <c r="AK951">
        <v>252.25160828307901</v>
      </c>
      <c r="AL951">
        <v>77.410493895779396</v>
      </c>
      <c r="AM951">
        <v>67.801100405151004</v>
      </c>
      <c r="AN951">
        <v>1.0000000200761701</v>
      </c>
    </row>
    <row r="952" spans="1:40" x14ac:dyDescent="0.25">
      <c r="A952" t="str">
        <f>"20190303170737181"</f>
        <v>20190303170737181</v>
      </c>
      <c r="B952" t="str">
        <f>"1551604057173061"</f>
        <v>1551604057173061</v>
      </c>
      <c r="C952" t="s">
        <v>40</v>
      </c>
      <c r="D952">
        <v>4.8614699999999997</v>
      </c>
      <c r="E952">
        <v>0.61968389999999995</v>
      </c>
      <c r="F952" t="s">
        <v>55</v>
      </c>
      <c r="G952">
        <v>-167.24610000000001</v>
      </c>
      <c r="H952">
        <v>2.7984399999999998</v>
      </c>
      <c r="I952">
        <v>107.3668</v>
      </c>
      <c r="J952">
        <v>-195.6388</v>
      </c>
      <c r="K952">
        <v>1.1111249999999999</v>
      </c>
      <c r="L952">
        <v>359.90519999999998</v>
      </c>
      <c r="M952">
        <v>0.69068929999999995</v>
      </c>
      <c r="N952">
        <v>-1.6202040000000001E-2</v>
      </c>
      <c r="O952">
        <v>-0.72297019999999901</v>
      </c>
      <c r="P952">
        <v>0.36526839999999999</v>
      </c>
      <c r="Q952">
        <v>0.21362</v>
      </c>
      <c r="R952">
        <v>-0.90606059999999999</v>
      </c>
      <c r="S952">
        <v>0.35865780000000003</v>
      </c>
      <c r="T952">
        <v>2.1200299999999998E-2</v>
      </c>
      <c r="U952">
        <v>-3.1752319999999998</v>
      </c>
      <c r="V952">
        <v>0.36744290000000002</v>
      </c>
      <c r="W952">
        <v>0.21905649999999999</v>
      </c>
      <c r="X952">
        <v>0.90388049999999998</v>
      </c>
      <c r="Y952">
        <v>0.60523899999999997</v>
      </c>
      <c r="Z952">
        <v>-1.87388E-2</v>
      </c>
      <c r="AA952">
        <v>0.79582330000000001</v>
      </c>
      <c r="AB952">
        <v>23</v>
      </c>
      <c r="AC952">
        <v>28.392699999999898</v>
      </c>
      <c r="AD952">
        <v>1.6873149999999999</v>
      </c>
      <c r="AE952">
        <v>-252.5384</v>
      </c>
      <c r="AF952">
        <v>153.91190362669201</v>
      </c>
      <c r="AG952">
        <v>1.6873149999999999</v>
      </c>
      <c r="AH952">
        <v>202.20588795221499</v>
      </c>
      <c r="AI952">
        <v>89.619568449542001</v>
      </c>
      <c r="AJ952">
        <v>52.722904228159301</v>
      </c>
      <c r="AK952">
        <v>254.12387182719601</v>
      </c>
      <c r="AL952">
        <v>77.346377201910599</v>
      </c>
      <c r="AM952">
        <v>67.877415985366397</v>
      </c>
      <c r="AN952">
        <v>0.999999996616455</v>
      </c>
    </row>
    <row r="953" spans="1:40" x14ac:dyDescent="0.25">
      <c r="A953" t="str">
        <f>"20190303170737204"</f>
        <v>20190303170737204</v>
      </c>
      <c r="B953" t="str">
        <f>"1551604057193557"</f>
        <v>1551604057193557</v>
      </c>
      <c r="C953" t="s">
        <v>40</v>
      </c>
      <c r="D953">
        <v>4.8673339999999996</v>
      </c>
      <c r="E953">
        <v>0.60853539999999995</v>
      </c>
      <c r="F953" t="s">
        <v>55</v>
      </c>
      <c r="G953">
        <v>-169.0856</v>
      </c>
      <c r="H953">
        <v>2.9343759999999999</v>
      </c>
      <c r="I953">
        <v>93.990669999999994</v>
      </c>
      <c r="J953">
        <v>-195.4896</v>
      </c>
      <c r="K953">
        <v>1.111159</v>
      </c>
      <c r="L953">
        <v>359.72199999999998</v>
      </c>
      <c r="M953">
        <v>0.67862180000000005</v>
      </c>
      <c r="N953">
        <v>-1.6197059999999999E-2</v>
      </c>
      <c r="O953">
        <v>-0.73430930000000005</v>
      </c>
      <c r="P953">
        <v>0.35157460000000001</v>
      </c>
      <c r="Q953">
        <v>0.21361569999999999</v>
      </c>
      <c r="R953">
        <v>-0.91146269999999996</v>
      </c>
      <c r="S953">
        <v>0.31733699999999998</v>
      </c>
      <c r="T953">
        <v>2.178979E-2</v>
      </c>
      <c r="U953">
        <v>-3.1779480000000002</v>
      </c>
      <c r="V953">
        <v>0.36606820000000001</v>
      </c>
      <c r="W953">
        <v>0.2191254</v>
      </c>
      <c r="X953">
        <v>0.90442140000000004</v>
      </c>
      <c r="Y953">
        <v>0.60236060000000002</v>
      </c>
      <c r="Z953">
        <v>-1.9036319999999999E-2</v>
      </c>
      <c r="AA953">
        <v>0.79799709999999902</v>
      </c>
      <c r="AB953">
        <v>23</v>
      </c>
      <c r="AC953">
        <v>26.404</v>
      </c>
      <c r="AD953">
        <v>1.8232170000000001</v>
      </c>
      <c r="AE953">
        <v>-265.73133000000001</v>
      </c>
      <c r="AF953">
        <v>160.95597989051601</v>
      </c>
      <c r="AG953">
        <v>1.8232170000000001</v>
      </c>
      <c r="AH953">
        <v>213.06533204964501</v>
      </c>
      <c r="AI953">
        <v>89.608800470009598</v>
      </c>
      <c r="AJ953">
        <v>52.931500298236401</v>
      </c>
      <c r="AK953">
        <v>267.03368196572302</v>
      </c>
      <c r="AL953">
        <v>77.342330860001596</v>
      </c>
      <c r="AM953">
        <v>67.964161089699303</v>
      </c>
      <c r="AN953">
        <v>0.99999996837717897</v>
      </c>
    </row>
    <row r="954" spans="1:40" x14ac:dyDescent="0.25">
      <c r="A954" t="str">
        <f>"20190303170737224"</f>
        <v>20190303170737224</v>
      </c>
      <c r="B954" t="str">
        <f>"1551604057213079"</f>
        <v>1551604057213079</v>
      </c>
      <c r="C954" t="s">
        <v>40</v>
      </c>
      <c r="D954">
        <v>4.9138630000000001</v>
      </c>
      <c r="E954">
        <v>0.60744540000000002</v>
      </c>
      <c r="F954" t="s">
        <v>55</v>
      </c>
      <c r="G954">
        <v>-166.86349999999999</v>
      </c>
      <c r="H954">
        <v>0.75086709999999901</v>
      </c>
      <c r="I954">
        <v>107.7487</v>
      </c>
      <c r="J954">
        <v>-195.3509</v>
      </c>
      <c r="K954">
        <v>1.1111979999999999</v>
      </c>
      <c r="L954">
        <v>359.54570000000001</v>
      </c>
      <c r="M954">
        <v>0.66699889999999995</v>
      </c>
      <c r="N954">
        <v>-1.619141E-2</v>
      </c>
      <c r="O954">
        <v>-0.74488290000000001</v>
      </c>
      <c r="P954">
        <v>0.33868720000000002</v>
      </c>
      <c r="Q954">
        <v>0.21270600000000001</v>
      </c>
      <c r="R954">
        <v>-0.91654119999999994</v>
      </c>
      <c r="S954">
        <v>0.35835270000000002</v>
      </c>
      <c r="T954">
        <v>-4.5101639999999997E-3</v>
      </c>
      <c r="U954">
        <v>-3.1542970000000001</v>
      </c>
      <c r="V954">
        <v>0.36470249999999999</v>
      </c>
      <c r="W954">
        <v>0.21828790000000001</v>
      </c>
      <c r="X954">
        <v>0.90517539999999996</v>
      </c>
      <c r="Y954">
        <v>0.57865880000000003</v>
      </c>
      <c r="Z954">
        <v>-1.4749119999999999E-2</v>
      </c>
      <c r="AA954">
        <v>0.81543639999999995</v>
      </c>
      <c r="AB954">
        <v>23</v>
      </c>
      <c r="AC954">
        <v>28.487400000000001</v>
      </c>
      <c r="AD954">
        <v>-0.36033090000000001</v>
      </c>
      <c r="AE954">
        <v>-251.797</v>
      </c>
      <c r="AF954">
        <v>146.747468453279</v>
      </c>
      <c r="AG954">
        <v>-0.36033090000000001</v>
      </c>
      <c r="AH954">
        <v>206.586984087541</v>
      </c>
      <c r="AI954">
        <v>90.081472747243296</v>
      </c>
      <c r="AJ954">
        <v>54.6122119234293</v>
      </c>
      <c r="AK954">
        <v>253.40310047469799</v>
      </c>
      <c r="AL954">
        <v>77.391507159950294</v>
      </c>
      <c r="AM954">
        <v>68.055095210344305</v>
      </c>
      <c r="AN954">
        <v>1.0000000127789099</v>
      </c>
    </row>
    <row r="955" spans="1:40" x14ac:dyDescent="0.25">
      <c r="A955" t="str">
        <f>"20190303170737246"</f>
        <v>20190303170737246</v>
      </c>
      <c r="B955" t="str">
        <f>"1551604057233573"</f>
        <v>1551604057233573</v>
      </c>
      <c r="C955" t="s">
        <v>40</v>
      </c>
      <c r="D955">
        <v>4.9204400000000001</v>
      </c>
      <c r="E955">
        <v>0.62536769999999997</v>
      </c>
      <c r="F955" t="s">
        <v>55</v>
      </c>
      <c r="G955">
        <v>-169.5787</v>
      </c>
      <c r="H955">
        <v>0.40941480000000002</v>
      </c>
      <c r="I955">
        <v>106.3013</v>
      </c>
      <c r="J955">
        <v>-195.21340000000001</v>
      </c>
      <c r="K955">
        <v>1.1112329999999999</v>
      </c>
      <c r="L955">
        <v>359.36529999999999</v>
      </c>
      <c r="M955">
        <v>0.65507329999999997</v>
      </c>
      <c r="N955">
        <v>-1.6185040000000001E-2</v>
      </c>
      <c r="O955">
        <v>-0.75539199999999995</v>
      </c>
      <c r="P955">
        <v>0.32536700000000002</v>
      </c>
      <c r="Q955">
        <v>0.21239830000000001</v>
      </c>
      <c r="R955">
        <v>-0.92142469999999999</v>
      </c>
      <c r="S955">
        <v>0.32122800000000001</v>
      </c>
      <c r="T955">
        <v>-8.7469820000000004E-3</v>
      </c>
      <c r="U955">
        <v>-3.1564640000000002</v>
      </c>
      <c r="V955">
        <v>0.36344759999999998</v>
      </c>
      <c r="W955">
        <v>0.21804589999999999</v>
      </c>
      <c r="X955">
        <v>0.9057383</v>
      </c>
      <c r="Y955">
        <v>0.57522369999999901</v>
      </c>
      <c r="Z955">
        <v>-1.407222E-2</v>
      </c>
      <c r="AA955">
        <v>0.81787509999999997</v>
      </c>
      <c r="AB955">
        <v>23</v>
      </c>
      <c r="AC955">
        <v>25.634699999999999</v>
      </c>
      <c r="AD955">
        <v>-0.70181819999999995</v>
      </c>
      <c r="AE955">
        <v>-253.06399999999999</v>
      </c>
      <c r="AF955">
        <v>146.42928369231299</v>
      </c>
      <c r="AG955">
        <v>-0.70181819999999995</v>
      </c>
      <c r="AH955">
        <v>207.98078211970301</v>
      </c>
      <c r="AI955">
        <v>90.158089224840197</v>
      </c>
      <c r="AJ955">
        <v>54.8524628269437</v>
      </c>
      <c r="AK955">
        <v>254.35808106398599</v>
      </c>
      <c r="AL955">
        <v>77.405715079886804</v>
      </c>
      <c r="AM955">
        <v>68.135780443013601</v>
      </c>
      <c r="AN955">
        <v>1.0000000202697199</v>
      </c>
    </row>
    <row r="956" spans="1:40" x14ac:dyDescent="0.25">
      <c r="A956" t="str">
        <f>"20190303170737271"</f>
        <v>20190303170737271</v>
      </c>
      <c r="B956" t="str">
        <f>"1551604057262853"</f>
        <v>1551604057262853</v>
      </c>
      <c r="C956" t="s">
        <v>40</v>
      </c>
      <c r="D956">
        <v>4.9148239999999896</v>
      </c>
      <c r="E956">
        <v>0.62570019999999904</v>
      </c>
      <c r="F956" t="s">
        <v>56</v>
      </c>
      <c r="G956">
        <v>-177.10310000000001</v>
      </c>
      <c r="H956">
        <v>5.2494339999999999</v>
      </c>
      <c r="I956">
        <v>-80.950369999999893</v>
      </c>
      <c r="J956">
        <v>-195.0599</v>
      </c>
      <c r="K956">
        <v>1.11127</v>
      </c>
      <c r="L956">
        <v>359.15640000000002</v>
      </c>
      <c r="M956">
        <v>0.64123799999999997</v>
      </c>
      <c r="N956">
        <v>-1.6176909999999999E-2</v>
      </c>
      <c r="O956">
        <v>-0.76717139999999995</v>
      </c>
      <c r="P956">
        <v>0.30888110000000002</v>
      </c>
      <c r="Q956">
        <v>0.21217549999999999</v>
      </c>
      <c r="R956">
        <v>-0.92713210000000001</v>
      </c>
      <c r="S956">
        <v>0.13171389999999999</v>
      </c>
      <c r="T956">
        <v>3.0096649999999999E-2</v>
      </c>
      <c r="U956">
        <v>-3.2023619999999999</v>
      </c>
      <c r="V956">
        <v>0.36314659999999999</v>
      </c>
      <c r="W956">
        <v>0.21786159999999999</v>
      </c>
      <c r="X956">
        <v>0.90590329999999997</v>
      </c>
      <c r="Y956">
        <v>0.60922940000000003</v>
      </c>
      <c r="Z956">
        <v>-2.1094379999999999E-2</v>
      </c>
      <c r="AA956">
        <v>0.79271340000000001</v>
      </c>
      <c r="AB956">
        <v>23</v>
      </c>
      <c r="AC956">
        <v>17.956799999999902</v>
      </c>
      <c r="AD956">
        <v>4.1381639999999997</v>
      </c>
      <c r="AE956">
        <v>-440.10676999999998</v>
      </c>
      <c r="AF956">
        <v>268.44870237984497</v>
      </c>
      <c r="AG956">
        <v>4.1381639999999997</v>
      </c>
      <c r="AH956">
        <v>349.16681627535701</v>
      </c>
      <c r="AI956">
        <v>89.461684799370104</v>
      </c>
      <c r="AJ956">
        <v>52.445962869876197</v>
      </c>
      <c r="AK956">
        <v>440.45351150670001</v>
      </c>
      <c r="AL956">
        <v>77.416534029325007</v>
      </c>
      <c r="AM956">
        <v>68.155787193195096</v>
      </c>
      <c r="AN956">
        <v>0.99999995939850395</v>
      </c>
    </row>
    <row r="957" spans="1:40" x14ac:dyDescent="0.25">
      <c r="A957" t="str">
        <f>"20190303170737292"</f>
        <v>20190303170737292</v>
      </c>
      <c r="B957" t="str">
        <f>"1551604057283349"</f>
        <v>1551604057283349</v>
      </c>
      <c r="C957" t="s">
        <v>40</v>
      </c>
      <c r="D957">
        <v>4.9373120000000004</v>
      </c>
      <c r="E957">
        <v>0.62446400000000002</v>
      </c>
      <c r="F957" t="s">
        <v>56</v>
      </c>
      <c r="G957">
        <v>-185.31030000000001</v>
      </c>
      <c r="H957">
        <v>6.3655419999999996</v>
      </c>
      <c r="I957">
        <v>-80.065830000000005</v>
      </c>
      <c r="J957">
        <v>-194.92769999999999</v>
      </c>
      <c r="K957">
        <v>1.1113109999999999</v>
      </c>
      <c r="L957">
        <v>358.96960000000001</v>
      </c>
      <c r="M957">
        <v>0.62885679999999999</v>
      </c>
      <c r="N957">
        <v>-1.6168559999999998E-2</v>
      </c>
      <c r="O957">
        <v>-0.77735319999999997</v>
      </c>
      <c r="P957">
        <v>0.29513</v>
      </c>
      <c r="Q957">
        <v>0.21095520000000001</v>
      </c>
      <c r="R957">
        <v>-0.93187799999999998</v>
      </c>
      <c r="S957">
        <v>7.1105959999999996E-2</v>
      </c>
      <c r="T957">
        <v>3.8320899999999998E-2</v>
      </c>
      <c r="U957">
        <v>-3.2033689999999999</v>
      </c>
      <c r="V957">
        <v>0.36214590000000002</v>
      </c>
      <c r="W957">
        <v>0.2167026</v>
      </c>
      <c r="X957">
        <v>0.90658170000000005</v>
      </c>
      <c r="Y957">
        <v>0.61151940000000005</v>
      </c>
      <c r="Z957">
        <v>-2.2769709999999999E-2</v>
      </c>
      <c r="AA957">
        <v>0.79090179999999999</v>
      </c>
      <c r="AB957">
        <v>23</v>
      </c>
      <c r="AC957">
        <v>9.6173999999999698</v>
      </c>
      <c r="AD957">
        <v>5.2542309999999901</v>
      </c>
      <c r="AE957">
        <v>-439.035429999999</v>
      </c>
      <c r="AF957">
        <v>268.61092371805501</v>
      </c>
      <c r="AG957">
        <v>5.2542309999999901</v>
      </c>
      <c r="AH957">
        <v>347.32919947025101</v>
      </c>
      <c r="AI957">
        <v>89.314402083630299</v>
      </c>
      <c r="AJ957">
        <v>52.2830248321375</v>
      </c>
      <c r="AK957">
        <v>439.10933500520599</v>
      </c>
      <c r="AL957">
        <v>77.484566012488898</v>
      </c>
      <c r="AM957">
        <v>68.2251164551828</v>
      </c>
      <c r="AN957">
        <v>1.00000002425422</v>
      </c>
    </row>
    <row r="958" spans="1:40" x14ac:dyDescent="0.25">
      <c r="A958" t="str">
        <f>"20190303170737326"</f>
        <v>20190303170737326</v>
      </c>
      <c r="B958" t="str">
        <f>"1551604057313605"</f>
        <v>1551604057313605</v>
      </c>
      <c r="C958" t="s">
        <v>40</v>
      </c>
      <c r="D958">
        <v>4.8146969999999998</v>
      </c>
      <c r="E958">
        <v>0.62335430000000003</v>
      </c>
      <c r="F958" t="s">
        <v>56</v>
      </c>
      <c r="G958">
        <v>-190.31100000000001</v>
      </c>
      <c r="H958">
        <v>5.6842579999999998</v>
      </c>
      <c r="I958">
        <v>-80.065609999999893</v>
      </c>
      <c r="J958">
        <v>-194.73439999999999</v>
      </c>
      <c r="K958">
        <v>1.111375</v>
      </c>
      <c r="L958">
        <v>358.6848</v>
      </c>
      <c r="M958">
        <v>0.60993909999999996</v>
      </c>
      <c r="N958">
        <v>-1.6154100000000001E-2</v>
      </c>
      <c r="O958">
        <v>-0.79228379999999998</v>
      </c>
      <c r="P958">
        <v>0.27476270000000003</v>
      </c>
      <c r="Q958">
        <v>0.20998140000000001</v>
      </c>
      <c r="R958">
        <v>-0.93830349999999996</v>
      </c>
      <c r="S958">
        <v>3.3660889999999999E-2</v>
      </c>
      <c r="T958">
        <v>3.3342480000000001E-2</v>
      </c>
      <c r="U958">
        <v>-3.201111</v>
      </c>
      <c r="V958">
        <v>0.36010999999999999</v>
      </c>
      <c r="W958">
        <v>0.21583579999999999</v>
      </c>
      <c r="X958">
        <v>0.90759889999999999</v>
      </c>
      <c r="Y958">
        <v>0.60163059999999902</v>
      </c>
      <c r="Z958">
        <v>-2.2222229999999999E-2</v>
      </c>
      <c r="AA958">
        <v>0.79846530000000004</v>
      </c>
      <c r="AB958">
        <v>23</v>
      </c>
      <c r="AC958">
        <v>4.4234000000000098</v>
      </c>
      <c r="AD958">
        <v>4.572883</v>
      </c>
      <c r="AE958">
        <v>-438.75040999999999</v>
      </c>
      <c r="AF958">
        <v>264.11218440206699</v>
      </c>
      <c r="AG958">
        <v>4.572883</v>
      </c>
      <c r="AH958">
        <v>350.32046341635601</v>
      </c>
      <c r="AI958">
        <v>89.402820955740495</v>
      </c>
      <c r="AJ958">
        <v>52.986776975580803</v>
      </c>
      <c r="AK958">
        <v>438.74888523711797</v>
      </c>
      <c r="AL958">
        <v>77.535433967589</v>
      </c>
      <c r="AM958">
        <v>68.358198865161995</v>
      </c>
      <c r="AN958">
        <v>1.0000000339714199</v>
      </c>
    </row>
    <row r="959" spans="1:40" x14ac:dyDescent="0.25">
      <c r="A959" t="str">
        <f>"20190303170737351"</f>
        <v>20190303170737351</v>
      </c>
      <c r="B959" t="str">
        <f>"1551604057342885"</f>
        <v>1551604057342885</v>
      </c>
      <c r="C959" t="s">
        <v>40</v>
      </c>
      <c r="D959">
        <v>4.8795679999999999</v>
      </c>
      <c r="E959">
        <v>0.62263469999999999</v>
      </c>
      <c r="F959" t="s">
        <v>56</v>
      </c>
      <c r="G959">
        <v>-198.96969999999999</v>
      </c>
      <c r="H959">
        <v>6.3332410000000001</v>
      </c>
      <c r="I959">
        <v>-80.065820000000002</v>
      </c>
      <c r="J959">
        <v>-194.59270000000001</v>
      </c>
      <c r="K959">
        <v>1.111423</v>
      </c>
      <c r="L959">
        <v>358.46660000000003</v>
      </c>
      <c r="M959">
        <v>0.59542289999999998</v>
      </c>
      <c r="N959">
        <v>-1.6141369999999999E-2</v>
      </c>
      <c r="O959">
        <v>-0.80325040000000003</v>
      </c>
      <c r="P959">
        <v>0.25914900000000002</v>
      </c>
      <c r="Q959">
        <v>0.20994579999999999</v>
      </c>
      <c r="R959">
        <v>-0.94274340000000001</v>
      </c>
      <c r="S959">
        <v>-3.0868530000000002E-2</v>
      </c>
      <c r="T959">
        <v>3.8059000000000003E-2</v>
      </c>
      <c r="U959">
        <v>-3.197784</v>
      </c>
      <c r="V959">
        <v>0.35863220000000001</v>
      </c>
      <c r="W959">
        <v>0.21588099999999999</v>
      </c>
      <c r="X959">
        <v>0.90817309999999996</v>
      </c>
      <c r="Y959">
        <v>0.60320499999999999</v>
      </c>
      <c r="Z959">
        <v>-2.3372859999999999E-2</v>
      </c>
      <c r="AA959">
        <v>0.7972437</v>
      </c>
      <c r="AB959">
        <v>23</v>
      </c>
      <c r="AC959">
        <v>-4.3769999999999802</v>
      </c>
      <c r="AD959">
        <v>5.2218179999999998</v>
      </c>
      <c r="AE959">
        <v>-438.53242</v>
      </c>
      <c r="AF959">
        <v>264.625011977866</v>
      </c>
      <c r="AG959">
        <v>5.2218179999999998</v>
      </c>
      <c r="AH959">
        <v>349.64113228359003</v>
      </c>
      <c r="AI959">
        <v>89.317720903989098</v>
      </c>
      <c r="AJ959">
        <v>52.879834019859501</v>
      </c>
      <c r="AK959">
        <v>438.523187222822</v>
      </c>
      <c r="AL959">
        <v>77.532781496491197</v>
      </c>
      <c r="AM959">
        <v>68.451228908507602</v>
      </c>
      <c r="AN959">
        <v>1.00000002030072</v>
      </c>
    </row>
    <row r="960" spans="1:40" x14ac:dyDescent="0.25">
      <c r="A960" t="str">
        <f>"20190303170737373"</f>
        <v>20190303170737373</v>
      </c>
      <c r="B960" t="str">
        <f>"1551604057363381"</f>
        <v>1551604057363381</v>
      </c>
      <c r="C960" t="s">
        <v>40</v>
      </c>
      <c r="D960">
        <v>4.8866860000000001</v>
      </c>
      <c r="E960">
        <v>0.61108649999999998</v>
      </c>
      <c r="F960" t="s">
        <v>56</v>
      </c>
      <c r="G960">
        <v>-205.4913</v>
      </c>
      <c r="H960">
        <v>6.5631899999999996</v>
      </c>
      <c r="I960">
        <v>-80.065899999999999</v>
      </c>
      <c r="J960">
        <v>-194.4666</v>
      </c>
      <c r="K960">
        <v>1.11148</v>
      </c>
      <c r="L960">
        <v>358.26409999999998</v>
      </c>
      <c r="M960">
        <v>0.58198649999999996</v>
      </c>
      <c r="N960">
        <v>-1.612566E-2</v>
      </c>
      <c r="O960">
        <v>-0.81303890000000001</v>
      </c>
      <c r="P960">
        <v>0.24450720000000001</v>
      </c>
      <c r="Q960">
        <v>0.21045349999999999</v>
      </c>
      <c r="R960">
        <v>-0.94653359999999997</v>
      </c>
      <c r="S960">
        <v>-7.9406740000000003E-2</v>
      </c>
      <c r="T960">
        <v>3.9721369999999999E-2</v>
      </c>
      <c r="U960">
        <v>-3.1951290000000001</v>
      </c>
      <c r="V960">
        <v>0.35751660000000002</v>
      </c>
      <c r="W960">
        <v>0.21646290000000001</v>
      </c>
      <c r="X960">
        <v>0.90847440000000002</v>
      </c>
      <c r="Y960">
        <v>0.60205969999999998</v>
      </c>
      <c r="Z960">
        <v>-2.3935959999999999E-2</v>
      </c>
      <c r="AA960">
        <v>0.79809219999999903</v>
      </c>
      <c r="AB960">
        <v>23</v>
      </c>
      <c r="AC960">
        <v>-11.0246999999999</v>
      </c>
      <c r="AD960">
        <v>5.4517099999999896</v>
      </c>
      <c r="AE960">
        <v>-438.33</v>
      </c>
      <c r="AF960">
        <v>264.05909497157302</v>
      </c>
      <c r="AG960">
        <v>5.4517099999999896</v>
      </c>
      <c r="AH960">
        <v>349.95442384715199</v>
      </c>
      <c r="AI960">
        <v>89.287538162426699</v>
      </c>
      <c r="AJ960">
        <v>52.963518404412497</v>
      </c>
      <c r="AK960">
        <v>438.43474491573198</v>
      </c>
      <c r="AL960">
        <v>77.4986336753107</v>
      </c>
      <c r="AM960">
        <v>68.518618900376097</v>
      </c>
      <c r="AN960">
        <v>1.0000000209036599</v>
      </c>
    </row>
    <row r="961" spans="1:40" x14ac:dyDescent="0.25">
      <c r="A961" t="str">
        <f>"20190303170737394"</f>
        <v>20190303170737394</v>
      </c>
      <c r="B961" t="str">
        <f>"1551604057382901"</f>
        <v>1551604057382901</v>
      </c>
      <c r="C961" t="s">
        <v>40</v>
      </c>
      <c r="D961">
        <v>4.8718659999999998</v>
      </c>
      <c r="E961">
        <v>0.60864169999999995</v>
      </c>
      <c r="F961" t="s">
        <v>56</v>
      </c>
      <c r="G961">
        <v>-199.7835</v>
      </c>
      <c r="H961">
        <v>6.9405979999999996</v>
      </c>
      <c r="I961">
        <v>-80.066019999999995</v>
      </c>
      <c r="J961">
        <v>-194.35239999999999</v>
      </c>
      <c r="K961">
        <v>1.1115539999999999</v>
      </c>
      <c r="L961">
        <v>358.07440000000003</v>
      </c>
      <c r="M961">
        <v>0.56941489999999995</v>
      </c>
      <c r="N961">
        <v>-1.610723E-2</v>
      </c>
      <c r="O961">
        <v>-0.82189269999999903</v>
      </c>
      <c r="P961">
        <v>0.23202320000000001</v>
      </c>
      <c r="Q961">
        <v>0.2096982</v>
      </c>
      <c r="R961">
        <v>-0.94983799999999996</v>
      </c>
      <c r="S961">
        <v>-3.8452149999999997E-2</v>
      </c>
      <c r="T961">
        <v>4.215634E-2</v>
      </c>
      <c r="U961">
        <v>-3.170013</v>
      </c>
      <c r="V961">
        <v>0.35553839999999998</v>
      </c>
      <c r="W961">
        <v>0.21581529999999999</v>
      </c>
      <c r="X961">
        <v>0.90940430000000005</v>
      </c>
      <c r="Y961">
        <v>0.57940029999999998</v>
      </c>
      <c r="Z961">
        <v>-2.4678180000000001E-2</v>
      </c>
      <c r="AA961">
        <v>0.81466939999999999</v>
      </c>
      <c r="AB961">
        <v>23</v>
      </c>
      <c r="AC961">
        <v>-5.4311000000000096</v>
      </c>
      <c r="AD961">
        <v>5.8290439999999997</v>
      </c>
      <c r="AE961">
        <v>-438.14042000000001</v>
      </c>
      <c r="AF961">
        <v>253.935426138645</v>
      </c>
      <c r="AG961">
        <v>5.8290439999999997</v>
      </c>
      <c r="AH961">
        <v>356.994938849005</v>
      </c>
      <c r="AI961">
        <v>89.237702480244494</v>
      </c>
      <c r="AJ961">
        <v>54.575232559933099</v>
      </c>
      <c r="AK961">
        <v>438.135327000659</v>
      </c>
      <c r="AL961">
        <v>77.536636314697304</v>
      </c>
      <c r="AM961">
        <v>68.646615540610796</v>
      </c>
      <c r="AN961">
        <v>0.99999998922356903</v>
      </c>
    </row>
    <row r="962" spans="1:40" x14ac:dyDescent="0.25">
      <c r="A962" t="str">
        <f>"20190303170737419"</f>
        <v>20190303170737419</v>
      </c>
      <c r="B962" t="str">
        <f>"1551604057403397"</f>
        <v>1551604057403397</v>
      </c>
      <c r="C962" t="s">
        <v>40</v>
      </c>
      <c r="D962">
        <v>4.8583439999999998</v>
      </c>
      <c r="E962">
        <v>0.60752169999999905</v>
      </c>
      <c r="F962" t="s">
        <v>56</v>
      </c>
      <c r="G962">
        <v>-202.82480000000001</v>
      </c>
      <c r="H962">
        <v>6.3428750000000003</v>
      </c>
      <c r="I962">
        <v>-80.065830000000005</v>
      </c>
      <c r="J962">
        <v>-194.23240000000001</v>
      </c>
      <c r="K962">
        <v>1.1116509999999999</v>
      </c>
      <c r="L962">
        <v>357.86770000000001</v>
      </c>
      <c r="M962">
        <v>0.55576080000000005</v>
      </c>
      <c r="N962">
        <v>-1.608279E-2</v>
      </c>
      <c r="O962">
        <v>-0.83118669999999995</v>
      </c>
      <c r="P962">
        <v>0.2191883</v>
      </c>
      <c r="Q962">
        <v>0.2090707</v>
      </c>
      <c r="R962">
        <v>-0.95301930000000001</v>
      </c>
      <c r="S962">
        <v>-6.1203E-2</v>
      </c>
      <c r="T962">
        <v>3.779006E-2</v>
      </c>
      <c r="U962">
        <v>-3.1650390000000002</v>
      </c>
      <c r="V962">
        <v>0.35278540000000003</v>
      </c>
      <c r="W962">
        <v>0.21532970000000001</v>
      </c>
      <c r="X962">
        <v>0.91059080000000003</v>
      </c>
      <c r="Y962">
        <v>0.57177639999999996</v>
      </c>
      <c r="Z962">
        <v>-2.4014190000000001E-2</v>
      </c>
      <c r="AA962">
        <v>0.82005790000000001</v>
      </c>
      <c r="AB962">
        <v>23</v>
      </c>
      <c r="AC962">
        <v>-8.5923999999999907</v>
      </c>
      <c r="AD962">
        <v>5.2312240000000001</v>
      </c>
      <c r="AE962">
        <v>-437.933529999999</v>
      </c>
      <c r="AF962">
        <v>250.524844162253</v>
      </c>
      <c r="AG962">
        <v>5.2312240000000001</v>
      </c>
      <c r="AH962">
        <v>359.22442677529102</v>
      </c>
      <c r="AI962">
        <v>89.315654425996996</v>
      </c>
      <c r="AJ962">
        <v>55.107895656826699</v>
      </c>
      <c r="AK962">
        <v>437.98658888040802</v>
      </c>
      <c r="AL962">
        <v>77.5651293549098</v>
      </c>
      <c r="AM962">
        <v>68.8223999358611</v>
      </c>
      <c r="AN962">
        <v>1.0000000115999399</v>
      </c>
    </row>
    <row r="963" spans="1:40" x14ac:dyDescent="0.25">
      <c r="A963" t="str">
        <f>"20190303170737439"</f>
        <v>20190303170737439</v>
      </c>
      <c r="B963" t="str">
        <f>"1551604057433654"</f>
        <v>1551604057433654</v>
      </c>
      <c r="C963" t="s">
        <v>40</v>
      </c>
      <c r="D963">
        <v>4.8775029999999999</v>
      </c>
      <c r="E963">
        <v>0.5965511</v>
      </c>
      <c r="F963" t="s">
        <v>56</v>
      </c>
      <c r="G963">
        <v>-207.5608</v>
      </c>
      <c r="H963">
        <v>6.1330299999999998</v>
      </c>
      <c r="I963">
        <v>-80.065749999999994</v>
      </c>
      <c r="J963">
        <v>-194.1198</v>
      </c>
      <c r="K963">
        <v>1.1117629999999901</v>
      </c>
      <c r="L963">
        <v>357.66649999999998</v>
      </c>
      <c r="M963">
        <v>0.54254309999999994</v>
      </c>
      <c r="N963">
        <v>-1.60544E-2</v>
      </c>
      <c r="O963">
        <v>-0.83987459999999903</v>
      </c>
      <c r="P963">
        <v>0.20699699999999999</v>
      </c>
      <c r="Q963">
        <v>0.20922879999999999</v>
      </c>
      <c r="R963">
        <v>-0.95570679999999997</v>
      </c>
      <c r="S963">
        <v>-9.6237180000000005E-2</v>
      </c>
      <c r="T963">
        <v>3.6256669999999998E-2</v>
      </c>
      <c r="U963">
        <v>-3.1620789999999999</v>
      </c>
      <c r="V963">
        <v>0.34992830000000003</v>
      </c>
      <c r="W963">
        <v>0.21563840000000001</v>
      </c>
      <c r="X963">
        <v>0.91161959999999997</v>
      </c>
      <c r="Y963">
        <v>0.56788499999999997</v>
      </c>
      <c r="Z963">
        <v>-2.3886190000000002E-2</v>
      </c>
      <c r="AA963">
        <v>0.82276119999999997</v>
      </c>
      <c r="AB963">
        <v>23</v>
      </c>
      <c r="AC963">
        <v>-13.441000000000001</v>
      </c>
      <c r="AD963">
        <v>5.0212669999999999</v>
      </c>
      <c r="AE963">
        <v>-437.73225000000002</v>
      </c>
      <c r="AF963">
        <v>248.776715505754</v>
      </c>
      <c r="AG963">
        <v>5.0212669999999999</v>
      </c>
      <c r="AH963">
        <v>360.34693378828803</v>
      </c>
      <c r="AI963">
        <v>89.343006890078499</v>
      </c>
      <c r="AJ963">
        <v>55.379534119222598</v>
      </c>
      <c r="AK963">
        <v>437.90978521921301</v>
      </c>
      <c r="AL963">
        <v>77.5470166739848</v>
      </c>
      <c r="AM963">
        <v>69.000530155054804</v>
      </c>
      <c r="AN963">
        <v>1.0000000148998001</v>
      </c>
    </row>
    <row r="964" spans="1:40" x14ac:dyDescent="0.25">
      <c r="A964" t="str">
        <f>"20190303170737472"</f>
        <v>20190303170737472</v>
      </c>
      <c r="B964" t="str">
        <f>"1551604057462933"</f>
        <v>1551604057462933</v>
      </c>
      <c r="C964" t="s">
        <v>40</v>
      </c>
      <c r="D964">
        <v>4.8874500000000003</v>
      </c>
      <c r="E964">
        <v>0.59410529999999995</v>
      </c>
      <c r="F964" t="s">
        <v>56</v>
      </c>
      <c r="G964">
        <v>-200.91489999999999</v>
      </c>
      <c r="H964">
        <v>3.9162189999999999</v>
      </c>
      <c r="I964">
        <v>-81.816469999999995</v>
      </c>
      <c r="J964">
        <v>-193.9606</v>
      </c>
      <c r="K964">
        <v>1.111961</v>
      </c>
      <c r="L964">
        <v>357.3698</v>
      </c>
      <c r="M964">
        <v>0.52322170000000001</v>
      </c>
      <c r="N964">
        <v>-1.6002189999999999E-2</v>
      </c>
      <c r="O964">
        <v>-0.85204650000000004</v>
      </c>
      <c r="P964">
        <v>0.18824389999999999</v>
      </c>
      <c r="Q964">
        <v>0.2096616</v>
      </c>
      <c r="R964">
        <v>-0.95948259999999996</v>
      </c>
      <c r="S964">
        <v>-4.8629760000000001E-2</v>
      </c>
      <c r="T964">
        <v>2.00702E-2</v>
      </c>
      <c r="U964">
        <v>-3.1451720000000001</v>
      </c>
      <c r="V964">
        <v>0.34680359999999899</v>
      </c>
      <c r="W964">
        <v>0.21627759999999999</v>
      </c>
      <c r="X964">
        <v>0.91266159999999996</v>
      </c>
      <c r="Y964">
        <v>0.53635669999999902</v>
      </c>
      <c r="Z964">
        <v>-2.053721E-2</v>
      </c>
      <c r="AA964">
        <v>0.84374150000000003</v>
      </c>
      <c r="AB964">
        <v>23</v>
      </c>
      <c r="AC964">
        <v>-6.9542999999999804</v>
      </c>
      <c r="AD964">
        <v>2.8042579999999999</v>
      </c>
      <c r="AE964">
        <v>-439.18626999999998</v>
      </c>
      <c r="AF964">
        <v>235.737720933633</v>
      </c>
      <c r="AG964">
        <v>2.8042579999999999</v>
      </c>
      <c r="AH964">
        <v>370.60078549523899</v>
      </c>
      <c r="AI964">
        <v>89.634195362621696</v>
      </c>
      <c r="AJ964">
        <v>57.539718733143999</v>
      </c>
      <c r="AK964">
        <v>439.23237488099898</v>
      </c>
      <c r="AL964">
        <v>77.509507496862497</v>
      </c>
      <c r="AM964">
        <v>69.193637314872703</v>
      </c>
      <c r="AN964">
        <v>0.99999996667463897</v>
      </c>
    </row>
    <row r="965" spans="1:40" x14ac:dyDescent="0.25">
      <c r="A965" t="str">
        <f>"20190303170737494"</f>
        <v>20190303170737494</v>
      </c>
      <c r="B965" t="str">
        <f>"1551604057483428"</f>
        <v>1551604057483428</v>
      </c>
      <c r="C965" t="s">
        <v>40</v>
      </c>
      <c r="D965">
        <v>4.8828899999999997</v>
      </c>
      <c r="E965">
        <v>0.58418110000000001</v>
      </c>
      <c r="F965" t="s">
        <v>56</v>
      </c>
      <c r="G965">
        <v>-206.38290000000001</v>
      </c>
      <c r="H965">
        <v>3.0855299999999999</v>
      </c>
      <c r="I965">
        <v>-80.949650000000005</v>
      </c>
      <c r="J965">
        <v>-193.85579999999999</v>
      </c>
      <c r="K965">
        <v>1.1121190000000001</v>
      </c>
      <c r="L965">
        <v>357.16520000000003</v>
      </c>
      <c r="M965">
        <v>0.51007539999999996</v>
      </c>
      <c r="N965">
        <v>-1.595736E-2</v>
      </c>
      <c r="O965">
        <v>-0.85998169999999996</v>
      </c>
      <c r="P965">
        <v>0.17556669999999999</v>
      </c>
      <c r="Q965">
        <v>0.20954510000000001</v>
      </c>
      <c r="R965">
        <v>-0.96190810000000004</v>
      </c>
      <c r="S965">
        <v>-8.9019780000000007E-2</v>
      </c>
      <c r="T965">
        <v>1.414287E-2</v>
      </c>
      <c r="U965">
        <v>-3.1410520000000002</v>
      </c>
      <c r="V965">
        <v>0.34474779999999999</v>
      </c>
      <c r="W965">
        <v>0.21631349999999999</v>
      </c>
      <c r="X965">
        <v>0.91343160000000001</v>
      </c>
      <c r="Y965">
        <v>0.5342479</v>
      </c>
      <c r="Z965">
        <v>-1.9287539999999999E-2</v>
      </c>
      <c r="AA965">
        <v>0.84510779999999996</v>
      </c>
      <c r="AB965">
        <v>22</v>
      </c>
      <c r="AC965">
        <v>-12.527100000000001</v>
      </c>
      <c r="AD965">
        <v>1.973411</v>
      </c>
      <c r="AE965">
        <v>-438.11484999999999</v>
      </c>
      <c r="AF965">
        <v>234.26975550272101</v>
      </c>
      <c r="AG965">
        <v>1.973411</v>
      </c>
      <c r="AH965">
        <v>370.42063011732199</v>
      </c>
      <c r="AI965">
        <v>89.7420232235052</v>
      </c>
      <c r="AJ965">
        <v>57.6889994305985</v>
      </c>
      <c r="AK965">
        <v>438.289465890744</v>
      </c>
      <c r="AL965">
        <v>77.507400264557702</v>
      </c>
      <c r="AM965">
        <v>69.322465902540102</v>
      </c>
      <c r="AN965">
        <v>0.99999993188282199</v>
      </c>
    </row>
    <row r="966" spans="1:40" x14ac:dyDescent="0.25">
      <c r="A966" t="str">
        <f>"20190303170737517"</f>
        <v>20190303170737517</v>
      </c>
      <c r="B966" t="str">
        <f>"1551604057502949"</f>
        <v>1551604057502949</v>
      </c>
      <c r="C966" t="s">
        <v>40</v>
      </c>
      <c r="D966">
        <v>4.878984</v>
      </c>
      <c r="E966">
        <v>0.5822387</v>
      </c>
      <c r="F966" t="s">
        <v>56</v>
      </c>
      <c r="G966">
        <v>-200.91200000000001</v>
      </c>
      <c r="H966">
        <v>0.54746819999999996</v>
      </c>
      <c r="I966">
        <v>-81.815349999999995</v>
      </c>
      <c r="J966">
        <v>-193.75450000000001</v>
      </c>
      <c r="K966">
        <v>1.1122860000000001</v>
      </c>
      <c r="L966">
        <v>356.96010000000001</v>
      </c>
      <c r="M966">
        <v>0.4970406</v>
      </c>
      <c r="N966">
        <v>-1.5908450000000001E-2</v>
      </c>
      <c r="O966">
        <v>-0.86758150000000001</v>
      </c>
      <c r="P966">
        <v>0.16296529999999901</v>
      </c>
      <c r="Q966">
        <v>0.209175</v>
      </c>
      <c r="R966">
        <v>-0.96420349999999999</v>
      </c>
      <c r="S966">
        <v>-5.0292969999999999E-2</v>
      </c>
      <c r="T966">
        <v>-4.0245059999999997E-3</v>
      </c>
      <c r="U966">
        <v>-3.1288149999999999</v>
      </c>
      <c r="V966">
        <v>0.342852299999999</v>
      </c>
      <c r="W966">
        <v>0.21609</v>
      </c>
      <c r="X966">
        <v>0.9141977</v>
      </c>
      <c r="Y966">
        <v>0.5109127</v>
      </c>
      <c r="Z966">
        <v>-1.503647E-2</v>
      </c>
      <c r="AA966">
        <v>0.85950110000000002</v>
      </c>
      <c r="AB966">
        <v>22</v>
      </c>
      <c r="AC966">
        <v>-7.15749999999999</v>
      </c>
      <c r="AD966">
        <v>-0.56481780000000004</v>
      </c>
      <c r="AE966">
        <v>-438.77544999999998</v>
      </c>
      <c r="AF966">
        <v>224.326933171208</v>
      </c>
      <c r="AG966">
        <v>-0.56481780000000004</v>
      </c>
      <c r="AH966">
        <v>377.16298114507902</v>
      </c>
      <c r="AI966">
        <v>90.073744798335198</v>
      </c>
      <c r="AJ966">
        <v>59.256896380161599</v>
      </c>
      <c r="AK966">
        <v>438.833460792805</v>
      </c>
      <c r="AL966">
        <v>77.520517083934706</v>
      </c>
      <c r="AM966">
        <v>69.442407366750203</v>
      </c>
      <c r="AN966">
        <v>1.00000001120028</v>
      </c>
    </row>
    <row r="967" spans="1:40" x14ac:dyDescent="0.25">
      <c r="A967" t="str">
        <f>"20190303170737540"</f>
        <v>20190303170737540</v>
      </c>
      <c r="B967" t="str">
        <f>"1551604057533713"</f>
        <v>1551604057533713</v>
      </c>
      <c r="C967" t="s">
        <v>40</v>
      </c>
      <c r="D967">
        <v>4.8517199999999896</v>
      </c>
      <c r="E967">
        <v>0.57399449999999996</v>
      </c>
      <c r="F967" t="s">
        <v>56</v>
      </c>
      <c r="G967">
        <v>-204.5872</v>
      </c>
      <c r="H967">
        <v>0.43293290000000001</v>
      </c>
      <c r="I967">
        <v>-80.948779999999999</v>
      </c>
      <c r="J967">
        <v>-193.6506</v>
      </c>
      <c r="K967">
        <v>1.11246</v>
      </c>
      <c r="L967">
        <v>356.74209999999999</v>
      </c>
      <c r="M967">
        <v>0.48336610000000002</v>
      </c>
      <c r="N967">
        <v>-1.5852979999999999E-2</v>
      </c>
      <c r="O967">
        <v>-0.87527479999999902</v>
      </c>
      <c r="P967">
        <v>0.14957709999999999</v>
      </c>
      <c r="Q967">
        <v>0.20916999999999999</v>
      </c>
      <c r="R967">
        <v>-0.96637200000000001</v>
      </c>
      <c r="S967">
        <v>-7.7316280000000001E-2</v>
      </c>
      <c r="T967">
        <v>-4.8487189999999996E-3</v>
      </c>
      <c r="U967">
        <v>-3.1254879999999998</v>
      </c>
      <c r="V967">
        <v>0.34108080000000002</v>
      </c>
      <c r="W967">
        <v>0.2162367</v>
      </c>
      <c r="X967">
        <v>0.91482540000000001</v>
      </c>
      <c r="Y967">
        <v>0.50485409999999997</v>
      </c>
      <c r="Z967">
        <v>-1.480005E-2</v>
      </c>
      <c r="AA967">
        <v>0.86307780000000001</v>
      </c>
      <c r="AB967">
        <v>22</v>
      </c>
      <c r="AC967">
        <v>-10.9366</v>
      </c>
      <c r="AD967">
        <v>-0.67952709999999905</v>
      </c>
      <c r="AE967">
        <v>-437.69087999999999</v>
      </c>
      <c r="AF967">
        <v>221.16471558559701</v>
      </c>
      <c r="AG967">
        <v>-0.67952709999999905</v>
      </c>
      <c r="AH967">
        <v>377.859975022301</v>
      </c>
      <c r="AI967">
        <v>90.088925656417004</v>
      </c>
      <c r="AJ967">
        <v>59.6591918401827</v>
      </c>
      <c r="AK967">
        <v>437.82696799191302</v>
      </c>
      <c r="AL967">
        <v>77.5119077022064</v>
      </c>
      <c r="AM967">
        <v>69.552681276367295</v>
      </c>
      <c r="AN967">
        <v>0.99999996752034404</v>
      </c>
    </row>
    <row r="968" spans="1:40" x14ac:dyDescent="0.25">
      <c r="A968" t="str">
        <f>"20190303170737564"</f>
        <v>20190303170737564</v>
      </c>
      <c r="B968" t="str">
        <f>"1551604057553234"</f>
        <v>1551604057553234</v>
      </c>
      <c r="C968" t="s">
        <v>40</v>
      </c>
      <c r="D968">
        <v>4.8500889999999997</v>
      </c>
      <c r="E968">
        <v>0.572804599999999</v>
      </c>
      <c r="F968" t="s">
        <v>43</v>
      </c>
      <c r="G968">
        <v>-196.7704</v>
      </c>
      <c r="H968" s="1">
        <v>-2.508469E-6</v>
      </c>
      <c r="I968">
        <v>171.2372</v>
      </c>
      <c r="J968">
        <v>-193.54310000000001</v>
      </c>
      <c r="K968">
        <v>1.1126609999999999</v>
      </c>
      <c r="L968">
        <v>356.50779999999997</v>
      </c>
      <c r="M968">
        <v>0.46890809999999999</v>
      </c>
      <c r="N968">
        <v>-1.5788409999999999E-2</v>
      </c>
      <c r="O968">
        <v>-0.88310580000000005</v>
      </c>
      <c r="P968">
        <v>0.13637179999999999</v>
      </c>
      <c r="Q968">
        <v>0.20713870000000001</v>
      </c>
      <c r="R968">
        <v>-0.96876030000000002</v>
      </c>
      <c r="S968">
        <v>-5.2413939999999999E-2</v>
      </c>
      <c r="T968">
        <v>-1.8689750000000002E-2</v>
      </c>
      <c r="U968">
        <v>-3.1165470000000002</v>
      </c>
      <c r="V968">
        <v>0.33856140000000001</v>
      </c>
      <c r="W968">
        <v>0.21439730000000001</v>
      </c>
      <c r="X968">
        <v>0.91619320000000004</v>
      </c>
      <c r="Y968">
        <v>0.48366589999999998</v>
      </c>
      <c r="Z968">
        <v>-1.1284499999999999E-2</v>
      </c>
      <c r="AA968">
        <v>0.87517999999999996</v>
      </c>
      <c r="AB968">
        <v>22</v>
      </c>
      <c r="AC968">
        <v>-3.2272999999999801</v>
      </c>
      <c r="AD968">
        <v>-1.112663508469</v>
      </c>
      <c r="AE968">
        <v>-185.2706</v>
      </c>
      <c r="AF968">
        <v>89.732885020158506</v>
      </c>
      <c r="AG968">
        <v>-1.112663508469</v>
      </c>
      <c r="AH968">
        <v>162.114601838798</v>
      </c>
      <c r="AI968">
        <v>90.344052349623198</v>
      </c>
      <c r="AJ968">
        <v>61.034808434701198</v>
      </c>
      <c r="AK968">
        <v>185.29536638425699</v>
      </c>
      <c r="AL968">
        <v>77.619829389837406</v>
      </c>
      <c r="AM968">
        <v>69.719187280297902</v>
      </c>
      <c r="AN968">
        <v>1.0000000017717401</v>
      </c>
    </row>
    <row r="969" spans="1:40" x14ac:dyDescent="0.25">
      <c r="A969" t="str">
        <f>"20190303170737588"</f>
        <v>20190303170737588</v>
      </c>
      <c r="B969" t="str">
        <f>"1551604057573728"</f>
        <v>1551604057573728</v>
      </c>
      <c r="C969" t="s">
        <v>40</v>
      </c>
      <c r="D969">
        <v>4.8509919999999997</v>
      </c>
      <c r="E969">
        <v>0.57138509999999998</v>
      </c>
      <c r="F969" t="s">
        <v>43</v>
      </c>
      <c r="G969">
        <v>-196.809</v>
      </c>
      <c r="H969" s="1">
        <v>-4.2518980000000003E-6</v>
      </c>
      <c r="I969">
        <v>235.2131</v>
      </c>
      <c r="J969">
        <v>-193.4487</v>
      </c>
      <c r="K969">
        <v>1.1128640000000001</v>
      </c>
      <c r="L969">
        <v>356.29390000000001</v>
      </c>
      <c r="M969">
        <v>0.45596579999999898</v>
      </c>
      <c r="N969">
        <v>-1.5722960000000001E-2</v>
      </c>
      <c r="O969">
        <v>-0.88985840000000005</v>
      </c>
      <c r="P969">
        <v>0.12577439999999901</v>
      </c>
      <c r="Q969">
        <v>0.20483170000000001</v>
      </c>
      <c r="R969">
        <v>-0.97068259999999995</v>
      </c>
      <c r="S969">
        <v>-8.3862300000000001E-2</v>
      </c>
      <c r="T969">
        <v>-2.8571490000000001E-2</v>
      </c>
      <c r="U969">
        <v>-3.114655</v>
      </c>
      <c r="V969">
        <v>0.33524989999999999</v>
      </c>
      <c r="W969">
        <v>0.21229729999999999</v>
      </c>
      <c r="X969">
        <v>0.9178984</v>
      </c>
      <c r="Y969">
        <v>0.47971279999999999</v>
      </c>
      <c r="Z969">
        <v>-8.7335390000000002E-3</v>
      </c>
      <c r="AA969">
        <v>0.87738209999999905</v>
      </c>
      <c r="AB969">
        <v>22</v>
      </c>
      <c r="AC969">
        <v>-3.36030000000002</v>
      </c>
      <c r="AD969">
        <v>-1.11286825189799</v>
      </c>
      <c r="AE969">
        <v>-121.0808</v>
      </c>
      <c r="AF969">
        <v>58.201177376096702</v>
      </c>
      <c r="AG969">
        <v>-1.11286825189799</v>
      </c>
      <c r="AH969">
        <v>106.216750368593</v>
      </c>
      <c r="AI969">
        <v>90.526439365406205</v>
      </c>
      <c r="AJ969">
        <v>61.279582650038201</v>
      </c>
      <c r="AK969">
        <v>121.122308360491</v>
      </c>
      <c r="AL969">
        <v>77.742986733758798</v>
      </c>
      <c r="AM969">
        <v>69.935966791565704</v>
      </c>
      <c r="AN969">
        <v>1.00000005587992</v>
      </c>
    </row>
    <row r="970" spans="1:40" x14ac:dyDescent="0.25">
      <c r="A970" t="str">
        <f>"20190303170737609"</f>
        <v>20190303170737609</v>
      </c>
      <c r="B970" t="str">
        <f>"1551604057603009"</f>
        <v>1551604057603009</v>
      </c>
      <c r="C970" t="s">
        <v>40</v>
      </c>
      <c r="D970">
        <v>4.8417640000000004</v>
      </c>
      <c r="E970">
        <v>0.56440159999999995</v>
      </c>
      <c r="F970" t="s">
        <v>43</v>
      </c>
      <c r="G970">
        <v>-196.77510000000001</v>
      </c>
      <c r="H970" s="1">
        <v>-2.079991E-6</v>
      </c>
      <c r="I970">
        <v>260.2355</v>
      </c>
      <c r="J970">
        <v>-193.36070000000001</v>
      </c>
      <c r="K970">
        <v>1.1130799999999901</v>
      </c>
      <c r="L970">
        <v>356.08749999999998</v>
      </c>
      <c r="M970">
        <v>0.44371820000000001</v>
      </c>
      <c r="N970">
        <v>-1.5654640000000001E-2</v>
      </c>
      <c r="O970">
        <v>-0.89602969999999904</v>
      </c>
      <c r="P970">
        <v>0.11624080000000001</v>
      </c>
      <c r="Q970">
        <v>0.20265749999999999</v>
      </c>
      <c r="R970">
        <v>-0.97232640000000004</v>
      </c>
      <c r="S970">
        <v>-0.1077728</v>
      </c>
      <c r="T970">
        <v>-3.6055209999999997E-2</v>
      </c>
      <c r="U970">
        <v>-3.112152</v>
      </c>
      <c r="V970">
        <v>0.331698299999999</v>
      </c>
      <c r="W970">
        <v>0.210336</v>
      </c>
      <c r="X970">
        <v>0.91963850000000003</v>
      </c>
      <c r="Y970">
        <v>0.47441529999999998</v>
      </c>
      <c r="Z970">
        <v>-6.7032810000000002E-3</v>
      </c>
      <c r="AA970">
        <v>0.88027559999999905</v>
      </c>
      <c r="AB970">
        <v>22</v>
      </c>
      <c r="AC970">
        <v>-3.4144000000000001</v>
      </c>
      <c r="AD970">
        <v>-1.113082079991</v>
      </c>
      <c r="AE970">
        <v>-95.851999999999904</v>
      </c>
      <c r="AF970">
        <v>45.590125080308603</v>
      </c>
      <c r="AG970">
        <v>-1.113082079991</v>
      </c>
      <c r="AH970">
        <v>84.370179113133901</v>
      </c>
      <c r="AI970">
        <v>90.664985639940895</v>
      </c>
      <c r="AJ970">
        <v>61.6150625636051</v>
      </c>
      <c r="AK970">
        <v>95.906337538961793</v>
      </c>
      <c r="AL970">
        <v>77.8579563655545</v>
      </c>
      <c r="AM970">
        <v>70.166469914501704</v>
      </c>
      <c r="AN970">
        <v>0.99999998290056902</v>
      </c>
    </row>
    <row r="971" spans="1:40" x14ac:dyDescent="0.25">
      <c r="A971" t="str">
        <f>"20190303170737629"</f>
        <v>20190303170737629</v>
      </c>
      <c r="B971" t="str">
        <f>"1551604057623504"</f>
        <v>1551604057623504</v>
      </c>
      <c r="C971" t="s">
        <v>40</v>
      </c>
      <c r="D971">
        <v>4.8008249999999997</v>
      </c>
      <c r="E971">
        <v>0.56303510000000001</v>
      </c>
      <c r="F971" t="s">
        <v>57</v>
      </c>
      <c r="G971">
        <v>-195.25829999999999</v>
      </c>
      <c r="H971" s="1">
        <v>2.8698750000000002E-6</v>
      </c>
      <c r="I971">
        <v>286.46929999999998</v>
      </c>
      <c r="J971">
        <v>-193.28399999999999</v>
      </c>
      <c r="K971">
        <v>1.1132799999999901</v>
      </c>
      <c r="L971">
        <v>355.90129999999999</v>
      </c>
      <c r="M971">
        <v>0.43289319999999998</v>
      </c>
      <c r="N971">
        <v>-1.5590039999999999E-2</v>
      </c>
      <c r="O971">
        <v>-0.90131039999999996</v>
      </c>
      <c r="P971">
        <v>0.10729130000000001</v>
      </c>
      <c r="Q971">
        <v>0.2037281</v>
      </c>
      <c r="R971">
        <v>-0.97313090000000002</v>
      </c>
      <c r="S971">
        <v>-8.4655759999999997E-2</v>
      </c>
      <c r="T971">
        <v>-4.965758E-2</v>
      </c>
      <c r="U971">
        <v>-3.1058650000000001</v>
      </c>
      <c r="V971">
        <v>0.32888810000000002</v>
      </c>
      <c r="W971">
        <v>0.2115792</v>
      </c>
      <c r="X971">
        <v>0.92036240000000002</v>
      </c>
      <c r="Y971">
        <v>0.4572272</v>
      </c>
      <c r="Z971">
        <v>-2.955956E-3</v>
      </c>
      <c r="AA971">
        <v>0.88934500000000005</v>
      </c>
      <c r="AB971">
        <v>22</v>
      </c>
      <c r="AC971">
        <v>-1.97429999999997</v>
      </c>
      <c r="AD971">
        <v>-1.11327713012499</v>
      </c>
      <c r="AE971">
        <v>-69.432000000000002</v>
      </c>
      <c r="AF971">
        <v>31.831790155158799</v>
      </c>
      <c r="AG971">
        <v>-1.11327713012499</v>
      </c>
      <c r="AH971">
        <v>61.716770839678603</v>
      </c>
      <c r="AI971">
        <v>90.918470236183197</v>
      </c>
      <c r="AJ971">
        <v>62.716577761573198</v>
      </c>
      <c r="AK971">
        <v>69.451148682566298</v>
      </c>
      <c r="AL971">
        <v>77.785087075780396</v>
      </c>
      <c r="AM971">
        <v>70.335838696409596</v>
      </c>
      <c r="AN971">
        <v>1.000000043764</v>
      </c>
    </row>
    <row r="972" spans="1:40" x14ac:dyDescent="0.25">
      <c r="A972" t="str">
        <f>"20190303170737652"</f>
        <v>20190303170737652</v>
      </c>
      <c r="B972" t="str">
        <f>"1551604057643025"</f>
        <v>1551604057643025</v>
      </c>
      <c r="C972" t="s">
        <v>40</v>
      </c>
      <c r="D972">
        <v>4.8181159999999998</v>
      </c>
      <c r="E972">
        <v>0.56200229999999995</v>
      </c>
      <c r="F972" t="s">
        <v>57</v>
      </c>
      <c r="G972">
        <v>-195.93109999999999</v>
      </c>
      <c r="H972" s="1">
        <v>4.308095E-6</v>
      </c>
      <c r="I972">
        <v>276.15559999999999</v>
      </c>
      <c r="J972">
        <v>-193.19749999999999</v>
      </c>
      <c r="K972">
        <v>1.1135029999999999</v>
      </c>
      <c r="L972">
        <v>355.68389999999999</v>
      </c>
      <c r="M972">
        <v>0.42048600000000003</v>
      </c>
      <c r="N972">
        <v>-1.5515620000000001E-2</v>
      </c>
      <c r="O972">
        <v>-0.90716640000000004</v>
      </c>
      <c r="P972">
        <v>9.6949839999999995E-2</v>
      </c>
      <c r="Q972">
        <v>0.2046354</v>
      </c>
      <c r="R972">
        <v>-0.97402529999999998</v>
      </c>
      <c r="S972">
        <v>-0.1030121</v>
      </c>
      <c r="T972">
        <v>-4.3322680000000002E-2</v>
      </c>
      <c r="U972">
        <v>-3.1032709999999999</v>
      </c>
      <c r="V972">
        <v>0.32584610000000003</v>
      </c>
      <c r="W972">
        <v>0.2126644</v>
      </c>
      <c r="X972">
        <v>0.92119390000000001</v>
      </c>
      <c r="Y972">
        <v>0.45029760000000002</v>
      </c>
      <c r="Z972">
        <v>-4.3674780000000002E-3</v>
      </c>
      <c r="AA972">
        <v>0.89286790000000005</v>
      </c>
      <c r="AB972">
        <v>22</v>
      </c>
      <c r="AC972">
        <v>-2.7335999999999898</v>
      </c>
      <c r="AD972">
        <v>-1.1134986919050001</v>
      </c>
      <c r="AE972">
        <v>-79.528300000000002</v>
      </c>
      <c r="AF972">
        <v>35.917656812900603</v>
      </c>
      <c r="AG972">
        <v>-1.1134986919050001</v>
      </c>
      <c r="AH972">
        <v>70.990604789504502</v>
      </c>
      <c r="AI972">
        <v>90.801845903885607</v>
      </c>
      <c r="AJ972">
        <v>63.162896007205802</v>
      </c>
      <c r="AK972">
        <v>79.567480283378302</v>
      </c>
      <c r="AL972">
        <v>77.721461426427297</v>
      </c>
      <c r="AM972">
        <v>70.520217418197603</v>
      </c>
      <c r="AN972">
        <v>1.00000001465489</v>
      </c>
    </row>
    <row r="973" spans="1:40" x14ac:dyDescent="0.25">
      <c r="A973" t="str">
        <f>"20190303170737675"</f>
        <v>20190303170737675</v>
      </c>
      <c r="B973" t="str">
        <f>"1551604057663520"</f>
        <v>1551604057663520</v>
      </c>
      <c r="C973" t="s">
        <v>40</v>
      </c>
      <c r="D973">
        <v>4.7797589999999897</v>
      </c>
      <c r="E973">
        <v>0.55507050000000002</v>
      </c>
      <c r="F973" t="s">
        <v>57</v>
      </c>
      <c r="G973">
        <v>-196.45750000000001</v>
      </c>
      <c r="H973" s="1">
        <v>4.4471129999999999E-6</v>
      </c>
      <c r="I973">
        <v>275.43220000000002</v>
      </c>
      <c r="J973">
        <v>-193.11580000000001</v>
      </c>
      <c r="K973">
        <v>1.1136950000000001</v>
      </c>
      <c r="L973">
        <v>355.47120000000001</v>
      </c>
      <c r="M973">
        <v>0.40855910000000001</v>
      </c>
      <c r="N973">
        <v>-1.5446939999999999E-2</v>
      </c>
      <c r="O973">
        <v>-0.9126012</v>
      </c>
      <c r="P973">
        <v>8.8891150000000002E-2</v>
      </c>
      <c r="Q973">
        <v>0.2038488</v>
      </c>
      <c r="R973">
        <v>-0.97495849999999995</v>
      </c>
      <c r="S973">
        <v>-0.12599179999999999</v>
      </c>
      <c r="T973">
        <v>-4.3034429999999999E-2</v>
      </c>
      <c r="U973">
        <v>-3.1015630000000001</v>
      </c>
      <c r="V973">
        <v>0.32132270000000002</v>
      </c>
      <c r="W973">
        <v>0.21207680000000001</v>
      </c>
      <c r="X973">
        <v>0.92291670000000003</v>
      </c>
      <c r="Y973">
        <v>0.44521159999999999</v>
      </c>
      <c r="Z973">
        <v>-4.2595749999999998E-3</v>
      </c>
      <c r="AA973">
        <v>0.89541519999999997</v>
      </c>
      <c r="AB973">
        <v>22</v>
      </c>
      <c r="AC973">
        <v>-3.3416999999999999</v>
      </c>
      <c r="AD973">
        <v>-1.113690552887</v>
      </c>
      <c r="AE973">
        <v>-80.038999999999902</v>
      </c>
      <c r="AF973">
        <v>35.7476563997566</v>
      </c>
      <c r="AG973">
        <v>-1.113690552887</v>
      </c>
      <c r="AH973">
        <v>71.673102677956194</v>
      </c>
      <c r="AI973">
        <v>90.796642125449495</v>
      </c>
      <c r="AJ973">
        <v>63.491827412890302</v>
      </c>
      <c r="AK973">
        <v>80.100991830360698</v>
      </c>
      <c r="AL973">
        <v>77.755914650940497</v>
      </c>
      <c r="AM973">
        <v>70.803925547330905</v>
      </c>
      <c r="AN973">
        <v>1.0000000408862</v>
      </c>
    </row>
    <row r="974" spans="1:40" x14ac:dyDescent="0.25">
      <c r="A974" t="str">
        <f>"20190303170737697"</f>
        <v>20190303170737697</v>
      </c>
      <c r="B974" t="str">
        <f>"1551604057683040"</f>
        <v>1551604057683040</v>
      </c>
      <c r="C974" t="s">
        <v>40</v>
      </c>
      <c r="D974">
        <v>4.7630030000000003</v>
      </c>
      <c r="E974">
        <v>0.5534095</v>
      </c>
      <c r="F974" t="s">
        <v>57</v>
      </c>
      <c r="G974">
        <v>-195.37690000000001</v>
      </c>
      <c r="H974" s="1">
        <v>3.195264E-6</v>
      </c>
      <c r="I974">
        <v>282.50670000000002</v>
      </c>
      <c r="J974">
        <v>-193.03559999999999</v>
      </c>
      <c r="K974">
        <v>1.1138680000000001</v>
      </c>
      <c r="L974">
        <v>355.25479999999999</v>
      </c>
      <c r="M974">
        <v>0.39664880000000002</v>
      </c>
      <c r="N974">
        <v>-1.538E-2</v>
      </c>
      <c r="O974">
        <v>-0.91784189999999999</v>
      </c>
      <c r="P974">
        <v>8.2235649999999993E-2</v>
      </c>
      <c r="Q974">
        <v>0.2027446</v>
      </c>
      <c r="R974">
        <v>-0.975773</v>
      </c>
      <c r="S974">
        <v>-9.5932009999999998E-2</v>
      </c>
      <c r="T974">
        <v>-4.7250750000000001E-2</v>
      </c>
      <c r="U974">
        <v>-3.0956730000000001</v>
      </c>
      <c r="V974">
        <v>0.31556440000000002</v>
      </c>
      <c r="W974">
        <v>0.2111867</v>
      </c>
      <c r="X974">
        <v>0.92510499999999996</v>
      </c>
      <c r="Y974">
        <v>0.42483359999999898</v>
      </c>
      <c r="Z974">
        <v>-2.8251259999999999E-3</v>
      </c>
      <c r="AA974">
        <v>0.90526709999999999</v>
      </c>
      <c r="AB974">
        <v>22</v>
      </c>
      <c r="AC974">
        <v>-2.3413000000000102</v>
      </c>
      <c r="AD974">
        <v>-1.113864804736</v>
      </c>
      <c r="AE974">
        <v>-72.748099999999894</v>
      </c>
      <c r="AF974">
        <v>31.000788465684</v>
      </c>
      <c r="AG974">
        <v>-1.113864804736</v>
      </c>
      <c r="AH974">
        <v>65.834932487318</v>
      </c>
      <c r="AI974">
        <v>90.876953242019994</v>
      </c>
      <c r="AJ974">
        <v>64.784881635237198</v>
      </c>
      <c r="AK974">
        <v>72.777248614570695</v>
      </c>
      <c r="AL974">
        <v>77.808094880547102</v>
      </c>
      <c r="AM974">
        <v>71.164876186612901</v>
      </c>
      <c r="AN974">
        <v>0.999999986914624</v>
      </c>
    </row>
    <row r="975" spans="1:40" x14ac:dyDescent="0.25">
      <c r="A975" t="str">
        <f>"20190303170737718"</f>
        <v>20190303170737718</v>
      </c>
      <c r="B975" t="str">
        <f>"1551604057713297"</f>
        <v>1551604057713297</v>
      </c>
      <c r="C975" t="s">
        <v>40</v>
      </c>
      <c r="D975">
        <v>4.7397790000000004</v>
      </c>
      <c r="E975">
        <v>0.55196990000000001</v>
      </c>
      <c r="F975" t="s">
        <v>57</v>
      </c>
      <c r="G975">
        <v>-195.2406</v>
      </c>
      <c r="H975" s="1">
        <v>2.2377039999999999E-6</v>
      </c>
      <c r="I975">
        <v>290.63529999999997</v>
      </c>
      <c r="J975">
        <v>-192.96190000000001</v>
      </c>
      <c r="K975">
        <v>1.1140270000000001</v>
      </c>
      <c r="L975">
        <v>355.04880000000003</v>
      </c>
      <c r="M975">
        <v>0.38552350000000002</v>
      </c>
      <c r="N975">
        <v>-1.531631E-2</v>
      </c>
      <c r="O975">
        <v>-0.92257100000000003</v>
      </c>
      <c r="P975">
        <v>7.6332839999999999E-2</v>
      </c>
      <c r="Q975">
        <v>0.2023615</v>
      </c>
      <c r="R975">
        <v>-0.97633179999999997</v>
      </c>
      <c r="S975">
        <v>-0.1055908</v>
      </c>
      <c r="T975">
        <v>-5.3339959999999999E-2</v>
      </c>
      <c r="U975">
        <v>-3.094452</v>
      </c>
      <c r="V975">
        <v>0.30988979999999999</v>
      </c>
      <c r="W975">
        <v>0.21100070000000001</v>
      </c>
      <c r="X975">
        <v>0.92706359999999999</v>
      </c>
      <c r="Y975">
        <v>0.41670180000000001</v>
      </c>
      <c r="Z975">
        <v>-9.7760329999999995E-4</v>
      </c>
      <c r="AA975">
        <v>0.90904269999999998</v>
      </c>
      <c r="AB975">
        <v>22</v>
      </c>
      <c r="AC975">
        <v>-2.2786999999999802</v>
      </c>
      <c r="AD975">
        <v>-1.114024762296</v>
      </c>
      <c r="AE975">
        <v>-64.413499999999999</v>
      </c>
      <c r="AF975">
        <v>26.930292462426898</v>
      </c>
      <c r="AG975">
        <v>-1.114024762296</v>
      </c>
      <c r="AH975">
        <v>58.536909837268396</v>
      </c>
      <c r="AI975">
        <v>90.990502212337702</v>
      </c>
      <c r="AJ975">
        <v>65.294892647992995</v>
      </c>
      <c r="AK975">
        <v>64.444173643389504</v>
      </c>
      <c r="AL975">
        <v>77.818997134700993</v>
      </c>
      <c r="AM975">
        <v>71.516750493204597</v>
      </c>
      <c r="AN975">
        <v>0.99999995099474304</v>
      </c>
    </row>
    <row r="976" spans="1:40" x14ac:dyDescent="0.25">
      <c r="A976" t="str">
        <f>"20190303170737743"</f>
        <v>20190303170737743</v>
      </c>
      <c r="B976" t="str">
        <f>"1551604057733324"</f>
        <v>1551604057733324</v>
      </c>
      <c r="C976" t="s">
        <v>40</v>
      </c>
      <c r="D976">
        <v>4.7395500000000004</v>
      </c>
      <c r="E976">
        <v>0.55144090000000001</v>
      </c>
      <c r="F976" t="s">
        <v>57</v>
      </c>
      <c r="G976">
        <v>-195.40010000000001</v>
      </c>
      <c r="H976" s="1">
        <v>2.5918860000000002E-6</v>
      </c>
      <c r="I976">
        <v>289.36130000000003</v>
      </c>
      <c r="J976">
        <v>-192.88249999999999</v>
      </c>
      <c r="K976">
        <v>1.114215</v>
      </c>
      <c r="L976">
        <v>354.8186</v>
      </c>
      <c r="M976">
        <v>0.37334299999999998</v>
      </c>
      <c r="N976">
        <v>-1.524377E-2</v>
      </c>
      <c r="O976">
        <v>-0.92756830000000001</v>
      </c>
      <c r="P976">
        <v>6.6854860000000002E-2</v>
      </c>
      <c r="Q976">
        <v>0.2026878</v>
      </c>
      <c r="R976">
        <v>-0.97695880000000002</v>
      </c>
      <c r="S976">
        <v>-0.1147919</v>
      </c>
      <c r="T976">
        <v>-5.2448149999999999E-2</v>
      </c>
      <c r="U976">
        <v>-3.0925600000000002</v>
      </c>
      <c r="V976">
        <v>0.30654870000000001</v>
      </c>
      <c r="W976">
        <v>0.21147569999999999</v>
      </c>
      <c r="X976">
        <v>0.92806569999999999</v>
      </c>
      <c r="Y976">
        <v>0.40743570000000001</v>
      </c>
      <c r="Z976">
        <v>-9.807749000000001E-4</v>
      </c>
      <c r="AA976">
        <v>0.91323339999999997</v>
      </c>
      <c r="AB976">
        <v>22</v>
      </c>
      <c r="AC976">
        <v>-2.5176000000000101</v>
      </c>
      <c r="AD976">
        <v>-1.1142124081139999</v>
      </c>
      <c r="AE976">
        <v>-65.457299999999904</v>
      </c>
      <c r="AF976">
        <v>26.768632968432598</v>
      </c>
      <c r="AG976">
        <v>-1.1142124081139999</v>
      </c>
      <c r="AH976">
        <v>59.765833555628902</v>
      </c>
      <c r="AI976">
        <v>90.974754560231304</v>
      </c>
      <c r="AJ976">
        <v>65.872778804672194</v>
      </c>
      <c r="AK976">
        <v>65.496229211216402</v>
      </c>
      <c r="AL976">
        <v>77.791154067237201</v>
      </c>
      <c r="AM976">
        <v>71.721132065999598</v>
      </c>
      <c r="AN976">
        <v>1.0000000103393301</v>
      </c>
    </row>
    <row r="977" spans="1:40" x14ac:dyDescent="0.25">
      <c r="A977" t="str">
        <f>"20190303170737787"</f>
        <v>20190303170737787</v>
      </c>
      <c r="B977" t="str">
        <f>"1551604057783099"</f>
        <v>1551604057783099</v>
      </c>
      <c r="C977" t="s">
        <v>40</v>
      </c>
      <c r="D977">
        <v>4.7046169999999998</v>
      </c>
      <c r="E977">
        <v>0.54358009999999901</v>
      </c>
      <c r="F977" t="s">
        <v>57</v>
      </c>
      <c r="G977">
        <v>-195.9066</v>
      </c>
      <c r="H977" s="1">
        <v>2.6052629999999999E-6</v>
      </c>
      <c r="I977">
        <v>288.1807</v>
      </c>
      <c r="J977">
        <v>-192.74430000000001</v>
      </c>
      <c r="K977">
        <v>1.1146259999999999</v>
      </c>
      <c r="L977">
        <v>354.39550000000003</v>
      </c>
      <c r="M977">
        <v>0.35166180000000002</v>
      </c>
      <c r="N977">
        <v>-1.5109350000000001E-2</v>
      </c>
      <c r="O977">
        <v>-0.93600519999999998</v>
      </c>
      <c r="P977">
        <v>5.3845570000000002E-2</v>
      </c>
      <c r="Q977">
        <v>0.2021502</v>
      </c>
      <c r="R977">
        <v>-0.97787329999999995</v>
      </c>
      <c r="S977">
        <v>-0.14027400000000001</v>
      </c>
      <c r="T977">
        <v>-5.1683310000000003E-2</v>
      </c>
      <c r="U977">
        <v>-3.0910340000000001</v>
      </c>
      <c r="V977">
        <v>0.2970894</v>
      </c>
      <c r="W977">
        <v>0.21130599999999999</v>
      </c>
      <c r="X977">
        <v>0.93117539999999999</v>
      </c>
      <c r="Y977">
        <v>0.39368029999999998</v>
      </c>
      <c r="Z977">
        <v>-8.047897E-4</v>
      </c>
      <c r="AA977">
        <v>0.91924709999999998</v>
      </c>
      <c r="AB977">
        <v>22</v>
      </c>
      <c r="AC977">
        <v>-3.1622999999999801</v>
      </c>
      <c r="AD977">
        <v>-1.1146233947369999</v>
      </c>
      <c r="AE977">
        <v>-66.214799999999997</v>
      </c>
      <c r="AF977">
        <v>26.2407218794303</v>
      </c>
      <c r="AG977">
        <v>-1.1146233947369999</v>
      </c>
      <c r="AH977">
        <v>60.855079313867698</v>
      </c>
      <c r="AI977">
        <v>90.963569001068194</v>
      </c>
      <c r="AJ977">
        <v>66.674285256449494</v>
      </c>
      <c r="AK977">
        <v>66.280906363468205</v>
      </c>
      <c r="AL977">
        <v>77.801101608950304</v>
      </c>
      <c r="AM977">
        <v>72.304834885028697</v>
      </c>
      <c r="AN977">
        <v>0.99999998139675905</v>
      </c>
    </row>
    <row r="978" spans="1:40" x14ac:dyDescent="0.25">
      <c r="A978" t="str">
        <f>"20190303170737807"</f>
        <v>20190303170737807</v>
      </c>
      <c r="B978" t="str">
        <f>"1551604057792859"</f>
        <v>1551604057792859</v>
      </c>
      <c r="C978" t="s">
        <v>40</v>
      </c>
      <c r="D978">
        <v>4.7057869999999999</v>
      </c>
      <c r="E978">
        <v>0.5433656</v>
      </c>
      <c r="F978" t="s">
        <v>57</v>
      </c>
      <c r="G978">
        <v>-194.8733</v>
      </c>
      <c r="H978" s="1">
        <v>2.1267769999999999E-7</v>
      </c>
      <c r="I978">
        <v>298.40870000000001</v>
      </c>
      <c r="J978">
        <v>-192.684</v>
      </c>
      <c r="K978">
        <v>1.114806</v>
      </c>
      <c r="L978">
        <v>354.20089999999999</v>
      </c>
      <c r="M978">
        <v>0.34198450000000002</v>
      </c>
      <c r="N978">
        <v>-1.504956E-2</v>
      </c>
      <c r="O978">
        <v>-0.93958529999999996</v>
      </c>
      <c r="P978">
        <v>5.056401E-2</v>
      </c>
      <c r="Q978">
        <v>0.2016954</v>
      </c>
      <c r="R978">
        <v>-0.97814270000000003</v>
      </c>
      <c r="S978">
        <v>-0.1173859</v>
      </c>
      <c r="T978">
        <v>-6.1457749999999998E-2</v>
      </c>
      <c r="U978">
        <v>-3.0869749999999998</v>
      </c>
      <c r="V978">
        <v>0.29050939999999997</v>
      </c>
      <c r="W978">
        <v>0.21106179999999999</v>
      </c>
      <c r="X978">
        <v>0.93330449999999998</v>
      </c>
      <c r="Y978">
        <v>0.37737979999999999</v>
      </c>
      <c r="Z978">
        <v>2.2082460000000001E-3</v>
      </c>
      <c r="AA978">
        <v>0.92605599999999999</v>
      </c>
      <c r="AB978">
        <v>22</v>
      </c>
      <c r="AC978">
        <v>-2.18929999999997</v>
      </c>
      <c r="AD978">
        <v>-1.1148057873223001</v>
      </c>
      <c r="AE978">
        <v>-55.792199999999902</v>
      </c>
      <c r="AF978">
        <v>21.1310675763328</v>
      </c>
      <c r="AG978">
        <v>-1.1148057873223001</v>
      </c>
      <c r="AH978">
        <v>51.658072941465797</v>
      </c>
      <c r="AI978">
        <v>91.144272874082802</v>
      </c>
      <c r="AJ978">
        <v>67.752668011027595</v>
      </c>
      <c r="AK978">
        <v>55.824020894994597</v>
      </c>
      <c r="AL978">
        <v>77.815416835938194</v>
      </c>
      <c r="AM978">
        <v>72.710218051073397</v>
      </c>
      <c r="AN978">
        <v>1.0000000423139199</v>
      </c>
    </row>
    <row r="979" spans="1:40" x14ac:dyDescent="0.25">
      <c r="A979" t="str">
        <f>"20190303170737831"</f>
        <v>20190303170737831</v>
      </c>
      <c r="B979" t="str">
        <f>"1551604057823116"</f>
        <v>1551604057823116</v>
      </c>
      <c r="C979" t="s">
        <v>40</v>
      </c>
      <c r="D979">
        <v>4.671945</v>
      </c>
      <c r="E979">
        <v>0.54235819999999901</v>
      </c>
      <c r="F979" t="s">
        <v>57</v>
      </c>
      <c r="G979">
        <v>-195.02420000000001</v>
      </c>
      <c r="H979" s="1">
        <v>2.87291599999999E-7</v>
      </c>
      <c r="I979">
        <v>297.98500000000001</v>
      </c>
      <c r="J979">
        <v>-192.61490000000001</v>
      </c>
      <c r="K979">
        <v>1.1150199999999999</v>
      </c>
      <c r="L979">
        <v>353.9699</v>
      </c>
      <c r="M979">
        <v>0.33078819999999998</v>
      </c>
      <c r="N979">
        <v>-1.4980230000000001E-2</v>
      </c>
      <c r="O979">
        <v>-0.94358629999999999</v>
      </c>
      <c r="P979">
        <v>4.3430780000000002E-2</v>
      </c>
      <c r="Q979">
        <v>0.20265929999999999</v>
      </c>
      <c r="R979">
        <v>-0.97828590000000004</v>
      </c>
      <c r="S979">
        <v>-0.12847900000000001</v>
      </c>
      <c r="T979">
        <v>-6.1204550000000003E-2</v>
      </c>
      <c r="U979">
        <v>-3.0863339999999999</v>
      </c>
      <c r="V979">
        <v>0.28603659999999997</v>
      </c>
      <c r="W979">
        <v>0.21219940000000001</v>
      </c>
      <c r="X979">
        <v>0.93442740000000002</v>
      </c>
      <c r="Y979">
        <v>0.3696892</v>
      </c>
      <c r="Z979">
        <v>2.3528160000000002E-3</v>
      </c>
      <c r="AA979">
        <v>0.92915250000000005</v>
      </c>
      <c r="AB979">
        <v>22</v>
      </c>
      <c r="AC979">
        <v>-2.4093</v>
      </c>
      <c r="AD979">
        <v>-1.1150197127083901</v>
      </c>
      <c r="AE979">
        <v>-55.984899999999897</v>
      </c>
      <c r="AF979">
        <v>20.78662648781</v>
      </c>
      <c r="AG979">
        <v>-1.1150197127083901</v>
      </c>
      <c r="AH979">
        <v>52.0148522232301</v>
      </c>
      <c r="AI979">
        <v>91.140373328991302</v>
      </c>
      <c r="AJ979">
        <v>68.216933672454999</v>
      </c>
      <c r="AK979">
        <v>56.0256366452709</v>
      </c>
      <c r="AL979">
        <v>77.748726623452598</v>
      </c>
      <c r="AM979">
        <v>72.980181010802696</v>
      </c>
      <c r="AN979">
        <v>1.00000004388533</v>
      </c>
    </row>
    <row r="980" spans="1:40" x14ac:dyDescent="0.25">
      <c r="A980" t="str">
        <f>"20190303170737853"</f>
        <v>20190303170737853</v>
      </c>
      <c r="B980" t="str">
        <f>"1551604057843612"</f>
        <v>1551604057843612</v>
      </c>
      <c r="C980" t="s">
        <v>40</v>
      </c>
      <c r="D980">
        <v>4.6915589999999998</v>
      </c>
      <c r="E980">
        <v>0.54160010000000003</v>
      </c>
      <c r="F980" t="s">
        <v>57</v>
      </c>
      <c r="G980">
        <v>-195.4402</v>
      </c>
      <c r="H980" s="1">
        <v>1.498818E-6</v>
      </c>
      <c r="I980">
        <v>293.3809</v>
      </c>
      <c r="J980">
        <v>-192.5532</v>
      </c>
      <c r="K980">
        <v>1.115224</v>
      </c>
      <c r="L980">
        <v>353.75580000000002</v>
      </c>
      <c r="M980">
        <v>0.32071830000000001</v>
      </c>
      <c r="N980">
        <v>-1.491491E-2</v>
      </c>
      <c r="O980">
        <v>-0.94705740000000005</v>
      </c>
      <c r="P980">
        <v>3.5691279999999999E-2</v>
      </c>
      <c r="Q980">
        <v>0.201844</v>
      </c>
      <c r="R980">
        <v>-0.97876719999999895</v>
      </c>
      <c r="S980">
        <v>-0.14384459999999999</v>
      </c>
      <c r="T980">
        <v>-5.6769130000000001E-2</v>
      </c>
      <c r="U980">
        <v>-3.084778</v>
      </c>
      <c r="V980">
        <v>0.28339750000000002</v>
      </c>
      <c r="W980">
        <v>0.21152090000000001</v>
      </c>
      <c r="X980">
        <v>0.93538489999999996</v>
      </c>
      <c r="Y980">
        <v>0.3644309</v>
      </c>
      <c r="Z980">
        <v>1.2671889999999999E-3</v>
      </c>
      <c r="AA980">
        <v>0.93122950000000004</v>
      </c>
      <c r="AB980">
        <v>22</v>
      </c>
      <c r="AC980">
        <v>-2.887</v>
      </c>
      <c r="AD980">
        <v>-1.1152225011820001</v>
      </c>
      <c r="AE980">
        <v>-60.374899999999997</v>
      </c>
      <c r="AF980">
        <v>22.092423063213101</v>
      </c>
      <c r="AG980">
        <v>-1.1152225011820001</v>
      </c>
      <c r="AH980">
        <v>56.239683403693</v>
      </c>
      <c r="AI980">
        <v>91.057378050881795</v>
      </c>
      <c r="AJ980">
        <v>68.553797830718807</v>
      </c>
      <c r="AK980">
        <v>60.433607102164203</v>
      </c>
      <c r="AL980">
        <v>77.788505129845504</v>
      </c>
      <c r="AM980">
        <v>73.144544932749398</v>
      </c>
      <c r="AN980">
        <v>1.00000007264553</v>
      </c>
    </row>
    <row r="981" spans="1:40" x14ac:dyDescent="0.25">
      <c r="A981" t="str">
        <f>"20190303170737876"</f>
        <v>20190303170737876</v>
      </c>
      <c r="B981" t="str">
        <f>"1551604057863131"</f>
        <v>1551604057863131</v>
      </c>
      <c r="C981" t="s">
        <v>40</v>
      </c>
      <c r="D981">
        <v>4.7043489999999997</v>
      </c>
      <c r="E981">
        <v>0.54085509999999903</v>
      </c>
      <c r="F981" t="s">
        <v>57</v>
      </c>
      <c r="G981">
        <v>-195.5831</v>
      </c>
      <c r="H981" s="1">
        <v>9.6124240000000007E-7</v>
      </c>
      <c r="I981">
        <v>295.48570000000001</v>
      </c>
      <c r="J981">
        <v>-192.49209999999999</v>
      </c>
      <c r="K981">
        <v>1.1154230000000001</v>
      </c>
      <c r="L981">
        <v>353.536</v>
      </c>
      <c r="M981">
        <v>0.31064069999999999</v>
      </c>
      <c r="N981">
        <v>-1.4848099999999999E-2</v>
      </c>
      <c r="O981">
        <v>-0.95041140000000002</v>
      </c>
      <c r="P981">
        <v>2.8685660000000002E-2</v>
      </c>
      <c r="Q981">
        <v>0.1996241</v>
      </c>
      <c r="R981">
        <v>-0.97945260000000001</v>
      </c>
      <c r="S981">
        <v>-0.1603088</v>
      </c>
      <c r="T981">
        <v>-5.9006450000000002E-2</v>
      </c>
      <c r="U981">
        <v>-3.0830690000000001</v>
      </c>
      <c r="V981">
        <v>0.28014830000000002</v>
      </c>
      <c r="W981">
        <v>0.20944409999999999</v>
      </c>
      <c r="X981">
        <v>0.93682980000000005</v>
      </c>
      <c r="Y981">
        <v>0.35951889999999997</v>
      </c>
      <c r="Z981">
        <v>2.08925E-3</v>
      </c>
      <c r="AA981">
        <v>0.93313539999999995</v>
      </c>
      <c r="AB981">
        <v>22</v>
      </c>
      <c r="AC981">
        <v>-3.0910000000000002</v>
      </c>
      <c r="AD981">
        <v>-1.1154220387575999</v>
      </c>
      <c r="AE981">
        <v>-58.050299999999901</v>
      </c>
      <c r="AF981">
        <v>20.9651015500624</v>
      </c>
      <c r="AG981">
        <v>-1.1154220387575999</v>
      </c>
      <c r="AH981">
        <v>54.197501500803099</v>
      </c>
      <c r="AI981">
        <v>91.099636448703805</v>
      </c>
      <c r="AJ981">
        <v>68.852142984087706</v>
      </c>
      <c r="AK981">
        <v>58.121844587543201</v>
      </c>
      <c r="AL981">
        <v>77.9102227648129</v>
      </c>
      <c r="AM981">
        <v>73.351303475923501</v>
      </c>
      <c r="AN981">
        <v>0.99999998759287001</v>
      </c>
    </row>
    <row r="982" spans="1:40" x14ac:dyDescent="0.25">
      <c r="A982" t="str">
        <f>"20190303170737900"</f>
        <v>20190303170737900</v>
      </c>
      <c r="B982" t="str">
        <f>"1551604057893388"</f>
        <v>1551604057893388</v>
      </c>
      <c r="C982" t="s">
        <v>40</v>
      </c>
      <c r="D982">
        <v>4.6944860000000004</v>
      </c>
      <c r="E982">
        <v>0.53322239999999999</v>
      </c>
      <c r="F982" t="s">
        <v>43</v>
      </c>
      <c r="G982">
        <v>-195.50049999999999</v>
      </c>
      <c r="H982" s="1">
        <v>-2.0224400000000002E-6</v>
      </c>
      <c r="I982">
        <v>300.89190000000002</v>
      </c>
      <c r="J982">
        <v>-192.4297</v>
      </c>
      <c r="K982">
        <v>1.1156280000000001</v>
      </c>
      <c r="L982">
        <v>353.30349999999999</v>
      </c>
      <c r="M982">
        <v>0.30026619999999998</v>
      </c>
      <c r="N982">
        <v>-1.478024E-2</v>
      </c>
      <c r="O982">
        <v>-0.95374130000000001</v>
      </c>
      <c r="P982">
        <v>2.456496E-2</v>
      </c>
      <c r="Q982">
        <v>0.19720299999999999</v>
      </c>
      <c r="R982">
        <v>-0.98005540000000002</v>
      </c>
      <c r="S982">
        <v>-0.1760864</v>
      </c>
      <c r="T982">
        <v>-6.5287949999999997E-2</v>
      </c>
      <c r="U982">
        <v>-3.0813600000000001</v>
      </c>
      <c r="V982">
        <v>0.27386189999999999</v>
      </c>
      <c r="W982">
        <v>0.2072224</v>
      </c>
      <c r="X982">
        <v>0.93917969999999895</v>
      </c>
      <c r="Y982">
        <v>0.35413139999999999</v>
      </c>
      <c r="Z982">
        <v>4.1013120000000002E-3</v>
      </c>
      <c r="AA982">
        <v>0.93518670000000004</v>
      </c>
      <c r="AB982">
        <v>22</v>
      </c>
      <c r="AC982">
        <v>-3.07079999999999</v>
      </c>
      <c r="AD982">
        <v>-1.11563002244</v>
      </c>
      <c r="AE982">
        <v>-52.4115999999999</v>
      </c>
      <c r="AF982">
        <v>18.659787627424802</v>
      </c>
      <c r="AG982">
        <v>-1.11563002244</v>
      </c>
      <c r="AH982">
        <v>49.048245403848199</v>
      </c>
      <c r="AI982">
        <v>91.217872728266997</v>
      </c>
      <c r="AJ982">
        <v>69.171312519713695</v>
      </c>
      <c r="AK982">
        <v>52.4896435675047</v>
      </c>
      <c r="AL982">
        <v>78.040372573366596</v>
      </c>
      <c r="AM982">
        <v>73.743478690272497</v>
      </c>
      <c r="AN982">
        <v>0.999999986112729</v>
      </c>
    </row>
    <row r="983" spans="1:40" x14ac:dyDescent="0.25">
      <c r="A983" t="str">
        <f>"20190303170737920"</f>
        <v>20190303170737920</v>
      </c>
      <c r="B983" t="str">
        <f>"1551604057912908"</f>
        <v>1551604057912908</v>
      </c>
      <c r="C983" t="s">
        <v>40</v>
      </c>
      <c r="D983">
        <v>4.7087519999999996</v>
      </c>
      <c r="E983">
        <v>0.53317579999999998</v>
      </c>
      <c r="F983" t="s">
        <v>57</v>
      </c>
      <c r="G983">
        <v>-194.80950000000001</v>
      </c>
      <c r="H983" s="1">
        <v>4.0714910000000001E-7</v>
      </c>
      <c r="I983">
        <v>297.30450000000002</v>
      </c>
      <c r="J983">
        <v>-192.3794</v>
      </c>
      <c r="K983">
        <v>1.115802</v>
      </c>
      <c r="L983">
        <v>353.10950000000003</v>
      </c>
      <c r="M983">
        <v>0.29187489999999999</v>
      </c>
      <c r="N983">
        <v>-1.472478E-2</v>
      </c>
      <c r="O983">
        <v>-0.95634330000000001</v>
      </c>
      <c r="P983">
        <v>2.2701760000000001E-2</v>
      </c>
      <c r="Q983">
        <v>0.19660040000000001</v>
      </c>
      <c r="R983">
        <v>-0.98022120000000001</v>
      </c>
      <c r="S983">
        <v>-0.1307526</v>
      </c>
      <c r="T983">
        <v>-6.1294080000000001E-2</v>
      </c>
      <c r="U983">
        <v>-3.07666</v>
      </c>
      <c r="V983">
        <v>0.267304299999999</v>
      </c>
      <c r="W983">
        <v>0.2068062</v>
      </c>
      <c r="X983">
        <v>0.94115870000000001</v>
      </c>
      <c r="Y983">
        <v>0.33216639999999997</v>
      </c>
      <c r="Z983">
        <v>3.2233159999999999E-3</v>
      </c>
      <c r="AA983">
        <v>0.94321529999999998</v>
      </c>
      <c r="AB983">
        <v>22</v>
      </c>
      <c r="AC983">
        <v>-2.4300999999999999</v>
      </c>
      <c r="AD983">
        <v>-1.11580159285089</v>
      </c>
      <c r="AE983">
        <v>-55.805</v>
      </c>
      <c r="AF983">
        <v>18.606679448851501</v>
      </c>
      <c r="AG983">
        <v>-1.11580159285089</v>
      </c>
      <c r="AH983">
        <v>52.644148336797699</v>
      </c>
      <c r="AI983">
        <v>91.144828877094398</v>
      </c>
      <c r="AJ983">
        <v>70.534427125166999</v>
      </c>
      <c r="AK983">
        <v>55.846753597802703</v>
      </c>
      <c r="AL983">
        <v>78.064747803669704</v>
      </c>
      <c r="AM983">
        <v>74.144595646133894</v>
      </c>
      <c r="AN983">
        <v>1.0000000458713001</v>
      </c>
    </row>
    <row r="984" spans="1:40" x14ac:dyDescent="0.25">
      <c r="A984" t="str">
        <f>"20190303170737969"</f>
        <v>20190303170737969</v>
      </c>
      <c r="B984" t="str">
        <f>"1551604057963660"</f>
        <v>1551604057963660</v>
      </c>
      <c r="C984" t="s">
        <v>40</v>
      </c>
      <c r="D984">
        <v>4.7531790000000003</v>
      </c>
      <c r="E984">
        <v>0.53253669999999997</v>
      </c>
      <c r="F984" t="s">
        <v>57</v>
      </c>
      <c r="G984">
        <v>-194.92269999999999</v>
      </c>
      <c r="H984" s="1">
        <v>5.7037959999999998E-7</v>
      </c>
      <c r="I984">
        <v>296.75709999999998</v>
      </c>
      <c r="J984">
        <v>-192.27010000000001</v>
      </c>
      <c r="K984">
        <v>1.1162780000000001</v>
      </c>
      <c r="L984">
        <v>352.66669999999999</v>
      </c>
      <c r="M984">
        <v>0.27374599999999999</v>
      </c>
      <c r="N984">
        <v>-1.459159E-2</v>
      </c>
      <c r="O984">
        <v>-0.96169150000000003</v>
      </c>
      <c r="P984">
        <v>1.0750330000000001E-2</v>
      </c>
      <c r="Q984">
        <v>0.1990894</v>
      </c>
      <c r="R984">
        <v>-0.97992279999999998</v>
      </c>
      <c r="S984">
        <v>-0.13882449999999999</v>
      </c>
      <c r="T984">
        <v>-6.0905340000000002E-2</v>
      </c>
      <c r="U984">
        <v>-3.075958</v>
      </c>
      <c r="V984">
        <v>0.26060699999999998</v>
      </c>
      <c r="W984">
        <v>0.20958869999999999</v>
      </c>
      <c r="X984">
        <v>0.94242060000000005</v>
      </c>
      <c r="Y984">
        <v>0.31677850000000002</v>
      </c>
      <c r="Z984">
        <v>3.4578909999999998E-3</v>
      </c>
      <c r="AA984">
        <v>0.94849320000000004</v>
      </c>
      <c r="AB984">
        <v>22</v>
      </c>
      <c r="AC984">
        <v>-2.6525999999999699</v>
      </c>
      <c r="AD984">
        <v>-1.1162774296203899</v>
      </c>
      <c r="AE984">
        <v>-55.909599999999998</v>
      </c>
      <c r="AF984">
        <v>17.850810596965999</v>
      </c>
      <c r="AG984">
        <v>-1.1162774296203899</v>
      </c>
      <c r="AH984">
        <v>53.026196878437702</v>
      </c>
      <c r="AI984">
        <v>91.142971057678196</v>
      </c>
      <c r="AJ984">
        <v>71.394638852167603</v>
      </c>
      <c r="AK984">
        <v>55.961371227476903</v>
      </c>
      <c r="AL984">
        <v>77.901750005823303</v>
      </c>
      <c r="AM984">
        <v>74.542313613949801</v>
      </c>
      <c r="AN984">
        <v>1.0000000094605199</v>
      </c>
    </row>
    <row r="985" spans="1:40" x14ac:dyDescent="0.25">
      <c r="A985" t="str">
        <f>"20190303170737992"</f>
        <v>20190303170737992</v>
      </c>
      <c r="B985" t="str">
        <f>"1551604057983180"</f>
        <v>1551604057983180</v>
      </c>
      <c r="C985" t="s">
        <v>40</v>
      </c>
      <c r="D985">
        <v>4.7191409999999996</v>
      </c>
      <c r="E985">
        <v>0.53212859999999995</v>
      </c>
      <c r="F985" t="s">
        <v>57</v>
      </c>
      <c r="G985">
        <v>-195.8672</v>
      </c>
      <c r="H985" s="1">
        <v>2.687349E-6</v>
      </c>
      <c r="I985">
        <v>287.32170000000002</v>
      </c>
      <c r="J985">
        <v>-192.2131</v>
      </c>
      <c r="K985">
        <v>1.116565</v>
      </c>
      <c r="L985">
        <v>352.42399999999998</v>
      </c>
      <c r="M985">
        <v>0.26441170000000003</v>
      </c>
      <c r="N985">
        <v>-1.451824E-2</v>
      </c>
      <c r="O985">
        <v>-0.96430070000000001</v>
      </c>
      <c r="P985">
        <v>2.985026E-3</v>
      </c>
      <c r="Q985">
        <v>0.19730780000000001</v>
      </c>
      <c r="R985">
        <v>-0.98033700000000001</v>
      </c>
      <c r="S985">
        <v>-0.16922000000000001</v>
      </c>
      <c r="T985">
        <v>-5.2513120000000003E-2</v>
      </c>
      <c r="U985">
        <v>-3.074036</v>
      </c>
      <c r="V985">
        <v>0.25886150000000002</v>
      </c>
      <c r="W985">
        <v>0.20794950000000001</v>
      </c>
      <c r="X985">
        <v>0.9432644</v>
      </c>
      <c r="Y985">
        <v>0.31697389999999998</v>
      </c>
      <c r="Z985">
        <v>1.0880880000000001E-3</v>
      </c>
      <c r="AA985">
        <v>0.94843359999999999</v>
      </c>
      <c r="AB985">
        <v>22</v>
      </c>
      <c r="AC985">
        <v>-3.6541000000000001</v>
      </c>
      <c r="AD985">
        <v>-1.116562312651</v>
      </c>
      <c r="AE985">
        <v>-65.1023</v>
      </c>
      <c r="AF985">
        <v>20.733565451313499</v>
      </c>
      <c r="AG985">
        <v>-1.116562312651</v>
      </c>
      <c r="AH985">
        <v>61.800395219350698</v>
      </c>
      <c r="AI985">
        <v>90.981321008573403</v>
      </c>
      <c r="AJ985">
        <v>71.453786402012398</v>
      </c>
      <c r="AK985">
        <v>65.195216826005506</v>
      </c>
      <c r="AL985">
        <v>77.9977852819068</v>
      </c>
      <c r="AM985">
        <v>74.654033661541604</v>
      </c>
      <c r="AN985">
        <v>0.99999999951993002</v>
      </c>
    </row>
    <row r="986" spans="1:40" x14ac:dyDescent="0.25">
      <c r="A986" t="str">
        <f>"20190303170738011"</f>
        <v>20190303170738011</v>
      </c>
      <c r="B986" t="str">
        <f>"1551604058003676"</f>
        <v>1551604058003676</v>
      </c>
      <c r="C986" t="s">
        <v>40</v>
      </c>
      <c r="D986">
        <v>4.7492970000000003</v>
      </c>
      <c r="E986">
        <v>0.53184480000000001</v>
      </c>
      <c r="F986" t="s">
        <v>57</v>
      </c>
      <c r="G986">
        <v>-195.797</v>
      </c>
      <c r="H986" s="1">
        <v>1.3088850000000001E-6</v>
      </c>
      <c r="I986">
        <v>294.27969999999999</v>
      </c>
      <c r="J986">
        <v>-192.17009999999999</v>
      </c>
      <c r="K986">
        <v>1.1168039999999999</v>
      </c>
      <c r="L986">
        <v>352.23559999999998</v>
      </c>
      <c r="M986">
        <v>0.25751410000000002</v>
      </c>
      <c r="N986">
        <v>-1.446281E-2</v>
      </c>
      <c r="O986">
        <v>-0.96616630000000003</v>
      </c>
      <c r="P986">
        <v>8.1503109999999995E-4</v>
      </c>
      <c r="Q986">
        <v>0.19483919999999999</v>
      </c>
      <c r="R986">
        <v>-0.98083489999999995</v>
      </c>
      <c r="S986">
        <v>-0.18939210000000001</v>
      </c>
      <c r="T986">
        <v>-5.900478E-2</v>
      </c>
      <c r="U986">
        <v>-3.072632</v>
      </c>
      <c r="V986">
        <v>0.25416879999999997</v>
      </c>
      <c r="W986">
        <v>0.20565700000000001</v>
      </c>
      <c r="X986">
        <v>0.94504149999999998</v>
      </c>
      <c r="Y986">
        <v>0.316420599999999</v>
      </c>
      <c r="Z986">
        <v>3.1365410000000001E-3</v>
      </c>
      <c r="AA986">
        <v>0.94861379999999995</v>
      </c>
      <c r="AB986">
        <v>22</v>
      </c>
      <c r="AC986">
        <v>-3.6269</v>
      </c>
      <c r="AD986">
        <v>-1.116802691115</v>
      </c>
      <c r="AE986">
        <v>-57.9558999999999</v>
      </c>
      <c r="AF986">
        <v>18.423763066066801</v>
      </c>
      <c r="AG986">
        <v>-1.116802691115</v>
      </c>
      <c r="AH986">
        <v>55.046458466604001</v>
      </c>
      <c r="AI986">
        <v>91.102198225430698</v>
      </c>
      <c r="AJ986">
        <v>71.494874530005205</v>
      </c>
      <c r="AK986">
        <v>58.058547032120998</v>
      </c>
      <c r="AL986">
        <v>78.132038203640207</v>
      </c>
      <c r="AM986">
        <v>74.946518837152894</v>
      </c>
      <c r="AN986">
        <v>1.00000000863234</v>
      </c>
    </row>
    <row r="987" spans="1:40" x14ac:dyDescent="0.25">
      <c r="A987" t="str">
        <f>"20190303170738032"</f>
        <v>20190303170738032</v>
      </c>
      <c r="B987" t="str">
        <f>"1551604058023196"</f>
        <v>1551604058023196</v>
      </c>
      <c r="C987" t="s">
        <v>40</v>
      </c>
      <c r="D987">
        <v>4.7395969999999998</v>
      </c>
      <c r="E987">
        <v>0.53129190000000004</v>
      </c>
      <c r="F987" t="s">
        <v>43</v>
      </c>
      <c r="G987">
        <v>-195.51669999999999</v>
      </c>
      <c r="H987" s="1">
        <v>-1.5581740000000001E-6</v>
      </c>
      <c r="I987">
        <v>299.79969999999997</v>
      </c>
      <c r="J987">
        <v>-192.12469999999999</v>
      </c>
      <c r="K987">
        <v>1.117049</v>
      </c>
      <c r="L987">
        <v>352.03100000000001</v>
      </c>
      <c r="M987">
        <v>0.25036839999999999</v>
      </c>
      <c r="N987">
        <v>-1.4403630000000001E-2</v>
      </c>
      <c r="O987">
        <v>-0.9680434</v>
      </c>
      <c r="P987">
        <v>-1.5034650000000001E-3</v>
      </c>
      <c r="Q987">
        <v>0.1960605</v>
      </c>
      <c r="R987">
        <v>-0.98059059999999998</v>
      </c>
      <c r="S987">
        <v>-0.19604489999999999</v>
      </c>
      <c r="T987">
        <v>-6.5423490000000001E-2</v>
      </c>
      <c r="U987">
        <v>-3.0717469999999998</v>
      </c>
      <c r="V987">
        <v>0.24922639999999999</v>
      </c>
      <c r="W987">
        <v>0.20704649999999999</v>
      </c>
      <c r="X987">
        <v>0.9460539</v>
      </c>
      <c r="Y987">
        <v>0.31146659999999998</v>
      </c>
      <c r="Z987">
        <v>5.2040589999999996E-3</v>
      </c>
      <c r="AA987">
        <v>0.9502429</v>
      </c>
      <c r="AB987">
        <v>22</v>
      </c>
      <c r="AC987">
        <v>-3.3919999999999901</v>
      </c>
      <c r="AD987">
        <v>-1.117050558174</v>
      </c>
      <c r="AE987">
        <v>-52.231299999999997</v>
      </c>
      <c r="AF987">
        <v>16.3549199385841</v>
      </c>
      <c r="AG987">
        <v>-1.117050558174</v>
      </c>
      <c r="AH987">
        <v>49.695443026033601</v>
      </c>
      <c r="AI987">
        <v>91.223157898128505</v>
      </c>
      <c r="AJ987">
        <v>71.7834689618265</v>
      </c>
      <c r="AK987">
        <v>52.329420651300602</v>
      </c>
      <c r="AL987">
        <v>78.050674690863602</v>
      </c>
      <c r="AM987">
        <v>75.2414371248218</v>
      </c>
      <c r="AN987">
        <v>1.0000000166622001</v>
      </c>
    </row>
    <row r="988" spans="1:40" x14ac:dyDescent="0.25">
      <c r="A988" t="str">
        <f>"20190303170738055"</f>
        <v>20190303170738055</v>
      </c>
      <c r="B988" t="str">
        <f>"1551604058043692"</f>
        <v>1551604058043692</v>
      </c>
      <c r="C988" t="s">
        <v>40</v>
      </c>
      <c r="D988">
        <v>4.7827719999999996</v>
      </c>
      <c r="E988">
        <v>0.51054659999999996</v>
      </c>
      <c r="F988" t="s">
        <v>57</v>
      </c>
      <c r="G988">
        <v>-195.65719999999999</v>
      </c>
      <c r="H988" s="1">
        <v>4.1129550000000002E-7</v>
      </c>
      <c r="I988">
        <v>297.28089999999997</v>
      </c>
      <c r="J988">
        <v>-192.07769999999999</v>
      </c>
      <c r="K988">
        <v>1.11731</v>
      </c>
      <c r="L988">
        <v>351.8134</v>
      </c>
      <c r="M988">
        <v>0.24317140000000001</v>
      </c>
      <c r="N988">
        <v>-1.434099E-2</v>
      </c>
      <c r="O988">
        <v>-0.9698774</v>
      </c>
      <c r="P988">
        <v>-4.5033019999999998E-3</v>
      </c>
      <c r="Q988">
        <v>0.19608229999999999</v>
      </c>
      <c r="R988">
        <v>-0.98057740000000004</v>
      </c>
      <c r="S988">
        <v>-0.1981812</v>
      </c>
      <c r="T988">
        <v>-6.2668799999999997E-2</v>
      </c>
      <c r="U988">
        <v>-3.0715940000000002</v>
      </c>
      <c r="V988">
        <v>0.24494150000000001</v>
      </c>
      <c r="W988">
        <v>0.20722930000000001</v>
      </c>
      <c r="X988">
        <v>0.94713230000000004</v>
      </c>
      <c r="Y988">
        <v>0.30506719999999998</v>
      </c>
      <c r="Z988">
        <v>4.5169909999999997E-3</v>
      </c>
      <c r="AA988">
        <v>0.9523201</v>
      </c>
      <c r="AB988">
        <v>22</v>
      </c>
      <c r="AC988">
        <v>-3.5794999999999901</v>
      </c>
      <c r="AD988">
        <v>-1.1173095887044999</v>
      </c>
      <c r="AE988">
        <v>-54.532499999999999</v>
      </c>
      <c r="AF988">
        <v>16.727148206521999</v>
      </c>
      <c r="AG988">
        <v>-1.1173095887044999</v>
      </c>
      <c r="AH988">
        <v>52.003016186702297</v>
      </c>
      <c r="AI988">
        <v>91.171731507503097</v>
      </c>
      <c r="AJ988">
        <v>72.169235455274205</v>
      </c>
      <c r="AK988">
        <v>54.638443978158698</v>
      </c>
      <c r="AL988">
        <v>78.039968112605393</v>
      </c>
      <c r="AM988">
        <v>75.500202282589001</v>
      </c>
      <c r="AN988">
        <v>0.99999995745201398</v>
      </c>
    </row>
    <row r="989" spans="1:40" x14ac:dyDescent="0.25">
      <c r="A989" t="str">
        <f>"20190303170738079"</f>
        <v>20190303170738079</v>
      </c>
      <c r="B989" t="str">
        <f>"1551604058072972"</f>
        <v>1551604058072972</v>
      </c>
      <c r="C989" t="s">
        <v>40</v>
      </c>
      <c r="D989">
        <v>4.9092349999999998</v>
      </c>
      <c r="E989">
        <v>0.50309349999999997</v>
      </c>
      <c r="F989" t="s">
        <v>57</v>
      </c>
      <c r="G989">
        <v>-193.06200000000001</v>
      </c>
      <c r="H989" s="1">
        <v>5.8020499999999998E-6</v>
      </c>
      <c r="I989">
        <v>273.43189999999998</v>
      </c>
      <c r="J989">
        <v>-192.02719999999999</v>
      </c>
      <c r="K989">
        <v>1.1176109999999999</v>
      </c>
      <c r="L989">
        <v>351.57339999999999</v>
      </c>
      <c r="M989">
        <v>0.2357136</v>
      </c>
      <c r="N989">
        <v>-1.427323E-2</v>
      </c>
      <c r="O989">
        <v>-0.97171779999999996</v>
      </c>
      <c r="P989">
        <v>-7.7565169999999897E-3</v>
      </c>
      <c r="Q989">
        <v>0.19517760000000001</v>
      </c>
      <c r="R989">
        <v>-0.98073759999999999</v>
      </c>
      <c r="S989">
        <v>-3.8528439999999997E-2</v>
      </c>
      <c r="T989">
        <v>-4.373324E-2</v>
      </c>
      <c r="U989">
        <v>-3.067993</v>
      </c>
      <c r="V989">
        <v>0.24067649999999999</v>
      </c>
      <c r="W989">
        <v>0.20649319999999999</v>
      </c>
      <c r="X989">
        <v>0.9483857</v>
      </c>
      <c r="Y989">
        <v>0.24787110000000001</v>
      </c>
      <c r="Z989">
        <v>-8.6715380000000001E-4</v>
      </c>
      <c r="AA989">
        <v>0.9687926</v>
      </c>
      <c r="AB989">
        <v>22</v>
      </c>
      <c r="AC989">
        <v>-1.0348000000000099</v>
      </c>
      <c r="AD989">
        <v>-1.1176051979499999</v>
      </c>
      <c r="AE989">
        <v>-78.141499999999994</v>
      </c>
      <c r="AF989">
        <v>19.4225534162271</v>
      </c>
      <c r="AG989">
        <v>-1.1176051979499999</v>
      </c>
      <c r="AH989">
        <v>75.679798727812496</v>
      </c>
      <c r="AI989">
        <v>90.819502760298505</v>
      </c>
      <c r="AJ989">
        <v>75.606190969167599</v>
      </c>
      <c r="AK989">
        <v>78.140364460801493</v>
      </c>
      <c r="AL989">
        <v>78.083076797526203</v>
      </c>
      <c r="AM989">
        <v>75.760374106829204</v>
      </c>
      <c r="AN989">
        <v>1.00000002763148</v>
      </c>
    </row>
    <row r="990" spans="1:40" x14ac:dyDescent="0.25">
      <c r="A990" t="str">
        <f>"20190303170738102"</f>
        <v>20190303170738102</v>
      </c>
      <c r="B990" t="str">
        <f>"1551604058093468"</f>
        <v>1551604058093468</v>
      </c>
      <c r="C990" t="s">
        <v>40</v>
      </c>
      <c r="D990">
        <v>5.0222069999999999</v>
      </c>
      <c r="E990">
        <v>0.50120920000000002</v>
      </c>
      <c r="F990" t="s">
        <v>43</v>
      </c>
      <c r="G990">
        <v>-191.54339999999999</v>
      </c>
      <c r="H990" s="1">
        <v>-3.553118E-6</v>
      </c>
      <c r="I990">
        <v>196.9143</v>
      </c>
      <c r="J990">
        <v>-191.98410000000001</v>
      </c>
      <c r="K990">
        <v>1.1178760000000001</v>
      </c>
      <c r="L990">
        <v>351.36380000000003</v>
      </c>
      <c r="M990">
        <v>0.22962080000000001</v>
      </c>
      <c r="N990">
        <v>-1.421584E-2</v>
      </c>
      <c r="O990">
        <v>-0.97317670000000001</v>
      </c>
      <c r="P990">
        <v>-8.4450389999999997E-3</v>
      </c>
      <c r="Q990">
        <v>0.1929478</v>
      </c>
      <c r="R990">
        <v>-0.98117299999999996</v>
      </c>
      <c r="S990">
        <v>9.5825200000000006E-3</v>
      </c>
      <c r="T990">
        <v>-2.2137400000000002E-2</v>
      </c>
      <c r="U990">
        <v>-3.0634459999999999</v>
      </c>
      <c r="V990">
        <v>0.2353288</v>
      </c>
      <c r="W990">
        <v>0.2044347</v>
      </c>
      <c r="X990">
        <v>0.95017200000000002</v>
      </c>
      <c r="Y990">
        <v>0.22656370000000001</v>
      </c>
      <c r="Z990">
        <v>-7.3684800000000002E-3</v>
      </c>
      <c r="AA990">
        <v>0.97396850000000001</v>
      </c>
      <c r="AB990">
        <v>22</v>
      </c>
      <c r="AC990">
        <v>0.44070000000002002</v>
      </c>
      <c r="AD990">
        <v>-1.1178795531179999</v>
      </c>
      <c r="AE990">
        <v>-154.4495</v>
      </c>
      <c r="AF990">
        <v>35.0376319347194</v>
      </c>
      <c r="AG990">
        <v>-1.1178795531179999</v>
      </c>
      <c r="AH990">
        <v>150.415117265969</v>
      </c>
      <c r="AI990">
        <v>90.414710027414202</v>
      </c>
      <c r="AJ990">
        <v>76.887375926598395</v>
      </c>
      <c r="AK990">
        <v>154.44608382352499</v>
      </c>
      <c r="AL990">
        <v>78.203591188416695</v>
      </c>
      <c r="AM990">
        <v>76.089488527398302</v>
      </c>
      <c r="AN990">
        <v>1.0000000101287601</v>
      </c>
    </row>
    <row r="991" spans="1:40" x14ac:dyDescent="0.25">
      <c r="A991" t="str">
        <f>"20190303170738124"</f>
        <v>20190303170738124</v>
      </c>
      <c r="B991" t="str">
        <f>"1551604058112988"</f>
        <v>1551604058112988</v>
      </c>
      <c r="C991" t="s">
        <v>40</v>
      </c>
      <c r="D991">
        <v>4.9064719999999999</v>
      </c>
      <c r="E991">
        <v>0.50037719999999997</v>
      </c>
      <c r="F991" t="s">
        <v>57</v>
      </c>
      <c r="G991">
        <v>-191.0744</v>
      </c>
      <c r="H991" s="1">
        <v>4.1929649999999996E-6</v>
      </c>
      <c r="I991">
        <v>209.82419999999999</v>
      </c>
      <c r="J991">
        <v>-191.94220000000001</v>
      </c>
      <c r="K991">
        <v>1.1181399999999999</v>
      </c>
      <c r="L991">
        <v>351.15559999999999</v>
      </c>
      <c r="M991">
        <v>0.22397249999999999</v>
      </c>
      <c r="N991">
        <v>-1.4160539999999999E-2</v>
      </c>
      <c r="O991">
        <v>-0.97449260000000004</v>
      </c>
      <c r="P991">
        <v>-9.2748510000000006E-3</v>
      </c>
      <c r="Q991">
        <v>0.19164139999999999</v>
      </c>
      <c r="R991">
        <v>-0.98142119999999999</v>
      </c>
      <c r="S991">
        <v>1.9683840000000001E-2</v>
      </c>
      <c r="T991">
        <v>-2.4187920000000002E-2</v>
      </c>
      <c r="U991">
        <v>-3.0625610000000001</v>
      </c>
      <c r="V991">
        <v>0.23051550000000001</v>
      </c>
      <c r="W991">
        <v>0.2032891</v>
      </c>
      <c r="X991">
        <v>0.95159660000000001</v>
      </c>
      <c r="Y991">
        <v>0.21769240000000001</v>
      </c>
      <c r="Z991">
        <v>-6.6485679999999997E-3</v>
      </c>
      <c r="AA991">
        <v>0.97599480000000005</v>
      </c>
      <c r="AB991">
        <v>22</v>
      </c>
      <c r="AC991">
        <v>0.867800000000016</v>
      </c>
      <c r="AD991">
        <v>-1.11813580703499</v>
      </c>
      <c r="AE991">
        <v>-141.3314</v>
      </c>
      <c r="AF991">
        <v>30.809842870896102</v>
      </c>
      <c r="AG991">
        <v>-1.11813580703499</v>
      </c>
      <c r="AH991">
        <v>137.92596225669499</v>
      </c>
      <c r="AI991">
        <v>90.453302860609</v>
      </c>
      <c r="AJ991">
        <v>77.408016892140196</v>
      </c>
      <c r="AK991">
        <v>141.32964200707301</v>
      </c>
      <c r="AL991">
        <v>78.270636767634002</v>
      </c>
      <c r="AM991">
        <v>76.382933856677994</v>
      </c>
      <c r="AN991">
        <v>0.99999997152530895</v>
      </c>
    </row>
    <row r="992" spans="1:40" x14ac:dyDescent="0.25">
      <c r="A992" t="str">
        <f>"20190303170738146"</f>
        <v>20190303170738146</v>
      </c>
      <c r="B992" t="str">
        <f>"1551604058133485"</f>
        <v>1551604058133485</v>
      </c>
      <c r="C992" t="s">
        <v>40</v>
      </c>
      <c r="D992">
        <v>4.8694499999999996</v>
      </c>
      <c r="E992">
        <v>0.50028479999999997</v>
      </c>
      <c r="F992" t="s">
        <v>57</v>
      </c>
      <c r="G992">
        <v>-191.0403</v>
      </c>
      <c r="H992" s="1">
        <v>3.5205879999999999E-6</v>
      </c>
      <c r="I992">
        <v>217.58449999999999</v>
      </c>
      <c r="J992">
        <v>-191.9006</v>
      </c>
      <c r="K992">
        <v>1.118412</v>
      </c>
      <c r="L992">
        <v>350.94529999999997</v>
      </c>
      <c r="M992">
        <v>0.21866969999999999</v>
      </c>
      <c r="N992">
        <v>-1.410667E-2</v>
      </c>
      <c r="O992">
        <v>-0.97569720000000004</v>
      </c>
      <c r="P992">
        <v>-1.158875E-2</v>
      </c>
      <c r="Q992">
        <v>0.19223589999999999</v>
      </c>
      <c r="R992">
        <v>-0.98128040000000005</v>
      </c>
      <c r="S992">
        <v>2.0675659999999998E-2</v>
      </c>
      <c r="T992">
        <v>-2.5632140000000001E-2</v>
      </c>
      <c r="U992">
        <v>-3.0619809999999998</v>
      </c>
      <c r="V992">
        <v>0.22741410000000001</v>
      </c>
      <c r="W992">
        <v>0.2040198</v>
      </c>
      <c r="X992">
        <v>0.95218630000000004</v>
      </c>
      <c r="Y992">
        <v>0.2120639</v>
      </c>
      <c r="Z992">
        <v>-6.124778E-3</v>
      </c>
      <c r="AA992">
        <v>0.97723660000000001</v>
      </c>
      <c r="AB992">
        <v>22</v>
      </c>
      <c r="AC992">
        <v>0.86029999999999496</v>
      </c>
      <c r="AD992">
        <v>-1.1184084794119999</v>
      </c>
      <c r="AE992">
        <v>-133.36079999999899</v>
      </c>
      <c r="AF992">
        <v>28.323393854313402</v>
      </c>
      <c r="AG992">
        <v>-1.1184084794119999</v>
      </c>
      <c r="AH992">
        <v>130.31165351621701</v>
      </c>
      <c r="AI992">
        <v>90.480514187410805</v>
      </c>
      <c r="AJ992">
        <v>77.737420581196105</v>
      </c>
      <c r="AK992">
        <v>133.35888616467901</v>
      </c>
      <c r="AL992">
        <v>78.2278749139154</v>
      </c>
      <c r="AM992">
        <v>76.567472443709207</v>
      </c>
      <c r="AN992">
        <v>1.00000000078927</v>
      </c>
    </row>
    <row r="993" spans="1:40" x14ac:dyDescent="0.25">
      <c r="A993" t="str">
        <f>"20190303170738171"</f>
        <v>20190303170738171</v>
      </c>
      <c r="B993" t="str">
        <f>"1551604058163740"</f>
        <v>1551604058163740</v>
      </c>
      <c r="C993" t="s">
        <v>40</v>
      </c>
      <c r="D993">
        <v>5.0246440000000003</v>
      </c>
      <c r="E993">
        <v>0.4996621</v>
      </c>
      <c r="F993" t="s">
        <v>57</v>
      </c>
      <c r="G993">
        <v>-191.1643</v>
      </c>
      <c r="H993" s="1">
        <v>4.7941679999999997E-6</v>
      </c>
      <c r="I993">
        <v>207.7705</v>
      </c>
      <c r="J993">
        <v>-191.85400000000001</v>
      </c>
      <c r="K993">
        <v>1.118719</v>
      </c>
      <c r="L993">
        <v>350.70499999999998</v>
      </c>
      <c r="M993">
        <v>0.21308849999999999</v>
      </c>
      <c r="N993">
        <v>-1.404862E-2</v>
      </c>
      <c r="O993">
        <v>-0.97693189999999996</v>
      </c>
      <c r="P993">
        <v>-1.520701E-2</v>
      </c>
      <c r="Q993">
        <v>0.19295390000000001</v>
      </c>
      <c r="R993">
        <v>-0.98109020000000002</v>
      </c>
      <c r="S993">
        <v>1.5747069999999998E-2</v>
      </c>
      <c r="T993">
        <v>-2.3919579999999999E-2</v>
      </c>
      <c r="U993">
        <v>-3.062103</v>
      </c>
      <c r="V993">
        <v>0.2252979</v>
      </c>
      <c r="W993">
        <v>0.2048693</v>
      </c>
      <c r="X993">
        <v>0.95250690000000005</v>
      </c>
      <c r="Y993">
        <v>0.20805029999999999</v>
      </c>
      <c r="Z993">
        <v>-6.5845180000000001E-3</v>
      </c>
      <c r="AA993">
        <v>0.97809590000000002</v>
      </c>
      <c r="AB993">
        <v>22</v>
      </c>
      <c r="AC993">
        <v>0.68970000000001597</v>
      </c>
      <c r="AD993">
        <v>-1.1187142058319901</v>
      </c>
      <c r="AE993">
        <v>-142.93450000000001</v>
      </c>
      <c r="AF993">
        <v>29.7850231584071</v>
      </c>
      <c r="AG993">
        <v>-1.1187142058319901</v>
      </c>
      <c r="AH993">
        <v>139.78947227462501</v>
      </c>
      <c r="AI993">
        <v>90.448453478121706</v>
      </c>
      <c r="AJ993">
        <v>77.971825261167396</v>
      </c>
      <c r="AK993">
        <v>142.931786824482</v>
      </c>
      <c r="AL993">
        <v>78.178151706338497</v>
      </c>
      <c r="AM993">
        <v>76.692320224403204</v>
      </c>
      <c r="AN993">
        <v>0.999999984187255</v>
      </c>
    </row>
    <row r="994" spans="1:40" x14ac:dyDescent="0.25">
      <c r="A994" t="str">
        <f>"20190303170738193"</f>
        <v>20190303170738193</v>
      </c>
      <c r="B994" t="str">
        <f>"1551604058183259"</f>
        <v>1551604058183259</v>
      </c>
      <c r="C994" t="s">
        <v>40</v>
      </c>
      <c r="D994">
        <v>5.0750869999999999</v>
      </c>
      <c r="E994">
        <v>0.49936930000000002</v>
      </c>
      <c r="F994" t="s">
        <v>43</v>
      </c>
      <c r="G994">
        <v>-191.18639999999999</v>
      </c>
      <c r="H994" s="1">
        <v>-4.3263990000000004E-6</v>
      </c>
      <c r="I994">
        <v>189.08170000000001</v>
      </c>
      <c r="J994">
        <v>-191.8117</v>
      </c>
      <c r="K994">
        <v>1.118965</v>
      </c>
      <c r="L994">
        <v>350.483</v>
      </c>
      <c r="M994">
        <v>0.2083458</v>
      </c>
      <c r="N994">
        <v>-1.4000230000000001E-2</v>
      </c>
      <c r="O994">
        <v>-0.97795509999999997</v>
      </c>
      <c r="P994">
        <v>-1.537734E-2</v>
      </c>
      <c r="Q994">
        <v>0.1916273</v>
      </c>
      <c r="R994">
        <v>-0.98134770000000004</v>
      </c>
      <c r="S994">
        <v>1.2649540000000001E-2</v>
      </c>
      <c r="T994">
        <v>-2.1195889999999998E-2</v>
      </c>
      <c r="U994">
        <v>-3.062195</v>
      </c>
      <c r="V994">
        <v>0.22075320000000001</v>
      </c>
      <c r="W994">
        <v>0.20367199999999999</v>
      </c>
      <c r="X994">
        <v>0.95382690000000003</v>
      </c>
      <c r="Y994">
        <v>0.20429430000000001</v>
      </c>
      <c r="Z994">
        <v>-7.3736969999999898E-3</v>
      </c>
      <c r="AA994">
        <v>0.97888169999999997</v>
      </c>
      <c r="AB994">
        <v>22</v>
      </c>
      <c r="AC994">
        <v>0.62530000000000996</v>
      </c>
      <c r="AD994">
        <v>-1.1189693263989999</v>
      </c>
      <c r="AE994">
        <v>-161.40129999999999</v>
      </c>
      <c r="AF994">
        <v>33.017414255703201</v>
      </c>
      <c r="AG994">
        <v>-1.1189693263989999</v>
      </c>
      <c r="AH994">
        <v>157.981381793769</v>
      </c>
      <c r="AI994">
        <v>90.397232196044101</v>
      </c>
      <c r="AJ994">
        <v>78.195349009538504</v>
      </c>
      <c r="AK994">
        <v>161.39863298663599</v>
      </c>
      <c r="AL994">
        <v>78.248229851834296</v>
      </c>
      <c r="AM994">
        <v>76.968927910987802</v>
      </c>
      <c r="AN994">
        <v>1.0000000070289199</v>
      </c>
    </row>
    <row r="995" spans="1:40" x14ac:dyDescent="0.25">
      <c r="A995" t="str">
        <f>"20190303170738215"</f>
        <v>20190303170738215</v>
      </c>
      <c r="B995" t="str">
        <f>"1551604058203755"</f>
        <v>1551604058203755</v>
      </c>
      <c r="C995" t="s">
        <v>40</v>
      </c>
      <c r="D995">
        <v>5.0788679999999999</v>
      </c>
      <c r="E995">
        <v>0.49904910000000002</v>
      </c>
      <c r="F995" t="s">
        <v>57</v>
      </c>
      <c r="G995">
        <v>-191.1609</v>
      </c>
      <c r="H995" s="1">
        <v>4.050983E-6</v>
      </c>
      <c r="I995">
        <v>211.27260000000001</v>
      </c>
      <c r="J995">
        <v>-191.7732</v>
      </c>
      <c r="K995">
        <v>1.1191230000000001</v>
      </c>
      <c r="L995">
        <v>350.27809999999999</v>
      </c>
      <c r="M995">
        <v>0.20420949999999999</v>
      </c>
      <c r="N995">
        <v>-1.3960429999999999E-2</v>
      </c>
      <c r="O995">
        <v>-0.97882760000000002</v>
      </c>
      <c r="P995">
        <v>-1.31203E-2</v>
      </c>
      <c r="Q995">
        <v>0.18958040000000001</v>
      </c>
      <c r="R995">
        <v>-0.98177740000000002</v>
      </c>
      <c r="S995">
        <v>1.4312739999999999E-2</v>
      </c>
      <c r="T995">
        <v>-2.4612430000000001E-2</v>
      </c>
      <c r="U995">
        <v>-3.0620419999999999</v>
      </c>
      <c r="V995">
        <v>0.21449550000000001</v>
      </c>
      <c r="W995">
        <v>0.2017323</v>
      </c>
      <c r="X995">
        <v>0.95566510000000005</v>
      </c>
      <c r="Y995">
        <v>0.19962079999999999</v>
      </c>
      <c r="Z995">
        <v>-6.2513500000000001E-3</v>
      </c>
      <c r="AA995">
        <v>0.97985330000000004</v>
      </c>
      <c r="AB995">
        <v>22</v>
      </c>
      <c r="AC995">
        <v>0.61230000000000395</v>
      </c>
      <c r="AD995">
        <v>-1.1191189490169999</v>
      </c>
      <c r="AE995">
        <v>-139.00549999999899</v>
      </c>
      <c r="AF995">
        <v>27.787816179497302</v>
      </c>
      <c r="AG995">
        <v>-1.1191189490169999</v>
      </c>
      <c r="AH995">
        <v>136.19191092931999</v>
      </c>
      <c r="AI995">
        <v>90.461297869116294</v>
      </c>
      <c r="AJ995">
        <v>78.467984929278799</v>
      </c>
      <c r="AK995">
        <v>139.002344432846</v>
      </c>
      <c r="AL995">
        <v>78.361722610792597</v>
      </c>
      <c r="AM995">
        <v>77.349815843529797</v>
      </c>
      <c r="AN995">
        <v>1.0000000118707699</v>
      </c>
    </row>
    <row r="996" spans="1:40" x14ac:dyDescent="0.25">
      <c r="A996" t="str">
        <f>"20190303170738234"</f>
        <v>20190303170738234</v>
      </c>
      <c r="B996" t="str">
        <f>"1551604058223277"</f>
        <v>1551604058223277</v>
      </c>
      <c r="C996" t="s">
        <v>40</v>
      </c>
      <c r="D996">
        <v>4.9611689999999999</v>
      </c>
      <c r="E996">
        <v>0.49873020000000001</v>
      </c>
      <c r="F996" t="s">
        <v>43</v>
      </c>
      <c r="G996">
        <v>-190.9693</v>
      </c>
      <c r="H996" s="1">
        <v>-4.2029519999999998E-6</v>
      </c>
      <c r="I996">
        <v>237.93729999999999</v>
      </c>
      <c r="J996">
        <v>-191.73990000000001</v>
      </c>
      <c r="K996">
        <v>1.11921</v>
      </c>
      <c r="L996">
        <v>350.09780000000001</v>
      </c>
      <c r="M996">
        <v>0.20072950000000001</v>
      </c>
      <c r="N996">
        <v>-1.3929469999999999E-2</v>
      </c>
      <c r="O996">
        <v>-0.97954770000000002</v>
      </c>
      <c r="P996">
        <v>-1.213127E-2</v>
      </c>
      <c r="Q996">
        <v>0.1894846</v>
      </c>
      <c r="R996">
        <v>-0.98180900000000004</v>
      </c>
      <c r="S996">
        <v>2.191162E-2</v>
      </c>
      <c r="T996">
        <v>-3.05022E-2</v>
      </c>
      <c r="U996">
        <v>-3.06189</v>
      </c>
      <c r="V996">
        <v>0.2100784</v>
      </c>
      <c r="W996">
        <v>0.2016935</v>
      </c>
      <c r="X996">
        <v>0.956654</v>
      </c>
      <c r="Y996">
        <v>0.19370109999999999</v>
      </c>
      <c r="Z996">
        <v>-4.3567700000000003E-3</v>
      </c>
      <c r="AA996">
        <v>0.98105089999999995</v>
      </c>
      <c r="AB996">
        <v>22</v>
      </c>
      <c r="AC996">
        <v>0.77060000000000095</v>
      </c>
      <c r="AD996">
        <v>-1.119214202952</v>
      </c>
      <c r="AE996">
        <v>-112.1605</v>
      </c>
      <c r="AF996">
        <v>21.759025718420599</v>
      </c>
      <c r="AG996">
        <v>-1.119214202952</v>
      </c>
      <c r="AH996">
        <v>110.020959265293</v>
      </c>
      <c r="AI996">
        <v>90.571760939151901</v>
      </c>
      <c r="AJ996">
        <v>78.8128849060801</v>
      </c>
      <c r="AK996">
        <v>112.157564694952</v>
      </c>
      <c r="AL996">
        <v>78.363992660970695</v>
      </c>
      <c r="AM996">
        <v>77.614604614695494</v>
      </c>
      <c r="AN996">
        <v>1.0000000389024</v>
      </c>
    </row>
    <row r="997" spans="1:40" x14ac:dyDescent="0.25">
      <c r="A997" t="str">
        <f>"20190303170738279"</f>
        <v>20190303170738279</v>
      </c>
      <c r="B997" t="str">
        <f>"1551604058273052"</f>
        <v>1551604058273052</v>
      </c>
      <c r="C997" t="s">
        <v>40</v>
      </c>
      <c r="D997">
        <v>5.0130720000000002</v>
      </c>
      <c r="E997">
        <v>0.49849670000000001</v>
      </c>
      <c r="F997" t="s">
        <v>43</v>
      </c>
      <c r="G997">
        <v>-190.75049999999999</v>
      </c>
      <c r="H997" s="1">
        <v>-3.6604269999999998E-6</v>
      </c>
      <c r="I997">
        <v>236.9127</v>
      </c>
      <c r="J997">
        <v>-191.66290000000001</v>
      </c>
      <c r="K997">
        <v>1.1193310000000001</v>
      </c>
      <c r="L997">
        <v>349.66969999999998</v>
      </c>
      <c r="M997">
        <v>0.1929005</v>
      </c>
      <c r="N997">
        <v>-1.3868760000000001E-2</v>
      </c>
      <c r="O997">
        <v>-0.98112029999999995</v>
      </c>
      <c r="P997">
        <v>-1.260754E-2</v>
      </c>
      <c r="Q997">
        <v>0.19197819999999999</v>
      </c>
      <c r="R997">
        <v>-0.98131820000000003</v>
      </c>
      <c r="S997">
        <v>2.676392E-2</v>
      </c>
      <c r="T997">
        <v>-3.0275819999999998E-2</v>
      </c>
      <c r="U997">
        <v>-3.0617679999999998</v>
      </c>
      <c r="V997">
        <v>0.20274139999999999</v>
      </c>
      <c r="W997">
        <v>0.20423730000000001</v>
      </c>
      <c r="X997">
        <v>0.95769669999999896</v>
      </c>
      <c r="Y997">
        <v>0.18430440000000001</v>
      </c>
      <c r="Z997">
        <v>-4.3327519999999996E-3</v>
      </c>
      <c r="AA997">
        <v>0.9828597</v>
      </c>
      <c r="AB997">
        <v>21</v>
      </c>
      <c r="AC997">
        <v>0.91240000000001897</v>
      </c>
      <c r="AD997">
        <v>-1.11933466042699</v>
      </c>
      <c r="AE997">
        <v>-112.756999999999</v>
      </c>
      <c r="AF997">
        <v>20.855658567671099</v>
      </c>
      <c r="AG997">
        <v>-1.11933466042699</v>
      </c>
      <c r="AH997">
        <v>110.803924021824</v>
      </c>
      <c r="AI997">
        <v>90.568791869384199</v>
      </c>
      <c r="AJ997">
        <v>79.340426101940594</v>
      </c>
      <c r="AK997">
        <v>112.75513727989301</v>
      </c>
      <c r="AL997">
        <v>78.215144550342202</v>
      </c>
      <c r="AM997">
        <v>78.0471353466979</v>
      </c>
      <c r="AN997">
        <v>0.99999995958806898</v>
      </c>
    </row>
    <row r="998" spans="1:40" x14ac:dyDescent="0.25">
      <c r="A998" t="str">
        <f>"20190303170738300"</f>
        <v>20190303170738300</v>
      </c>
      <c r="B998" t="str">
        <f>"1551604058293547"</f>
        <v>1551604058293547</v>
      </c>
      <c r="C998" t="s">
        <v>40</v>
      </c>
      <c r="D998">
        <v>5.0743809999999998</v>
      </c>
      <c r="E998">
        <v>0.49847019999999997</v>
      </c>
      <c r="F998" t="s">
        <v>43</v>
      </c>
      <c r="G998">
        <v>-190.24379999999999</v>
      </c>
      <c r="H998" s="1">
        <v>-1.4708740000000001E-6</v>
      </c>
      <c r="I998">
        <v>192.8665</v>
      </c>
      <c r="J998">
        <v>-191.62889999999999</v>
      </c>
      <c r="K998">
        <v>1.1193610000000001</v>
      </c>
      <c r="L998">
        <v>349.47480000000002</v>
      </c>
      <c r="M998">
        <v>0.18942729999999999</v>
      </c>
      <c r="N998">
        <v>-1.384633E-2</v>
      </c>
      <c r="O998">
        <v>-0.98179720000000004</v>
      </c>
      <c r="P998">
        <v>-9.7635910000000003E-3</v>
      </c>
      <c r="Q998">
        <v>0.19126090000000001</v>
      </c>
      <c r="R998">
        <v>-0.98149090000000005</v>
      </c>
      <c r="S998">
        <v>2.7709959999999999E-2</v>
      </c>
      <c r="T998">
        <v>-2.1856069999999998E-2</v>
      </c>
      <c r="U998">
        <v>-3.0617369999999999</v>
      </c>
      <c r="V998">
        <v>0.19656680000000001</v>
      </c>
      <c r="W998">
        <v>0.20356089999999999</v>
      </c>
      <c r="X998">
        <v>0.9591269</v>
      </c>
      <c r="Y998">
        <v>0.1805254</v>
      </c>
      <c r="Z998">
        <v>-6.9490169999999896E-3</v>
      </c>
      <c r="AA998">
        <v>0.98354580000000003</v>
      </c>
      <c r="AB998">
        <v>21</v>
      </c>
      <c r="AC998">
        <v>1.38509999999999</v>
      </c>
      <c r="AD998">
        <v>-1.119362470874</v>
      </c>
      <c r="AE998">
        <v>-156.60830000000001</v>
      </c>
      <c r="AF998">
        <v>28.307265582465199</v>
      </c>
      <c r="AG998">
        <v>-1.119362470874</v>
      </c>
      <c r="AH998">
        <v>154.02685185858201</v>
      </c>
      <c r="AI998">
        <v>90.409521213092503</v>
      </c>
      <c r="AJ998">
        <v>79.5863084067974</v>
      </c>
      <c r="AK998">
        <v>156.61042542105201</v>
      </c>
      <c r="AL998">
        <v>78.254731281350999</v>
      </c>
      <c r="AM998">
        <v>78.417981830235902</v>
      </c>
      <c r="AN998">
        <v>0.99999997858732903</v>
      </c>
    </row>
    <row r="999" spans="1:40" x14ac:dyDescent="0.25">
      <c r="A999" t="str">
        <f>"20190303170738322"</f>
        <v>20190303170738322</v>
      </c>
      <c r="B999" t="str">
        <f>"1551604058313067"</f>
        <v>1551604058313067</v>
      </c>
      <c r="C999" t="s">
        <v>40</v>
      </c>
      <c r="D999">
        <v>5.0771240000000004</v>
      </c>
      <c r="E999">
        <v>0.4985019</v>
      </c>
      <c r="F999" t="s">
        <v>57</v>
      </c>
      <c r="G999">
        <v>-190.0128</v>
      </c>
      <c r="H999" s="1">
        <v>5.2753799999999998E-6</v>
      </c>
      <c r="I999">
        <v>207.13149999999999</v>
      </c>
      <c r="J999">
        <v>-191.59270000000001</v>
      </c>
      <c r="K999">
        <v>1.1193740000000001</v>
      </c>
      <c r="L999">
        <v>349.26299999999998</v>
      </c>
      <c r="M999">
        <v>0.18566569999999999</v>
      </c>
      <c r="N999">
        <v>-1.38256E-2</v>
      </c>
      <c r="O999">
        <v>-0.98251580000000005</v>
      </c>
      <c r="P999">
        <v>-6.1570469999999997E-3</v>
      </c>
      <c r="Q999">
        <v>0.19014519999999999</v>
      </c>
      <c r="R999">
        <v>-0.98173679999999997</v>
      </c>
      <c r="S999">
        <v>3.4759520000000002E-2</v>
      </c>
      <c r="T999">
        <v>-2.4075630000000001E-2</v>
      </c>
      <c r="U999">
        <v>-3.0615839999999999</v>
      </c>
      <c r="V999">
        <v>0.18937229999999999</v>
      </c>
      <c r="W999">
        <v>0.2024898</v>
      </c>
      <c r="X999">
        <v>0.96079970000000003</v>
      </c>
      <c r="Y999">
        <v>0.17449010000000001</v>
      </c>
      <c r="Z999">
        <v>-6.2132849999999998E-3</v>
      </c>
      <c r="AA999">
        <v>0.9846393</v>
      </c>
      <c r="AB999">
        <v>21</v>
      </c>
      <c r="AC999">
        <v>1.5799000000000001</v>
      </c>
      <c r="AD999">
        <v>-1.1193687246199999</v>
      </c>
      <c r="AE999">
        <v>-142.13149999999999</v>
      </c>
      <c r="AF999">
        <v>24.837499003414401</v>
      </c>
      <c r="AG999">
        <v>-1.1193687246199999</v>
      </c>
      <c r="AH999">
        <v>139.94446141213601</v>
      </c>
      <c r="AI999">
        <v>90.451228566682303</v>
      </c>
      <c r="AJ999">
        <v>79.9358796502692</v>
      </c>
      <c r="AK999">
        <v>142.13587380749101</v>
      </c>
      <c r="AL999">
        <v>78.317406647341798</v>
      </c>
      <c r="AM999">
        <v>78.849999161719495</v>
      </c>
      <c r="AN999">
        <v>1.0000000253157</v>
      </c>
    </row>
    <row r="1000" spans="1:40" x14ac:dyDescent="0.25">
      <c r="A1000" t="str">
        <f>"20190303170738346"</f>
        <v>20190303170738346</v>
      </c>
      <c r="B1000" t="str">
        <f>"1551604058333564"</f>
        <v>1551604058333564</v>
      </c>
      <c r="C1000" t="s">
        <v>40</v>
      </c>
      <c r="D1000">
        <v>5.01884</v>
      </c>
      <c r="E1000">
        <v>0.49855060000000001</v>
      </c>
      <c r="F1000" t="s">
        <v>57</v>
      </c>
      <c r="G1000">
        <v>-189.86279999999999</v>
      </c>
      <c r="H1000" s="1">
        <v>9.8233229999999996E-7</v>
      </c>
      <c r="I1000">
        <v>226.8374</v>
      </c>
      <c r="J1000">
        <v>-191.55590000000001</v>
      </c>
      <c r="K1000">
        <v>1.1193770000000001</v>
      </c>
      <c r="L1000">
        <v>349.04320000000001</v>
      </c>
      <c r="M1000">
        <v>0.18175430000000001</v>
      </c>
      <c r="N1000">
        <v>-1.3807959999999999E-2</v>
      </c>
      <c r="O1000">
        <v>-0.98324719999999999</v>
      </c>
      <c r="P1000">
        <v>-4.3898499999999998E-3</v>
      </c>
      <c r="Q1000">
        <v>0.19020819999999999</v>
      </c>
      <c r="R1000">
        <v>-0.98173429999999995</v>
      </c>
      <c r="S1000">
        <v>4.3258669999999999E-2</v>
      </c>
      <c r="T1000">
        <v>-2.799213E-2</v>
      </c>
      <c r="U1000">
        <v>-3.061493</v>
      </c>
      <c r="V1000">
        <v>0.1837995</v>
      </c>
      <c r="W1000">
        <v>0.20257810000000001</v>
      </c>
      <c r="X1000">
        <v>0.96186269999999996</v>
      </c>
      <c r="Y1000">
        <v>0.16783380000000001</v>
      </c>
      <c r="Z1000">
        <v>-4.941109E-3</v>
      </c>
      <c r="AA1000">
        <v>0.98580290000000004</v>
      </c>
      <c r="AB1000">
        <v>21</v>
      </c>
      <c r="AC1000">
        <v>1.69310000000001</v>
      </c>
      <c r="AD1000">
        <v>-1.1193760176676999</v>
      </c>
      <c r="AE1000">
        <v>-122.2058</v>
      </c>
      <c r="AF1000">
        <v>20.546925702225298</v>
      </c>
      <c r="AG1000">
        <v>-1.1193760176676999</v>
      </c>
      <c r="AH1000">
        <v>120.467598529185</v>
      </c>
      <c r="AI1000">
        <v>90.524794674599207</v>
      </c>
      <c r="AJ1000">
        <v>80.320786060720806</v>
      </c>
      <c r="AK1000">
        <v>122.21240302796799</v>
      </c>
      <c r="AL1000">
        <v>78.312240038998894</v>
      </c>
      <c r="AM1000">
        <v>79.181931963079293</v>
      </c>
      <c r="AN1000">
        <v>0.99999999822557495</v>
      </c>
    </row>
    <row r="1001" spans="1:40" x14ac:dyDescent="0.25">
      <c r="A1001" t="str">
        <f>"20190303170738414"</f>
        <v>20190303170738414</v>
      </c>
      <c r="B1001" t="str">
        <f>"1551604058402860"</f>
        <v>1551604058402860</v>
      </c>
      <c r="C1001" t="s">
        <v>40</v>
      </c>
      <c r="D1001">
        <v>5.0676019999999999</v>
      </c>
      <c r="E1001">
        <v>0.49876419999999999</v>
      </c>
      <c r="F1001" t="s">
        <v>57</v>
      </c>
      <c r="G1001">
        <v>-189.6422</v>
      </c>
      <c r="H1001" s="1">
        <v>7.6061739999999998E-7</v>
      </c>
      <c r="I1001">
        <v>227.46459999999999</v>
      </c>
      <c r="J1001">
        <v>-191.45269999999999</v>
      </c>
      <c r="K1001">
        <v>1.11934</v>
      </c>
      <c r="L1001">
        <v>348.39510000000001</v>
      </c>
      <c r="M1001">
        <v>0.1701375</v>
      </c>
      <c r="N1001">
        <v>-1.376906E-2</v>
      </c>
      <c r="O1001">
        <v>-0.98532430000000004</v>
      </c>
      <c r="P1001">
        <v>-2.9481139999999999E-3</v>
      </c>
      <c r="Q1001">
        <v>0.19346179999999999</v>
      </c>
      <c r="R1001">
        <v>-0.98110350000000002</v>
      </c>
      <c r="S1001">
        <v>4.8187260000000003E-2</v>
      </c>
      <c r="T1001">
        <v>-2.8187509999999999E-2</v>
      </c>
      <c r="U1001">
        <v>-3.0615230000000002</v>
      </c>
      <c r="V1001">
        <v>0.17092579999999999</v>
      </c>
      <c r="W1001">
        <v>0.20585439999999999</v>
      </c>
      <c r="X1001">
        <v>0.96353949999999999</v>
      </c>
      <c r="Y1001">
        <v>0.15459990000000001</v>
      </c>
      <c r="Z1001">
        <v>-4.8013270000000002E-3</v>
      </c>
      <c r="AA1001">
        <v>0.98796550000000005</v>
      </c>
      <c r="AB1001">
        <v>21</v>
      </c>
      <c r="AC1001">
        <v>1.81049999999999</v>
      </c>
      <c r="AD1001">
        <v>-1.1193392393826</v>
      </c>
      <c r="AE1001">
        <v>-120.93049999999999</v>
      </c>
      <c r="AF1001">
        <v>18.791052130719901</v>
      </c>
      <c r="AG1001">
        <v>-1.1193392393826</v>
      </c>
      <c r="AH1001">
        <v>119.464867561874</v>
      </c>
      <c r="AI1001">
        <v>90.530303681837907</v>
      </c>
      <c r="AJ1001">
        <v>81.060984562691601</v>
      </c>
      <c r="AK1001">
        <v>120.938873577061</v>
      </c>
      <c r="AL1001">
        <v>78.120480809754596</v>
      </c>
      <c r="AM1001">
        <v>79.940737400652694</v>
      </c>
      <c r="AN1001">
        <v>1.0000000155826201</v>
      </c>
    </row>
    <row r="1002" spans="1:40" x14ac:dyDescent="0.25">
      <c r="A1002" t="str">
        <f>"20190303170738478"</f>
        <v>20190303170738478</v>
      </c>
      <c r="B1002" t="str">
        <f>"1551604058473133"</f>
        <v>1551604058473133</v>
      </c>
      <c r="C1002" t="s">
        <v>40</v>
      </c>
      <c r="D1002">
        <v>5.076111</v>
      </c>
      <c r="E1002">
        <v>0.49914960000000003</v>
      </c>
      <c r="F1002" t="s">
        <v>58</v>
      </c>
      <c r="G1002">
        <v>-188.28919999999999</v>
      </c>
      <c r="H1002" s="1">
        <v>-9.5770959999999992E-6</v>
      </c>
      <c r="I1002">
        <v>144.84979999999999</v>
      </c>
      <c r="J1002">
        <v>-191.3631</v>
      </c>
      <c r="K1002">
        <v>1.1192470000000001</v>
      </c>
      <c r="L1002">
        <v>347.78680000000003</v>
      </c>
      <c r="M1002">
        <v>0.15905329999999901</v>
      </c>
      <c r="N1002">
        <v>-1.3652320000000001E-2</v>
      </c>
      <c r="O1002">
        <v>-0.98717560000000004</v>
      </c>
      <c r="P1002">
        <v>-3.0767770000000002E-3</v>
      </c>
      <c r="Q1002">
        <v>0.19292329999999999</v>
      </c>
      <c r="R1002">
        <v>-0.98120929999999995</v>
      </c>
      <c r="S1002">
        <v>4.7576899999999998E-2</v>
      </c>
      <c r="T1002">
        <v>-1.6834620000000002E-2</v>
      </c>
      <c r="U1002">
        <v>-3.0612490000000001</v>
      </c>
      <c r="V1002">
        <v>0.16023380000000001</v>
      </c>
      <c r="W1002">
        <v>0.20525660000000001</v>
      </c>
      <c r="X1002">
        <v>0.96550239999999998</v>
      </c>
      <c r="Y1002">
        <v>0.1436886</v>
      </c>
      <c r="Z1002">
        <v>-8.2703069999999993E-3</v>
      </c>
      <c r="AA1002">
        <v>0.98958840000000003</v>
      </c>
      <c r="AB1002">
        <v>21</v>
      </c>
      <c r="AC1002">
        <v>3.0739000000000001</v>
      </c>
      <c r="AD1002">
        <v>-1.1192565770959999</v>
      </c>
      <c r="AE1002">
        <v>-202.93700000000001</v>
      </c>
      <c r="AF1002">
        <v>29.245156680420099</v>
      </c>
      <c r="AG1002">
        <v>-1.1192565770959999</v>
      </c>
      <c r="AH1002">
        <v>200.835978561274</v>
      </c>
      <c r="AI1002">
        <v>90.315973049058897</v>
      </c>
      <c r="AJ1002">
        <v>81.714985570752702</v>
      </c>
      <c r="AK1002">
        <v>202.95719304624899</v>
      </c>
      <c r="AL1002">
        <v>78.155479584518503</v>
      </c>
      <c r="AM1002">
        <v>80.577133519783999</v>
      </c>
      <c r="AN1002">
        <v>1.00000001345588</v>
      </c>
    </row>
    <row r="1003" spans="1:40" x14ac:dyDescent="0.25">
      <c r="A1003" t="str">
        <f>"20190303170738502"</f>
        <v>20190303170738502</v>
      </c>
      <c r="B1003" t="str">
        <f>"1551604058493628"</f>
        <v>1551604058493628</v>
      </c>
      <c r="C1003" t="s">
        <v>40</v>
      </c>
      <c r="D1003">
        <v>5.0654709999999996</v>
      </c>
      <c r="E1003">
        <v>0.49931900000000001</v>
      </c>
      <c r="F1003" t="s">
        <v>43</v>
      </c>
      <c r="G1003">
        <v>-188.8049</v>
      </c>
      <c r="H1003" s="1">
        <v>-8.7041659999999898E-7</v>
      </c>
      <c r="I1003">
        <v>161.0241</v>
      </c>
      <c r="J1003">
        <v>-191.33160000000001</v>
      </c>
      <c r="K1003">
        <v>1.1191850000000001</v>
      </c>
      <c r="L1003">
        <v>347.56060000000002</v>
      </c>
      <c r="M1003">
        <v>0.15487570000000001</v>
      </c>
      <c r="N1003">
        <v>-1.3531939999999999E-2</v>
      </c>
      <c r="O1003">
        <v>-0.98784119999999997</v>
      </c>
      <c r="P1003">
        <v>-2.327764E-3</v>
      </c>
      <c r="Q1003">
        <v>0.1917208</v>
      </c>
      <c r="R1003">
        <v>-0.98144670000000001</v>
      </c>
      <c r="S1003">
        <v>4.193115E-2</v>
      </c>
      <c r="T1003">
        <v>-1.8345360000000002E-2</v>
      </c>
      <c r="U1003">
        <v>-3.061188</v>
      </c>
      <c r="V1003">
        <v>0.1554391</v>
      </c>
      <c r="W1003">
        <v>0.20396790000000001</v>
      </c>
      <c r="X1003">
        <v>0.96655869999999999</v>
      </c>
      <c r="Y1003">
        <v>0.14132600000000001</v>
      </c>
      <c r="Z1003">
        <v>-7.6638119999999999E-3</v>
      </c>
      <c r="AA1003">
        <v>0.98993339999999996</v>
      </c>
      <c r="AB1003">
        <v>21</v>
      </c>
      <c r="AC1003">
        <v>2.5266999999999999</v>
      </c>
      <c r="AD1003">
        <v>-1.1191858704166</v>
      </c>
      <c r="AE1003">
        <v>-186.53649999999999</v>
      </c>
      <c r="AF1003">
        <v>26.3954617399075</v>
      </c>
      <c r="AG1003">
        <v>-1.1191858704166</v>
      </c>
      <c r="AH1003">
        <v>184.67004257835299</v>
      </c>
      <c r="AI1003">
        <v>90.343741216404595</v>
      </c>
      <c r="AJ1003">
        <v>81.865632684542405</v>
      </c>
      <c r="AK1003">
        <v>186.550254900298</v>
      </c>
      <c r="AL1003">
        <v>78.230912061406499</v>
      </c>
      <c r="AM1003">
        <v>80.864084987204805</v>
      </c>
      <c r="AN1003">
        <v>0.99999996929245405</v>
      </c>
    </row>
    <row r="1004" spans="1:40" x14ac:dyDescent="0.25">
      <c r="A1004" t="str">
        <f>"20190303170738524"</f>
        <v>20190303170738524</v>
      </c>
      <c r="B1004" t="str">
        <f>"1551604058513148"</f>
        <v>1551604058513148</v>
      </c>
      <c r="C1004" t="s">
        <v>40</v>
      </c>
      <c r="D1004">
        <v>5.1198509999999997</v>
      </c>
      <c r="E1004">
        <v>0.49948019999999999</v>
      </c>
      <c r="F1004" t="s">
        <v>43</v>
      </c>
      <c r="G1004">
        <v>-189.31370000000001</v>
      </c>
      <c r="H1004" s="1">
        <v>-2.1366610000000002E-6</v>
      </c>
      <c r="I1004">
        <v>194.3296</v>
      </c>
      <c r="J1004">
        <v>-191.30369999999999</v>
      </c>
      <c r="K1004">
        <v>1.1191180000000001</v>
      </c>
      <c r="L1004">
        <v>347.35329999999999</v>
      </c>
      <c r="M1004">
        <v>0.1510203</v>
      </c>
      <c r="N1004">
        <v>-1.336769E-2</v>
      </c>
      <c r="O1004">
        <v>-0.9884404</v>
      </c>
      <c r="P1004" s="1">
        <v>-6.7027290000000004E-6</v>
      </c>
      <c r="Q1004">
        <v>0.19134760000000001</v>
      </c>
      <c r="R1004">
        <v>-0.98152269999999997</v>
      </c>
      <c r="S1004">
        <v>4.0313719999999997E-2</v>
      </c>
      <c r="T1004">
        <v>-2.2358889999999999E-2</v>
      </c>
      <c r="U1004">
        <v>-3.0612180000000002</v>
      </c>
      <c r="V1004">
        <v>0.1493814</v>
      </c>
      <c r="W1004">
        <v>0.20347489999999999</v>
      </c>
      <c r="X1004">
        <v>0.96761730000000001</v>
      </c>
      <c r="Y1004">
        <v>0.13798489999999999</v>
      </c>
      <c r="Z1004">
        <v>-6.2117569999999896E-3</v>
      </c>
      <c r="AA1004">
        <v>0.99041489999999999</v>
      </c>
      <c r="AB1004">
        <v>21</v>
      </c>
      <c r="AC1004">
        <v>1.98999999999998</v>
      </c>
      <c r="AD1004">
        <v>-1.119120136661</v>
      </c>
      <c r="AE1004">
        <v>-153.02369999999999</v>
      </c>
      <c r="AF1004">
        <v>21.1434446609058</v>
      </c>
      <c r="AG1004">
        <v>-1.119120136661</v>
      </c>
      <c r="AH1004">
        <v>151.5607566315</v>
      </c>
      <c r="AI1004">
        <v>90.419005192886999</v>
      </c>
      <c r="AJ1004">
        <v>82.058222055500096</v>
      </c>
      <c r="AK1004">
        <v>153.03254762540499</v>
      </c>
      <c r="AL1004">
        <v>78.259764760682401</v>
      </c>
      <c r="AM1004">
        <v>81.223923137429296</v>
      </c>
      <c r="AN1004">
        <v>1.00000003842762</v>
      </c>
    </row>
    <row r="1005" spans="1:40" x14ac:dyDescent="0.25">
      <c r="A1005" t="str">
        <f>"20190303170738572"</f>
        <v>20190303170738572</v>
      </c>
      <c r="B1005" t="str">
        <f>"1551604058562924"</f>
        <v>1551604058562924</v>
      </c>
      <c r="C1005" t="s">
        <v>40</v>
      </c>
      <c r="D1005">
        <v>5.1359209999999997</v>
      </c>
      <c r="E1005">
        <v>0.505382</v>
      </c>
      <c r="F1005" t="s">
        <v>57</v>
      </c>
      <c r="G1005">
        <v>-189.21850000000001</v>
      </c>
      <c r="H1005" s="1">
        <v>7.4396059999999996E-6</v>
      </c>
      <c r="I1005">
        <v>200.58</v>
      </c>
      <c r="J1005">
        <v>-191.24529999999999</v>
      </c>
      <c r="K1005">
        <v>1.1189279999999999</v>
      </c>
      <c r="L1005">
        <v>346.89830000000001</v>
      </c>
      <c r="M1005">
        <v>0.14241870000000001</v>
      </c>
      <c r="N1005">
        <v>-1.26788E-2</v>
      </c>
      <c r="O1005">
        <v>-0.98972539999999998</v>
      </c>
      <c r="P1005">
        <v>7.9068589999999896E-4</v>
      </c>
      <c r="Q1005">
        <v>0.19383069999999999</v>
      </c>
      <c r="R1005">
        <v>-0.98103510000000005</v>
      </c>
      <c r="S1005">
        <v>4.348755E-2</v>
      </c>
      <c r="T1005">
        <v>-2.3339869999999999E-2</v>
      </c>
      <c r="U1005">
        <v>-3.0610659999999998</v>
      </c>
      <c r="V1005">
        <v>0.1401154</v>
      </c>
      <c r="W1005">
        <v>0.20533509999999999</v>
      </c>
      <c r="X1005">
        <v>0.96860990000000002</v>
      </c>
      <c r="Y1005">
        <v>0.12833900000000001</v>
      </c>
      <c r="Z1005">
        <v>-5.190086E-3</v>
      </c>
      <c r="AA1005">
        <v>0.99171670000000001</v>
      </c>
      <c r="AB1005">
        <v>21</v>
      </c>
      <c r="AC1005">
        <v>2.0267999999999802</v>
      </c>
      <c r="AD1005">
        <v>-1.118920560394</v>
      </c>
      <c r="AE1005">
        <v>-146.31829999999999</v>
      </c>
      <c r="AF1005">
        <v>18.832897437342599</v>
      </c>
      <c r="AG1005">
        <v>-1.118920560394</v>
      </c>
      <c r="AH1005">
        <v>145.106757459427</v>
      </c>
      <c r="AI1005">
        <v>90.438125473740399</v>
      </c>
      <c r="AJ1005">
        <v>82.605117839746299</v>
      </c>
      <c r="AK1005">
        <v>146.32805974759199</v>
      </c>
      <c r="AL1005">
        <v>78.150883619143201</v>
      </c>
      <c r="AM1005">
        <v>81.768907961677797</v>
      </c>
      <c r="AN1005">
        <v>0.99999998349358898</v>
      </c>
    </row>
    <row r="1006" spans="1:40" x14ac:dyDescent="0.25">
      <c r="A1006" t="str">
        <f>"20190303170738613"</f>
        <v>20190303170738613</v>
      </c>
      <c r="B1006" t="str">
        <f>"1551604058602941"</f>
        <v>1551604058602941</v>
      </c>
      <c r="C1006" t="s">
        <v>40</v>
      </c>
      <c r="D1006">
        <v>5.1197319999999999</v>
      </c>
      <c r="E1006">
        <v>0.50559330000000002</v>
      </c>
      <c r="F1006" t="s">
        <v>43</v>
      </c>
      <c r="G1006">
        <v>-191.33580000000001</v>
      </c>
      <c r="H1006" s="1">
        <v>-8.0640169999999899E-7</v>
      </c>
      <c r="I1006">
        <v>170.6404</v>
      </c>
      <c r="J1006">
        <v>-191.19800000000001</v>
      </c>
      <c r="K1006">
        <v>1.1187640000000001</v>
      </c>
      <c r="L1006">
        <v>346.50389999999999</v>
      </c>
      <c r="M1006">
        <v>0.13484949999999901</v>
      </c>
      <c r="N1006">
        <v>-1.190599E-2</v>
      </c>
      <c r="O1006">
        <v>-0.99079470000000003</v>
      </c>
      <c r="P1006">
        <v>2.034938E-3</v>
      </c>
      <c r="Q1006">
        <v>0.19298750000000001</v>
      </c>
      <c r="R1006">
        <v>-0.98119940000000005</v>
      </c>
      <c r="S1006">
        <v>-1.5716549999999999E-3</v>
      </c>
      <c r="T1006">
        <v>-1.9437429999999999E-2</v>
      </c>
      <c r="U1006">
        <v>-3.0618590000000001</v>
      </c>
      <c r="V1006">
        <v>0.1314881</v>
      </c>
      <c r="W1006">
        <v>0.2037957</v>
      </c>
      <c r="X1006">
        <v>0.97014339999999999</v>
      </c>
      <c r="Y1006">
        <v>0.135352799999999</v>
      </c>
      <c r="Z1006">
        <v>-5.6746879999999998E-3</v>
      </c>
      <c r="AA1006">
        <v>0.99078120000000003</v>
      </c>
      <c r="AB1006">
        <v>21</v>
      </c>
      <c r="AC1006">
        <v>-0.13780000000002601</v>
      </c>
      <c r="AD1006">
        <v>-1.1187648064017</v>
      </c>
      <c r="AE1006">
        <v>-175.86349999999999</v>
      </c>
      <c r="AF1006">
        <v>23.852358646007101</v>
      </c>
      <c r="AG1006">
        <v>-1.1187648064017</v>
      </c>
      <c r="AH1006">
        <v>174.231316044729</v>
      </c>
      <c r="AI1006">
        <v>90.364499804192704</v>
      </c>
      <c r="AJ1006">
        <v>82.204636267426196</v>
      </c>
      <c r="AK1006">
        <v>175.85999584427401</v>
      </c>
      <c r="AL1006">
        <v>78.240990589983795</v>
      </c>
      <c r="AM1006">
        <v>82.281466352059098</v>
      </c>
      <c r="AN1006">
        <v>1.00000001217182</v>
      </c>
    </row>
    <row r="1007" spans="1:40" x14ac:dyDescent="0.25">
      <c r="A1007" t="str">
        <f>"20190303170738635"</f>
        <v>20190303170738635</v>
      </c>
      <c r="B1007" t="str">
        <f>"1551604058623437"</f>
        <v>1551604058623437</v>
      </c>
      <c r="C1007" t="s">
        <v>40</v>
      </c>
      <c r="D1007">
        <v>5.0617640000000002</v>
      </c>
      <c r="E1007">
        <v>0.50594929999999905</v>
      </c>
      <c r="F1007" t="s">
        <v>43</v>
      </c>
      <c r="G1007">
        <v>-191.32230000000001</v>
      </c>
      <c r="H1007" s="1">
        <v>-4.3795759999999997E-6</v>
      </c>
      <c r="I1007">
        <v>179.1671</v>
      </c>
      <c r="J1007">
        <v>-191.17429999999999</v>
      </c>
      <c r="K1007">
        <v>1.118689</v>
      </c>
      <c r="L1007">
        <v>346.29579999999999</v>
      </c>
      <c r="M1007">
        <v>0.13083110000000001</v>
      </c>
      <c r="N1007">
        <v>-1.150748E-2</v>
      </c>
      <c r="O1007">
        <v>-0.99133800000000005</v>
      </c>
      <c r="P1007">
        <v>1.9940740000000002E-3</v>
      </c>
      <c r="Q1007">
        <v>0.1944284</v>
      </c>
      <c r="R1007">
        <v>-0.98091499999999998</v>
      </c>
      <c r="S1007">
        <v>-2.27356E-3</v>
      </c>
      <c r="T1007">
        <v>-2.0468710000000001E-2</v>
      </c>
      <c r="U1007">
        <v>-3.0615540000000001</v>
      </c>
      <c r="V1007">
        <v>0.12756229999999999</v>
      </c>
      <c r="W1007">
        <v>0.2048693</v>
      </c>
      <c r="X1007">
        <v>0.97044129999999995</v>
      </c>
      <c r="Y1007">
        <v>0.13156219999999999</v>
      </c>
      <c r="Z1007">
        <v>-4.9379050000000002E-3</v>
      </c>
      <c r="AA1007">
        <v>0.99129560000000005</v>
      </c>
      <c r="AB1007">
        <v>21</v>
      </c>
      <c r="AC1007">
        <v>-0.148000000000024</v>
      </c>
      <c r="AD1007">
        <v>-1.1186933795759999</v>
      </c>
      <c r="AE1007">
        <v>-167.12869999999899</v>
      </c>
      <c r="AF1007">
        <v>22.012818501434399</v>
      </c>
      <c r="AG1007">
        <v>-1.1186933795759999</v>
      </c>
      <c r="AH1007">
        <v>165.66519642870699</v>
      </c>
      <c r="AI1007">
        <v>90.383526578698493</v>
      </c>
      <c r="AJ1007">
        <v>82.431141174131696</v>
      </c>
      <c r="AK1007">
        <v>167.12502194769201</v>
      </c>
      <c r="AL1007">
        <v>78.178151219651895</v>
      </c>
      <c r="AM1007">
        <v>82.511533086714394</v>
      </c>
      <c r="AN1007">
        <v>0.99999994360473299</v>
      </c>
    </row>
    <row r="1008" spans="1:40" x14ac:dyDescent="0.25">
      <c r="A1008" t="str">
        <f>"20190303170738657"</f>
        <v>20190303170738657</v>
      </c>
      <c r="B1008" t="str">
        <f>"1551604058653692"</f>
        <v>1551604058653692</v>
      </c>
      <c r="C1008" t="s">
        <v>40</v>
      </c>
      <c r="D1008">
        <v>5.0627620000000002</v>
      </c>
      <c r="E1008">
        <v>0.50642489999999996</v>
      </c>
      <c r="F1008" t="s">
        <v>43</v>
      </c>
      <c r="G1008">
        <v>-191.73840000000001</v>
      </c>
      <c r="H1008" s="1">
        <v>-5.4317630000000005E-7</v>
      </c>
      <c r="I1008">
        <v>99.777079999999998</v>
      </c>
      <c r="J1008">
        <v>-191.1506</v>
      </c>
      <c r="K1008">
        <v>1.118627</v>
      </c>
      <c r="L1008">
        <v>346.07929999999999</v>
      </c>
      <c r="M1008">
        <v>0.1266369</v>
      </c>
      <c r="N1008">
        <v>-1.110209E-2</v>
      </c>
      <c r="O1008">
        <v>-0.99188699999999996</v>
      </c>
      <c r="P1008">
        <v>1.2759589999999999E-3</v>
      </c>
      <c r="Q1008">
        <v>0.19621459999999999</v>
      </c>
      <c r="R1008">
        <v>-0.98056010000000005</v>
      </c>
      <c r="S1008">
        <v>-7.0037839999999999E-3</v>
      </c>
      <c r="T1008">
        <v>-1.38911E-2</v>
      </c>
      <c r="U1008">
        <v>-3.061096</v>
      </c>
      <c r="V1008">
        <v>0.1241329</v>
      </c>
      <c r="W1008">
        <v>0.20627619999999999</v>
      </c>
      <c r="X1008">
        <v>0.97058800000000001</v>
      </c>
      <c r="Y1008">
        <v>0.12890270000000001</v>
      </c>
      <c r="Z1008">
        <v>-6.6397119999999999E-3</v>
      </c>
      <c r="AA1008">
        <v>0.99163500000000004</v>
      </c>
      <c r="AB1008">
        <v>21</v>
      </c>
      <c r="AC1008">
        <v>-0.58780000000001498</v>
      </c>
      <c r="AD1008">
        <v>-1.1186275431763</v>
      </c>
      <c r="AE1008">
        <v>-246.30222000000001</v>
      </c>
      <c r="AF1008">
        <v>31.775284006524899</v>
      </c>
      <c r="AG1008">
        <v>-1.1186275431763</v>
      </c>
      <c r="AH1008">
        <v>244.23955010264601</v>
      </c>
      <c r="AI1008">
        <v>90.260222323137796</v>
      </c>
      <c r="AJ1008">
        <v>82.587518514960706</v>
      </c>
      <c r="AK1008">
        <v>246.300381314399</v>
      </c>
      <c r="AL1008">
        <v>78.095782688464496</v>
      </c>
      <c r="AM1008">
        <v>82.711749116528793</v>
      </c>
      <c r="AN1008">
        <v>0.99999995664642405</v>
      </c>
    </row>
    <row r="1009" spans="1:40" x14ac:dyDescent="0.25">
      <c r="A1009" t="str">
        <f>"20190303170738681"</f>
        <v>20190303170738681</v>
      </c>
      <c r="B1009" t="str">
        <f>"1551604058673212"</f>
        <v>1551604058673212</v>
      </c>
      <c r="C1009" t="s">
        <v>40</v>
      </c>
      <c r="D1009">
        <v>5.0660780000000001</v>
      </c>
      <c r="E1009">
        <v>0.50694669999999997</v>
      </c>
      <c r="F1009" t="s">
        <v>59</v>
      </c>
      <c r="G1009">
        <v>-192.84479999999999</v>
      </c>
      <c r="H1009">
        <v>7.9987290000000003E-2</v>
      </c>
      <c r="I1009">
        <v>-73.533349999999999</v>
      </c>
      <c r="J1009">
        <v>-191.12620000000001</v>
      </c>
      <c r="K1009">
        <v>1.11854599999999</v>
      </c>
      <c r="L1009">
        <v>345.84789999999998</v>
      </c>
      <c r="M1009">
        <v>0.12213350000000001</v>
      </c>
      <c r="N1009">
        <v>-1.068235E-2</v>
      </c>
      <c r="O1009">
        <v>-0.99245629999999996</v>
      </c>
      <c r="P1009">
        <v>-1.2106949999999999E-3</v>
      </c>
      <c r="Q1009">
        <v>0.19770280000000001</v>
      </c>
      <c r="R1009">
        <v>-0.98026139999999995</v>
      </c>
      <c r="S1009">
        <v>-1.235962E-2</v>
      </c>
      <c r="T1009">
        <v>-7.5767040000000001E-3</v>
      </c>
      <c r="U1009">
        <v>-3.0610050000000002</v>
      </c>
      <c r="V1009">
        <v>0.1221695</v>
      </c>
      <c r="W1009">
        <v>0.2073586</v>
      </c>
      <c r="X1009">
        <v>0.97060659999999999</v>
      </c>
      <c r="Y1009">
        <v>0.1261379</v>
      </c>
      <c r="Z1009">
        <v>-8.2475710000000004E-3</v>
      </c>
      <c r="AA1009">
        <v>0.99197840000000004</v>
      </c>
      <c r="AB1009">
        <v>22</v>
      </c>
      <c r="AC1009">
        <v>-1.7185999999999799</v>
      </c>
      <c r="AD1009">
        <v>-1.03855870999999</v>
      </c>
      <c r="AE1009">
        <v>-419.38125000000002</v>
      </c>
      <c r="AF1009">
        <v>52.928825129847802</v>
      </c>
      <c r="AG1009">
        <v>-1.03855870999999</v>
      </c>
      <c r="AH1009">
        <v>416.02880755946597</v>
      </c>
      <c r="AI1009">
        <v>90.141887064574703</v>
      </c>
      <c r="AJ1009">
        <v>82.749556005159107</v>
      </c>
      <c r="AK1009">
        <v>419.38348543209401</v>
      </c>
      <c r="AL1009">
        <v>78.032396689688099</v>
      </c>
      <c r="AM1009">
        <v>82.825952213739896</v>
      </c>
      <c r="AN1009">
        <v>1.0000000738438799</v>
      </c>
    </row>
    <row r="1010" spans="1:40" x14ac:dyDescent="0.25">
      <c r="A1010" t="str">
        <f>"20190303170738701"</f>
        <v>20190303170738701</v>
      </c>
      <c r="B1010" t="str">
        <f>"1551604058693708"</f>
        <v>1551604058693708</v>
      </c>
      <c r="C1010" t="s">
        <v>40</v>
      </c>
      <c r="D1010">
        <v>4.9631189999999998</v>
      </c>
      <c r="E1010">
        <v>0.5073126</v>
      </c>
      <c r="F1010" t="s">
        <v>56</v>
      </c>
      <c r="G1010">
        <v>-194.4564</v>
      </c>
      <c r="H1010">
        <v>0.80140690000000003</v>
      </c>
      <c r="I1010">
        <v>-81.815430000000006</v>
      </c>
      <c r="J1010">
        <v>-191.10589999999999</v>
      </c>
      <c r="K1010">
        <v>1.1184719999999999</v>
      </c>
      <c r="L1010">
        <v>345.64690000000002</v>
      </c>
      <c r="M1010">
        <v>0.11820120000000001</v>
      </c>
      <c r="N1010">
        <v>-1.0341029999999999E-2</v>
      </c>
      <c r="O1010">
        <v>-0.99293600000000004</v>
      </c>
      <c r="P1010">
        <v>-2.1261600000000002E-3</v>
      </c>
      <c r="Q1010">
        <v>0.19680120000000001</v>
      </c>
      <c r="R1010">
        <v>-0.98044120000000001</v>
      </c>
      <c r="S1010">
        <v>-2.3834230000000001E-2</v>
      </c>
      <c r="T1010">
        <v>-2.2697450000000001E-3</v>
      </c>
      <c r="U1010">
        <v>-3.060791</v>
      </c>
      <c r="V1010">
        <v>0.1192558</v>
      </c>
      <c r="W1010">
        <v>0.20613860000000001</v>
      </c>
      <c r="X1010">
        <v>0.9712286</v>
      </c>
      <c r="Y1010">
        <v>0.1259285</v>
      </c>
      <c r="Z1010">
        <v>-9.6150520000000007E-3</v>
      </c>
      <c r="AA1010">
        <v>0.99199269999999995</v>
      </c>
      <c r="AB1010">
        <v>22</v>
      </c>
      <c r="AC1010">
        <v>-3.35050000000001</v>
      </c>
      <c r="AD1010">
        <v>-0.31706509999999899</v>
      </c>
      <c r="AE1010">
        <v>-427.46233000000001</v>
      </c>
      <c r="AF1010">
        <v>53.8562327752146</v>
      </c>
      <c r="AG1010">
        <v>-0.31706509999999899</v>
      </c>
      <c r="AH1010">
        <v>424.06906813648999</v>
      </c>
      <c r="AI1010">
        <v>90.042497173283195</v>
      </c>
      <c r="AJ1010">
        <v>82.762254603149003</v>
      </c>
      <c r="AK1010">
        <v>427.475343018947</v>
      </c>
      <c r="AL1010">
        <v>78.103840643587304</v>
      </c>
      <c r="AM1010">
        <v>82.999772018322304</v>
      </c>
      <c r="AN1010">
        <v>1.0000000308507699</v>
      </c>
    </row>
    <row r="1011" spans="1:40" x14ac:dyDescent="0.25">
      <c r="A1011" t="str">
        <f>"20190303170738725"</f>
        <v>20190303170738725</v>
      </c>
      <c r="B1011" t="str">
        <f>"1551604058713229"</f>
        <v>1551604058713229</v>
      </c>
      <c r="C1011" t="s">
        <v>40</v>
      </c>
      <c r="D1011">
        <v>5.0186659999999996</v>
      </c>
      <c r="E1011">
        <v>0.50767870000000004</v>
      </c>
      <c r="F1011" t="s">
        <v>56</v>
      </c>
      <c r="G1011">
        <v>-195.4573</v>
      </c>
      <c r="H1011">
        <v>0.41456219999999999</v>
      </c>
      <c r="I1011">
        <v>-81.815299999999993</v>
      </c>
      <c r="J1011">
        <v>-191.08410000000001</v>
      </c>
      <c r="K1011">
        <v>1.1183879999999999</v>
      </c>
      <c r="L1011">
        <v>345.42230000000001</v>
      </c>
      <c r="M1011">
        <v>0.11377080000000001</v>
      </c>
      <c r="N1011">
        <v>-9.9793399999999997E-3</v>
      </c>
      <c r="O1011">
        <v>-0.99345700000000003</v>
      </c>
      <c r="P1011">
        <v>-1.9581329999999999E-3</v>
      </c>
      <c r="Q1011">
        <v>0.1951117</v>
      </c>
      <c r="R1011">
        <v>-0.98077919999999996</v>
      </c>
      <c r="S1011">
        <v>-3.1158450000000001E-2</v>
      </c>
      <c r="T1011">
        <v>-5.0402880000000004E-3</v>
      </c>
      <c r="U1011">
        <v>-3.0608219999999999</v>
      </c>
      <c r="V1011">
        <v>0.1147963</v>
      </c>
      <c r="W1011">
        <v>0.20411960000000001</v>
      </c>
      <c r="X1011">
        <v>0.9721919</v>
      </c>
      <c r="Y1011">
        <v>0.12387620000000001</v>
      </c>
      <c r="Z1011">
        <v>-8.360925E-3</v>
      </c>
      <c r="AA1011">
        <v>0.99226250000000005</v>
      </c>
      <c r="AB1011">
        <v>22</v>
      </c>
      <c r="AC1011">
        <v>-4.37319999999999</v>
      </c>
      <c r="AD1011">
        <v>-0.70382579999999995</v>
      </c>
      <c r="AE1011">
        <v>-427.23759999999999</v>
      </c>
      <c r="AF1011">
        <v>52.954237742899899</v>
      </c>
      <c r="AG1011">
        <v>-0.70382579999999995</v>
      </c>
      <c r="AH1011">
        <v>423.96456184401399</v>
      </c>
      <c r="AI1011">
        <v>90.094383566347702</v>
      </c>
      <c r="AJ1011">
        <v>82.8804835720439</v>
      </c>
      <c r="AK1011">
        <v>427.25940172835902</v>
      </c>
      <c r="AL1011">
        <v>78.222034418743206</v>
      </c>
      <c r="AM1011">
        <v>83.265704313942706</v>
      </c>
      <c r="AN1011">
        <v>1.00000004601172</v>
      </c>
    </row>
    <row r="1012" spans="1:40" x14ac:dyDescent="0.25">
      <c r="A1012" t="str">
        <f>"20190303170738750"</f>
        <v>20190303170738750</v>
      </c>
      <c r="B1012" t="str">
        <f>"1551604058743484"</f>
        <v>1551604058743484</v>
      </c>
      <c r="C1012" t="s">
        <v>40</v>
      </c>
      <c r="D1012">
        <v>4.9474679999999998</v>
      </c>
      <c r="E1012">
        <v>0.50811890000000004</v>
      </c>
      <c r="F1012" t="s">
        <v>43</v>
      </c>
      <c r="G1012">
        <v>-195.0729</v>
      </c>
      <c r="H1012" s="1">
        <v>-4.4434090000000001E-6</v>
      </c>
      <c r="I1012">
        <v>7.3997289999999998</v>
      </c>
      <c r="J1012">
        <v>-191.0615</v>
      </c>
      <c r="K1012">
        <v>1.118293</v>
      </c>
      <c r="L1012">
        <v>345.17619999999999</v>
      </c>
      <c r="M1012">
        <v>0.1088609</v>
      </c>
      <c r="N1012">
        <v>-9.5882650000000003E-3</v>
      </c>
      <c r="O1012">
        <v>-0.99401090000000003</v>
      </c>
      <c r="P1012">
        <v>-2.3162790000000001E-3</v>
      </c>
      <c r="Q1012">
        <v>0.1961552</v>
      </c>
      <c r="R1012">
        <v>-0.98057039999999995</v>
      </c>
      <c r="S1012">
        <v>-3.6117549999999998E-2</v>
      </c>
      <c r="T1012">
        <v>-1.012683E-2</v>
      </c>
      <c r="U1012">
        <v>-3.06073</v>
      </c>
      <c r="V1012">
        <v>0.11035010000000001</v>
      </c>
      <c r="W1012">
        <v>0.20479600000000001</v>
      </c>
      <c r="X1012">
        <v>0.9725644</v>
      </c>
      <c r="Y1012">
        <v>0.12058000000000001</v>
      </c>
      <c r="Z1012">
        <v>-6.327615E-3</v>
      </c>
      <c r="AA1012">
        <v>0.99268350000000005</v>
      </c>
      <c r="AB1012">
        <v>22</v>
      </c>
      <c r="AC1012">
        <v>-4.0114000000000001</v>
      </c>
      <c r="AD1012">
        <v>-1.1182974434090001</v>
      </c>
      <c r="AE1012">
        <v>-337.77647100000002</v>
      </c>
      <c r="AF1012">
        <v>40.759446810891298</v>
      </c>
      <c r="AG1012">
        <v>-1.1182974434090001</v>
      </c>
      <c r="AH1012">
        <v>335.32849871374901</v>
      </c>
      <c r="AI1012">
        <v>90.189680689602099</v>
      </c>
      <c r="AJ1012">
        <v>83.069649844859001</v>
      </c>
      <c r="AK1012">
        <v>337.79843863333502</v>
      </c>
      <c r="AL1012">
        <v>78.182443003155598</v>
      </c>
      <c r="AM1012">
        <v>83.526731388378593</v>
      </c>
      <c r="AN1012">
        <v>1.00000002916668</v>
      </c>
    </row>
    <row r="1013" spans="1:40" x14ac:dyDescent="0.25">
      <c r="A1013" t="str">
        <f>"20190303170738772"</f>
        <v>20190303170738772</v>
      </c>
      <c r="B1013" t="str">
        <f>"1551604058763004"</f>
        <v>1551604058763004</v>
      </c>
      <c r="C1013" t="s">
        <v>40</v>
      </c>
      <c r="D1013">
        <v>5.0198960000000001</v>
      </c>
      <c r="E1013">
        <v>0.50842670000000001</v>
      </c>
      <c r="F1013" t="s">
        <v>56</v>
      </c>
      <c r="G1013">
        <v>-196.958</v>
      </c>
      <c r="H1013">
        <v>0.2169094</v>
      </c>
      <c r="I1013">
        <v>-81.815240000000003</v>
      </c>
      <c r="J1013">
        <v>-191.04230000000001</v>
      </c>
      <c r="K1013">
        <v>1.118207</v>
      </c>
      <c r="L1013">
        <v>344.95409999999998</v>
      </c>
      <c r="M1013">
        <v>0.1043736</v>
      </c>
      <c r="N1013">
        <v>-9.2375189999999996E-3</v>
      </c>
      <c r="O1013">
        <v>-0.99449540000000003</v>
      </c>
      <c r="P1013">
        <v>-3.161105E-3</v>
      </c>
      <c r="Q1013">
        <v>0.19787579999999999</v>
      </c>
      <c r="R1013">
        <v>-0.98022200000000004</v>
      </c>
      <c r="S1013">
        <v>-4.2266850000000002E-2</v>
      </c>
      <c r="T1013">
        <v>-6.4611429999999999E-3</v>
      </c>
      <c r="U1013">
        <v>-3.0606990000000001</v>
      </c>
      <c r="V1013">
        <v>0.1067926</v>
      </c>
      <c r="W1013">
        <v>0.2061838</v>
      </c>
      <c r="X1013">
        <v>0.97266830000000004</v>
      </c>
      <c r="Y1013">
        <v>0.1180944</v>
      </c>
      <c r="Z1013">
        <v>-7.1580539999999996E-3</v>
      </c>
      <c r="AA1013">
        <v>0.99297659999999999</v>
      </c>
      <c r="AB1013">
        <v>22</v>
      </c>
      <c r="AC1013">
        <v>-5.9156999999999798</v>
      </c>
      <c r="AD1013">
        <v>-0.90129760000000003</v>
      </c>
      <c r="AE1013">
        <v>-426.76934</v>
      </c>
      <c r="AF1013">
        <v>50.428508500168199</v>
      </c>
      <c r="AG1013">
        <v>-0.90129760000000003</v>
      </c>
      <c r="AH1013">
        <v>423.81883622264002</v>
      </c>
      <c r="AI1013">
        <v>90.120992153712805</v>
      </c>
      <c r="AJ1013">
        <v>83.214506565286101</v>
      </c>
      <c r="AK1013">
        <v>426.80938689774399</v>
      </c>
      <c r="AL1013">
        <v>78.101193892531597</v>
      </c>
      <c r="AM1013">
        <v>83.734395217940701</v>
      </c>
      <c r="AN1013">
        <v>1.00000002031104</v>
      </c>
    </row>
    <row r="1014" spans="1:40" x14ac:dyDescent="0.25">
      <c r="A1014" t="str">
        <f>"20190303170738815"</f>
        <v>20190303170738815</v>
      </c>
      <c r="B1014" t="str">
        <f>"1551604058803021"</f>
        <v>1551604058803021</v>
      </c>
      <c r="C1014" t="s">
        <v>40</v>
      </c>
      <c r="D1014">
        <v>4.9615609999999997</v>
      </c>
      <c r="E1014">
        <v>0.50896079999999999</v>
      </c>
      <c r="F1014" t="s">
        <v>56</v>
      </c>
      <c r="G1014">
        <v>-197.66569999999999</v>
      </c>
      <c r="H1014">
        <v>0.90843010000000002</v>
      </c>
      <c r="I1014">
        <v>-81.815469999999905</v>
      </c>
      <c r="J1014">
        <v>-191.00819999999999</v>
      </c>
      <c r="K1014">
        <v>1.1180399999999999</v>
      </c>
      <c r="L1014">
        <v>344.52640000000002</v>
      </c>
      <c r="M1014">
        <v>9.5633880000000004E-2</v>
      </c>
      <c r="N1014">
        <v>-8.6099239999999997E-3</v>
      </c>
      <c r="O1014">
        <v>-0.99537940000000003</v>
      </c>
      <c r="P1014">
        <v>-6.4117419999999998E-3</v>
      </c>
      <c r="Q1014">
        <v>0.19613330000000001</v>
      </c>
      <c r="R1014">
        <v>-0.98055630000000005</v>
      </c>
      <c r="S1014">
        <v>-4.7500609999999999E-2</v>
      </c>
      <c r="T1014">
        <v>-1.5044209999999999E-3</v>
      </c>
      <c r="U1014">
        <v>-3.060638</v>
      </c>
      <c r="V1014">
        <v>0.1015258</v>
      </c>
      <c r="W1014">
        <v>0.20385030000000001</v>
      </c>
      <c r="X1014">
        <v>0.97372349999999996</v>
      </c>
      <c r="Y1014">
        <v>0.111067899999999</v>
      </c>
      <c r="Z1014">
        <v>-8.1297390000000004E-3</v>
      </c>
      <c r="AA1014">
        <v>0.99377959999999999</v>
      </c>
      <c r="AB1014">
        <v>22</v>
      </c>
      <c r="AC1014">
        <v>-6.65749999999999</v>
      </c>
      <c r="AD1014">
        <v>-0.20960989999999999</v>
      </c>
      <c r="AE1014">
        <v>-426.34186999999997</v>
      </c>
      <c r="AF1014">
        <v>47.401208274680997</v>
      </c>
      <c r="AG1014">
        <v>-0.20960989999999999</v>
      </c>
      <c r="AH1014">
        <v>423.75081121203601</v>
      </c>
      <c r="AI1014">
        <v>90.028165895555603</v>
      </c>
      <c r="AJ1014">
        <v>83.617367747287901</v>
      </c>
      <c r="AK1014">
        <v>426.393795082748</v>
      </c>
      <c r="AL1014">
        <v>78.237794343921806</v>
      </c>
      <c r="AM1014">
        <v>84.047533168645103</v>
      </c>
      <c r="AN1014">
        <v>0.99999994366398803</v>
      </c>
    </row>
    <row r="1015" spans="1:40" x14ac:dyDescent="0.25">
      <c r="A1015" t="str">
        <f>"20190303170738841"</f>
        <v>20190303170738841</v>
      </c>
      <c r="B1015" t="str">
        <f>"1551604058833276"</f>
        <v>1551604058833276</v>
      </c>
      <c r="C1015" t="s">
        <v>40</v>
      </c>
      <c r="D1015">
        <v>5.0735239999999999</v>
      </c>
      <c r="E1015">
        <v>0.50922219999999996</v>
      </c>
      <c r="F1015" t="s">
        <v>59</v>
      </c>
      <c r="G1015">
        <v>-199.3184</v>
      </c>
      <c r="H1015">
        <v>7.9987509999999998E-2</v>
      </c>
      <c r="I1015">
        <v>-72.404619999999994</v>
      </c>
      <c r="J1015">
        <v>-190.9888</v>
      </c>
      <c r="K1015">
        <v>1.117958</v>
      </c>
      <c r="L1015">
        <v>344.25990000000002</v>
      </c>
      <c r="M1015">
        <v>9.0145420000000004E-2</v>
      </c>
      <c r="N1015">
        <v>-8.2455989999999993E-3</v>
      </c>
      <c r="O1015">
        <v>-0.99589450000000002</v>
      </c>
      <c r="P1015">
        <v>-9.8125829999999997E-3</v>
      </c>
      <c r="Q1015">
        <v>0.1943365</v>
      </c>
      <c r="R1015">
        <v>-0.98088600000000004</v>
      </c>
      <c r="S1015">
        <v>-6.1004639999999999E-2</v>
      </c>
      <c r="T1015">
        <v>-7.6202149999999996E-3</v>
      </c>
      <c r="U1015">
        <v>-3.060638</v>
      </c>
      <c r="V1015">
        <v>9.956856E-2</v>
      </c>
      <c r="W1015">
        <v>0.20170660000000001</v>
      </c>
      <c r="X1015">
        <v>0.97437189999999996</v>
      </c>
      <c r="Y1015">
        <v>0.1099723</v>
      </c>
      <c r="Z1015">
        <v>-5.78635E-3</v>
      </c>
      <c r="AA1015">
        <v>0.99391779999999996</v>
      </c>
      <c r="AB1015">
        <v>22</v>
      </c>
      <c r="AC1015">
        <v>-8.3295999999999992</v>
      </c>
      <c r="AD1015">
        <v>-1.03797049</v>
      </c>
      <c r="AE1015">
        <v>-416.66451999999998</v>
      </c>
      <c r="AF1015">
        <v>45.857074503272202</v>
      </c>
      <c r="AG1015">
        <v>-1.03797049</v>
      </c>
      <c r="AH1015">
        <v>414.21453189810302</v>
      </c>
      <c r="AI1015">
        <v>90.142704000951895</v>
      </c>
      <c r="AJ1015">
        <v>83.682595178177493</v>
      </c>
      <c r="AK1015">
        <v>416.74647820983603</v>
      </c>
      <c r="AL1015">
        <v>78.363226173025396</v>
      </c>
      <c r="AM1015">
        <v>84.165344333609895</v>
      </c>
      <c r="AN1015">
        <v>1.00000002506682</v>
      </c>
    </row>
    <row r="1016" spans="1:40" x14ac:dyDescent="0.25">
      <c r="A1016" t="str">
        <f>"20190303170738859"</f>
        <v>20190303170738859</v>
      </c>
      <c r="B1016" t="str">
        <f>"1551604058853772"</f>
        <v>1551604058853772</v>
      </c>
      <c r="C1016" t="s">
        <v>40</v>
      </c>
      <c r="D1016">
        <v>4.9565989999999998</v>
      </c>
      <c r="E1016">
        <v>0.50938709999999998</v>
      </c>
      <c r="F1016" t="s">
        <v>43</v>
      </c>
      <c r="G1016">
        <v>-196.8125</v>
      </c>
      <c r="H1016" s="1">
        <v>-3.5325320000000001E-6</v>
      </c>
      <c r="I1016">
        <v>103.8163</v>
      </c>
      <c r="J1016">
        <v>-190.97620000000001</v>
      </c>
      <c r="K1016">
        <v>1.117909</v>
      </c>
      <c r="L1016">
        <v>344.07339999999999</v>
      </c>
      <c r="M1016">
        <v>8.6299929999999997E-2</v>
      </c>
      <c r="N1016">
        <v>-8.0049479999999996E-3</v>
      </c>
      <c r="O1016">
        <v>-0.99623720000000004</v>
      </c>
      <c r="P1016">
        <v>-1.1890059999999999E-2</v>
      </c>
      <c r="Q1016">
        <v>0.1957536</v>
      </c>
      <c r="R1016">
        <v>-0.98058129999999999</v>
      </c>
      <c r="S1016">
        <v>-7.4127199999999893E-2</v>
      </c>
      <c r="T1016">
        <v>-1.423025E-2</v>
      </c>
      <c r="U1016">
        <v>-3.0605470000000001</v>
      </c>
      <c r="V1016">
        <v>9.7861210000000004E-2</v>
      </c>
      <c r="W1016">
        <v>0.20289550000000001</v>
      </c>
      <c r="X1016">
        <v>0.974298</v>
      </c>
      <c r="Y1016">
        <v>0.11039450000000001</v>
      </c>
      <c r="Z1016">
        <v>-3.4047819999999999E-3</v>
      </c>
      <c r="AA1016">
        <v>0.99388200000000004</v>
      </c>
      <c r="AB1016">
        <v>22</v>
      </c>
      <c r="AC1016">
        <v>-5.8362999999999898</v>
      </c>
      <c r="AD1016">
        <v>-1.1179125325319901</v>
      </c>
      <c r="AE1016">
        <v>-240.25710000000001</v>
      </c>
      <c r="AF1016">
        <v>26.5487820855673</v>
      </c>
      <c r="AG1016">
        <v>-1.1179125325319901</v>
      </c>
      <c r="AH1016">
        <v>238.851835438065</v>
      </c>
      <c r="AI1016">
        <v>90.266521587360202</v>
      </c>
      <c r="AJ1016">
        <v>83.657512349415398</v>
      </c>
      <c r="AK1016">
        <v>240.325377042854</v>
      </c>
      <c r="AL1016">
        <v>78.293668672632506</v>
      </c>
      <c r="AM1016">
        <v>84.264289120908103</v>
      </c>
      <c r="AN1016">
        <v>0.99999999657345695</v>
      </c>
    </row>
    <row r="1017" spans="1:40" x14ac:dyDescent="0.25">
      <c r="A1017" t="str">
        <f>"20190303170738882"</f>
        <v>20190303170738882</v>
      </c>
      <c r="B1017" t="str">
        <f>"1551604058873293"</f>
        <v>1551604058873293</v>
      </c>
      <c r="C1017" t="s">
        <v>40</v>
      </c>
      <c r="D1017">
        <v>4.9626859999999997</v>
      </c>
      <c r="E1017">
        <v>0.50950439999999997</v>
      </c>
      <c r="F1017" t="s">
        <v>43</v>
      </c>
      <c r="G1017">
        <v>-199.95779999999999</v>
      </c>
      <c r="H1017">
        <v>1.21154E-2</v>
      </c>
      <c r="I1017">
        <v>11.52101</v>
      </c>
      <c r="J1017">
        <v>-190.96209999999999</v>
      </c>
      <c r="K1017">
        <v>1.1178709999999901</v>
      </c>
      <c r="L1017">
        <v>343.85289999999998</v>
      </c>
      <c r="M1017">
        <v>8.1763390000000005E-2</v>
      </c>
      <c r="N1017">
        <v>-7.7328040000000002E-3</v>
      </c>
      <c r="O1017">
        <v>-0.99662189999999995</v>
      </c>
      <c r="P1017">
        <v>-1.576433E-2</v>
      </c>
      <c r="Q1017">
        <v>0.19803789999999999</v>
      </c>
      <c r="R1017">
        <v>-0.98006789999999999</v>
      </c>
      <c r="S1017">
        <v>-8.2656859999999999E-2</v>
      </c>
      <c r="T1017">
        <v>-1.017654E-2</v>
      </c>
      <c r="U1017">
        <v>-3.0604550000000001</v>
      </c>
      <c r="V1017">
        <v>9.7258750000000005E-2</v>
      </c>
      <c r="W1017">
        <v>0.20491129999999999</v>
      </c>
      <c r="X1017">
        <v>0.97393640000000004</v>
      </c>
      <c r="Y1017">
        <v>0.108638899999999</v>
      </c>
      <c r="Z1017">
        <v>-4.4434110000000004E-3</v>
      </c>
      <c r="AA1017">
        <v>0.99407140000000005</v>
      </c>
      <c r="AB1017">
        <v>22</v>
      </c>
      <c r="AC1017">
        <v>-8.9956999999999994</v>
      </c>
      <c r="AD1017">
        <v>-1.10575559999999</v>
      </c>
      <c r="AE1017">
        <v>-332.33188999999999</v>
      </c>
      <c r="AF1017">
        <v>36.1385695815719</v>
      </c>
      <c r="AG1017">
        <v>-1.10575559999999</v>
      </c>
      <c r="AH1017">
        <v>330.47990281973802</v>
      </c>
      <c r="AI1017">
        <v>90.190569730560796</v>
      </c>
      <c r="AJ1017">
        <v>83.759399659092495</v>
      </c>
      <c r="AK1017">
        <v>332.45177857035497</v>
      </c>
      <c r="AL1017">
        <v>78.175693413627499</v>
      </c>
      <c r="AM1017">
        <v>84.297263855541999</v>
      </c>
      <c r="AN1017">
        <v>1.0000000082820999</v>
      </c>
    </row>
    <row r="1018" spans="1:40" x14ac:dyDescent="0.25">
      <c r="A1018" t="str">
        <f>"20190303170738904"</f>
        <v>20190303170738904</v>
      </c>
      <c r="B1018" t="str">
        <f>"1551604058893788"</f>
        <v>1551604058893788</v>
      </c>
      <c r="C1018" t="s">
        <v>40</v>
      </c>
      <c r="D1018">
        <v>4.9573609999999997</v>
      </c>
      <c r="E1018">
        <v>0.50957299999999905</v>
      </c>
      <c r="F1018" t="s">
        <v>56</v>
      </c>
      <c r="G1018">
        <v>-204.14359999999999</v>
      </c>
      <c r="H1018">
        <v>0.63387869999999902</v>
      </c>
      <c r="I1018">
        <v>-80.948840000000004</v>
      </c>
      <c r="J1018">
        <v>-190.9485</v>
      </c>
      <c r="K1018">
        <v>1.1178269999999999</v>
      </c>
      <c r="L1018">
        <v>343.62369999999999</v>
      </c>
      <c r="M1018">
        <v>7.7071189999999998E-2</v>
      </c>
      <c r="N1018">
        <v>-7.45877E-3</v>
      </c>
      <c r="O1018">
        <v>-0.99699769999999999</v>
      </c>
      <c r="P1018">
        <v>-2.0109040000000002E-2</v>
      </c>
      <c r="Q1018">
        <v>0.19832900000000001</v>
      </c>
      <c r="R1018">
        <v>-0.97992939999999995</v>
      </c>
      <c r="S1018">
        <v>-9.4955440000000002E-2</v>
      </c>
      <c r="T1018">
        <v>-3.486514E-3</v>
      </c>
      <c r="U1018">
        <v>-3.0601500000000001</v>
      </c>
      <c r="V1018">
        <v>9.6992350000000005E-2</v>
      </c>
      <c r="W1018">
        <v>0.20493510000000001</v>
      </c>
      <c r="X1018">
        <v>0.97395799999999999</v>
      </c>
      <c r="Y1018">
        <v>0.1079547</v>
      </c>
      <c r="Z1018">
        <v>-6.3370930000000002E-3</v>
      </c>
      <c r="AA1018">
        <v>0.99413560000000001</v>
      </c>
      <c r="AB1018">
        <v>23</v>
      </c>
      <c r="AC1018">
        <v>-13.195099999999901</v>
      </c>
      <c r="AD1018">
        <v>-0.4839483</v>
      </c>
      <c r="AE1018">
        <v>-424.57254</v>
      </c>
      <c r="AF1018">
        <v>45.879011565183603</v>
      </c>
      <c r="AG1018">
        <v>-0.4839483</v>
      </c>
      <c r="AH1018">
        <v>422.29207933947902</v>
      </c>
      <c r="AI1018">
        <v>90.065277037847906</v>
      </c>
      <c r="AJ1018">
        <v>83.799542595576796</v>
      </c>
      <c r="AK1018">
        <v>424.777257137216</v>
      </c>
      <c r="AL1018">
        <v>78.174300689627501</v>
      </c>
      <c r="AM1018">
        <v>84.312906899023005</v>
      </c>
      <c r="AN1018">
        <v>1.00000004846726</v>
      </c>
    </row>
    <row r="1019" spans="1:40" x14ac:dyDescent="0.25">
      <c r="A1019" t="str">
        <f>"20190303170738926"</f>
        <v>20190303170738926</v>
      </c>
      <c r="B1019" t="str">
        <f>"1551604058913308"</f>
        <v>1551604058913308</v>
      </c>
      <c r="C1019" t="s">
        <v>40</v>
      </c>
      <c r="D1019">
        <v>5.0187249999999999</v>
      </c>
      <c r="E1019">
        <v>0.50958829999999999</v>
      </c>
      <c r="F1019" t="s">
        <v>56</v>
      </c>
      <c r="G1019">
        <v>-205.9639</v>
      </c>
      <c r="H1019">
        <v>0.6893473</v>
      </c>
      <c r="I1019">
        <v>-80.948859999999996</v>
      </c>
      <c r="J1019">
        <v>-190.9359</v>
      </c>
      <c r="K1019">
        <v>1.1177840000000001</v>
      </c>
      <c r="L1019">
        <v>343.3931</v>
      </c>
      <c r="M1019">
        <v>7.2387729999999997E-2</v>
      </c>
      <c r="N1019">
        <v>-7.1890890000000001E-3</v>
      </c>
      <c r="O1019">
        <v>-0.99735059999999998</v>
      </c>
      <c r="P1019">
        <v>-2.4237419999999999E-2</v>
      </c>
      <c r="Q1019">
        <v>0.19688929999999999</v>
      </c>
      <c r="R1019">
        <v>-0.98012639999999995</v>
      </c>
      <c r="S1019">
        <v>-0.1082153</v>
      </c>
      <c r="T1019">
        <v>-3.0879969999999999E-3</v>
      </c>
      <c r="U1019">
        <v>-3.0598749999999999</v>
      </c>
      <c r="V1019">
        <v>9.6532049999999994E-2</v>
      </c>
      <c r="W1019">
        <v>0.20323730000000001</v>
      </c>
      <c r="X1019">
        <v>0.97435930000000004</v>
      </c>
      <c r="Y1019">
        <v>0.1075917</v>
      </c>
      <c r="Z1019">
        <v>-6.1963549999999997E-3</v>
      </c>
      <c r="AA1019">
        <v>0.9941759</v>
      </c>
      <c r="AB1019">
        <v>23</v>
      </c>
      <c r="AC1019">
        <v>-15.027999999999899</v>
      </c>
      <c r="AD1019">
        <v>-0.4284367</v>
      </c>
      <c r="AE1019">
        <v>-424.34195999999997</v>
      </c>
      <c r="AF1019">
        <v>45.706473261260903</v>
      </c>
      <c r="AG1019">
        <v>-0.4284367</v>
      </c>
      <c r="AH1019">
        <v>422.14036881967098</v>
      </c>
      <c r="AI1019">
        <v>90.057812458323397</v>
      </c>
      <c r="AJ1019">
        <v>83.820477331042397</v>
      </c>
      <c r="AK1019">
        <v>424.60776752574401</v>
      </c>
      <c r="AL1019">
        <v>78.273667606693706</v>
      </c>
      <c r="AM1019">
        <v>84.342036777625793</v>
      </c>
      <c r="AN1019">
        <v>0.99999994114248902</v>
      </c>
    </row>
    <row r="1020" spans="1:40" x14ac:dyDescent="0.25">
      <c r="A1020" t="str">
        <f>"20190303170738948"</f>
        <v>20190303170738948</v>
      </c>
      <c r="B1020" t="str">
        <f>"1551604058943564"</f>
        <v>1551604058943564</v>
      </c>
      <c r="C1020" t="s">
        <v>40</v>
      </c>
      <c r="D1020">
        <v>5.0758320000000001</v>
      </c>
      <c r="E1020">
        <v>0.50948830000000001</v>
      </c>
      <c r="F1020" t="s">
        <v>43</v>
      </c>
      <c r="G1020">
        <v>-204.88</v>
      </c>
      <c r="H1020">
        <v>7.9986779999999993E-2</v>
      </c>
      <c r="I1020">
        <v>-9.5134740000000004</v>
      </c>
      <c r="J1020">
        <v>-190.92420000000001</v>
      </c>
      <c r="K1020">
        <v>1.1177469999999901</v>
      </c>
      <c r="L1020">
        <v>343.16160000000002</v>
      </c>
      <c r="M1020">
        <v>6.7732479999999998E-2</v>
      </c>
      <c r="N1020">
        <v>-6.9207060000000004E-3</v>
      </c>
      <c r="O1020">
        <v>-0.99767969999999895</v>
      </c>
      <c r="P1020">
        <v>-2.7776269999999999E-2</v>
      </c>
      <c r="Q1020">
        <v>0.19605990000000001</v>
      </c>
      <c r="R1020">
        <v>-0.98019860000000003</v>
      </c>
      <c r="S1020">
        <v>-0.1208954</v>
      </c>
      <c r="T1020">
        <v>-8.9976789999999997E-3</v>
      </c>
      <c r="U1020">
        <v>-3.0596920000000001</v>
      </c>
      <c r="V1020">
        <v>9.550438E-2</v>
      </c>
      <c r="W1020">
        <v>0.20215540000000001</v>
      </c>
      <c r="X1020">
        <v>0.97468569999999999</v>
      </c>
      <c r="Y1020">
        <v>0.1070681</v>
      </c>
      <c r="Z1020">
        <v>-4.0090450000000001E-3</v>
      </c>
      <c r="AA1020">
        <v>0.99424360000000001</v>
      </c>
      <c r="AB1020">
        <v>23</v>
      </c>
      <c r="AC1020">
        <v>-13.955799999999901</v>
      </c>
      <c r="AD1020">
        <v>-1.03776021999999</v>
      </c>
      <c r="AE1020">
        <v>-352.675074</v>
      </c>
      <c r="AF1020">
        <v>37.811547432623598</v>
      </c>
      <c r="AG1020">
        <v>-1.03776021999999</v>
      </c>
      <c r="AH1020">
        <v>350.91680665177199</v>
      </c>
      <c r="AI1020">
        <v>90.168464201016604</v>
      </c>
      <c r="AJ1020">
        <v>83.850064522610396</v>
      </c>
      <c r="AK1020">
        <v>352.94956474856502</v>
      </c>
      <c r="AL1020">
        <v>78.336971294882204</v>
      </c>
      <c r="AM1020">
        <v>84.4037489836806</v>
      </c>
      <c r="AN1020">
        <v>1.0000000530664099</v>
      </c>
    </row>
    <row r="1021" spans="1:40" x14ac:dyDescent="0.25">
      <c r="A1021" t="str">
        <f>"20190303170738972"</f>
        <v>20190303170738972</v>
      </c>
      <c r="B1021" t="str">
        <f>"1551604058963084"</f>
        <v>1551604058963084</v>
      </c>
      <c r="C1021" t="s">
        <v>40</v>
      </c>
      <c r="D1021">
        <v>5.0133229999999998</v>
      </c>
      <c r="E1021">
        <v>0.5093917</v>
      </c>
      <c r="F1021" t="s">
        <v>43</v>
      </c>
      <c r="G1021">
        <v>-202.03270000000001</v>
      </c>
      <c r="H1021">
        <v>7.9986680000000004E-2</v>
      </c>
      <c r="I1021">
        <v>85.411319999999904</v>
      </c>
      <c r="J1021">
        <v>-190.91300000000001</v>
      </c>
      <c r="K1021">
        <v>1.1177280000000001</v>
      </c>
      <c r="L1021">
        <v>342.91609999999997</v>
      </c>
      <c r="M1021">
        <v>6.2866549999999993E-2</v>
      </c>
      <c r="N1021">
        <v>-6.6374260000000001E-3</v>
      </c>
      <c r="O1021">
        <v>-0.998</v>
      </c>
      <c r="P1021">
        <v>-3.1306319999999999E-2</v>
      </c>
      <c r="Q1021">
        <v>0.1974273</v>
      </c>
      <c r="R1021">
        <v>-0.97981799999999997</v>
      </c>
      <c r="S1021">
        <v>-0.1318512</v>
      </c>
      <c r="T1021">
        <v>-1.2317659999999999E-2</v>
      </c>
      <c r="U1021">
        <v>-3.0593569999999999</v>
      </c>
      <c r="V1021">
        <v>9.4245259999999997E-2</v>
      </c>
      <c r="W1021">
        <v>0.20325650000000001</v>
      </c>
      <c r="X1021">
        <v>0.97457919999999998</v>
      </c>
      <c r="Y1021">
        <v>0.10577830000000001</v>
      </c>
      <c r="Z1021">
        <v>-2.6453739999999998E-3</v>
      </c>
      <c r="AA1021">
        <v>0.9943862</v>
      </c>
      <c r="AB1021">
        <v>23</v>
      </c>
      <c r="AC1021">
        <v>-11.1197</v>
      </c>
      <c r="AD1021">
        <v>-1.0377413200000001</v>
      </c>
      <c r="AE1021">
        <v>-257.50477999999998</v>
      </c>
      <c r="AF1021">
        <v>27.2860529427507</v>
      </c>
      <c r="AG1021">
        <v>-1.0377413200000001</v>
      </c>
      <c r="AH1021">
        <v>256.29217117192599</v>
      </c>
      <c r="AI1021">
        <v>90.230688846006203</v>
      </c>
      <c r="AJ1021">
        <v>83.922917321494793</v>
      </c>
      <c r="AK1021">
        <v>257.74266739572198</v>
      </c>
      <c r="AL1021">
        <v>78.272544722721705</v>
      </c>
      <c r="AM1021">
        <v>84.476470386869394</v>
      </c>
      <c r="AN1021">
        <v>0.99999999544867801</v>
      </c>
    </row>
    <row r="1022" spans="1:40" x14ac:dyDescent="0.25">
      <c r="A1022" t="str">
        <f>"20190303170739015"</f>
        <v>20190303170739015</v>
      </c>
      <c r="B1022" t="str">
        <f>"1551604059003101"</f>
        <v>1551604059003101</v>
      </c>
      <c r="C1022" t="s">
        <v>40</v>
      </c>
      <c r="D1022">
        <v>5.0772820000000003</v>
      </c>
      <c r="E1022">
        <v>0.50919190000000003</v>
      </c>
      <c r="F1022" t="s">
        <v>41</v>
      </c>
      <c r="G1022">
        <v>-203.28059999999999</v>
      </c>
      <c r="H1022">
        <v>0.38537080000000001</v>
      </c>
      <c r="I1022">
        <v>76.546840000000003</v>
      </c>
      <c r="J1022">
        <v>-190.89519999999999</v>
      </c>
      <c r="K1022">
        <v>1.1176969999999999</v>
      </c>
      <c r="L1022">
        <v>342.46370000000002</v>
      </c>
      <c r="M1022">
        <v>5.4114059999999999E-2</v>
      </c>
      <c r="N1022">
        <v>-6.138213E-3</v>
      </c>
      <c r="O1022">
        <v>-0.99851579999999995</v>
      </c>
      <c r="P1022">
        <v>-3.965366E-2</v>
      </c>
      <c r="Q1022">
        <v>0.20099230000000001</v>
      </c>
      <c r="R1022">
        <v>-0.9787901</v>
      </c>
      <c r="S1022">
        <v>-0.14202879999999901</v>
      </c>
      <c r="T1022">
        <v>-8.4103349999999997E-3</v>
      </c>
      <c r="U1022">
        <v>-3.0589599999999999</v>
      </c>
      <c r="V1022">
        <v>9.3970330000000005E-2</v>
      </c>
      <c r="W1022">
        <v>0.20633969999999999</v>
      </c>
      <c r="X1022">
        <v>0.97395770000000004</v>
      </c>
      <c r="Y1022">
        <v>0.10036639999999999</v>
      </c>
      <c r="Z1022">
        <v>-3.4110210000000002E-3</v>
      </c>
      <c r="AA1022">
        <v>0.99494470000000002</v>
      </c>
      <c r="AB1022">
        <v>23</v>
      </c>
      <c r="AC1022">
        <v>-12.385400000000001</v>
      </c>
      <c r="AD1022">
        <v>-0.73232619999999904</v>
      </c>
      <c r="AE1022">
        <v>-265.91685999999999</v>
      </c>
      <c r="AF1022">
        <v>26.757162607871599</v>
      </c>
      <c r="AG1022">
        <v>-0.73232619999999904</v>
      </c>
      <c r="AH1022">
        <v>264.85497205724602</v>
      </c>
      <c r="AI1022">
        <v>90.157620595800395</v>
      </c>
      <c r="AJ1022">
        <v>84.231225590921497</v>
      </c>
      <c r="AK1022">
        <v>266.204128961089</v>
      </c>
      <c r="AL1022">
        <v>78.092065519922201</v>
      </c>
      <c r="AM1022">
        <v>84.488991462604602</v>
      </c>
      <c r="AN1022">
        <v>1.0000000480528399</v>
      </c>
    </row>
    <row r="1023" spans="1:40" x14ac:dyDescent="0.25">
      <c r="A1023" t="str">
        <f>"20190303170739040"</f>
        <v>20190303170739040</v>
      </c>
      <c r="B1023" t="str">
        <f>"1551604059033356"</f>
        <v>1551604059033356</v>
      </c>
      <c r="C1023" t="s">
        <v>40</v>
      </c>
      <c r="D1023">
        <v>5.1274259999999998</v>
      </c>
      <c r="E1023">
        <v>0.50478469999999998</v>
      </c>
      <c r="F1023" t="s">
        <v>60</v>
      </c>
      <c r="G1023">
        <v>-210.7835</v>
      </c>
      <c r="H1023">
        <v>1.254939</v>
      </c>
      <c r="I1023">
        <v>-29.189979999999998</v>
      </c>
      <c r="J1023">
        <v>-190.88650000000001</v>
      </c>
      <c r="K1023">
        <v>1.11768</v>
      </c>
      <c r="L1023">
        <v>342.20150000000001</v>
      </c>
      <c r="M1023">
        <v>4.9162780000000003E-2</v>
      </c>
      <c r="N1023">
        <v>-5.8678799999999998E-3</v>
      </c>
      <c r="O1023">
        <v>-0.99877360000000004</v>
      </c>
      <c r="P1023">
        <v>-4.3970580000000002E-2</v>
      </c>
      <c r="Q1023">
        <v>0.20072789999999999</v>
      </c>
      <c r="R1023">
        <v>-0.97865979999999997</v>
      </c>
      <c r="S1023">
        <v>-0.1636505</v>
      </c>
      <c r="T1023">
        <v>1.1292699999999999E-3</v>
      </c>
      <c r="U1023">
        <v>-3.0581360000000002</v>
      </c>
      <c r="V1023">
        <v>9.3427399999999994E-2</v>
      </c>
      <c r="W1023">
        <v>0.2058199</v>
      </c>
      <c r="X1023">
        <v>0.97411979999999998</v>
      </c>
      <c r="Y1023">
        <v>0.10246280000000001</v>
      </c>
      <c r="Z1023">
        <v>-6.2429590000000002E-3</v>
      </c>
      <c r="AA1023">
        <v>0.99471719999999997</v>
      </c>
      <c r="AB1023">
        <v>23</v>
      </c>
      <c r="AC1023">
        <v>-19.896999999999899</v>
      </c>
      <c r="AD1023">
        <v>0.13725899999999999</v>
      </c>
      <c r="AE1023">
        <v>-371.39148</v>
      </c>
      <c r="AF1023">
        <v>38.131885042560803</v>
      </c>
      <c r="AG1023">
        <v>0.13725899999999999</v>
      </c>
      <c r="AH1023">
        <v>369.96411135221302</v>
      </c>
      <c r="AI1023">
        <v>89.978854926270998</v>
      </c>
      <c r="AJ1023">
        <v>84.115352251542802</v>
      </c>
      <c r="AK1023">
        <v>371.92405566938601</v>
      </c>
      <c r="AL1023">
        <v>78.122499948915106</v>
      </c>
      <c r="AM1023">
        <v>84.521544192245997</v>
      </c>
      <c r="AN1023">
        <v>0.99999994752940302</v>
      </c>
    </row>
    <row r="1024" spans="1:40" x14ac:dyDescent="0.25">
      <c r="A1024" t="str">
        <f>"20190303170739059"</f>
        <v>20190303170739059</v>
      </c>
      <c r="B1024" t="str">
        <f>"1551604059052878"</f>
        <v>1551604059052878</v>
      </c>
      <c r="C1024" t="s">
        <v>40</v>
      </c>
      <c r="D1024">
        <v>4.9094930000000003</v>
      </c>
      <c r="E1024">
        <v>0.50425710000000001</v>
      </c>
      <c r="F1024" t="s">
        <v>43</v>
      </c>
      <c r="G1024">
        <v>-198.09880000000001</v>
      </c>
      <c r="H1024" s="1">
        <v>-4.1328959999999997E-6</v>
      </c>
      <c r="I1024">
        <v>184.91</v>
      </c>
      <c r="J1024">
        <v>-190.88040000000001</v>
      </c>
      <c r="K1024">
        <v>1.1176630000000001</v>
      </c>
      <c r="L1024">
        <v>341.99299999999999</v>
      </c>
      <c r="M1024">
        <v>4.529532E-2</v>
      </c>
      <c r="N1024">
        <v>-5.658855E-3</v>
      </c>
      <c r="O1024">
        <v>-0.99895769999999995</v>
      </c>
      <c r="P1024">
        <v>-4.6819909999999999E-2</v>
      </c>
      <c r="Q1024">
        <v>0.2007726</v>
      </c>
      <c r="R1024">
        <v>-0.97851829999999995</v>
      </c>
      <c r="S1024">
        <v>-0.1404724</v>
      </c>
      <c r="T1024">
        <v>-2.1768929999999999E-2</v>
      </c>
      <c r="U1024">
        <v>-3.0635379999999999</v>
      </c>
      <c r="V1024">
        <v>9.2482040000000001E-2</v>
      </c>
      <c r="W1024">
        <v>0.20567099999999999</v>
      </c>
      <c r="X1024">
        <v>0.97424149999999998</v>
      </c>
      <c r="Y1024">
        <v>9.1003059999999997E-2</v>
      </c>
      <c r="Z1024">
        <v>1.4115270000000001E-3</v>
      </c>
      <c r="AA1024">
        <v>0.9958496</v>
      </c>
      <c r="AB1024">
        <v>24</v>
      </c>
      <c r="AC1024">
        <v>-7.2183999999999999</v>
      </c>
      <c r="AD1024">
        <v>-1.1176671328959999</v>
      </c>
      <c r="AE1024">
        <v>-157.083</v>
      </c>
      <c r="AF1024">
        <v>14.325505439953499</v>
      </c>
      <c r="AG1024">
        <v>-1.1176671328959999</v>
      </c>
      <c r="AH1024">
        <v>156.58689571965201</v>
      </c>
      <c r="AI1024">
        <v>90.407251313460705</v>
      </c>
      <c r="AJ1024">
        <v>84.7727904812606</v>
      </c>
      <c r="AK1024">
        <v>157.244793863095</v>
      </c>
      <c r="AL1024">
        <v>78.1312183660458</v>
      </c>
      <c r="AM1024">
        <v>84.577320056062703</v>
      </c>
      <c r="AN1024">
        <v>0.99999999414290497</v>
      </c>
    </row>
    <row r="1025" spans="1:40" x14ac:dyDescent="0.25">
      <c r="A1025" t="str">
        <f>"20190303170739084"</f>
        <v>20190303170739084</v>
      </c>
      <c r="B1025" t="str">
        <f>"1551604059073373"</f>
        <v>1551604059073373</v>
      </c>
      <c r="C1025" t="s">
        <v>40</v>
      </c>
      <c r="D1025">
        <v>5.0245179999999996</v>
      </c>
      <c r="E1025">
        <v>0.50226490000000001</v>
      </c>
      <c r="F1025" t="s">
        <v>43</v>
      </c>
      <c r="G1025">
        <v>-198.0317</v>
      </c>
      <c r="H1025" s="1">
        <v>-2.6731069999999999E-6</v>
      </c>
      <c r="I1025">
        <v>190.83869999999999</v>
      </c>
      <c r="J1025">
        <v>-190.87379999999999</v>
      </c>
      <c r="K1025">
        <v>1.117659</v>
      </c>
      <c r="L1025">
        <v>341.73239999999998</v>
      </c>
      <c r="M1025">
        <v>4.0572629999999998E-2</v>
      </c>
      <c r="N1025">
        <v>-5.3915899999999999E-3</v>
      </c>
      <c r="O1025">
        <v>-0.99916210000000005</v>
      </c>
      <c r="P1025">
        <v>-5.1367219999999998E-2</v>
      </c>
      <c r="Q1025">
        <v>0.20207</v>
      </c>
      <c r="R1025">
        <v>-0.97802319999999998</v>
      </c>
      <c r="S1025">
        <v>-0.14494319999999999</v>
      </c>
      <c r="T1025">
        <v>-2.265286E-2</v>
      </c>
      <c r="U1025">
        <v>-3.063599</v>
      </c>
      <c r="V1025">
        <v>9.2384519999999998E-2</v>
      </c>
      <c r="W1025">
        <v>0.20671429999999999</v>
      </c>
      <c r="X1025">
        <v>0.9740299</v>
      </c>
      <c r="Y1025">
        <v>8.7744440000000007E-2</v>
      </c>
      <c r="Z1025">
        <v>1.9697590000000002E-3</v>
      </c>
      <c r="AA1025">
        <v>0.9961411</v>
      </c>
      <c r="AB1025">
        <v>24</v>
      </c>
      <c r="AC1025">
        <v>-7.1579000000000104</v>
      </c>
      <c r="AD1025">
        <v>-1.1176616731069999</v>
      </c>
      <c r="AE1025">
        <v>-150.8937</v>
      </c>
      <c r="AF1025">
        <v>13.2735222765124</v>
      </c>
      <c r="AG1025">
        <v>-1.1176616731069999</v>
      </c>
      <c r="AH1025">
        <v>150.470793539364</v>
      </c>
      <c r="AI1025">
        <v>90.423925602120306</v>
      </c>
      <c r="AJ1025">
        <v>84.958800492276794</v>
      </c>
      <c r="AK1025">
        <v>151.05924423750599</v>
      </c>
      <c r="AL1025">
        <v>78.070128703526507</v>
      </c>
      <c r="AM1025">
        <v>84.581834309533505</v>
      </c>
      <c r="AN1025">
        <v>0.99999997372706395</v>
      </c>
    </row>
    <row r="1026" spans="1:40" x14ac:dyDescent="0.25">
      <c r="A1026" t="str">
        <f>"20190303170739107"</f>
        <v>20190303170739107</v>
      </c>
      <c r="B1026" t="str">
        <f>"1551604059092893"</f>
        <v>1551604059092893</v>
      </c>
      <c r="C1026" t="s">
        <v>40</v>
      </c>
      <c r="D1026">
        <v>5.0243000000000002</v>
      </c>
      <c r="E1026">
        <v>0.50175820000000004</v>
      </c>
      <c r="F1026" t="s">
        <v>43</v>
      </c>
      <c r="G1026">
        <v>-195.0316</v>
      </c>
      <c r="H1026" s="1">
        <v>-2.15713E-6</v>
      </c>
      <c r="I1026">
        <v>251.4967</v>
      </c>
      <c r="J1026">
        <v>-190.86840000000001</v>
      </c>
      <c r="K1026">
        <v>1.1176699999999999</v>
      </c>
      <c r="L1026">
        <v>341.48230000000001</v>
      </c>
      <c r="M1026">
        <v>3.6169399999999997E-2</v>
      </c>
      <c r="N1026">
        <v>-5.1210420000000001E-3</v>
      </c>
      <c r="O1026">
        <v>-0.99933249999999996</v>
      </c>
      <c r="P1026">
        <v>-5.5301860000000001E-2</v>
      </c>
      <c r="Q1026">
        <v>0.2029203</v>
      </c>
      <c r="R1026">
        <v>-0.97763259999999996</v>
      </c>
      <c r="S1026">
        <v>-0.14135739999999999</v>
      </c>
      <c r="T1026">
        <v>-3.7998320000000002E-2</v>
      </c>
      <c r="U1026">
        <v>-3.067841</v>
      </c>
      <c r="V1026">
        <v>9.1985230000000001E-2</v>
      </c>
      <c r="W1026">
        <v>0.20731330000000001</v>
      </c>
      <c r="X1026">
        <v>0.97394040000000004</v>
      </c>
      <c r="Y1026">
        <v>8.2124879999999997E-2</v>
      </c>
      <c r="Z1026">
        <v>7.2203600000000003E-3</v>
      </c>
      <c r="AA1026">
        <v>0.99659589999999998</v>
      </c>
      <c r="AB1026">
        <v>24</v>
      </c>
      <c r="AC1026">
        <v>-4.1631999999999802</v>
      </c>
      <c r="AD1026">
        <v>-1.1176721571299999</v>
      </c>
      <c r="AE1026">
        <v>-89.985600000000005</v>
      </c>
      <c r="AF1026">
        <v>7.4141025089003101</v>
      </c>
      <c r="AG1026">
        <v>-1.1176721571299999</v>
      </c>
      <c r="AH1026">
        <v>89.762317930591195</v>
      </c>
      <c r="AI1026">
        <v>90.710958593518498</v>
      </c>
      <c r="AJ1026">
        <v>85.278255942084002</v>
      </c>
      <c r="AK1026">
        <v>90.074923410102599</v>
      </c>
      <c r="AL1026">
        <v>78.035048882362005</v>
      </c>
      <c r="AM1026">
        <v>84.6046205635989</v>
      </c>
      <c r="AN1026">
        <v>0.99999999482360102</v>
      </c>
    </row>
    <row r="1027" spans="1:40" x14ac:dyDescent="0.25">
      <c r="A1027" t="str">
        <f>"20190303170739130"</f>
        <v>20190303170739130</v>
      </c>
      <c r="B1027" t="str">
        <f>"1551604059123148"</f>
        <v>1551604059123148</v>
      </c>
      <c r="C1027" t="s">
        <v>40</v>
      </c>
      <c r="D1027">
        <v>5.0428230000000003</v>
      </c>
      <c r="E1027">
        <v>0.50110410000000005</v>
      </c>
      <c r="F1027" t="s">
        <v>43</v>
      </c>
      <c r="G1027">
        <v>-196.1825</v>
      </c>
      <c r="H1027" s="1">
        <v>-2.5141670000000001E-6</v>
      </c>
      <c r="I1027">
        <v>231.43029999999999</v>
      </c>
      <c r="J1027">
        <v>-190.8639</v>
      </c>
      <c r="K1027">
        <v>1.117691</v>
      </c>
      <c r="L1027">
        <v>341.22699999999998</v>
      </c>
      <c r="M1027">
        <v>3.1812550000000002E-2</v>
      </c>
      <c r="N1027">
        <v>-4.8339849999999998E-3</v>
      </c>
      <c r="O1027">
        <v>-0.99948219999999999</v>
      </c>
      <c r="P1027">
        <v>-5.8355369999999997E-2</v>
      </c>
      <c r="Q1027">
        <v>0.2036586</v>
      </c>
      <c r="R1027">
        <v>-0.97730170000000005</v>
      </c>
      <c r="S1027">
        <v>-0.14808650000000001</v>
      </c>
      <c r="T1027">
        <v>-3.114569E-2</v>
      </c>
      <c r="U1027">
        <v>-3.0667719999999998</v>
      </c>
      <c r="V1027">
        <v>9.0748860000000001E-2</v>
      </c>
      <c r="W1027">
        <v>0.20779239999999999</v>
      </c>
      <c r="X1027">
        <v>0.97395430000000005</v>
      </c>
      <c r="Y1027">
        <v>7.9979149999999999E-2</v>
      </c>
      <c r="Z1027">
        <v>5.2878869999999998E-3</v>
      </c>
      <c r="AA1027">
        <v>0.99678250000000002</v>
      </c>
      <c r="AB1027">
        <v>24</v>
      </c>
      <c r="AC1027">
        <v>-5.3186</v>
      </c>
      <c r="AD1027">
        <v>-1.1176935141669999</v>
      </c>
      <c r="AE1027">
        <v>-109.7967</v>
      </c>
      <c r="AF1027">
        <v>8.8079510407439301</v>
      </c>
      <c r="AG1027">
        <v>-1.1176935141669999</v>
      </c>
      <c r="AH1027">
        <v>109.560598506613</v>
      </c>
      <c r="AI1027">
        <v>90.582608839598194</v>
      </c>
      <c r="AJ1027">
        <v>85.403681571604594</v>
      </c>
      <c r="AK1027">
        <v>109.91976157841199</v>
      </c>
      <c r="AL1027">
        <v>78.006987559490796</v>
      </c>
      <c r="AM1027">
        <v>84.6767957739428</v>
      </c>
      <c r="AN1027">
        <v>1.0000000077887701</v>
      </c>
    </row>
    <row r="1028" spans="1:40" x14ac:dyDescent="0.25">
      <c r="A1028" t="str">
        <f>"20190303170739150"</f>
        <v>20190303170739150</v>
      </c>
      <c r="B1028" t="str">
        <f>"1551604059143645"</f>
        <v>1551604059143645</v>
      </c>
      <c r="C1028" t="s">
        <v>40</v>
      </c>
      <c r="D1028">
        <v>4.9217550000000001</v>
      </c>
      <c r="E1028">
        <v>0.50104910000000003</v>
      </c>
      <c r="F1028" t="s">
        <v>57</v>
      </c>
      <c r="G1028">
        <v>-197.5136</v>
      </c>
      <c r="H1028" s="1">
        <v>3.577229E-6</v>
      </c>
      <c r="I1028">
        <v>207.6968</v>
      </c>
      <c r="J1028">
        <v>-190.86080000000001</v>
      </c>
      <c r="K1028">
        <v>1.117699</v>
      </c>
      <c r="L1028">
        <v>341.0102</v>
      </c>
      <c r="M1028">
        <v>2.8228420000000001E-2</v>
      </c>
      <c r="N1028">
        <v>-4.5857809999999997E-3</v>
      </c>
      <c r="O1028">
        <v>-0.99959120000000001</v>
      </c>
      <c r="P1028">
        <v>-5.9006389999999999E-2</v>
      </c>
      <c r="Q1028">
        <v>0.20334150000000001</v>
      </c>
      <c r="R1028">
        <v>-0.97732850000000004</v>
      </c>
      <c r="S1028">
        <v>-0.15267939999999999</v>
      </c>
      <c r="T1028">
        <v>-2.566266E-2</v>
      </c>
      <c r="U1028">
        <v>-3.0659179999999999</v>
      </c>
      <c r="V1028">
        <v>8.787383E-2</v>
      </c>
      <c r="W1028">
        <v>0.2072648</v>
      </c>
      <c r="X1028">
        <v>0.97433029999999998</v>
      </c>
      <c r="Y1028">
        <v>7.790859E-2</v>
      </c>
      <c r="Z1028">
        <v>3.758183E-3</v>
      </c>
      <c r="AA1028">
        <v>0.99695339999999999</v>
      </c>
      <c r="AB1028">
        <v>24</v>
      </c>
      <c r="AC1028">
        <v>-6.6527999999999796</v>
      </c>
      <c r="AD1028">
        <v>-1.1176954227709901</v>
      </c>
      <c r="AE1028">
        <v>-133.3134</v>
      </c>
      <c r="AF1028">
        <v>10.412684085485701</v>
      </c>
      <c r="AG1028">
        <v>-1.1176954227709901</v>
      </c>
      <c r="AH1028">
        <v>133.06314348523401</v>
      </c>
      <c r="AI1028">
        <v>90.479791441851603</v>
      </c>
      <c r="AJ1028">
        <v>85.525511447852494</v>
      </c>
      <c r="AK1028">
        <v>133.474617014226</v>
      </c>
      <c r="AL1028">
        <v>78.037889735577494</v>
      </c>
      <c r="AM1028">
        <v>84.846496380272299</v>
      </c>
      <c r="AN1028">
        <v>1.00000002040799</v>
      </c>
    </row>
    <row r="1029" spans="1:40" x14ac:dyDescent="0.25">
      <c r="A1029" t="str">
        <f>"20190303170739173"</f>
        <v>20190303170739173</v>
      </c>
      <c r="B1029" t="str">
        <f>"1551604059163165"</f>
        <v>1551604059163165</v>
      </c>
      <c r="C1029" t="s">
        <v>40</v>
      </c>
      <c r="D1029">
        <v>4.9667719999999997</v>
      </c>
      <c r="E1029">
        <v>0.50083290000000003</v>
      </c>
      <c r="F1029" t="s">
        <v>57</v>
      </c>
      <c r="G1029">
        <v>-196.8733</v>
      </c>
      <c r="H1029" s="1">
        <v>1.6065349999999999E-6</v>
      </c>
      <c r="I1029">
        <v>222.04759999999999</v>
      </c>
      <c r="J1029">
        <v>-190.858</v>
      </c>
      <c r="K1029">
        <v>1.1176969999999999</v>
      </c>
      <c r="L1029">
        <v>340.74619999999999</v>
      </c>
      <c r="M1029">
        <v>2.3991430000000001E-2</v>
      </c>
      <c r="N1029">
        <v>-4.2912749999999998E-3</v>
      </c>
      <c r="O1029">
        <v>-0.99970309999999996</v>
      </c>
      <c r="P1029">
        <v>-6.1133020000000003E-2</v>
      </c>
      <c r="Q1029">
        <v>0.20264950000000001</v>
      </c>
      <c r="R1029">
        <v>-0.97734140000000003</v>
      </c>
      <c r="S1029">
        <v>-0.1549683</v>
      </c>
      <c r="T1029">
        <v>-2.8808E-2</v>
      </c>
      <c r="U1029">
        <v>-3.0661930000000002</v>
      </c>
      <c r="V1029">
        <v>8.5834590000000002E-2</v>
      </c>
      <c r="W1029">
        <v>0.20630979999999999</v>
      </c>
      <c r="X1029">
        <v>0.97471470000000004</v>
      </c>
      <c r="Y1029">
        <v>7.4420219999999995E-2</v>
      </c>
      <c r="Z1029">
        <v>5.0781139999999999E-3</v>
      </c>
      <c r="AA1029">
        <v>0.99721400000000004</v>
      </c>
      <c r="AB1029">
        <v>24</v>
      </c>
      <c r="AC1029">
        <v>-6.0152999999999901</v>
      </c>
      <c r="AD1029">
        <v>-1.117695393465</v>
      </c>
      <c r="AE1029">
        <v>-118.6986</v>
      </c>
      <c r="AF1029">
        <v>8.8605598930257692</v>
      </c>
      <c r="AG1029">
        <v>-1.117695393465</v>
      </c>
      <c r="AH1029">
        <v>118.50963589452</v>
      </c>
      <c r="AI1029">
        <v>90.538851558395294</v>
      </c>
      <c r="AJ1029">
        <v>85.724146210019697</v>
      </c>
      <c r="AK1029">
        <v>118.84566699910501</v>
      </c>
      <c r="AL1029">
        <v>78.093816097590206</v>
      </c>
      <c r="AM1029">
        <v>84.967444322425195</v>
      </c>
      <c r="AN1029">
        <v>1.00000002840629</v>
      </c>
    </row>
    <row r="1030" spans="1:40" x14ac:dyDescent="0.25">
      <c r="A1030" t="str">
        <f>"20190303170739220"</f>
        <v>20190303170739220</v>
      </c>
      <c r="B1030" t="str">
        <f>"1551604059212941"</f>
        <v>1551604059212941</v>
      </c>
      <c r="C1030" t="s">
        <v>40</v>
      </c>
      <c r="D1030">
        <v>4.9607599999999996</v>
      </c>
      <c r="E1030">
        <v>0.50017999999999996</v>
      </c>
      <c r="F1030" t="s">
        <v>43</v>
      </c>
      <c r="G1030">
        <v>-196.3699</v>
      </c>
      <c r="H1030" s="1">
        <v>-4.0759490000000001E-6</v>
      </c>
      <c r="I1030">
        <v>234.95779999999999</v>
      </c>
      <c r="J1030">
        <v>-190.85509999999999</v>
      </c>
      <c r="K1030">
        <v>1.1176740000000001</v>
      </c>
      <c r="L1030">
        <v>340.22269999999997</v>
      </c>
      <c r="M1030">
        <v>1.593431E-2</v>
      </c>
      <c r="N1030">
        <v>-3.7492070000000001E-3</v>
      </c>
      <c r="O1030">
        <v>-0.99986620000000004</v>
      </c>
      <c r="P1030">
        <v>-6.3412319999999994E-2</v>
      </c>
      <c r="Q1030">
        <v>0.20280880000000001</v>
      </c>
      <c r="R1030">
        <v>-0.97716309999999995</v>
      </c>
      <c r="S1030">
        <v>-0.1597595</v>
      </c>
      <c r="T1030">
        <v>-3.2396319999999999E-2</v>
      </c>
      <c r="U1030">
        <v>-3.0662539999999998</v>
      </c>
      <c r="V1030">
        <v>8.0215709999999996E-2</v>
      </c>
      <c r="W1030">
        <v>0.2059879</v>
      </c>
      <c r="X1030">
        <v>0.97526120000000005</v>
      </c>
      <c r="Y1030">
        <v>6.793515E-2</v>
      </c>
      <c r="Z1030">
        <v>6.7928569999999898E-3</v>
      </c>
      <c r="AA1030">
        <v>0.99766659999999996</v>
      </c>
      <c r="AB1030">
        <v>25</v>
      </c>
      <c r="AC1030">
        <v>-5.5148000000000001</v>
      </c>
      <c r="AD1030">
        <v>-1.1176780759489999</v>
      </c>
      <c r="AE1030">
        <v>-105.264899999999</v>
      </c>
      <c r="AF1030">
        <v>7.1906264271266798</v>
      </c>
      <c r="AG1030">
        <v>-1.1176780759489999</v>
      </c>
      <c r="AH1030">
        <v>105.15183828800799</v>
      </c>
      <c r="AI1030">
        <v>90.607565554374204</v>
      </c>
      <c r="AJ1030">
        <v>86.088017551073193</v>
      </c>
      <c r="AK1030">
        <v>105.403336797481</v>
      </c>
      <c r="AL1030">
        <v>78.112664015925702</v>
      </c>
      <c r="AM1030">
        <v>85.2979783742298</v>
      </c>
      <c r="AN1030">
        <v>0.99999999165132702</v>
      </c>
    </row>
    <row r="1031" spans="1:40" x14ac:dyDescent="0.25">
      <c r="A1031" t="str">
        <f>"20190303170739261"</f>
        <v>20190303170739261</v>
      </c>
      <c r="B1031" t="str">
        <f>"1551604059252957"</f>
        <v>1551604059252957</v>
      </c>
      <c r="C1031" t="s">
        <v>40</v>
      </c>
      <c r="D1031">
        <v>4.9540119999999996</v>
      </c>
      <c r="E1031">
        <v>0.49982109999999902</v>
      </c>
      <c r="F1031" t="s">
        <v>43</v>
      </c>
      <c r="G1031">
        <v>-195.78030000000001</v>
      </c>
      <c r="H1031" s="1">
        <v>-4.3706229999999997E-6</v>
      </c>
      <c r="I1031">
        <v>245.9975</v>
      </c>
      <c r="J1031">
        <v>-190.85570000000001</v>
      </c>
      <c r="K1031">
        <v>1.117648</v>
      </c>
      <c r="L1031">
        <v>339.7509</v>
      </c>
      <c r="M1031">
        <v>9.0128199999999995E-3</v>
      </c>
      <c r="N1031">
        <v>-3.3332840000000002E-3</v>
      </c>
      <c r="O1031">
        <v>-0.99995400000000001</v>
      </c>
      <c r="P1031">
        <v>-6.4043589999999997E-2</v>
      </c>
      <c r="Q1031">
        <v>0.20390050000000001</v>
      </c>
      <c r="R1031">
        <v>-0.97689459999999995</v>
      </c>
      <c r="S1031">
        <v>-0.1603241</v>
      </c>
      <c r="T1031">
        <v>-3.6383150000000003E-2</v>
      </c>
      <c r="U1031">
        <v>-3.0672609999999998</v>
      </c>
      <c r="V1031">
        <v>7.4079290000000006E-2</v>
      </c>
      <c r="W1031">
        <v>0.2067157</v>
      </c>
      <c r="X1031">
        <v>0.97559260000000003</v>
      </c>
      <c r="Y1031">
        <v>6.1193249999999998E-2</v>
      </c>
      <c r="Z1031">
        <v>8.5071209999999994E-3</v>
      </c>
      <c r="AA1031">
        <v>0.99808969999999997</v>
      </c>
      <c r="AB1031">
        <v>25</v>
      </c>
      <c r="AC1031">
        <v>-4.9245999999999901</v>
      </c>
      <c r="AD1031">
        <v>-1.1176523706229999</v>
      </c>
      <c r="AE1031">
        <v>-93.753399999999999</v>
      </c>
      <c r="AF1031">
        <v>5.7685695027982797</v>
      </c>
      <c r="AG1031">
        <v>-1.1176523706229999</v>
      </c>
      <c r="AH1031">
        <v>93.691928894486196</v>
      </c>
      <c r="AI1031">
        <v>90.682158142352804</v>
      </c>
      <c r="AJ1031">
        <v>86.476772351279607</v>
      </c>
      <c r="AK1031">
        <v>93.875998428243804</v>
      </c>
      <c r="AL1031">
        <v>78.070047297018206</v>
      </c>
      <c r="AM1031">
        <v>85.657714794523798</v>
      </c>
      <c r="AN1031">
        <v>1.0000000215040701</v>
      </c>
    </row>
    <row r="1032" spans="1:40" x14ac:dyDescent="0.25">
      <c r="A1032" t="str">
        <f>"20190303170739283"</f>
        <v>20190303170739283</v>
      </c>
      <c r="B1032" t="str">
        <f>"1551604059273453"</f>
        <v>1551604059273453</v>
      </c>
      <c r="C1032" t="s">
        <v>40</v>
      </c>
      <c r="D1032">
        <v>4.9131199999999904</v>
      </c>
      <c r="E1032">
        <v>0.49966430000000001</v>
      </c>
      <c r="F1032" t="s">
        <v>43</v>
      </c>
      <c r="G1032">
        <v>-196.41120000000001</v>
      </c>
      <c r="H1032" s="1">
        <v>-3.507336E-6</v>
      </c>
      <c r="I1032">
        <v>233.4579</v>
      </c>
      <c r="J1032">
        <v>-190.85720000000001</v>
      </c>
      <c r="K1032">
        <v>1.1176330000000001</v>
      </c>
      <c r="L1032">
        <v>339.50069999999999</v>
      </c>
      <c r="M1032">
        <v>5.4414590000000001E-3</v>
      </c>
      <c r="N1032">
        <v>-3.1467489999999999E-3</v>
      </c>
      <c r="O1032">
        <v>-0.99998030000000004</v>
      </c>
      <c r="P1032">
        <v>-6.3898650000000001E-2</v>
      </c>
      <c r="Q1032">
        <v>0.2042071</v>
      </c>
      <c r="R1032">
        <v>-0.97684000000000004</v>
      </c>
      <c r="S1032">
        <v>-0.1603088</v>
      </c>
      <c r="T1032">
        <v>-3.2250399999999999E-2</v>
      </c>
      <c r="U1032">
        <v>-3.0671390000000001</v>
      </c>
      <c r="V1032">
        <v>7.0444660000000006E-2</v>
      </c>
      <c r="W1032">
        <v>0.20686360000000001</v>
      </c>
      <c r="X1032">
        <v>0.97583039999999999</v>
      </c>
      <c r="Y1032">
        <v>5.762598E-2</v>
      </c>
      <c r="Z1032">
        <v>7.3510290000000002E-3</v>
      </c>
      <c r="AA1032">
        <v>0.99831119999999995</v>
      </c>
      <c r="AB1032">
        <v>25</v>
      </c>
      <c r="AC1032">
        <v>-5.5540000000000003</v>
      </c>
      <c r="AD1032">
        <v>-1.117636507336</v>
      </c>
      <c r="AE1032">
        <v>-106.0428</v>
      </c>
      <c r="AF1032">
        <v>6.1302690541199398</v>
      </c>
      <c r="AG1032">
        <v>-1.117636507336</v>
      </c>
      <c r="AH1032">
        <v>105.999265759229</v>
      </c>
      <c r="AI1032">
        <v>90.603085992364896</v>
      </c>
      <c r="AJ1032">
        <v>86.690092774430695</v>
      </c>
      <c r="AK1032">
        <v>106.18226618194799</v>
      </c>
      <c r="AL1032">
        <v>78.061385591916405</v>
      </c>
      <c r="AM1032">
        <v>85.871011730098303</v>
      </c>
      <c r="AN1032">
        <v>0.99999998434581705</v>
      </c>
    </row>
    <row r="1033" spans="1:40" x14ac:dyDescent="0.25">
      <c r="A1033" t="str">
        <f>"20190303170739306"</f>
        <v>20190303170739306</v>
      </c>
      <c r="B1033" t="str">
        <f>"1551604059293949"</f>
        <v>1551604059293949</v>
      </c>
      <c r="C1033" t="s">
        <v>40</v>
      </c>
      <c r="D1033">
        <v>4.9634330000000002</v>
      </c>
      <c r="E1033">
        <v>0.49948890000000001</v>
      </c>
      <c r="F1033" t="s">
        <v>43</v>
      </c>
      <c r="G1033">
        <v>-196.40690000000001</v>
      </c>
      <c r="H1033" s="1">
        <v>-3.0477379999999998E-6</v>
      </c>
      <c r="I1033">
        <v>232.43279999999999</v>
      </c>
      <c r="J1033">
        <v>-190.8596</v>
      </c>
      <c r="K1033">
        <v>1.1176170000000001</v>
      </c>
      <c r="L1033">
        <v>339.23259999999999</v>
      </c>
      <c r="M1033">
        <v>1.6783970000000001E-3</v>
      </c>
      <c r="N1033">
        <v>-2.970982E-3</v>
      </c>
      <c r="O1033">
        <v>-0.9999943</v>
      </c>
      <c r="P1033">
        <v>-6.4282809999999996E-2</v>
      </c>
      <c r="Q1033">
        <v>0.2051801</v>
      </c>
      <c r="R1033">
        <v>-0.97661109999999896</v>
      </c>
      <c r="S1033">
        <v>-0.15899659999999999</v>
      </c>
      <c r="T1033">
        <v>-3.2019730000000003E-2</v>
      </c>
      <c r="U1033">
        <v>-3.0674440000000001</v>
      </c>
      <c r="V1033">
        <v>6.7156110000000005E-2</v>
      </c>
      <c r="W1033">
        <v>0.2076855</v>
      </c>
      <c r="X1033">
        <v>0.97588770000000002</v>
      </c>
      <c r="Y1033">
        <v>5.343767E-2</v>
      </c>
      <c r="Z1033">
        <v>7.4525349999999997E-3</v>
      </c>
      <c r="AA1033">
        <v>0.99854339999999997</v>
      </c>
      <c r="AB1033">
        <v>26</v>
      </c>
      <c r="AC1033">
        <v>-5.5472999999999999</v>
      </c>
      <c r="AD1033">
        <v>-1.1176200477380001</v>
      </c>
      <c r="AE1033">
        <v>-106.7998</v>
      </c>
      <c r="AF1033">
        <v>5.7259200703851798</v>
      </c>
      <c r="AG1033">
        <v>-1.1176200477380001</v>
      </c>
      <c r="AH1033">
        <v>106.77867725685699</v>
      </c>
      <c r="AI1033">
        <v>90.598815376542404</v>
      </c>
      <c r="AJ1033">
        <v>86.930500154719695</v>
      </c>
      <c r="AK1033">
        <v>106.937931305723</v>
      </c>
      <c r="AL1033">
        <v>78.013249062180194</v>
      </c>
      <c r="AM1033">
        <v>86.063373785958802</v>
      </c>
      <c r="AN1033">
        <v>1.00000000651593</v>
      </c>
    </row>
    <row r="1034" spans="1:40" x14ac:dyDescent="0.25">
      <c r="A1034" t="str">
        <f>"20190303170739329"</f>
        <v>20190303170739329</v>
      </c>
      <c r="B1034" t="str">
        <f>"1551604059323229"</f>
        <v>1551604059323229</v>
      </c>
      <c r="C1034" t="s">
        <v>40</v>
      </c>
      <c r="D1034">
        <v>4.9066479999999997</v>
      </c>
      <c r="E1034">
        <v>0.49938890000000002</v>
      </c>
      <c r="F1034" t="s">
        <v>57</v>
      </c>
      <c r="G1034">
        <v>-197.1763</v>
      </c>
      <c r="H1034" s="1">
        <v>2.4803059999999999E-6</v>
      </c>
      <c r="I1034">
        <v>217.03370000000001</v>
      </c>
      <c r="J1034">
        <v>-190.863</v>
      </c>
      <c r="K1034">
        <v>1.117612</v>
      </c>
      <c r="L1034">
        <v>338.96609999999998</v>
      </c>
      <c r="M1034">
        <v>-1.9950710000000002E-3</v>
      </c>
      <c r="N1034">
        <v>-2.8193979999999999E-3</v>
      </c>
      <c r="O1034">
        <v>-0.99999420000000006</v>
      </c>
      <c r="P1034">
        <v>-6.5639009999999998E-2</v>
      </c>
      <c r="Q1034">
        <v>0.20593549999999999</v>
      </c>
      <c r="R1034">
        <v>-0.97636179999999995</v>
      </c>
      <c r="S1034">
        <v>-0.1585541</v>
      </c>
      <c r="T1034">
        <v>-2.805305E-2</v>
      </c>
      <c r="U1034">
        <v>-3.067291</v>
      </c>
      <c r="V1034">
        <v>6.4926339999999999E-2</v>
      </c>
      <c r="W1034">
        <v>0.20830679999999999</v>
      </c>
      <c r="X1034">
        <v>0.97590619999999995</v>
      </c>
      <c r="Y1034">
        <v>4.9628579999999999E-2</v>
      </c>
      <c r="Z1034">
        <v>6.3145579999999996E-3</v>
      </c>
      <c r="AA1034">
        <v>0.99874779999999996</v>
      </c>
      <c r="AB1034">
        <v>26</v>
      </c>
      <c r="AC1034">
        <v>-6.3132999999999901</v>
      </c>
      <c r="AD1034">
        <v>-1.1176095196939999</v>
      </c>
      <c r="AE1034">
        <v>-121.93239999999901</v>
      </c>
      <c r="AF1034">
        <v>6.06951416405541</v>
      </c>
      <c r="AG1034">
        <v>-1.1176095196939999</v>
      </c>
      <c r="AH1034">
        <v>121.934536273833</v>
      </c>
      <c r="AI1034">
        <v>90.524489134323105</v>
      </c>
      <c r="AJ1034">
        <v>87.150349971084907</v>
      </c>
      <c r="AK1034">
        <v>122.090618761397</v>
      </c>
      <c r="AL1034">
        <v>77.976855557740294</v>
      </c>
      <c r="AM1034">
        <v>86.1937618977732</v>
      </c>
      <c r="AN1034">
        <v>1.00000003187523</v>
      </c>
    </row>
    <row r="1035" spans="1:40" x14ac:dyDescent="0.25">
      <c r="A1035" t="str">
        <f>"20190303170739352"</f>
        <v>20190303170739352</v>
      </c>
      <c r="B1035" t="str">
        <f>"1551604059343256"</f>
        <v>1551604059343256</v>
      </c>
      <c r="C1035" t="s">
        <v>40</v>
      </c>
      <c r="D1035">
        <v>4.8971369999999999</v>
      </c>
      <c r="E1035">
        <v>0.49923719999999999</v>
      </c>
      <c r="F1035" t="s">
        <v>57</v>
      </c>
      <c r="G1035">
        <v>-198.07079999999999</v>
      </c>
      <c r="H1035" s="1">
        <v>5.0181509999999998E-6</v>
      </c>
      <c r="I1035">
        <v>202.19810000000001</v>
      </c>
      <c r="J1035">
        <v>-190.8672</v>
      </c>
      <c r="K1035">
        <v>1.117605</v>
      </c>
      <c r="L1035">
        <v>338.70440000000002</v>
      </c>
      <c r="M1035">
        <v>-5.5294810000000002E-3</v>
      </c>
      <c r="N1035">
        <v>-2.6931580000000002E-3</v>
      </c>
      <c r="O1035">
        <v>-0.99998120000000001</v>
      </c>
      <c r="P1035">
        <v>-6.668615E-2</v>
      </c>
      <c r="Q1035">
        <v>0.2060148</v>
      </c>
      <c r="R1035">
        <v>-0.97627430000000004</v>
      </c>
      <c r="S1035">
        <v>-0.16163640000000001</v>
      </c>
      <c r="T1035">
        <v>-2.5062560000000001E-2</v>
      </c>
      <c r="U1035">
        <v>-3.0670470000000001</v>
      </c>
      <c r="V1035">
        <v>6.2518480000000001E-2</v>
      </c>
      <c r="W1035">
        <v>0.2082783</v>
      </c>
      <c r="X1035">
        <v>0.97606950000000003</v>
      </c>
      <c r="Y1035">
        <v>4.7103810000000003E-2</v>
      </c>
      <c r="Z1035">
        <v>5.4681979999999996E-3</v>
      </c>
      <c r="AA1035">
        <v>0.99887499999999996</v>
      </c>
      <c r="AB1035">
        <v>26</v>
      </c>
      <c r="AC1035">
        <v>-7.20359999999999</v>
      </c>
      <c r="AD1035">
        <v>-1.1175999818489999</v>
      </c>
      <c r="AE1035">
        <v>-136.50630000000001</v>
      </c>
      <c r="AF1035">
        <v>6.44824720558936</v>
      </c>
      <c r="AG1035">
        <v>-1.1175999818489999</v>
      </c>
      <c r="AH1035">
        <v>136.53491894615499</v>
      </c>
      <c r="AI1035">
        <v>90.468459233543996</v>
      </c>
      <c r="AJ1035">
        <v>87.296054134108005</v>
      </c>
      <c r="AK1035">
        <v>136.691671338736</v>
      </c>
      <c r="AL1035">
        <v>77.978525201939107</v>
      </c>
      <c r="AM1035">
        <v>86.335139510503396</v>
      </c>
      <c r="AN1035">
        <v>1.00000003971132</v>
      </c>
    </row>
    <row r="1036" spans="1:40" x14ac:dyDescent="0.25">
      <c r="A1036" t="str">
        <f>"20190303170739375"</f>
        <v>20190303170739375</v>
      </c>
      <c r="B1036" t="str">
        <f>"1551604059363753"</f>
        <v>1551604059363753</v>
      </c>
      <c r="C1036" t="s">
        <v>40</v>
      </c>
      <c r="D1036">
        <v>4.7226150000000002</v>
      </c>
      <c r="E1036">
        <v>0.49910470000000001</v>
      </c>
      <c r="F1036" t="s">
        <v>43</v>
      </c>
      <c r="G1036">
        <v>-198.3099</v>
      </c>
      <c r="H1036" s="1">
        <v>-5.5140390000000001E-6</v>
      </c>
      <c r="I1036">
        <v>198.85849999999999</v>
      </c>
      <c r="J1036">
        <v>-190.87280000000001</v>
      </c>
      <c r="K1036">
        <v>1.117594</v>
      </c>
      <c r="L1036">
        <v>338.4205</v>
      </c>
      <c r="M1036">
        <v>-9.3046819999999999E-3</v>
      </c>
      <c r="N1036">
        <v>-2.57646E-3</v>
      </c>
      <c r="O1036">
        <v>-0.99995339999999999</v>
      </c>
      <c r="P1036">
        <v>-6.7612320000000004E-2</v>
      </c>
      <c r="Q1036">
        <v>0.20605039999999999</v>
      </c>
      <c r="R1036">
        <v>-0.97620300000000004</v>
      </c>
      <c r="S1036">
        <v>-0.16322329999999999</v>
      </c>
      <c r="T1036">
        <v>-2.4510029999999999E-2</v>
      </c>
      <c r="U1036">
        <v>-3.0669249999999999</v>
      </c>
      <c r="V1036">
        <v>5.9755179999999998E-2</v>
      </c>
      <c r="W1036">
        <v>0.20821770000000001</v>
      </c>
      <c r="X1036">
        <v>0.97625550000000005</v>
      </c>
      <c r="Y1036">
        <v>4.3850060000000003E-2</v>
      </c>
      <c r="Z1036">
        <v>5.4056950000000003E-3</v>
      </c>
      <c r="AA1036">
        <v>0.99902349999999995</v>
      </c>
      <c r="AB1036">
        <v>26</v>
      </c>
      <c r="AC1036">
        <v>-7.4370999999999796</v>
      </c>
      <c r="AD1036">
        <v>-1.117599514039</v>
      </c>
      <c r="AE1036">
        <v>-139.56200000000001</v>
      </c>
      <c r="AF1036">
        <v>6.1378012398890798</v>
      </c>
      <c r="AG1036">
        <v>-1.117599514039</v>
      </c>
      <c r="AH1036">
        <v>139.61623071329799</v>
      </c>
      <c r="AI1036">
        <v>90.458188731994994</v>
      </c>
      <c r="AJ1036">
        <v>87.482786814807199</v>
      </c>
      <c r="AK1036">
        <v>139.75554912533201</v>
      </c>
      <c r="AL1036">
        <v>77.982075240314302</v>
      </c>
      <c r="AM1036">
        <v>86.497378438120094</v>
      </c>
      <c r="AN1036">
        <v>1.0000000467051799</v>
      </c>
    </row>
    <row r="1037" spans="1:40" x14ac:dyDescent="0.25">
      <c r="A1037" t="str">
        <f>"20190303170739398"</f>
        <v>20190303170739398</v>
      </c>
      <c r="B1037" t="str">
        <f>"1551604059384248"</f>
        <v>1551604059384248</v>
      </c>
      <c r="C1037" t="s">
        <v>40</v>
      </c>
      <c r="D1037">
        <v>4.8753449999999896</v>
      </c>
      <c r="E1037">
        <v>0.49900870000000003</v>
      </c>
      <c r="F1037" t="s">
        <v>43</v>
      </c>
      <c r="G1037">
        <v>-198.59549999999999</v>
      </c>
      <c r="H1037" s="1">
        <v>-4.3220329999999997E-6</v>
      </c>
      <c r="I1037">
        <v>195.20689999999999</v>
      </c>
      <c r="J1037">
        <v>-190.8792</v>
      </c>
      <c r="K1037">
        <v>1.1175919999999999</v>
      </c>
      <c r="L1037">
        <v>338.13920000000002</v>
      </c>
      <c r="M1037">
        <v>-1.298238E-2</v>
      </c>
      <c r="N1037">
        <v>-2.4784310000000001E-3</v>
      </c>
      <c r="O1037">
        <v>-0.99991260000000004</v>
      </c>
      <c r="P1037">
        <v>-6.7328100000000002E-2</v>
      </c>
      <c r="Q1037">
        <v>0.20564489999999999</v>
      </c>
      <c r="R1037">
        <v>-0.97630779999999995</v>
      </c>
      <c r="S1037">
        <v>-0.16537479999999999</v>
      </c>
      <c r="T1037">
        <v>-2.3932220000000001E-2</v>
      </c>
      <c r="U1037">
        <v>-3.0667719999999998</v>
      </c>
      <c r="V1037">
        <v>5.5871820000000003E-2</v>
      </c>
      <c r="W1037">
        <v>0.20774110000000001</v>
      </c>
      <c r="X1037">
        <v>0.97658690000000004</v>
      </c>
      <c r="Y1037">
        <v>4.087706E-2</v>
      </c>
      <c r="Z1037">
        <v>5.3160560000000004E-3</v>
      </c>
      <c r="AA1037">
        <v>0.99914999999999998</v>
      </c>
      <c r="AB1037">
        <v>26</v>
      </c>
      <c r="AC1037">
        <v>-7.7162999999999897</v>
      </c>
      <c r="AD1037">
        <v>-1.1175963220330001</v>
      </c>
      <c r="AE1037">
        <v>-142.9323</v>
      </c>
      <c r="AF1037">
        <v>5.8596852689955901</v>
      </c>
      <c r="AG1037">
        <v>-1.1175963220330001</v>
      </c>
      <c r="AH1037">
        <v>143.01171260723001</v>
      </c>
      <c r="AI1037">
        <v>90.4473659403819</v>
      </c>
      <c r="AJ1037">
        <v>87.653705854668402</v>
      </c>
      <c r="AK1037">
        <v>143.136071190471</v>
      </c>
      <c r="AL1037">
        <v>78.009992297441897</v>
      </c>
      <c r="AM1037">
        <v>86.725602556242706</v>
      </c>
      <c r="AN1037">
        <v>0.999999999075466</v>
      </c>
    </row>
    <row r="1038" spans="1:40" x14ac:dyDescent="0.25">
      <c r="A1038" t="str">
        <f>"20190303170739442"</f>
        <v>20190303170739442</v>
      </c>
      <c r="B1038" t="str">
        <f>"1551604059433555"</f>
        <v>1551604059433555</v>
      </c>
      <c r="C1038" t="s">
        <v>40</v>
      </c>
      <c r="D1038">
        <v>4.8573139999999997</v>
      </c>
      <c r="E1038">
        <v>0.49893399999999999</v>
      </c>
      <c r="F1038" t="s">
        <v>43</v>
      </c>
      <c r="G1038">
        <v>-198.4879</v>
      </c>
      <c r="H1038" s="1">
        <v>-4.914747E-6</v>
      </c>
      <c r="I1038">
        <v>197.00470000000001</v>
      </c>
      <c r="J1038">
        <v>-190.89349999999999</v>
      </c>
      <c r="K1038">
        <v>1.1175999999999999</v>
      </c>
      <c r="L1038">
        <v>337.62209999999999</v>
      </c>
      <c r="M1038">
        <v>-1.9522709999999999E-2</v>
      </c>
      <c r="N1038">
        <v>-2.345326E-3</v>
      </c>
      <c r="O1038">
        <v>-0.9998068</v>
      </c>
      <c r="P1038">
        <v>-6.8342130000000001E-2</v>
      </c>
      <c r="Q1038">
        <v>0.20763209999999999</v>
      </c>
      <c r="R1038">
        <v>-0.97581709999999999</v>
      </c>
      <c r="S1038">
        <v>-0.16531370000000001</v>
      </c>
      <c r="T1038">
        <v>-2.4282100000000001E-2</v>
      </c>
      <c r="U1038">
        <v>-3.0664370000000001</v>
      </c>
      <c r="V1038">
        <v>5.0499759999999998E-2</v>
      </c>
      <c r="W1038">
        <v>0.20963209999999999</v>
      </c>
      <c r="X1038">
        <v>0.97647539999999999</v>
      </c>
      <c r="Y1038">
        <v>3.4326559999999999E-2</v>
      </c>
      <c r="Z1038">
        <v>5.5640409999999996E-3</v>
      </c>
      <c r="AA1038">
        <v>0.99939520000000004</v>
      </c>
      <c r="AB1038">
        <v>27</v>
      </c>
      <c r="AC1038">
        <v>-7.5944000000000003</v>
      </c>
      <c r="AD1038">
        <v>-1.117604914747</v>
      </c>
      <c r="AE1038">
        <v>-140.61739999999901</v>
      </c>
      <c r="AF1038">
        <v>4.8474073975433898</v>
      </c>
      <c r="AG1038">
        <v>-1.117604914747</v>
      </c>
      <c r="AH1038">
        <v>140.72999996497501</v>
      </c>
      <c r="AI1038">
        <v>90.454734232859806</v>
      </c>
      <c r="AJ1038">
        <v>88.027242061720798</v>
      </c>
      <c r="AK1038">
        <v>140.81789406664601</v>
      </c>
      <c r="AL1038">
        <v>77.899207063662203</v>
      </c>
      <c r="AM1038">
        <v>87.039507928496604</v>
      </c>
      <c r="AN1038">
        <v>1.00000002495781</v>
      </c>
    </row>
    <row r="1039" spans="1:40" x14ac:dyDescent="0.25">
      <c r="A1039" t="str">
        <f>"20190303170739461"</f>
        <v>20190303170739461</v>
      </c>
      <c r="B1039" t="str">
        <f>"1551604059453076"</f>
        <v>1551604059453076</v>
      </c>
      <c r="C1039" t="s">
        <v>40</v>
      </c>
      <c r="D1039">
        <v>5.0175669999999997</v>
      </c>
      <c r="E1039">
        <v>0.49895780000000001</v>
      </c>
      <c r="F1039" t="s">
        <v>58</v>
      </c>
      <c r="G1039">
        <v>-201.04050000000001</v>
      </c>
      <c r="H1039">
        <v>7.9984830000000007E-2</v>
      </c>
      <c r="I1039">
        <v>153.43010000000001</v>
      </c>
      <c r="J1039">
        <v>-190.9015</v>
      </c>
      <c r="K1039">
        <v>1.1176159999999999</v>
      </c>
      <c r="L1039">
        <v>337.3734</v>
      </c>
      <c r="M1039">
        <v>-2.2550000000000001E-2</v>
      </c>
      <c r="N1039">
        <v>-2.3044570000000002E-3</v>
      </c>
      <c r="O1039">
        <v>-0.99974300000000005</v>
      </c>
      <c r="P1039">
        <v>-7.0214009999999993E-2</v>
      </c>
      <c r="Q1039">
        <v>0.20807639999999999</v>
      </c>
      <c r="R1039">
        <v>-0.97558900000000004</v>
      </c>
      <c r="S1039">
        <v>-0.1689148</v>
      </c>
      <c r="T1039">
        <v>-1.7273070000000001E-2</v>
      </c>
      <c r="U1039">
        <v>-3.0662229999999999</v>
      </c>
      <c r="V1039">
        <v>4.9407600000000003E-2</v>
      </c>
      <c r="W1039">
        <v>0.2100456</v>
      </c>
      <c r="X1039">
        <v>0.97644240000000004</v>
      </c>
      <c r="Y1039">
        <v>3.2474980000000001E-2</v>
      </c>
      <c r="Z1039">
        <v>3.3223440000000001E-3</v>
      </c>
      <c r="AA1039">
        <v>0.99946699999999999</v>
      </c>
      <c r="AB1039">
        <v>27</v>
      </c>
      <c r="AC1039">
        <v>-10.138999999999999</v>
      </c>
      <c r="AD1039">
        <v>-1.03763117</v>
      </c>
      <c r="AE1039">
        <v>-183.94329999999999</v>
      </c>
      <c r="AF1039">
        <v>5.9882991467838096</v>
      </c>
      <c r="AG1039">
        <v>-1.03763117</v>
      </c>
      <c r="AH1039">
        <v>184.11931988467899</v>
      </c>
      <c r="AI1039">
        <v>90.3227246269105</v>
      </c>
      <c r="AJ1039">
        <v>88.137167980834604</v>
      </c>
      <c r="AK1039">
        <v>184.219598197133</v>
      </c>
      <c r="AL1039">
        <v>77.874975623395301</v>
      </c>
      <c r="AM1039">
        <v>87.103326624902095</v>
      </c>
      <c r="AN1039">
        <v>1.00000001276744</v>
      </c>
    </row>
    <row r="1040" spans="1:40" x14ac:dyDescent="0.25">
      <c r="A1040" t="str">
        <f>"20190303170739484"</f>
        <v>20190303170739484</v>
      </c>
      <c r="B1040" t="str">
        <f>"1551604059473571"</f>
        <v>1551604059473571</v>
      </c>
      <c r="C1040" t="s">
        <v>40</v>
      </c>
      <c r="D1040">
        <v>4.9034950000000004</v>
      </c>
      <c r="E1040">
        <v>0.49890250000000003</v>
      </c>
      <c r="F1040" t="s">
        <v>58</v>
      </c>
      <c r="G1040">
        <v>-202.65190000000001</v>
      </c>
      <c r="H1040">
        <v>4.7371749999999997E-2</v>
      </c>
      <c r="I1040">
        <v>129.51759999999999</v>
      </c>
      <c r="J1040">
        <v>-190.91079999999999</v>
      </c>
      <c r="K1040">
        <v>1.117658</v>
      </c>
      <c r="L1040">
        <v>337.10430000000002</v>
      </c>
      <c r="M1040">
        <v>-2.5709449999999998E-2</v>
      </c>
      <c r="N1040">
        <v>-2.2741810000000001E-3</v>
      </c>
      <c r="O1040">
        <v>-0.99966699999999997</v>
      </c>
      <c r="P1040">
        <v>-7.164305E-2</v>
      </c>
      <c r="Q1040">
        <v>0.20784549999999999</v>
      </c>
      <c r="R1040">
        <v>-0.97553440000000002</v>
      </c>
      <c r="S1040">
        <v>-0.1733246</v>
      </c>
      <c r="T1040">
        <v>-1.5786649999999999E-2</v>
      </c>
      <c r="U1040">
        <v>-3.065979</v>
      </c>
      <c r="V1040">
        <v>4.7724820000000001E-2</v>
      </c>
      <c r="W1040">
        <v>0.20980080000000001</v>
      </c>
      <c r="X1040">
        <v>0.97657870000000002</v>
      </c>
      <c r="Y1040">
        <v>3.075377E-2</v>
      </c>
      <c r="Z1040">
        <v>2.8685199999999998E-3</v>
      </c>
      <c r="AA1040">
        <v>0.99952289999999999</v>
      </c>
      <c r="AB1040">
        <v>27</v>
      </c>
      <c r="AC1040">
        <v>-11.741099999999999</v>
      </c>
      <c r="AD1040">
        <v>-1.0702862500000001</v>
      </c>
      <c r="AE1040">
        <v>-207.58670000000001</v>
      </c>
      <c r="AF1040">
        <v>6.4000964625845302</v>
      </c>
      <c r="AG1040">
        <v>-1.0702862500000001</v>
      </c>
      <c r="AH1040">
        <v>207.81443471788401</v>
      </c>
      <c r="AI1040">
        <v>90.294942374985297</v>
      </c>
      <c r="AJ1040">
        <v>88.236009695095504</v>
      </c>
      <c r="AK1040">
        <v>207.91571856043299</v>
      </c>
      <c r="AL1040">
        <v>77.889321072056603</v>
      </c>
      <c r="AM1040">
        <v>87.202215170517903</v>
      </c>
      <c r="AN1040">
        <v>0.99999999570918097</v>
      </c>
    </row>
    <row r="1041" spans="1:40" x14ac:dyDescent="0.25">
      <c r="A1041" t="str">
        <f>"20190303170739510"</f>
        <v>20190303170739510</v>
      </c>
      <c r="B1041" t="str">
        <f>"1551604059503828"</f>
        <v>1551604059503828</v>
      </c>
      <c r="C1041" t="s">
        <v>40</v>
      </c>
      <c r="D1041">
        <v>4.9909350000000003</v>
      </c>
      <c r="E1041">
        <v>0.49835679999999999</v>
      </c>
      <c r="F1041" t="s">
        <v>58</v>
      </c>
      <c r="G1041">
        <v>-202.63140000000001</v>
      </c>
      <c r="H1041" s="1">
        <v>-6.4675509999999998E-6</v>
      </c>
      <c r="I1041">
        <v>133.1421</v>
      </c>
      <c r="J1041">
        <v>-190.923</v>
      </c>
      <c r="K1041">
        <v>1.1177410000000001</v>
      </c>
      <c r="L1041">
        <v>336.77850000000001</v>
      </c>
      <c r="M1041">
        <v>-2.9309970000000001E-2</v>
      </c>
      <c r="N1041">
        <v>-2.2525589999999999E-3</v>
      </c>
      <c r="O1041">
        <v>-0.99956809999999996</v>
      </c>
      <c r="P1041">
        <v>-7.2913350000000002E-2</v>
      </c>
      <c r="Q1041">
        <v>0.20648040000000001</v>
      </c>
      <c r="R1041">
        <v>-0.97573080000000001</v>
      </c>
      <c r="S1041">
        <v>-0.176178</v>
      </c>
      <c r="T1041">
        <v>-1.680017E-2</v>
      </c>
      <c r="U1041">
        <v>-3.0658569999999998</v>
      </c>
      <c r="V1041">
        <v>4.5411670000000001E-2</v>
      </c>
      <c r="W1041">
        <v>0.20843880000000001</v>
      </c>
      <c r="X1041">
        <v>0.97698059999999998</v>
      </c>
      <c r="Y1041">
        <v>2.8082920000000001E-2</v>
      </c>
      <c r="Z1041">
        <v>3.2199120000000001E-3</v>
      </c>
      <c r="AA1041">
        <v>0.99960039999999994</v>
      </c>
      <c r="AB1041">
        <v>27</v>
      </c>
      <c r="AC1041">
        <v>-11.708399999999999</v>
      </c>
      <c r="AD1041">
        <v>-1.117747467551</v>
      </c>
      <c r="AE1041">
        <v>-203.63640000000001</v>
      </c>
      <c r="AF1041">
        <v>5.7346071771249703</v>
      </c>
      <c r="AG1041">
        <v>-1.117747467551</v>
      </c>
      <c r="AH1041">
        <v>203.88596251284301</v>
      </c>
      <c r="AI1041">
        <v>90.3139806874957</v>
      </c>
      <c r="AJ1041">
        <v>88.388892586726996</v>
      </c>
      <c r="AK1041">
        <v>203.96965653906901</v>
      </c>
      <c r="AL1041">
        <v>77.969122667462798</v>
      </c>
      <c r="AM1041">
        <v>87.338713154038103</v>
      </c>
      <c r="AN1041">
        <v>1.0000000229469901</v>
      </c>
    </row>
    <row r="1042" spans="1:40" x14ac:dyDescent="0.25">
      <c r="A1042" t="str">
        <f>"20190303170739531"</f>
        <v>20190303170739531</v>
      </c>
      <c r="B1042" t="str">
        <f>"1551604059523347"</f>
        <v>1551604059523347</v>
      </c>
      <c r="C1042" t="s">
        <v>40</v>
      </c>
      <c r="D1042">
        <v>5.0045419999999998</v>
      </c>
      <c r="E1042">
        <v>0.46004349999999999</v>
      </c>
      <c r="F1042" t="s">
        <v>43</v>
      </c>
      <c r="G1042">
        <v>-199.51050000000001</v>
      </c>
      <c r="H1042" s="1">
        <v>-4.9407699999999998E-6</v>
      </c>
      <c r="I1042">
        <v>186.54810000000001</v>
      </c>
      <c r="J1042">
        <v>-190.9332</v>
      </c>
      <c r="K1042">
        <v>1.1178410000000001</v>
      </c>
      <c r="L1042">
        <v>336.52449999999999</v>
      </c>
      <c r="M1042">
        <v>-3.190051E-2</v>
      </c>
      <c r="N1042">
        <v>-2.2471610000000001E-3</v>
      </c>
      <c r="O1042">
        <v>-0.99948879999999996</v>
      </c>
      <c r="P1042">
        <v>-7.3109660000000007E-2</v>
      </c>
      <c r="Q1042">
        <v>0.2052524</v>
      </c>
      <c r="R1042">
        <v>-0.97597520000000004</v>
      </c>
      <c r="S1042">
        <v>-0.17527770000000001</v>
      </c>
      <c r="T1042">
        <v>-2.2814040000000001E-2</v>
      </c>
      <c r="U1042">
        <v>-3.0663149999999999</v>
      </c>
      <c r="V1042">
        <v>4.3004979999999998E-2</v>
      </c>
      <c r="W1042">
        <v>0.20723079999999999</v>
      </c>
      <c r="X1042">
        <v>0.97734639999999995</v>
      </c>
      <c r="Y1042">
        <v>2.5190500000000001E-2</v>
      </c>
      <c r="Z1042">
        <v>5.1820169999999997E-3</v>
      </c>
      <c r="AA1042">
        <v>0.99966929999999998</v>
      </c>
      <c r="AB1042">
        <v>28</v>
      </c>
      <c r="AC1042">
        <v>-8.5772999999999993</v>
      </c>
      <c r="AD1042">
        <v>-1.1178459407700001</v>
      </c>
      <c r="AE1042">
        <v>-149.97639999999899</v>
      </c>
      <c r="AF1042">
        <v>3.7883903778932302</v>
      </c>
      <c r="AG1042">
        <v>-1.1178459407700001</v>
      </c>
      <c r="AH1042">
        <v>150.16537476750199</v>
      </c>
      <c r="AI1042">
        <v>90.426371928892195</v>
      </c>
      <c r="AJ1042">
        <v>88.554841633060903</v>
      </c>
      <c r="AK1042">
        <v>150.21731345043801</v>
      </c>
      <c r="AL1042">
        <v>78.039880889747195</v>
      </c>
      <c r="AM1042">
        <v>87.480508994072494</v>
      </c>
      <c r="AN1042">
        <v>1.0000000091832</v>
      </c>
    </row>
    <row r="1043" spans="1:40" x14ac:dyDescent="0.25">
      <c r="A1043" t="str">
        <f>"20190303170739552"</f>
        <v>20190303170739552</v>
      </c>
      <c r="B1043" t="str">
        <f>"1551604059543844"</f>
        <v>1551604059543844</v>
      </c>
      <c r="C1043" t="s">
        <v>40</v>
      </c>
      <c r="D1043">
        <v>4.9998769999999997</v>
      </c>
      <c r="E1043">
        <v>0.45215840000000002</v>
      </c>
      <c r="F1043" t="s">
        <v>45</v>
      </c>
      <c r="G1043">
        <v>0</v>
      </c>
      <c r="H1043">
        <v>0</v>
      </c>
      <c r="I1043">
        <v>0</v>
      </c>
      <c r="J1043">
        <v>-190.9444</v>
      </c>
      <c r="K1043">
        <v>1.11795</v>
      </c>
      <c r="L1043">
        <v>336.25749999999999</v>
      </c>
      <c r="M1043">
        <v>-3.4446520000000001E-2</v>
      </c>
      <c r="N1043">
        <v>-2.2503839999999998E-3</v>
      </c>
      <c r="O1043">
        <v>-0.99940410000000002</v>
      </c>
      <c r="P1043">
        <v>-7.551745E-2</v>
      </c>
      <c r="Q1043">
        <v>0.20528920000000001</v>
      </c>
      <c r="R1043">
        <v>-0.97578410000000004</v>
      </c>
      <c r="S1043">
        <v>0.12805179999999999</v>
      </c>
      <c r="T1043">
        <v>4.6015980000000001E-3</v>
      </c>
      <c r="U1043">
        <v>-3.0824889999999998</v>
      </c>
      <c r="V1043">
        <v>4.2867139999999998E-2</v>
      </c>
      <c r="W1043">
        <v>0.20728350000000001</v>
      </c>
      <c r="X1043">
        <v>0.97734129999999997</v>
      </c>
      <c r="Y1043">
        <v>-7.5897809999999996E-2</v>
      </c>
      <c r="Z1043">
        <v>-3.740681E-3</v>
      </c>
      <c r="AA1043">
        <v>0.99710860000000001</v>
      </c>
      <c r="AB1043">
        <v>28</v>
      </c>
      <c r="AC1043">
        <v>0.12805179999999999</v>
      </c>
      <c r="AD1043">
        <v>4.6015980000000001E-3</v>
      </c>
      <c r="AE1043">
        <v>-3.0824889999999998</v>
      </c>
      <c r="AF1043">
        <v>-0.23415656359697801</v>
      </c>
      <c r="AG1043">
        <v>4.6015980000000001E-3</v>
      </c>
      <c r="AH1043">
        <v>3.0762418716774702</v>
      </c>
      <c r="AI1043">
        <v>89.914541354309605</v>
      </c>
      <c r="AJ1043">
        <v>94.352831274229302</v>
      </c>
      <c r="AK1043">
        <v>3.08514416584402</v>
      </c>
      <c r="AL1043">
        <v>78.036794622394297</v>
      </c>
      <c r="AM1043">
        <v>87.488561047613402</v>
      </c>
      <c r="AN1043">
        <v>1.0000000288748501</v>
      </c>
    </row>
    <row r="1044" spans="1:40" x14ac:dyDescent="0.25">
      <c r="A1044" t="str">
        <f>"20190303170739574"</f>
        <v>20190303170739574</v>
      </c>
      <c r="B1044" t="str">
        <f>"1551604059563363"</f>
        <v>1551604059563363</v>
      </c>
      <c r="C1044" t="s">
        <v>40</v>
      </c>
      <c r="D1044">
        <v>5.0108759999999997</v>
      </c>
      <c r="E1044">
        <v>0.449405</v>
      </c>
      <c r="F1044" t="s">
        <v>53</v>
      </c>
      <c r="G1044">
        <v>-167.02250000000001</v>
      </c>
      <c r="H1044">
        <v>3.7740330000000002</v>
      </c>
      <c r="I1044">
        <v>-65.389949999999999</v>
      </c>
      <c r="J1044">
        <v>-190.9563</v>
      </c>
      <c r="K1044">
        <v>1.1180779999999999</v>
      </c>
      <c r="L1044">
        <v>335.98419999999999</v>
      </c>
      <c r="M1044">
        <v>-3.6846089999999998E-2</v>
      </c>
      <c r="N1044">
        <v>-2.2607479999999999E-3</v>
      </c>
      <c r="O1044">
        <v>-0.99931859999999995</v>
      </c>
      <c r="P1044">
        <v>-7.8503039999999996E-2</v>
      </c>
      <c r="Q1044">
        <v>0.2051239</v>
      </c>
      <c r="R1044">
        <v>-0.97558270000000002</v>
      </c>
      <c r="S1044">
        <v>0.18370059999999999</v>
      </c>
      <c r="T1044">
        <v>2.0396350000000001E-2</v>
      </c>
      <c r="U1044">
        <v>-3.08432</v>
      </c>
      <c r="V1044">
        <v>4.3444440000000001E-2</v>
      </c>
      <c r="W1044">
        <v>0.20713889999999999</v>
      </c>
      <c r="X1044">
        <v>0.97734639999999995</v>
      </c>
      <c r="Y1044">
        <v>-9.6192929999999996E-2</v>
      </c>
      <c r="Z1044">
        <v>-8.8480299999999998E-3</v>
      </c>
      <c r="AA1044">
        <v>0.99532339999999997</v>
      </c>
      <c r="AB1044">
        <v>28</v>
      </c>
      <c r="AC1044">
        <v>23.933799999999898</v>
      </c>
      <c r="AD1044">
        <v>2.6559550000000001</v>
      </c>
      <c r="AE1044">
        <v>-401.37414999999999</v>
      </c>
      <c r="AF1044">
        <v>-38.704961790591099</v>
      </c>
      <c r="AG1044">
        <v>2.6559550000000001</v>
      </c>
      <c r="AH1044">
        <v>400.20226602659</v>
      </c>
      <c r="AI1044">
        <v>89.621526184992902</v>
      </c>
      <c r="AJ1044">
        <v>95.524094903575701</v>
      </c>
      <c r="AK1044">
        <v>402.07832806182302</v>
      </c>
      <c r="AL1044">
        <v>78.045262614325694</v>
      </c>
      <c r="AM1044">
        <v>87.454796464039205</v>
      </c>
      <c r="AN1044">
        <v>0.99999996442654104</v>
      </c>
    </row>
    <row r="1045" spans="1:40" x14ac:dyDescent="0.25">
      <c r="A1045" t="str">
        <f>"20190303170739601"</f>
        <v>20190303170739601</v>
      </c>
      <c r="B1045" t="str">
        <f>"1551604059593619"</f>
        <v>1551604059593619</v>
      </c>
      <c r="C1045" t="s">
        <v>40</v>
      </c>
      <c r="D1045">
        <v>4.9793609999999999</v>
      </c>
      <c r="E1045">
        <v>0.4474804</v>
      </c>
      <c r="F1045" t="s">
        <v>52</v>
      </c>
      <c r="G1045">
        <v>-168.3511</v>
      </c>
      <c r="H1045">
        <v>3.9118930000000001</v>
      </c>
      <c r="I1045">
        <v>-17.389949999999999</v>
      </c>
      <c r="J1045">
        <v>-190.97149999999999</v>
      </c>
      <c r="K1045">
        <v>1.118242</v>
      </c>
      <c r="L1045">
        <v>335.65</v>
      </c>
      <c r="M1045">
        <v>-3.9459500000000002E-2</v>
      </c>
      <c r="N1045">
        <v>-2.2828060000000001E-3</v>
      </c>
      <c r="O1045">
        <v>-0.99921879999999996</v>
      </c>
      <c r="P1045">
        <v>-8.2034860000000001E-2</v>
      </c>
      <c r="Q1045">
        <v>0.20475119999999999</v>
      </c>
      <c r="R1045">
        <v>-0.97537050000000003</v>
      </c>
      <c r="S1045">
        <v>0.197403</v>
      </c>
      <c r="T1045">
        <v>2.4397249999999999E-2</v>
      </c>
      <c r="U1045">
        <v>-3.0858759999999998</v>
      </c>
      <c r="V1045">
        <v>4.4335630000000001E-2</v>
      </c>
      <c r="W1045">
        <v>0.20680200000000001</v>
      </c>
      <c r="X1045">
        <v>0.97737779999999996</v>
      </c>
      <c r="Y1045">
        <v>-0.1031661</v>
      </c>
      <c r="Z1045">
        <v>-1.015308E-2</v>
      </c>
      <c r="AA1045">
        <v>0.9946123</v>
      </c>
      <c r="AB1045">
        <v>28</v>
      </c>
      <c r="AC1045">
        <v>22.620399999999901</v>
      </c>
      <c r="AD1045">
        <v>2.7936509999999899</v>
      </c>
      <c r="AE1045">
        <v>-353.03994999999998</v>
      </c>
      <c r="AF1045">
        <v>-36.531317239502897</v>
      </c>
      <c r="AG1045">
        <v>2.7936509999999899</v>
      </c>
      <c r="AH1045">
        <v>351.85045707099601</v>
      </c>
      <c r="AI1045">
        <v>89.547520052130807</v>
      </c>
      <c r="AJ1045">
        <v>95.927567903963904</v>
      </c>
      <c r="AK1045">
        <v>353.75285972869801</v>
      </c>
      <c r="AL1045">
        <v>78.064993687186998</v>
      </c>
      <c r="AM1045">
        <v>87.402739984195705</v>
      </c>
      <c r="AN1045">
        <v>1.00000003961216</v>
      </c>
    </row>
    <row r="1046" spans="1:40" x14ac:dyDescent="0.25">
      <c r="A1046" t="str">
        <f>"20190303170739642"</f>
        <v>20190303170739642</v>
      </c>
      <c r="B1046" t="str">
        <f>"1551604059633636"</f>
        <v>1551604059633636</v>
      </c>
      <c r="C1046" t="s">
        <v>40</v>
      </c>
      <c r="D1046">
        <v>4.9846450000000004</v>
      </c>
      <c r="E1046">
        <v>0.44639380000000001</v>
      </c>
      <c r="F1046" t="s">
        <v>52</v>
      </c>
      <c r="G1046">
        <v>-167.8603</v>
      </c>
      <c r="H1046">
        <v>4.1104459999999996</v>
      </c>
      <c r="I1046">
        <v>-17.389949999999999</v>
      </c>
      <c r="J1046">
        <v>-190.99639999999999</v>
      </c>
      <c r="K1046">
        <v>1.118576</v>
      </c>
      <c r="L1046">
        <v>335.12119999999999</v>
      </c>
      <c r="M1046">
        <v>-4.278088E-2</v>
      </c>
      <c r="N1046">
        <v>-2.3363429999999998E-3</v>
      </c>
      <c r="O1046">
        <v>-0.99908169999999996</v>
      </c>
      <c r="P1046">
        <v>-8.5417969999999996E-2</v>
      </c>
      <c r="Q1046">
        <v>0.2052388</v>
      </c>
      <c r="R1046">
        <v>-0.97497730000000005</v>
      </c>
      <c r="S1046">
        <v>0.2021027</v>
      </c>
      <c r="T1046">
        <v>2.6166080000000001E-2</v>
      </c>
      <c r="U1046">
        <v>-3.08725</v>
      </c>
      <c r="V1046">
        <v>4.4312749999999998E-2</v>
      </c>
      <c r="W1046">
        <v>0.2073777</v>
      </c>
      <c r="X1046">
        <v>0.97725680000000004</v>
      </c>
      <c r="Y1046">
        <v>-0.10795059999999999</v>
      </c>
      <c r="Z1046">
        <v>-1.0769310000000001E-2</v>
      </c>
      <c r="AA1046">
        <v>0.99409789999999998</v>
      </c>
      <c r="AB1046">
        <v>28</v>
      </c>
      <c r="AC1046">
        <v>23.136099999999999</v>
      </c>
      <c r="AD1046">
        <v>2.99187</v>
      </c>
      <c r="AE1046">
        <v>-352.51114999999999</v>
      </c>
      <c r="AF1046">
        <v>-38.192957972118997</v>
      </c>
      <c r="AG1046">
        <v>2.99187</v>
      </c>
      <c r="AH1046">
        <v>351.17344334758297</v>
      </c>
      <c r="AI1046">
        <v>89.514733976738697</v>
      </c>
      <c r="AJ1046">
        <v>96.206984337717699</v>
      </c>
      <c r="AK1046">
        <v>353.25690458553601</v>
      </c>
      <c r="AL1046">
        <v>78.031277026305105</v>
      </c>
      <c r="AM1046">
        <v>87.403757524488796</v>
      </c>
      <c r="AN1046">
        <v>0.99999999170804599</v>
      </c>
    </row>
    <row r="1047" spans="1:40" x14ac:dyDescent="0.25">
      <c r="A1047" t="str">
        <f>"20190303170739663"</f>
        <v>20190303170739663</v>
      </c>
      <c r="B1047" t="str">
        <f>"1551604059653155"</f>
        <v>1551604059653155</v>
      </c>
      <c r="C1047" t="s">
        <v>40</v>
      </c>
      <c r="D1047">
        <v>4.9993359999999996</v>
      </c>
      <c r="E1047">
        <v>0.44597569999999997</v>
      </c>
      <c r="F1047" t="s">
        <v>52</v>
      </c>
      <c r="G1047">
        <v>-168.3159</v>
      </c>
      <c r="H1047">
        <v>4.5871909999999998</v>
      </c>
      <c r="I1047">
        <v>-17.389949999999999</v>
      </c>
      <c r="J1047">
        <v>-191.00989999999999</v>
      </c>
      <c r="K1047">
        <v>1.118771</v>
      </c>
      <c r="L1047">
        <v>334.84230000000002</v>
      </c>
      <c r="M1047">
        <v>-4.4120720000000002E-2</v>
      </c>
      <c r="N1047">
        <v>-2.3710469999999998E-3</v>
      </c>
      <c r="O1047">
        <v>-0.99902360000000001</v>
      </c>
      <c r="P1047">
        <v>-8.7334990000000001E-2</v>
      </c>
      <c r="Q1047">
        <v>0.2057484</v>
      </c>
      <c r="R1047">
        <v>-0.97470049999999997</v>
      </c>
      <c r="S1047">
        <v>0.19868469999999999</v>
      </c>
      <c r="T1047">
        <v>3.0385490000000001E-2</v>
      </c>
      <c r="U1047">
        <v>-3.0880429999999999</v>
      </c>
      <c r="V1047">
        <v>4.4829689999999998E-2</v>
      </c>
      <c r="W1047">
        <v>0.20794119999999999</v>
      </c>
      <c r="X1047">
        <v>0.97711349999999997</v>
      </c>
      <c r="Y1047">
        <v>-0.10817069999999999</v>
      </c>
      <c r="Z1047">
        <v>-1.216016E-2</v>
      </c>
      <c r="AA1047">
        <v>0.994058</v>
      </c>
      <c r="AB1047">
        <v>28</v>
      </c>
      <c r="AC1047">
        <v>22.6939999999999</v>
      </c>
      <c r="AD1047">
        <v>3.4684200000000001</v>
      </c>
      <c r="AE1047">
        <v>-352.23225000000002</v>
      </c>
      <c r="AF1047">
        <v>-38.208992040089001</v>
      </c>
      <c r="AG1047">
        <v>3.4684200000000001</v>
      </c>
      <c r="AH1047">
        <v>350.85408949191998</v>
      </c>
      <c r="AI1047">
        <v>89.4369413754128</v>
      </c>
      <c r="AJ1047">
        <v>96.215177635946503</v>
      </c>
      <c r="AK1047">
        <v>352.94553279963702</v>
      </c>
      <c r="AL1047">
        <v>77.998271687548097</v>
      </c>
      <c r="AM1047">
        <v>87.373128010725495</v>
      </c>
      <c r="AN1047">
        <v>1.0000000178225901</v>
      </c>
    </row>
    <row r="1048" spans="1:40" x14ac:dyDescent="0.25">
      <c r="A1048" t="str">
        <f>"20190303170739686"</f>
        <v>20190303170739686</v>
      </c>
      <c r="B1048" t="str">
        <f>"1551604059673651"</f>
        <v>1551604059673651</v>
      </c>
      <c r="C1048" t="s">
        <v>40</v>
      </c>
      <c r="D1048">
        <v>4.9697399999999998</v>
      </c>
      <c r="E1048">
        <v>0.4455694</v>
      </c>
      <c r="F1048" t="s">
        <v>52</v>
      </c>
      <c r="G1048">
        <v>-168.45050000000001</v>
      </c>
      <c r="H1048">
        <v>4.946612</v>
      </c>
      <c r="I1048">
        <v>-19.013069999999999</v>
      </c>
      <c r="J1048">
        <v>-191.024</v>
      </c>
      <c r="K1048">
        <v>1.1189899999999999</v>
      </c>
      <c r="L1048">
        <v>334.5514</v>
      </c>
      <c r="M1048">
        <v>-4.5206030000000001E-2</v>
      </c>
      <c r="N1048">
        <v>-2.4114710000000001E-3</v>
      </c>
      <c r="O1048">
        <v>-0.99897499999999995</v>
      </c>
      <c r="P1048">
        <v>-8.8579859999999996E-2</v>
      </c>
      <c r="Q1048">
        <v>0.20525099999999999</v>
      </c>
      <c r="R1048">
        <v>-0.97469289999999997</v>
      </c>
      <c r="S1048">
        <v>0.1968994</v>
      </c>
      <c r="T1048">
        <v>3.3409599999999998E-2</v>
      </c>
      <c r="U1048">
        <v>-3.08847</v>
      </c>
      <c r="V1048">
        <v>4.4898460000000001E-2</v>
      </c>
      <c r="W1048">
        <v>0.20750689999999999</v>
      </c>
      <c r="X1048">
        <v>0.97720269999999998</v>
      </c>
      <c r="Y1048">
        <v>-0.108669</v>
      </c>
      <c r="Z1048">
        <v>-1.3172120000000001E-2</v>
      </c>
      <c r="AA1048">
        <v>0.9939907</v>
      </c>
      <c r="AB1048">
        <v>29</v>
      </c>
      <c r="AC1048">
        <v>22.573499999999999</v>
      </c>
      <c r="AD1048">
        <v>3.8276219999999999</v>
      </c>
      <c r="AE1048">
        <v>-353.56446999999997</v>
      </c>
      <c r="AF1048">
        <v>-38.529214330324301</v>
      </c>
      <c r="AG1048">
        <v>3.8276219999999999</v>
      </c>
      <c r="AH1048">
        <v>352.14144990438302</v>
      </c>
      <c r="AI1048">
        <v>89.380938920968006</v>
      </c>
      <c r="AJ1048">
        <v>96.244124022496706</v>
      </c>
      <c r="AK1048">
        <v>354.26367551281299</v>
      </c>
      <c r="AL1048">
        <v>78.023710525164304</v>
      </c>
      <c r="AM1048">
        <v>87.369343786406205</v>
      </c>
      <c r="AN1048">
        <v>1.0000000510726299</v>
      </c>
    </row>
    <row r="1049" spans="1:40" x14ac:dyDescent="0.25">
      <c r="A1049" t="str">
        <f>"20190303170739711"</f>
        <v>20190303170739711</v>
      </c>
      <c r="B1049" t="str">
        <f>"1551604059702932"</f>
        <v>1551604059702932</v>
      </c>
      <c r="C1049" t="s">
        <v>40</v>
      </c>
      <c r="D1049">
        <v>4.9836</v>
      </c>
      <c r="E1049">
        <v>0.44480140000000001</v>
      </c>
      <c r="F1049" t="s">
        <v>52</v>
      </c>
      <c r="G1049">
        <v>-168.45050000000001</v>
      </c>
      <c r="H1049">
        <v>4.9668060000000001</v>
      </c>
      <c r="I1049">
        <v>-19.200510000000001</v>
      </c>
      <c r="J1049">
        <v>-191.03909999999999</v>
      </c>
      <c r="K1049">
        <v>1.119245</v>
      </c>
      <c r="L1049">
        <v>334.23820000000001</v>
      </c>
      <c r="M1049">
        <v>-4.5980100000000003E-2</v>
      </c>
      <c r="N1049">
        <v>-2.4634739999999998E-3</v>
      </c>
      <c r="O1049">
        <v>-0.99893949999999998</v>
      </c>
      <c r="P1049">
        <v>-8.8184020000000002E-2</v>
      </c>
      <c r="Q1049">
        <v>0.20356009999999999</v>
      </c>
      <c r="R1049">
        <v>-0.97508340000000004</v>
      </c>
      <c r="S1049">
        <v>0.19709779999999999</v>
      </c>
      <c r="T1049">
        <v>3.3596750000000002E-2</v>
      </c>
      <c r="U1049">
        <v>-3.0887449999999999</v>
      </c>
      <c r="V1049">
        <v>4.3594519999999998E-2</v>
      </c>
      <c r="W1049">
        <v>0.20589779999999999</v>
      </c>
      <c r="X1049">
        <v>0.97760190000000002</v>
      </c>
      <c r="Y1049">
        <v>-0.1094972</v>
      </c>
      <c r="Z1049">
        <v>-1.3282459999999999E-2</v>
      </c>
      <c r="AA1049">
        <v>0.99389830000000001</v>
      </c>
      <c r="AB1049">
        <v>29</v>
      </c>
      <c r="AC1049">
        <v>22.5885999999999</v>
      </c>
      <c r="AD1049">
        <v>3.8475609999999998</v>
      </c>
      <c r="AE1049">
        <v>-353.43871000000001</v>
      </c>
      <c r="AF1049">
        <v>-38.8113220660479</v>
      </c>
      <c r="AG1049">
        <v>3.8475609999999998</v>
      </c>
      <c r="AH1049">
        <v>351.98472359663299</v>
      </c>
      <c r="AI1049">
        <v>89.3774947141262</v>
      </c>
      <c r="AJ1049">
        <v>96.2922559339533</v>
      </c>
      <c r="AK1049">
        <v>354.13891072792501</v>
      </c>
      <c r="AL1049">
        <v>78.117938713213505</v>
      </c>
      <c r="AM1049">
        <v>87.446682221573695</v>
      </c>
      <c r="AN1049">
        <v>0.99999993055123704</v>
      </c>
    </row>
    <row r="1050" spans="1:40" x14ac:dyDescent="0.25">
      <c r="A1050" t="str">
        <f>"20190303170739729"</f>
        <v>20190303170739729</v>
      </c>
      <c r="B1050" t="str">
        <f>"1551604059723427"</f>
        <v>1551604059723427</v>
      </c>
      <c r="C1050" t="s">
        <v>40</v>
      </c>
      <c r="D1050">
        <v>4.9894740000000004</v>
      </c>
      <c r="E1050">
        <v>0.4444111</v>
      </c>
      <c r="F1050" t="s">
        <v>52</v>
      </c>
      <c r="G1050">
        <v>-167.82759999999999</v>
      </c>
      <c r="H1050">
        <v>4.478078</v>
      </c>
      <c r="I1050">
        <v>-17.389949999999999</v>
      </c>
      <c r="J1050">
        <v>-191.0514</v>
      </c>
      <c r="K1050">
        <v>1.119459</v>
      </c>
      <c r="L1050">
        <v>333.98270000000002</v>
      </c>
      <c r="M1050">
        <v>-4.632265E-2</v>
      </c>
      <c r="N1050">
        <v>-2.5104620000000002E-3</v>
      </c>
      <c r="O1050">
        <v>-0.99892349999999996</v>
      </c>
      <c r="P1050">
        <v>-8.6631040000000006E-2</v>
      </c>
      <c r="Q1050">
        <v>0.202901</v>
      </c>
      <c r="R1050">
        <v>-0.97535970000000005</v>
      </c>
      <c r="S1050">
        <v>0.20390320000000001</v>
      </c>
      <c r="T1050">
        <v>2.950585E-2</v>
      </c>
      <c r="U1050">
        <v>-3.0888979999999999</v>
      </c>
      <c r="V1050">
        <v>4.1588350000000003E-2</v>
      </c>
      <c r="W1050">
        <v>0.20530979999999999</v>
      </c>
      <c r="X1050">
        <v>0.97781300000000004</v>
      </c>
      <c r="Y1050">
        <v>-0.112016</v>
      </c>
      <c r="Z1050">
        <v>-1.2010170000000001E-2</v>
      </c>
      <c r="AA1050">
        <v>0.99363380000000001</v>
      </c>
      <c r="AB1050">
        <v>29</v>
      </c>
      <c r="AC1050">
        <v>23.223800000000001</v>
      </c>
      <c r="AD1050">
        <v>3.358619</v>
      </c>
      <c r="AE1050">
        <v>-351.37265000000002</v>
      </c>
      <c r="AF1050">
        <v>-39.471840635994504</v>
      </c>
      <c r="AG1050">
        <v>3.358619</v>
      </c>
      <c r="AH1050">
        <v>349.887839580334</v>
      </c>
      <c r="AI1050">
        <v>89.453493646500505</v>
      </c>
      <c r="AJ1050">
        <v>96.436486468662494</v>
      </c>
      <c r="AK1050">
        <v>352.12328353997498</v>
      </c>
      <c r="AL1050">
        <v>78.152364763880499</v>
      </c>
      <c r="AM1050">
        <v>87.5645633048062</v>
      </c>
      <c r="AN1050">
        <v>0.99999998390038103</v>
      </c>
    </row>
    <row r="1051" spans="1:40" x14ac:dyDescent="0.25">
      <c r="A1051" t="str">
        <f>"20190303170739752"</f>
        <v>20190303170739752</v>
      </c>
      <c r="B1051" t="str">
        <f>"1551604059742949"</f>
        <v>1551604059742949</v>
      </c>
      <c r="C1051" t="s">
        <v>40</v>
      </c>
      <c r="D1051">
        <v>4.9552889999999996</v>
      </c>
      <c r="E1051">
        <v>0.44408130000000001</v>
      </c>
      <c r="F1051" t="s">
        <v>52</v>
      </c>
      <c r="G1051">
        <v>-167.0316</v>
      </c>
      <c r="H1051">
        <v>4.2436809999999996</v>
      </c>
      <c r="I1051">
        <v>-17.389949999999999</v>
      </c>
      <c r="J1051">
        <v>-191.06569999999999</v>
      </c>
      <c r="K1051">
        <v>1.1196699999999999</v>
      </c>
      <c r="L1051">
        <v>333.68049999999999</v>
      </c>
      <c r="M1051">
        <v>-4.6460920000000003E-2</v>
      </c>
      <c r="N1051">
        <v>-2.566764E-3</v>
      </c>
      <c r="O1051">
        <v>-0.9989169</v>
      </c>
      <c r="P1051">
        <v>-8.7224510000000005E-2</v>
      </c>
      <c r="Q1051">
        <v>0.2027911</v>
      </c>
      <c r="R1051">
        <v>-0.97532980000000002</v>
      </c>
      <c r="S1051">
        <v>0.21115110000000001</v>
      </c>
      <c r="T1051">
        <v>2.746403E-2</v>
      </c>
      <c r="U1051">
        <v>-3.0888059999999999</v>
      </c>
      <c r="V1051">
        <v>4.1938900000000001E-2</v>
      </c>
      <c r="W1051">
        <v>0.20527619999999999</v>
      </c>
      <c r="X1051">
        <v>0.97780509999999998</v>
      </c>
      <c r="Y1051">
        <v>-0.1144767</v>
      </c>
      <c r="Z1051">
        <v>-1.140788E-2</v>
      </c>
      <c r="AA1051">
        <v>0.99336049999999998</v>
      </c>
      <c r="AB1051">
        <v>29</v>
      </c>
      <c r="AC1051">
        <v>24.034099999999899</v>
      </c>
      <c r="AD1051">
        <v>3.1240109999999901</v>
      </c>
      <c r="AE1051">
        <v>-351.07044999999999</v>
      </c>
      <c r="AF1051">
        <v>-40.316076487838799</v>
      </c>
      <c r="AG1051">
        <v>3.1240109999999901</v>
      </c>
      <c r="AH1051">
        <v>349.54713018489502</v>
      </c>
      <c r="AI1051">
        <v>89.491315621723999</v>
      </c>
      <c r="AJ1051">
        <v>96.579310418791707</v>
      </c>
      <c r="AK1051">
        <v>351.878305225823</v>
      </c>
      <c r="AL1051">
        <v>78.154332011587002</v>
      </c>
      <c r="AM1051">
        <v>87.544040116649995</v>
      </c>
      <c r="AN1051">
        <v>1.0000000016028201</v>
      </c>
    </row>
    <row r="1052" spans="1:40" x14ac:dyDescent="0.25">
      <c r="A1052" t="str">
        <f>"20190303170739776"</f>
        <v>20190303170739776</v>
      </c>
      <c r="B1052" t="str">
        <f>"1551604059763443"</f>
        <v>1551604059763443</v>
      </c>
      <c r="C1052" t="s">
        <v>40</v>
      </c>
      <c r="D1052">
        <v>4.9539679999999997</v>
      </c>
      <c r="E1052">
        <v>0.44367329999999999</v>
      </c>
      <c r="F1052" t="s">
        <v>52</v>
      </c>
      <c r="G1052">
        <v>-166.90020000000001</v>
      </c>
      <c r="H1052">
        <v>4.3351739999999896</v>
      </c>
      <c r="I1052">
        <v>-17.389949999999999</v>
      </c>
      <c r="J1052">
        <v>-191.0796</v>
      </c>
      <c r="K1052">
        <v>1.119861</v>
      </c>
      <c r="L1052">
        <v>333.38170000000002</v>
      </c>
      <c r="M1052">
        <v>-4.6359450000000003E-2</v>
      </c>
      <c r="N1052">
        <v>-2.6253470000000001E-3</v>
      </c>
      <c r="O1052">
        <v>-0.99892150000000002</v>
      </c>
      <c r="P1052">
        <v>-8.8370470000000007E-2</v>
      </c>
      <c r="Q1052">
        <v>0.20313500000000001</v>
      </c>
      <c r="R1052">
        <v>-0.97515499999999999</v>
      </c>
      <c r="S1052">
        <v>0.21263119999999999</v>
      </c>
      <c r="T1052">
        <v>2.829301E-2</v>
      </c>
      <c r="U1052">
        <v>-3.0890499999999999</v>
      </c>
      <c r="V1052">
        <v>4.3098900000000002E-2</v>
      </c>
      <c r="W1052">
        <v>0.20569570000000001</v>
      </c>
      <c r="X1052">
        <v>0.97766649999999999</v>
      </c>
      <c r="Y1052">
        <v>-0.114843899999999</v>
      </c>
      <c r="Z1052">
        <v>-1.1732299999999999E-2</v>
      </c>
      <c r="AA1052">
        <v>0.99331429999999998</v>
      </c>
      <c r="AB1052">
        <v>29</v>
      </c>
      <c r="AC1052">
        <v>24.179399999999902</v>
      </c>
      <c r="AD1052">
        <v>3.2153129999999899</v>
      </c>
      <c r="AE1052">
        <v>-350.77165000000002</v>
      </c>
      <c r="AF1052">
        <v>-40.411657983279802</v>
      </c>
      <c r="AG1052">
        <v>3.2153129999999899</v>
      </c>
      <c r="AH1052">
        <v>349.24435263162201</v>
      </c>
      <c r="AI1052">
        <v>89.476018138103299</v>
      </c>
      <c r="AJ1052">
        <v>96.6004383437147</v>
      </c>
      <c r="AK1052">
        <v>351.58933172627201</v>
      </c>
      <c r="AL1052">
        <v>78.129772439491106</v>
      </c>
      <c r="AM1052">
        <v>87.475839349917095</v>
      </c>
      <c r="AN1052">
        <v>1.0000000107009701</v>
      </c>
    </row>
    <row r="1053" spans="1:40" x14ac:dyDescent="0.25">
      <c r="A1053" t="str">
        <f>"20190303170739800"</f>
        <v>20190303170739800</v>
      </c>
      <c r="B1053" t="str">
        <f>"1551604059793699"</f>
        <v>1551604059793699</v>
      </c>
      <c r="C1053" t="s">
        <v>40</v>
      </c>
      <c r="D1053">
        <v>5.1189260000000001</v>
      </c>
      <c r="E1053">
        <v>0.44342609999999899</v>
      </c>
      <c r="F1053" t="s">
        <v>52</v>
      </c>
      <c r="G1053">
        <v>-166.8896</v>
      </c>
      <c r="H1053">
        <v>4.6600780000000004</v>
      </c>
      <c r="I1053">
        <v>-17.389949999999999</v>
      </c>
      <c r="J1053">
        <v>-191.09479999999999</v>
      </c>
      <c r="K1053">
        <v>1.1200380000000001</v>
      </c>
      <c r="L1053">
        <v>333.05099999999999</v>
      </c>
      <c r="M1053">
        <v>-4.6007949999999999E-2</v>
      </c>
      <c r="N1053">
        <v>-2.6952529999999999E-3</v>
      </c>
      <c r="O1053">
        <v>-0.99893750000000003</v>
      </c>
      <c r="P1053">
        <v>-8.9584449999999996E-2</v>
      </c>
      <c r="Q1053">
        <v>0.2020613</v>
      </c>
      <c r="R1053">
        <v>-0.9752672</v>
      </c>
      <c r="S1053">
        <v>0.21304319999999999</v>
      </c>
      <c r="T1053">
        <v>3.1178830000000001E-2</v>
      </c>
      <c r="U1053">
        <v>-3.089264</v>
      </c>
      <c r="V1053">
        <v>4.4563859999999997E-2</v>
      </c>
      <c r="W1053">
        <v>0.20470959999999999</v>
      </c>
      <c r="X1053">
        <v>0.9778078</v>
      </c>
      <c r="Y1053">
        <v>-0.11462079999999999</v>
      </c>
      <c r="Z1053">
        <v>-1.273027E-2</v>
      </c>
      <c r="AA1053">
        <v>0.99332770000000004</v>
      </c>
      <c r="AB1053">
        <v>30</v>
      </c>
      <c r="AC1053">
        <v>24.205199999999898</v>
      </c>
      <c r="AD1053">
        <v>3.5400399999999901</v>
      </c>
      <c r="AE1053">
        <v>-350.44094999999999</v>
      </c>
      <c r="AF1053">
        <v>-40.2986028565306</v>
      </c>
      <c r="AG1053">
        <v>3.5400399999999901</v>
      </c>
      <c r="AH1053">
        <v>348.92078442394501</v>
      </c>
      <c r="AI1053">
        <v>89.422553360457997</v>
      </c>
      <c r="AJ1053">
        <v>96.588185543802993</v>
      </c>
      <c r="AK1053">
        <v>351.25805767044102</v>
      </c>
      <c r="AL1053">
        <v>78.187500468295497</v>
      </c>
      <c r="AM1053">
        <v>87.390534768251698</v>
      </c>
      <c r="AN1053">
        <v>1.0000000258455399</v>
      </c>
    </row>
    <row r="1054" spans="1:40" x14ac:dyDescent="0.25">
      <c r="A1054" t="str">
        <f>"20190303170739823"</f>
        <v>20190303170739823</v>
      </c>
      <c r="B1054" t="str">
        <f>"1551604059813219"</f>
        <v>1551604059813219</v>
      </c>
      <c r="C1054" t="s">
        <v>40</v>
      </c>
      <c r="D1054">
        <v>4.9799340000000001</v>
      </c>
      <c r="E1054">
        <v>0.46846559999999998</v>
      </c>
      <c r="F1054" t="s">
        <v>52</v>
      </c>
      <c r="G1054">
        <v>-167.11060000000001</v>
      </c>
      <c r="H1054">
        <v>4.3088050000000004</v>
      </c>
      <c r="I1054">
        <v>-17.389949999999999</v>
      </c>
      <c r="J1054">
        <v>-191.1087</v>
      </c>
      <c r="K1054">
        <v>1.1201730000000001</v>
      </c>
      <c r="L1054">
        <v>332.74189999999999</v>
      </c>
      <c r="M1054">
        <v>-4.5508859999999998E-2</v>
      </c>
      <c r="N1054">
        <v>-2.7638670000000001E-3</v>
      </c>
      <c r="O1054">
        <v>-0.99896010000000002</v>
      </c>
      <c r="P1054">
        <v>-9.0211429999999995E-2</v>
      </c>
      <c r="Q1054">
        <v>0.20094239999999999</v>
      </c>
      <c r="R1054">
        <v>-0.97544059999999999</v>
      </c>
      <c r="S1054">
        <v>0.21145630000000001</v>
      </c>
      <c r="T1054">
        <v>2.8113719999999998E-2</v>
      </c>
      <c r="U1054">
        <v>-3.089661</v>
      </c>
      <c r="V1054">
        <v>4.5605229999999997E-2</v>
      </c>
      <c r="W1054">
        <v>0.20367379999999999</v>
      </c>
      <c r="X1054">
        <v>0.97797599999999996</v>
      </c>
      <c r="Y1054">
        <v>-0.1136086</v>
      </c>
      <c r="Z1054">
        <v>-1.181276E-2</v>
      </c>
      <c r="AA1054">
        <v>0.99345539999999999</v>
      </c>
      <c r="AB1054">
        <v>30</v>
      </c>
      <c r="AC1054">
        <v>23.998099999999901</v>
      </c>
      <c r="AD1054">
        <v>3.1886320000000001</v>
      </c>
      <c r="AE1054">
        <v>-350.13184999999999</v>
      </c>
      <c r="AF1054">
        <v>-39.904104578770401</v>
      </c>
      <c r="AG1054">
        <v>3.1886320000000001</v>
      </c>
      <c r="AH1054">
        <v>348.648177100309</v>
      </c>
      <c r="AI1054">
        <v>89.479403078980397</v>
      </c>
      <c r="AJ1054">
        <v>96.529307333900206</v>
      </c>
      <c r="AK1054">
        <v>350.938821351576</v>
      </c>
      <c r="AL1054">
        <v>78.248123893530703</v>
      </c>
      <c r="AM1054">
        <v>87.330102547459106</v>
      </c>
      <c r="AN1054">
        <v>0.99999995519289497</v>
      </c>
    </row>
    <row r="1055" spans="1:40" x14ac:dyDescent="0.25">
      <c r="A1055" t="str">
        <f>"20190303170739864"</f>
        <v>20190303170739864</v>
      </c>
      <c r="B1055" t="str">
        <f>"1551604059853235"</f>
        <v>1551604059853235</v>
      </c>
      <c r="C1055" t="s">
        <v>40</v>
      </c>
      <c r="D1055">
        <v>5.0287050000000004</v>
      </c>
      <c r="E1055">
        <v>0.49434800000000001</v>
      </c>
      <c r="F1055" t="s">
        <v>43</v>
      </c>
      <c r="G1055">
        <v>-190.23949999999999</v>
      </c>
      <c r="H1055" s="1">
        <v>-9.2836549999999998E-7</v>
      </c>
      <c r="I1055">
        <v>101.6046</v>
      </c>
      <c r="J1055">
        <v>-191.1326</v>
      </c>
      <c r="K1055">
        <v>1.120341</v>
      </c>
      <c r="L1055">
        <v>332.19330000000002</v>
      </c>
      <c r="M1055">
        <v>-4.4381780000000003E-2</v>
      </c>
      <c r="N1055">
        <v>-2.8954290000000001E-3</v>
      </c>
      <c r="O1055">
        <v>-0.99901050000000002</v>
      </c>
      <c r="P1055">
        <v>-9.0567019999999998E-2</v>
      </c>
      <c r="Q1055">
        <v>0.20271729999999999</v>
      </c>
      <c r="R1055">
        <v>-0.97504020000000002</v>
      </c>
      <c r="S1055">
        <v>1.158142E-2</v>
      </c>
      <c r="T1055">
        <v>-1.4925239999999999E-2</v>
      </c>
      <c r="U1055">
        <v>-3.0796809999999999</v>
      </c>
      <c r="V1055">
        <v>4.7000800000000002E-2</v>
      </c>
      <c r="W1055">
        <v>0.205595</v>
      </c>
      <c r="X1055">
        <v>0.97750789999999999</v>
      </c>
      <c r="Y1055">
        <v>-4.813796E-2</v>
      </c>
      <c r="Z1055">
        <v>1.940656E-3</v>
      </c>
      <c r="AA1055">
        <v>0.99883880000000003</v>
      </c>
      <c r="AB1055">
        <v>30</v>
      </c>
      <c r="AC1055">
        <v>0.893100000000004</v>
      </c>
      <c r="AD1055">
        <v>-1.1203419283655001</v>
      </c>
      <c r="AE1055">
        <v>-230.58869999999999</v>
      </c>
      <c r="AF1055">
        <v>-11.1259366490426</v>
      </c>
      <c r="AG1055">
        <v>-1.1203419283655001</v>
      </c>
      <c r="AH1055">
        <v>230.31641167270999</v>
      </c>
      <c r="AI1055">
        <v>90.278380479149305</v>
      </c>
      <c r="AJ1055">
        <v>92.765647654108903</v>
      </c>
      <c r="AK1055">
        <v>230.58770808121599</v>
      </c>
      <c r="AL1055">
        <v>78.135668450876906</v>
      </c>
      <c r="AM1055">
        <v>87.247208878519103</v>
      </c>
      <c r="AN1055">
        <v>1.0000000368940201</v>
      </c>
    </row>
    <row r="1056" spans="1:40" x14ac:dyDescent="0.25">
      <c r="A1056" t="str">
        <f>"20190303170739887"</f>
        <v>20190303170739887</v>
      </c>
      <c r="B1056" t="str">
        <f>"1551604059873731"</f>
        <v>1551604059873731</v>
      </c>
      <c r="C1056" t="s">
        <v>40</v>
      </c>
      <c r="D1056">
        <v>4.9102100000000002</v>
      </c>
      <c r="E1056">
        <v>0.49775730000000001</v>
      </c>
      <c r="F1056" t="s">
        <v>61</v>
      </c>
      <c r="G1056">
        <v>-211.07</v>
      </c>
      <c r="H1056">
        <v>0.23857709999999999</v>
      </c>
      <c r="I1056">
        <v>20.669029999999999</v>
      </c>
      <c r="J1056">
        <v>-191.14599999999999</v>
      </c>
      <c r="K1056">
        <v>1.1204000000000001</v>
      </c>
      <c r="L1056">
        <v>331.87819999999999</v>
      </c>
      <c r="M1056">
        <v>-4.3668020000000002E-2</v>
      </c>
      <c r="N1056">
        <v>-2.9714899999999998E-3</v>
      </c>
      <c r="O1056">
        <v>-0.99904190000000004</v>
      </c>
      <c r="P1056">
        <v>-8.9600340000000001E-2</v>
      </c>
      <c r="Q1056">
        <v>0.20303979999999999</v>
      </c>
      <c r="R1056">
        <v>-0.9750626</v>
      </c>
      <c r="S1056">
        <v>-0.1958618</v>
      </c>
      <c r="T1056">
        <v>-8.6624619999999992E-3</v>
      </c>
      <c r="U1056">
        <v>-3.0603639999999999</v>
      </c>
      <c r="V1056">
        <v>4.6705379999999998E-2</v>
      </c>
      <c r="W1056">
        <v>0.20599770000000001</v>
      </c>
      <c r="X1056">
        <v>0.97743729999999995</v>
      </c>
      <c r="Y1056">
        <v>2.022871E-2</v>
      </c>
      <c r="Z1056">
        <v>-1.440464E-4</v>
      </c>
      <c r="AA1056">
        <v>0.9997954</v>
      </c>
      <c r="AB1056">
        <v>30</v>
      </c>
      <c r="AC1056">
        <v>-19.923999999999999</v>
      </c>
      <c r="AD1056">
        <v>-0.88182289999999997</v>
      </c>
      <c r="AE1056">
        <v>-311.20916999999997</v>
      </c>
      <c r="AF1056">
        <v>6.3149985393966404</v>
      </c>
      <c r="AG1056">
        <v>-0.88182289999999997</v>
      </c>
      <c r="AH1056">
        <v>311.77985640021001</v>
      </c>
      <c r="AI1056">
        <v>90.162018918247298</v>
      </c>
      <c r="AJ1056">
        <v>88.839651474530896</v>
      </c>
      <c r="AK1056">
        <v>311.84505074654498</v>
      </c>
      <c r="AL1056">
        <v>78.112091037724994</v>
      </c>
      <c r="AM1056">
        <v>87.264287690689699</v>
      </c>
      <c r="AN1056">
        <v>1.00000006017876</v>
      </c>
    </row>
    <row r="1057" spans="1:40" x14ac:dyDescent="0.25">
      <c r="A1057" t="str">
        <f>"20190303170739909"</f>
        <v>20190303170739909</v>
      </c>
      <c r="B1057" t="str">
        <f>"1551604059903012"</f>
        <v>1551604059903012</v>
      </c>
      <c r="C1057" t="s">
        <v>40</v>
      </c>
      <c r="D1057">
        <v>4.9636639999999996</v>
      </c>
      <c r="E1057">
        <v>0.50033450000000002</v>
      </c>
      <c r="F1057" t="s">
        <v>41</v>
      </c>
      <c r="G1057">
        <v>-203.2277</v>
      </c>
      <c r="H1057">
        <v>0.68935480000000005</v>
      </c>
      <c r="I1057">
        <v>163.47890000000001</v>
      </c>
      <c r="J1057">
        <v>-191.1583</v>
      </c>
      <c r="K1057">
        <v>1.120431</v>
      </c>
      <c r="L1057">
        <v>331.58240000000001</v>
      </c>
      <c r="M1057">
        <v>-4.2980089999999999E-2</v>
      </c>
      <c r="N1057">
        <v>-3.0396080000000001E-3</v>
      </c>
      <c r="O1057">
        <v>-0.9990713</v>
      </c>
      <c r="P1057">
        <v>-8.9316580000000007E-2</v>
      </c>
      <c r="Q1057">
        <v>0.20297660000000001</v>
      </c>
      <c r="R1057">
        <v>-0.97510149999999995</v>
      </c>
      <c r="S1057">
        <v>-0.21940609999999999</v>
      </c>
      <c r="T1057">
        <v>-7.8278779999999999E-3</v>
      </c>
      <c r="U1057">
        <v>-3.0581670000000001</v>
      </c>
      <c r="V1057">
        <v>4.7077569999999999E-2</v>
      </c>
      <c r="W1057">
        <v>0.2060051</v>
      </c>
      <c r="X1057">
        <v>0.9774178</v>
      </c>
      <c r="Y1057">
        <v>2.8623929999999999E-2</v>
      </c>
      <c r="Z1057">
        <v>-4.826265E-4</v>
      </c>
      <c r="AA1057">
        <v>0.99959019999999998</v>
      </c>
      <c r="AB1057">
        <v>30</v>
      </c>
      <c r="AC1057">
        <v>-12.0694</v>
      </c>
      <c r="AD1057">
        <v>-0.43107619999999902</v>
      </c>
      <c r="AE1057">
        <v>-168.1035</v>
      </c>
      <c r="AF1057">
        <v>4.8330783217881699</v>
      </c>
      <c r="AG1057">
        <v>-0.43107619999999902</v>
      </c>
      <c r="AH1057">
        <v>168.46580315545299</v>
      </c>
      <c r="AI1057">
        <v>90.146549832260902</v>
      </c>
      <c r="AJ1057">
        <v>88.356704738065503</v>
      </c>
      <c r="AK1057">
        <v>168.535667754831</v>
      </c>
      <c r="AL1057">
        <v>78.111656756022001</v>
      </c>
      <c r="AM1057">
        <v>87.242465689050107</v>
      </c>
      <c r="AN1057">
        <v>0.99999997728997703</v>
      </c>
    </row>
    <row r="1058" spans="1:40" x14ac:dyDescent="0.25">
      <c r="A1058" t="str">
        <f>"20190303170739932"</f>
        <v>20190303170739932</v>
      </c>
      <c r="B1058" t="str">
        <f>"1551604059923507"</f>
        <v>1551604059923507</v>
      </c>
      <c r="C1058" t="s">
        <v>40</v>
      </c>
      <c r="D1058">
        <v>4.9652010000000004</v>
      </c>
      <c r="E1058">
        <v>0.50135759999999996</v>
      </c>
      <c r="F1058" t="s">
        <v>62</v>
      </c>
      <c r="G1058">
        <v>-211.53559999999999</v>
      </c>
      <c r="H1058">
        <v>0.4073078</v>
      </c>
      <c r="I1058">
        <v>70.567830000000001</v>
      </c>
      <c r="J1058">
        <v>-191.17099999999999</v>
      </c>
      <c r="K1058">
        <v>1.120455</v>
      </c>
      <c r="L1058">
        <v>331.27179999999998</v>
      </c>
      <c r="M1058">
        <v>-4.2254439999999997E-2</v>
      </c>
      <c r="N1058">
        <v>-3.111192E-3</v>
      </c>
      <c r="O1058">
        <v>-0.99910239999999995</v>
      </c>
      <c r="P1058">
        <v>-8.9486800000000005E-2</v>
      </c>
      <c r="Q1058">
        <v>0.20193829999999999</v>
      </c>
      <c r="R1058">
        <v>-0.975302</v>
      </c>
      <c r="S1058">
        <v>-0.23861689999999999</v>
      </c>
      <c r="T1058">
        <v>-8.350372E-3</v>
      </c>
      <c r="U1058">
        <v>-3.0564580000000001</v>
      </c>
      <c r="V1058">
        <v>4.7939830000000003E-2</v>
      </c>
      <c r="W1058">
        <v>0.20504049999999999</v>
      </c>
      <c r="X1058">
        <v>0.97757870000000002</v>
      </c>
      <c r="Y1058">
        <v>3.5636660000000001E-2</v>
      </c>
      <c r="Z1058">
        <v>-3.8270729999999997E-4</v>
      </c>
      <c r="AA1058">
        <v>0.99936469999999999</v>
      </c>
      <c r="AB1058">
        <v>31</v>
      </c>
      <c r="AC1058">
        <v>-20.364599999999999</v>
      </c>
      <c r="AD1058">
        <v>-0.71314719999999998</v>
      </c>
      <c r="AE1058">
        <v>-260.70397000000003</v>
      </c>
      <c r="AF1058">
        <v>9.3303928678170305</v>
      </c>
      <c r="AG1058">
        <v>-0.71314719999999998</v>
      </c>
      <c r="AH1058">
        <v>261.32968359783098</v>
      </c>
      <c r="AI1058">
        <v>90.156255518378501</v>
      </c>
      <c r="AJ1058">
        <v>87.955206836723207</v>
      </c>
      <c r="AK1058">
        <v>261.49716698147802</v>
      </c>
      <c r="AL1058">
        <v>78.168129801936502</v>
      </c>
      <c r="AM1058">
        <v>87.192500969027094</v>
      </c>
      <c r="AN1058">
        <v>0.99999997431718401</v>
      </c>
    </row>
    <row r="1059" spans="1:40" x14ac:dyDescent="0.25">
      <c r="A1059" t="str">
        <f>"20190303170739953"</f>
        <v>20190303170739953</v>
      </c>
      <c r="B1059" t="str">
        <f>"1551604059943027"</f>
        <v>1551604059943027</v>
      </c>
      <c r="C1059" t="s">
        <v>40</v>
      </c>
      <c r="D1059">
        <v>4.8511939999999996</v>
      </c>
      <c r="E1059">
        <v>0.50192760000000003</v>
      </c>
      <c r="F1059" t="s">
        <v>62</v>
      </c>
      <c r="G1059">
        <v>-212.20660000000001</v>
      </c>
      <c r="H1059">
        <v>8.5421380000000005E-2</v>
      </c>
      <c r="I1059">
        <v>70.567830000000001</v>
      </c>
      <c r="J1059">
        <v>-191.18289999999999</v>
      </c>
      <c r="K1059">
        <v>1.120471</v>
      </c>
      <c r="L1059">
        <v>330.97629999999998</v>
      </c>
      <c r="M1059">
        <v>-4.156729E-2</v>
      </c>
      <c r="N1059">
        <v>-3.1784230000000001E-3</v>
      </c>
      <c r="O1059">
        <v>-0.99913050000000003</v>
      </c>
      <c r="P1059">
        <v>-9.0003550000000002E-2</v>
      </c>
      <c r="Q1059">
        <v>0.20082659999999999</v>
      </c>
      <c r="R1059">
        <v>-0.97548349999999995</v>
      </c>
      <c r="S1059">
        <v>-0.2465668</v>
      </c>
      <c r="T1059">
        <v>-1.213181E-2</v>
      </c>
      <c r="U1059">
        <v>-3.0558169999999998</v>
      </c>
      <c r="V1059">
        <v>4.9115319999999997E-2</v>
      </c>
      <c r="W1059">
        <v>0.20399829999999999</v>
      </c>
      <c r="X1059">
        <v>0.97773840000000001</v>
      </c>
      <c r="Y1059">
        <v>3.8923470000000002E-2</v>
      </c>
      <c r="Z1059">
        <v>7.8386229999999996E-4</v>
      </c>
      <c r="AA1059">
        <v>0.99924190000000002</v>
      </c>
      <c r="AB1059">
        <v>31</v>
      </c>
      <c r="AC1059">
        <v>-21.023700000000002</v>
      </c>
      <c r="AD1059">
        <v>-1.0350496199999999</v>
      </c>
      <c r="AE1059">
        <v>-260.40847000000002</v>
      </c>
      <c r="AF1059">
        <v>10.180838666443501</v>
      </c>
      <c r="AG1059">
        <v>-1.0350496199999999</v>
      </c>
      <c r="AH1059">
        <v>261.053203635758</v>
      </c>
      <c r="AI1059">
        <v>90.226998239193307</v>
      </c>
      <c r="AJ1059">
        <v>87.766648254466404</v>
      </c>
      <c r="AK1059">
        <v>261.25370032242699</v>
      </c>
      <c r="AL1059">
        <v>78.229133226919799</v>
      </c>
      <c r="AM1059">
        <v>87.124243994769301</v>
      </c>
      <c r="AN1059">
        <v>0.99999999994807598</v>
      </c>
    </row>
    <row r="1060" spans="1:40" x14ac:dyDescent="0.25">
      <c r="A1060" t="str">
        <f>"20190303170739976"</f>
        <v>20190303170739976</v>
      </c>
      <c r="B1060" t="str">
        <f>"1551604059963524"</f>
        <v>1551604059963524</v>
      </c>
      <c r="C1060" t="s">
        <v>40</v>
      </c>
      <c r="D1060">
        <v>4.8320869999999996</v>
      </c>
      <c r="E1060">
        <v>0.50246610000000003</v>
      </c>
      <c r="F1060" t="s">
        <v>58</v>
      </c>
      <c r="G1060">
        <v>-207.82509999999999</v>
      </c>
      <c r="H1060">
        <v>7.8586710000000004E-2</v>
      </c>
      <c r="I1060">
        <v>129.58770000000001</v>
      </c>
      <c r="J1060">
        <v>-191.1951</v>
      </c>
      <c r="K1060">
        <v>1.120484</v>
      </c>
      <c r="L1060">
        <v>330.66759999999999</v>
      </c>
      <c r="M1060">
        <v>-4.0856190000000001E-2</v>
      </c>
      <c r="N1060">
        <v>-3.245506E-3</v>
      </c>
      <c r="O1060">
        <v>-0.99916020000000005</v>
      </c>
      <c r="P1060">
        <v>-9.0774480000000005E-2</v>
      </c>
      <c r="Q1060">
        <v>0.20069380000000001</v>
      </c>
      <c r="R1060">
        <v>-0.97543999999999997</v>
      </c>
      <c r="S1060">
        <v>-0.25248720000000002</v>
      </c>
      <c r="T1060">
        <v>-1.580691E-2</v>
      </c>
      <c r="U1060">
        <v>-3.0553590000000002</v>
      </c>
      <c r="V1060">
        <v>5.0577770000000001E-2</v>
      </c>
      <c r="W1060">
        <v>0.2039348</v>
      </c>
      <c r="X1060">
        <v>0.97767709999999997</v>
      </c>
      <c r="Y1060">
        <v>4.1569689999999999E-2</v>
      </c>
      <c r="Z1060">
        <v>1.915915E-3</v>
      </c>
      <c r="AA1060">
        <v>0.99913379999999996</v>
      </c>
      <c r="AB1060">
        <v>31</v>
      </c>
      <c r="AC1060">
        <v>-16.6299999999999</v>
      </c>
      <c r="AD1060">
        <v>-1.0418972900000001</v>
      </c>
      <c r="AE1060">
        <v>-201.07990000000001</v>
      </c>
      <c r="AF1060">
        <v>8.4004921246298299</v>
      </c>
      <c r="AG1060">
        <v>-1.0418972900000001</v>
      </c>
      <c r="AH1060">
        <v>201.586070458714</v>
      </c>
      <c r="AI1060">
        <v>90.295873725551004</v>
      </c>
      <c r="AJ1060">
        <v>87.6137516604892</v>
      </c>
      <c r="AK1060">
        <v>201.76371730537801</v>
      </c>
      <c r="AL1060">
        <v>78.232849787598397</v>
      </c>
      <c r="AM1060">
        <v>87.038580806540097</v>
      </c>
      <c r="AN1060">
        <v>1.00000001266681</v>
      </c>
    </row>
    <row r="1061" spans="1:40" x14ac:dyDescent="0.25">
      <c r="A1061" t="str">
        <f>"20190303170740002"</f>
        <v>20190303170740002</v>
      </c>
      <c r="B1061" t="str">
        <f>"1551604059993780"</f>
        <v>1551604059993780</v>
      </c>
      <c r="C1061" t="s">
        <v>40</v>
      </c>
      <c r="D1061">
        <v>4.9646509999999999</v>
      </c>
      <c r="E1061">
        <v>0.50293580000000004</v>
      </c>
      <c r="F1061" t="s">
        <v>46</v>
      </c>
      <c r="G1061">
        <v>-211.10310000000001</v>
      </c>
      <c r="H1061">
        <v>-0.05</v>
      </c>
      <c r="I1061">
        <v>95.907989999999998</v>
      </c>
      <c r="J1061">
        <v>-191.209</v>
      </c>
      <c r="K1061">
        <v>1.1204940000000001</v>
      </c>
      <c r="L1061">
        <v>330.3064</v>
      </c>
      <c r="M1061">
        <v>-4.0030990000000002E-2</v>
      </c>
      <c r="N1061">
        <v>-3.3192E-3</v>
      </c>
      <c r="O1061">
        <v>-0.99919309999999995</v>
      </c>
      <c r="P1061">
        <v>-9.2513079999999998E-2</v>
      </c>
      <c r="Q1061">
        <v>0.20016210000000001</v>
      </c>
      <c r="R1061">
        <v>-0.97538559999999996</v>
      </c>
      <c r="S1061">
        <v>-0.25903320000000002</v>
      </c>
      <c r="T1061">
        <v>-1.5229700000000001E-2</v>
      </c>
      <c r="U1061">
        <v>-3.0545650000000002</v>
      </c>
      <c r="V1061">
        <v>5.3119930000000003E-2</v>
      </c>
      <c r="W1061">
        <v>0.20347960000000001</v>
      </c>
      <c r="X1061">
        <v>0.97763710000000004</v>
      </c>
      <c r="Y1061">
        <v>4.4542209999999999E-2</v>
      </c>
      <c r="Z1061">
        <v>1.654874E-3</v>
      </c>
      <c r="AA1061">
        <v>0.99900619999999996</v>
      </c>
      <c r="AB1061">
        <v>31</v>
      </c>
      <c r="AC1061">
        <v>-19.894100000000002</v>
      </c>
      <c r="AD1061">
        <v>-1.1704939999999999</v>
      </c>
      <c r="AE1061">
        <v>-234.39841000000001</v>
      </c>
      <c r="AF1061">
        <v>10.494643203725399</v>
      </c>
      <c r="AG1061">
        <v>-1.1704939999999999</v>
      </c>
      <c r="AH1061">
        <v>235.00108995217801</v>
      </c>
      <c r="AI1061">
        <v>90.285092460958396</v>
      </c>
      <c r="AJ1061">
        <v>87.442992657003003</v>
      </c>
      <c r="AK1061">
        <v>235.238219409366</v>
      </c>
      <c r="AL1061">
        <v>78.259489103394699</v>
      </c>
      <c r="AM1061">
        <v>86.889891001623099</v>
      </c>
      <c r="AN1061">
        <v>0.99999998693788705</v>
      </c>
    </row>
    <row r="1062" spans="1:40" x14ac:dyDescent="0.25">
      <c r="A1062" t="str">
        <f>"20190303170740042"</f>
        <v>20190303170740042</v>
      </c>
      <c r="B1062" t="str">
        <f>"1551604060033796"</f>
        <v>1551604060033796</v>
      </c>
      <c r="C1062" t="s">
        <v>40</v>
      </c>
      <c r="D1062">
        <v>4.9102040000000002</v>
      </c>
      <c r="E1062">
        <v>0.50301399999999996</v>
      </c>
      <c r="F1062" t="s">
        <v>58</v>
      </c>
      <c r="G1062">
        <v>-208.81649999999999</v>
      </c>
      <c r="H1062">
        <v>2.529087E-2</v>
      </c>
      <c r="I1062">
        <v>129.6163</v>
      </c>
      <c r="J1062">
        <v>-191.23060000000001</v>
      </c>
      <c r="K1062">
        <v>1.1205069999999999</v>
      </c>
      <c r="L1062">
        <v>329.73379999999997</v>
      </c>
      <c r="M1062">
        <v>-3.8730510000000003E-2</v>
      </c>
      <c r="N1062">
        <v>-3.4344100000000002E-3</v>
      </c>
      <c r="O1062">
        <v>-0.99924400000000002</v>
      </c>
      <c r="P1062">
        <v>-9.4100740000000002E-2</v>
      </c>
      <c r="Q1062">
        <v>0.19735079999999999</v>
      </c>
      <c r="R1062">
        <v>-0.97580639999999996</v>
      </c>
      <c r="S1062">
        <v>-0.26791379999999998</v>
      </c>
      <c r="T1062">
        <v>-1.666451E-2</v>
      </c>
      <c r="U1062">
        <v>-3.0536799999999999</v>
      </c>
      <c r="V1062">
        <v>5.5959090000000003E-2</v>
      </c>
      <c r="W1062">
        <v>0.2007883</v>
      </c>
      <c r="X1062">
        <v>0.97803510000000005</v>
      </c>
      <c r="Y1062">
        <v>4.8749979999999998E-2</v>
      </c>
      <c r="Z1062">
        <v>2.0087109999999998E-3</v>
      </c>
      <c r="AA1062">
        <v>0.99880899999999995</v>
      </c>
      <c r="AB1062">
        <v>31</v>
      </c>
      <c r="AC1062">
        <v>-17.585899999999899</v>
      </c>
      <c r="AD1062">
        <v>-1.0952161299999901</v>
      </c>
      <c r="AE1062">
        <v>-200.11750000000001</v>
      </c>
      <c r="AF1062">
        <v>9.8217161645796693</v>
      </c>
      <c r="AG1062">
        <v>-1.0952161299999901</v>
      </c>
      <c r="AH1062">
        <v>200.642499702462</v>
      </c>
      <c r="AI1062">
        <v>90.312374459811494</v>
      </c>
      <c r="AJ1062">
        <v>87.197532714939598</v>
      </c>
      <c r="AK1062">
        <v>200.88573442044401</v>
      </c>
      <c r="AL1062">
        <v>78.416939657875702</v>
      </c>
      <c r="AM1062">
        <v>86.725344666255097</v>
      </c>
      <c r="AN1062">
        <v>1.00000000900126</v>
      </c>
    </row>
    <row r="1063" spans="1:40" x14ac:dyDescent="0.25">
      <c r="A1063" t="str">
        <f>"20190303170740066"</f>
        <v>20190303170740066</v>
      </c>
      <c r="B1063" t="str">
        <f>"1551604060053316"</f>
        <v>1551604060053316</v>
      </c>
      <c r="C1063" t="s">
        <v>40</v>
      </c>
      <c r="D1063">
        <v>4.9706979999999996</v>
      </c>
      <c r="E1063">
        <v>0.50306019999999996</v>
      </c>
      <c r="F1063" t="s">
        <v>43</v>
      </c>
      <c r="G1063">
        <v>-202.99350000000001</v>
      </c>
      <c r="H1063">
        <v>7.9985710000000002E-2</v>
      </c>
      <c r="I1063">
        <v>198.86529999999999</v>
      </c>
      <c r="J1063">
        <v>-191.24279999999999</v>
      </c>
      <c r="K1063">
        <v>1.120522</v>
      </c>
      <c r="L1063">
        <v>329.4008</v>
      </c>
      <c r="M1063">
        <v>-3.7970039999999997E-2</v>
      </c>
      <c r="N1063">
        <v>-3.5050250000000002E-3</v>
      </c>
      <c r="O1063">
        <v>-0.99927279999999996</v>
      </c>
      <c r="P1063">
        <v>-9.4919669999999998E-2</v>
      </c>
      <c r="Q1063">
        <v>0.19711690000000001</v>
      </c>
      <c r="R1063">
        <v>-0.97577420000000004</v>
      </c>
      <c r="S1063">
        <v>-0.2743988</v>
      </c>
      <c r="T1063">
        <v>-2.4272680000000001E-2</v>
      </c>
      <c r="U1063">
        <v>-3.052826</v>
      </c>
      <c r="V1063">
        <v>5.7518489999999999E-2</v>
      </c>
      <c r="W1063">
        <v>0.20062720000000001</v>
      </c>
      <c r="X1063">
        <v>0.97797769999999995</v>
      </c>
      <c r="Y1063">
        <v>5.1638360000000001E-2</v>
      </c>
      <c r="Z1063">
        <v>4.421777E-3</v>
      </c>
      <c r="AA1063">
        <v>0.99865599999999999</v>
      </c>
      <c r="AB1063">
        <v>31</v>
      </c>
      <c r="AC1063">
        <v>-11.7507</v>
      </c>
      <c r="AD1063">
        <v>-1.0405362899999999</v>
      </c>
      <c r="AE1063">
        <v>-130.53550000000001</v>
      </c>
      <c r="AF1063">
        <v>6.7853302647166496</v>
      </c>
      <c r="AG1063">
        <v>-1.0405362899999999</v>
      </c>
      <c r="AH1063">
        <v>130.87929468450201</v>
      </c>
      <c r="AI1063">
        <v>90.454901032704299</v>
      </c>
      <c r="AJ1063">
        <v>87.032204115020605</v>
      </c>
      <c r="AK1063">
        <v>131.05919731054701</v>
      </c>
      <c r="AL1063">
        <v>78.426361816992596</v>
      </c>
      <c r="AM1063">
        <v>86.6341004067189</v>
      </c>
      <c r="AN1063">
        <v>1.0000000158844999</v>
      </c>
    </row>
    <row r="1064" spans="1:40" x14ac:dyDescent="0.25">
      <c r="A1064" t="str">
        <f>"20190303170740089"</f>
        <v>20190303170740089</v>
      </c>
      <c r="B1064" t="str">
        <f>"1551604060083572"</f>
        <v>1551604060083572</v>
      </c>
      <c r="C1064" t="s">
        <v>40</v>
      </c>
      <c r="D1064">
        <v>4.9026139999999998</v>
      </c>
      <c r="E1064">
        <v>0.52955280000000005</v>
      </c>
      <c r="F1064" t="s">
        <v>57</v>
      </c>
      <c r="G1064">
        <v>-202.81960000000001</v>
      </c>
      <c r="H1064">
        <v>8.0001909999999996E-2</v>
      </c>
      <c r="I1064">
        <v>202.5343</v>
      </c>
      <c r="J1064">
        <v>-191.2544</v>
      </c>
      <c r="K1064">
        <v>1.1205459999999901</v>
      </c>
      <c r="L1064">
        <v>329.07659999999998</v>
      </c>
      <c r="M1064">
        <v>-3.720615E-2</v>
      </c>
      <c r="N1064">
        <v>-3.579502E-3</v>
      </c>
      <c r="O1064">
        <v>-0.99930129999999995</v>
      </c>
      <c r="P1064">
        <v>-9.6544379999999999E-2</v>
      </c>
      <c r="Q1064">
        <v>0.1971588</v>
      </c>
      <c r="R1064">
        <v>-0.97560630000000004</v>
      </c>
      <c r="S1064">
        <v>-0.2785492</v>
      </c>
      <c r="T1064">
        <v>-2.503586E-2</v>
      </c>
      <c r="U1064">
        <v>-3.052521</v>
      </c>
      <c r="V1064">
        <v>5.9886910000000002E-2</v>
      </c>
      <c r="W1064">
        <v>0.20074719999999999</v>
      </c>
      <c r="X1064">
        <v>0.97781090000000004</v>
      </c>
      <c r="Y1064">
        <v>5.3757180000000002E-2</v>
      </c>
      <c r="Z1064">
        <v>4.5966359999999899E-3</v>
      </c>
      <c r="AA1064">
        <v>0.99854339999999997</v>
      </c>
      <c r="AB1064">
        <v>31</v>
      </c>
      <c r="AC1064">
        <v>-11.565200000000001</v>
      </c>
      <c r="AD1064">
        <v>-1.04054408999999</v>
      </c>
      <c r="AE1064">
        <v>-126.542299999999</v>
      </c>
      <c r="AF1064">
        <v>6.8485515614299803</v>
      </c>
      <c r="AG1064">
        <v>-1.04054408999999</v>
      </c>
      <c r="AH1064">
        <v>126.87647392493599</v>
      </c>
      <c r="AI1064">
        <v>90.469202743042899</v>
      </c>
      <c r="AJ1064">
        <v>86.910280873139598</v>
      </c>
      <c r="AK1064">
        <v>127.065436000975</v>
      </c>
      <c r="AL1064">
        <v>78.419343566825702</v>
      </c>
      <c r="AM1064">
        <v>86.495246141860505</v>
      </c>
      <c r="AN1064">
        <v>1.00000001822799</v>
      </c>
    </row>
    <row r="1065" spans="1:40" x14ac:dyDescent="0.25">
      <c r="A1065" t="str">
        <f>"20190303170740110"</f>
        <v>20190303170740110</v>
      </c>
      <c r="B1065" t="str">
        <f>"1551604060103092"</f>
        <v>1551604060103092</v>
      </c>
      <c r="C1065" t="s">
        <v>40</v>
      </c>
      <c r="D1065">
        <v>4.899661</v>
      </c>
      <c r="E1065">
        <v>0.54040959999999905</v>
      </c>
      <c r="F1065" t="s">
        <v>43</v>
      </c>
      <c r="G1065">
        <v>-202.3425</v>
      </c>
      <c r="H1065">
        <v>7.9986539999999995E-2</v>
      </c>
      <c r="I1065">
        <v>260.91849999999999</v>
      </c>
      <c r="J1065">
        <v>-191.26519999999999</v>
      </c>
      <c r="K1065">
        <v>1.120573</v>
      </c>
      <c r="L1065">
        <v>328.7688</v>
      </c>
      <c r="M1065">
        <v>-3.6436490000000002E-2</v>
      </c>
      <c r="N1065">
        <v>-3.6636960000000001E-3</v>
      </c>
      <c r="O1065">
        <v>-0.99932940000000003</v>
      </c>
      <c r="P1065">
        <v>-9.8811189999999993E-2</v>
      </c>
      <c r="Q1065">
        <v>0.19586290000000001</v>
      </c>
      <c r="R1065">
        <v>-0.97564079999999997</v>
      </c>
      <c r="S1065">
        <v>-0.49382019999999999</v>
      </c>
      <c r="T1065">
        <v>-4.6342370000000001E-2</v>
      </c>
      <c r="U1065">
        <v>-3.0354920000000001</v>
      </c>
      <c r="V1065">
        <v>6.2890749999999995E-2</v>
      </c>
      <c r="W1065">
        <v>0.19954330000000001</v>
      </c>
      <c r="X1065">
        <v>0.97786870000000004</v>
      </c>
      <c r="Y1065">
        <v>0.1244859</v>
      </c>
      <c r="Z1065">
        <v>1.1438729999999999E-2</v>
      </c>
      <c r="AA1065">
        <v>0.99215540000000002</v>
      </c>
      <c r="AB1065">
        <v>32</v>
      </c>
      <c r="AC1065">
        <v>-11.077299999999999</v>
      </c>
      <c r="AD1065">
        <v>-1.0405864600000001</v>
      </c>
      <c r="AE1065">
        <v>-67.850300000000004</v>
      </c>
      <c r="AF1065">
        <v>8.5957319416736606</v>
      </c>
      <c r="AG1065">
        <v>-1.0405864600000001</v>
      </c>
      <c r="AH1065">
        <v>68.193242197497398</v>
      </c>
      <c r="AI1065">
        <v>90.867367734908498</v>
      </c>
      <c r="AJ1065">
        <v>82.815778004660302</v>
      </c>
      <c r="AK1065">
        <v>68.740728168971202</v>
      </c>
      <c r="AL1065">
        <v>78.489746084225004</v>
      </c>
      <c r="AM1065">
        <v>86.320141322105101</v>
      </c>
      <c r="AN1065">
        <v>0.99999998472507101</v>
      </c>
    </row>
    <row r="1066" spans="1:40" x14ac:dyDescent="0.25">
      <c r="A1066" t="str">
        <f>"20190303170740133"</f>
        <v>20190303170740133</v>
      </c>
      <c r="B1066" t="str">
        <f>"1551604060123588"</f>
        <v>1551604060123588</v>
      </c>
      <c r="C1066" t="s">
        <v>40</v>
      </c>
      <c r="D1066">
        <v>4.8558719999999997</v>
      </c>
      <c r="E1066">
        <v>0.54373819999999995</v>
      </c>
      <c r="F1066" t="s">
        <v>57</v>
      </c>
      <c r="G1066">
        <v>-201.67269999999999</v>
      </c>
      <c r="H1066">
        <v>8.0001379999999997E-2</v>
      </c>
      <c r="I1066">
        <v>275.06920000000002</v>
      </c>
      <c r="J1066">
        <v>-191.27590000000001</v>
      </c>
      <c r="K1066">
        <v>1.1206240000000001</v>
      </c>
      <c r="L1066">
        <v>328.45179999999999</v>
      </c>
      <c r="M1066">
        <v>-3.5593449999999999E-2</v>
      </c>
      <c r="N1066">
        <v>-3.7729090000000001E-3</v>
      </c>
      <c r="O1066">
        <v>-0.99935909999999994</v>
      </c>
      <c r="P1066">
        <v>-0.1007441</v>
      </c>
      <c r="Q1066">
        <v>0.19416890000000001</v>
      </c>
      <c r="R1066">
        <v>-0.97578149999999997</v>
      </c>
      <c r="S1066">
        <v>-0.58671569999999995</v>
      </c>
      <c r="T1066">
        <v>-5.8660980000000001E-2</v>
      </c>
      <c r="U1066">
        <v>-3.0272519999999998</v>
      </c>
      <c r="V1066">
        <v>6.5623929999999997E-2</v>
      </c>
      <c r="W1066">
        <v>0.1979679</v>
      </c>
      <c r="X1066">
        <v>0.97800929999999997</v>
      </c>
      <c r="Y1066">
        <v>0.15517779999999901</v>
      </c>
      <c r="Z1066">
        <v>1.5301510000000001E-2</v>
      </c>
      <c r="AA1066">
        <v>0.98776810000000004</v>
      </c>
      <c r="AB1066">
        <v>32</v>
      </c>
      <c r="AC1066">
        <v>-10.396799999999899</v>
      </c>
      <c r="AD1066">
        <v>-1.0406226199999999</v>
      </c>
      <c r="AE1066">
        <v>-53.382599999999897</v>
      </c>
      <c r="AF1066">
        <v>8.4870200901614101</v>
      </c>
      <c r="AG1066">
        <v>-1.0406226199999999</v>
      </c>
      <c r="AH1066">
        <v>53.699174303982502</v>
      </c>
      <c r="AI1066">
        <v>91.096573557421095</v>
      </c>
      <c r="AJ1066">
        <v>81.018833972282195</v>
      </c>
      <c r="AK1066">
        <v>54.375672192420303</v>
      </c>
      <c r="AL1066">
        <v>78.581847436445699</v>
      </c>
      <c r="AM1066">
        <v>86.161236378759597</v>
      </c>
      <c r="AN1066">
        <v>0.99999999025277198</v>
      </c>
    </row>
    <row r="1067" spans="1:40" x14ac:dyDescent="0.25">
      <c r="A1067" t="str">
        <f>"20190303170740154"</f>
        <v>20190303170740154</v>
      </c>
      <c r="B1067" t="str">
        <f>"1551604060143108"</f>
        <v>1551604060143108</v>
      </c>
      <c r="C1067" t="s">
        <v>40</v>
      </c>
      <c r="D1067">
        <v>4.8823999999999996</v>
      </c>
      <c r="E1067">
        <v>0.54540919999999904</v>
      </c>
      <c r="F1067" t="s">
        <v>57</v>
      </c>
      <c r="G1067">
        <v>-201.39019999999999</v>
      </c>
      <c r="H1067">
        <v>4.1679300000000002E-2</v>
      </c>
      <c r="I1067">
        <v>279.0333</v>
      </c>
      <c r="J1067">
        <v>-191.2861</v>
      </c>
      <c r="K1067">
        <v>1.120681</v>
      </c>
      <c r="L1067">
        <v>328.14299999999997</v>
      </c>
      <c r="M1067">
        <v>-3.47284E-2</v>
      </c>
      <c r="N1067">
        <v>-3.8941560000000002E-3</v>
      </c>
      <c r="O1067">
        <v>-0.99938919999999998</v>
      </c>
      <c r="P1067">
        <v>-0.1018535</v>
      </c>
      <c r="Q1067">
        <v>0.1923493</v>
      </c>
      <c r="R1067">
        <v>-0.97602659999999997</v>
      </c>
      <c r="S1067">
        <v>-0.61885069999999998</v>
      </c>
      <c r="T1067">
        <v>-6.6016080000000005E-2</v>
      </c>
      <c r="U1067">
        <v>-3.0237120000000002</v>
      </c>
      <c r="V1067">
        <v>6.7552329999999994E-2</v>
      </c>
      <c r="W1067">
        <v>0.19627849999999999</v>
      </c>
      <c r="X1067">
        <v>0.97821849999999999</v>
      </c>
      <c r="Y1067">
        <v>0.16632620000000001</v>
      </c>
      <c r="Z1067">
        <v>1.7554070000000001E-2</v>
      </c>
      <c r="AA1067">
        <v>0.98591450000000003</v>
      </c>
      <c r="AB1067">
        <v>32</v>
      </c>
      <c r="AC1067">
        <v>-10.104099999999899</v>
      </c>
      <c r="AD1067">
        <v>-1.0790017000000001</v>
      </c>
      <c r="AE1067">
        <v>-49.109699999999997</v>
      </c>
      <c r="AF1067">
        <v>8.3886057229405608</v>
      </c>
      <c r="AG1067">
        <v>-1.0790017000000001</v>
      </c>
      <c r="AH1067">
        <v>49.4080954114132</v>
      </c>
      <c r="AI1067">
        <v>91.233413233511499</v>
      </c>
      <c r="AJ1067">
        <v>80.364094237928498</v>
      </c>
      <c r="AK1067">
        <v>50.126767727700802</v>
      </c>
      <c r="AL1067">
        <v>78.680580318752604</v>
      </c>
      <c r="AM1067">
        <v>86.049626475558199</v>
      </c>
      <c r="AN1067">
        <v>1.00000000029646</v>
      </c>
    </row>
    <row r="1068" spans="1:40" x14ac:dyDescent="0.25">
      <c r="A1068" t="str">
        <f>"20190303170740177"</f>
        <v>20190303170740177</v>
      </c>
      <c r="B1068" t="str">
        <f>"1551604060163604"</f>
        <v>1551604060163604</v>
      </c>
      <c r="C1068" t="s">
        <v>40</v>
      </c>
      <c r="D1068">
        <v>4.9447950000000001</v>
      </c>
      <c r="E1068">
        <v>0.54625239999999997</v>
      </c>
      <c r="F1068" t="s">
        <v>57</v>
      </c>
      <c r="G1068">
        <v>-200.92420000000001</v>
      </c>
      <c r="H1068" s="1">
        <v>2.8329340000000001E-6</v>
      </c>
      <c r="I1068">
        <v>282.25869999999998</v>
      </c>
      <c r="J1068">
        <v>-191.29679999999999</v>
      </c>
      <c r="K1068">
        <v>1.120741</v>
      </c>
      <c r="L1068">
        <v>327.81139999999999</v>
      </c>
      <c r="M1068">
        <v>-3.3750639999999998E-2</v>
      </c>
      <c r="N1068">
        <v>-4.052333E-3</v>
      </c>
      <c r="O1068">
        <v>-0.99942229999999999</v>
      </c>
      <c r="P1068">
        <v>-0.1024757</v>
      </c>
      <c r="Q1068">
        <v>0.1908175</v>
      </c>
      <c r="R1068">
        <v>-0.97626239999999997</v>
      </c>
      <c r="S1068">
        <v>-0.63478089999999998</v>
      </c>
      <c r="T1068">
        <v>-7.3810100000000003E-2</v>
      </c>
      <c r="U1068">
        <v>-3.0220340000000001</v>
      </c>
      <c r="V1068">
        <v>6.9103789999999998E-2</v>
      </c>
      <c r="W1068">
        <v>0.19491349999999999</v>
      </c>
      <c r="X1068">
        <v>0.97838309999999995</v>
      </c>
      <c r="Y1068">
        <v>0.172367299999999</v>
      </c>
      <c r="Z1068">
        <v>1.99148E-2</v>
      </c>
      <c r="AA1068">
        <v>0.98483140000000002</v>
      </c>
      <c r="AB1068">
        <v>32</v>
      </c>
      <c r="AC1068">
        <v>-9.6274000000000193</v>
      </c>
      <c r="AD1068">
        <v>-1.1207381670659999</v>
      </c>
      <c r="AE1068">
        <v>-45.552700000000002</v>
      </c>
      <c r="AF1068">
        <v>8.0797883053412107</v>
      </c>
      <c r="AG1068">
        <v>-1.1207381670659999</v>
      </c>
      <c r="AH1068">
        <v>45.825128506297801</v>
      </c>
      <c r="AI1068">
        <v>91.379721025312506</v>
      </c>
      <c r="AJ1068">
        <v>80.000507169393003</v>
      </c>
      <c r="AK1068">
        <v>46.545477070462503</v>
      </c>
      <c r="AL1068">
        <v>78.760330001338403</v>
      </c>
      <c r="AM1068">
        <v>85.959873832952596</v>
      </c>
      <c r="AN1068">
        <v>1.0000000483201099</v>
      </c>
    </row>
    <row r="1069" spans="1:40" x14ac:dyDescent="0.25">
      <c r="A1069" t="str">
        <f>"20190303170740201"</f>
        <v>20190303170740201</v>
      </c>
      <c r="B1069" t="str">
        <f>"1551604060193860"</f>
        <v>1551604060193860</v>
      </c>
      <c r="C1069" t="s">
        <v>40</v>
      </c>
      <c r="D1069">
        <v>4.9431479999999999</v>
      </c>
      <c r="E1069">
        <v>0.546956</v>
      </c>
      <c r="F1069" t="s">
        <v>57</v>
      </c>
      <c r="G1069">
        <v>-200.49440000000001</v>
      </c>
      <c r="H1069" s="1">
        <v>2.4336400000000001E-6</v>
      </c>
      <c r="I1069">
        <v>284.64600000000002</v>
      </c>
      <c r="J1069">
        <v>-191.30760000000001</v>
      </c>
      <c r="K1069">
        <v>1.120822</v>
      </c>
      <c r="L1069">
        <v>327.45920000000001</v>
      </c>
      <c r="M1069">
        <v>-3.266376E-2</v>
      </c>
      <c r="N1069">
        <v>-4.2777329999999997E-3</v>
      </c>
      <c r="O1069">
        <v>-0.99945729999999999</v>
      </c>
      <c r="P1069">
        <v>-0.1034031</v>
      </c>
      <c r="Q1069">
        <v>0.1907286</v>
      </c>
      <c r="R1069">
        <v>-0.97618190000000005</v>
      </c>
      <c r="S1069">
        <v>-0.64364619999999995</v>
      </c>
      <c r="T1069">
        <v>-7.8428750000000005E-2</v>
      </c>
      <c r="U1069">
        <v>-3.0206909999999998</v>
      </c>
      <c r="V1069">
        <v>7.107608E-2</v>
      </c>
      <c r="W1069">
        <v>0.19505610000000001</v>
      </c>
      <c r="X1069">
        <v>0.97821329999999995</v>
      </c>
      <c r="Y1069">
        <v>0.17628479999999999</v>
      </c>
      <c r="Z1069">
        <v>2.1183839999999999E-2</v>
      </c>
      <c r="AA1069">
        <v>0.98411119999999996</v>
      </c>
      <c r="AB1069">
        <v>32</v>
      </c>
      <c r="AC1069">
        <v>-9.1867999999999999</v>
      </c>
      <c r="AD1069">
        <v>-1.12081956636</v>
      </c>
      <c r="AE1069">
        <v>-42.813200000000002</v>
      </c>
      <c r="AF1069">
        <v>7.7783487200741499</v>
      </c>
      <c r="AG1069">
        <v>-1.12081956636</v>
      </c>
      <c r="AH1069">
        <v>43.062218634517301</v>
      </c>
      <c r="AI1069">
        <v>91.467219782710998</v>
      </c>
      <c r="AJ1069">
        <v>79.761040613151394</v>
      </c>
      <c r="AK1069">
        <v>43.773435083831203</v>
      </c>
      <c r="AL1069">
        <v>78.751998908250201</v>
      </c>
      <c r="AM1069">
        <v>85.844244231753095</v>
      </c>
      <c r="AN1069">
        <v>0.99999997579613198</v>
      </c>
    </row>
    <row r="1070" spans="1:40" x14ac:dyDescent="0.25">
      <c r="A1070" t="str">
        <f>"20190303170740223"</f>
        <v>20190303170740223</v>
      </c>
      <c r="B1070" t="str">
        <f>"1551604060213379"</f>
        <v>1551604060213379</v>
      </c>
      <c r="C1070" t="s">
        <v>40</v>
      </c>
      <c r="D1070">
        <v>4.9801529999999996</v>
      </c>
      <c r="E1070">
        <v>0.54731940000000001</v>
      </c>
      <c r="F1070" t="s">
        <v>57</v>
      </c>
      <c r="G1070">
        <v>-200.64320000000001</v>
      </c>
      <c r="H1070" s="1">
        <v>2.5410069999999999E-6</v>
      </c>
      <c r="I1070">
        <v>284.17239999999998</v>
      </c>
      <c r="J1070">
        <v>-191.3169</v>
      </c>
      <c r="K1070">
        <v>1.120908</v>
      </c>
      <c r="L1070">
        <v>327.1472</v>
      </c>
      <c r="M1070">
        <v>-3.1669160000000002E-2</v>
      </c>
      <c r="N1070">
        <v>-4.5448729999999996E-3</v>
      </c>
      <c r="O1070">
        <v>-0.99948820000000005</v>
      </c>
      <c r="P1070">
        <v>-0.1036487</v>
      </c>
      <c r="Q1070">
        <v>0.1924314</v>
      </c>
      <c r="R1070">
        <v>-0.97582170000000001</v>
      </c>
      <c r="S1070">
        <v>-0.65121459999999998</v>
      </c>
      <c r="T1070">
        <v>-7.8184370000000003E-2</v>
      </c>
      <c r="U1070">
        <v>-3.0195310000000002</v>
      </c>
      <c r="V1070">
        <v>7.2287180000000006E-2</v>
      </c>
      <c r="W1070">
        <v>0.19702649999999999</v>
      </c>
      <c r="X1070">
        <v>0.97772959999999998</v>
      </c>
      <c r="Y1070">
        <v>0.1796991</v>
      </c>
      <c r="Z1070">
        <v>2.0834390000000001E-2</v>
      </c>
      <c r="AA1070">
        <v>0.98350099999999996</v>
      </c>
      <c r="AB1070">
        <v>32</v>
      </c>
      <c r="AC1070">
        <v>-9.3262999999999998</v>
      </c>
      <c r="AD1070">
        <v>-1.1209054589929901</v>
      </c>
      <c r="AE1070">
        <v>-42.974800000000002</v>
      </c>
      <c r="AF1070">
        <v>7.9554634005508102</v>
      </c>
      <c r="AG1070">
        <v>-1.1209054589929901</v>
      </c>
      <c r="AH1070">
        <v>43.220521717837897</v>
      </c>
      <c r="AI1070">
        <v>91.461074190587198</v>
      </c>
      <c r="AJ1070">
        <v>79.570489144892903</v>
      </c>
      <c r="AK1070">
        <v>43.9608840280493</v>
      </c>
      <c r="AL1070">
        <v>78.636869822785698</v>
      </c>
      <c r="AM1070">
        <v>85.771603473716397</v>
      </c>
      <c r="AN1070">
        <v>1.0000000244053799</v>
      </c>
    </row>
    <row r="1071" spans="1:40" x14ac:dyDescent="0.25">
      <c r="A1071" t="str">
        <f>"20190303170740266"</f>
        <v>20190303170740266</v>
      </c>
      <c r="B1071" t="str">
        <f>"1551604060253396"</f>
        <v>1551604060253396</v>
      </c>
      <c r="C1071" t="s">
        <v>40</v>
      </c>
      <c r="D1071">
        <v>4.9912539999999996</v>
      </c>
      <c r="E1071">
        <v>0.54779100000000003</v>
      </c>
      <c r="F1071" t="s">
        <v>57</v>
      </c>
      <c r="G1071">
        <v>-201.4248</v>
      </c>
      <c r="H1071" s="1">
        <v>3.2042880000000001E-6</v>
      </c>
      <c r="I1071">
        <v>280.55020000000002</v>
      </c>
      <c r="J1071">
        <v>-191.33439999999999</v>
      </c>
      <c r="K1071">
        <v>1.1211070000000001</v>
      </c>
      <c r="L1071">
        <v>326.52589999999998</v>
      </c>
      <c r="M1071">
        <v>-2.9634919999999999E-2</v>
      </c>
      <c r="N1071">
        <v>-5.2946139999999996E-3</v>
      </c>
      <c r="O1071">
        <v>-0.99954690000000002</v>
      </c>
      <c r="P1071">
        <v>-0.10450329999999999</v>
      </c>
      <c r="Q1071">
        <v>0.19303870000000001</v>
      </c>
      <c r="R1071">
        <v>-0.97561039999999999</v>
      </c>
      <c r="S1071">
        <v>-0.65490719999999902</v>
      </c>
      <c r="T1071">
        <v>-7.2625399999999896E-2</v>
      </c>
      <c r="U1071">
        <v>-3.019104</v>
      </c>
      <c r="V1071">
        <v>7.5113199999999894E-2</v>
      </c>
      <c r="W1071">
        <v>0.19837920000000001</v>
      </c>
      <c r="X1071">
        <v>0.97724290000000003</v>
      </c>
      <c r="Y1071">
        <v>0.18288679999999999</v>
      </c>
      <c r="Z1071">
        <v>1.8279299999999998E-2</v>
      </c>
      <c r="AA1071">
        <v>0.98296399999999995</v>
      </c>
      <c r="AB1071">
        <v>32</v>
      </c>
      <c r="AC1071">
        <v>-10.090400000000001</v>
      </c>
      <c r="AD1071">
        <v>-1.121103795712</v>
      </c>
      <c r="AE1071">
        <v>-45.975699999999897</v>
      </c>
      <c r="AF1071">
        <v>8.7185170434584993</v>
      </c>
      <c r="AG1071">
        <v>-1.121103795712</v>
      </c>
      <c r="AH1071">
        <v>46.228313977308801</v>
      </c>
      <c r="AI1071">
        <v>91.365176259832694</v>
      </c>
      <c r="AJ1071">
        <v>79.319643116848098</v>
      </c>
      <c r="AK1071">
        <v>47.056629993471503</v>
      </c>
      <c r="AL1071">
        <v>78.557804872309603</v>
      </c>
      <c r="AM1071">
        <v>85.604752763627204</v>
      </c>
      <c r="AN1071">
        <v>0.99999999270364504</v>
      </c>
    </row>
    <row r="1072" spans="1:40" x14ac:dyDescent="0.25">
      <c r="A1072" t="str">
        <f>"20190303170740291"</f>
        <v>20190303170740291</v>
      </c>
      <c r="B1072" t="str">
        <f>"1551604060283652"</f>
        <v>1551604060283652</v>
      </c>
      <c r="C1072" t="s">
        <v>40</v>
      </c>
      <c r="D1072">
        <v>5.0302769999999999</v>
      </c>
      <c r="E1072">
        <v>0.54806180000000004</v>
      </c>
      <c r="F1072" t="s">
        <v>57</v>
      </c>
      <c r="G1072">
        <v>-201.68520000000001</v>
      </c>
      <c r="H1072">
        <v>7.4491169999999999E-3</v>
      </c>
      <c r="I1072">
        <v>279.1968</v>
      </c>
      <c r="J1072">
        <v>-191.34399999999999</v>
      </c>
      <c r="K1072">
        <v>1.1212040000000001</v>
      </c>
      <c r="L1072">
        <v>326.15989999999999</v>
      </c>
      <c r="M1072">
        <v>-2.8419679999999999E-2</v>
      </c>
      <c r="N1072">
        <v>-5.8025219999999897E-3</v>
      </c>
      <c r="O1072">
        <v>-0.99957929999999995</v>
      </c>
      <c r="P1072">
        <v>-0.1042968</v>
      </c>
      <c r="Q1072">
        <v>0.19128680000000001</v>
      </c>
      <c r="R1072">
        <v>-0.97597710000000004</v>
      </c>
      <c r="S1072">
        <v>-0.66011049999999905</v>
      </c>
      <c r="T1072">
        <v>-7.1021799999999996E-2</v>
      </c>
      <c r="U1072">
        <v>-3.0183409999999999</v>
      </c>
      <c r="V1072">
        <v>7.6079079999999993E-2</v>
      </c>
      <c r="W1072">
        <v>0.19713169999999999</v>
      </c>
      <c r="X1072">
        <v>0.97742059999999997</v>
      </c>
      <c r="Y1072">
        <v>0.18575269999999999</v>
      </c>
      <c r="Z1072">
        <v>1.724906E-2</v>
      </c>
      <c r="AA1072">
        <v>0.98244509999999996</v>
      </c>
      <c r="AB1072">
        <v>33</v>
      </c>
      <c r="AC1072">
        <v>-10.341199999999899</v>
      </c>
      <c r="AD1072">
        <v>-1.1137548829999999</v>
      </c>
      <c r="AE1072">
        <v>-46.963099999999997</v>
      </c>
      <c r="AF1072">
        <v>8.9974977643879495</v>
      </c>
      <c r="AG1072">
        <v>-1.1137548829999999</v>
      </c>
      <c r="AH1072">
        <v>47.212702823706003</v>
      </c>
      <c r="AI1072">
        <v>91.327483348910206</v>
      </c>
      <c r="AJ1072">
        <v>79.210312937416703</v>
      </c>
      <c r="AK1072">
        <v>48.075302639496201</v>
      </c>
      <c r="AL1072">
        <v>78.630721232882095</v>
      </c>
      <c r="AM1072">
        <v>85.549266113727001</v>
      </c>
      <c r="AN1072">
        <v>0.99999998143144797</v>
      </c>
    </row>
    <row r="1073" spans="1:40" x14ac:dyDescent="0.25">
      <c r="A1073" t="str">
        <f>"20190303170740310"</f>
        <v>20190303170740310</v>
      </c>
      <c r="B1073" t="str">
        <f>"1551604060303172"</f>
        <v>1551604060303172</v>
      </c>
      <c r="C1073" t="s">
        <v>40</v>
      </c>
      <c r="D1073">
        <v>5.0341430000000003</v>
      </c>
      <c r="E1073">
        <v>0.5481393</v>
      </c>
      <c r="F1073" t="s">
        <v>57</v>
      </c>
      <c r="G1073">
        <v>-201.01499999999999</v>
      </c>
      <c r="H1073" s="1">
        <v>2.8940909999999999E-6</v>
      </c>
      <c r="I1073">
        <v>282.01960000000003</v>
      </c>
      <c r="J1073">
        <v>-191.35120000000001</v>
      </c>
      <c r="K1073">
        <v>1.1212679999999999</v>
      </c>
      <c r="L1073">
        <v>325.8768</v>
      </c>
      <c r="M1073">
        <v>-2.7478320000000001E-2</v>
      </c>
      <c r="N1073">
        <v>-6.2225919999999999E-3</v>
      </c>
      <c r="O1073">
        <v>-0.99960320000000003</v>
      </c>
      <c r="P1073">
        <v>-0.10455440000000001</v>
      </c>
      <c r="Q1073">
        <v>0.19048760000000001</v>
      </c>
      <c r="R1073">
        <v>-0.97610589999999997</v>
      </c>
      <c r="S1073">
        <v>-0.66127009999999997</v>
      </c>
      <c r="T1073">
        <v>-7.6664570000000001E-2</v>
      </c>
      <c r="U1073">
        <v>-3.0181879999999999</v>
      </c>
      <c r="V1073">
        <v>7.7249559999999995E-2</v>
      </c>
      <c r="W1073">
        <v>0.19674829999999999</v>
      </c>
      <c r="X1073">
        <v>0.97740610000000006</v>
      </c>
      <c r="Y1073">
        <v>0.1870405</v>
      </c>
      <c r="Z1073">
        <v>1.865698E-2</v>
      </c>
      <c r="AA1073">
        <v>0.98217500000000002</v>
      </c>
      <c r="AB1073">
        <v>33</v>
      </c>
      <c r="AC1073">
        <v>-9.6637999999999806</v>
      </c>
      <c r="AD1073">
        <v>-1.121265105909</v>
      </c>
      <c r="AE1073">
        <v>-43.857199999999899</v>
      </c>
      <c r="AF1073">
        <v>8.4497382037488293</v>
      </c>
      <c r="AG1073">
        <v>-1.121265105909</v>
      </c>
      <c r="AH1073">
        <v>44.078711697383703</v>
      </c>
      <c r="AI1073">
        <v>91.431117202160493</v>
      </c>
      <c r="AJ1073">
        <v>79.148242302476206</v>
      </c>
      <c r="AK1073">
        <v>44.895301937404199</v>
      </c>
      <c r="AL1073">
        <v>78.653127874564206</v>
      </c>
      <c r="AM1073">
        <v>85.481006092333502</v>
      </c>
      <c r="AN1073">
        <v>1.00000003619514</v>
      </c>
    </row>
    <row r="1074" spans="1:40" x14ac:dyDescent="0.25">
      <c r="A1074" t="str">
        <f>"20190303170740333"</f>
        <v>20190303170740333</v>
      </c>
      <c r="B1074" t="str">
        <f>"1551604060323668"</f>
        <v>1551604060323668</v>
      </c>
      <c r="C1074" t="s">
        <v>40</v>
      </c>
      <c r="D1074">
        <v>5.0524440000000004</v>
      </c>
      <c r="E1074">
        <v>0.54823080000000002</v>
      </c>
      <c r="F1074" t="s">
        <v>57</v>
      </c>
      <c r="G1074">
        <v>-200.66079999999999</v>
      </c>
      <c r="H1074" s="1">
        <v>2.6134050000000002E-6</v>
      </c>
      <c r="I1074">
        <v>283.43360000000001</v>
      </c>
      <c r="J1074">
        <v>-191.35919999999999</v>
      </c>
      <c r="K1074">
        <v>1.121346</v>
      </c>
      <c r="L1074">
        <v>325.54379999999998</v>
      </c>
      <c r="M1074">
        <v>-2.6371599999999999E-2</v>
      </c>
      <c r="N1074">
        <v>-6.7261409999999997E-3</v>
      </c>
      <c r="O1074">
        <v>-0.99962969999999896</v>
      </c>
      <c r="P1074">
        <v>-0.10517849999999999</v>
      </c>
      <c r="Q1074">
        <v>0.19036910000000001</v>
      </c>
      <c r="R1074">
        <v>-0.97606230000000005</v>
      </c>
      <c r="S1074">
        <v>-0.6620026</v>
      </c>
      <c r="T1074">
        <v>-7.9733010000000007E-2</v>
      </c>
      <c r="U1074">
        <v>-3.0181269999999998</v>
      </c>
      <c r="V1074">
        <v>7.8951709999999994E-2</v>
      </c>
      <c r="W1074">
        <v>0.197127</v>
      </c>
      <c r="X1074">
        <v>0.97719370000000005</v>
      </c>
      <c r="Y1074">
        <v>0.18835489999999999</v>
      </c>
      <c r="Z1074">
        <v>1.9146429999999999E-2</v>
      </c>
      <c r="AA1074">
        <v>0.98191439999999997</v>
      </c>
      <c r="AB1074">
        <v>33</v>
      </c>
      <c r="AC1074">
        <v>-9.3016000000000005</v>
      </c>
      <c r="AD1074">
        <v>-1.121343386595</v>
      </c>
      <c r="AE1074">
        <v>-42.110199999999899</v>
      </c>
      <c r="AF1074">
        <v>8.1822944181081105</v>
      </c>
      <c r="AG1074">
        <v>-1.121343386595</v>
      </c>
      <c r="AH1074">
        <v>42.312249890540002</v>
      </c>
      <c r="AI1074">
        <v>91.4904760597163</v>
      </c>
      <c r="AJ1074">
        <v>79.0553004127798</v>
      </c>
      <c r="AK1074">
        <v>43.110716112525502</v>
      </c>
      <c r="AL1074">
        <v>78.630995861684397</v>
      </c>
      <c r="AM1074">
        <v>85.380859286972196</v>
      </c>
      <c r="AN1074">
        <v>0.99999997698030596</v>
      </c>
    </row>
    <row r="1075" spans="1:40" x14ac:dyDescent="0.25">
      <c r="A1075" t="str">
        <f>"20190303170740356"</f>
        <v>20190303170740356</v>
      </c>
      <c r="B1075" t="str">
        <f>"1551604060344164"</f>
        <v>1551604060344164</v>
      </c>
      <c r="C1075" t="s">
        <v>40</v>
      </c>
      <c r="D1075">
        <v>5.0485300000000004</v>
      </c>
      <c r="E1075">
        <v>0.54841549999999994</v>
      </c>
      <c r="F1075" t="s">
        <v>57</v>
      </c>
      <c r="G1075">
        <v>-200.53630000000001</v>
      </c>
      <c r="H1075" s="1">
        <v>2.5270729999999998E-6</v>
      </c>
      <c r="I1075">
        <v>283.78960000000001</v>
      </c>
      <c r="J1075">
        <v>-191.36689999999999</v>
      </c>
      <c r="K1075">
        <v>1.1214200000000001</v>
      </c>
      <c r="L1075">
        <v>325.21039999999999</v>
      </c>
      <c r="M1075">
        <v>-2.526569E-2</v>
      </c>
      <c r="N1075">
        <v>-7.223953E-3</v>
      </c>
      <c r="O1075">
        <v>-0.99965479999999995</v>
      </c>
      <c r="P1075">
        <v>-0.10626969999999999</v>
      </c>
      <c r="Q1075">
        <v>0.19067290000000001</v>
      </c>
      <c r="R1075">
        <v>-0.97588459999999999</v>
      </c>
      <c r="S1075">
        <v>-0.66329959999999999</v>
      </c>
      <c r="T1075">
        <v>-8.1048609999999993E-2</v>
      </c>
      <c r="U1075">
        <v>-3.0179140000000002</v>
      </c>
      <c r="V1075">
        <v>8.1123360000000005E-2</v>
      </c>
      <c r="W1075">
        <v>0.19792209999999999</v>
      </c>
      <c r="X1075">
        <v>0.97685509999999998</v>
      </c>
      <c r="Y1075">
        <v>0.1898562</v>
      </c>
      <c r="Z1075">
        <v>1.9073530000000002E-2</v>
      </c>
      <c r="AA1075">
        <v>0.98162660000000002</v>
      </c>
      <c r="AB1075">
        <v>33</v>
      </c>
      <c r="AC1075">
        <v>-9.1694000000000209</v>
      </c>
      <c r="AD1075">
        <v>-1.1214174729269999</v>
      </c>
      <c r="AE1075">
        <v>-41.4207999999999</v>
      </c>
      <c r="AF1075">
        <v>8.1142506423487593</v>
      </c>
      <c r="AG1075">
        <v>-1.1214174729269999</v>
      </c>
      <c r="AH1075">
        <v>41.610178862227201</v>
      </c>
      <c r="AI1075">
        <v>91.515251337313202</v>
      </c>
      <c r="AJ1075">
        <v>78.965438454462699</v>
      </c>
      <c r="AK1075">
        <v>42.408791842989203</v>
      </c>
      <c r="AL1075">
        <v>78.584524919955896</v>
      </c>
      <c r="AM1075">
        <v>85.252740105913006</v>
      </c>
      <c r="AN1075">
        <v>1.0000000218010501</v>
      </c>
    </row>
    <row r="1076" spans="1:40" x14ac:dyDescent="0.25">
      <c r="A1076" t="str">
        <f>"20190303170740382"</f>
        <v>20190303170740382</v>
      </c>
      <c r="B1076" t="str">
        <f>"1551604060373444"</f>
        <v>1551604060373444</v>
      </c>
      <c r="C1076" t="s">
        <v>40</v>
      </c>
      <c r="D1076">
        <v>5.0751179999999998</v>
      </c>
      <c r="E1076">
        <v>0.54859190000000002</v>
      </c>
      <c r="F1076" t="s">
        <v>57</v>
      </c>
      <c r="G1076">
        <v>-200.59010000000001</v>
      </c>
      <c r="H1076" s="1">
        <v>2.5737680000000002E-6</v>
      </c>
      <c r="I1076">
        <v>283.52850000000001</v>
      </c>
      <c r="J1076">
        <v>-191.3749</v>
      </c>
      <c r="K1076">
        <v>1.121497</v>
      </c>
      <c r="L1076">
        <v>324.84129999999999</v>
      </c>
      <c r="M1076">
        <v>-2.4041750000000001E-2</v>
      </c>
      <c r="N1076">
        <v>-7.7634289999999996E-3</v>
      </c>
      <c r="O1076">
        <v>-0.99968109999999999</v>
      </c>
      <c r="P1076">
        <v>-0.1067628</v>
      </c>
      <c r="Q1076">
        <v>0.1906892</v>
      </c>
      <c r="R1076">
        <v>-0.97582789999999997</v>
      </c>
      <c r="S1076">
        <v>-0.66764829999999997</v>
      </c>
      <c r="T1076">
        <v>-8.1177120000000005E-2</v>
      </c>
      <c r="U1076">
        <v>-3.0172729999999999</v>
      </c>
      <c r="V1076">
        <v>8.2810700000000001E-2</v>
      </c>
      <c r="W1076">
        <v>0.19846939999999999</v>
      </c>
      <c r="X1076">
        <v>0.97660239999999998</v>
      </c>
      <c r="Y1076">
        <v>0.19245000000000001</v>
      </c>
      <c r="Z1076">
        <v>1.857228E-2</v>
      </c>
      <c r="AA1076">
        <v>0.98113099999999998</v>
      </c>
      <c r="AB1076">
        <v>33</v>
      </c>
      <c r="AC1076">
        <v>-9.21520000000001</v>
      </c>
      <c r="AD1076">
        <v>-1.1214944262319999</v>
      </c>
      <c r="AE1076">
        <v>-41.312799999999903</v>
      </c>
      <c r="AF1076">
        <v>8.2135087020113193</v>
      </c>
      <c r="AG1076">
        <v>-1.1214944262319999</v>
      </c>
      <c r="AH1076">
        <v>41.493285921075703</v>
      </c>
      <c r="AI1076">
        <v>91.518777282910904</v>
      </c>
      <c r="AJ1076">
        <v>78.803166647853999</v>
      </c>
      <c r="AK1076">
        <v>42.313263304479698</v>
      </c>
      <c r="AL1076">
        <v>78.552531814114303</v>
      </c>
      <c r="AM1076">
        <v>85.153216168358</v>
      </c>
      <c r="AN1076">
        <v>0.99999998122830402</v>
      </c>
    </row>
    <row r="1077" spans="1:40" x14ac:dyDescent="0.25">
      <c r="A1077" t="str">
        <f>"20190303170740426"</f>
        <v>20190303170740426</v>
      </c>
      <c r="B1077" t="str">
        <f>"1551604060413460"</f>
        <v>1551604060413460</v>
      </c>
      <c r="C1077" t="s">
        <v>40</v>
      </c>
      <c r="D1077">
        <v>5.0838650000000003</v>
      </c>
      <c r="E1077">
        <v>0.5487301</v>
      </c>
      <c r="F1077" t="s">
        <v>57</v>
      </c>
      <c r="G1077">
        <v>-200.5942</v>
      </c>
      <c r="H1077" s="1">
        <v>2.5904939999999999E-6</v>
      </c>
      <c r="I1077">
        <v>283.35809999999998</v>
      </c>
      <c r="J1077">
        <v>-191.3879</v>
      </c>
      <c r="K1077">
        <v>1.1215710000000001</v>
      </c>
      <c r="L1077">
        <v>324.1995</v>
      </c>
      <c r="M1077">
        <v>-2.1933899999999999E-2</v>
      </c>
      <c r="N1077">
        <v>-8.6550069999999993E-3</v>
      </c>
      <c r="O1077">
        <v>-0.99972229999999995</v>
      </c>
      <c r="P1077">
        <v>-0.10853110000000001</v>
      </c>
      <c r="Q1077">
        <v>0.18779779999999999</v>
      </c>
      <c r="R1077">
        <v>-0.9761938</v>
      </c>
      <c r="S1077">
        <v>-0.67048649999999999</v>
      </c>
      <c r="T1077">
        <v>-8.1562519999999999E-2</v>
      </c>
      <c r="U1077">
        <v>-3.016937</v>
      </c>
      <c r="V1077">
        <v>8.6638439999999997E-2</v>
      </c>
      <c r="W1077">
        <v>0.19645889999999999</v>
      </c>
      <c r="X1077">
        <v>0.97667689999999996</v>
      </c>
      <c r="Y1077">
        <v>0.1954196</v>
      </c>
      <c r="Z1077">
        <v>1.7800440000000001E-2</v>
      </c>
      <c r="AA1077">
        <v>0.98055820000000005</v>
      </c>
      <c r="AB1077">
        <v>33</v>
      </c>
      <c r="AC1077">
        <v>-9.2063000000000006</v>
      </c>
      <c r="AD1077">
        <v>-1.1215684095059999</v>
      </c>
      <c r="AE1077">
        <v>-40.8414</v>
      </c>
      <c r="AF1077">
        <v>8.30228227658713</v>
      </c>
      <c r="AG1077">
        <v>-1.1215684095059999</v>
      </c>
      <c r="AH1077">
        <v>41.004083906038701</v>
      </c>
      <c r="AI1077">
        <v>91.535651826910296</v>
      </c>
      <c r="AJ1077">
        <v>78.553806039463296</v>
      </c>
      <c r="AK1077">
        <v>41.851173265164299</v>
      </c>
      <c r="AL1077">
        <v>78.670039408782003</v>
      </c>
      <c r="AM1077">
        <v>84.930710990420195</v>
      </c>
      <c r="AN1077">
        <v>1.0000000428342199</v>
      </c>
    </row>
    <row r="1078" spans="1:40" x14ac:dyDescent="0.25">
      <c r="A1078" t="str">
        <f>"20190303170740445"</f>
        <v>20190303170740445</v>
      </c>
      <c r="B1078" t="str">
        <f>"1551604060432981"</f>
        <v>1551604060432981</v>
      </c>
      <c r="C1078" t="s">
        <v>40</v>
      </c>
      <c r="D1078">
        <v>5.0923889999999998</v>
      </c>
      <c r="E1078">
        <v>0.54879250000000002</v>
      </c>
      <c r="F1078" t="s">
        <v>57</v>
      </c>
      <c r="G1078">
        <v>-199.69390000000001</v>
      </c>
      <c r="H1078" s="1">
        <v>2.0217629999999999E-6</v>
      </c>
      <c r="I1078">
        <v>287.1705</v>
      </c>
      <c r="J1078">
        <v>-191.39330000000001</v>
      </c>
      <c r="K1078">
        <v>1.121597</v>
      </c>
      <c r="L1078">
        <v>323.90519999999998</v>
      </c>
      <c r="M1078">
        <v>-2.0988690000000001E-2</v>
      </c>
      <c r="N1078">
        <v>-9.0364420000000004E-3</v>
      </c>
      <c r="O1078">
        <v>-0.99973920000000005</v>
      </c>
      <c r="P1078">
        <v>-0.10879469999999999</v>
      </c>
      <c r="Q1078">
        <v>0.18744140000000001</v>
      </c>
      <c r="R1078">
        <v>-0.97623260000000001</v>
      </c>
      <c r="S1078">
        <v>-0.67642209999999903</v>
      </c>
      <c r="T1078">
        <v>-9.133732E-2</v>
      </c>
      <c r="U1078">
        <v>-3.015533</v>
      </c>
      <c r="V1078">
        <v>8.7831129999999993E-2</v>
      </c>
      <c r="W1078">
        <v>0.19647580000000001</v>
      </c>
      <c r="X1078">
        <v>0.97656690000000002</v>
      </c>
      <c r="Y1078">
        <v>0.19826440000000001</v>
      </c>
      <c r="Z1078">
        <v>2.0584559999999998E-2</v>
      </c>
      <c r="AA1078">
        <v>0.97993240000000004</v>
      </c>
      <c r="AB1078">
        <v>33</v>
      </c>
      <c r="AC1078">
        <v>-8.3005999999999993</v>
      </c>
      <c r="AD1078">
        <v>-1.1215949782370001</v>
      </c>
      <c r="AE1078">
        <v>-36.734699999999897</v>
      </c>
      <c r="AF1078">
        <v>7.5210561817687402</v>
      </c>
      <c r="AG1078">
        <v>-1.1215949782370001</v>
      </c>
      <c r="AH1078">
        <v>36.8681332731582</v>
      </c>
      <c r="AI1078">
        <v>91.707360549503605</v>
      </c>
      <c r="AJ1078">
        <v>78.469933775362506</v>
      </c>
      <c r="AK1078">
        <v>37.6441697003917</v>
      </c>
      <c r="AL1078">
        <v>78.669051127834607</v>
      </c>
      <c r="AM1078">
        <v>84.860721069504194</v>
      </c>
      <c r="AN1078">
        <v>0.99999997877916302</v>
      </c>
    </row>
    <row r="1079" spans="1:40" x14ac:dyDescent="0.25">
      <c r="A1079" t="str">
        <f>"20190303170740468"</f>
        <v>20190303170740468</v>
      </c>
      <c r="B1079" t="str">
        <f>"1551604060453476"</f>
        <v>1551604060453476</v>
      </c>
      <c r="C1079" t="s">
        <v>40</v>
      </c>
      <c r="D1079">
        <v>5.1023239999999896</v>
      </c>
      <c r="E1079">
        <v>0.54883999999999999</v>
      </c>
      <c r="F1079" t="s">
        <v>57</v>
      </c>
      <c r="G1079">
        <v>-199.63499999999999</v>
      </c>
      <c r="H1079" s="1">
        <v>2.0232859999999998E-6</v>
      </c>
      <c r="I1079">
        <v>287.27269999999999</v>
      </c>
      <c r="J1079">
        <v>-191.399</v>
      </c>
      <c r="K1079">
        <v>1.1216090000000001</v>
      </c>
      <c r="L1079">
        <v>323.58159999999998</v>
      </c>
      <c r="M1079">
        <v>-1.998747E-2</v>
      </c>
      <c r="N1079">
        <v>-9.4318639999999999E-3</v>
      </c>
      <c r="O1079">
        <v>-0.99975590000000003</v>
      </c>
      <c r="P1079">
        <v>-0.1081546</v>
      </c>
      <c r="Q1079">
        <v>0.18784809999999999</v>
      </c>
      <c r="R1079">
        <v>-0.97622549999999997</v>
      </c>
      <c r="S1079">
        <v>-0.67834469999999902</v>
      </c>
      <c r="T1079">
        <v>-9.2314960000000001E-2</v>
      </c>
      <c r="U1079">
        <v>-3.0151059999999998</v>
      </c>
      <c r="V1079">
        <v>8.818173E-2</v>
      </c>
      <c r="W1079">
        <v>0.19726260000000001</v>
      </c>
      <c r="X1079">
        <v>0.97637669999999999</v>
      </c>
      <c r="Y1079">
        <v>0.19986809999999999</v>
      </c>
      <c r="Z1079">
        <v>2.0503810000000001E-2</v>
      </c>
      <c r="AA1079">
        <v>0.97960820000000004</v>
      </c>
      <c r="AB1079">
        <v>33</v>
      </c>
      <c r="AC1079">
        <v>-8.23599999999999</v>
      </c>
      <c r="AD1079">
        <v>-1.121606976714</v>
      </c>
      <c r="AE1079">
        <v>-36.308900000000001</v>
      </c>
      <c r="AF1079">
        <v>7.5017911646884397</v>
      </c>
      <c r="AG1079">
        <v>-1.121606976714</v>
      </c>
      <c r="AH1079">
        <v>36.433205472912398</v>
      </c>
      <c r="AI1079">
        <v>91.727101285653404</v>
      </c>
      <c r="AJ1079">
        <v>78.365103098876205</v>
      </c>
      <c r="AK1079">
        <v>37.214423734894297</v>
      </c>
      <c r="AL1079">
        <v>78.623071272423999</v>
      </c>
      <c r="AM1079">
        <v>84.839317171863101</v>
      </c>
      <c r="AN1079">
        <v>1.0000000055837199</v>
      </c>
    </row>
    <row r="1080" spans="1:40" x14ac:dyDescent="0.25">
      <c r="A1080" t="str">
        <f>"20190303170740491"</f>
        <v>20190303170740491</v>
      </c>
      <c r="B1080" t="str">
        <f>"1551604060483732"</f>
        <v>1551604060483732</v>
      </c>
      <c r="C1080" t="s">
        <v>40</v>
      </c>
      <c r="D1080">
        <v>5.1049100000000003</v>
      </c>
      <c r="E1080">
        <v>0.54891690000000004</v>
      </c>
      <c r="F1080" t="s">
        <v>57</v>
      </c>
      <c r="G1080">
        <v>-199.7217</v>
      </c>
      <c r="H1080" s="1">
        <v>2.0762140000000001E-6</v>
      </c>
      <c r="I1080">
        <v>286.49130000000002</v>
      </c>
      <c r="J1080">
        <v>-191.40459999999999</v>
      </c>
      <c r="K1080">
        <v>1.121599</v>
      </c>
      <c r="L1080">
        <v>323.24799999999999</v>
      </c>
      <c r="M1080">
        <v>-1.9025429999999999E-2</v>
      </c>
      <c r="N1080">
        <v>-9.8054969999999998E-3</v>
      </c>
      <c r="O1080">
        <v>-0.99977119999999997</v>
      </c>
      <c r="P1080">
        <v>-0.10720399999999999</v>
      </c>
      <c r="Q1080">
        <v>0.1891448</v>
      </c>
      <c r="R1080">
        <v>-0.97608010000000001</v>
      </c>
      <c r="S1080">
        <v>-0.67668149999999905</v>
      </c>
      <c r="T1080">
        <v>-9.1193200000000002E-2</v>
      </c>
      <c r="U1080">
        <v>-3.0156559999999999</v>
      </c>
      <c r="V1080">
        <v>8.8194789999999995E-2</v>
      </c>
      <c r="W1080">
        <v>0.198911</v>
      </c>
      <c r="X1080">
        <v>0.97604100000000005</v>
      </c>
      <c r="Y1080">
        <v>0.20025999999999999</v>
      </c>
      <c r="Z1080">
        <v>1.9762890000000002E-2</v>
      </c>
      <c r="AA1080">
        <v>0.97954339999999995</v>
      </c>
      <c r="AB1080">
        <v>33</v>
      </c>
      <c r="AC1080">
        <v>-8.3170999999999999</v>
      </c>
      <c r="AD1080">
        <v>-1.121596923786</v>
      </c>
      <c r="AE1080">
        <v>-36.756699999999903</v>
      </c>
      <c r="AF1080">
        <v>7.6095088313118397</v>
      </c>
      <c r="AG1080">
        <v>-1.121596923786</v>
      </c>
      <c r="AH1080">
        <v>36.875627481865202</v>
      </c>
      <c r="AI1080">
        <v>91.706225138500102</v>
      </c>
      <c r="AJ1080">
        <v>78.340331244636602</v>
      </c>
      <c r="AK1080">
        <v>37.669278019289898</v>
      </c>
      <c r="AL1080">
        <v>78.526715148799596</v>
      </c>
      <c r="AM1080">
        <v>84.836791350402805</v>
      </c>
      <c r="AN1080">
        <v>0.99999997029257104</v>
      </c>
    </row>
    <row r="1081" spans="1:40" x14ac:dyDescent="0.25">
      <c r="A1081" t="str">
        <f>"20190303170740513"</f>
        <v>20190303170740513</v>
      </c>
      <c r="B1081" t="str">
        <f>"1551604060503252"</f>
        <v>1551604060503252</v>
      </c>
      <c r="C1081" t="s">
        <v>40</v>
      </c>
      <c r="D1081">
        <v>5.1240959999999998</v>
      </c>
      <c r="E1081">
        <v>0.54897050000000003</v>
      </c>
      <c r="F1081" t="s">
        <v>57</v>
      </c>
      <c r="G1081">
        <v>-200.03989999999999</v>
      </c>
      <c r="H1081" s="1">
        <v>2.2349570000000001E-6</v>
      </c>
      <c r="I1081">
        <v>284.61309999999997</v>
      </c>
      <c r="J1081">
        <v>-191.40979999999999</v>
      </c>
      <c r="K1081">
        <v>1.1215679999999999</v>
      </c>
      <c r="L1081">
        <v>322.92919999999998</v>
      </c>
      <c r="M1081">
        <v>-1.8182549999999999E-2</v>
      </c>
      <c r="N1081">
        <v>-1.012651E-2</v>
      </c>
      <c r="O1081">
        <v>-0.99978350000000005</v>
      </c>
      <c r="P1081">
        <v>-0.1063586</v>
      </c>
      <c r="Q1081">
        <v>0.1903272</v>
      </c>
      <c r="R1081">
        <v>-0.97594230000000004</v>
      </c>
      <c r="S1081">
        <v>-0.67420959999999996</v>
      </c>
      <c r="T1081">
        <v>-8.7570309999999998E-2</v>
      </c>
      <c r="U1081">
        <v>-3.0164789999999999</v>
      </c>
      <c r="V1081">
        <v>8.8203619999999996E-2</v>
      </c>
      <c r="W1081">
        <v>0.20039080000000001</v>
      </c>
      <c r="X1081">
        <v>0.97573750000000004</v>
      </c>
      <c r="Y1081">
        <v>0.20027030000000001</v>
      </c>
      <c r="Z1081">
        <v>1.8264119999999998E-2</v>
      </c>
      <c r="AA1081">
        <v>0.97957039999999995</v>
      </c>
      <c r="AB1081">
        <v>33</v>
      </c>
      <c r="AC1081">
        <v>-8.6300999999999899</v>
      </c>
      <c r="AD1081">
        <v>-1.121565765043</v>
      </c>
      <c r="AE1081">
        <v>-38.316099999999999</v>
      </c>
      <c r="AF1081">
        <v>7.9254902848894497</v>
      </c>
      <c r="AG1081">
        <v>-1.121565765043</v>
      </c>
      <c r="AH1081">
        <v>38.435348357547603</v>
      </c>
      <c r="AI1081">
        <v>91.637028393567206</v>
      </c>
      <c r="AJ1081">
        <v>78.348733670098099</v>
      </c>
      <c r="AK1081">
        <v>39.259996298869297</v>
      </c>
      <c r="AL1081">
        <v>78.440187241389296</v>
      </c>
      <c r="AM1081">
        <v>84.834679735845995</v>
      </c>
      <c r="AN1081">
        <v>1.00000001010599</v>
      </c>
    </row>
    <row r="1082" spans="1:40" x14ac:dyDescent="0.25">
      <c r="A1082" t="str">
        <f>"20190303170740535"</f>
        <v>20190303170740535</v>
      </c>
      <c r="B1082" t="str">
        <f>"1551604060523748"</f>
        <v>1551604060523748</v>
      </c>
      <c r="C1082" t="s">
        <v>40</v>
      </c>
      <c r="D1082">
        <v>5.1336050000000002</v>
      </c>
      <c r="E1082">
        <v>0.54902419999999996</v>
      </c>
      <c r="F1082" t="s">
        <v>57</v>
      </c>
      <c r="G1082">
        <v>-200.5008</v>
      </c>
      <c r="H1082" s="1">
        <v>2.6506270000000002E-6</v>
      </c>
      <c r="I1082">
        <v>282.19650000000001</v>
      </c>
      <c r="J1082">
        <v>-191.41489999999999</v>
      </c>
      <c r="K1082">
        <v>1.121521</v>
      </c>
      <c r="L1082">
        <v>322.59890000000001</v>
      </c>
      <c r="M1082">
        <v>-1.7385479999999998E-2</v>
      </c>
      <c r="N1082">
        <v>-1.042303E-2</v>
      </c>
      <c r="O1082">
        <v>-0.99979450000000003</v>
      </c>
      <c r="P1082">
        <v>-0.1048752</v>
      </c>
      <c r="Q1082">
        <v>0.1902026</v>
      </c>
      <c r="R1082">
        <v>-0.97612739999999998</v>
      </c>
      <c r="S1082">
        <v>-0.6733093</v>
      </c>
      <c r="T1082">
        <v>-8.3066459999999995E-2</v>
      </c>
      <c r="U1082">
        <v>-3.016785</v>
      </c>
      <c r="V1082">
        <v>8.7530259999999999E-2</v>
      </c>
      <c r="W1082">
        <v>0.20054079999999999</v>
      </c>
      <c r="X1082">
        <v>0.9757673</v>
      </c>
      <c r="Y1082">
        <v>0.2007583</v>
      </c>
      <c r="Z1082">
        <v>1.6506489999999999E-2</v>
      </c>
      <c r="AA1082">
        <v>0.97950170000000003</v>
      </c>
      <c r="AB1082">
        <v>33</v>
      </c>
      <c r="AC1082">
        <v>-9.0859000000000094</v>
      </c>
      <c r="AD1082">
        <v>-1.1215183493729901</v>
      </c>
      <c r="AE1082">
        <v>-40.4024</v>
      </c>
      <c r="AF1082">
        <v>8.3759299726181897</v>
      </c>
      <c r="AG1082">
        <v>-1.1215183493729901</v>
      </c>
      <c r="AH1082">
        <v>40.524541450353098</v>
      </c>
      <c r="AI1082">
        <v>91.552461300914104</v>
      </c>
      <c r="AJ1082">
        <v>78.322098678458403</v>
      </c>
      <c r="AK1082">
        <v>41.396285655546002</v>
      </c>
      <c r="AL1082">
        <v>78.431414579742395</v>
      </c>
      <c r="AM1082">
        <v>84.874057413830101</v>
      </c>
      <c r="AN1082">
        <v>0.999999991314798</v>
      </c>
    </row>
    <row r="1083" spans="1:40" x14ac:dyDescent="0.25">
      <c r="A1083" t="str">
        <f>"20190303170740558"</f>
        <v>20190303170740558</v>
      </c>
      <c r="B1083" t="str">
        <f>"1551604060553028"</f>
        <v>1551604060553028</v>
      </c>
      <c r="C1083" t="s">
        <v>40</v>
      </c>
      <c r="D1083">
        <v>5.1116599999999996</v>
      </c>
      <c r="E1083">
        <v>0.54904940000000002</v>
      </c>
      <c r="F1083" t="s">
        <v>57</v>
      </c>
      <c r="G1083">
        <v>-200.45419999999999</v>
      </c>
      <c r="H1083" s="1">
        <v>2.6563619999999999E-6</v>
      </c>
      <c r="I1083">
        <v>281.89440000000002</v>
      </c>
      <c r="J1083">
        <v>-191.42</v>
      </c>
      <c r="K1083">
        <v>1.121462</v>
      </c>
      <c r="L1083">
        <v>322.25599999999997</v>
      </c>
      <c r="M1083">
        <v>-1.6667609999999999E-2</v>
      </c>
      <c r="N1083">
        <v>-1.069701E-2</v>
      </c>
      <c r="O1083">
        <v>-0.99980400000000003</v>
      </c>
      <c r="P1083">
        <v>-0.1043733</v>
      </c>
      <c r="Q1083">
        <v>0.1900541</v>
      </c>
      <c r="R1083">
        <v>-0.97621009999999997</v>
      </c>
      <c r="S1083">
        <v>-0.67012019999999906</v>
      </c>
      <c r="T1083">
        <v>-8.3142519999999998E-2</v>
      </c>
      <c r="U1083">
        <v>-3.0175779999999999</v>
      </c>
      <c r="V1083">
        <v>8.7768170000000006E-2</v>
      </c>
      <c r="W1083">
        <v>0.20064309999999999</v>
      </c>
      <c r="X1083">
        <v>0.97572490000000001</v>
      </c>
      <c r="Y1083">
        <v>0.20042019999999999</v>
      </c>
      <c r="Z1083">
        <v>1.6254330000000001E-2</v>
      </c>
      <c r="AA1083">
        <v>0.97957519999999998</v>
      </c>
      <c r="AB1083">
        <v>33</v>
      </c>
      <c r="AC1083">
        <v>-9.0341999999999896</v>
      </c>
      <c r="AD1083">
        <v>-1.121459343638</v>
      </c>
      <c r="AE1083">
        <v>-40.361599999999903</v>
      </c>
      <c r="AF1083">
        <v>8.3540332701233293</v>
      </c>
      <c r="AG1083">
        <v>-1.121459343638</v>
      </c>
      <c r="AH1083">
        <v>40.476821532411499</v>
      </c>
      <c r="AI1083">
        <v>91.554300420909001</v>
      </c>
      <c r="AJ1083">
        <v>78.338435548700204</v>
      </c>
      <c r="AK1083">
        <v>41.345140274335201</v>
      </c>
      <c r="AL1083">
        <v>78.425431635152407</v>
      </c>
      <c r="AM1083">
        <v>84.859977312524094</v>
      </c>
      <c r="AN1083">
        <v>0.99999999286138397</v>
      </c>
    </row>
    <row r="1084" spans="1:40" x14ac:dyDescent="0.25">
      <c r="A1084" t="str">
        <f>"20190303170740581"</f>
        <v>20190303170740581</v>
      </c>
      <c r="B1084" t="str">
        <f>"1551604060573524"</f>
        <v>1551604060573524</v>
      </c>
      <c r="C1084" t="s">
        <v>40</v>
      </c>
      <c r="D1084">
        <v>5.1310560000000001</v>
      </c>
      <c r="E1084">
        <v>0.54913999999999996</v>
      </c>
      <c r="F1084" t="s">
        <v>57</v>
      </c>
      <c r="G1084">
        <v>-200.2833</v>
      </c>
      <c r="H1084" s="1">
        <v>2.5518170000000001E-6</v>
      </c>
      <c r="I1084">
        <v>282.22329999999999</v>
      </c>
      <c r="J1084">
        <v>-191.42490000000001</v>
      </c>
      <c r="K1084">
        <v>1.121394</v>
      </c>
      <c r="L1084">
        <v>321.92680000000001</v>
      </c>
      <c r="M1084">
        <v>-1.609491E-2</v>
      </c>
      <c r="N1084">
        <v>-1.093361E-2</v>
      </c>
      <c r="O1084">
        <v>-0.9998108</v>
      </c>
      <c r="P1084">
        <v>-0.1050632</v>
      </c>
      <c r="Q1084">
        <v>0.19019549999999999</v>
      </c>
      <c r="R1084">
        <v>-0.97610839999999999</v>
      </c>
      <c r="S1084">
        <v>-0.6682129</v>
      </c>
      <c r="T1084">
        <v>-8.4548470000000001E-2</v>
      </c>
      <c r="U1084">
        <v>-3.0181269999999998</v>
      </c>
      <c r="V1084">
        <v>8.9061119999999994E-2</v>
      </c>
      <c r="W1084">
        <v>0.2009967</v>
      </c>
      <c r="X1084">
        <v>0.97553500000000004</v>
      </c>
      <c r="Y1084">
        <v>0.20035120000000001</v>
      </c>
      <c r="Z1084">
        <v>1.6470149999999999E-2</v>
      </c>
      <c r="AA1084">
        <v>0.9795857</v>
      </c>
      <c r="AB1084">
        <v>33</v>
      </c>
      <c r="AC1084">
        <v>-8.8583999999999801</v>
      </c>
      <c r="AD1084">
        <v>-1.1213914481829901</v>
      </c>
      <c r="AE1084">
        <v>-39.703499999999998</v>
      </c>
      <c r="AF1084">
        <v>8.2119497426042205</v>
      </c>
      <c r="AG1084">
        <v>-1.1213914481829901</v>
      </c>
      <c r="AH1084">
        <v>39.810687893495697</v>
      </c>
      <c r="AI1084">
        <v>91.580235214664498</v>
      </c>
      <c r="AJ1084">
        <v>78.344785338513503</v>
      </c>
      <c r="AK1084">
        <v>40.664290328351299</v>
      </c>
      <c r="AL1084">
        <v>78.404751164576595</v>
      </c>
      <c r="AM1084">
        <v>84.783662391397996</v>
      </c>
      <c r="AN1084">
        <v>1.0000000463657699</v>
      </c>
    </row>
    <row r="1085" spans="1:40" x14ac:dyDescent="0.25">
      <c r="A1085" t="str">
        <f>"20190303170740603"</f>
        <v>20190303170740603</v>
      </c>
      <c r="B1085" t="str">
        <f>"1551604060593045"</f>
        <v>1551604060593045</v>
      </c>
      <c r="C1085" t="s">
        <v>40</v>
      </c>
      <c r="D1085">
        <v>5.1302629999999896</v>
      </c>
      <c r="E1085">
        <v>0.54920069999999999</v>
      </c>
      <c r="F1085" t="s">
        <v>57</v>
      </c>
      <c r="G1085">
        <v>-200.333</v>
      </c>
      <c r="H1085" s="1">
        <v>2.6071419999999999E-6</v>
      </c>
      <c r="I1085">
        <v>281.84280000000001</v>
      </c>
      <c r="J1085">
        <v>-191.42939999999999</v>
      </c>
      <c r="K1085">
        <v>1.121324</v>
      </c>
      <c r="L1085">
        <v>321.61149999999998</v>
      </c>
      <c r="M1085">
        <v>-1.5649369999999999E-2</v>
      </c>
      <c r="N1085">
        <v>-1.113575E-2</v>
      </c>
      <c r="O1085">
        <v>-0.99981580000000003</v>
      </c>
      <c r="P1085">
        <v>-0.1056657</v>
      </c>
      <c r="Q1085">
        <v>0.1900828</v>
      </c>
      <c r="R1085">
        <v>-0.97606550000000003</v>
      </c>
      <c r="S1085">
        <v>-0.67065430000000004</v>
      </c>
      <c r="T1085">
        <v>-8.4424139999999995E-2</v>
      </c>
      <c r="U1085">
        <v>-3.0177309999999999</v>
      </c>
      <c r="V1085">
        <v>9.014171E-2</v>
      </c>
      <c r="W1085">
        <v>0.20106299999999999</v>
      </c>
      <c r="X1085">
        <v>0.97542200000000001</v>
      </c>
      <c r="Y1085">
        <v>0.20156979999999999</v>
      </c>
      <c r="Z1085">
        <v>1.622564E-2</v>
      </c>
      <c r="AA1085">
        <v>0.97933979999999998</v>
      </c>
      <c r="AB1085">
        <v>33</v>
      </c>
      <c r="AC1085">
        <v>-8.9036000000000097</v>
      </c>
      <c r="AD1085">
        <v>-1.1213213928579999</v>
      </c>
      <c r="AE1085">
        <v>-39.768699999999903</v>
      </c>
      <c r="AF1085">
        <v>8.2738521221825394</v>
      </c>
      <c r="AG1085">
        <v>-1.1213213928579999</v>
      </c>
      <c r="AH1085">
        <v>39.872987011697099</v>
      </c>
      <c r="AI1085">
        <v>91.577284108239397</v>
      </c>
      <c r="AJ1085">
        <v>78.277193421394699</v>
      </c>
      <c r="AK1085">
        <v>40.737809021114401</v>
      </c>
      <c r="AL1085">
        <v>78.400872366197703</v>
      </c>
      <c r="AM1085">
        <v>84.720119252646995</v>
      </c>
      <c r="AN1085">
        <v>0.99999996796736101</v>
      </c>
    </row>
    <row r="1086" spans="1:40" x14ac:dyDescent="0.25">
      <c r="A1086" t="str">
        <f>"20190303170740625"</f>
        <v>20190303170740625</v>
      </c>
      <c r="B1086" t="str">
        <f>"1551604060613540"</f>
        <v>1551604060613540</v>
      </c>
      <c r="C1086" t="s">
        <v>40</v>
      </c>
      <c r="D1086">
        <v>5.0873030000000004</v>
      </c>
      <c r="E1086">
        <v>0.54928259999999995</v>
      </c>
      <c r="F1086" t="s">
        <v>57</v>
      </c>
      <c r="G1086">
        <v>-200.2278</v>
      </c>
      <c r="H1086" s="1">
        <v>2.5360060000000001E-6</v>
      </c>
      <c r="I1086">
        <v>282.12290000000002</v>
      </c>
      <c r="J1086">
        <v>-191.434</v>
      </c>
      <c r="K1086">
        <v>1.121248</v>
      </c>
      <c r="L1086">
        <v>321.291</v>
      </c>
      <c r="M1086">
        <v>-1.5293799999999899E-2</v>
      </c>
      <c r="N1086">
        <v>-1.131704E-2</v>
      </c>
      <c r="O1086">
        <v>-0.99981929999999997</v>
      </c>
      <c r="P1086">
        <v>-0.1075079</v>
      </c>
      <c r="Q1086">
        <v>0.18982869999999999</v>
      </c>
      <c r="R1086">
        <v>-0.9759137</v>
      </c>
      <c r="S1086">
        <v>-0.67230219999999996</v>
      </c>
      <c r="T1086">
        <v>-8.5682030000000006E-2</v>
      </c>
      <c r="U1086">
        <v>-3.017395</v>
      </c>
      <c r="V1086">
        <v>9.2375810000000003E-2</v>
      </c>
      <c r="W1086">
        <v>0.20096729999999999</v>
      </c>
      <c r="X1086">
        <v>0.97523269999999995</v>
      </c>
      <c r="Y1086">
        <v>0.2024483</v>
      </c>
      <c r="Z1086">
        <v>1.64505E-2</v>
      </c>
      <c r="AA1086">
        <v>0.97915479999999999</v>
      </c>
      <c r="AB1086">
        <v>33</v>
      </c>
      <c r="AC1086">
        <v>-8.7937999999999708</v>
      </c>
      <c r="AD1086">
        <v>-1.1212454639939999</v>
      </c>
      <c r="AE1086">
        <v>-39.168099999999903</v>
      </c>
      <c r="AF1086">
        <v>8.1873167558657407</v>
      </c>
      <c r="AG1086">
        <v>-1.1212454639939999</v>
      </c>
      <c r="AH1086">
        <v>39.267383118172603</v>
      </c>
      <c r="AI1086">
        <v>91.6011709217278</v>
      </c>
      <c r="AJ1086">
        <v>78.222465087850495</v>
      </c>
      <c r="AK1086">
        <v>40.127505828306298</v>
      </c>
      <c r="AL1086">
        <v>78.406469998474293</v>
      </c>
      <c r="AM1086">
        <v>84.588984260908106</v>
      </c>
      <c r="AN1086">
        <v>0.99999998254586697</v>
      </c>
    </row>
    <row r="1087" spans="1:40" x14ac:dyDescent="0.25">
      <c r="A1087" t="str">
        <f>"20190303170740670"</f>
        <v>20190303170740670</v>
      </c>
      <c r="B1087" t="str">
        <f>"1551604060663316"</f>
        <v>1551604060663316</v>
      </c>
      <c r="C1087" t="s">
        <v>40</v>
      </c>
      <c r="D1087">
        <v>5.2106379999999897</v>
      </c>
      <c r="E1087">
        <v>0.52648070000000002</v>
      </c>
      <c r="F1087" t="s">
        <v>57</v>
      </c>
      <c r="G1087">
        <v>-200.24600000000001</v>
      </c>
      <c r="H1087" s="1">
        <v>2.537389E-6</v>
      </c>
      <c r="I1087">
        <v>282.19929999999999</v>
      </c>
      <c r="J1087">
        <v>-191.44319999999999</v>
      </c>
      <c r="K1087">
        <v>1.1211230000000001</v>
      </c>
      <c r="L1087">
        <v>320.6472</v>
      </c>
      <c r="M1087">
        <v>-1.4848999999999999E-2</v>
      </c>
      <c r="N1087">
        <v>-1.161615E-2</v>
      </c>
      <c r="O1087">
        <v>-0.9998224</v>
      </c>
      <c r="P1087">
        <v>-0.1115858</v>
      </c>
      <c r="Q1087">
        <v>0.1896853</v>
      </c>
      <c r="R1087">
        <v>-0.97548369999999995</v>
      </c>
      <c r="S1087">
        <v>-0.67987059999999999</v>
      </c>
      <c r="T1087">
        <v>-8.6506959999999994E-2</v>
      </c>
      <c r="U1087">
        <v>-3.016022</v>
      </c>
      <c r="V1087">
        <v>9.6970550000000003E-2</v>
      </c>
      <c r="W1087">
        <v>0.20107839999999999</v>
      </c>
      <c r="X1087">
        <v>0.97476359999999995</v>
      </c>
      <c r="Y1087">
        <v>0.20531489999999999</v>
      </c>
      <c r="Z1087">
        <v>1.6415240000000001E-2</v>
      </c>
      <c r="AA1087">
        <v>0.97855829999999999</v>
      </c>
      <c r="AB1087">
        <v>33</v>
      </c>
      <c r="AC1087">
        <v>-8.8027999999999906</v>
      </c>
      <c r="AD1087">
        <v>-1.1211204626109901</v>
      </c>
      <c r="AE1087">
        <v>-38.447899999999997</v>
      </c>
      <c r="AF1087">
        <v>8.2242334721342107</v>
      </c>
      <c r="AG1087">
        <v>-1.1211204626109901</v>
      </c>
      <c r="AH1087">
        <v>38.543242041220303</v>
      </c>
      <c r="AI1087">
        <v>91.629451297661305</v>
      </c>
      <c r="AJ1087">
        <v>77.955043081884398</v>
      </c>
      <c r="AK1087">
        <v>39.426849155669899</v>
      </c>
      <c r="AL1087">
        <v>78.3999713235781</v>
      </c>
      <c r="AM1087">
        <v>84.318845088942496</v>
      </c>
      <c r="AN1087">
        <v>0.99999994319940899</v>
      </c>
    </row>
    <row r="1088" spans="1:40" x14ac:dyDescent="0.25">
      <c r="A1088" t="str">
        <f>"20190303170740690"</f>
        <v>20190303170740690</v>
      </c>
      <c r="B1088" t="str">
        <f>"1551604060683813"</f>
        <v>1551604060683813</v>
      </c>
      <c r="C1088" t="s">
        <v>40</v>
      </c>
      <c r="D1088">
        <v>5.1545779999999999</v>
      </c>
      <c r="E1088">
        <v>0.5147024</v>
      </c>
      <c r="F1088" t="s">
        <v>57</v>
      </c>
      <c r="G1088">
        <v>-197.18520000000001</v>
      </c>
      <c r="H1088" s="1">
        <v>2.528461E-6</v>
      </c>
      <c r="I1088">
        <v>286.4649</v>
      </c>
      <c r="J1088">
        <v>-191.4477</v>
      </c>
      <c r="K1088">
        <v>1.1210789999999999</v>
      </c>
      <c r="L1088">
        <v>320.32920000000001</v>
      </c>
      <c r="M1088">
        <v>-1.473724E-2</v>
      </c>
      <c r="N1088">
        <v>-1.1735229999999999E-2</v>
      </c>
      <c r="O1088">
        <v>-0.99982269999999895</v>
      </c>
      <c r="P1088">
        <v>-0.1124001</v>
      </c>
      <c r="Q1088">
        <v>0.1896698</v>
      </c>
      <c r="R1088">
        <v>-0.97539319999999896</v>
      </c>
      <c r="S1088">
        <v>-0.51005549999999999</v>
      </c>
      <c r="T1088">
        <v>-9.9587800000000004E-2</v>
      </c>
      <c r="U1088">
        <v>-3.0363769999999999</v>
      </c>
      <c r="V1088">
        <v>9.7924899999999995E-2</v>
      </c>
      <c r="W1088">
        <v>0.20116429999999999</v>
      </c>
      <c r="X1088">
        <v>0.97465049999999998</v>
      </c>
      <c r="Y1088">
        <v>0.1510339</v>
      </c>
      <c r="Z1088">
        <v>2.0643990000000001E-2</v>
      </c>
      <c r="AA1088">
        <v>0.988313</v>
      </c>
      <c r="AB1088">
        <v>33</v>
      </c>
      <c r="AC1088">
        <v>-5.7375000000000096</v>
      </c>
      <c r="AD1088">
        <v>-1.121076471539</v>
      </c>
      <c r="AE1088">
        <v>-33.8643</v>
      </c>
      <c r="AF1088">
        <v>5.2322020609362898</v>
      </c>
      <c r="AG1088">
        <v>-1.121076471539</v>
      </c>
      <c r="AH1088">
        <v>33.909057323795501</v>
      </c>
      <c r="AI1088">
        <v>91.871450051111793</v>
      </c>
      <c r="AJ1088">
        <v>81.228380273889798</v>
      </c>
      <c r="AK1088">
        <v>34.328660321223602</v>
      </c>
      <c r="AL1088">
        <v>78.394947375302394</v>
      </c>
      <c r="AM1088">
        <v>84.262643035076707</v>
      </c>
      <c r="AN1088">
        <v>0.99999997939237395</v>
      </c>
    </row>
    <row r="1089" spans="1:40" x14ac:dyDescent="0.25">
      <c r="A1089" t="str">
        <f>"20190303170740713"</f>
        <v>20190303170740713</v>
      </c>
      <c r="B1089" t="str">
        <f>"1551604060703332"</f>
        <v>1551604060703332</v>
      </c>
      <c r="C1089" t="s">
        <v>40</v>
      </c>
      <c r="D1089">
        <v>5.0425219999999999</v>
      </c>
      <c r="E1089">
        <v>0.50930399999999998</v>
      </c>
      <c r="F1089" t="s">
        <v>57</v>
      </c>
      <c r="G1089">
        <v>-196.76900000000001</v>
      </c>
      <c r="H1089" s="1">
        <v>3.0232839999999999E-6</v>
      </c>
      <c r="I1089">
        <v>281.64920000000001</v>
      </c>
      <c r="J1089">
        <v>-191.4522</v>
      </c>
      <c r="K1089">
        <v>1.121046</v>
      </c>
      <c r="L1089">
        <v>320.01530000000002</v>
      </c>
      <c r="M1089">
        <v>-1.46678E-2</v>
      </c>
      <c r="N1089">
        <v>-1.183814E-2</v>
      </c>
      <c r="O1089">
        <v>-0.9998224</v>
      </c>
      <c r="P1089">
        <v>-0.11287510000000001</v>
      </c>
      <c r="Q1089">
        <v>0.18954799999999999</v>
      </c>
      <c r="R1089">
        <v>-0.9753619</v>
      </c>
      <c r="S1089">
        <v>-0.4188538</v>
      </c>
      <c r="T1089">
        <v>-8.8242290000000001E-2</v>
      </c>
      <c r="U1089">
        <v>-3.0445859999999998</v>
      </c>
      <c r="V1089">
        <v>9.8490869999999994E-2</v>
      </c>
      <c r="W1089">
        <v>0.20113120000000001</v>
      </c>
      <c r="X1089">
        <v>0.97460029999999997</v>
      </c>
      <c r="Y1089">
        <v>0.1216945</v>
      </c>
      <c r="Z1089">
        <v>1.6900350000000001E-2</v>
      </c>
      <c r="AA1089">
        <v>0.99242370000000002</v>
      </c>
      <c r="AB1089">
        <v>33</v>
      </c>
      <c r="AC1089">
        <v>-5.3167999999999997</v>
      </c>
      <c r="AD1089">
        <v>-1.121042976716</v>
      </c>
      <c r="AE1089">
        <v>-38.366100000000003</v>
      </c>
      <c r="AF1089">
        <v>4.74946364513284</v>
      </c>
      <c r="AG1089">
        <v>-1.121042976716</v>
      </c>
      <c r="AH1089">
        <v>38.407789139705599</v>
      </c>
      <c r="AI1089">
        <v>91.659238358056797</v>
      </c>
      <c r="AJ1089">
        <v>82.950655249507506</v>
      </c>
      <c r="AK1089">
        <v>38.716565044850903</v>
      </c>
      <c r="AL1089">
        <v>78.396883419696707</v>
      </c>
      <c r="AM1089">
        <v>84.229411132352695</v>
      </c>
      <c r="AN1089">
        <v>0.99999997792344297</v>
      </c>
    </row>
    <row r="1090" spans="1:40" x14ac:dyDescent="0.25">
      <c r="A1090" t="str">
        <f>"20190303170740736"</f>
        <v>20190303170740736</v>
      </c>
      <c r="B1090" t="str">
        <f>"1551604060723829"</f>
        <v>1551604060723829</v>
      </c>
      <c r="C1090" t="s">
        <v>40</v>
      </c>
      <c r="D1090">
        <v>4.9197059999999997</v>
      </c>
      <c r="E1090">
        <v>0.50644820000000002</v>
      </c>
      <c r="F1090" t="s">
        <v>57</v>
      </c>
      <c r="G1090">
        <v>-196.7405</v>
      </c>
      <c r="H1090" s="1">
        <v>3.8099900000000001E-6</v>
      </c>
      <c r="I1090">
        <v>277.33569999999997</v>
      </c>
      <c r="J1090">
        <v>-191.4571</v>
      </c>
      <c r="K1090">
        <v>1.1210089999999999</v>
      </c>
      <c r="L1090">
        <v>319.67660000000001</v>
      </c>
      <c r="M1090">
        <v>-1.463859E-2</v>
      </c>
      <c r="N1090">
        <v>-1.193456E-2</v>
      </c>
      <c r="O1090">
        <v>-0.99982170000000004</v>
      </c>
      <c r="P1090">
        <v>-0.11374910000000001</v>
      </c>
      <c r="Q1090">
        <v>0.18916740000000001</v>
      </c>
      <c r="R1090">
        <v>-0.97533440000000005</v>
      </c>
      <c r="S1090">
        <v>-0.37762449999999997</v>
      </c>
      <c r="T1090">
        <v>-8.0050590000000005E-2</v>
      </c>
      <c r="U1090">
        <v>-3.0476380000000001</v>
      </c>
      <c r="V1090">
        <v>9.9414569999999994E-2</v>
      </c>
      <c r="W1090">
        <v>0.2008346</v>
      </c>
      <c r="X1090">
        <v>0.97456770000000004</v>
      </c>
      <c r="Y1090">
        <v>0.1083884</v>
      </c>
      <c r="Z1090">
        <v>1.415462E-2</v>
      </c>
      <c r="AA1090">
        <v>0.9940078</v>
      </c>
      <c r="AB1090">
        <v>33</v>
      </c>
      <c r="AC1090">
        <v>-5.2834000000000003</v>
      </c>
      <c r="AD1090">
        <v>-1.12100519001</v>
      </c>
      <c r="AE1090">
        <v>-42.340899999999998</v>
      </c>
      <c r="AF1090">
        <v>4.6597623883966603</v>
      </c>
      <c r="AG1090">
        <v>-1.12100519001</v>
      </c>
      <c r="AH1090">
        <v>42.384455137158</v>
      </c>
      <c r="AI1090">
        <v>91.505964470528895</v>
      </c>
      <c r="AJ1090">
        <v>83.726077623143993</v>
      </c>
      <c r="AK1090">
        <v>42.654566876550298</v>
      </c>
      <c r="AL1090">
        <v>78.414231567898995</v>
      </c>
      <c r="AM1090">
        <v>84.175468329305403</v>
      </c>
      <c r="AN1090">
        <v>0.99999999758436697</v>
      </c>
    </row>
    <row r="1091" spans="1:40" x14ac:dyDescent="0.25">
      <c r="A1091" t="str">
        <f>"20190303170740759"</f>
        <v>20190303170740759</v>
      </c>
      <c r="B1091" t="str">
        <f>"1551604060753108"</f>
        <v>1551604060753108</v>
      </c>
      <c r="C1091" t="s">
        <v>40</v>
      </c>
      <c r="D1091">
        <v>4.9317890000000002</v>
      </c>
      <c r="E1091">
        <v>0.50438300000000003</v>
      </c>
      <c r="F1091" t="s">
        <v>57</v>
      </c>
      <c r="G1091">
        <v>-196.6019</v>
      </c>
      <c r="H1091" s="1">
        <v>4.2646450000000004E-6</v>
      </c>
      <c r="I1091">
        <v>275.8578</v>
      </c>
      <c r="J1091">
        <v>-191.46209999999999</v>
      </c>
      <c r="K1091">
        <v>1.120968</v>
      </c>
      <c r="L1091">
        <v>319.33370000000002</v>
      </c>
      <c r="M1091">
        <v>-1.4641599999999999E-2</v>
      </c>
      <c r="N1091">
        <v>-1.201877E-2</v>
      </c>
      <c r="O1091">
        <v>-0.99982070000000001</v>
      </c>
      <c r="P1091">
        <v>-0.1140396</v>
      </c>
      <c r="Q1091">
        <v>0.18863199999999999</v>
      </c>
      <c r="R1091">
        <v>-0.97540400000000005</v>
      </c>
      <c r="S1091">
        <v>-0.35801699999999997</v>
      </c>
      <c r="T1091">
        <v>-7.8008170000000002E-2</v>
      </c>
      <c r="U1091">
        <v>-3.049255</v>
      </c>
      <c r="V1091">
        <v>9.9719500000000003E-2</v>
      </c>
      <c r="W1091">
        <v>0.2003731</v>
      </c>
      <c r="X1091">
        <v>0.97463149999999998</v>
      </c>
      <c r="Y1091">
        <v>0.10202170000000001</v>
      </c>
      <c r="Z1091">
        <v>1.3409849999999999E-2</v>
      </c>
      <c r="AA1091">
        <v>0.99469180000000001</v>
      </c>
      <c r="AB1091">
        <v>33</v>
      </c>
      <c r="AC1091">
        <v>-5.1398000000000001</v>
      </c>
      <c r="AD1091">
        <v>-1.1209637353549999</v>
      </c>
      <c r="AE1091">
        <v>-43.475900000000003</v>
      </c>
      <c r="AF1091">
        <v>4.4996961985048998</v>
      </c>
      <c r="AG1091">
        <v>-1.1209637353549999</v>
      </c>
      <c r="AH1091">
        <v>43.517967656258399</v>
      </c>
      <c r="AI1091">
        <v>91.467713619077799</v>
      </c>
      <c r="AJ1091">
        <v>84.096675934921507</v>
      </c>
      <c r="AK1091">
        <v>43.764338616114998</v>
      </c>
      <c r="AL1091">
        <v>78.4412217764243</v>
      </c>
      <c r="AM1091">
        <v>84.158106179166296</v>
      </c>
      <c r="AN1091">
        <v>0.99999995933805397</v>
      </c>
    </row>
    <row r="1092" spans="1:40" x14ac:dyDescent="0.25">
      <c r="A1092" t="str">
        <f>"20190303170740780"</f>
        <v>20190303170740780</v>
      </c>
      <c r="B1092" t="str">
        <f>"1551604060773604"</f>
        <v>1551604060773604</v>
      </c>
      <c r="C1092" t="s">
        <v>40</v>
      </c>
      <c r="D1092">
        <v>4.8752709999999997</v>
      </c>
      <c r="E1092">
        <v>0.50360269999999996</v>
      </c>
      <c r="F1092" t="s">
        <v>57</v>
      </c>
      <c r="G1092">
        <v>-196.3904</v>
      </c>
      <c r="H1092" s="1">
        <v>4.4573550000000001E-6</v>
      </c>
      <c r="I1092">
        <v>275.44529999999997</v>
      </c>
      <c r="J1092">
        <v>-191.4665</v>
      </c>
      <c r="K1092">
        <v>1.1209480000000001</v>
      </c>
      <c r="L1092">
        <v>319.02980000000002</v>
      </c>
      <c r="M1092">
        <v>-1.46642E-2</v>
      </c>
      <c r="N1092">
        <v>-1.20835E-2</v>
      </c>
      <c r="O1092">
        <v>-0.99981949999999997</v>
      </c>
      <c r="P1092">
        <v>-0.114717</v>
      </c>
      <c r="Q1092">
        <v>0.18874009999999999</v>
      </c>
      <c r="R1092">
        <v>-0.97530349999999999</v>
      </c>
      <c r="S1092">
        <v>-0.34255980000000003</v>
      </c>
      <c r="T1092">
        <v>-7.7916739999999998E-2</v>
      </c>
      <c r="U1092">
        <v>-3.0506289999999998</v>
      </c>
      <c r="V1092">
        <v>0.1003935</v>
      </c>
      <c r="W1092">
        <v>0.2005342</v>
      </c>
      <c r="X1092">
        <v>0.97452919999999998</v>
      </c>
      <c r="Y1092">
        <v>9.6972760000000005E-2</v>
      </c>
      <c r="Z1092">
        <v>1.331734E-2</v>
      </c>
      <c r="AA1092">
        <v>0.99519800000000003</v>
      </c>
      <c r="AB1092">
        <v>33</v>
      </c>
      <c r="AC1092">
        <v>-4.9238999999999997</v>
      </c>
      <c r="AD1092">
        <v>-1.1209435426450001</v>
      </c>
      <c r="AE1092">
        <v>-43.584499999999998</v>
      </c>
      <c r="AF1092">
        <v>4.2813957343841</v>
      </c>
      <c r="AG1092">
        <v>-1.1209435426450001</v>
      </c>
      <c r="AH1092">
        <v>43.623531643026503</v>
      </c>
      <c r="AI1092">
        <v>91.464904422596703</v>
      </c>
      <c r="AJ1092">
        <v>84.394703976193398</v>
      </c>
      <c r="AK1092">
        <v>43.847455762795803</v>
      </c>
      <c r="AL1092">
        <v>78.431800568459806</v>
      </c>
      <c r="AM1092">
        <v>84.118283864150399</v>
      </c>
      <c r="AN1092">
        <v>0.99999999093226499</v>
      </c>
    </row>
    <row r="1093" spans="1:40" x14ac:dyDescent="0.25">
      <c r="A1093" t="str">
        <f>"20190303170740805"</f>
        <v>20190303170740805</v>
      </c>
      <c r="B1093" t="str">
        <f>"1551604060793124"</f>
        <v>1551604060793124</v>
      </c>
      <c r="C1093" t="s">
        <v>40</v>
      </c>
      <c r="D1093">
        <v>4.8706019999999999</v>
      </c>
      <c r="E1093">
        <v>0.50302179999999996</v>
      </c>
      <c r="F1093" t="s">
        <v>57</v>
      </c>
      <c r="G1093">
        <v>-196.5438</v>
      </c>
      <c r="H1093" s="1">
        <v>5.0672149999999997E-6</v>
      </c>
      <c r="I1093">
        <v>273.29140000000001</v>
      </c>
      <c r="J1093">
        <v>-191.47190000000001</v>
      </c>
      <c r="K1093">
        <v>1.120916</v>
      </c>
      <c r="L1093">
        <v>318.6626</v>
      </c>
      <c r="M1093">
        <v>-1.4725769999999999E-2</v>
      </c>
      <c r="N1093">
        <v>-1.215083E-2</v>
      </c>
      <c r="O1093">
        <v>-0.99981810000000004</v>
      </c>
      <c r="P1093">
        <v>-0.1160762</v>
      </c>
      <c r="Q1093">
        <v>0.18927530000000001</v>
      </c>
      <c r="R1093">
        <v>-0.97503949999999995</v>
      </c>
      <c r="S1093">
        <v>-0.3386383</v>
      </c>
      <c r="T1093">
        <v>-7.4762460000000003E-2</v>
      </c>
      <c r="U1093">
        <v>-3.0505680000000002</v>
      </c>
      <c r="V1093">
        <v>0.10172</v>
      </c>
      <c r="W1093">
        <v>0.20112050000000001</v>
      </c>
      <c r="X1093">
        <v>0.97427079999999999</v>
      </c>
      <c r="Y1093">
        <v>9.5652280000000006E-2</v>
      </c>
      <c r="Z1093">
        <v>1.2226320000000001E-2</v>
      </c>
      <c r="AA1093">
        <v>0.99533970000000005</v>
      </c>
      <c r="AB1093">
        <v>33</v>
      </c>
      <c r="AC1093">
        <v>-5.0718999999999896</v>
      </c>
      <c r="AD1093">
        <v>-1.120910932785</v>
      </c>
      <c r="AE1093">
        <v>-45.371199999999902</v>
      </c>
      <c r="AF1093">
        <v>4.4005223051749596</v>
      </c>
      <c r="AG1093">
        <v>-1.120910932785</v>
      </c>
      <c r="AH1093">
        <v>45.413596535125599</v>
      </c>
      <c r="AI1093">
        <v>91.407314382807499</v>
      </c>
      <c r="AJ1093">
        <v>84.465387629568198</v>
      </c>
      <c r="AK1093">
        <v>45.640067792815003</v>
      </c>
      <c r="AL1093">
        <v>78.397509566572097</v>
      </c>
      <c r="AM1093">
        <v>84.039555232026899</v>
      </c>
      <c r="AN1093">
        <v>1.00000000282644</v>
      </c>
    </row>
    <row r="1094" spans="1:40" x14ac:dyDescent="0.25">
      <c r="A1094" t="str">
        <f>"20190303170740832"</f>
        <v>20190303170740832</v>
      </c>
      <c r="B1094" t="str">
        <f>"1551604060823390"</f>
        <v>1551604060823390</v>
      </c>
      <c r="C1094" t="s">
        <v>40</v>
      </c>
      <c r="D1094">
        <v>4.9322970000000002</v>
      </c>
      <c r="E1094">
        <v>0.50244460000000002</v>
      </c>
      <c r="F1094" t="s">
        <v>57</v>
      </c>
      <c r="G1094">
        <v>-196.8485</v>
      </c>
      <c r="H1094" s="1">
        <v>5.9180750000000001E-6</v>
      </c>
      <c r="I1094">
        <v>270.16129999999998</v>
      </c>
      <c r="J1094">
        <v>-191.47749999999999</v>
      </c>
      <c r="K1094">
        <v>1.120881</v>
      </c>
      <c r="L1094">
        <v>318.28899999999999</v>
      </c>
      <c r="M1094">
        <v>-1.485557E-2</v>
      </c>
      <c r="N1094">
        <v>-1.221393E-2</v>
      </c>
      <c r="O1094">
        <v>-0.99981500000000001</v>
      </c>
      <c r="P1094">
        <v>-0.1172323</v>
      </c>
      <c r="Q1094">
        <v>0.1902249</v>
      </c>
      <c r="R1094">
        <v>-0.97471589999999997</v>
      </c>
      <c r="S1094">
        <v>-0.33813480000000001</v>
      </c>
      <c r="T1094">
        <v>-7.0493700000000006E-2</v>
      </c>
      <c r="U1094">
        <v>-3.0502319999999998</v>
      </c>
      <c r="V1094">
        <v>0.1027792</v>
      </c>
      <c r="W1094">
        <v>0.2021153</v>
      </c>
      <c r="X1094">
        <v>0.97395370000000003</v>
      </c>
      <c r="Y1094">
        <v>9.5375290000000001E-2</v>
      </c>
      <c r="Z1094">
        <v>1.077555E-2</v>
      </c>
      <c r="AA1094">
        <v>0.99538309999999997</v>
      </c>
      <c r="AB1094">
        <v>33</v>
      </c>
      <c r="AC1094">
        <v>-5.3710000000000004</v>
      </c>
      <c r="AD1094">
        <v>-1.120875081925</v>
      </c>
      <c r="AE1094">
        <v>-48.127699999999997</v>
      </c>
      <c r="AF1094">
        <v>4.6528967223790598</v>
      </c>
      <c r="AG1094">
        <v>-1.120875081925</v>
      </c>
      <c r="AH1094">
        <v>48.176373838892601</v>
      </c>
      <c r="AI1094">
        <v>91.326636687974997</v>
      </c>
      <c r="AJ1094">
        <v>84.483456733488197</v>
      </c>
      <c r="AK1094">
        <v>48.413518826079297</v>
      </c>
      <c r="AL1094">
        <v>78.339316466792894</v>
      </c>
      <c r="AM1094">
        <v>83.975997240482499</v>
      </c>
      <c r="AN1094">
        <v>0.99999998409520996</v>
      </c>
    </row>
    <row r="1095" spans="1:40" x14ac:dyDescent="0.25">
      <c r="A1095" t="str">
        <f>"20190303170740871"</f>
        <v>20190303170740871</v>
      </c>
      <c r="B1095" t="str">
        <f>"1551604060863397"</f>
        <v>1551604060863397</v>
      </c>
      <c r="C1095" t="s">
        <v>40</v>
      </c>
      <c r="D1095">
        <v>4.8687649999999998</v>
      </c>
      <c r="E1095">
        <v>0.50201490000000004</v>
      </c>
      <c r="F1095" t="s">
        <v>43</v>
      </c>
      <c r="G1095">
        <v>-197.23580000000001</v>
      </c>
      <c r="H1095" s="1">
        <v>-4.423206E-6</v>
      </c>
      <c r="I1095">
        <v>266.21300000000002</v>
      </c>
      <c r="J1095">
        <v>-191.48650000000001</v>
      </c>
      <c r="K1095">
        <v>1.1208119999999999</v>
      </c>
      <c r="L1095">
        <v>317.70819999999998</v>
      </c>
      <c r="M1095">
        <v>-1.5205110000000001E-2</v>
      </c>
      <c r="N1095">
        <v>-1.230292E-2</v>
      </c>
      <c r="O1095">
        <v>-0.99980880000000005</v>
      </c>
      <c r="P1095">
        <v>-0.1184713</v>
      </c>
      <c r="Q1095">
        <v>0.1894865</v>
      </c>
      <c r="R1095">
        <v>-0.97471019999999997</v>
      </c>
      <c r="S1095">
        <v>-0.33726499999999998</v>
      </c>
      <c r="T1095">
        <v>-6.565058E-2</v>
      </c>
      <c r="U1095">
        <v>-3.0501100000000001</v>
      </c>
      <c r="V1095">
        <v>0.1037175</v>
      </c>
      <c r="W1095">
        <v>0.2014427</v>
      </c>
      <c r="X1095">
        <v>0.97399360000000001</v>
      </c>
      <c r="Y1095">
        <v>9.4753879999999999E-2</v>
      </c>
      <c r="Z1095">
        <v>9.1102920000000007E-3</v>
      </c>
      <c r="AA1095">
        <v>0.99545899999999998</v>
      </c>
      <c r="AB1095">
        <v>33</v>
      </c>
      <c r="AC1095">
        <v>-5.7492999999999999</v>
      </c>
      <c r="AD1095">
        <v>-1.1208164232060001</v>
      </c>
      <c r="AE1095">
        <v>-51.495199999999997</v>
      </c>
      <c r="AF1095">
        <v>4.9632635629457198</v>
      </c>
      <c r="AG1095">
        <v>-1.1208164232060001</v>
      </c>
      <c r="AH1095">
        <v>51.552549807987802</v>
      </c>
      <c r="AI1095">
        <v>91.239754543461103</v>
      </c>
      <c r="AJ1095">
        <v>84.500751446006404</v>
      </c>
      <c r="AK1095">
        <v>51.803046303811598</v>
      </c>
      <c r="AL1095">
        <v>78.378663193894894</v>
      </c>
      <c r="AM1095">
        <v>83.921659475465503</v>
      </c>
      <c r="AN1095">
        <v>1.0000000070152499</v>
      </c>
    </row>
    <row r="1096" spans="1:40" x14ac:dyDescent="0.25">
      <c r="A1096" t="str">
        <f>"20190303170740891"</f>
        <v>20190303170740891</v>
      </c>
      <c r="B1096" t="str">
        <f>"1551604060883893"</f>
        <v>1551604060883893</v>
      </c>
      <c r="C1096" t="s">
        <v>40</v>
      </c>
      <c r="D1096">
        <v>4.8134699999999997</v>
      </c>
      <c r="E1096">
        <v>0.50178659999999997</v>
      </c>
      <c r="F1096" t="s">
        <v>43</v>
      </c>
      <c r="G1096">
        <v>-197.1936</v>
      </c>
      <c r="H1096" s="1">
        <v>-4.415456E-6</v>
      </c>
      <c r="I1096">
        <v>266.2122</v>
      </c>
      <c r="J1096">
        <v>-191.4913</v>
      </c>
      <c r="K1096">
        <v>1.1207769999999999</v>
      </c>
      <c r="L1096">
        <v>317.40710000000001</v>
      </c>
      <c r="M1096">
        <v>-1.5448770000000001E-2</v>
      </c>
      <c r="N1096">
        <v>-1.234705E-2</v>
      </c>
      <c r="O1096">
        <v>-0.99980460000000004</v>
      </c>
      <c r="P1096">
        <v>-0.1192341</v>
      </c>
      <c r="Q1096">
        <v>0.18923180000000001</v>
      </c>
      <c r="R1096">
        <v>-0.9746667</v>
      </c>
      <c r="S1096">
        <v>-0.33798220000000001</v>
      </c>
      <c r="T1096">
        <v>-6.6375970000000006E-2</v>
      </c>
      <c r="U1096">
        <v>-3.049652</v>
      </c>
      <c r="V1096">
        <v>0.1042628</v>
      </c>
      <c r="W1096">
        <v>0.20122039999999999</v>
      </c>
      <c r="X1096">
        <v>0.97398130000000005</v>
      </c>
      <c r="Y1096">
        <v>9.4758400000000007E-2</v>
      </c>
      <c r="Z1096">
        <v>9.305621E-3</v>
      </c>
      <c r="AA1096">
        <v>0.99545680000000003</v>
      </c>
      <c r="AB1096">
        <v>33</v>
      </c>
      <c r="AC1096">
        <v>-5.7023000000000001</v>
      </c>
      <c r="AD1096">
        <v>-1.1207814154560001</v>
      </c>
      <c r="AE1096">
        <v>-51.194899999999997</v>
      </c>
      <c r="AF1096">
        <v>4.9083373634601202</v>
      </c>
      <c r="AG1096">
        <v>-1.1207814154560001</v>
      </c>
      <c r="AH1096">
        <v>51.252626435588297</v>
      </c>
      <c r="AI1096">
        <v>91.247028482866497</v>
      </c>
      <c r="AJ1096">
        <v>84.529607849519806</v>
      </c>
      <c r="AK1096">
        <v>51.4993169197489</v>
      </c>
      <c r="AL1096">
        <v>78.391665952717901</v>
      </c>
      <c r="AM1096">
        <v>83.889866822904594</v>
      </c>
      <c r="AN1096">
        <v>0.99999997679484398</v>
      </c>
    </row>
    <row r="1097" spans="1:40" x14ac:dyDescent="0.25">
      <c r="A1097" t="str">
        <f>"20190303170740915"</f>
        <v>20190303170740915</v>
      </c>
      <c r="B1097" t="str">
        <f>"1551604060903413"</f>
        <v>1551604060903413</v>
      </c>
      <c r="C1097" t="s">
        <v>40</v>
      </c>
      <c r="D1097">
        <v>4.8155590000000004</v>
      </c>
      <c r="E1097">
        <v>0.50163080000000004</v>
      </c>
      <c r="F1097" t="s">
        <v>43</v>
      </c>
      <c r="G1097">
        <v>-197.1369</v>
      </c>
      <c r="H1097" s="1">
        <v>-4.4864839999999997E-6</v>
      </c>
      <c r="I1097">
        <v>266.4504</v>
      </c>
      <c r="J1097">
        <v>-191.49680000000001</v>
      </c>
      <c r="K1097">
        <v>1.120754</v>
      </c>
      <c r="L1097">
        <v>317.07299999999998</v>
      </c>
      <c r="M1097">
        <v>-1.57632999999999E-2</v>
      </c>
      <c r="N1097">
        <v>-1.239813E-2</v>
      </c>
      <c r="O1097">
        <v>-0.99979910000000005</v>
      </c>
      <c r="P1097">
        <v>-0.1208221</v>
      </c>
      <c r="Q1097">
        <v>0.18986449999999999</v>
      </c>
      <c r="R1097">
        <v>-0.97434810000000005</v>
      </c>
      <c r="S1097">
        <v>-0.33787539999999999</v>
      </c>
      <c r="T1097">
        <v>-6.7076559999999993E-2</v>
      </c>
      <c r="U1097">
        <v>-3.049652</v>
      </c>
      <c r="V1097">
        <v>0.105569</v>
      </c>
      <c r="W1097">
        <v>0.20188829999999999</v>
      </c>
      <c r="X1097">
        <v>0.97370239999999997</v>
      </c>
      <c r="Y1097">
        <v>9.4410419999999995E-2</v>
      </c>
      <c r="Z1097">
        <v>9.4833859999999999E-3</v>
      </c>
      <c r="AA1097">
        <v>0.99548820000000005</v>
      </c>
      <c r="AB1097">
        <v>33</v>
      </c>
      <c r="AC1097">
        <v>-5.6400999999999897</v>
      </c>
      <c r="AD1097">
        <v>-1.1207584864839999</v>
      </c>
      <c r="AE1097">
        <v>-50.622599999999899</v>
      </c>
      <c r="AF1097">
        <v>4.8390159287649599</v>
      </c>
      <c r="AG1097">
        <v>-1.1207584864839999</v>
      </c>
      <c r="AH1097">
        <v>50.680685745904803</v>
      </c>
      <c r="AI1097">
        <v>91.2611054050912</v>
      </c>
      <c r="AJ1097">
        <v>84.545905798625</v>
      </c>
      <c r="AK1097">
        <v>50.923512078597099</v>
      </c>
      <c r="AL1097">
        <v>78.352596933323596</v>
      </c>
      <c r="AM1097">
        <v>83.812151041026098</v>
      </c>
      <c r="AN1097">
        <v>1.00000003160182</v>
      </c>
    </row>
    <row r="1098" spans="1:40" x14ac:dyDescent="0.25">
      <c r="A1098" t="str">
        <f>"20190303170740938"</f>
        <v>20190303170740938</v>
      </c>
      <c r="B1098" t="str">
        <f>"1551604060933669"</f>
        <v>1551604060933669</v>
      </c>
      <c r="C1098" t="s">
        <v>40</v>
      </c>
      <c r="D1098">
        <v>4.9292759999999998</v>
      </c>
      <c r="E1098">
        <v>0.50137089999999995</v>
      </c>
      <c r="F1098" t="s">
        <v>43</v>
      </c>
      <c r="G1098">
        <v>-197.38489999999999</v>
      </c>
      <c r="H1098" s="1">
        <v>-3.8580869999999998E-6</v>
      </c>
      <c r="I1098">
        <v>264.47460000000001</v>
      </c>
      <c r="J1098">
        <v>-191.5026</v>
      </c>
      <c r="K1098">
        <v>1.1207320000000001</v>
      </c>
      <c r="L1098">
        <v>316.73200000000003</v>
      </c>
      <c r="M1098">
        <v>-1.6138489999999998E-2</v>
      </c>
      <c r="N1098">
        <v>-1.246676E-2</v>
      </c>
      <c r="O1098">
        <v>-0.99979200000000001</v>
      </c>
      <c r="P1098">
        <v>-0.12175329999999999</v>
      </c>
      <c r="Q1098">
        <v>0.1902529</v>
      </c>
      <c r="R1098">
        <v>-0.97415589999999996</v>
      </c>
      <c r="S1098">
        <v>-0.3413544</v>
      </c>
      <c r="T1098">
        <v>-6.4974309999999993E-2</v>
      </c>
      <c r="U1098">
        <v>-3.0493160000000001</v>
      </c>
      <c r="V1098">
        <v>0.1061584</v>
      </c>
      <c r="W1098">
        <v>0.2023305</v>
      </c>
      <c r="X1098">
        <v>0.97354649999999998</v>
      </c>
      <c r="Y1098">
        <v>9.5171480000000003E-2</v>
      </c>
      <c r="Z1098">
        <v>8.7299790000000006E-3</v>
      </c>
      <c r="AA1098">
        <v>0.99542260000000005</v>
      </c>
      <c r="AB1098">
        <v>33</v>
      </c>
      <c r="AC1098">
        <v>-5.8822999999999803</v>
      </c>
      <c r="AD1098">
        <v>-1.1207358580869999</v>
      </c>
      <c r="AE1098">
        <v>-52.257399999999997</v>
      </c>
      <c r="AF1098">
        <v>5.0358254488897201</v>
      </c>
      <c r="AG1098">
        <v>-1.1207358580869999</v>
      </c>
      <c r="AH1098">
        <v>52.321767772219197</v>
      </c>
      <c r="AI1098">
        <v>91.221449180785996</v>
      </c>
      <c r="AJ1098">
        <v>84.502373753161294</v>
      </c>
      <c r="AK1098">
        <v>52.575497806728599</v>
      </c>
      <c r="AL1098">
        <v>78.326726630813596</v>
      </c>
      <c r="AM1098">
        <v>83.776885457822402</v>
      </c>
      <c r="AN1098">
        <v>1.00000001239153</v>
      </c>
    </row>
    <row r="1099" spans="1:40" x14ac:dyDescent="0.25">
      <c r="A1099" t="str">
        <f>"20190303170740960"</f>
        <v>20190303170740960</v>
      </c>
      <c r="B1099" t="str">
        <f>"1551604060953695"</f>
        <v>1551604060953695</v>
      </c>
      <c r="C1099" t="s">
        <v>40</v>
      </c>
      <c r="D1099">
        <v>4.8140150000000004</v>
      </c>
      <c r="E1099">
        <v>0.50121789999999999</v>
      </c>
      <c r="F1099" t="s">
        <v>43</v>
      </c>
      <c r="G1099">
        <v>-197.53100000000001</v>
      </c>
      <c r="H1099" s="1">
        <v>-3.4057470000000001E-6</v>
      </c>
      <c r="I1099">
        <v>263.06920000000002</v>
      </c>
      <c r="J1099">
        <v>-191.50819999999999</v>
      </c>
      <c r="K1099">
        <v>1.1207069999999999</v>
      </c>
      <c r="L1099">
        <v>316.4119</v>
      </c>
      <c r="M1099">
        <v>-1.654255E-2</v>
      </c>
      <c r="N1099">
        <v>-1.2547279999999999E-2</v>
      </c>
      <c r="O1099">
        <v>-0.99978469999999997</v>
      </c>
      <c r="P1099">
        <v>-0.1230571</v>
      </c>
      <c r="Q1099">
        <v>0.19023570000000001</v>
      </c>
      <c r="R1099">
        <v>-0.97399619999999998</v>
      </c>
      <c r="S1099">
        <v>-0.34254459999999998</v>
      </c>
      <c r="T1099">
        <v>-6.3682440000000007E-2</v>
      </c>
      <c r="U1099">
        <v>-3.0492249999999999</v>
      </c>
      <c r="V1099">
        <v>0.1070912</v>
      </c>
      <c r="W1099">
        <v>0.20237859999999999</v>
      </c>
      <c r="X1099">
        <v>0.97343429999999997</v>
      </c>
      <c r="Y1099">
        <v>9.515672E-2</v>
      </c>
      <c r="Z1099">
        <v>8.2287390000000005E-3</v>
      </c>
      <c r="AA1099">
        <v>0.99542830000000004</v>
      </c>
      <c r="AB1099">
        <v>32</v>
      </c>
      <c r="AC1099">
        <v>-6.0227999999999797</v>
      </c>
      <c r="AD1099">
        <v>-1.1207104057470001</v>
      </c>
      <c r="AE1099">
        <v>-53.342699999999901</v>
      </c>
      <c r="AF1099">
        <v>5.1372431527824496</v>
      </c>
      <c r="AG1099">
        <v>-1.1207104057470001</v>
      </c>
      <c r="AH1099">
        <v>53.411760442845903</v>
      </c>
      <c r="AI1099">
        <v>91.196510245332405</v>
      </c>
      <c r="AJ1099">
        <v>84.506084345091494</v>
      </c>
      <c r="AK1099">
        <v>53.669948878569997</v>
      </c>
      <c r="AL1099">
        <v>78.323912097903801</v>
      </c>
      <c r="AM1099">
        <v>83.721920654494696</v>
      </c>
      <c r="AN1099">
        <v>0.999999979635944</v>
      </c>
    </row>
    <row r="1100" spans="1:40" x14ac:dyDescent="0.25">
      <c r="A1100" t="str">
        <f>"20190303170740981"</f>
        <v>20190303170740981</v>
      </c>
      <c r="B1100" t="str">
        <f>"1551604060973216"</f>
        <v>1551604060973216</v>
      </c>
      <c r="C1100" t="s">
        <v>40</v>
      </c>
      <c r="D1100">
        <v>4.8715510000000002</v>
      </c>
      <c r="E1100">
        <v>0.50106640000000002</v>
      </c>
      <c r="F1100" t="s">
        <v>43</v>
      </c>
      <c r="G1100">
        <v>-197.62729999999999</v>
      </c>
      <c r="H1100" s="1">
        <v>-3.2542289999999999E-6</v>
      </c>
      <c r="I1100">
        <v>262.57380000000001</v>
      </c>
      <c r="J1100">
        <v>-191.5137</v>
      </c>
      <c r="K1100">
        <v>1.1206860000000001</v>
      </c>
      <c r="L1100">
        <v>316.10849999999999</v>
      </c>
      <c r="M1100">
        <v>-1.6975939999999998E-2</v>
      </c>
      <c r="N1100">
        <v>-1.263474E-2</v>
      </c>
      <c r="O1100">
        <v>-0.9997762</v>
      </c>
      <c r="P1100">
        <v>-0.12422030000000001</v>
      </c>
      <c r="Q1100">
        <v>0.19031999999999999</v>
      </c>
      <c r="R1100">
        <v>-0.97383180000000003</v>
      </c>
      <c r="S1100">
        <v>-0.34651179999999998</v>
      </c>
      <c r="T1100">
        <v>-6.3462729999999995E-2</v>
      </c>
      <c r="U1100">
        <v>-3.0487060000000001</v>
      </c>
      <c r="V1100">
        <v>0.10785409999999999</v>
      </c>
      <c r="W1100">
        <v>0.20253550000000001</v>
      </c>
      <c r="X1100">
        <v>0.9733174</v>
      </c>
      <c r="Y1100">
        <v>9.6022759999999999E-2</v>
      </c>
      <c r="Z1100">
        <v>8.0710790000000001E-3</v>
      </c>
      <c r="AA1100">
        <v>0.99534639999999996</v>
      </c>
      <c r="AB1100">
        <v>32</v>
      </c>
      <c r="AC1100">
        <v>-6.1135999999999902</v>
      </c>
      <c r="AD1100">
        <v>-1.1206892542289999</v>
      </c>
      <c r="AE1100">
        <v>-53.534700000000001</v>
      </c>
      <c r="AF1100">
        <v>5.2015944621704504</v>
      </c>
      <c r="AG1100">
        <v>-1.1206892542289999</v>
      </c>
      <c r="AH1100">
        <v>53.607586816274697</v>
      </c>
      <c r="AI1100">
        <v>91.192021364075501</v>
      </c>
      <c r="AJ1100">
        <v>84.457886290701694</v>
      </c>
      <c r="AK1100">
        <v>53.871011626085597</v>
      </c>
      <c r="AL1100">
        <v>78.314731916288395</v>
      </c>
      <c r="AM1100">
        <v>83.676804359250397</v>
      </c>
      <c r="AN1100">
        <v>0.99999994839490802</v>
      </c>
    </row>
    <row r="1101" spans="1:40" x14ac:dyDescent="0.25">
      <c r="A1101" t="str">
        <f>"20190303170741005"</f>
        <v>20190303170741005</v>
      </c>
      <c r="B1101" t="str">
        <f>"1551604060993711"</f>
        <v>1551604060993711</v>
      </c>
      <c r="C1101" t="s">
        <v>40</v>
      </c>
      <c r="D1101">
        <v>4.8025120000000001</v>
      </c>
      <c r="E1101">
        <v>0.50109250000000005</v>
      </c>
      <c r="F1101" t="s">
        <v>43</v>
      </c>
      <c r="G1101">
        <v>-197.6962</v>
      </c>
      <c r="H1101" s="1">
        <v>-3.0522140000000001E-6</v>
      </c>
      <c r="I1101">
        <v>261.94420000000002</v>
      </c>
      <c r="J1101">
        <v>-191.52</v>
      </c>
      <c r="K1101">
        <v>1.1206590000000001</v>
      </c>
      <c r="L1101">
        <v>315.76830000000001</v>
      </c>
      <c r="M1101">
        <v>-1.7522010000000001E-2</v>
      </c>
      <c r="N1101">
        <v>-1.2746759999999999E-2</v>
      </c>
      <c r="O1101">
        <v>-0.99976529999999997</v>
      </c>
      <c r="P1101">
        <v>-0.12613360000000001</v>
      </c>
      <c r="Q1101">
        <v>0.18998290000000001</v>
      </c>
      <c r="R1101">
        <v>-0.97365139999999994</v>
      </c>
      <c r="S1101">
        <v>-0.34797670000000003</v>
      </c>
      <c r="T1101">
        <v>-6.3076259999999995E-2</v>
      </c>
      <c r="U1101">
        <v>-3.0485530000000001</v>
      </c>
      <c r="V1101">
        <v>0.1092602</v>
      </c>
      <c r="W1101">
        <v>0.20229269999999999</v>
      </c>
      <c r="X1101">
        <v>0.9732111</v>
      </c>
      <c r="Y1101">
        <v>9.5956879999999994E-2</v>
      </c>
      <c r="Z1101">
        <v>7.8338650000000006E-3</v>
      </c>
      <c r="AA1101">
        <v>0.99535469999999904</v>
      </c>
      <c r="AB1101">
        <v>32</v>
      </c>
      <c r="AC1101">
        <v>-6.1761999999999899</v>
      </c>
      <c r="AD1101">
        <v>-1.1206620522139901</v>
      </c>
      <c r="AE1101">
        <v>-53.824099999999902</v>
      </c>
      <c r="AF1101">
        <v>5.2298309874224902</v>
      </c>
      <c r="AG1101">
        <v>-1.1206620522139901</v>
      </c>
      <c r="AH1101">
        <v>53.901000912584799</v>
      </c>
      <c r="AI1101">
        <v>91.1855060905757</v>
      </c>
      <c r="AJ1101">
        <v>84.458132413539403</v>
      </c>
      <c r="AK1101">
        <v>54.165717155510301</v>
      </c>
      <c r="AL1101">
        <v>78.328937835874697</v>
      </c>
      <c r="AM1101">
        <v>83.594355432481805</v>
      </c>
      <c r="AN1101">
        <v>0.99999998647027</v>
      </c>
    </row>
    <row r="1102" spans="1:40" x14ac:dyDescent="0.25">
      <c r="A1102" t="str">
        <f>"20190303170741029"</f>
        <v>20190303170741029</v>
      </c>
      <c r="B1102" t="str">
        <f>"1551604061022991"</f>
        <v>1551604061022991</v>
      </c>
      <c r="C1102" t="s">
        <v>40</v>
      </c>
      <c r="D1102">
        <v>4.8378300000000003</v>
      </c>
      <c r="E1102">
        <v>0.54889200000000005</v>
      </c>
      <c r="F1102" t="s">
        <v>43</v>
      </c>
      <c r="G1102">
        <v>-197.7199</v>
      </c>
      <c r="H1102" s="1">
        <v>-3.1624489999999999E-6</v>
      </c>
      <c r="I1102">
        <v>262.25580000000002</v>
      </c>
      <c r="J1102">
        <v>-191.52680000000001</v>
      </c>
      <c r="K1102">
        <v>1.12063</v>
      </c>
      <c r="L1102">
        <v>315.41559999999998</v>
      </c>
      <c r="M1102">
        <v>-1.8159060000000001E-2</v>
      </c>
      <c r="N1102">
        <v>-1.288007E-2</v>
      </c>
      <c r="O1102">
        <v>-0.99975210000000003</v>
      </c>
      <c r="P1102">
        <v>-0.12804289999999999</v>
      </c>
      <c r="Q1102">
        <v>0.19001799999999999</v>
      </c>
      <c r="R1102">
        <v>-0.97339529999999996</v>
      </c>
      <c r="S1102">
        <v>-0.35313420000000001</v>
      </c>
      <c r="T1102">
        <v>-6.3830139999999994E-2</v>
      </c>
      <c r="U1102">
        <v>-3.0479430000000001</v>
      </c>
      <c r="V1102">
        <v>0.1105782</v>
      </c>
      <c r="W1102">
        <v>0.20244029999999999</v>
      </c>
      <c r="X1102">
        <v>0.97303150000000005</v>
      </c>
      <c r="Y1102">
        <v>9.7006449999999994E-2</v>
      </c>
      <c r="Z1102">
        <v>7.9478190000000001E-3</v>
      </c>
      <c r="AA1102">
        <v>0.99525200000000003</v>
      </c>
      <c r="AB1102">
        <v>32</v>
      </c>
      <c r="AC1102">
        <v>-6.1930999999999798</v>
      </c>
      <c r="AD1102">
        <v>-1.120633162449</v>
      </c>
      <c r="AE1102">
        <v>-53.159799999999898</v>
      </c>
      <c r="AF1102">
        <v>5.2243759790778599</v>
      </c>
      <c r="AG1102">
        <v>-1.120633162449</v>
      </c>
      <c r="AH1102">
        <v>53.240160900682703</v>
      </c>
      <c r="AI1102">
        <v>91.200058117082094</v>
      </c>
      <c r="AJ1102">
        <v>84.395595020307795</v>
      </c>
      <c r="AK1102">
        <v>53.507613063807398</v>
      </c>
      <c r="AL1102">
        <v>78.320301955634505</v>
      </c>
      <c r="AM1102">
        <v>83.516552009481202</v>
      </c>
      <c r="AN1102">
        <v>0.999999956685789</v>
      </c>
    </row>
    <row r="1103" spans="1:40" x14ac:dyDescent="0.25">
      <c r="A1103" t="str">
        <f>"20190303170741051"</f>
        <v>20190303170741051</v>
      </c>
      <c r="B1103" t="str">
        <f>"1551604061043019"</f>
        <v>1551604061043019</v>
      </c>
      <c r="C1103" t="s">
        <v>40</v>
      </c>
      <c r="D1103">
        <v>4.8496360000000003</v>
      </c>
      <c r="E1103">
        <v>0.5555175</v>
      </c>
      <c r="F1103" t="s">
        <v>57</v>
      </c>
      <c r="G1103">
        <v>-197.8013</v>
      </c>
      <c r="H1103" s="1">
        <v>2.1136949999999998E-6</v>
      </c>
      <c r="I1103">
        <v>289.7011</v>
      </c>
      <c r="J1103">
        <v>-191.5335</v>
      </c>
      <c r="K1103">
        <v>1.120595</v>
      </c>
      <c r="L1103">
        <v>315.0881</v>
      </c>
      <c r="M1103">
        <v>-1.8839160000000001E-2</v>
      </c>
      <c r="N1103">
        <v>-1.302062E-2</v>
      </c>
      <c r="O1103">
        <v>-0.99973800000000002</v>
      </c>
      <c r="P1103">
        <v>-0.1295434</v>
      </c>
      <c r="Q1103">
        <v>0.19024079999999999</v>
      </c>
      <c r="R1103">
        <v>-0.9731535</v>
      </c>
      <c r="S1103">
        <v>-0.7346954</v>
      </c>
      <c r="T1103">
        <v>-0.13121769999999999</v>
      </c>
      <c r="U1103">
        <v>-3.0109859999999999</v>
      </c>
      <c r="V1103">
        <v>0.11144859999999999</v>
      </c>
      <c r="W1103">
        <v>0.20278070000000001</v>
      </c>
      <c r="X1103">
        <v>0.97286130000000004</v>
      </c>
      <c r="Y1103">
        <v>0.21852440000000001</v>
      </c>
      <c r="Z1103">
        <v>2.939742E-2</v>
      </c>
      <c r="AA1103">
        <v>0.97538860000000005</v>
      </c>
      <c r="AB1103">
        <v>32</v>
      </c>
      <c r="AC1103">
        <v>-6.2677999999999896</v>
      </c>
      <c r="AD1103">
        <v>-1.1205928863050001</v>
      </c>
      <c r="AE1103">
        <v>-25.386999999999901</v>
      </c>
      <c r="AF1103">
        <v>5.7777667641806598</v>
      </c>
      <c r="AG1103">
        <v>-1.1205928863050001</v>
      </c>
      <c r="AH1103">
        <v>25.4538394259779</v>
      </c>
      <c r="AI1103">
        <v>92.458334005607298</v>
      </c>
      <c r="AJ1103">
        <v>77.211138851453299</v>
      </c>
      <c r="AK1103">
        <v>26.1253949007776</v>
      </c>
      <c r="AL1103">
        <v>78.300385380414795</v>
      </c>
      <c r="AM1103">
        <v>83.464824895280898</v>
      </c>
      <c r="AN1103">
        <v>0.99999995588606905</v>
      </c>
    </row>
    <row r="1104" spans="1:40" x14ac:dyDescent="0.25">
      <c r="A1104" t="str">
        <f>"20190303170741093"</f>
        <v>20190303170741093</v>
      </c>
      <c r="B1104" t="str">
        <f>"1551604061083035"</f>
        <v>1551604061083035</v>
      </c>
      <c r="C1104" t="s">
        <v>40</v>
      </c>
      <c r="D1104">
        <v>4.8371329999999997</v>
      </c>
      <c r="E1104">
        <v>0.56021259999999995</v>
      </c>
      <c r="F1104" t="s">
        <v>57</v>
      </c>
      <c r="G1104">
        <v>-199.02260000000001</v>
      </c>
      <c r="H1104" s="1">
        <v>2.1770430000000002E-6</v>
      </c>
      <c r="I1104">
        <v>286.75650000000002</v>
      </c>
      <c r="J1104">
        <v>-191.54650000000001</v>
      </c>
      <c r="K1104">
        <v>1.120503</v>
      </c>
      <c r="L1104">
        <v>314.48739999999998</v>
      </c>
      <c r="M1104">
        <v>-2.0311610000000001E-2</v>
      </c>
      <c r="N1104">
        <v>-1.3289749999999999E-2</v>
      </c>
      <c r="O1104">
        <v>-0.99970519999999996</v>
      </c>
      <c r="P1104">
        <v>-0.13401360000000001</v>
      </c>
      <c r="Q1104">
        <v>0.19013830000000001</v>
      </c>
      <c r="R1104">
        <v>-0.97256739999999997</v>
      </c>
      <c r="S1104">
        <v>-0.79312130000000003</v>
      </c>
      <c r="T1104">
        <v>-0.118674</v>
      </c>
      <c r="U1104">
        <v>-3.000397</v>
      </c>
      <c r="V1104">
        <v>0.1145578</v>
      </c>
      <c r="W1104">
        <v>0.20289550000000001</v>
      </c>
      <c r="X1104">
        <v>0.97247620000000001</v>
      </c>
      <c r="Y1104">
        <v>0.2357099</v>
      </c>
      <c r="Z1104">
        <v>2.5048190000000001E-2</v>
      </c>
      <c r="AA1104">
        <v>0.97150060000000005</v>
      </c>
      <c r="AB1104">
        <v>32</v>
      </c>
      <c r="AC1104">
        <v>-7.4760999999999997</v>
      </c>
      <c r="AD1104">
        <v>-1.1205008229569999</v>
      </c>
      <c r="AE1104">
        <v>-27.730899999999899</v>
      </c>
      <c r="AF1104">
        <v>6.9007451227949304</v>
      </c>
      <c r="AG1104">
        <v>-1.1205008229569999</v>
      </c>
      <c r="AH1104">
        <v>27.834677649112201</v>
      </c>
      <c r="AI1104">
        <v>92.237562393906998</v>
      </c>
      <c r="AJ1104">
        <v>76.076030833424298</v>
      </c>
      <c r="AK1104">
        <v>28.699217501075101</v>
      </c>
      <c r="AL1104">
        <v>78.293668909363603</v>
      </c>
      <c r="AM1104">
        <v>83.281514068965294</v>
      </c>
      <c r="AN1104">
        <v>1.0000000165137599</v>
      </c>
    </row>
    <row r="1105" spans="1:40" x14ac:dyDescent="0.25">
      <c r="A1105" t="str">
        <f>"20190303170741115"</f>
        <v>20190303170741115</v>
      </c>
      <c r="B1105" t="str">
        <f>"1551604061103532"</f>
        <v>1551604061103532</v>
      </c>
      <c r="C1105" t="s">
        <v>40</v>
      </c>
      <c r="D1105">
        <v>4.8503819999999997</v>
      </c>
      <c r="E1105">
        <v>0.56133630000000001</v>
      </c>
      <c r="F1105" t="s">
        <v>57</v>
      </c>
      <c r="G1105">
        <v>-200.05109999999999</v>
      </c>
      <c r="H1105" s="1">
        <v>2.2629800000000001E-6</v>
      </c>
      <c r="I1105">
        <v>284.34960000000001</v>
      </c>
      <c r="J1105">
        <v>-191.55359999999999</v>
      </c>
      <c r="K1105">
        <v>1.1204430000000001</v>
      </c>
      <c r="L1105">
        <v>314.178</v>
      </c>
      <c r="M1105">
        <v>-2.1184700000000001E-2</v>
      </c>
      <c r="N1105">
        <v>-1.3417709999999999E-2</v>
      </c>
      <c r="O1105">
        <v>-0.9996855</v>
      </c>
      <c r="P1105">
        <v>-0.13645299999999999</v>
      </c>
      <c r="Q1105">
        <v>0.1891688</v>
      </c>
      <c r="R1105">
        <v>-0.97241739999999999</v>
      </c>
      <c r="S1105">
        <v>-0.84378050000000004</v>
      </c>
      <c r="T1105">
        <v>-0.11116910000000001</v>
      </c>
      <c r="U1105">
        <v>-2.9900820000000001</v>
      </c>
      <c r="V1105">
        <v>0.1161814</v>
      </c>
      <c r="W1105">
        <v>0.20202790000000001</v>
      </c>
      <c r="X1105">
        <v>0.9724642</v>
      </c>
      <c r="Y1105">
        <v>0.25098559999999998</v>
      </c>
      <c r="Z1105">
        <v>2.2474770000000002E-2</v>
      </c>
      <c r="AA1105">
        <v>0.96772990000000003</v>
      </c>
      <c r="AB1105">
        <v>32</v>
      </c>
      <c r="AC1105">
        <v>-8.4975000000000005</v>
      </c>
      <c r="AD1105">
        <v>-1.12044073702</v>
      </c>
      <c r="AE1105">
        <v>-29.828399999999899</v>
      </c>
      <c r="AF1105">
        <v>7.8533809131430203</v>
      </c>
      <c r="AG1105">
        <v>-1.12044073702</v>
      </c>
      <c r="AH1105">
        <v>29.9626349420294</v>
      </c>
      <c r="AI1105">
        <v>92.071640595109599</v>
      </c>
      <c r="AJ1105">
        <v>75.312827236510998</v>
      </c>
      <c r="AK1105">
        <v>30.995007208926701</v>
      </c>
      <c r="AL1105">
        <v>78.344429847301797</v>
      </c>
      <c r="AM1105">
        <v>83.187100135251299</v>
      </c>
      <c r="AN1105">
        <v>1.000000005183</v>
      </c>
    </row>
    <row r="1106" spans="1:40" x14ac:dyDescent="0.25">
      <c r="A1106" t="str">
        <f>"20190303170741138"</f>
        <v>20190303170741138</v>
      </c>
      <c r="B1106" t="str">
        <f>"1551604061133787"</f>
        <v>1551604061133787</v>
      </c>
      <c r="C1106" t="s">
        <v>40</v>
      </c>
      <c r="D1106">
        <v>4.864376</v>
      </c>
      <c r="E1106">
        <v>0.56249229999999995</v>
      </c>
      <c r="F1106" t="s">
        <v>57</v>
      </c>
      <c r="G1106">
        <v>-200.0752</v>
      </c>
      <c r="H1106" s="1">
        <v>2.2495389999999998E-6</v>
      </c>
      <c r="I1106">
        <v>284.62529999999998</v>
      </c>
      <c r="J1106">
        <v>-191.56209999999999</v>
      </c>
      <c r="K1106">
        <v>1.120382</v>
      </c>
      <c r="L1106">
        <v>313.834</v>
      </c>
      <c r="M1106">
        <v>-2.2256680000000001E-2</v>
      </c>
      <c r="N1106">
        <v>-1.354753E-2</v>
      </c>
      <c r="O1106">
        <v>-0.99966049999999995</v>
      </c>
      <c r="P1106">
        <v>-0.137961</v>
      </c>
      <c r="Q1106">
        <v>0.18891649999999999</v>
      </c>
      <c r="R1106">
        <v>-0.9722539</v>
      </c>
      <c r="S1106">
        <v>-0.86109919999999995</v>
      </c>
      <c r="T1106">
        <v>-0.1132205</v>
      </c>
      <c r="U1106">
        <v>-2.9862980000000001</v>
      </c>
      <c r="V1106">
        <v>0.11668630000000001</v>
      </c>
      <c r="W1106">
        <v>0.20187849999999999</v>
      </c>
      <c r="X1106">
        <v>0.97243480000000004</v>
      </c>
      <c r="Y1106">
        <v>0.25544790000000001</v>
      </c>
      <c r="Z1106">
        <v>2.3002089999999999E-2</v>
      </c>
      <c r="AA1106">
        <v>0.9665492</v>
      </c>
      <c r="AB1106">
        <v>32</v>
      </c>
      <c r="AC1106">
        <v>-8.5130999999999997</v>
      </c>
      <c r="AD1106">
        <v>-1.120379750461</v>
      </c>
      <c r="AE1106">
        <v>-29.2087</v>
      </c>
      <c r="AF1106">
        <v>7.8501966884761103</v>
      </c>
      <c r="AG1106">
        <v>-1.120379750461</v>
      </c>
      <c r="AH1106">
        <v>29.351150493052099</v>
      </c>
      <c r="AI1106">
        <v>92.111850144056007</v>
      </c>
      <c r="AJ1106">
        <v>75.0262672841517</v>
      </c>
      <c r="AK1106">
        <v>30.4034681261661</v>
      </c>
      <c r="AL1106">
        <v>78.353170227161499</v>
      </c>
      <c r="AM1106">
        <v>83.1575678863543</v>
      </c>
      <c r="AN1106">
        <v>1.0000000308104799</v>
      </c>
    </row>
    <row r="1107" spans="1:40" x14ac:dyDescent="0.25">
      <c r="A1107" t="str">
        <f>"20190303170741159"</f>
        <v>20190303170741159</v>
      </c>
      <c r="B1107" t="str">
        <f>"1551604061153307"</f>
        <v>1551604061153307</v>
      </c>
      <c r="C1107" t="s">
        <v>40</v>
      </c>
      <c r="D1107">
        <v>4.8746109999999998</v>
      </c>
      <c r="E1107">
        <v>0.56297369999999902</v>
      </c>
      <c r="F1107" t="s">
        <v>57</v>
      </c>
      <c r="G1107">
        <v>-200.25069999999999</v>
      </c>
      <c r="H1107" s="1">
        <v>2.3596849999999998E-6</v>
      </c>
      <c r="I1107">
        <v>284.25549999999998</v>
      </c>
      <c r="J1107">
        <v>-191.56970000000001</v>
      </c>
      <c r="K1107">
        <v>1.1203160000000001</v>
      </c>
      <c r="L1107">
        <v>313.53739999999999</v>
      </c>
      <c r="M1107">
        <v>-2.33038E-2</v>
      </c>
      <c r="N1107">
        <v>-1.364918E-2</v>
      </c>
      <c r="O1107">
        <v>-0.99963539999999995</v>
      </c>
      <c r="P1107">
        <v>-0.14041310000000001</v>
      </c>
      <c r="Q1107">
        <v>0.19057189999999999</v>
      </c>
      <c r="R1107">
        <v>-0.97157979999999999</v>
      </c>
      <c r="S1107">
        <v>-0.87631229999999904</v>
      </c>
      <c r="T1107">
        <v>-0.112999</v>
      </c>
      <c r="U1107">
        <v>-2.983215</v>
      </c>
      <c r="V1107">
        <v>0.1181782</v>
      </c>
      <c r="W1107">
        <v>0.20359820000000001</v>
      </c>
      <c r="X1107">
        <v>0.97189590000000003</v>
      </c>
      <c r="Y1107">
        <v>0.25924190000000003</v>
      </c>
      <c r="Z1107">
        <v>2.2822909999999998E-2</v>
      </c>
      <c r="AA1107">
        <v>0.96554269999999998</v>
      </c>
      <c r="AB1107">
        <v>32</v>
      </c>
      <c r="AC1107">
        <v>-8.6809999999999796</v>
      </c>
      <c r="AD1107">
        <v>-1.120313640315</v>
      </c>
      <c r="AE1107">
        <v>-29.2819</v>
      </c>
      <c r="AF1107">
        <v>7.9854543232245003</v>
      </c>
      <c r="AG1107">
        <v>-1.120313640315</v>
      </c>
      <c r="AH1107">
        <v>29.436657416278202</v>
      </c>
      <c r="AI1107">
        <v>92.103580895726907</v>
      </c>
      <c r="AJ1107">
        <v>74.822312805480294</v>
      </c>
      <c r="AK1107">
        <v>30.521130110864299</v>
      </c>
      <c r="AL1107">
        <v>78.252548420161602</v>
      </c>
      <c r="AM1107">
        <v>83.067124082093699</v>
      </c>
      <c r="AN1107">
        <v>0.999999977217644</v>
      </c>
    </row>
    <row r="1108" spans="1:40" x14ac:dyDescent="0.25">
      <c r="A1108" t="str">
        <f>"20190303170741181"</f>
        <v>20190303170741181</v>
      </c>
      <c r="B1108" t="str">
        <f>"1551604061173803"</f>
        <v>1551604061173803</v>
      </c>
      <c r="C1108" t="s">
        <v>40</v>
      </c>
      <c r="D1108">
        <v>4.8852739999999999</v>
      </c>
      <c r="E1108">
        <v>0.56333319999999998</v>
      </c>
      <c r="F1108" t="s">
        <v>57</v>
      </c>
      <c r="G1108">
        <v>-200.80770000000001</v>
      </c>
      <c r="H1108" s="1">
        <v>2.7576710000000001E-6</v>
      </c>
      <c r="I1108">
        <v>282.52879999999999</v>
      </c>
      <c r="J1108">
        <v>-191.57839999999999</v>
      </c>
      <c r="K1108">
        <v>1.120217</v>
      </c>
      <c r="L1108">
        <v>313.21839999999997</v>
      </c>
      <c r="M1108">
        <v>-2.458144E-2</v>
      </c>
      <c r="N1108">
        <v>-1.3748140000000001E-2</v>
      </c>
      <c r="O1108">
        <v>-0.99960360000000004</v>
      </c>
      <c r="P1108">
        <v>-0.1437813</v>
      </c>
      <c r="Q1108">
        <v>0.19131419999999999</v>
      </c>
      <c r="R1108">
        <v>-0.9709409</v>
      </c>
      <c r="S1108">
        <v>-0.88797000000000004</v>
      </c>
      <c r="T1108">
        <v>-0.1076862</v>
      </c>
      <c r="U1108">
        <v>-2.980591</v>
      </c>
      <c r="V1108">
        <v>0.1203757</v>
      </c>
      <c r="W1108">
        <v>0.20439180000000001</v>
      </c>
      <c r="X1108">
        <v>0.97145959999999998</v>
      </c>
      <c r="Y1108">
        <v>0.2617215</v>
      </c>
      <c r="Z1108">
        <v>2.1013609999999999E-2</v>
      </c>
      <c r="AA1108">
        <v>0.96491470000000001</v>
      </c>
      <c r="AB1108">
        <v>32</v>
      </c>
      <c r="AC1108">
        <v>-9.2293000000000198</v>
      </c>
      <c r="AD1108">
        <v>-1.120214242329</v>
      </c>
      <c r="AE1108">
        <v>-30.689599999999899</v>
      </c>
      <c r="AF1108">
        <v>8.4617060826127197</v>
      </c>
      <c r="AG1108">
        <v>-1.120214242329</v>
      </c>
      <c r="AH1108">
        <v>30.869497716554001</v>
      </c>
      <c r="AI1108">
        <v>92.004402494544394</v>
      </c>
      <c r="AJ1108">
        <v>74.671050041326694</v>
      </c>
      <c r="AK1108">
        <v>32.027819767345598</v>
      </c>
      <c r="AL1108">
        <v>78.206102504551794</v>
      </c>
      <c r="AM1108">
        <v>82.936359108842794</v>
      </c>
      <c r="AN1108">
        <v>1.0000000357449399</v>
      </c>
    </row>
    <row r="1109" spans="1:40" x14ac:dyDescent="0.25">
      <c r="A1109" t="str">
        <f>"20190303170741206"</f>
        <v>20190303170741206</v>
      </c>
      <c r="B1109" t="str">
        <f>"1551604061193324"</f>
        <v>1551604061193324</v>
      </c>
      <c r="C1109" t="s">
        <v>40</v>
      </c>
      <c r="D1109">
        <v>4.8999600000000001</v>
      </c>
      <c r="E1109">
        <v>0.56366070000000001</v>
      </c>
      <c r="F1109" t="s">
        <v>57</v>
      </c>
      <c r="G1109">
        <v>-201.08940000000001</v>
      </c>
      <c r="H1109" s="1">
        <v>2.9457149999999998E-6</v>
      </c>
      <c r="I1109">
        <v>281.80689999999998</v>
      </c>
      <c r="J1109">
        <v>-191.58840000000001</v>
      </c>
      <c r="K1109">
        <v>1.1200760000000001</v>
      </c>
      <c r="L1109">
        <v>312.87569999999999</v>
      </c>
      <c r="M1109">
        <v>-2.614139E-2</v>
      </c>
      <c r="N1109">
        <v>-1.384346E-2</v>
      </c>
      <c r="O1109">
        <v>-0.99956250000000002</v>
      </c>
      <c r="P1109">
        <v>-0.14769689999999999</v>
      </c>
      <c r="Q1109">
        <v>0.1903118</v>
      </c>
      <c r="R1109">
        <v>-0.97054989999999997</v>
      </c>
      <c r="S1109">
        <v>-0.90145869999999995</v>
      </c>
      <c r="T1109">
        <v>-0.10617459999999999</v>
      </c>
      <c r="U1109">
        <v>-2.9772029999999998</v>
      </c>
      <c r="V1109">
        <v>0.12285219999999999</v>
      </c>
      <c r="W1109">
        <v>0.20342969999999999</v>
      </c>
      <c r="X1109">
        <v>0.97135150000000003</v>
      </c>
      <c r="Y1109">
        <v>0.26452680000000001</v>
      </c>
      <c r="Z1109">
        <v>2.043588E-2</v>
      </c>
      <c r="AA1109">
        <v>0.96416179999999996</v>
      </c>
      <c r="AB1109">
        <v>32</v>
      </c>
      <c r="AC1109">
        <v>-9.5009999999999994</v>
      </c>
      <c r="AD1109">
        <v>-1.1200730542849999</v>
      </c>
      <c r="AE1109">
        <v>-31.0688</v>
      </c>
      <c r="AF1109">
        <v>8.67518218681432</v>
      </c>
      <c r="AG1109">
        <v>-1.1200730542849999</v>
      </c>
      <c r="AH1109">
        <v>31.269408172149301</v>
      </c>
      <c r="AI1109">
        <v>91.976857047564195</v>
      </c>
      <c r="AJ1109">
        <v>74.494201858982905</v>
      </c>
      <c r="AK1109">
        <v>32.469820403843201</v>
      </c>
      <c r="AL1109">
        <v>78.262409647421094</v>
      </c>
      <c r="AM1109">
        <v>82.791757577784395</v>
      </c>
      <c r="AN1109">
        <v>1.0000000212195801</v>
      </c>
    </row>
    <row r="1110" spans="1:40" x14ac:dyDescent="0.25">
      <c r="A1110" t="str">
        <f>"20190303170741230"</f>
        <v>20190303170741230</v>
      </c>
      <c r="B1110" t="str">
        <f>"1551604061223579"</f>
        <v>1551604061223579</v>
      </c>
      <c r="C1110" t="s">
        <v>40</v>
      </c>
      <c r="D1110">
        <v>4.8939339999999998</v>
      </c>
      <c r="E1110">
        <v>0.56410780000000005</v>
      </c>
      <c r="F1110" t="s">
        <v>57</v>
      </c>
      <c r="G1110">
        <v>-200.88059999999999</v>
      </c>
      <c r="H1110" s="1">
        <v>2.7734500000000001E-6</v>
      </c>
      <c r="I1110">
        <v>282.71820000000002</v>
      </c>
      <c r="J1110">
        <v>-191.59960000000001</v>
      </c>
      <c r="K1110">
        <v>1.1199079999999999</v>
      </c>
      <c r="L1110">
        <v>312.51979999999998</v>
      </c>
      <c r="M1110">
        <v>-2.798521E-2</v>
      </c>
      <c r="N1110">
        <v>-1.3930430000000001E-2</v>
      </c>
      <c r="O1110">
        <v>-0.99951140000000005</v>
      </c>
      <c r="P1110">
        <v>-0.15126149999999999</v>
      </c>
      <c r="Q1110">
        <v>0.18920780000000001</v>
      </c>
      <c r="R1110">
        <v>-0.970217</v>
      </c>
      <c r="S1110">
        <v>-0.91613770000000005</v>
      </c>
      <c r="T1110">
        <v>-0.1104305</v>
      </c>
      <c r="U1110">
        <v>-2.9732970000000001</v>
      </c>
      <c r="V1110">
        <v>0.1247093</v>
      </c>
      <c r="W1110">
        <v>0.20235249999999999</v>
      </c>
      <c r="X1110">
        <v>0.97133979999999998</v>
      </c>
      <c r="Y1110">
        <v>0.26743899999999998</v>
      </c>
      <c r="Z1110">
        <v>2.1726829999999999E-2</v>
      </c>
      <c r="AA1110">
        <v>0.96332980000000001</v>
      </c>
      <c r="AB1110">
        <v>32</v>
      </c>
      <c r="AC1110">
        <v>-9.2809999999999704</v>
      </c>
      <c r="AD1110">
        <v>-1.11990522654999</v>
      </c>
      <c r="AE1110">
        <v>-29.801599999999901</v>
      </c>
      <c r="AF1110">
        <v>8.4324242972818695</v>
      </c>
      <c r="AG1110">
        <v>-1.11990522654999</v>
      </c>
      <c r="AH1110">
        <v>30.011048030215399</v>
      </c>
      <c r="AI1110">
        <v>92.057480365563094</v>
      </c>
      <c r="AJ1110">
        <v>74.305840568528197</v>
      </c>
      <c r="AK1110">
        <v>31.193316128903898</v>
      </c>
      <c r="AL1110">
        <v>78.325439061620003</v>
      </c>
      <c r="AM1110">
        <v>82.683878634733503</v>
      </c>
      <c r="AN1110">
        <v>0.99999997541338903</v>
      </c>
    </row>
    <row r="1111" spans="1:40" x14ac:dyDescent="0.25">
      <c r="A1111" t="str">
        <f>"20190303170741271"</f>
        <v>20190303170741271</v>
      </c>
      <c r="B1111" t="str">
        <f>"1551604061263596"</f>
        <v>1551604061263596</v>
      </c>
      <c r="C1111" t="s">
        <v>40</v>
      </c>
      <c r="D1111">
        <v>4.8869290000000003</v>
      </c>
      <c r="E1111">
        <v>0.564558</v>
      </c>
      <c r="F1111" t="s">
        <v>57</v>
      </c>
      <c r="G1111">
        <v>-200.7029</v>
      </c>
      <c r="H1111" s="1">
        <v>2.6276040000000002E-6</v>
      </c>
      <c r="I1111">
        <v>283.48500000000001</v>
      </c>
      <c r="J1111">
        <v>-191.62010000000001</v>
      </c>
      <c r="K1111">
        <v>1.1196390000000001</v>
      </c>
      <c r="L1111">
        <v>311.93639999999999</v>
      </c>
      <c r="M1111">
        <v>-3.152961E-2</v>
      </c>
      <c r="N1111">
        <v>-1.404915E-2</v>
      </c>
      <c r="O1111">
        <v>-0.99940410000000002</v>
      </c>
      <c r="P1111">
        <v>-0.16012999999999999</v>
      </c>
      <c r="Q1111">
        <v>0.1912325</v>
      </c>
      <c r="R1111">
        <v>-0.96839489999999995</v>
      </c>
      <c r="S1111">
        <v>-0.93095399999999995</v>
      </c>
      <c r="T1111">
        <v>-0.1145278</v>
      </c>
      <c r="U1111">
        <v>-2.9692690000000002</v>
      </c>
      <c r="V1111">
        <v>0.13031869999999901</v>
      </c>
      <c r="W1111">
        <v>0.2043722</v>
      </c>
      <c r="X1111">
        <v>0.97017989999999998</v>
      </c>
      <c r="Y1111">
        <v>0.26876040000000001</v>
      </c>
      <c r="Z1111">
        <v>2.294479E-2</v>
      </c>
      <c r="AA1111">
        <v>0.9629337</v>
      </c>
      <c r="AB1111">
        <v>32</v>
      </c>
      <c r="AC1111">
        <v>-9.08279999999999</v>
      </c>
      <c r="AD1111">
        <v>-1.1196363723959999</v>
      </c>
      <c r="AE1111">
        <v>-28.4513999999999</v>
      </c>
      <c r="AF1111">
        <v>8.1696516314839105</v>
      </c>
      <c r="AG1111">
        <v>-1.1196363723959999</v>
      </c>
      <c r="AH1111">
        <v>28.683345590757199</v>
      </c>
      <c r="AI1111">
        <v>92.149949417335904</v>
      </c>
      <c r="AJ1111">
        <v>74.101874034051207</v>
      </c>
      <c r="AK1111">
        <v>29.845118657244601</v>
      </c>
      <c r="AL1111">
        <v>78.207249278929197</v>
      </c>
      <c r="AM1111">
        <v>82.349579526764899</v>
      </c>
      <c r="AN1111">
        <v>0.99999999903326997</v>
      </c>
    </row>
    <row r="1112" spans="1:40" x14ac:dyDescent="0.25">
      <c r="A1112" t="str">
        <f>"20190303170741295"</f>
        <v>20190303170741295</v>
      </c>
      <c r="B1112" t="str">
        <f>"1551604061283116"</f>
        <v>1551604061283116</v>
      </c>
      <c r="C1112" t="s">
        <v>40</v>
      </c>
      <c r="D1112">
        <v>4.8965189999999996</v>
      </c>
      <c r="E1112">
        <v>0.56467690000000004</v>
      </c>
      <c r="F1112" t="s">
        <v>57</v>
      </c>
      <c r="G1112">
        <v>-201.45410000000001</v>
      </c>
      <c r="H1112" s="1">
        <v>3.1226750000000001E-6</v>
      </c>
      <c r="I1112">
        <v>281.63229999999999</v>
      </c>
      <c r="J1112">
        <v>-191.63290000000001</v>
      </c>
      <c r="K1112">
        <v>1.1195170000000001</v>
      </c>
      <c r="L1112">
        <v>311.60559999999998</v>
      </c>
      <c r="M1112">
        <v>-3.3789699999999999E-2</v>
      </c>
      <c r="N1112">
        <v>-1.4104240000000001E-2</v>
      </c>
      <c r="O1112">
        <v>-0.99932949999999998</v>
      </c>
      <c r="P1112">
        <v>-0.16451370000000001</v>
      </c>
      <c r="Q1112">
        <v>0.19174240000000001</v>
      </c>
      <c r="R1112">
        <v>-0.96755919999999895</v>
      </c>
      <c r="S1112">
        <v>-0.96075440000000001</v>
      </c>
      <c r="T1112">
        <v>-0.1093855</v>
      </c>
      <c r="U1112">
        <v>-2.9606319999999999</v>
      </c>
      <c r="V1112">
        <v>0.1325954</v>
      </c>
      <c r="W1112">
        <v>0.20487859999999999</v>
      </c>
      <c r="X1112">
        <v>0.96976450000000003</v>
      </c>
      <c r="Y1112">
        <v>0.27618219999999999</v>
      </c>
      <c r="Z1112">
        <v>2.1244510000000001E-2</v>
      </c>
      <c r="AA1112">
        <v>0.96087049999999996</v>
      </c>
      <c r="AB1112">
        <v>32</v>
      </c>
      <c r="AC1112">
        <v>-9.8211999999999993</v>
      </c>
      <c r="AD1112">
        <v>-1.119513877325</v>
      </c>
      <c r="AE1112">
        <v>-29.973299999999899</v>
      </c>
      <c r="AF1112">
        <v>8.7916255000258197</v>
      </c>
      <c r="AG1112">
        <v>-1.119513877325</v>
      </c>
      <c r="AH1112">
        <v>30.249960488406799</v>
      </c>
      <c r="AI1112">
        <v>92.035337025344006</v>
      </c>
      <c r="AJ1112">
        <v>73.794411640535998</v>
      </c>
      <c r="AK1112">
        <v>31.521518044098102</v>
      </c>
      <c r="AL1112">
        <v>78.177607295558005</v>
      </c>
      <c r="AM1112">
        <v>82.214256111388806</v>
      </c>
      <c r="AN1112">
        <v>0.99999998314968397</v>
      </c>
    </row>
    <row r="1113" spans="1:40" x14ac:dyDescent="0.25">
      <c r="A1113" t="str">
        <f>"20190303170741339"</f>
        <v>20190303170741339</v>
      </c>
      <c r="B1113" t="str">
        <f>"1551604061333868"</f>
        <v>1551604061333868</v>
      </c>
      <c r="C1113" t="s">
        <v>40</v>
      </c>
      <c r="D1113">
        <v>4.8759329999999999</v>
      </c>
      <c r="E1113">
        <v>0.5648012</v>
      </c>
      <c r="F1113" t="s">
        <v>57</v>
      </c>
      <c r="G1113">
        <v>-201.74690000000001</v>
      </c>
      <c r="H1113" s="1">
        <v>3.3126709999999999E-6</v>
      </c>
      <c r="I1113">
        <v>280.94470000000001</v>
      </c>
      <c r="J1113">
        <v>-191.66059999999999</v>
      </c>
      <c r="K1113">
        <v>1.1192879999999901</v>
      </c>
      <c r="L1113">
        <v>310.95760000000001</v>
      </c>
      <c r="M1113">
        <v>-3.8658860000000003E-2</v>
      </c>
      <c r="N1113">
        <v>-1.419165E-2</v>
      </c>
      <c r="O1113">
        <v>-0.99915189999999998</v>
      </c>
      <c r="P1113">
        <v>-0.17484169999999999</v>
      </c>
      <c r="Q1113">
        <v>0.18937000000000001</v>
      </c>
      <c r="R1113">
        <v>-0.96621420000000002</v>
      </c>
      <c r="S1113">
        <v>-0.97515870000000004</v>
      </c>
      <c r="T1113">
        <v>-0.1079394</v>
      </c>
      <c r="U1113">
        <v>-2.956207</v>
      </c>
      <c r="V1113">
        <v>0.1383307</v>
      </c>
      <c r="W1113">
        <v>0.20248559999999999</v>
      </c>
      <c r="X1113">
        <v>0.96946600000000005</v>
      </c>
      <c r="Y1113">
        <v>0.27615329999999999</v>
      </c>
      <c r="Z1113">
        <v>2.0718500000000001E-2</v>
      </c>
      <c r="AA1113">
        <v>0.96089020000000003</v>
      </c>
      <c r="AB1113">
        <v>32</v>
      </c>
      <c r="AC1113">
        <v>-10.0863</v>
      </c>
      <c r="AD1113">
        <v>-1.1192846873290001</v>
      </c>
      <c r="AE1113">
        <v>-30.012899999999998</v>
      </c>
      <c r="AF1113">
        <v>8.9072464624473309</v>
      </c>
      <c r="AG1113">
        <v>-1.1192846873290001</v>
      </c>
      <c r="AH1113">
        <v>30.3425059455138</v>
      </c>
      <c r="AI1113">
        <v>92.0271247534465</v>
      </c>
      <c r="AJ1113">
        <v>73.640044194134703</v>
      </c>
      <c r="AK1113">
        <v>31.6426848546012</v>
      </c>
      <c r="AL1113">
        <v>78.317652826014907</v>
      </c>
      <c r="AM1113">
        <v>81.879422129672506</v>
      </c>
      <c r="AN1113">
        <v>1.00000006296292</v>
      </c>
    </row>
    <row r="1114" spans="1:40" x14ac:dyDescent="0.25">
      <c r="A1114" t="str">
        <f>"20190303170741362"</f>
        <v>20190303170741362</v>
      </c>
      <c r="B1114" t="str">
        <f>"1551604061353388"</f>
        <v>1551604061353388</v>
      </c>
      <c r="C1114" t="s">
        <v>40</v>
      </c>
      <c r="D1114">
        <v>4.8718320000000004</v>
      </c>
      <c r="E1114">
        <v>0.56478119999999998</v>
      </c>
      <c r="F1114" t="s">
        <v>57</v>
      </c>
      <c r="G1114">
        <v>-201.3261</v>
      </c>
      <c r="H1114" s="1">
        <v>2.9712449999999998E-6</v>
      </c>
      <c r="I1114">
        <v>282.71559999999999</v>
      </c>
      <c r="J1114">
        <v>-191.6755</v>
      </c>
      <c r="K1114">
        <v>1.1191770000000001</v>
      </c>
      <c r="L1114">
        <v>310.64109999999999</v>
      </c>
      <c r="M1114">
        <v>-4.1242279999999999E-2</v>
      </c>
      <c r="N1114">
        <v>-1.422671E-2</v>
      </c>
      <c r="O1114">
        <v>-0.99904789999999999</v>
      </c>
      <c r="P1114">
        <v>-0.17975089999999999</v>
      </c>
      <c r="Q1114">
        <v>0.18856529999999999</v>
      </c>
      <c r="R1114">
        <v>-0.96547019999999995</v>
      </c>
      <c r="S1114">
        <v>-1.0080260000000001</v>
      </c>
      <c r="T1114">
        <v>-0.11673119999999999</v>
      </c>
      <c r="U1114">
        <v>-2.9453740000000002</v>
      </c>
      <c r="V1114">
        <v>0.1408045</v>
      </c>
      <c r="W1114">
        <v>0.2016609</v>
      </c>
      <c r="X1114">
        <v>0.96928170000000002</v>
      </c>
      <c r="Y1114">
        <v>0.28431129999999999</v>
      </c>
      <c r="Z1114">
        <v>2.3540180000000001E-2</v>
      </c>
      <c r="AA1114">
        <v>0.95844300000000004</v>
      </c>
      <c r="AB1114">
        <v>32</v>
      </c>
      <c r="AC1114">
        <v>-9.6505999999999901</v>
      </c>
      <c r="AD1114">
        <v>-1.1191740287549901</v>
      </c>
      <c r="AE1114">
        <v>-27.9255</v>
      </c>
      <c r="AF1114">
        <v>8.4783945639307596</v>
      </c>
      <c r="AG1114">
        <v>-1.1191740287549901</v>
      </c>
      <c r="AH1114">
        <v>28.259241611703001</v>
      </c>
      <c r="AI1114">
        <v>92.172379495535594</v>
      </c>
      <c r="AJ1114">
        <v>73.299598642988997</v>
      </c>
      <c r="AK1114">
        <v>29.5249125546027</v>
      </c>
      <c r="AL1114">
        <v>78.365899464453406</v>
      </c>
      <c r="AM1114">
        <v>81.734638760547298</v>
      </c>
      <c r="AN1114">
        <v>1.0000000198819701</v>
      </c>
    </row>
    <row r="1115" spans="1:40" x14ac:dyDescent="0.25">
      <c r="A1115" t="str">
        <f>"20190303170741384"</f>
        <v>20190303170741384</v>
      </c>
      <c r="B1115" t="str">
        <f>"1551604061373884"</f>
        <v>1551604061373884</v>
      </c>
      <c r="C1115" t="s">
        <v>40</v>
      </c>
      <c r="D1115">
        <v>4.8432250000000003</v>
      </c>
      <c r="E1115">
        <v>0.56474290000000005</v>
      </c>
      <c r="F1115" t="s">
        <v>57</v>
      </c>
      <c r="G1115">
        <v>-201.18960000000001</v>
      </c>
      <c r="H1115" s="1">
        <v>2.8614880000000001E-6</v>
      </c>
      <c r="I1115">
        <v>283.27839999999998</v>
      </c>
      <c r="J1115">
        <v>-191.69149999999999</v>
      </c>
      <c r="K1115">
        <v>1.119062</v>
      </c>
      <c r="L1115">
        <v>310.32130000000001</v>
      </c>
      <c r="M1115">
        <v>-4.3977160000000001E-2</v>
      </c>
      <c r="N1115">
        <v>-1.425768E-2</v>
      </c>
      <c r="O1115">
        <v>-0.99893100000000001</v>
      </c>
      <c r="P1115">
        <v>-0.1847173</v>
      </c>
      <c r="Q1115">
        <v>0.18904480000000001</v>
      </c>
      <c r="R1115">
        <v>-0.96443900000000005</v>
      </c>
      <c r="S1115">
        <v>-1.0224</v>
      </c>
      <c r="T1115">
        <v>-0.1202681</v>
      </c>
      <c r="U1115">
        <v>-2.9404300000000001</v>
      </c>
      <c r="V1115">
        <v>0.14320910000000001</v>
      </c>
      <c r="W1115">
        <v>0.20211200000000001</v>
      </c>
      <c r="X1115">
        <v>0.96883540000000001</v>
      </c>
      <c r="Y1115">
        <v>0.28635369999999999</v>
      </c>
      <c r="Z1115">
        <v>2.4669969999999999E-2</v>
      </c>
      <c r="AA1115">
        <v>0.9578063</v>
      </c>
      <c r="AB1115">
        <v>32</v>
      </c>
      <c r="AC1115">
        <v>-9.4981000000000204</v>
      </c>
      <c r="AD1115">
        <v>-1.1190591385119999</v>
      </c>
      <c r="AE1115">
        <v>-27.042899999999999</v>
      </c>
      <c r="AF1115">
        <v>8.2868864615177298</v>
      </c>
      <c r="AG1115">
        <v>-1.1190591385119999</v>
      </c>
      <c r="AH1115">
        <v>27.392717740715899</v>
      </c>
      <c r="AI1115">
        <v>92.239255490341606</v>
      </c>
      <c r="AJ1115">
        <v>73.168304667557294</v>
      </c>
      <c r="AK1115">
        <v>28.640631379285299</v>
      </c>
      <c r="AL1115">
        <v>78.339510538023404</v>
      </c>
      <c r="AM1115">
        <v>81.5916696767122</v>
      </c>
      <c r="AN1115">
        <v>1.00000006957998</v>
      </c>
    </row>
    <row r="1116" spans="1:40" x14ac:dyDescent="0.25">
      <c r="A1116" t="str">
        <f>"20190303170741408"</f>
        <v>20190303170741408</v>
      </c>
      <c r="B1116" t="str">
        <f>"1551604061393404"</f>
        <v>1551604061393404</v>
      </c>
      <c r="C1116" t="s">
        <v>40</v>
      </c>
      <c r="D1116">
        <v>4.8579679999999996</v>
      </c>
      <c r="E1116">
        <v>0.56469049999999998</v>
      </c>
      <c r="F1116" t="s">
        <v>57</v>
      </c>
      <c r="G1116">
        <v>-201.3699</v>
      </c>
      <c r="H1116" s="1">
        <v>2.9729430000000001E-6</v>
      </c>
      <c r="I1116">
        <v>282.91820000000001</v>
      </c>
      <c r="J1116">
        <v>-191.7088</v>
      </c>
      <c r="K1116">
        <v>1.1189450000000001</v>
      </c>
      <c r="L1116">
        <v>309.99520000000001</v>
      </c>
      <c r="M1116">
        <v>-4.6905210000000003E-2</v>
      </c>
      <c r="N1116">
        <v>-1.428575E-2</v>
      </c>
      <c r="O1116">
        <v>-0.9987973</v>
      </c>
      <c r="P1116">
        <v>-0.19104489999999999</v>
      </c>
      <c r="Q1116">
        <v>0.19024669999999999</v>
      </c>
      <c r="R1116">
        <v>-0.96296850000000001</v>
      </c>
      <c r="S1116">
        <v>-1.0368040000000001</v>
      </c>
      <c r="T1116">
        <v>-0.11988</v>
      </c>
      <c r="U1116">
        <v>-2.9355769999999999</v>
      </c>
      <c r="V1116">
        <v>0.1468158</v>
      </c>
      <c r="W1116">
        <v>0.20326859999999999</v>
      </c>
      <c r="X1116">
        <v>0.96805319999999995</v>
      </c>
      <c r="Y1116">
        <v>0.2882209</v>
      </c>
      <c r="Z1116">
        <v>2.4536519999999999E-2</v>
      </c>
      <c r="AA1116">
        <v>0.95724949999999998</v>
      </c>
      <c r="AB1116">
        <v>32</v>
      </c>
      <c r="AC1116">
        <v>-9.6610999999999994</v>
      </c>
      <c r="AD1116">
        <v>-1.1189420270569901</v>
      </c>
      <c r="AE1116">
        <v>-27.077000000000002</v>
      </c>
      <c r="AF1116">
        <v>8.36760671240447</v>
      </c>
      <c r="AG1116">
        <v>-1.1189420270569901</v>
      </c>
      <c r="AH1116">
        <v>27.458797425856499</v>
      </c>
      <c r="AI1116">
        <v>92.232267119544403</v>
      </c>
      <c r="AJ1116">
        <v>73.052281611944395</v>
      </c>
      <c r="AK1116">
        <v>28.727241939100502</v>
      </c>
      <c r="AL1116">
        <v>78.271836722036596</v>
      </c>
      <c r="AM1116">
        <v>81.376189755855904</v>
      </c>
      <c r="AN1116">
        <v>1.0000000004529199</v>
      </c>
    </row>
    <row r="1117" spans="1:40" x14ac:dyDescent="0.25">
      <c r="A1117" t="str">
        <f>"20190303170741452"</f>
        <v>20190303170741452</v>
      </c>
      <c r="B1117" t="str">
        <f>"1551604061443180"</f>
        <v>1551604061443180</v>
      </c>
      <c r="C1117" t="s">
        <v>40</v>
      </c>
      <c r="D1117">
        <v>4.8491049999999998</v>
      </c>
      <c r="E1117">
        <v>0.56450069999999997</v>
      </c>
      <c r="F1117" t="s">
        <v>57</v>
      </c>
      <c r="G1117">
        <v>-201.851</v>
      </c>
      <c r="H1117" s="1">
        <v>3.2783290000000002E-6</v>
      </c>
      <c r="I1117">
        <v>281.86529999999999</v>
      </c>
      <c r="J1117">
        <v>-191.7457</v>
      </c>
      <c r="K1117">
        <v>1.118725</v>
      </c>
      <c r="L1117">
        <v>309.36489999999998</v>
      </c>
      <c r="M1117">
        <v>-5.2974189999999997E-2</v>
      </c>
      <c r="N1117">
        <v>-1.433078E-2</v>
      </c>
      <c r="O1117">
        <v>-0.99849299999999996</v>
      </c>
      <c r="P1117">
        <v>-0.20497280000000001</v>
      </c>
      <c r="Q1117">
        <v>0.1892684</v>
      </c>
      <c r="R1117">
        <v>-0.96029339999999996</v>
      </c>
      <c r="S1117">
        <v>-1.0560149999999999</v>
      </c>
      <c r="T1117">
        <v>-0.1165059</v>
      </c>
      <c r="U1117">
        <v>-2.928925</v>
      </c>
      <c r="V1117">
        <v>0.1550667</v>
      </c>
      <c r="W1117">
        <v>0.2021886</v>
      </c>
      <c r="X1117">
        <v>0.96699230000000003</v>
      </c>
      <c r="Y1117">
        <v>0.2886629</v>
      </c>
      <c r="Z1117">
        <v>2.3441219999999999E-2</v>
      </c>
      <c r="AA1117">
        <v>0.95714379999999999</v>
      </c>
      <c r="AB1117">
        <v>32</v>
      </c>
      <c r="AC1117">
        <v>-10.1053</v>
      </c>
      <c r="AD1117">
        <v>-1.1187217216709999</v>
      </c>
      <c r="AE1117">
        <v>-27.499599999999901</v>
      </c>
      <c r="AF1117">
        <v>8.6216182971466608</v>
      </c>
      <c r="AG1117">
        <v>-1.1187217216709999</v>
      </c>
      <c r="AH1117">
        <v>27.955592884487299</v>
      </c>
      <c r="AI1117">
        <v>92.189953810362098</v>
      </c>
      <c r="AJ1117">
        <v>72.860025128229296</v>
      </c>
      <c r="AK1117">
        <v>29.2762534125429</v>
      </c>
      <c r="AL1117">
        <v>78.335028454746904</v>
      </c>
      <c r="AM1117">
        <v>80.889623286272595</v>
      </c>
      <c r="AN1117">
        <v>1.00000000983907</v>
      </c>
    </row>
    <row r="1118" spans="1:40" x14ac:dyDescent="0.25">
      <c r="A1118" t="str">
        <f>"20190303170741495"</f>
        <v>20190303170741495</v>
      </c>
      <c r="B1118" t="str">
        <f>"1551604061483196"</f>
        <v>1551604061483196</v>
      </c>
      <c r="C1118" t="s">
        <v>40</v>
      </c>
      <c r="D1118">
        <v>4.8381210000000001</v>
      </c>
      <c r="E1118">
        <v>0.56427039999999995</v>
      </c>
      <c r="F1118" t="s">
        <v>57</v>
      </c>
      <c r="G1118">
        <v>-201.8537</v>
      </c>
      <c r="H1118" s="1">
        <v>3.2244820000000001E-6</v>
      </c>
      <c r="I1118">
        <v>282.49509999999998</v>
      </c>
      <c r="J1118">
        <v>-191.78579999999999</v>
      </c>
      <c r="K1118">
        <v>1.1185750000000001</v>
      </c>
      <c r="L1118">
        <v>308.75240000000002</v>
      </c>
      <c r="M1118">
        <v>-5.9265289999999998E-2</v>
      </c>
      <c r="N1118">
        <v>-1.4363860000000001E-2</v>
      </c>
      <c r="O1118">
        <v>-0.99813909999999995</v>
      </c>
      <c r="P1118">
        <v>-0.21824360000000001</v>
      </c>
      <c r="Q1118">
        <v>0.18859490000000001</v>
      </c>
      <c r="R1118">
        <v>-0.95749779999999995</v>
      </c>
      <c r="S1118">
        <v>-1.0961909999999999</v>
      </c>
      <c r="T1118">
        <v>-0.1213229</v>
      </c>
      <c r="U1118">
        <v>-2.9139710000000001</v>
      </c>
      <c r="V1118">
        <v>0.1624398</v>
      </c>
      <c r="W1118">
        <v>0.20142360000000001</v>
      </c>
      <c r="X1118">
        <v>0.96594089999999999</v>
      </c>
      <c r="Y1118">
        <v>0.29578120000000002</v>
      </c>
      <c r="Z1118">
        <v>2.5017480000000002E-2</v>
      </c>
      <c r="AA1118">
        <v>0.954928</v>
      </c>
      <c r="AB1118">
        <v>32</v>
      </c>
      <c r="AC1118">
        <v>-10.0679</v>
      </c>
      <c r="AD1118">
        <v>-1.118571775518</v>
      </c>
      <c r="AE1118">
        <v>-26.257300000000001</v>
      </c>
      <c r="AF1118">
        <v>8.4804752472568499</v>
      </c>
      <c r="AG1118">
        <v>-1.118571775518</v>
      </c>
      <c r="AH1118">
        <v>26.7655277182145</v>
      </c>
      <c r="AI1118">
        <v>92.281433564612001</v>
      </c>
      <c r="AJ1118">
        <v>72.419549303868706</v>
      </c>
      <c r="AK1118">
        <v>28.099166131236501</v>
      </c>
      <c r="AL1118">
        <v>78.379780229492596</v>
      </c>
      <c r="AM1118">
        <v>80.454034710367395</v>
      </c>
      <c r="AN1118">
        <v>0.99999998877690399</v>
      </c>
    </row>
    <row r="1119" spans="1:40" x14ac:dyDescent="0.25">
      <c r="A1119" t="str">
        <f>"20190303170741519"</f>
        <v>20190303170741519</v>
      </c>
      <c r="B1119" t="str">
        <f>"1551604061513451"</f>
        <v>1551604061513451</v>
      </c>
      <c r="C1119" t="s">
        <v>40</v>
      </c>
      <c r="D1119">
        <v>4.8892660000000001</v>
      </c>
      <c r="E1119">
        <v>0.5652102</v>
      </c>
      <c r="F1119" t="s">
        <v>57</v>
      </c>
      <c r="G1119">
        <v>-201.95349999999999</v>
      </c>
      <c r="H1119" s="1">
        <v>3.2447390000000001E-6</v>
      </c>
      <c r="I1119">
        <v>282.76940000000002</v>
      </c>
      <c r="J1119">
        <v>-191.80930000000001</v>
      </c>
      <c r="K1119">
        <v>1.1185</v>
      </c>
      <c r="L1119">
        <v>308.4196</v>
      </c>
      <c r="M1119">
        <v>-6.2832959999999993E-2</v>
      </c>
      <c r="N1119">
        <v>-1.4377910000000001E-2</v>
      </c>
      <c r="O1119">
        <v>-0.99792060000000005</v>
      </c>
      <c r="P1119">
        <v>-0.22686539999999999</v>
      </c>
      <c r="Q1119">
        <v>0.18997020000000001</v>
      </c>
      <c r="R1119">
        <v>-0.95521909999999999</v>
      </c>
      <c r="S1119">
        <v>-1.134506</v>
      </c>
      <c r="T1119">
        <v>-0.1248095</v>
      </c>
      <c r="U1119">
        <v>-2.8991699999999998</v>
      </c>
      <c r="V1119">
        <v>0.16777</v>
      </c>
      <c r="W1119">
        <v>0.20272979999999999</v>
      </c>
      <c r="X1119">
        <v>0.9647559</v>
      </c>
      <c r="Y1119">
        <v>0.30493480000000001</v>
      </c>
      <c r="Z1119">
        <v>2.6171280000000002E-2</v>
      </c>
      <c r="AA1119">
        <v>0.95201360000000002</v>
      </c>
      <c r="AB1119">
        <v>31</v>
      </c>
      <c r="AC1119">
        <v>-10.1441999999999</v>
      </c>
      <c r="AD1119">
        <v>-1.1184967552609999</v>
      </c>
      <c r="AE1119">
        <v>-25.650199999999899</v>
      </c>
      <c r="AF1119">
        <v>8.4983333850452496</v>
      </c>
      <c r="AG1119">
        <v>-1.1184967552609999</v>
      </c>
      <c r="AH1119">
        <v>26.193891865317301</v>
      </c>
      <c r="AI1119">
        <v>92.325874413344494</v>
      </c>
      <c r="AJ1119">
        <v>72.0248890438682</v>
      </c>
      <c r="AK1119">
        <v>27.5607089235172</v>
      </c>
      <c r="AL1119">
        <v>78.303364659616406</v>
      </c>
      <c r="AM1119">
        <v>80.134979040748604</v>
      </c>
      <c r="AN1119">
        <v>1.00000004564642</v>
      </c>
    </row>
    <row r="1120" spans="1:40" x14ac:dyDescent="0.25">
      <c r="A1120" t="str">
        <f>"20190303170741539"</f>
        <v>20190303170741539</v>
      </c>
      <c r="B1120" t="str">
        <f>"1551604061533948"</f>
        <v>1551604061533948</v>
      </c>
      <c r="C1120" t="s">
        <v>40</v>
      </c>
      <c r="D1120">
        <v>4.8989599999999998</v>
      </c>
      <c r="E1120">
        <v>0.56597980000000003</v>
      </c>
      <c r="F1120" t="s">
        <v>57</v>
      </c>
      <c r="G1120">
        <v>-202.67089999999999</v>
      </c>
      <c r="H1120" s="1">
        <v>3.6684950000000002E-6</v>
      </c>
      <c r="I1120">
        <v>281.56119999999999</v>
      </c>
      <c r="J1120">
        <v>-191.83109999999999</v>
      </c>
      <c r="K1120">
        <v>1.1184369999999999</v>
      </c>
      <c r="L1120">
        <v>308.12599999999998</v>
      </c>
      <c r="M1120">
        <v>-6.6071409999999997E-2</v>
      </c>
      <c r="N1120">
        <v>-1.438921E-2</v>
      </c>
      <c r="O1120">
        <v>-0.99771120000000002</v>
      </c>
      <c r="P1120">
        <v>-0.2357272</v>
      </c>
      <c r="Q1120">
        <v>0.1910586</v>
      </c>
      <c r="R1120">
        <v>-0.95285310000000001</v>
      </c>
      <c r="S1120">
        <v>-1.1675869999999999</v>
      </c>
      <c r="T1120">
        <v>-0.1202351</v>
      </c>
      <c r="U1120">
        <v>-2.8872070000000001</v>
      </c>
      <c r="V1120">
        <v>0.17367009999999999</v>
      </c>
      <c r="W1120">
        <v>0.20374110000000001</v>
      </c>
      <c r="X1120">
        <v>0.96349790000000002</v>
      </c>
      <c r="Y1120">
        <v>0.31259799999999999</v>
      </c>
      <c r="Z1120">
        <v>2.470431E-2</v>
      </c>
      <c r="AA1120">
        <v>0.94956419999999997</v>
      </c>
      <c r="AB1120">
        <v>31</v>
      </c>
      <c r="AC1120">
        <v>-10.839799999999901</v>
      </c>
      <c r="AD1120">
        <v>-1.1184333315049999</v>
      </c>
      <c r="AE1120">
        <v>-26.564799999999899</v>
      </c>
      <c r="AF1120">
        <v>9.0470060510945505</v>
      </c>
      <c r="AG1120">
        <v>-1.1184333315049999</v>
      </c>
      <c r="AH1120">
        <v>27.181711669387902</v>
      </c>
      <c r="AI1120">
        <v>92.235741882595306</v>
      </c>
      <c r="AJ1120">
        <v>71.590788139934205</v>
      </c>
      <c r="AK1120">
        <v>28.669577270746501</v>
      </c>
      <c r="AL1120">
        <v>78.244185495291504</v>
      </c>
      <c r="AM1120">
        <v>79.782175304440898</v>
      </c>
      <c r="AN1120">
        <v>0.99999997138381402</v>
      </c>
    </row>
    <row r="1121" spans="1:40" x14ac:dyDescent="0.25">
      <c r="A1121" t="str">
        <f>"20190303170741561"</f>
        <v>20190303170741561</v>
      </c>
      <c r="B1121" t="str">
        <f>"1551604061553468"</f>
        <v>1551604061553468</v>
      </c>
      <c r="C1121" t="s">
        <v>40</v>
      </c>
      <c r="D1121">
        <v>4.8717090000000001</v>
      </c>
      <c r="E1121">
        <v>0.56669080000000005</v>
      </c>
      <c r="F1121" t="s">
        <v>57</v>
      </c>
      <c r="G1121">
        <v>-203.27699999999999</v>
      </c>
      <c r="H1121" s="1">
        <v>4.0141750000000004E-6</v>
      </c>
      <c r="I1121">
        <v>280.68189999999998</v>
      </c>
      <c r="J1121">
        <v>-191.85470000000001</v>
      </c>
      <c r="K1121">
        <v>1.11836</v>
      </c>
      <c r="L1121">
        <v>307.82420000000002</v>
      </c>
      <c r="M1121">
        <v>-6.9512560000000001E-2</v>
      </c>
      <c r="N1121">
        <v>-1.440019E-2</v>
      </c>
      <c r="O1121">
        <v>-0.99747719999999995</v>
      </c>
      <c r="P1121">
        <v>-0.2444269</v>
      </c>
      <c r="Q1121">
        <v>0.19175490000000001</v>
      </c>
      <c r="R1121">
        <v>-0.95051870000000005</v>
      </c>
      <c r="S1121">
        <v>-1.1991579999999999</v>
      </c>
      <c r="T1121">
        <v>-0.1171751</v>
      </c>
      <c r="U1121">
        <v>-2.8752439999999999</v>
      </c>
      <c r="V1121">
        <v>0.17922560000000001</v>
      </c>
      <c r="W1121">
        <v>0.20435439999999999</v>
      </c>
      <c r="X1121">
        <v>0.96235000000000004</v>
      </c>
      <c r="Y1121">
        <v>0.3196098</v>
      </c>
      <c r="Z1121">
        <v>2.3730060000000001E-2</v>
      </c>
      <c r="AA1121">
        <v>0.94725199999999998</v>
      </c>
      <c r="AB1121">
        <v>31</v>
      </c>
      <c r="AC1121">
        <v>-11.4223</v>
      </c>
      <c r="AD1121">
        <v>-1.1183559858250001</v>
      </c>
      <c r="AE1121">
        <v>-27.142299999999999</v>
      </c>
      <c r="AF1121">
        <v>9.4940450879705001</v>
      </c>
      <c r="AG1121">
        <v>-1.1183559858250001</v>
      </c>
      <c r="AH1121">
        <v>27.830566928477101</v>
      </c>
      <c r="AI1121">
        <v>92.178042715882398</v>
      </c>
      <c r="AJ1121">
        <v>71.163575613895603</v>
      </c>
      <c r="AK1121">
        <v>29.426655735980098</v>
      </c>
      <c r="AL1121">
        <v>78.2082914963799</v>
      </c>
      <c r="AM1121">
        <v>79.450243247318397</v>
      </c>
      <c r="AN1121">
        <v>1.0000000294973499</v>
      </c>
    </row>
    <row r="1122" spans="1:40" x14ac:dyDescent="0.25">
      <c r="A1122" t="str">
        <f>"20190303170741585"</f>
        <v>20190303170741585</v>
      </c>
      <c r="B1122" t="str">
        <f>"1551604061572988"</f>
        <v>1551604061572988</v>
      </c>
      <c r="C1122" t="s">
        <v>40</v>
      </c>
      <c r="D1122">
        <v>4.9098269999999999</v>
      </c>
      <c r="E1122">
        <v>0.56731189999999998</v>
      </c>
      <c r="F1122" t="s">
        <v>57</v>
      </c>
      <c r="G1122">
        <v>-203.9127</v>
      </c>
      <c r="H1122" s="1">
        <v>4.3733199999999998E-6</v>
      </c>
      <c r="I1122">
        <v>279.79820000000001</v>
      </c>
      <c r="J1122">
        <v>-191.8826</v>
      </c>
      <c r="K1122">
        <v>1.1182379999999901</v>
      </c>
      <c r="L1122">
        <v>307.48399999999998</v>
      </c>
      <c r="M1122">
        <v>-7.3543880000000006E-2</v>
      </c>
      <c r="N1122">
        <v>-1.44125E-2</v>
      </c>
      <c r="O1122">
        <v>-0.99718779999999996</v>
      </c>
      <c r="P1122">
        <v>-0.25328909999999999</v>
      </c>
      <c r="Q1122">
        <v>0.1903145</v>
      </c>
      <c r="R1122">
        <v>-0.94848569999999999</v>
      </c>
      <c r="S1122">
        <v>-1.231598</v>
      </c>
      <c r="T1122">
        <v>-0.11422789999999999</v>
      </c>
      <c r="U1122">
        <v>-2.862549</v>
      </c>
      <c r="V1122">
        <v>0.18436050000000001</v>
      </c>
      <c r="W1122">
        <v>0.20282500000000001</v>
      </c>
      <c r="X1122">
        <v>0.96170330000000004</v>
      </c>
      <c r="Y1122">
        <v>0.32636659999999901</v>
      </c>
      <c r="Z1122">
        <v>2.2794620000000002E-2</v>
      </c>
      <c r="AA1122">
        <v>0.94496829999999998</v>
      </c>
      <c r="AB1122">
        <v>31</v>
      </c>
      <c r="AC1122">
        <v>-12.030099999999999</v>
      </c>
      <c r="AD1122">
        <v>-1.1182336266799999</v>
      </c>
      <c r="AE1122">
        <v>-27.6858</v>
      </c>
      <c r="AF1122">
        <v>9.9475320976090593</v>
      </c>
      <c r="AG1122">
        <v>-1.1182336266799999</v>
      </c>
      <c r="AH1122">
        <v>28.456592880481399</v>
      </c>
      <c r="AI1122">
        <v>92.124410347559603</v>
      </c>
      <c r="AJ1122">
        <v>70.731975326830195</v>
      </c>
      <c r="AK1122">
        <v>30.1658999474948</v>
      </c>
      <c r="AL1122">
        <v>78.297793906686096</v>
      </c>
      <c r="AM1122">
        <v>79.147939565077394</v>
      </c>
      <c r="AN1122">
        <v>1.00000000590807</v>
      </c>
    </row>
    <row r="1123" spans="1:40" x14ac:dyDescent="0.25">
      <c r="A1123" t="str">
        <f>"20190303170741609"</f>
        <v>20190303170741609</v>
      </c>
      <c r="B1123" t="str">
        <f>"1551604061603244"</f>
        <v>1551604061603244</v>
      </c>
      <c r="C1123" t="s">
        <v>40</v>
      </c>
      <c r="D1123">
        <v>4.9291130000000001</v>
      </c>
      <c r="E1123">
        <v>0.56807319999999994</v>
      </c>
      <c r="F1123" t="s">
        <v>57</v>
      </c>
      <c r="G1123">
        <v>-203.92160000000001</v>
      </c>
      <c r="H1123" s="1">
        <v>4.3286100000000002E-6</v>
      </c>
      <c r="I1123">
        <v>280.3546</v>
      </c>
      <c r="J1123">
        <v>-191.9102</v>
      </c>
      <c r="K1123">
        <v>1.118099</v>
      </c>
      <c r="L1123">
        <v>307.1653</v>
      </c>
      <c r="M1123">
        <v>-7.7495839999999996E-2</v>
      </c>
      <c r="N1123">
        <v>-1.4424060000000001E-2</v>
      </c>
      <c r="O1123">
        <v>-0.99688860000000001</v>
      </c>
      <c r="P1123">
        <v>-0.2621889</v>
      </c>
      <c r="Q1123">
        <v>0.1894672</v>
      </c>
      <c r="R1123">
        <v>-0.94623440000000003</v>
      </c>
      <c r="S1123">
        <v>-1.26422099999999</v>
      </c>
      <c r="T1123">
        <v>-0.11742660000000001</v>
      </c>
      <c r="U1123">
        <v>-2.8488769999999999</v>
      </c>
      <c r="V1123">
        <v>0.18964300000000001</v>
      </c>
      <c r="W1123">
        <v>0.20187559999999999</v>
      </c>
      <c r="X1123">
        <v>0.96087549999999999</v>
      </c>
      <c r="Y1123">
        <v>0.33332050000000002</v>
      </c>
      <c r="Z1123">
        <v>2.385431E-2</v>
      </c>
      <c r="AA1123">
        <v>0.94251169999999995</v>
      </c>
      <c r="AB1123">
        <v>31</v>
      </c>
      <c r="AC1123">
        <v>-12.0114</v>
      </c>
      <c r="AD1123">
        <v>-1.11809467139</v>
      </c>
      <c r="AE1123">
        <v>-26.810700000000001</v>
      </c>
      <c r="AF1123">
        <v>9.8830219571664006</v>
      </c>
      <c r="AG1123">
        <v>-1.11809467139</v>
      </c>
      <c r="AH1123">
        <v>27.620977387610001</v>
      </c>
      <c r="AI1123">
        <v>92.182691052916496</v>
      </c>
      <c r="AJ1123">
        <v>70.312356159897902</v>
      </c>
      <c r="AK1123">
        <v>29.3571567176879</v>
      </c>
      <c r="AL1123">
        <v>78.3533392295422</v>
      </c>
      <c r="AM1123">
        <v>78.835319565398294</v>
      </c>
      <c r="AN1123">
        <v>0.99999997591230405</v>
      </c>
    </row>
    <row r="1124" spans="1:40" x14ac:dyDescent="0.25">
      <c r="A1124" t="str">
        <f>"20190303170741631"</f>
        <v>20190303170741631</v>
      </c>
      <c r="B1124" t="str">
        <f>"1551604061623740"</f>
        <v>1551604061623740</v>
      </c>
      <c r="C1124" t="s">
        <v>40</v>
      </c>
      <c r="D1124">
        <v>4.8854540000000002</v>
      </c>
      <c r="E1124">
        <v>0.56846450000000004</v>
      </c>
      <c r="F1124" t="s">
        <v>57</v>
      </c>
      <c r="G1124">
        <v>-204.06319999999999</v>
      </c>
      <c r="H1124" s="1">
        <v>4.3690949999999999E-6</v>
      </c>
      <c r="I1124">
        <v>280.61</v>
      </c>
      <c r="J1124">
        <v>-191.9393</v>
      </c>
      <c r="K1124">
        <v>1.1179539999999999</v>
      </c>
      <c r="L1124">
        <v>306.84769999999997</v>
      </c>
      <c r="M1124">
        <v>-8.1652290000000002E-2</v>
      </c>
      <c r="N1124">
        <v>-1.443618E-2</v>
      </c>
      <c r="O1124">
        <v>-0.99655649999999996</v>
      </c>
      <c r="P1124">
        <v>-0.27179890000000001</v>
      </c>
      <c r="Q1124">
        <v>0.1900491</v>
      </c>
      <c r="R1124">
        <v>-0.94340179999999996</v>
      </c>
      <c r="S1124">
        <v>-1.2973629999999901</v>
      </c>
      <c r="T1124">
        <v>-0.1193591</v>
      </c>
      <c r="U1124">
        <v>-2.8348390000000001</v>
      </c>
      <c r="V1124">
        <v>0.1955114</v>
      </c>
      <c r="W1124">
        <v>0.20233329999999999</v>
      </c>
      <c r="X1124">
        <v>0.95960230000000002</v>
      </c>
      <c r="Y1124">
        <v>0.34024939999999998</v>
      </c>
      <c r="Z1124">
        <v>2.4503609999999999E-2</v>
      </c>
      <c r="AA1124">
        <v>0.94001590000000002</v>
      </c>
      <c r="AB1124">
        <v>31</v>
      </c>
      <c r="AC1124">
        <v>-12.1238999999999</v>
      </c>
      <c r="AD1124">
        <v>-1.1179496309049901</v>
      </c>
      <c r="AE1124">
        <v>-26.237699999999901</v>
      </c>
      <c r="AF1124">
        <v>9.9259674149844095</v>
      </c>
      <c r="AG1124">
        <v>-1.1179496309049901</v>
      </c>
      <c r="AH1124">
        <v>27.099575620400799</v>
      </c>
      <c r="AI1124">
        <v>92.218340822972095</v>
      </c>
      <c r="AJ1124">
        <v>69.8833492760225</v>
      </c>
      <c r="AK1124">
        <v>28.881856576515201</v>
      </c>
      <c r="AL1124">
        <v>78.326562939905699</v>
      </c>
      <c r="AM1124">
        <v>78.484055834471803</v>
      </c>
      <c r="AN1124">
        <v>1.00000002299206</v>
      </c>
    </row>
    <row r="1125" spans="1:40" x14ac:dyDescent="0.25">
      <c r="A1125" t="str">
        <f>"20190303170741674"</f>
        <v>20190303170741674</v>
      </c>
      <c r="B1125" t="str">
        <f>"1551604061663756"</f>
        <v>1551604061663756</v>
      </c>
      <c r="C1125" t="s">
        <v>40</v>
      </c>
      <c r="D1125">
        <v>4.9104609999999997</v>
      </c>
      <c r="E1125">
        <v>0.56917269999999998</v>
      </c>
      <c r="F1125" t="s">
        <v>57</v>
      </c>
      <c r="G1125">
        <v>-204.53129999999999</v>
      </c>
      <c r="H1125" s="1">
        <v>4.619155E-6</v>
      </c>
      <c r="I1125">
        <v>280.1241</v>
      </c>
      <c r="J1125">
        <v>-191.99799999999999</v>
      </c>
      <c r="K1125">
        <v>1.1176820000000001</v>
      </c>
      <c r="L1125">
        <v>306.2525</v>
      </c>
      <c r="M1125">
        <v>-9.0008939999999996E-2</v>
      </c>
      <c r="N1125">
        <v>-1.4460519999999999E-2</v>
      </c>
      <c r="O1125">
        <v>-0.99583600000000005</v>
      </c>
      <c r="P1125">
        <v>-0.2886764</v>
      </c>
      <c r="Q1125">
        <v>0.19239890000000001</v>
      </c>
      <c r="R1125">
        <v>-0.93789619999999996</v>
      </c>
      <c r="S1125">
        <v>-1.3291630000000001</v>
      </c>
      <c r="T1125">
        <v>-0.1180061</v>
      </c>
      <c r="U1125">
        <v>-2.8208310000000001</v>
      </c>
      <c r="V1125">
        <v>0.20490259999999999</v>
      </c>
      <c r="W1125">
        <v>0.20444780000000001</v>
      </c>
      <c r="X1125">
        <v>0.95719180000000004</v>
      </c>
      <c r="Y1125">
        <v>0.34283849999999999</v>
      </c>
      <c r="Z1125">
        <v>2.409975E-2</v>
      </c>
      <c r="AA1125">
        <v>0.93908519999999895</v>
      </c>
      <c r="AB1125">
        <v>31</v>
      </c>
      <c r="AC1125">
        <v>-12.533299999999899</v>
      </c>
      <c r="AD1125">
        <v>-1.117677380845</v>
      </c>
      <c r="AE1125">
        <v>-26.128399999999999</v>
      </c>
      <c r="AF1125">
        <v>10.1153337179122</v>
      </c>
      <c r="AG1125">
        <v>-1.117677380845</v>
      </c>
      <c r="AH1125">
        <v>27.1102209038437</v>
      </c>
      <c r="AI1125">
        <v>92.212008742263095</v>
      </c>
      <c r="AJ1125">
        <v>69.538508293084604</v>
      </c>
      <c r="AK1125">
        <v>28.957438705928201</v>
      </c>
      <c r="AL1125">
        <v>78.202825017826498</v>
      </c>
      <c r="AM1125">
        <v>77.917257733669302</v>
      </c>
      <c r="AN1125">
        <v>1.0000000601994099</v>
      </c>
    </row>
    <row r="1126" spans="1:40" x14ac:dyDescent="0.25">
      <c r="A1126" t="str">
        <f>"20190303170741695"</f>
        <v>20190303170741695</v>
      </c>
      <c r="B1126" t="str">
        <f>"1551604061683276"</f>
        <v>1551604061683276</v>
      </c>
      <c r="C1126" t="s">
        <v>40</v>
      </c>
      <c r="D1126">
        <v>4.9337759999999999</v>
      </c>
      <c r="E1126">
        <v>0.56945349999999995</v>
      </c>
      <c r="F1126" t="s">
        <v>57</v>
      </c>
      <c r="G1126">
        <v>-205.21629999999999</v>
      </c>
      <c r="H1126">
        <v>6.3718880000000006E-2</v>
      </c>
      <c r="I1126">
        <v>279.6026</v>
      </c>
      <c r="J1126">
        <v>-192.03039999999999</v>
      </c>
      <c r="K1126">
        <v>1.1175489999999999</v>
      </c>
      <c r="L1126">
        <v>305.94659999999999</v>
      </c>
      <c r="M1126">
        <v>-9.4559240000000003E-2</v>
      </c>
      <c r="N1126">
        <v>-1.4471700000000001E-2</v>
      </c>
      <c r="O1126">
        <v>-0.99541409999999997</v>
      </c>
      <c r="P1126">
        <v>-0.29695539999999998</v>
      </c>
      <c r="Q1126">
        <v>0.19287280000000001</v>
      </c>
      <c r="R1126">
        <v>-0.93520990000000004</v>
      </c>
      <c r="S1126">
        <v>-1.386139</v>
      </c>
      <c r="T1126">
        <v>-0.11052430000000001</v>
      </c>
      <c r="U1126">
        <v>-2.7946469999999999</v>
      </c>
      <c r="V1126">
        <v>0.20907970000000001</v>
      </c>
      <c r="W1126">
        <v>0.2048132</v>
      </c>
      <c r="X1126">
        <v>0.9562098</v>
      </c>
      <c r="Y1126">
        <v>0.35740499999999997</v>
      </c>
      <c r="Z1126">
        <v>2.171992E-2</v>
      </c>
      <c r="AA1126">
        <v>0.93369690000000005</v>
      </c>
      <c r="AB1126">
        <v>31</v>
      </c>
      <c r="AC1126">
        <v>-13.1859</v>
      </c>
      <c r="AD1126">
        <v>-1.05383012</v>
      </c>
      <c r="AE1126">
        <v>-26.343999999999902</v>
      </c>
      <c r="AF1126">
        <v>10.6218832481796</v>
      </c>
      <c r="AG1126">
        <v>-1.05383012</v>
      </c>
      <c r="AH1126">
        <v>27.4378029600683</v>
      </c>
      <c r="AI1126">
        <v>92.051325558812493</v>
      </c>
      <c r="AJ1126">
        <v>68.837290547218103</v>
      </c>
      <c r="AK1126">
        <v>29.440923778565601</v>
      </c>
      <c r="AL1126">
        <v>78.181435521264305</v>
      </c>
      <c r="AM1126">
        <v>77.666127590598904</v>
      </c>
      <c r="AN1126">
        <v>0.99999997473118396</v>
      </c>
    </row>
    <row r="1127" spans="1:40" x14ac:dyDescent="0.25">
      <c r="A1127" t="str">
        <f>"20190303170741718"</f>
        <v>20190303170741718</v>
      </c>
      <c r="B1127" t="str">
        <f>"1551604061713532"</f>
        <v>1551604061713532</v>
      </c>
      <c r="C1127" t="s">
        <v>40</v>
      </c>
      <c r="D1127">
        <v>4.9412909999999997</v>
      </c>
      <c r="E1127">
        <v>0.5697972</v>
      </c>
      <c r="F1127" t="s">
        <v>57</v>
      </c>
      <c r="G1127">
        <v>-205.46979999999999</v>
      </c>
      <c r="H1127">
        <v>8.0001580000000003E-2</v>
      </c>
      <c r="I1127">
        <v>279.50189999999998</v>
      </c>
      <c r="J1127">
        <v>-192.06549999999999</v>
      </c>
      <c r="K1127">
        <v>1.117416</v>
      </c>
      <c r="L1127">
        <v>305.63150000000002</v>
      </c>
      <c r="M1127">
        <v>-9.9414829999999996E-2</v>
      </c>
      <c r="N1127">
        <v>-1.448203E-2</v>
      </c>
      <c r="O1127">
        <v>-0.99494059999999995</v>
      </c>
      <c r="P1127">
        <v>-0.30588379999999998</v>
      </c>
      <c r="Q1127">
        <v>0.19273670000000001</v>
      </c>
      <c r="R1127">
        <v>-0.93235610000000002</v>
      </c>
      <c r="S1127">
        <v>-1.4135740000000001</v>
      </c>
      <c r="T1127">
        <v>-0.10913100000000001</v>
      </c>
      <c r="U1127">
        <v>-2.7814939999999999</v>
      </c>
      <c r="V1127">
        <v>0.2136266</v>
      </c>
      <c r="W1127">
        <v>0.20456679999999999</v>
      </c>
      <c r="X1127">
        <v>0.95525709999999997</v>
      </c>
      <c r="Y1127">
        <v>0.36195189999999999</v>
      </c>
      <c r="Z1127">
        <v>2.12988E-2</v>
      </c>
      <c r="AA1127">
        <v>0.93195340000000004</v>
      </c>
      <c r="AB1127">
        <v>31</v>
      </c>
      <c r="AC1127">
        <v>-13.404299999999999</v>
      </c>
      <c r="AD1127">
        <v>-1.0374144199999999</v>
      </c>
      <c r="AE1127">
        <v>-26.1296</v>
      </c>
      <c r="AF1127">
        <v>10.726554050766</v>
      </c>
      <c r="AG1127">
        <v>-1.0374144199999999</v>
      </c>
      <c r="AH1127">
        <v>27.298788578889699</v>
      </c>
      <c r="AI1127">
        <v>92.025691392140104</v>
      </c>
      <c r="AJ1127">
        <v>68.5485728385204</v>
      </c>
      <c r="AK1127">
        <v>29.348919032184899</v>
      </c>
      <c r="AL1127">
        <v>78.195859047557406</v>
      </c>
      <c r="AM1127">
        <v>77.394211050638603</v>
      </c>
      <c r="AN1127">
        <v>1.0000000134950999</v>
      </c>
    </row>
    <row r="1128" spans="1:40" x14ac:dyDescent="0.25">
      <c r="A1128" t="str">
        <f>"20190303170741739"</f>
        <v>20190303170741739</v>
      </c>
      <c r="B1128" t="str">
        <f>"1551604061733052"</f>
        <v>1551604061733052</v>
      </c>
      <c r="C1128" t="s">
        <v>40</v>
      </c>
      <c r="D1128">
        <v>4.9500799999999998</v>
      </c>
      <c r="E1128">
        <v>0.56994929999999999</v>
      </c>
      <c r="F1128" t="s">
        <v>57</v>
      </c>
      <c r="G1128">
        <v>-205.62</v>
      </c>
      <c r="H1128">
        <v>7.0498080000000005E-2</v>
      </c>
      <c r="I1128">
        <v>279.5958</v>
      </c>
      <c r="J1128">
        <v>-192.1001</v>
      </c>
      <c r="K1128">
        <v>1.1172959999999901</v>
      </c>
      <c r="L1128">
        <v>305.33429999999998</v>
      </c>
      <c r="M1128">
        <v>-0.1041796</v>
      </c>
      <c r="N1128">
        <v>-1.44919E-2</v>
      </c>
      <c r="O1128">
        <v>-0.99445289999999997</v>
      </c>
      <c r="P1128">
        <v>-0.31414809999999999</v>
      </c>
      <c r="Q1128">
        <v>0.192521</v>
      </c>
      <c r="R1128">
        <v>-0.92964849999999999</v>
      </c>
      <c r="S1128">
        <v>-1.4410099999999999</v>
      </c>
      <c r="T1128">
        <v>-0.1113002</v>
      </c>
      <c r="U1128">
        <v>-2.7679140000000002</v>
      </c>
      <c r="V1128">
        <v>0.21759700000000001</v>
      </c>
      <c r="W1128">
        <v>0.20424429999999999</v>
      </c>
      <c r="X1128">
        <v>0.95442959999999999</v>
      </c>
      <c r="Y1128">
        <v>0.36661359999999998</v>
      </c>
      <c r="Z1128">
        <v>2.2035450000000002E-2</v>
      </c>
      <c r="AA1128">
        <v>0.9301123</v>
      </c>
      <c r="AB1128">
        <v>31</v>
      </c>
      <c r="AC1128">
        <v>-13.5199</v>
      </c>
      <c r="AD1128">
        <v>-1.0467979199999999</v>
      </c>
      <c r="AE1128">
        <v>-25.738499999999899</v>
      </c>
      <c r="AF1128">
        <v>10.7506706056267</v>
      </c>
      <c r="AG1128">
        <v>-1.0467979199999999</v>
      </c>
      <c r="AH1128">
        <v>26.972093770573299</v>
      </c>
      <c r="AI1128">
        <v>92.064740215341999</v>
      </c>
      <c r="AJ1128">
        <v>68.268518117758802</v>
      </c>
      <c r="AK1128">
        <v>29.054544338616001</v>
      </c>
      <c r="AL1128">
        <v>78.214735624572697</v>
      </c>
      <c r="AM1128">
        <v>77.1568560781824</v>
      </c>
      <c r="AN1128">
        <v>1.0000000249238199</v>
      </c>
    </row>
    <row r="1129" spans="1:40" x14ac:dyDescent="0.25">
      <c r="A1129" t="str">
        <f>"20190303170741763"</f>
        <v>20190303170741763</v>
      </c>
      <c r="B1129" t="str">
        <f>"1551604061753548"</f>
        <v>1551604061753548</v>
      </c>
      <c r="C1129" t="s">
        <v>40</v>
      </c>
      <c r="D1129">
        <v>4.9565950000000001</v>
      </c>
      <c r="E1129">
        <v>0.5700712</v>
      </c>
      <c r="F1129" t="s">
        <v>57</v>
      </c>
      <c r="G1129">
        <v>-205.7988</v>
      </c>
      <c r="H1129">
        <v>6.1854909999999999E-2</v>
      </c>
      <c r="I1129">
        <v>279.60449999999997</v>
      </c>
      <c r="J1129">
        <v>-192.13929999999999</v>
      </c>
      <c r="K1129">
        <v>1.1171530000000001</v>
      </c>
      <c r="L1129">
        <v>305.01369999999997</v>
      </c>
      <c r="M1129">
        <v>-0.1095213</v>
      </c>
      <c r="N1129">
        <v>-1.450428E-2</v>
      </c>
      <c r="O1129">
        <v>-0.99387859999999995</v>
      </c>
      <c r="P1129">
        <v>-0.32214589999999999</v>
      </c>
      <c r="Q1129">
        <v>0.1926668</v>
      </c>
      <c r="R1129">
        <v>-0.92687750000000002</v>
      </c>
      <c r="S1129">
        <v>-1.46669</v>
      </c>
      <c r="T1129">
        <v>-0.1130043</v>
      </c>
      <c r="U1129">
        <v>-2.7548520000000001</v>
      </c>
      <c r="V1129">
        <v>0.22078059999999999</v>
      </c>
      <c r="W1129">
        <v>0.2042783</v>
      </c>
      <c r="X1129">
        <v>0.95369090000000001</v>
      </c>
      <c r="Y1129">
        <v>0.37018960000000001</v>
      </c>
      <c r="Z1129">
        <v>2.2621769999999999E-2</v>
      </c>
      <c r="AA1129">
        <v>0.92868079999999997</v>
      </c>
      <c r="AB1129">
        <v>31</v>
      </c>
      <c r="AC1129">
        <v>-13.6595</v>
      </c>
      <c r="AD1129">
        <v>-1.05529809</v>
      </c>
      <c r="AE1129">
        <v>-25.409199999999998</v>
      </c>
      <c r="AF1129">
        <v>10.779746453101</v>
      </c>
      <c r="AG1129">
        <v>-1.05529809</v>
      </c>
      <c r="AH1129">
        <v>26.716728955035801</v>
      </c>
      <c r="AI1129">
        <v>92.097819563230701</v>
      </c>
      <c r="AJ1129">
        <v>68.026760954446601</v>
      </c>
      <c r="AK1129">
        <v>28.8288083990433</v>
      </c>
      <c r="AL1129">
        <v>78.212745492411599</v>
      </c>
      <c r="AM1129">
        <v>76.965570653289205</v>
      </c>
      <c r="AN1129">
        <v>1.0000000149650199</v>
      </c>
    </row>
    <row r="1130" spans="1:40" x14ac:dyDescent="0.25">
      <c r="A1130" t="str">
        <f>"20190303170741785"</f>
        <v>20190303170741785</v>
      </c>
      <c r="B1130" t="str">
        <f>"1551604061773068"</f>
        <v>1551604061773068</v>
      </c>
      <c r="C1130" t="s">
        <v>40</v>
      </c>
      <c r="D1130">
        <v>4.9853779999999999</v>
      </c>
      <c r="E1130">
        <v>0.57020000000000004</v>
      </c>
      <c r="F1130" t="s">
        <v>57</v>
      </c>
      <c r="G1130">
        <v>-205.96940000000001</v>
      </c>
      <c r="H1130">
        <v>6.9553139999999999E-2</v>
      </c>
      <c r="I1130">
        <v>279.59679999999997</v>
      </c>
      <c r="J1130">
        <v>-192.17859999999999</v>
      </c>
      <c r="K1130">
        <v>1.1169849999999999</v>
      </c>
      <c r="L1130">
        <v>304.70679999999999</v>
      </c>
      <c r="M1130">
        <v>-0.114828</v>
      </c>
      <c r="N1130">
        <v>-1.4517479999999999E-2</v>
      </c>
      <c r="O1130">
        <v>-0.99327920000000003</v>
      </c>
      <c r="P1130">
        <v>-0.32976909999999998</v>
      </c>
      <c r="Q1130">
        <v>0.19254640000000001</v>
      </c>
      <c r="R1130">
        <v>-0.92421770000000003</v>
      </c>
      <c r="S1130">
        <v>-1.4918209999999901</v>
      </c>
      <c r="T1130">
        <v>-0.1130024</v>
      </c>
      <c r="U1130">
        <v>-2.7416689999999999</v>
      </c>
      <c r="V1130">
        <v>0.22362399999999999</v>
      </c>
      <c r="W1130">
        <v>0.20404729999999999</v>
      </c>
      <c r="X1130">
        <v>0.95307770000000003</v>
      </c>
      <c r="Y1130">
        <v>0.37366779999999999</v>
      </c>
      <c r="Z1130">
        <v>2.2654759999999999E-2</v>
      </c>
      <c r="AA1130">
        <v>0.9272859</v>
      </c>
      <c r="AB1130">
        <v>31</v>
      </c>
      <c r="AC1130">
        <v>-13.790800000000001</v>
      </c>
      <c r="AD1130">
        <v>-1.0474318600000001</v>
      </c>
      <c r="AE1130">
        <v>-25.11</v>
      </c>
      <c r="AF1130">
        <v>10.8014851632829</v>
      </c>
      <c r="AG1130">
        <v>-1.0474318600000001</v>
      </c>
      <c r="AH1130">
        <v>26.492194094783301</v>
      </c>
      <c r="AI1130">
        <v>92.096731918488103</v>
      </c>
      <c r="AJ1130">
        <v>67.818132396828602</v>
      </c>
      <c r="AK1130">
        <v>28.628753783384202</v>
      </c>
      <c r="AL1130">
        <v>78.226265987854106</v>
      </c>
      <c r="AM1130">
        <v>76.795347883623094</v>
      </c>
      <c r="AN1130">
        <v>1.00000004812528</v>
      </c>
    </row>
    <row r="1131" spans="1:40" x14ac:dyDescent="0.25">
      <c r="A1131" t="str">
        <f>"20190303170741809"</f>
        <v>20190303170741809</v>
      </c>
      <c r="B1131" t="str">
        <f>"1551604061803324"</f>
        <v>1551604061803324</v>
      </c>
      <c r="C1131" t="s">
        <v>40</v>
      </c>
      <c r="D1131">
        <v>4.9713539999999998</v>
      </c>
      <c r="E1131">
        <v>0.57032469999999902</v>
      </c>
      <c r="F1131" t="s">
        <v>57</v>
      </c>
      <c r="G1131">
        <v>-206.1163</v>
      </c>
      <c r="H1131">
        <v>6.4591850000000006E-2</v>
      </c>
      <c r="I1131">
        <v>279.60169999999999</v>
      </c>
      <c r="J1131">
        <v>-192.2226</v>
      </c>
      <c r="K1131">
        <v>1.116792</v>
      </c>
      <c r="L1131">
        <v>304.37920000000003</v>
      </c>
      <c r="M1131">
        <v>-0.1207121</v>
      </c>
      <c r="N1131">
        <v>-1.4532110000000001E-2</v>
      </c>
      <c r="O1131">
        <v>-0.99258120000000005</v>
      </c>
      <c r="P1131">
        <v>-0.33926489999999998</v>
      </c>
      <c r="Q1131">
        <v>0.19101399999999999</v>
      </c>
      <c r="R1131">
        <v>-0.92109359999999996</v>
      </c>
      <c r="S1131">
        <v>-1.5151669999999999</v>
      </c>
      <c r="T1131">
        <v>-0.1144061</v>
      </c>
      <c r="U1131">
        <v>-2.729187</v>
      </c>
      <c r="V1131">
        <v>0.22782959999999999</v>
      </c>
      <c r="W1131">
        <v>0.20237730000000001</v>
      </c>
      <c r="X1131">
        <v>0.95243750000000005</v>
      </c>
      <c r="Y1131">
        <v>0.37602669999999999</v>
      </c>
      <c r="Z1131">
        <v>2.3144069999999999E-2</v>
      </c>
      <c r="AA1131">
        <v>0.92631980000000003</v>
      </c>
      <c r="AB1131">
        <v>31</v>
      </c>
      <c r="AC1131">
        <v>-13.8936999999999</v>
      </c>
      <c r="AD1131">
        <v>-1.05220015</v>
      </c>
      <c r="AE1131">
        <v>-24.7775</v>
      </c>
      <c r="AF1131">
        <v>10.7860236044059</v>
      </c>
      <c r="AG1131">
        <v>-1.05220015</v>
      </c>
      <c r="AH1131">
        <v>26.2375951440718</v>
      </c>
      <c r="AI1131">
        <v>92.124181093412901</v>
      </c>
      <c r="AJ1131">
        <v>67.652906527918603</v>
      </c>
      <c r="AK1131">
        <v>28.387617534669602</v>
      </c>
      <c r="AL1131">
        <v>78.323988927809694</v>
      </c>
      <c r="AM1131">
        <v>76.547242104135506</v>
      </c>
      <c r="AN1131">
        <v>1.00000004479884</v>
      </c>
    </row>
    <row r="1132" spans="1:40" x14ac:dyDescent="0.25">
      <c r="A1132" t="str">
        <f>"20190303170741833"</f>
        <v>20190303170741833</v>
      </c>
      <c r="B1132" t="str">
        <f>"1551604061823820"</f>
        <v>1551604061823820</v>
      </c>
      <c r="C1132" t="s">
        <v>40</v>
      </c>
      <c r="D1132">
        <v>5.0106120000000001</v>
      </c>
      <c r="E1132">
        <v>0.57040419999999903</v>
      </c>
      <c r="F1132" t="s">
        <v>57</v>
      </c>
      <c r="G1132">
        <v>-206.3083</v>
      </c>
      <c r="H1132">
        <v>1.490321E-2</v>
      </c>
      <c r="I1132">
        <v>279.61630000000002</v>
      </c>
      <c r="J1132">
        <v>-192.27010000000001</v>
      </c>
      <c r="K1132">
        <v>1.116609</v>
      </c>
      <c r="L1132">
        <v>304.04500000000002</v>
      </c>
      <c r="M1132">
        <v>-0.12699460000000001</v>
      </c>
      <c r="N1132">
        <v>-1.45479999999999E-2</v>
      </c>
      <c r="O1132">
        <v>-0.99179680000000003</v>
      </c>
      <c r="P1132">
        <v>-0.34892479999999998</v>
      </c>
      <c r="Q1132">
        <v>0.1897316</v>
      </c>
      <c r="R1132">
        <v>-0.9177438</v>
      </c>
      <c r="S1132">
        <v>-1.5435179999999999</v>
      </c>
      <c r="T1132">
        <v>-0.120745699999999</v>
      </c>
      <c r="U1132">
        <v>-2.7135310000000001</v>
      </c>
      <c r="V1132">
        <v>0.2318585</v>
      </c>
      <c r="W1132">
        <v>0.2009532</v>
      </c>
      <c r="X1132">
        <v>0.95176649999999996</v>
      </c>
      <c r="Y1132">
        <v>0.37973509999999999</v>
      </c>
      <c r="Z1132">
        <v>2.5246560000000001E-2</v>
      </c>
      <c r="AA1132">
        <v>0.92475070000000004</v>
      </c>
      <c r="AB1132">
        <v>31</v>
      </c>
      <c r="AC1132">
        <v>-14.0381999999999</v>
      </c>
      <c r="AD1132">
        <v>-1.10170579</v>
      </c>
      <c r="AE1132">
        <v>-24.4286999999999</v>
      </c>
      <c r="AF1132">
        <v>10.8053520226083</v>
      </c>
      <c r="AG1132">
        <v>-1.10170579</v>
      </c>
      <c r="AH1132">
        <v>25.974118953410802</v>
      </c>
      <c r="AI1132">
        <v>92.242670605684495</v>
      </c>
      <c r="AJ1132">
        <v>67.412466563579997</v>
      </c>
      <c r="AK1132">
        <v>28.1535831358309</v>
      </c>
      <c r="AL1132">
        <v>78.407295034356295</v>
      </c>
      <c r="AM1132">
        <v>76.308930770579295</v>
      </c>
      <c r="AN1132">
        <v>1.00000001156737</v>
      </c>
    </row>
    <row r="1133" spans="1:40" x14ac:dyDescent="0.25">
      <c r="A1133" t="str">
        <f>"20190303170741876"</f>
        <v>20190303170741876</v>
      </c>
      <c r="B1133" t="str">
        <f>"1551604061863836"</f>
        <v>1551604061863836</v>
      </c>
      <c r="C1133" t="s">
        <v>40</v>
      </c>
      <c r="D1133">
        <v>5.0110199999999896</v>
      </c>
      <c r="E1133">
        <v>0.57050000000000001</v>
      </c>
      <c r="F1133" t="s">
        <v>57</v>
      </c>
      <c r="G1133">
        <v>-206.16390000000001</v>
      </c>
      <c r="H1133" s="1">
        <v>5.3370839999999997E-6</v>
      </c>
      <c r="I1133">
        <v>280.1934</v>
      </c>
      <c r="J1133">
        <v>-192.35759999999999</v>
      </c>
      <c r="K1133">
        <v>1.1163179999999999</v>
      </c>
      <c r="L1133">
        <v>303.4674</v>
      </c>
      <c r="M1133">
        <v>-0.138375</v>
      </c>
      <c r="N1133">
        <v>-1.4574999999999999E-2</v>
      </c>
      <c r="O1133">
        <v>-0.99027279999999995</v>
      </c>
      <c r="P1133">
        <v>-0.36299399999999998</v>
      </c>
      <c r="Q1133">
        <v>0.1893463</v>
      </c>
      <c r="R1133">
        <v>-0.91235049999999995</v>
      </c>
      <c r="S1133">
        <v>-1.5713649999999999</v>
      </c>
      <c r="T1133">
        <v>-0.1262857</v>
      </c>
      <c r="U1133">
        <v>-2.6975709999999999</v>
      </c>
      <c r="V1133">
        <v>0.23569670000000001</v>
      </c>
      <c r="W1133">
        <v>0.20037540000000001</v>
      </c>
      <c r="X1133">
        <v>0.95094520000000005</v>
      </c>
      <c r="Y1133">
        <v>0.37859179999999998</v>
      </c>
      <c r="Z1133">
        <v>2.7100300000000001E-2</v>
      </c>
      <c r="AA1133">
        <v>0.92516699999999996</v>
      </c>
      <c r="AB1133">
        <v>31</v>
      </c>
      <c r="AC1133">
        <v>-13.8063</v>
      </c>
      <c r="AD1133">
        <v>-1.1163126629159901</v>
      </c>
      <c r="AE1133">
        <v>-23.274000000000001</v>
      </c>
      <c r="AF1133">
        <v>10.4348152952769</v>
      </c>
      <c r="AG1133">
        <v>-1.1163126629159901</v>
      </c>
      <c r="AH1133">
        <v>24.918299799811699</v>
      </c>
      <c r="AI1133">
        <v>92.366232722646899</v>
      </c>
      <c r="AJ1133">
        <v>67.277959455497495</v>
      </c>
      <c r="AK1133">
        <v>27.037995286655899</v>
      </c>
      <c r="AL1133">
        <v>78.441087795799106</v>
      </c>
      <c r="AM1133">
        <v>76.079474778308906</v>
      </c>
      <c r="AN1133">
        <v>1.0000000043595401</v>
      </c>
    </row>
    <row r="1134" spans="1:40" x14ac:dyDescent="0.25">
      <c r="A1134" t="str">
        <f>"20190303170741899"</f>
        <v>20190303170741899</v>
      </c>
      <c r="B1134" t="str">
        <f>"1551604061893116"</f>
        <v>1551604061893116</v>
      </c>
      <c r="C1134" t="s">
        <v>40</v>
      </c>
      <c r="D1134">
        <v>5.0464799999999999</v>
      </c>
      <c r="E1134">
        <v>0.5705519</v>
      </c>
      <c r="F1134" t="s">
        <v>57</v>
      </c>
      <c r="G1134">
        <v>-206.48650000000001</v>
      </c>
      <c r="H1134" s="1">
        <v>5.4897089999999998E-6</v>
      </c>
      <c r="I1134">
        <v>280.08420000000001</v>
      </c>
      <c r="J1134">
        <v>-192.4117</v>
      </c>
      <c r="K1134">
        <v>1.1161380000000001</v>
      </c>
      <c r="L1134">
        <v>303.13350000000003</v>
      </c>
      <c r="M1134">
        <v>-0.14530170000000001</v>
      </c>
      <c r="N1134">
        <v>-1.4591440000000001E-2</v>
      </c>
      <c r="O1134">
        <v>-0.98927980000000004</v>
      </c>
      <c r="P1134">
        <v>-0.3716989</v>
      </c>
      <c r="Q1134">
        <v>0.18761169999999999</v>
      </c>
      <c r="R1134">
        <v>-0.90919859999999997</v>
      </c>
      <c r="S1134">
        <v>-1.614655</v>
      </c>
      <c r="T1134">
        <v>-0.1275722</v>
      </c>
      <c r="U1134">
        <v>-2.6722410000000001</v>
      </c>
      <c r="V1134">
        <v>0.23814660000000001</v>
      </c>
      <c r="W1134">
        <v>0.19852649999999999</v>
      </c>
      <c r="X1134">
        <v>0.95072259999999997</v>
      </c>
      <c r="Y1134">
        <v>0.38695099999999999</v>
      </c>
      <c r="Z1134">
        <v>2.7586320000000001E-2</v>
      </c>
      <c r="AA1134">
        <v>0.92168749999999999</v>
      </c>
      <c r="AB1134">
        <v>31</v>
      </c>
      <c r="AC1134">
        <v>-14.0748</v>
      </c>
      <c r="AD1134">
        <v>-1.11613251029099</v>
      </c>
      <c r="AE1134">
        <v>-23.049299999999999</v>
      </c>
      <c r="AF1134">
        <v>10.557905966826899</v>
      </c>
      <c r="AG1134">
        <v>-1.11613251029099</v>
      </c>
      <c r="AH1134">
        <v>24.807573686816699</v>
      </c>
      <c r="AI1134">
        <v>92.370596250127406</v>
      </c>
      <c r="AJ1134">
        <v>66.945782245820794</v>
      </c>
      <c r="AK1134">
        <v>26.983899688735299</v>
      </c>
      <c r="AL1134">
        <v>78.549194232309105</v>
      </c>
      <c r="AM1134">
        <v>75.937330674976806</v>
      </c>
      <c r="AN1134">
        <v>1.0000000182222799</v>
      </c>
    </row>
    <row r="1135" spans="1:40" x14ac:dyDescent="0.25">
      <c r="A1135" t="str">
        <f>"20190303170741920"</f>
        <v>20190303170741920</v>
      </c>
      <c r="B1135" t="str">
        <f>"1551604061913612"</f>
        <v>1551604061913612</v>
      </c>
      <c r="C1135" t="s">
        <v>40</v>
      </c>
      <c r="D1135">
        <v>5.0430999999999999</v>
      </c>
      <c r="E1135">
        <v>0.57057789999999997</v>
      </c>
      <c r="F1135" t="s">
        <v>57</v>
      </c>
      <c r="G1135">
        <v>-206.05009999999999</v>
      </c>
      <c r="H1135" s="1">
        <v>5.2128819999999996E-6</v>
      </c>
      <c r="I1135">
        <v>281.0369</v>
      </c>
      <c r="J1135">
        <v>-192.45939999999999</v>
      </c>
      <c r="K1135">
        <v>1.1159809999999999</v>
      </c>
      <c r="L1135">
        <v>302.85120000000001</v>
      </c>
      <c r="M1135">
        <v>-0.1513651</v>
      </c>
      <c r="N1135">
        <v>-1.460679E-2</v>
      </c>
      <c r="O1135">
        <v>-0.98836999999999997</v>
      </c>
      <c r="P1135">
        <v>-0.37920379999999998</v>
      </c>
      <c r="Q1135">
        <v>0.18621699999999999</v>
      </c>
      <c r="R1135">
        <v>-0.90638169999999996</v>
      </c>
      <c r="S1135">
        <v>-1.639923</v>
      </c>
      <c r="T1135">
        <v>-0.1342071</v>
      </c>
      <c r="U1135">
        <v>-2.656952</v>
      </c>
      <c r="V1135">
        <v>0.24019650000000001</v>
      </c>
      <c r="W1135">
        <v>0.19702790000000001</v>
      </c>
      <c r="X1135">
        <v>0.95051859999999999</v>
      </c>
      <c r="Y1135">
        <v>0.38997369999999998</v>
      </c>
      <c r="Z1135">
        <v>2.9789530000000002E-2</v>
      </c>
      <c r="AA1135">
        <v>0.9203441</v>
      </c>
      <c r="AB1135">
        <v>31</v>
      </c>
      <c r="AC1135">
        <v>-13.590699999999901</v>
      </c>
      <c r="AD1135">
        <v>-1.1159757871179901</v>
      </c>
      <c r="AE1135">
        <v>-21.814299999999999</v>
      </c>
      <c r="AF1135">
        <v>10.112731365037099</v>
      </c>
      <c r="AG1135">
        <v>-1.1159757871179901</v>
      </c>
      <c r="AH1135">
        <v>23.575828676090499</v>
      </c>
      <c r="AI1135">
        <v>92.490932738129601</v>
      </c>
      <c r="AJ1135">
        <v>66.783334249495994</v>
      </c>
      <c r="AK1135">
        <v>25.6774694115914</v>
      </c>
      <c r="AL1135">
        <v>78.636787498987303</v>
      </c>
      <c r="AM1135">
        <v>75.818225112727802</v>
      </c>
      <c r="AN1135">
        <v>0.99999998046830896</v>
      </c>
    </row>
    <row r="1136" spans="1:40" x14ac:dyDescent="0.25">
      <c r="A1136" t="str">
        <f>"20190303170741942"</f>
        <v>20190303170741942</v>
      </c>
      <c r="B1136" t="str">
        <f>"1551604061933132"</f>
        <v>1551604061933132</v>
      </c>
      <c r="C1136" t="s">
        <v>40</v>
      </c>
      <c r="D1136">
        <v>5.0604779999999998</v>
      </c>
      <c r="E1136">
        <v>0.57060390000000005</v>
      </c>
      <c r="F1136" t="s">
        <v>57</v>
      </c>
      <c r="G1136">
        <v>-205.8426</v>
      </c>
      <c r="H1136" s="1">
        <v>5.0736029999999999E-6</v>
      </c>
      <c r="I1136">
        <v>281.57749999999999</v>
      </c>
      <c r="J1136">
        <v>-192.5121</v>
      </c>
      <c r="K1136">
        <v>1.1157859999999999</v>
      </c>
      <c r="L1136">
        <v>302.5532</v>
      </c>
      <c r="M1136">
        <v>-0.1580473</v>
      </c>
      <c r="N1136">
        <v>-1.4625849999999999E-2</v>
      </c>
      <c r="O1136">
        <v>-0.98732319999999996</v>
      </c>
      <c r="P1136">
        <v>-0.38593830000000001</v>
      </c>
      <c r="Q1136">
        <v>0.18580340000000001</v>
      </c>
      <c r="R1136">
        <v>-0.90361979999999997</v>
      </c>
      <c r="S1136">
        <v>-1.6625669999999999</v>
      </c>
      <c r="T1136">
        <v>-0.1386356</v>
      </c>
      <c r="U1136">
        <v>-2.642792</v>
      </c>
      <c r="V1136">
        <v>0.2409203</v>
      </c>
      <c r="W1136">
        <v>0.1965047</v>
      </c>
      <c r="X1136">
        <v>0.9504437</v>
      </c>
      <c r="Y1136">
        <v>0.39158870000000001</v>
      </c>
      <c r="Z1136">
        <v>3.1271699999999999E-2</v>
      </c>
      <c r="AA1136">
        <v>0.9196088</v>
      </c>
      <c r="AB1136">
        <v>31</v>
      </c>
      <c r="AC1136">
        <v>-13.330500000000001</v>
      </c>
      <c r="AD1136">
        <v>-1.115780926397</v>
      </c>
      <c r="AE1136">
        <v>-20.9757</v>
      </c>
      <c r="AF1136">
        <v>9.8276046572677807</v>
      </c>
      <c r="AG1136">
        <v>-1.115780926397</v>
      </c>
      <c r="AH1136">
        <v>22.7731855693409</v>
      </c>
      <c r="AI1136">
        <v>92.575732594503506</v>
      </c>
      <c r="AJ1136">
        <v>66.657734130186896</v>
      </c>
      <c r="AK1136">
        <v>24.828305648007799</v>
      </c>
      <c r="AL1136">
        <v>78.667362113861003</v>
      </c>
      <c r="AM1136">
        <v>75.776146496716706</v>
      </c>
      <c r="AN1136">
        <v>0.99999995747193404</v>
      </c>
    </row>
    <row r="1137" spans="1:40" x14ac:dyDescent="0.25">
      <c r="A1137" t="str">
        <f>"20190303170741964"</f>
        <v>20190303170741964</v>
      </c>
      <c r="B1137" t="str">
        <f>"1551604061953628"</f>
        <v>1551604061953628</v>
      </c>
      <c r="C1137" t="s">
        <v>40</v>
      </c>
      <c r="D1137">
        <v>5.0935059999999996</v>
      </c>
      <c r="E1137">
        <v>0.5705962</v>
      </c>
      <c r="F1137" t="s">
        <v>57</v>
      </c>
      <c r="G1137">
        <v>-205.95410000000001</v>
      </c>
      <c r="H1137" s="1">
        <v>5.1252240000000003E-6</v>
      </c>
      <c r="I1137">
        <v>281.55239999999998</v>
      </c>
      <c r="J1137">
        <v>-192.56620000000001</v>
      </c>
      <c r="K1137">
        <v>1.1155520000000001</v>
      </c>
      <c r="L1137">
        <v>302.2595</v>
      </c>
      <c r="M1137">
        <v>-0.1649495</v>
      </c>
      <c r="N1137">
        <v>-1.4650710000000001E-2</v>
      </c>
      <c r="O1137">
        <v>-0.98619330000000005</v>
      </c>
      <c r="P1137">
        <v>-0.39184950000000002</v>
      </c>
      <c r="Q1137">
        <v>0.18668789999999999</v>
      </c>
      <c r="R1137">
        <v>-0.90088959999999996</v>
      </c>
      <c r="S1137">
        <v>-1.6832579999999999</v>
      </c>
      <c r="T1137">
        <v>-0.13972219999999999</v>
      </c>
      <c r="U1137">
        <v>-2.629791</v>
      </c>
      <c r="V1137">
        <v>0.24065529999999999</v>
      </c>
      <c r="W1137">
        <v>0.1972757</v>
      </c>
      <c r="X1137">
        <v>0.95035119999999895</v>
      </c>
      <c r="Y1137">
        <v>0.39234229999999998</v>
      </c>
      <c r="Z1137">
        <v>3.1654219999999997E-2</v>
      </c>
      <c r="AA1137">
        <v>0.91927440000000005</v>
      </c>
      <c r="AB1137">
        <v>31</v>
      </c>
      <c r="AC1137">
        <v>-13.3879</v>
      </c>
      <c r="AD1137">
        <v>-1.115546874776</v>
      </c>
      <c r="AE1137">
        <v>-20.707100000000001</v>
      </c>
      <c r="AF1137">
        <v>9.7684877205792997</v>
      </c>
      <c r="AG1137">
        <v>-1.115546874776</v>
      </c>
      <c r="AH1137">
        <v>22.5857307850555</v>
      </c>
      <c r="AI1137">
        <v>92.5956271153145</v>
      </c>
      <c r="AJ1137">
        <v>66.611177445496907</v>
      </c>
      <c r="AK1137">
        <v>24.632966371753401</v>
      </c>
      <c r="AL1137">
        <v>78.622306041370905</v>
      </c>
      <c r="AM1137">
        <v>75.789831098541399</v>
      </c>
      <c r="AN1137">
        <v>1.0000000392849999</v>
      </c>
    </row>
    <row r="1138" spans="1:40" x14ac:dyDescent="0.25">
      <c r="A1138" t="str">
        <f>"20190303170742010"</f>
        <v>20190303170742010</v>
      </c>
      <c r="B1138" t="str">
        <f>"1551604062003404"</f>
        <v>1551604062003404</v>
      </c>
      <c r="C1138" t="s">
        <v>40</v>
      </c>
      <c r="D1138">
        <v>5.1259030000000001</v>
      </c>
      <c r="E1138">
        <v>0.57060339999999998</v>
      </c>
      <c r="F1138" t="s">
        <v>57</v>
      </c>
      <c r="G1138">
        <v>-206.35980000000001</v>
      </c>
      <c r="H1138" s="1">
        <v>5.3520130000000003E-6</v>
      </c>
      <c r="I1138">
        <v>281.01650000000001</v>
      </c>
      <c r="J1138">
        <v>-192.68819999999999</v>
      </c>
      <c r="K1138">
        <v>1.1149639999999901</v>
      </c>
      <c r="L1138">
        <v>301.64249999999998</v>
      </c>
      <c r="M1138">
        <v>-0.18057409999999999</v>
      </c>
      <c r="N1138">
        <v>-1.4719309999999999E-2</v>
      </c>
      <c r="O1138">
        <v>-0.98345119999999997</v>
      </c>
      <c r="P1138">
        <v>-0.40649089999999999</v>
      </c>
      <c r="Q1138">
        <v>0.18767629999999999</v>
      </c>
      <c r="R1138">
        <v>-0.89417169999999901</v>
      </c>
      <c r="S1138">
        <v>-1.700531</v>
      </c>
      <c r="T1138">
        <v>-0.13752899999999901</v>
      </c>
      <c r="U1138">
        <v>-2.6189269999999998</v>
      </c>
      <c r="V1138">
        <v>0.2414172</v>
      </c>
      <c r="W1138">
        <v>0.1979707</v>
      </c>
      <c r="X1138">
        <v>0.95001329999999995</v>
      </c>
      <c r="Y1138">
        <v>0.38375819999999999</v>
      </c>
      <c r="Z1138">
        <v>3.092669E-2</v>
      </c>
      <c r="AA1138">
        <v>0.92291559999999995</v>
      </c>
      <c r="AB1138">
        <v>31</v>
      </c>
      <c r="AC1138">
        <v>-13.6716</v>
      </c>
      <c r="AD1138">
        <v>-1.114958647987</v>
      </c>
      <c r="AE1138">
        <v>-20.625999999999902</v>
      </c>
      <c r="AF1138">
        <v>9.7021870135344805</v>
      </c>
      <c r="AG1138">
        <v>-1.114958647987</v>
      </c>
      <c r="AH1138">
        <v>22.709763865457798</v>
      </c>
      <c r="AI1138">
        <v>92.585052848106798</v>
      </c>
      <c r="AJ1138">
        <v>66.866597815123995</v>
      </c>
      <c r="AK1138">
        <v>24.7206177199756</v>
      </c>
      <c r="AL1138">
        <v>78.581683492339593</v>
      </c>
      <c r="AM1138">
        <v>75.741810185628694</v>
      </c>
      <c r="AN1138">
        <v>0.99999996634560895</v>
      </c>
    </row>
    <row r="1139" spans="1:40" x14ac:dyDescent="0.25">
      <c r="A1139" t="str">
        <f>"20190303170742034"</f>
        <v>20190303170742034</v>
      </c>
      <c r="B1139" t="str">
        <f>"1551604062023900"</f>
        <v>1551604062023900</v>
      </c>
      <c r="C1139" t="s">
        <v>40</v>
      </c>
      <c r="D1139">
        <v>5.1097960000000002</v>
      </c>
      <c r="E1139">
        <v>0.57061030000000001</v>
      </c>
      <c r="F1139" t="s">
        <v>57</v>
      </c>
      <c r="G1139">
        <v>-206.94880000000001</v>
      </c>
      <c r="H1139" s="1">
        <v>5.6629609999999998E-6</v>
      </c>
      <c r="I1139">
        <v>280.44749999999999</v>
      </c>
      <c r="J1139">
        <v>-192.75710000000001</v>
      </c>
      <c r="K1139">
        <v>1.114679</v>
      </c>
      <c r="L1139">
        <v>301.31979999999999</v>
      </c>
      <c r="M1139">
        <v>-0.18936810000000001</v>
      </c>
      <c r="N1139">
        <v>-1.4760260000000001E-2</v>
      </c>
      <c r="O1139">
        <v>-0.98179530000000004</v>
      </c>
      <c r="P1139">
        <v>-0.41446329999999998</v>
      </c>
      <c r="Q1139">
        <v>0.1877354</v>
      </c>
      <c r="R1139">
        <v>-0.89049179999999994</v>
      </c>
      <c r="S1139">
        <v>-1.7433780000000001</v>
      </c>
      <c r="T1139">
        <v>-0.13630529999999999</v>
      </c>
      <c r="U1139">
        <v>-2.5911249999999999</v>
      </c>
      <c r="V1139">
        <v>0.24154700000000001</v>
      </c>
      <c r="W1139">
        <v>0.19789689999999999</v>
      </c>
      <c r="X1139">
        <v>0.9499957</v>
      </c>
      <c r="Y1139">
        <v>0.39058290000000001</v>
      </c>
      <c r="Z1139">
        <v>3.0580409999999999E-2</v>
      </c>
      <c r="AA1139">
        <v>0.92005970000000004</v>
      </c>
      <c r="AB1139">
        <v>30</v>
      </c>
      <c r="AC1139">
        <v>-14.1916999999999</v>
      </c>
      <c r="AD1139">
        <v>-1.1146733370390001</v>
      </c>
      <c r="AE1139">
        <v>-20.872299999999999</v>
      </c>
      <c r="AF1139">
        <v>9.9624527525770006</v>
      </c>
      <c r="AG1139">
        <v>-1.1146733370390001</v>
      </c>
      <c r="AH1139">
        <v>23.137178936873699</v>
      </c>
      <c r="AI1139">
        <v>92.533634793610204</v>
      </c>
      <c r="AJ1139">
        <v>66.704158613714199</v>
      </c>
      <c r="AK1139">
        <v>25.215511310551399</v>
      </c>
      <c r="AL1139">
        <v>78.585997461508995</v>
      </c>
      <c r="AM1139">
        <v>75.734203483469003</v>
      </c>
      <c r="AN1139">
        <v>0.99999998312854899</v>
      </c>
    </row>
    <row r="1140" spans="1:40" x14ac:dyDescent="0.25">
      <c r="A1140" t="str">
        <f>"20190303170742056"</f>
        <v>20190303170742056</v>
      </c>
      <c r="B1140" t="str">
        <f>"1551604062043420"</f>
        <v>1551604062043420</v>
      </c>
      <c r="C1140" t="s">
        <v>40</v>
      </c>
      <c r="D1140">
        <v>5.1446889999999996</v>
      </c>
      <c r="E1140">
        <v>0.57060710000000003</v>
      </c>
      <c r="F1140" t="s">
        <v>57</v>
      </c>
      <c r="G1140">
        <v>-207.28100000000001</v>
      </c>
      <c r="H1140" s="1">
        <v>5.8347999999999996E-6</v>
      </c>
      <c r="I1140">
        <v>280.1669</v>
      </c>
      <c r="J1140">
        <v>-192.8235</v>
      </c>
      <c r="K1140">
        <v>1.1144499999999999</v>
      </c>
      <c r="L1140">
        <v>301.02260000000001</v>
      </c>
      <c r="M1140">
        <v>-0.19776679999999999</v>
      </c>
      <c r="N1140">
        <v>-1.4794430000000001E-2</v>
      </c>
      <c r="O1140">
        <v>-0.98013749999999999</v>
      </c>
      <c r="P1140">
        <v>-0.42235650000000002</v>
      </c>
      <c r="Q1140">
        <v>0.1888484</v>
      </c>
      <c r="R1140">
        <v>-0.88653890000000002</v>
      </c>
      <c r="S1140">
        <v>-1.7678529999999999</v>
      </c>
      <c r="T1140">
        <v>-0.1356783</v>
      </c>
      <c r="U1140">
        <v>-2.574738</v>
      </c>
      <c r="V1140">
        <v>0.2420303</v>
      </c>
      <c r="W1140">
        <v>0.19889519999999999</v>
      </c>
      <c r="X1140">
        <v>0.94966419999999996</v>
      </c>
      <c r="Y1140">
        <v>0.39138230000000002</v>
      </c>
      <c r="Z1140">
        <v>3.0398120000000001E-2</v>
      </c>
      <c r="AA1140">
        <v>0.91972600000000004</v>
      </c>
      <c r="AB1140">
        <v>30</v>
      </c>
      <c r="AC1140">
        <v>-14.4574999999999</v>
      </c>
      <c r="AD1140">
        <v>-1.1144441651999999</v>
      </c>
      <c r="AE1140">
        <v>-20.855699999999999</v>
      </c>
      <c r="AF1140">
        <v>10.0275327056595</v>
      </c>
      <c r="AG1140">
        <v>-1.1144441651999999</v>
      </c>
      <c r="AH1140">
        <v>23.2583600554604</v>
      </c>
      <c r="AI1140">
        <v>92.519426287505894</v>
      </c>
      <c r="AJ1140">
        <v>66.677352584115795</v>
      </c>
      <c r="AK1140">
        <v>25.3524103475361</v>
      </c>
      <c r="AL1140">
        <v>78.527639570213907</v>
      </c>
      <c r="AM1140">
        <v>75.702043407167693</v>
      </c>
      <c r="AN1140">
        <v>1.00000002973138</v>
      </c>
    </row>
    <row r="1141" spans="1:40" x14ac:dyDescent="0.25">
      <c r="A1141" t="str">
        <f>"20190303170742100"</f>
        <v>20190303170742100</v>
      </c>
      <c r="B1141" t="str">
        <f>"1551604062093587"</f>
        <v>1551604062093587</v>
      </c>
      <c r="C1141" t="s">
        <v>40</v>
      </c>
      <c r="D1141">
        <v>5.1373369999999996</v>
      </c>
      <c r="E1141">
        <v>0.57064709999999996</v>
      </c>
      <c r="F1141" t="s">
        <v>57</v>
      </c>
      <c r="G1141">
        <v>-207.8108</v>
      </c>
      <c r="H1141">
        <v>3.9772760000000001E-3</v>
      </c>
      <c r="I1141">
        <v>279.61630000000002</v>
      </c>
      <c r="J1141">
        <v>-192.9633</v>
      </c>
      <c r="K1141">
        <v>1.11395</v>
      </c>
      <c r="L1141">
        <v>300.43599999999998</v>
      </c>
      <c r="M1141">
        <v>-0.215451</v>
      </c>
      <c r="N1141">
        <v>-1.4866269999999999E-2</v>
      </c>
      <c r="O1141">
        <v>-0.97640159999999998</v>
      </c>
      <c r="P1141">
        <v>-0.43977260000000001</v>
      </c>
      <c r="Q1141">
        <v>0.19037770000000001</v>
      </c>
      <c r="R1141">
        <v>-0.87770000000000004</v>
      </c>
      <c r="S1141">
        <v>-1.7914730000000001</v>
      </c>
      <c r="T1141">
        <v>-0.13273779999999999</v>
      </c>
      <c r="U1141">
        <v>-2.5587460000000002</v>
      </c>
      <c r="V1141">
        <v>0.24395700000000001</v>
      </c>
      <c r="W1141">
        <v>0.2001539</v>
      </c>
      <c r="X1141">
        <v>0.94890640000000004</v>
      </c>
      <c r="Y1141">
        <v>0.38315470000000001</v>
      </c>
      <c r="Z1141">
        <v>2.9413680000000001E-2</v>
      </c>
      <c r="AA1141">
        <v>0.92321569999999997</v>
      </c>
      <c r="AB1141">
        <v>30</v>
      </c>
      <c r="AC1141">
        <v>-14.847499999999901</v>
      </c>
      <c r="AD1141">
        <v>-1.1099727239999999</v>
      </c>
      <c r="AE1141">
        <v>-20.819699999999902</v>
      </c>
      <c r="AF1141">
        <v>9.9937734962337696</v>
      </c>
      <c r="AG1141">
        <v>-1.1099727239999999</v>
      </c>
      <c r="AH1141">
        <v>23.485645045766901</v>
      </c>
      <c r="AI1141">
        <v>92.490121238594895</v>
      </c>
      <c r="AJ1141">
        <v>66.948942848304597</v>
      </c>
      <c r="AK1141">
        <v>25.547662737671399</v>
      </c>
      <c r="AL1141">
        <v>78.454040923783097</v>
      </c>
      <c r="AM1141">
        <v>75.581917274281906</v>
      </c>
      <c r="AN1141">
        <v>0.99999997874758395</v>
      </c>
    </row>
    <row r="1142" spans="1:40" x14ac:dyDescent="0.25">
      <c r="A1142" t="str">
        <f>"20190303170742120"</f>
        <v>20190303170742120</v>
      </c>
      <c r="B1142" t="str">
        <f>"1551604062113107"</f>
        <v>1551604062113107</v>
      </c>
      <c r="C1142" t="s">
        <v>40</v>
      </c>
      <c r="D1142">
        <v>5.153918</v>
      </c>
      <c r="E1142">
        <v>0.57066419999999995</v>
      </c>
      <c r="F1142" t="s">
        <v>57</v>
      </c>
      <c r="G1142">
        <v>-208.15690000000001</v>
      </c>
      <c r="H1142">
        <v>3.7201400000000003E-2</v>
      </c>
      <c r="I1142">
        <v>279.61630000000002</v>
      </c>
      <c r="J1142">
        <v>-193.03469999999999</v>
      </c>
      <c r="K1142">
        <v>1.113683</v>
      </c>
      <c r="L1142">
        <v>300.15559999999999</v>
      </c>
      <c r="M1142">
        <v>-0.2244091</v>
      </c>
      <c r="N1142">
        <v>-1.4911199999999999E-2</v>
      </c>
      <c r="O1142">
        <v>-0.97438100000000005</v>
      </c>
      <c r="P1142">
        <v>-0.44879180000000002</v>
      </c>
      <c r="Q1142">
        <v>0.1902046</v>
      </c>
      <c r="R1142">
        <v>-0.87316009999999999</v>
      </c>
      <c r="S1142">
        <v>-1.8416440000000001</v>
      </c>
      <c r="T1142">
        <v>-0.13051460000000001</v>
      </c>
      <c r="U1142">
        <v>-2.52359</v>
      </c>
      <c r="V1142">
        <v>0.2451392</v>
      </c>
      <c r="W1142">
        <v>0.1998433</v>
      </c>
      <c r="X1142">
        <v>0.94866719999999904</v>
      </c>
      <c r="Y1142">
        <v>0.39276559999999999</v>
      </c>
      <c r="Z1142">
        <v>2.8755840000000001E-2</v>
      </c>
      <c r="AA1142">
        <v>0.91918900000000003</v>
      </c>
      <c r="AB1142">
        <v>30</v>
      </c>
      <c r="AC1142">
        <v>-15.122199999999999</v>
      </c>
      <c r="AD1142">
        <v>-1.0764815999999999</v>
      </c>
      <c r="AE1142">
        <v>-20.539299999999901</v>
      </c>
      <c r="AF1142">
        <v>10.1086971778804</v>
      </c>
      <c r="AG1142">
        <v>-1.0764815999999999</v>
      </c>
      <c r="AH1142">
        <v>23.3676394041861</v>
      </c>
      <c r="AI1142">
        <v>92.421058654390194</v>
      </c>
      <c r="AJ1142">
        <v>66.606987686613294</v>
      </c>
      <c r="AK1142">
        <v>25.483154094289301</v>
      </c>
      <c r="AL1142">
        <v>78.472204369593499</v>
      </c>
      <c r="AM1142">
        <v>75.511482181303194</v>
      </c>
      <c r="AN1142">
        <v>1.00000001414368</v>
      </c>
    </row>
    <row r="1143" spans="1:40" x14ac:dyDescent="0.25">
      <c r="A1143" t="str">
        <f>"20190303170742165"</f>
        <v>20190303170742165</v>
      </c>
      <c r="B1143" t="str">
        <f>"1551604062153123"</f>
        <v>1551604062153123</v>
      </c>
      <c r="C1143" t="s">
        <v>40</v>
      </c>
      <c r="D1143">
        <v>5.160965</v>
      </c>
      <c r="E1143">
        <v>0.57079419999999903</v>
      </c>
      <c r="F1143" t="s">
        <v>57</v>
      </c>
      <c r="G1143">
        <v>-208.35740000000001</v>
      </c>
      <c r="H1143">
        <v>3.6813150000000003E-2</v>
      </c>
      <c r="I1143">
        <v>279.61630000000002</v>
      </c>
      <c r="J1143">
        <v>-193.19479999999999</v>
      </c>
      <c r="K1143">
        <v>1.1131070000000001</v>
      </c>
      <c r="L1143">
        <v>299.5659</v>
      </c>
      <c r="M1143">
        <v>-0.2442964</v>
      </c>
      <c r="N1143">
        <v>-1.5008519999999999E-2</v>
      </c>
      <c r="O1143">
        <v>-0.96958460000000002</v>
      </c>
      <c r="P1143">
        <v>-0.46888920000000001</v>
      </c>
      <c r="Q1143">
        <v>0.18937560000000001</v>
      </c>
      <c r="R1143">
        <v>-0.862716699999999</v>
      </c>
      <c r="S1143">
        <v>-1.8681490000000001</v>
      </c>
      <c r="T1143">
        <v>-0.1312922</v>
      </c>
      <c r="U1143">
        <v>-2.5041500000000001</v>
      </c>
      <c r="V1143">
        <v>0.2479227</v>
      </c>
      <c r="W1143">
        <v>0.19870779999999999</v>
      </c>
      <c r="X1143">
        <v>0.94818219999999998</v>
      </c>
      <c r="Y1143">
        <v>0.38360149999999998</v>
      </c>
      <c r="Z1143">
        <v>2.8948229999999998E-2</v>
      </c>
      <c r="AA1143">
        <v>0.92304489999999995</v>
      </c>
      <c r="AB1143">
        <v>30</v>
      </c>
      <c r="AC1143">
        <v>-15.162599999999999</v>
      </c>
      <c r="AD1143">
        <v>-1.0762938500000001</v>
      </c>
      <c r="AE1143">
        <v>-19.949599999999901</v>
      </c>
      <c r="AF1143">
        <v>9.8108135104557306</v>
      </c>
      <c r="AG1143">
        <v>-1.0762938500000001</v>
      </c>
      <c r="AH1143">
        <v>23.007140110331399</v>
      </c>
      <c r="AI1143">
        <v>92.464018808607904</v>
      </c>
      <c r="AJ1143">
        <v>66.905401261048098</v>
      </c>
      <c r="AK1143">
        <v>25.034755166466301</v>
      </c>
      <c r="AL1143">
        <v>78.538594783772496</v>
      </c>
      <c r="AM1143">
        <v>75.346835519362301</v>
      </c>
      <c r="AN1143">
        <v>0.99999996967648397</v>
      </c>
    </row>
    <row r="1144" spans="1:40" x14ac:dyDescent="0.25">
      <c r="A1144" t="str">
        <f>"20190303170742189"</f>
        <v>20190303170742189</v>
      </c>
      <c r="B1144" t="str">
        <f>"1551604062183379"</f>
        <v>1551604062183379</v>
      </c>
      <c r="C1144" t="s">
        <v>40</v>
      </c>
      <c r="D1144">
        <v>5.1739709999999999</v>
      </c>
      <c r="E1144">
        <v>0.57090879999999999</v>
      </c>
      <c r="F1144" t="s">
        <v>57</v>
      </c>
      <c r="G1144">
        <v>-208.81280000000001</v>
      </c>
      <c r="H1144">
        <v>1.5990609999999999E-2</v>
      </c>
      <c r="I1144">
        <v>279.61630000000002</v>
      </c>
      <c r="J1144">
        <v>-193.28210000000001</v>
      </c>
      <c r="K1144">
        <v>1.1128260000000001</v>
      </c>
      <c r="L1144">
        <v>299.26490000000001</v>
      </c>
      <c r="M1144">
        <v>-0.25498739999999998</v>
      </c>
      <c r="N1144">
        <v>-1.5061710000000001E-2</v>
      </c>
      <c r="O1144">
        <v>-0.9668272</v>
      </c>
      <c r="P1144">
        <v>-0.479296</v>
      </c>
      <c r="Q1144">
        <v>0.1892924</v>
      </c>
      <c r="R1144">
        <v>-0.85699720000000001</v>
      </c>
      <c r="S1144">
        <v>-1.926056</v>
      </c>
      <c r="T1144">
        <v>-0.13529910000000001</v>
      </c>
      <c r="U1144">
        <v>-2.4602360000000001</v>
      </c>
      <c r="V1144">
        <v>0.2490608</v>
      </c>
      <c r="W1144">
        <v>0.19848199999999999</v>
      </c>
      <c r="X1144">
        <v>0.94793119999999997</v>
      </c>
      <c r="Y1144">
        <v>0.39481369999999999</v>
      </c>
      <c r="Z1144">
        <v>3.0339850000000002E-2</v>
      </c>
      <c r="AA1144">
        <v>0.91826010000000002</v>
      </c>
      <c r="AB1144">
        <v>30</v>
      </c>
      <c r="AC1144">
        <v>-15.5306999999999</v>
      </c>
      <c r="AD1144">
        <v>-1.0968353900000001</v>
      </c>
      <c r="AE1144">
        <v>-19.648599999999899</v>
      </c>
      <c r="AF1144">
        <v>9.9873367064175902</v>
      </c>
      <c r="AG1144">
        <v>-1.0968353900000001</v>
      </c>
      <c r="AH1144">
        <v>22.9155850584782</v>
      </c>
      <c r="AI1144">
        <v>92.512409609564898</v>
      </c>
      <c r="AJ1144">
        <v>66.450904961836997</v>
      </c>
      <c r="AK1144">
        <v>25.0214703990885</v>
      </c>
      <c r="AL1144">
        <v>78.551795140185803</v>
      </c>
      <c r="AM1144">
        <v>75.278755621810006</v>
      </c>
      <c r="AN1144">
        <v>0.99999997317703904</v>
      </c>
    </row>
    <row r="1145" spans="1:40" x14ac:dyDescent="0.25">
      <c r="A1145" t="str">
        <f>"20190303170742209"</f>
        <v>20190303170742209</v>
      </c>
      <c r="B1145" t="str">
        <f>"1551604062203875"</f>
        <v>1551604062203875</v>
      </c>
      <c r="C1145" t="s">
        <v>40</v>
      </c>
      <c r="D1145">
        <v>5.1893089999999997</v>
      </c>
      <c r="E1145">
        <v>0.57098099999999996</v>
      </c>
      <c r="F1145" t="s">
        <v>57</v>
      </c>
      <c r="G1145">
        <v>-209.0556</v>
      </c>
      <c r="H1145">
        <v>1.136471E-2</v>
      </c>
      <c r="I1145">
        <v>279.61630000000002</v>
      </c>
      <c r="J1145">
        <v>-193.36359999999999</v>
      </c>
      <c r="K1145">
        <v>1.112576</v>
      </c>
      <c r="L1145">
        <v>298.99619999999999</v>
      </c>
      <c r="M1145">
        <v>-0.26485920000000002</v>
      </c>
      <c r="N1145">
        <v>-1.510887E-2</v>
      </c>
      <c r="O1145">
        <v>-0.9641689</v>
      </c>
      <c r="P1145">
        <v>-0.48829129999999898</v>
      </c>
      <c r="Q1145">
        <v>0.18900839999999999</v>
      </c>
      <c r="R1145">
        <v>-0.85196700000000003</v>
      </c>
      <c r="S1145">
        <v>-1.956207</v>
      </c>
      <c r="T1145">
        <v>-0.13660239999999901</v>
      </c>
      <c r="U1145">
        <v>-2.436798</v>
      </c>
      <c r="V1145">
        <v>0.2494431</v>
      </c>
      <c r="W1145">
        <v>0.1980913</v>
      </c>
      <c r="X1145">
        <v>0.94791250000000005</v>
      </c>
      <c r="Y1145">
        <v>0.39663159999999997</v>
      </c>
      <c r="Z1145">
        <v>3.0775500000000001E-2</v>
      </c>
      <c r="AA1145">
        <v>0.91746190000000005</v>
      </c>
      <c r="AB1145">
        <v>30</v>
      </c>
      <c r="AC1145">
        <v>-15.692</v>
      </c>
      <c r="AD1145">
        <v>-1.10121129</v>
      </c>
      <c r="AE1145">
        <v>-19.3798999999999</v>
      </c>
      <c r="AF1145">
        <v>9.9784731561076594</v>
      </c>
      <c r="AG1145">
        <v>-1.10121129</v>
      </c>
      <c r="AH1145">
        <v>22.799807132082599</v>
      </c>
      <c r="AI1145">
        <v>92.533518671734498</v>
      </c>
      <c r="AJ1145">
        <v>66.363118905933206</v>
      </c>
      <c r="AK1145">
        <v>24.912121509268299</v>
      </c>
      <c r="AL1145">
        <v>78.574635159180502</v>
      </c>
      <c r="AM1145">
        <v>75.256864407527402</v>
      </c>
      <c r="AN1145">
        <v>1.00000006546477</v>
      </c>
    </row>
    <row r="1146" spans="1:40" x14ac:dyDescent="0.25">
      <c r="A1146" t="str">
        <f>"20190303170742234"</f>
        <v>20190303170742234</v>
      </c>
      <c r="B1146" t="str">
        <f>"1551604062223395"</f>
        <v>1551604062223395</v>
      </c>
      <c r="C1146" t="s">
        <v>40</v>
      </c>
      <c r="D1146">
        <v>5.18865</v>
      </c>
      <c r="E1146">
        <v>0.57105450000000002</v>
      </c>
      <c r="F1146" t="s">
        <v>57</v>
      </c>
      <c r="G1146">
        <v>-209.26329999999999</v>
      </c>
      <c r="H1146">
        <v>2.100087E-3</v>
      </c>
      <c r="I1146">
        <v>279.61630000000002</v>
      </c>
      <c r="J1146">
        <v>-193.46449999999999</v>
      </c>
      <c r="K1146">
        <v>1.1123000000000001</v>
      </c>
      <c r="L1146">
        <v>298.67840000000001</v>
      </c>
      <c r="M1146">
        <v>-0.27693959999999901</v>
      </c>
      <c r="N1146">
        <v>-1.5166850000000001E-2</v>
      </c>
      <c r="O1146">
        <v>-0.96076790000000001</v>
      </c>
      <c r="P1146">
        <v>-0.49868780000000001</v>
      </c>
      <c r="Q1146">
        <v>0.18872040000000001</v>
      </c>
      <c r="R1146">
        <v>-0.84598790000000001</v>
      </c>
      <c r="S1146">
        <v>-1.9821009999999999</v>
      </c>
      <c r="T1146">
        <v>-0.13843520000000001</v>
      </c>
      <c r="U1146">
        <v>-2.4159549999999999</v>
      </c>
      <c r="V1146">
        <v>0.2492624</v>
      </c>
      <c r="W1146">
        <v>0.19770009999999999</v>
      </c>
      <c r="X1146">
        <v>0.94804160000000004</v>
      </c>
      <c r="Y1146">
        <v>0.3948565</v>
      </c>
      <c r="Z1146">
        <v>3.1350299999999998E-2</v>
      </c>
      <c r="AA1146">
        <v>0.91820780000000002</v>
      </c>
      <c r="AB1146">
        <v>30</v>
      </c>
      <c r="AC1146">
        <v>-15.7988</v>
      </c>
      <c r="AD1146">
        <v>-1.110199913</v>
      </c>
      <c r="AE1146">
        <v>-19.062099999999901</v>
      </c>
      <c r="AF1146">
        <v>9.8811967762289292</v>
      </c>
      <c r="AG1146">
        <v>-1.110199913</v>
      </c>
      <c r="AH1146">
        <v>22.646633650347699</v>
      </c>
      <c r="AI1146">
        <v>92.572682016455005</v>
      </c>
      <c r="AJ1146">
        <v>66.427356725422698</v>
      </c>
      <c r="AK1146">
        <v>24.7333905736849</v>
      </c>
      <c r="AL1146">
        <v>78.5975004407684</v>
      </c>
      <c r="AM1146">
        <v>75.268998792337996</v>
      </c>
      <c r="AN1146">
        <v>0.99999997446216404</v>
      </c>
    </row>
    <row r="1147" spans="1:40" x14ac:dyDescent="0.25">
      <c r="A1147" t="str">
        <f>"20190303170742256"</f>
        <v>20190303170742256</v>
      </c>
      <c r="B1147" t="str">
        <f>"1551604062243892"</f>
        <v>1551604062243892</v>
      </c>
      <c r="C1147" t="s">
        <v>40</v>
      </c>
      <c r="D1147">
        <v>5.1673039999999997</v>
      </c>
      <c r="E1147">
        <v>0.57111119999999904</v>
      </c>
      <c r="F1147" t="s">
        <v>57</v>
      </c>
      <c r="G1147">
        <v>-209.41900000000001</v>
      </c>
      <c r="H1147" s="1">
        <v>6.8226829999999899E-6</v>
      </c>
      <c r="I1147">
        <v>279.71199999999999</v>
      </c>
      <c r="J1147">
        <v>-193.56039999999999</v>
      </c>
      <c r="K1147">
        <v>1.1120760000000001</v>
      </c>
      <c r="L1147">
        <v>298.38900000000001</v>
      </c>
      <c r="M1147">
        <v>-0.28822500000000001</v>
      </c>
      <c r="N1147">
        <v>-1.522009E-2</v>
      </c>
      <c r="O1147">
        <v>-0.95744180000000001</v>
      </c>
      <c r="P1147">
        <v>-0.50821749999999999</v>
      </c>
      <c r="Q1147">
        <v>0.1885928</v>
      </c>
      <c r="R1147">
        <v>-0.84032580000000001</v>
      </c>
      <c r="S1147">
        <v>-2.011765</v>
      </c>
      <c r="T1147">
        <v>-0.14025319999999999</v>
      </c>
      <c r="U1147">
        <v>-2.3915410000000001</v>
      </c>
      <c r="V1147">
        <v>0.24891940000000001</v>
      </c>
      <c r="W1147">
        <v>0.1974986</v>
      </c>
      <c r="X1147">
        <v>0.94817370000000001</v>
      </c>
      <c r="Y1147">
        <v>0.39532040000000002</v>
      </c>
      <c r="Z1147">
        <v>3.193609E-2</v>
      </c>
      <c r="AA1147">
        <v>0.91798789999999997</v>
      </c>
      <c r="AB1147">
        <v>30</v>
      </c>
      <c r="AC1147">
        <v>-15.858599999999999</v>
      </c>
      <c r="AD1147">
        <v>-1.1120691773169999</v>
      </c>
      <c r="AE1147">
        <v>-18.677</v>
      </c>
      <c r="AF1147">
        <v>9.7814927309589699</v>
      </c>
      <c r="AG1147">
        <v>-1.1120691773169999</v>
      </c>
      <c r="AH1147">
        <v>22.409420992654798</v>
      </c>
      <c r="AI1147">
        <v>92.604087628772405</v>
      </c>
      <c r="AJ1147">
        <v>66.419202274469498</v>
      </c>
      <c r="AK1147">
        <v>24.476446783121499</v>
      </c>
      <c r="AL1147">
        <v>78.609277646747302</v>
      </c>
      <c r="AM1147">
        <v>75.290350432661398</v>
      </c>
      <c r="AN1147">
        <v>0.99999996503500399</v>
      </c>
    </row>
    <row r="1148" spans="1:40" x14ac:dyDescent="0.25">
      <c r="A1148" t="str">
        <f>"20190303170742301"</f>
        <v>20190303170742301</v>
      </c>
      <c r="B1148" t="str">
        <f>"1551604062293668"</f>
        <v>1551604062293668</v>
      </c>
      <c r="C1148" t="s">
        <v>40</v>
      </c>
      <c r="D1148">
        <v>5.1345210000000003</v>
      </c>
      <c r="E1148">
        <v>0.57128690000000004</v>
      </c>
      <c r="F1148" t="s">
        <v>57</v>
      </c>
      <c r="G1148">
        <v>-209.66069999999999</v>
      </c>
      <c r="H1148" s="1">
        <v>6.9311969999999999E-6</v>
      </c>
      <c r="I1148">
        <v>279.69690000000003</v>
      </c>
      <c r="J1148">
        <v>-193.76220000000001</v>
      </c>
      <c r="K1148">
        <v>1.111688</v>
      </c>
      <c r="L1148">
        <v>297.81659999999999</v>
      </c>
      <c r="M1148">
        <v>-0.31128979999999901</v>
      </c>
      <c r="N1148">
        <v>-1.5315270000000001E-2</v>
      </c>
      <c r="O1148">
        <v>-0.95019169999999997</v>
      </c>
      <c r="P1148">
        <v>-0.52704600000000001</v>
      </c>
      <c r="Q1148">
        <v>0.18971279999999999</v>
      </c>
      <c r="R1148">
        <v>-0.8283914</v>
      </c>
      <c r="S1148">
        <v>-2.0397189999999998</v>
      </c>
      <c r="T1148">
        <v>-0.14088609999999999</v>
      </c>
      <c r="U1148">
        <v>-2.3680729999999999</v>
      </c>
      <c r="V1148">
        <v>0.24766969999999999</v>
      </c>
      <c r="W1148">
        <v>0.1985152</v>
      </c>
      <c r="X1148">
        <v>0.94828869999999998</v>
      </c>
      <c r="Y1148">
        <v>0.38380310000000001</v>
      </c>
      <c r="Z1148">
        <v>3.2001639999999998E-2</v>
      </c>
      <c r="AA1148">
        <v>0.92286029999999997</v>
      </c>
      <c r="AB1148">
        <v>30</v>
      </c>
      <c r="AC1148">
        <v>-15.898499999999901</v>
      </c>
      <c r="AD1148">
        <v>-1.1116810688030001</v>
      </c>
      <c r="AE1148">
        <v>-18.119699999999899</v>
      </c>
      <c r="AF1148">
        <v>9.4471626266998001</v>
      </c>
      <c r="AG1148">
        <v>-1.1116810688030001</v>
      </c>
      <c r="AH1148">
        <v>22.121779805185199</v>
      </c>
      <c r="AI1148">
        <v>92.646040310954405</v>
      </c>
      <c r="AJ1148">
        <v>66.874970972039193</v>
      </c>
      <c r="AK1148">
        <v>24.080237919155799</v>
      </c>
      <c r="AL1148">
        <v>78.5498547473088</v>
      </c>
      <c r="AM1148">
        <v>75.362719606630506</v>
      </c>
      <c r="AN1148">
        <v>1.00000001173841</v>
      </c>
    </row>
    <row r="1149" spans="1:40" x14ac:dyDescent="0.25">
      <c r="A1149" t="str">
        <f>"20190303170742321"</f>
        <v>20190303170742321</v>
      </c>
      <c r="B1149" t="str">
        <f>"1551604062313188"</f>
        <v>1551604062313188</v>
      </c>
      <c r="C1149" t="s">
        <v>40</v>
      </c>
      <c r="D1149">
        <v>5.1282709999999998</v>
      </c>
      <c r="E1149">
        <v>0.57138869999999997</v>
      </c>
      <c r="F1149" t="s">
        <v>63</v>
      </c>
      <c r="G1149">
        <v>-210.1866</v>
      </c>
      <c r="H1149">
        <v>2.0505590000000001E-2</v>
      </c>
      <c r="I1149">
        <v>279.61630000000002</v>
      </c>
      <c r="J1149">
        <v>-193.8648</v>
      </c>
      <c r="K1149">
        <v>1.1115219999999999</v>
      </c>
      <c r="L1149">
        <v>297.54199999999997</v>
      </c>
      <c r="M1149">
        <v>-0.32266669999999997</v>
      </c>
      <c r="N1149">
        <v>-1.5357610000000001E-2</v>
      </c>
      <c r="O1149">
        <v>-0.94638809999999995</v>
      </c>
      <c r="P1149">
        <v>-0.53692669999999998</v>
      </c>
      <c r="Q1149">
        <v>0.1898456</v>
      </c>
      <c r="R1149">
        <v>-0.82199049999999996</v>
      </c>
      <c r="S1149">
        <v>-2.0943909999999999</v>
      </c>
      <c r="T1149">
        <v>-0.13914360000000001</v>
      </c>
      <c r="U1149">
        <v>-2.3208310000000001</v>
      </c>
      <c r="V1149">
        <v>0.2477356</v>
      </c>
      <c r="W1149">
        <v>0.1985951</v>
      </c>
      <c r="X1149">
        <v>0.94825479999999995</v>
      </c>
      <c r="Y1149">
        <v>0.39404169999999999</v>
      </c>
      <c r="Z1149">
        <v>3.1527489999999998E-2</v>
      </c>
      <c r="AA1149">
        <v>0.91855169999999997</v>
      </c>
      <c r="AB1149">
        <v>30</v>
      </c>
      <c r="AC1149">
        <v>-16.3217999999999</v>
      </c>
      <c r="AD1149">
        <v>-1.0910164099999999</v>
      </c>
      <c r="AE1149">
        <v>-17.925699999999999</v>
      </c>
      <c r="AF1149">
        <v>9.6443376888118806</v>
      </c>
      <c r="AG1149">
        <v>-1.0910164099999999</v>
      </c>
      <c r="AH1149">
        <v>22.1888531773401</v>
      </c>
      <c r="AI1149">
        <v>92.581956075090204</v>
      </c>
      <c r="AJ1149">
        <v>66.507927443202604</v>
      </c>
      <c r="AK1149">
        <v>24.218768994073201</v>
      </c>
      <c r="AL1149">
        <v>78.545184299693403</v>
      </c>
      <c r="AM1149">
        <v>75.358491313762499</v>
      </c>
      <c r="AN1149">
        <v>1.0000000534872</v>
      </c>
    </row>
    <row r="1150" spans="1:40" x14ac:dyDescent="0.25">
      <c r="A1150" t="str">
        <f>"20190303170742346"</f>
        <v>20190303170742346</v>
      </c>
      <c r="B1150" t="str">
        <f>"1551604062333683"</f>
        <v>1551604062333683</v>
      </c>
      <c r="C1150" t="s">
        <v>40</v>
      </c>
      <c r="D1150">
        <v>5.1072470000000001</v>
      </c>
      <c r="E1150">
        <v>0.57149890000000003</v>
      </c>
      <c r="F1150" t="s">
        <v>63</v>
      </c>
      <c r="G1150">
        <v>-210.4376</v>
      </c>
      <c r="H1150">
        <v>1.925721E-2</v>
      </c>
      <c r="I1150">
        <v>279.61630000000002</v>
      </c>
      <c r="J1150">
        <v>-193.9796</v>
      </c>
      <c r="K1150">
        <v>1.1113759999999999</v>
      </c>
      <c r="L1150">
        <v>297.2466</v>
      </c>
      <c r="M1150">
        <v>-0.33510489999999998</v>
      </c>
      <c r="N1150">
        <v>-1.540069E-2</v>
      </c>
      <c r="O1150">
        <v>-0.94205519999999998</v>
      </c>
      <c r="P1150">
        <v>-0.5473422</v>
      </c>
      <c r="Q1150">
        <v>0.18991169999999999</v>
      </c>
      <c r="R1150">
        <v>-0.81507689999999999</v>
      </c>
      <c r="S1150">
        <v>-2.1223909999999999</v>
      </c>
      <c r="T1150">
        <v>-0.1398809</v>
      </c>
      <c r="U1150">
        <v>-2.2956539999999999</v>
      </c>
      <c r="V1150">
        <v>0.24738969999999999</v>
      </c>
      <c r="W1150">
        <v>0.19862270000000001</v>
      </c>
      <c r="X1150">
        <v>0.9483393</v>
      </c>
      <c r="Y1150">
        <v>0.3929935</v>
      </c>
      <c r="Z1150">
        <v>3.1738370000000002E-2</v>
      </c>
      <c r="AA1150">
        <v>0.91899339999999996</v>
      </c>
      <c r="AB1150">
        <v>30</v>
      </c>
      <c r="AC1150">
        <v>-16.457999999999998</v>
      </c>
      <c r="AD1150">
        <v>-1.09211879</v>
      </c>
      <c r="AE1150">
        <v>-17.630299999999899</v>
      </c>
      <c r="AF1150">
        <v>9.5778417916912808</v>
      </c>
      <c r="AG1150">
        <v>-1.09211879</v>
      </c>
      <c r="AH1150">
        <v>22.081215061557099</v>
      </c>
      <c r="AI1150">
        <v>92.597988947939001</v>
      </c>
      <c r="AJ1150">
        <v>66.550960545222097</v>
      </c>
      <c r="AK1150">
        <v>24.093730210012598</v>
      </c>
      <c r="AL1150">
        <v>78.543570570217298</v>
      </c>
      <c r="AM1150">
        <v>75.379304813641795</v>
      </c>
      <c r="AN1150">
        <v>1.00000003427293</v>
      </c>
    </row>
    <row r="1151" spans="1:40" x14ac:dyDescent="0.25">
      <c r="A1151" t="str">
        <f>"20190303170742368"</f>
        <v>20190303170742368</v>
      </c>
      <c r="B1151" t="str">
        <f>"1551604062363940"</f>
        <v>1551604062363940</v>
      </c>
      <c r="C1151" t="s">
        <v>40</v>
      </c>
      <c r="D1151">
        <v>5.1232499999999996</v>
      </c>
      <c r="E1151">
        <v>0.58016529999999999</v>
      </c>
      <c r="F1151" t="s">
        <v>63</v>
      </c>
      <c r="G1151">
        <v>-210.72450000000001</v>
      </c>
      <c r="H1151">
        <v>2.758526E-2</v>
      </c>
      <c r="I1151">
        <v>279.61630000000002</v>
      </c>
      <c r="J1151">
        <v>-194.0934</v>
      </c>
      <c r="K1151">
        <v>1.111237</v>
      </c>
      <c r="L1151">
        <v>296.96510000000001</v>
      </c>
      <c r="M1151">
        <v>-0.34715810000000002</v>
      </c>
      <c r="N1151">
        <v>-1.5440270000000001E-2</v>
      </c>
      <c r="O1151">
        <v>-0.93767959999999995</v>
      </c>
      <c r="P1151">
        <v>-0.55677100000000002</v>
      </c>
      <c r="Q1151">
        <v>0.1908569</v>
      </c>
      <c r="R1151">
        <v>-0.80844320000000003</v>
      </c>
      <c r="S1151">
        <v>-2.1532589999999998</v>
      </c>
      <c r="T1151">
        <v>-0.13936699999999999</v>
      </c>
      <c r="U1151">
        <v>-2.2671199999999998</v>
      </c>
      <c r="V1151">
        <v>0.24640590000000001</v>
      </c>
      <c r="W1151">
        <v>0.1995489</v>
      </c>
      <c r="X1151">
        <v>0.94840100000000005</v>
      </c>
      <c r="Y1151">
        <v>0.39356140000000001</v>
      </c>
      <c r="Z1151">
        <v>3.156146E-2</v>
      </c>
      <c r="AA1151">
        <v>0.91875640000000003</v>
      </c>
      <c r="AB1151">
        <v>30</v>
      </c>
      <c r="AC1151">
        <v>-16.6311</v>
      </c>
      <c r="AD1151">
        <v>-1.0836517400000001</v>
      </c>
      <c r="AE1151">
        <v>-17.348799999999901</v>
      </c>
      <c r="AF1151">
        <v>9.55358310198997</v>
      </c>
      <c r="AG1151">
        <v>-1.0836517400000001</v>
      </c>
      <c r="AH1151">
        <v>21.999134974689099</v>
      </c>
      <c r="AI1151">
        <v>92.586992938900494</v>
      </c>
      <c r="AJ1151">
        <v>66.526098802156696</v>
      </c>
      <c r="AK1151">
        <v>24.008481643261401</v>
      </c>
      <c r="AL1151">
        <v>78.489419333216404</v>
      </c>
      <c r="AM1151">
        <v>75.435877246816005</v>
      </c>
      <c r="AN1151">
        <v>1.0000000439234999</v>
      </c>
    </row>
    <row r="1152" spans="1:40" x14ac:dyDescent="0.25">
      <c r="A1152" t="str">
        <f>"20190303170742414"</f>
        <v>20190303170742414</v>
      </c>
      <c r="B1152" t="str">
        <f>"1551604062403955"</f>
        <v>1551604062403955</v>
      </c>
      <c r="C1152" t="s">
        <v>40</v>
      </c>
      <c r="D1152">
        <v>5.1072379999999997</v>
      </c>
      <c r="E1152">
        <v>0.57895649999999999</v>
      </c>
      <c r="F1152" t="s">
        <v>57</v>
      </c>
      <c r="G1152">
        <v>-205.67840000000001</v>
      </c>
      <c r="H1152" s="1">
        <v>4.6570109999999997E-6</v>
      </c>
      <c r="I1152">
        <v>285.50970000000001</v>
      </c>
      <c r="J1152">
        <v>-194.3365</v>
      </c>
      <c r="K1152">
        <v>1.11097</v>
      </c>
      <c r="L1152">
        <v>296.39859999999999</v>
      </c>
      <c r="M1152">
        <v>-0.37199660000000001</v>
      </c>
      <c r="N1152">
        <v>-1.552071E-2</v>
      </c>
      <c r="O1152">
        <v>-0.92810429999999999</v>
      </c>
      <c r="P1152">
        <v>-0.57864850000000001</v>
      </c>
      <c r="Q1152">
        <v>0.19116540000000001</v>
      </c>
      <c r="R1152">
        <v>-0.79285680000000003</v>
      </c>
      <c r="S1152">
        <v>-2.2423709999999999</v>
      </c>
      <c r="T1152">
        <v>-0.21508769999999999</v>
      </c>
      <c r="U1152">
        <v>-2.217285</v>
      </c>
      <c r="V1152">
        <v>0.24723539999999999</v>
      </c>
      <c r="W1152">
        <v>0.1997536</v>
      </c>
      <c r="X1152">
        <v>0.94814200000000004</v>
      </c>
      <c r="Y1152">
        <v>0.39707880000000001</v>
      </c>
      <c r="Z1152">
        <v>5.523496E-2</v>
      </c>
      <c r="AA1152">
        <v>0.91612090000000002</v>
      </c>
      <c r="AB1152">
        <v>30</v>
      </c>
      <c r="AC1152">
        <v>-11.341900000000001</v>
      </c>
      <c r="AD1152">
        <v>-1.1109653429889901</v>
      </c>
      <c r="AE1152">
        <v>-10.8888999999999</v>
      </c>
      <c r="AF1152">
        <v>6.4444371432342402</v>
      </c>
      <c r="AG1152">
        <v>-1.1109653429889901</v>
      </c>
      <c r="AH1152">
        <v>14.255733768641299</v>
      </c>
      <c r="AI1152">
        <v>94.061883046073703</v>
      </c>
      <c r="AJ1152">
        <v>65.674210034971694</v>
      </c>
      <c r="AK1152">
        <v>15.6840989339139</v>
      </c>
      <c r="AL1152">
        <v>78.477449954435897</v>
      </c>
      <c r="AM1152">
        <v>75.385123073729005</v>
      </c>
      <c r="AN1152">
        <v>1.0000000479450499</v>
      </c>
    </row>
    <row r="1153" spans="1:40" x14ac:dyDescent="0.25">
      <c r="A1153" t="str">
        <f>"20190303170742436"</f>
        <v>20190303170742436</v>
      </c>
      <c r="B1153" t="str">
        <f>"1551604062423477"</f>
        <v>1551604062423477</v>
      </c>
      <c r="C1153" t="s">
        <v>40</v>
      </c>
      <c r="D1153">
        <v>5.1118629999999996</v>
      </c>
      <c r="E1153">
        <v>0.57852729999999997</v>
      </c>
      <c r="F1153" t="s">
        <v>57</v>
      </c>
      <c r="G1153">
        <v>-205.84979999999999</v>
      </c>
      <c r="H1153" s="1">
        <v>4.7308380000000003E-6</v>
      </c>
      <c r="I1153">
        <v>285.53489999999999</v>
      </c>
      <c r="J1153">
        <v>-194.4572</v>
      </c>
      <c r="K1153">
        <v>1.1108559999999901</v>
      </c>
      <c r="L1153">
        <v>296.13249999999999</v>
      </c>
      <c r="M1153">
        <v>-0.3838781</v>
      </c>
      <c r="N1153">
        <v>-1.555634E-2</v>
      </c>
      <c r="O1153">
        <v>-0.92325279999999998</v>
      </c>
      <c r="P1153">
        <v>-0.5892676</v>
      </c>
      <c r="Q1153">
        <v>0.19037080000000001</v>
      </c>
      <c r="R1153">
        <v>-0.78518959999999904</v>
      </c>
      <c r="S1153">
        <v>-2.293015</v>
      </c>
      <c r="T1153">
        <v>-0.22126199999999999</v>
      </c>
      <c r="U1153">
        <v>-2.1636350000000002</v>
      </c>
      <c r="V1153">
        <v>0.2477869</v>
      </c>
      <c r="W1153">
        <v>0.19891710000000001</v>
      </c>
      <c r="X1153">
        <v>0.94817379999999996</v>
      </c>
      <c r="Y1153">
        <v>0.40661449999999999</v>
      </c>
      <c r="Z1153">
        <v>5.7306780000000002E-2</v>
      </c>
      <c r="AA1153">
        <v>0.91180070000000002</v>
      </c>
      <c r="AB1153">
        <v>30</v>
      </c>
      <c r="AC1153">
        <v>-11.3925999999999</v>
      </c>
      <c r="AD1153">
        <v>-1.1108512691619901</v>
      </c>
      <c r="AE1153">
        <v>-10.5976</v>
      </c>
      <c r="AF1153">
        <v>6.4181301533680104</v>
      </c>
      <c r="AG1153">
        <v>-1.1108512691619901</v>
      </c>
      <c r="AH1153">
        <v>14.087541530227201</v>
      </c>
      <c r="AI1153">
        <v>94.104355524400205</v>
      </c>
      <c r="AJ1153">
        <v>65.506508070775297</v>
      </c>
      <c r="AK1153">
        <v>15.520477169650601</v>
      </c>
      <c r="AL1153">
        <v>78.526358372038402</v>
      </c>
      <c r="AM1153">
        <v>75.354392482779105</v>
      </c>
      <c r="AN1153">
        <v>0.99999995774522898</v>
      </c>
    </row>
    <row r="1154" spans="1:40" x14ac:dyDescent="0.25">
      <c r="A1154" t="str">
        <f>"20190303170742458"</f>
        <v>20190303170742458</v>
      </c>
      <c r="B1154" t="str">
        <f>"1551604062443972"</f>
        <v>1551604062443972</v>
      </c>
      <c r="C1154" t="s">
        <v>40</v>
      </c>
      <c r="D1154">
        <v>5.1056080000000001</v>
      </c>
      <c r="E1154">
        <v>0.57822019999999996</v>
      </c>
      <c r="F1154" t="s">
        <v>57</v>
      </c>
      <c r="G1154">
        <v>-206.05789999999999</v>
      </c>
      <c r="H1154" s="1">
        <v>4.830579E-6</v>
      </c>
      <c r="I1154">
        <v>285.4495</v>
      </c>
      <c r="J1154">
        <v>-194.58699999999999</v>
      </c>
      <c r="K1154">
        <v>1.11076</v>
      </c>
      <c r="L1154">
        <v>295.85640000000001</v>
      </c>
      <c r="M1154">
        <v>-0.3963332</v>
      </c>
      <c r="N1154">
        <v>-1.558903E-2</v>
      </c>
      <c r="O1154">
        <v>-0.91797470000000003</v>
      </c>
      <c r="P1154">
        <v>-0.6003906</v>
      </c>
      <c r="Q1154">
        <v>0.18932930000000001</v>
      </c>
      <c r="R1154">
        <v>-0.77697240000000001</v>
      </c>
      <c r="S1154">
        <v>-2.3181759999999998</v>
      </c>
      <c r="T1154">
        <v>-0.2219816</v>
      </c>
      <c r="U1154">
        <v>-2.1347960000000001</v>
      </c>
      <c r="V1154">
        <v>0.2483822</v>
      </c>
      <c r="W1154">
        <v>0.19783890000000001</v>
      </c>
      <c r="X1154">
        <v>0.94824370000000002</v>
      </c>
      <c r="Y1154">
        <v>0.40531509999999998</v>
      </c>
      <c r="Z1154">
        <v>5.7449500000000001E-2</v>
      </c>
      <c r="AA1154">
        <v>0.91237009999999996</v>
      </c>
      <c r="AB1154">
        <v>30</v>
      </c>
      <c r="AC1154">
        <v>-11.470899999999901</v>
      </c>
      <c r="AD1154">
        <v>-1.1107551694210001</v>
      </c>
      <c r="AE1154">
        <v>-10.4069</v>
      </c>
      <c r="AF1154">
        <v>6.3733929927734501</v>
      </c>
      <c r="AG1154">
        <v>-1.1107551694210001</v>
      </c>
      <c r="AH1154">
        <v>14.029124315516301</v>
      </c>
      <c r="AI1154">
        <v>94.123032138269707</v>
      </c>
      <c r="AJ1154">
        <v>65.5678309375037</v>
      </c>
      <c r="AK1154">
        <v>15.448956092466</v>
      </c>
      <c r="AL1154">
        <v>78.589388199985805</v>
      </c>
      <c r="AM1154">
        <v>75.321760163717201</v>
      </c>
      <c r="AN1154">
        <v>1.00000003110986</v>
      </c>
    </row>
    <row r="1155" spans="1:40" x14ac:dyDescent="0.25">
      <c r="A1155" t="str">
        <f>"20190303170742501"</f>
        <v>20190303170742501</v>
      </c>
      <c r="B1155" t="str">
        <f>"1551604062493747"</f>
        <v>1551604062493747</v>
      </c>
      <c r="C1155" t="s">
        <v>40</v>
      </c>
      <c r="D1155">
        <v>5.0811140000000004</v>
      </c>
      <c r="E1155">
        <v>0.57799789999999995</v>
      </c>
      <c r="F1155" t="s">
        <v>57</v>
      </c>
      <c r="G1155">
        <v>-206.197</v>
      </c>
      <c r="H1155" s="1">
        <v>4.8923480000000002E-6</v>
      </c>
      <c r="I1155">
        <v>285.44850000000002</v>
      </c>
      <c r="J1155">
        <v>-194.84030000000001</v>
      </c>
      <c r="K1155">
        <v>1.110619</v>
      </c>
      <c r="L1155">
        <v>295.34410000000003</v>
      </c>
      <c r="M1155">
        <v>-0.4197631</v>
      </c>
      <c r="N1155">
        <v>-1.5641869999999999E-2</v>
      </c>
      <c r="O1155">
        <v>-0.90749899999999994</v>
      </c>
      <c r="P1155">
        <v>-0.62436499999999995</v>
      </c>
      <c r="Q1155">
        <v>0.18968969999999999</v>
      </c>
      <c r="R1155">
        <v>-0.75775090000000001</v>
      </c>
      <c r="S1155">
        <v>-2.3459780000000001</v>
      </c>
      <c r="T1155">
        <v>-0.22444420000000001</v>
      </c>
      <c r="U1155">
        <v>-2.1030579999999999</v>
      </c>
      <c r="V1155">
        <v>0.25378879999999998</v>
      </c>
      <c r="W1155">
        <v>0.19800490000000001</v>
      </c>
      <c r="X1155">
        <v>0.94677630000000002</v>
      </c>
      <c r="Y1155">
        <v>0.39402229999999999</v>
      </c>
      <c r="Z1155">
        <v>5.7817809999999997E-2</v>
      </c>
      <c r="AA1155">
        <v>0.9172806</v>
      </c>
      <c r="AB1155">
        <v>30</v>
      </c>
      <c r="AC1155">
        <v>-11.356699999999901</v>
      </c>
      <c r="AD1155">
        <v>-1.110614107652</v>
      </c>
      <c r="AE1155">
        <v>-9.8956</v>
      </c>
      <c r="AF1155">
        <v>6.1198695188704102</v>
      </c>
      <c r="AG1155">
        <v>-1.110614107652</v>
      </c>
      <c r="AH1155">
        <v>13.6747129851758</v>
      </c>
      <c r="AI1155">
        <v>94.239667421659306</v>
      </c>
      <c r="AJ1155">
        <v>65.889964002128295</v>
      </c>
      <c r="AK1155">
        <v>15.0227840912079</v>
      </c>
      <c r="AL1155">
        <v>78.579685126878005</v>
      </c>
      <c r="AM1155">
        <v>74.9943055906176</v>
      </c>
      <c r="AN1155">
        <v>1.0000000288355599</v>
      </c>
    </row>
    <row r="1156" spans="1:40" x14ac:dyDescent="0.25">
      <c r="A1156" t="str">
        <f>"20190303170742525"</f>
        <v>20190303170742525</v>
      </c>
      <c r="B1156" t="str">
        <f>"1551604062513268"</f>
        <v>1551604062513268</v>
      </c>
      <c r="C1156" t="s">
        <v>40</v>
      </c>
      <c r="D1156">
        <v>5.0923369999999997</v>
      </c>
      <c r="E1156">
        <v>0.57786409999999999</v>
      </c>
      <c r="F1156" t="s">
        <v>57</v>
      </c>
      <c r="G1156">
        <v>-206.6397</v>
      </c>
      <c r="H1156" s="1">
        <v>5.094489E-6</v>
      </c>
      <c r="I1156">
        <v>285.3818</v>
      </c>
      <c r="J1156">
        <v>-194.99430000000001</v>
      </c>
      <c r="K1156">
        <v>1.1105480000000001</v>
      </c>
      <c r="L1156">
        <v>295.048</v>
      </c>
      <c r="M1156">
        <v>-0.43347459999999999</v>
      </c>
      <c r="N1156">
        <v>-1.56706E-2</v>
      </c>
      <c r="O1156">
        <v>-0.90102959999999999</v>
      </c>
      <c r="P1156">
        <v>-0.63803109999999996</v>
      </c>
      <c r="Q1156">
        <v>0.18847</v>
      </c>
      <c r="R1156">
        <v>-0.74658930000000001</v>
      </c>
      <c r="S1156">
        <v>-2.4071959999999999</v>
      </c>
      <c r="T1156">
        <v>-0.226576</v>
      </c>
      <c r="U1156">
        <v>-2.03241</v>
      </c>
      <c r="V1156">
        <v>0.25651099999999999</v>
      </c>
      <c r="W1156">
        <v>0.1966946</v>
      </c>
      <c r="X1156">
        <v>0.94631560000000003</v>
      </c>
      <c r="Y1156">
        <v>0.40721810000000003</v>
      </c>
      <c r="Z1156">
        <v>5.8636699999999903E-2</v>
      </c>
      <c r="AA1156">
        <v>0.9114468</v>
      </c>
      <c r="AB1156">
        <v>29</v>
      </c>
      <c r="AC1156">
        <v>-11.645399999999899</v>
      </c>
      <c r="AD1156">
        <v>-1.1105429055110001</v>
      </c>
      <c r="AE1156">
        <v>-9.6661999999999999</v>
      </c>
      <c r="AF1156">
        <v>6.2698122157887397</v>
      </c>
      <c r="AG1156">
        <v>-1.1105429055110001</v>
      </c>
      <c r="AH1156">
        <v>13.6855174226991</v>
      </c>
      <c r="AI1156">
        <v>94.2192787093595</v>
      </c>
      <c r="AJ1156">
        <v>65.385834825980197</v>
      </c>
      <c r="AK1156">
        <v>15.0942783164096</v>
      </c>
      <c r="AL1156">
        <v>78.6562648356621</v>
      </c>
      <c r="AM1156">
        <v>74.833681190794806</v>
      </c>
      <c r="AN1156">
        <v>0.99999993679675803</v>
      </c>
    </row>
    <row r="1157" spans="1:40" x14ac:dyDescent="0.25">
      <c r="A1157" t="str">
        <f>"20190303170742572"</f>
        <v>20190303170742572</v>
      </c>
      <c r="B1157" t="str">
        <f>"1551604062563640"</f>
        <v>1551604062563640</v>
      </c>
      <c r="C1157" t="s">
        <v>40</v>
      </c>
      <c r="D1157">
        <v>5.0743679999999998</v>
      </c>
      <c r="E1157">
        <v>0.61755550000000003</v>
      </c>
      <c r="F1157" t="s">
        <v>57</v>
      </c>
      <c r="G1157">
        <v>-206.72309999999999</v>
      </c>
      <c r="H1157" s="1">
        <v>5.1219390000000001E-6</v>
      </c>
      <c r="I1157">
        <v>285.49110000000002</v>
      </c>
      <c r="J1157">
        <v>-195.2869</v>
      </c>
      <c r="K1157">
        <v>1.1104290000000001</v>
      </c>
      <c r="L1157">
        <v>294.51510000000002</v>
      </c>
      <c r="M1157">
        <v>-0.45844639999999998</v>
      </c>
      <c r="N1157">
        <v>-1.5715759999999999E-2</v>
      </c>
      <c r="O1157">
        <v>-0.88858300000000001</v>
      </c>
      <c r="P1157">
        <v>-0.66092569999999995</v>
      </c>
      <c r="Q1157">
        <v>0.1873493</v>
      </c>
      <c r="R1157">
        <v>-0.72668949999999999</v>
      </c>
      <c r="S1157">
        <v>-2.4419559999999998</v>
      </c>
      <c r="T1157">
        <v>-0.23121639999999999</v>
      </c>
      <c r="U1157">
        <v>-1.989746</v>
      </c>
      <c r="V1157">
        <v>0.25941140000000001</v>
      </c>
      <c r="W1157">
        <v>0.19547049999999999</v>
      </c>
      <c r="X1157">
        <v>0.94577849999999997</v>
      </c>
      <c r="Y1157">
        <v>0.39758369999999998</v>
      </c>
      <c r="Z1157">
        <v>5.9600189999999997E-2</v>
      </c>
      <c r="AA1157">
        <v>0.9156282</v>
      </c>
      <c r="AB1157">
        <v>29</v>
      </c>
      <c r="AC1157">
        <v>-11.4361999999999</v>
      </c>
      <c r="AD1157">
        <v>-1.1104238780610001</v>
      </c>
      <c r="AE1157">
        <v>-9.0239999999999991</v>
      </c>
      <c r="AF1157">
        <v>5.9909286362706302</v>
      </c>
      <c r="AG1157">
        <v>-1.1104238780610001</v>
      </c>
      <c r="AH1157">
        <v>13.1864804086687</v>
      </c>
      <c r="AI1157">
        <v>94.384159311012297</v>
      </c>
      <c r="AJ1157">
        <v>65.566583044221204</v>
      </c>
      <c r="AK1157">
        <v>14.526098329629299</v>
      </c>
      <c r="AL1157">
        <v>78.727789585333795</v>
      </c>
      <c r="AM1157">
        <v>74.661923948094994</v>
      </c>
      <c r="AN1157">
        <v>0.99999998094122899</v>
      </c>
    </row>
    <row r="1158" spans="1:40" x14ac:dyDescent="0.25">
      <c r="A1158" t="str">
        <f>"20190303170742591"</f>
        <v>20190303170742591</v>
      </c>
      <c r="B1158" t="str">
        <f>"1551604062583160"</f>
        <v>1551604062583160</v>
      </c>
      <c r="C1158" t="s">
        <v>40</v>
      </c>
      <c r="D1158">
        <v>5.0252119999999998</v>
      </c>
      <c r="E1158">
        <v>0.62389810000000001</v>
      </c>
      <c r="F1158" t="s">
        <v>63</v>
      </c>
      <c r="G1158">
        <v>-226.49279999999999</v>
      </c>
      <c r="H1158">
        <v>8.0001030000000001E-2</v>
      </c>
      <c r="I1158">
        <v>275.39260000000002</v>
      </c>
      <c r="J1158">
        <v>-195.42259999999999</v>
      </c>
      <c r="K1158">
        <v>1.1103989999999999</v>
      </c>
      <c r="L1158">
        <v>294.27969999999999</v>
      </c>
      <c r="M1158">
        <v>-0.46959020000000001</v>
      </c>
      <c r="N1158">
        <v>-1.5734100000000001E-2</v>
      </c>
      <c r="O1158">
        <v>-0.88274419999999898</v>
      </c>
      <c r="P1158">
        <v>-0.67074809999999996</v>
      </c>
      <c r="Q1158">
        <v>0.1878601</v>
      </c>
      <c r="R1158">
        <v>-0.71749960000000002</v>
      </c>
      <c r="S1158">
        <v>-2.7271730000000001</v>
      </c>
      <c r="T1158">
        <v>-9.0052010000000002E-2</v>
      </c>
      <c r="U1158">
        <v>-1.671173</v>
      </c>
      <c r="V1158">
        <v>0.26047179999999998</v>
      </c>
      <c r="W1158">
        <v>0.1959418</v>
      </c>
      <c r="X1158">
        <v>0.94538949999999999</v>
      </c>
      <c r="Y1158">
        <v>0.50711300000000004</v>
      </c>
      <c r="Z1158">
        <v>1.6572880000000002E-2</v>
      </c>
      <c r="AA1158">
        <v>0.86172019999999905</v>
      </c>
      <c r="AB1158">
        <v>29</v>
      </c>
      <c r="AC1158">
        <v>-31.0702</v>
      </c>
      <c r="AD1158">
        <v>-1.0303979700000001</v>
      </c>
      <c r="AE1158">
        <v>-18.887099999999901</v>
      </c>
      <c r="AF1158">
        <v>18.5452476970401</v>
      </c>
      <c r="AG1158">
        <v>-1.0303979700000001</v>
      </c>
      <c r="AH1158">
        <v>31.241523290581998</v>
      </c>
      <c r="AI1158">
        <v>91.624542230750095</v>
      </c>
      <c r="AJ1158">
        <v>59.306253118875098</v>
      </c>
      <c r="AK1158">
        <v>36.345848588760902</v>
      </c>
      <c r="AL1158">
        <v>78.700254137964606</v>
      </c>
      <c r="AM1158">
        <v>74.5961612448409</v>
      </c>
      <c r="AN1158">
        <v>1.00000002714636</v>
      </c>
    </row>
    <row r="1159" spans="1:40" x14ac:dyDescent="0.25">
      <c r="A1159" t="str">
        <f>"20190303170742612"</f>
        <v>20190303170742612</v>
      </c>
      <c r="B1159" t="str">
        <f>"1551604062603656"</f>
        <v>1551604062603656</v>
      </c>
      <c r="C1159" t="s">
        <v>40</v>
      </c>
      <c r="D1159">
        <v>5.0116620000000003</v>
      </c>
      <c r="E1159">
        <v>0.62571480000000002</v>
      </c>
      <c r="F1159" t="s">
        <v>46</v>
      </c>
      <c r="G1159">
        <v>-248.82830000000001</v>
      </c>
      <c r="H1159">
        <v>-0.05</v>
      </c>
      <c r="I1159">
        <v>263.71730000000002</v>
      </c>
      <c r="J1159">
        <v>-195.56309999999999</v>
      </c>
      <c r="K1159">
        <v>1.1103730000000001</v>
      </c>
      <c r="L1159">
        <v>294.04289999999997</v>
      </c>
      <c r="M1159">
        <v>-0.48084949999999999</v>
      </c>
      <c r="N1159">
        <v>-1.5750960000000001E-2</v>
      </c>
      <c r="O1159">
        <v>-0.87666169999999999</v>
      </c>
      <c r="P1159">
        <v>-0.67994149999999998</v>
      </c>
      <c r="Q1159">
        <v>0.1879535</v>
      </c>
      <c r="R1159">
        <v>-0.70876899999999998</v>
      </c>
      <c r="S1159">
        <v>-2.784821</v>
      </c>
      <c r="T1159">
        <v>-6.0508489999999998E-2</v>
      </c>
      <c r="U1159">
        <v>-1.593658</v>
      </c>
      <c r="V1159">
        <v>0.26058789999999998</v>
      </c>
      <c r="W1159">
        <v>0.19602919999999999</v>
      </c>
      <c r="X1159">
        <v>0.94533940000000005</v>
      </c>
      <c r="Y1159">
        <v>0.5219781</v>
      </c>
      <c r="Z1159">
        <v>7.4112290000000001E-3</v>
      </c>
      <c r="AA1159">
        <v>0.85292670000000004</v>
      </c>
      <c r="AB1159">
        <v>29</v>
      </c>
      <c r="AC1159">
        <v>-53.2652</v>
      </c>
      <c r="AD1159">
        <v>-1.1603729999999901</v>
      </c>
      <c r="AE1159">
        <v>-30.325599999999898</v>
      </c>
      <c r="AF1159">
        <v>32.105987400585001</v>
      </c>
      <c r="AG1159">
        <v>-1.1603729999999901</v>
      </c>
      <c r="AH1159">
        <v>52.185607551170897</v>
      </c>
      <c r="AI1159">
        <v>91.084959584356497</v>
      </c>
      <c r="AJ1159">
        <v>58.399054251208398</v>
      </c>
      <c r="AK1159">
        <v>61.2819592372052</v>
      </c>
      <c r="AL1159">
        <v>78.695147611045996</v>
      </c>
      <c r="AM1159">
        <v>74.588843718915399</v>
      </c>
      <c r="AN1159">
        <v>1.0000000410356999</v>
      </c>
    </row>
    <row r="1160" spans="1:40" x14ac:dyDescent="0.25">
      <c r="A1160" t="str">
        <f>"20190303170742636"</f>
        <v>20190303170742636</v>
      </c>
      <c r="B1160" t="str">
        <f>"1551604062623175"</f>
        <v>1551604062623175</v>
      </c>
      <c r="C1160" t="s">
        <v>40</v>
      </c>
      <c r="D1160">
        <v>5.0194479999999997</v>
      </c>
      <c r="E1160">
        <v>0.62641199999999997</v>
      </c>
      <c r="F1160" t="s">
        <v>64</v>
      </c>
      <c r="G1160">
        <v>-241.4391</v>
      </c>
      <c r="H1160">
        <v>0.25790600000000002</v>
      </c>
      <c r="I1160">
        <v>268.85500000000002</v>
      </c>
      <c r="J1160">
        <v>-195.72749999999999</v>
      </c>
      <c r="K1160">
        <v>1.110336</v>
      </c>
      <c r="L1160">
        <v>293.7749</v>
      </c>
      <c r="M1160">
        <v>-0.49368190000000001</v>
      </c>
      <c r="N1160">
        <v>-1.576758E-2</v>
      </c>
      <c r="O1160">
        <v>-0.86949979999999905</v>
      </c>
      <c r="P1160">
        <v>-0.69061430000000001</v>
      </c>
      <c r="Q1160">
        <v>0.18807409999999999</v>
      </c>
      <c r="R1160">
        <v>-0.69834130000000005</v>
      </c>
      <c r="S1160">
        <v>-2.8152309999999998</v>
      </c>
      <c r="T1160">
        <v>-5.2312369999999997E-2</v>
      </c>
      <c r="U1160">
        <v>-1.545685</v>
      </c>
      <c r="V1160">
        <v>0.26106940000000001</v>
      </c>
      <c r="W1160">
        <v>0.19613069999999999</v>
      </c>
      <c r="X1160">
        <v>0.94518539999999995</v>
      </c>
      <c r="Y1160">
        <v>0.52453119999999998</v>
      </c>
      <c r="Z1160">
        <v>4.9359360000000001E-3</v>
      </c>
      <c r="AA1160">
        <v>0.85137689999999999</v>
      </c>
      <c r="AB1160">
        <v>29</v>
      </c>
      <c r="AC1160">
        <v>-45.711599999999997</v>
      </c>
      <c r="AD1160">
        <v>-0.85242999999999902</v>
      </c>
      <c r="AE1160">
        <v>-24.919899999999899</v>
      </c>
      <c r="AF1160">
        <v>27.4397749924347</v>
      </c>
      <c r="AG1160">
        <v>-0.85242999999999902</v>
      </c>
      <c r="AH1160">
        <v>44.228473287013998</v>
      </c>
      <c r="AI1160">
        <v>90.938274876196104</v>
      </c>
      <c r="AJ1160">
        <v>58.184133071562897</v>
      </c>
      <c r="AK1160">
        <v>52.055986570618899</v>
      </c>
      <c r="AL1160">
        <v>78.689216054639402</v>
      </c>
      <c r="AM1160">
        <v>74.559329726903201</v>
      </c>
      <c r="AN1160">
        <v>0.99999996173600403</v>
      </c>
    </row>
    <row r="1161" spans="1:40" x14ac:dyDescent="0.25">
      <c r="A1161" t="str">
        <f>"20190303170742682"</f>
        <v>20190303170742682</v>
      </c>
      <c r="B1161" t="str">
        <f>"1551604062673359"</f>
        <v>1551604062673359</v>
      </c>
      <c r="C1161" t="s">
        <v>40</v>
      </c>
      <c r="D1161">
        <v>5.0356870000000002</v>
      </c>
      <c r="E1161">
        <v>0.62601459999999998</v>
      </c>
      <c r="F1161" t="s">
        <v>64</v>
      </c>
      <c r="G1161">
        <v>-242.43860000000001</v>
      </c>
      <c r="H1161">
        <v>0.3770638</v>
      </c>
      <c r="I1161">
        <v>269.1576</v>
      </c>
      <c r="J1161">
        <v>-196.05619999999999</v>
      </c>
      <c r="K1161">
        <v>1.110274</v>
      </c>
      <c r="L1161">
        <v>293.26409999999998</v>
      </c>
      <c r="M1161">
        <v>-0.51838980000000001</v>
      </c>
      <c r="N1161">
        <v>-1.579972E-2</v>
      </c>
      <c r="O1161">
        <v>-0.85499849999999999</v>
      </c>
      <c r="P1161">
        <v>-0.71200050000000004</v>
      </c>
      <c r="Q1161">
        <v>0.1881931</v>
      </c>
      <c r="R1161">
        <v>-0.67648980000000003</v>
      </c>
      <c r="S1161">
        <v>-2.8417210000000002</v>
      </c>
      <c r="T1161">
        <v>-4.460919E-2</v>
      </c>
      <c r="U1161">
        <v>-1.49762</v>
      </c>
      <c r="V1161">
        <v>0.26344879999999998</v>
      </c>
      <c r="W1161">
        <v>0.19616339999999999</v>
      </c>
      <c r="X1161">
        <v>0.94451819999999997</v>
      </c>
      <c r="Y1161">
        <v>0.5146657</v>
      </c>
      <c r="Z1161">
        <v>2.6290039999999999E-3</v>
      </c>
      <c r="AA1161">
        <v>0.85738689999999995</v>
      </c>
      <c r="AB1161">
        <v>29</v>
      </c>
      <c r="AC1161">
        <v>-46.382399999999997</v>
      </c>
      <c r="AD1161">
        <v>-0.73321020000000003</v>
      </c>
      <c r="AE1161">
        <v>-24.106499999999901</v>
      </c>
      <c r="AF1161">
        <v>27.158365401869201</v>
      </c>
      <c r="AG1161">
        <v>-0.73321020000000003</v>
      </c>
      <c r="AH1161">
        <v>44.651972896390397</v>
      </c>
      <c r="AI1161">
        <v>90.803770264535004</v>
      </c>
      <c r="AJ1161">
        <v>58.6910631005114</v>
      </c>
      <c r="AK1161">
        <v>52.267706014697197</v>
      </c>
      <c r="AL1161">
        <v>78.687305689602994</v>
      </c>
      <c r="AM1161">
        <v>74.414937452171102</v>
      </c>
      <c r="AN1161">
        <v>0.99999998992611905</v>
      </c>
    </row>
    <row r="1162" spans="1:40" x14ac:dyDescent="0.25">
      <c r="A1162" t="str">
        <f>"20190303170742725"</f>
        <v>20190303170742725</v>
      </c>
      <c r="B1162" t="str">
        <f>"1551604062713375"</f>
        <v>1551604062713375</v>
      </c>
      <c r="C1162" t="s">
        <v>40</v>
      </c>
      <c r="D1162">
        <v>5.0211730000000001</v>
      </c>
      <c r="E1162">
        <v>0.62487109999999901</v>
      </c>
      <c r="F1162" t="s">
        <v>64</v>
      </c>
      <c r="G1162">
        <v>-245.6516</v>
      </c>
      <c r="H1162">
        <v>0.44083739999999999</v>
      </c>
      <c r="I1162">
        <v>269.02359999999999</v>
      </c>
      <c r="J1162">
        <v>-196.37549999999999</v>
      </c>
      <c r="K1162">
        <v>1.110206</v>
      </c>
      <c r="L1162">
        <v>292.79730000000001</v>
      </c>
      <c r="M1162">
        <v>-0.54128619999999905</v>
      </c>
      <c r="N1162">
        <v>-1.5831270000000001E-2</v>
      </c>
      <c r="O1162">
        <v>-0.84068949999999998</v>
      </c>
      <c r="P1162">
        <v>-0.72898419999999997</v>
      </c>
      <c r="Q1162">
        <v>0.18987470000000001</v>
      </c>
      <c r="R1162">
        <v>-0.65766999999999998</v>
      </c>
      <c r="S1162">
        <v>-2.8843230000000002</v>
      </c>
      <c r="T1162">
        <v>-3.8932319999999999E-2</v>
      </c>
      <c r="U1162">
        <v>-1.4097599999999999</v>
      </c>
      <c r="V1162">
        <v>0.26231919999999997</v>
      </c>
      <c r="W1162">
        <v>0.19785759999999999</v>
      </c>
      <c r="X1162">
        <v>0.94447919999999996</v>
      </c>
      <c r="Y1162">
        <v>0.51758400000000004</v>
      </c>
      <c r="Z1162">
        <v>1.106718E-3</v>
      </c>
      <c r="AA1162">
        <v>0.855631699999999</v>
      </c>
      <c r="AB1162">
        <v>29</v>
      </c>
      <c r="AC1162">
        <v>-49.2761</v>
      </c>
      <c r="AD1162">
        <v>-0.66936859999999998</v>
      </c>
      <c r="AE1162">
        <v>-23.773700000000002</v>
      </c>
      <c r="AF1162">
        <v>28.5568258986312</v>
      </c>
      <c r="AG1162">
        <v>-0.66936859999999998</v>
      </c>
      <c r="AH1162">
        <v>46.657632066043298</v>
      </c>
      <c r="AI1162">
        <v>90.701058915092304</v>
      </c>
      <c r="AJ1162">
        <v>58.531263783460197</v>
      </c>
      <c r="AK1162">
        <v>54.707174938372297</v>
      </c>
      <c r="AL1162">
        <v>78.588294523991493</v>
      </c>
      <c r="AM1162">
        <v>74.477923992543793</v>
      </c>
      <c r="AN1162">
        <v>0.99999997589951894</v>
      </c>
    </row>
    <row r="1163" spans="1:40" x14ac:dyDescent="0.25">
      <c r="A1163" t="str">
        <f>"20190303170742747"</f>
        <v>20190303170742747</v>
      </c>
      <c r="B1163" t="str">
        <f>"1551604062733872"</f>
        <v>1551604062733872</v>
      </c>
      <c r="C1163" t="s">
        <v>40</v>
      </c>
      <c r="D1163">
        <v>4.975206</v>
      </c>
      <c r="E1163">
        <v>0.62420920000000002</v>
      </c>
      <c r="F1163" t="s">
        <v>64</v>
      </c>
      <c r="G1163">
        <v>-248.4641</v>
      </c>
      <c r="H1163">
        <v>0.53470699999999904</v>
      </c>
      <c r="I1163">
        <v>268.85500000000002</v>
      </c>
      <c r="J1163">
        <v>-196.5428</v>
      </c>
      <c r="K1163">
        <v>1.1101650000000001</v>
      </c>
      <c r="L1163">
        <v>292.5634</v>
      </c>
      <c r="M1163">
        <v>-0.55288919999999997</v>
      </c>
      <c r="N1163">
        <v>-1.5847920000000001E-2</v>
      </c>
      <c r="O1163">
        <v>-0.83310419999999996</v>
      </c>
      <c r="P1163">
        <v>-0.73754519999999901</v>
      </c>
      <c r="Q1163">
        <v>0.1904941</v>
      </c>
      <c r="R1163">
        <v>-0.64787320000000004</v>
      </c>
      <c r="S1163">
        <v>-2.9149479999999999</v>
      </c>
      <c r="T1163">
        <v>-3.2205579999999998E-2</v>
      </c>
      <c r="U1163">
        <v>-1.339844</v>
      </c>
      <c r="V1163">
        <v>0.26174619999999998</v>
      </c>
      <c r="W1163">
        <v>0.19848160000000001</v>
      </c>
      <c r="X1163">
        <v>0.94450730000000005</v>
      </c>
      <c r="Y1163">
        <v>0.52604200000000001</v>
      </c>
      <c r="Z1163">
        <v>-7.7103920000000002E-4</v>
      </c>
      <c r="AA1163">
        <v>0.8504583</v>
      </c>
      <c r="AB1163">
        <v>29</v>
      </c>
      <c r="AC1163">
        <v>-51.921300000000002</v>
      </c>
      <c r="AD1163">
        <v>-0.57545800000000003</v>
      </c>
      <c r="AE1163">
        <v>-23.708399999999902</v>
      </c>
      <c r="AF1163">
        <v>30.148453449121199</v>
      </c>
      <c r="AG1163">
        <v>-0.57545800000000003</v>
      </c>
      <c r="AH1163">
        <v>48.459448779606198</v>
      </c>
      <c r="AI1163">
        <v>90.577691759910095</v>
      </c>
      <c r="AJ1163">
        <v>58.112696532897701</v>
      </c>
      <c r="AK1163">
        <v>57.075201036061799</v>
      </c>
      <c r="AL1163">
        <v>78.551819174374998</v>
      </c>
      <c r="AM1163">
        <v>74.510638790546096</v>
      </c>
      <c r="AN1163">
        <v>1.0000000292531399</v>
      </c>
    </row>
    <row r="1164" spans="1:40" x14ac:dyDescent="0.25">
      <c r="A1164" t="str">
        <f>"20190303170742770"</f>
        <v>20190303170742770</v>
      </c>
      <c r="B1164" t="str">
        <f>"1551604062763660"</f>
        <v>1551604062763660</v>
      </c>
      <c r="C1164" t="s">
        <v>40</v>
      </c>
      <c r="D1164">
        <v>4.980645</v>
      </c>
      <c r="E1164">
        <v>0.61534639999999996</v>
      </c>
      <c r="F1164" t="s">
        <v>64</v>
      </c>
      <c r="G1164">
        <v>-249.7201</v>
      </c>
      <c r="H1164">
        <v>0.52009890000000003</v>
      </c>
      <c r="I1164">
        <v>268.85500000000002</v>
      </c>
      <c r="J1164">
        <v>-196.72319999999999</v>
      </c>
      <c r="K1164">
        <v>1.110112</v>
      </c>
      <c r="L1164">
        <v>292.31880000000001</v>
      </c>
      <c r="M1164">
        <v>-0.56514350000000002</v>
      </c>
      <c r="N1164">
        <v>-1.586665E-2</v>
      </c>
      <c r="O1164">
        <v>-0.82484009999999996</v>
      </c>
      <c r="P1164">
        <v>-0.74665969999999904</v>
      </c>
      <c r="Q1164">
        <v>0.1911786</v>
      </c>
      <c r="R1164">
        <v>-0.63714249999999995</v>
      </c>
      <c r="S1164">
        <v>-2.928909</v>
      </c>
      <c r="T1164">
        <v>-3.2499550000000002E-2</v>
      </c>
      <c r="U1164">
        <v>-1.305817</v>
      </c>
      <c r="V1164">
        <v>0.2613395</v>
      </c>
      <c r="W1164">
        <v>0.19916149999999999</v>
      </c>
      <c r="X1164">
        <v>0.94447680000000001</v>
      </c>
      <c r="Y1164">
        <v>0.52321399999999996</v>
      </c>
      <c r="Z1164">
        <v>-5.7724719999999998E-4</v>
      </c>
      <c r="AA1164">
        <v>0.85220119999999899</v>
      </c>
      <c r="AB1164">
        <v>29</v>
      </c>
      <c r="AC1164">
        <v>-52.996899999999997</v>
      </c>
      <c r="AD1164">
        <v>-0.59001309999999996</v>
      </c>
      <c r="AE1164">
        <v>-23.4637999999999</v>
      </c>
      <c r="AF1164">
        <v>30.454230570003901</v>
      </c>
      <c r="AG1164">
        <v>-0.59001309999999996</v>
      </c>
      <c r="AH1164">
        <v>49.305831680777402</v>
      </c>
      <c r="AI1164">
        <v>90.583304029933402</v>
      </c>
      <c r="AJ1164">
        <v>58.2980415403199</v>
      </c>
      <c r="AK1164">
        <v>57.955787569511003</v>
      </c>
      <c r="AL1164">
        <v>78.512070241029093</v>
      </c>
      <c r="AM1164">
        <v>74.533077478927396</v>
      </c>
      <c r="AN1164">
        <v>1.0000000315403601</v>
      </c>
    </row>
    <row r="1165" spans="1:40" x14ac:dyDescent="0.25">
      <c r="A1165" t="str">
        <f>"20190303170742791"</f>
        <v>20190303170742791</v>
      </c>
      <c r="B1165" t="str">
        <f>"1551604062783180"</f>
        <v>1551604062783180</v>
      </c>
      <c r="C1165" t="s">
        <v>40</v>
      </c>
      <c r="D1165">
        <v>4.9790900000000002</v>
      </c>
      <c r="E1165">
        <v>0.61423419999999995</v>
      </c>
      <c r="F1165" t="s">
        <v>64</v>
      </c>
      <c r="G1165">
        <v>-248.34020000000001</v>
      </c>
      <c r="H1165">
        <v>0.4353726</v>
      </c>
      <c r="I1165">
        <v>268.85500000000002</v>
      </c>
      <c r="J1165">
        <v>-196.8963</v>
      </c>
      <c r="K1165">
        <v>1.1100570000000001</v>
      </c>
      <c r="L1165">
        <v>292.0915</v>
      </c>
      <c r="M1165">
        <v>-0.57664989999999905</v>
      </c>
      <c r="N1165">
        <v>-1.58862E-2</v>
      </c>
      <c r="O1165">
        <v>-0.81683680000000003</v>
      </c>
      <c r="P1165">
        <v>-0.75461840000000002</v>
      </c>
      <c r="Q1165">
        <v>0.19058069999999999</v>
      </c>
      <c r="R1165">
        <v>-0.62787749999999998</v>
      </c>
      <c r="S1165">
        <v>-2.9019469999999998</v>
      </c>
      <c r="T1165">
        <v>-3.7934179999999998E-2</v>
      </c>
      <c r="U1165">
        <v>-1.319153</v>
      </c>
      <c r="V1165">
        <v>0.25988830000000002</v>
      </c>
      <c r="W1165">
        <v>0.1985942</v>
      </c>
      <c r="X1165">
        <v>0.94499650000000002</v>
      </c>
      <c r="Y1165">
        <v>0.5049574</v>
      </c>
      <c r="Z1165">
        <v>1.0865639999999999E-3</v>
      </c>
      <c r="AA1165">
        <v>0.86314360000000001</v>
      </c>
      <c r="AB1165">
        <v>29</v>
      </c>
      <c r="AC1165">
        <v>-51.443899999999999</v>
      </c>
      <c r="AD1165">
        <v>-0.67468439999999996</v>
      </c>
      <c r="AE1165">
        <v>-23.2364999999999</v>
      </c>
      <c r="AF1165">
        <v>28.621471199801402</v>
      </c>
      <c r="AG1165">
        <v>-0.67468439999999996</v>
      </c>
      <c r="AH1165">
        <v>48.644742396140501</v>
      </c>
      <c r="AI1165">
        <v>90.684878984209604</v>
      </c>
      <c r="AJ1165">
        <v>59.528402838594999</v>
      </c>
      <c r="AK1165">
        <v>56.444262555795099</v>
      </c>
      <c r="AL1165">
        <v>78.545236117372895</v>
      </c>
      <c r="AM1165">
        <v>74.6229448076773</v>
      </c>
      <c r="AN1165">
        <v>0.99999998488138897</v>
      </c>
    </row>
    <row r="1166" spans="1:40" x14ac:dyDescent="0.25">
      <c r="A1166" t="str">
        <f>"20190303170742815"</f>
        <v>20190303170742815</v>
      </c>
      <c r="B1166" t="str">
        <f>"1551604062803676"</f>
        <v>1551604062803676</v>
      </c>
      <c r="C1166" t="s">
        <v>40</v>
      </c>
      <c r="D1166">
        <v>4.9741910000000003</v>
      </c>
      <c r="E1166">
        <v>0.61299159999999997</v>
      </c>
      <c r="F1166" t="s">
        <v>64</v>
      </c>
      <c r="G1166">
        <v>-249.41929999999999</v>
      </c>
      <c r="H1166">
        <v>0.38218000000000002</v>
      </c>
      <c r="I1166">
        <v>268.85500000000002</v>
      </c>
      <c r="J1166">
        <v>-197.08359999999999</v>
      </c>
      <c r="K1166">
        <v>1.1100080000000001</v>
      </c>
      <c r="L1166">
        <v>291.85320000000002</v>
      </c>
      <c r="M1166">
        <v>-0.58882919999999905</v>
      </c>
      <c r="N1166">
        <v>-1.590782E-2</v>
      </c>
      <c r="O1166">
        <v>-0.80810119999999996</v>
      </c>
      <c r="P1166">
        <v>-0.7633991</v>
      </c>
      <c r="Q1166">
        <v>0.1895889</v>
      </c>
      <c r="R1166">
        <v>-0.6174771</v>
      </c>
      <c r="S1166">
        <v>-2.9133300000000002</v>
      </c>
      <c r="T1166">
        <v>-4.0373560000000003E-2</v>
      </c>
      <c r="U1166">
        <v>-1.2888790000000001</v>
      </c>
      <c r="V1166">
        <v>0.25887019999999999</v>
      </c>
      <c r="W1166">
        <v>0.19762299999999999</v>
      </c>
      <c r="X1166">
        <v>0.94547950000000003</v>
      </c>
      <c r="Y1166">
        <v>0.50075400000000003</v>
      </c>
      <c r="Z1166">
        <v>1.903402E-3</v>
      </c>
      <c r="AA1166">
        <v>0.86558749999999995</v>
      </c>
      <c r="AB1166">
        <v>29</v>
      </c>
      <c r="AC1166">
        <v>-52.335700000000003</v>
      </c>
      <c r="AD1166">
        <v>-0.72782799999999903</v>
      </c>
      <c r="AE1166">
        <v>-22.998200000000001</v>
      </c>
      <c r="AF1166">
        <v>28.749502192440701</v>
      </c>
      <c r="AG1166">
        <v>-0.72782799999999903</v>
      </c>
      <c r="AH1166">
        <v>49.399894855915399</v>
      </c>
      <c r="AI1166">
        <v>90.729560137143295</v>
      </c>
      <c r="AJ1166">
        <v>59.8016662061018</v>
      </c>
      <c r="AK1166">
        <v>57.161291287778297</v>
      </c>
      <c r="AL1166">
        <v>78.602007817606307</v>
      </c>
      <c r="AM1166">
        <v>74.687806914977998</v>
      </c>
      <c r="AN1166">
        <v>1.0000000577486401</v>
      </c>
    </row>
    <row r="1167" spans="1:40" x14ac:dyDescent="0.25">
      <c r="A1167" t="str">
        <f>"20190303170742863"</f>
        <v>20190303170742863</v>
      </c>
      <c r="B1167" t="str">
        <f>"1551604062853958"</f>
        <v>1551604062853958</v>
      </c>
      <c r="C1167" t="s">
        <v>40</v>
      </c>
      <c r="D1167">
        <v>4.9783670000000004</v>
      </c>
      <c r="E1167">
        <v>0.6061704</v>
      </c>
      <c r="F1167" t="s">
        <v>64</v>
      </c>
      <c r="G1167">
        <v>-249.95169999999999</v>
      </c>
      <c r="H1167">
        <v>0.25020589999999998</v>
      </c>
      <c r="I1167">
        <v>269.1576</v>
      </c>
      <c r="J1167">
        <v>-197.49080000000001</v>
      </c>
      <c r="K1167">
        <v>1.1098969999999999</v>
      </c>
      <c r="L1167">
        <v>291.35950000000003</v>
      </c>
      <c r="M1167">
        <v>-0.61441489999999999</v>
      </c>
      <c r="N1167">
        <v>-1.59508999999999E-2</v>
      </c>
      <c r="O1167">
        <v>-0.78882189999999996</v>
      </c>
      <c r="P1167">
        <v>-0.78274829999999995</v>
      </c>
      <c r="Q1167">
        <v>0.1901516</v>
      </c>
      <c r="R1167">
        <v>-0.59257700000000002</v>
      </c>
      <c r="S1167">
        <v>-2.925735</v>
      </c>
      <c r="T1167">
        <v>-4.758155E-2</v>
      </c>
      <c r="U1167">
        <v>-1.255981</v>
      </c>
      <c r="V1167">
        <v>0.25898510000000002</v>
      </c>
      <c r="W1167">
        <v>0.19815440000000001</v>
      </c>
      <c r="X1167">
        <v>0.94533670000000003</v>
      </c>
      <c r="Y1167">
        <v>0.4824446</v>
      </c>
      <c r="Z1167">
        <v>4.0875709999999999E-3</v>
      </c>
      <c r="AA1167">
        <v>0.87591699999999995</v>
      </c>
      <c r="AB1167">
        <v>29</v>
      </c>
      <c r="AC1167">
        <v>-52.460899999999903</v>
      </c>
      <c r="AD1167">
        <v>-0.85969109999999904</v>
      </c>
      <c r="AE1167">
        <v>-22.201899999999998</v>
      </c>
      <c r="AF1167">
        <v>27.738339726959499</v>
      </c>
      <c r="AG1167">
        <v>-0.85969109999999904</v>
      </c>
      <c r="AH1167">
        <v>49.741102408924597</v>
      </c>
      <c r="AI1167">
        <v>90.864806449522206</v>
      </c>
      <c r="AJ1167">
        <v>60.853589166373602</v>
      </c>
      <c r="AK1167">
        <v>56.959036407323097</v>
      </c>
      <c r="AL1167">
        <v>78.570945484931599</v>
      </c>
      <c r="AM1167">
        <v>74.679124517374404</v>
      </c>
      <c r="AN1167">
        <v>0.99999996231412902</v>
      </c>
    </row>
    <row r="1168" spans="1:40" x14ac:dyDescent="0.25">
      <c r="A1168" t="str">
        <f>"20190303170742903"</f>
        <v>20190303170742903</v>
      </c>
      <c r="B1168" t="str">
        <f>"1551604062893974"</f>
        <v>1551604062893974</v>
      </c>
      <c r="C1168" t="s">
        <v>40</v>
      </c>
      <c r="D1168">
        <v>5.0108550000000003</v>
      </c>
      <c r="E1168">
        <v>0.60428660000000001</v>
      </c>
      <c r="F1168" t="s">
        <v>46</v>
      </c>
      <c r="G1168">
        <v>-247.54239999999999</v>
      </c>
      <c r="H1168">
        <v>-0.05</v>
      </c>
      <c r="I1168">
        <v>270.7518</v>
      </c>
      <c r="J1168">
        <v>-197.8348</v>
      </c>
      <c r="K1168">
        <v>1.109828</v>
      </c>
      <c r="L1168">
        <v>290.96699999999998</v>
      </c>
      <c r="M1168">
        <v>-0.63510889999999998</v>
      </c>
      <c r="N1168">
        <v>-1.5984689999999999E-2</v>
      </c>
      <c r="O1168">
        <v>-0.77225710000000003</v>
      </c>
      <c r="P1168">
        <v>-0.79692980000000002</v>
      </c>
      <c r="Q1168">
        <v>0.19190670000000001</v>
      </c>
      <c r="R1168">
        <v>-0.57277849999999997</v>
      </c>
      <c r="S1168">
        <v>-2.9345089999999998</v>
      </c>
      <c r="T1168">
        <v>-6.8004369999999995E-2</v>
      </c>
      <c r="U1168">
        <v>-1.208221</v>
      </c>
      <c r="V1168">
        <v>0.25736999999999999</v>
      </c>
      <c r="W1168">
        <v>0.1999409</v>
      </c>
      <c r="X1168">
        <v>0.94540170000000001</v>
      </c>
      <c r="Y1168">
        <v>0.47219699999999998</v>
      </c>
      <c r="Z1168">
        <v>1.016653E-2</v>
      </c>
      <c r="AA1168">
        <v>0.88143439999999995</v>
      </c>
      <c r="AB1168">
        <v>29</v>
      </c>
      <c r="AC1168">
        <v>-49.7075999999999</v>
      </c>
      <c r="AD1168">
        <v>-1.1598280000000001</v>
      </c>
      <c r="AE1168">
        <v>-20.2151999999999</v>
      </c>
      <c r="AF1168">
        <v>25.539528828464899</v>
      </c>
      <c r="AG1168">
        <v>-1.1598280000000001</v>
      </c>
      <c r="AH1168">
        <v>47.165069258497901</v>
      </c>
      <c r="AI1168">
        <v>91.238776207933199</v>
      </c>
      <c r="AJ1168">
        <v>61.564789546521702</v>
      </c>
      <c r="AK1168">
        <v>53.648452838161901</v>
      </c>
      <c r="AL1168">
        <v>78.466497272080005</v>
      </c>
      <c r="AM1168">
        <v>74.771217848058598</v>
      </c>
      <c r="AN1168">
        <v>1.00000002737784</v>
      </c>
    </row>
    <row r="1169" spans="1:40" x14ac:dyDescent="0.25">
      <c r="A1169" t="str">
        <f>"20190303170742926"</f>
        <v>20190303170742926</v>
      </c>
      <c r="B1169" t="str">
        <f>"1551604062913494"</f>
        <v>1551604062913494</v>
      </c>
      <c r="C1169" t="s">
        <v>40</v>
      </c>
      <c r="D1169">
        <v>4.9731459999999998</v>
      </c>
      <c r="E1169">
        <v>0.59843349999999995</v>
      </c>
      <c r="F1169" t="s">
        <v>41</v>
      </c>
      <c r="G1169">
        <v>-234.12610000000001</v>
      </c>
      <c r="H1169">
        <v>0.3559349</v>
      </c>
      <c r="I1169">
        <v>276.89249999999998</v>
      </c>
      <c r="J1169">
        <v>-198.02860000000001</v>
      </c>
      <c r="K1169">
        <v>1.109785</v>
      </c>
      <c r="L1169">
        <v>290.75490000000002</v>
      </c>
      <c r="M1169">
        <v>-0.64642580000000005</v>
      </c>
      <c r="N1169">
        <v>-1.6002949999999998E-2</v>
      </c>
      <c r="O1169">
        <v>-0.76280919999999997</v>
      </c>
      <c r="P1169">
        <v>-0.80521690000000001</v>
      </c>
      <c r="Q1169">
        <v>0.19220580000000001</v>
      </c>
      <c r="R1169">
        <v>-0.56096610000000002</v>
      </c>
      <c r="S1169">
        <v>-2.955444</v>
      </c>
      <c r="T1169">
        <v>-6.138909E-2</v>
      </c>
      <c r="U1169">
        <v>-1.1461790000000001</v>
      </c>
      <c r="V1169">
        <v>0.25734499999999999</v>
      </c>
      <c r="W1169">
        <v>0.20023199999999999</v>
      </c>
      <c r="X1169">
        <v>0.94534689999999999</v>
      </c>
      <c r="Y1169">
        <v>0.47738560000000002</v>
      </c>
      <c r="Z1169">
        <v>8.3745390000000003E-3</v>
      </c>
      <c r="AA1169">
        <v>0.87865400000000005</v>
      </c>
      <c r="AB1169">
        <v>29</v>
      </c>
      <c r="AC1169">
        <v>-36.097499999999997</v>
      </c>
      <c r="AD1169">
        <v>-0.75385009999999997</v>
      </c>
      <c r="AE1169">
        <v>-13.862399999999999</v>
      </c>
      <c r="AF1169">
        <v>18.569810344639698</v>
      </c>
      <c r="AG1169">
        <v>-0.75385009999999997</v>
      </c>
      <c r="AH1169">
        <v>33.900174800165203</v>
      </c>
      <c r="AI1169">
        <v>91.117296910155005</v>
      </c>
      <c r="AJ1169">
        <v>61.286989186426098</v>
      </c>
      <c r="AK1169">
        <v>38.660419005630501</v>
      </c>
      <c r="AL1169">
        <v>78.449474290648794</v>
      </c>
      <c r="AM1169">
        <v>74.771786718130798</v>
      </c>
      <c r="AN1169">
        <v>1.0000000320943001</v>
      </c>
    </row>
    <row r="1170" spans="1:40" x14ac:dyDescent="0.25">
      <c r="A1170" t="str">
        <f>"20190303170742948"</f>
        <v>20190303170742948</v>
      </c>
      <c r="B1170" t="str">
        <f>"1551604062943750"</f>
        <v>1551604062943750</v>
      </c>
      <c r="C1170" t="s">
        <v>40</v>
      </c>
      <c r="D1170">
        <v>4.9431640000000003</v>
      </c>
      <c r="E1170">
        <v>0.59701139999999997</v>
      </c>
      <c r="F1170" t="s">
        <v>41</v>
      </c>
      <c r="G1170">
        <v>-234.09379999999999</v>
      </c>
      <c r="H1170">
        <v>0.21181549999999999</v>
      </c>
      <c r="I1170">
        <v>276.76119999999997</v>
      </c>
      <c r="J1170">
        <v>-198.23699999999999</v>
      </c>
      <c r="K1170">
        <v>1.1097349999999999</v>
      </c>
      <c r="L1170">
        <v>290.53370000000001</v>
      </c>
      <c r="M1170">
        <v>-0.65832279999999999</v>
      </c>
      <c r="N1170">
        <v>-1.6022620000000001E-2</v>
      </c>
      <c r="O1170">
        <v>-0.75256529999999999</v>
      </c>
      <c r="P1170">
        <v>-0.81401840000000003</v>
      </c>
      <c r="Q1170">
        <v>0.1921351</v>
      </c>
      <c r="R1170">
        <v>-0.54814110000000005</v>
      </c>
      <c r="S1170">
        <v>-2.9466860000000001</v>
      </c>
      <c r="T1170">
        <v>-7.3362590000000005E-2</v>
      </c>
      <c r="U1170">
        <v>-1.1433409999999999</v>
      </c>
      <c r="V1170">
        <v>0.25751049999999998</v>
      </c>
      <c r="W1170">
        <v>0.2001465</v>
      </c>
      <c r="X1170">
        <v>0.94532000000000005</v>
      </c>
      <c r="Y1170">
        <v>0.46333829999999998</v>
      </c>
      <c r="Z1170">
        <v>1.175261E-2</v>
      </c>
      <c r="AA1170">
        <v>0.88610359999999999</v>
      </c>
      <c r="AB1170">
        <v>29</v>
      </c>
      <c r="AC1170">
        <v>-35.8567999999999</v>
      </c>
      <c r="AD1170">
        <v>-0.89791949999999998</v>
      </c>
      <c r="AE1170">
        <v>-13.772500000000001</v>
      </c>
      <c r="AF1170">
        <v>17.910344139609901</v>
      </c>
      <c r="AG1170">
        <v>-0.89791949999999998</v>
      </c>
      <c r="AH1170">
        <v>33.955857186418498</v>
      </c>
      <c r="AI1170">
        <v>91.339875453198999</v>
      </c>
      <c r="AJ1170">
        <v>62.190162322083602</v>
      </c>
      <c r="AK1170">
        <v>38.400350569912597</v>
      </c>
      <c r="AL1170">
        <v>78.454474979821299</v>
      </c>
      <c r="AM1170">
        <v>74.762035074172204</v>
      </c>
      <c r="AN1170">
        <v>1.0000000907362401</v>
      </c>
    </row>
    <row r="1171" spans="1:40" x14ac:dyDescent="0.25">
      <c r="A1171" t="str">
        <f>"20190303170742972"</f>
        <v>20190303170742972</v>
      </c>
      <c r="B1171" t="str">
        <f>"1551604062963272"</f>
        <v>1551604062963272</v>
      </c>
      <c r="C1171" t="s">
        <v>40</v>
      </c>
      <c r="D1171">
        <v>4.9760949999999999</v>
      </c>
      <c r="E1171">
        <v>0.59175219999999995</v>
      </c>
      <c r="F1171" t="s">
        <v>41</v>
      </c>
      <c r="G1171">
        <v>-233.8725</v>
      </c>
      <c r="H1171">
        <v>0.13373889999999999</v>
      </c>
      <c r="I1171">
        <v>277.20170000000002</v>
      </c>
      <c r="J1171">
        <v>-198.441</v>
      </c>
      <c r="K1171">
        <v>1.1096980000000001</v>
      </c>
      <c r="L1171">
        <v>290.3245</v>
      </c>
      <c r="M1171">
        <v>-0.66969809999999996</v>
      </c>
      <c r="N1171">
        <v>-1.6042029999999999E-2</v>
      </c>
      <c r="O1171">
        <v>-0.74246020000000001</v>
      </c>
      <c r="P1171">
        <v>-0.8224494</v>
      </c>
      <c r="Q1171">
        <v>0.1920578</v>
      </c>
      <c r="R1171">
        <v>-0.53543540000000001</v>
      </c>
      <c r="S1171">
        <v>-2.9590909999999999</v>
      </c>
      <c r="T1171">
        <v>-8.1038830000000006E-2</v>
      </c>
      <c r="U1171">
        <v>-1.107056</v>
      </c>
      <c r="V1171">
        <v>0.25783850000000003</v>
      </c>
      <c r="W1171">
        <v>0.20004930000000001</v>
      </c>
      <c r="X1171">
        <v>0.94525099999999995</v>
      </c>
      <c r="Y1171">
        <v>0.46055849999999998</v>
      </c>
      <c r="Z1171">
        <v>1.3943759999999999E-2</v>
      </c>
      <c r="AA1171">
        <v>0.88751979999999997</v>
      </c>
      <c r="AB1171">
        <v>28</v>
      </c>
      <c r="AC1171">
        <v>-35.4315</v>
      </c>
      <c r="AD1171">
        <v>-0.97595909999999997</v>
      </c>
      <c r="AE1171">
        <v>-13.1227999999999</v>
      </c>
      <c r="AF1171">
        <v>17.508736696990301</v>
      </c>
      <c r="AG1171">
        <v>-0.97595909999999997</v>
      </c>
      <c r="AH1171">
        <v>33.453551737618803</v>
      </c>
      <c r="AI1171">
        <v>91.480621661439699</v>
      </c>
      <c r="AJ1171">
        <v>62.3735856881625</v>
      </c>
      <c r="AK1171">
        <v>37.771000526209903</v>
      </c>
      <c r="AL1171">
        <v>78.460157248513099</v>
      </c>
      <c r="AM1171">
        <v>74.742468173943706</v>
      </c>
      <c r="AN1171">
        <v>0.99999993375686702</v>
      </c>
    </row>
    <row r="1172" spans="1:40" x14ac:dyDescent="0.25">
      <c r="A1172" t="str">
        <f>"20190303170743015"</f>
        <v>20190303170743015</v>
      </c>
      <c r="B1172" t="str">
        <f>"1551604063003286"</f>
        <v>1551604063003286</v>
      </c>
      <c r="C1172" t="s">
        <v>40</v>
      </c>
      <c r="D1172">
        <v>4.9460059999999997</v>
      </c>
      <c r="E1172">
        <v>0.61919329999999995</v>
      </c>
      <c r="F1172" t="s">
        <v>63</v>
      </c>
      <c r="G1172">
        <v>-229.19</v>
      </c>
      <c r="H1172">
        <v>8.0000230000000006E-2</v>
      </c>
      <c r="I1172">
        <v>278.90809999999999</v>
      </c>
      <c r="J1172">
        <v>-198.8416</v>
      </c>
      <c r="K1172">
        <v>1.109632</v>
      </c>
      <c r="L1172">
        <v>289.93189999999998</v>
      </c>
      <c r="M1172">
        <v>-0.69130639999999999</v>
      </c>
      <c r="N1172">
        <v>-1.607863E-2</v>
      </c>
      <c r="O1172">
        <v>-0.722383</v>
      </c>
      <c r="P1172">
        <v>-0.83743060000000002</v>
      </c>
      <c r="Q1172">
        <v>0.1955751</v>
      </c>
      <c r="R1172">
        <v>-0.51035329999999901</v>
      </c>
      <c r="S1172">
        <v>-2.956207</v>
      </c>
      <c r="T1172">
        <v>-9.8994970000000002E-2</v>
      </c>
      <c r="U1172">
        <v>-1.0975649999999999</v>
      </c>
      <c r="V1172">
        <v>0.25805830000000002</v>
      </c>
      <c r="W1172">
        <v>0.20353379999999999</v>
      </c>
      <c r="X1172">
        <v>0.94444689999999998</v>
      </c>
      <c r="Y1172">
        <v>0.43632379999999998</v>
      </c>
      <c r="Z1172">
        <v>1.8595380000000002E-2</v>
      </c>
      <c r="AA1172">
        <v>0.8995976</v>
      </c>
      <c r="AB1172">
        <v>28</v>
      </c>
      <c r="AC1172">
        <v>-30.348400000000002</v>
      </c>
      <c r="AD1172">
        <v>-1.0296317699999999</v>
      </c>
      <c r="AE1172">
        <v>-11.0237999999999</v>
      </c>
      <c r="AF1172">
        <v>14.2896611976276</v>
      </c>
      <c r="AG1172">
        <v>-1.0296317699999999</v>
      </c>
      <c r="AH1172">
        <v>28.9177813534424</v>
      </c>
      <c r="AI1172">
        <v>91.828311415779396</v>
      </c>
      <c r="AJ1172">
        <v>63.703816307120597</v>
      </c>
      <c r="AK1172">
        <v>32.272165051794602</v>
      </c>
      <c r="AL1172">
        <v>78.256317696403698</v>
      </c>
      <c r="AM1172">
        <v>74.717675392098897</v>
      </c>
      <c r="AN1172">
        <v>1.00000002043046</v>
      </c>
    </row>
    <row r="1173" spans="1:40" x14ac:dyDescent="0.25">
      <c r="A1173" t="str">
        <f>"20190303170743037"</f>
        <v>20190303170743037</v>
      </c>
      <c r="B1173" t="str">
        <f>"1551604063023782"</f>
        <v>1551604063023782</v>
      </c>
      <c r="C1173" t="s">
        <v>40</v>
      </c>
      <c r="D1173">
        <v>5.1068509999999998</v>
      </c>
      <c r="E1173">
        <v>0.63186880000000001</v>
      </c>
      <c r="F1173" t="s">
        <v>65</v>
      </c>
      <c r="G1173">
        <v>-277.20319999999998</v>
      </c>
      <c r="H1173">
        <v>0.34566789999999997</v>
      </c>
      <c r="I1173">
        <v>269.358</v>
      </c>
      <c r="J1173">
        <v>-199.05269999999999</v>
      </c>
      <c r="K1173">
        <v>1.1096010000000001</v>
      </c>
      <c r="L1173">
        <v>289.73419999999999</v>
      </c>
      <c r="M1173">
        <v>-0.70230209999999904</v>
      </c>
      <c r="N1173">
        <v>-1.609534E-2</v>
      </c>
      <c r="O1173">
        <v>-0.71169729999999998</v>
      </c>
      <c r="P1173">
        <v>-0.84542439999999996</v>
      </c>
      <c r="Q1173">
        <v>0.19610659999999999</v>
      </c>
      <c r="R1173">
        <v>-0.49678990000000001</v>
      </c>
      <c r="S1173">
        <v>-3.0942989999999999</v>
      </c>
      <c r="T1173">
        <v>-3.0165790000000001E-2</v>
      </c>
      <c r="U1173">
        <v>-0.81240840000000003</v>
      </c>
      <c r="V1173">
        <v>0.25874429999999998</v>
      </c>
      <c r="W1173">
        <v>0.204037</v>
      </c>
      <c r="X1173">
        <v>0.94415059999999995</v>
      </c>
      <c r="Y1173">
        <v>0.51001209999999997</v>
      </c>
      <c r="Z1173">
        <v>1.7081989999999999E-4</v>
      </c>
      <c r="AA1173">
        <v>0.86016719999999902</v>
      </c>
      <c r="AB1173">
        <v>28</v>
      </c>
      <c r="AC1173">
        <v>-78.150499999999994</v>
      </c>
      <c r="AD1173">
        <v>-0.76393310000000003</v>
      </c>
      <c r="AE1173">
        <v>-20.376199999999901</v>
      </c>
      <c r="AF1173">
        <v>41.310900320137598</v>
      </c>
      <c r="AG1173">
        <v>-0.76393310000000003</v>
      </c>
      <c r="AH1173">
        <v>69.389715812165903</v>
      </c>
      <c r="AI1173">
        <v>90.541989017053496</v>
      </c>
      <c r="AJ1173">
        <v>59.232709186872</v>
      </c>
      <c r="AK1173">
        <v>80.759561288647305</v>
      </c>
      <c r="AL1173">
        <v>78.226868633782502</v>
      </c>
      <c r="AM1173">
        <v>74.674374795130205</v>
      </c>
      <c r="AN1173">
        <v>1.00000003281592</v>
      </c>
    </row>
    <row r="1174" spans="1:40" x14ac:dyDescent="0.25">
      <c r="A1174" t="str">
        <f>"20190303170743063"</f>
        <v>20190303170743063</v>
      </c>
      <c r="B1174" t="str">
        <f>"1551604063053570"</f>
        <v>1551604063053570</v>
      </c>
      <c r="C1174" t="s">
        <v>40</v>
      </c>
      <c r="D1174">
        <v>5.0967330000000004</v>
      </c>
      <c r="E1174">
        <v>0.64128469999999904</v>
      </c>
      <c r="F1174" t="s">
        <v>66</v>
      </c>
      <c r="G1174">
        <v>-320.72579999999999</v>
      </c>
      <c r="H1174">
        <v>0.8935883</v>
      </c>
      <c r="I1174">
        <v>263.76209999999998</v>
      </c>
      <c r="J1174">
        <v>-199.29419999999999</v>
      </c>
      <c r="K1174">
        <v>1.109569</v>
      </c>
      <c r="L1174">
        <v>289.51530000000002</v>
      </c>
      <c r="M1174">
        <v>-0.71456439999999999</v>
      </c>
      <c r="N1174">
        <v>-1.6112149999999999E-2</v>
      </c>
      <c r="O1174">
        <v>-0.69938400000000001</v>
      </c>
      <c r="P1174">
        <v>-0.85411719999999902</v>
      </c>
      <c r="Q1174">
        <v>0.19536239999999999</v>
      </c>
      <c r="R1174">
        <v>-0.4819928</v>
      </c>
      <c r="S1174">
        <v>-3.1541600000000001</v>
      </c>
      <c r="T1174">
        <v>-5.5986639999999997E-3</v>
      </c>
      <c r="U1174">
        <v>-0.67327879999999996</v>
      </c>
      <c r="V1174">
        <v>0.25888899999999998</v>
      </c>
      <c r="W1174">
        <v>0.20328869999999999</v>
      </c>
      <c r="X1174">
        <v>0.94427229999999995</v>
      </c>
      <c r="Y1174">
        <v>0.53478899999999996</v>
      </c>
      <c r="Z1174">
        <v>-6.3576960000000004E-3</v>
      </c>
      <c r="AA1174">
        <v>0.84496170000000004</v>
      </c>
      <c r="AB1174">
        <v>28</v>
      </c>
      <c r="AC1174">
        <v>-121.4316</v>
      </c>
      <c r="AD1174">
        <v>-0.2159807</v>
      </c>
      <c r="AE1174">
        <v>-25.7532</v>
      </c>
      <c r="AF1174">
        <v>66.533438054715305</v>
      </c>
      <c r="AG1174">
        <v>-0.2159807</v>
      </c>
      <c r="AH1174">
        <v>104.795367810402</v>
      </c>
      <c r="AI1174">
        <v>90.099690365328499</v>
      </c>
      <c r="AJ1174">
        <v>57.588980603463398</v>
      </c>
      <c r="AK1174">
        <v>124.132244568286</v>
      </c>
      <c r="AL1174">
        <v>78.270660432651397</v>
      </c>
      <c r="AM1174">
        <v>74.668090666204506</v>
      </c>
      <c r="AN1174">
        <v>0.99999999320798905</v>
      </c>
    </row>
    <row r="1175" spans="1:40" x14ac:dyDescent="0.25">
      <c r="A1175" t="str">
        <f>"20190303170743108"</f>
        <v>20190303170743108</v>
      </c>
      <c r="B1175" t="str">
        <f>"1551604063093587"</f>
        <v>1551604063093587</v>
      </c>
      <c r="C1175" t="s">
        <v>40</v>
      </c>
      <c r="D1175">
        <v>5.0767239999999996</v>
      </c>
      <c r="E1175">
        <v>0.6463179</v>
      </c>
      <c r="F1175" t="s">
        <v>67</v>
      </c>
      <c r="G1175">
        <v>-329.43790000000001</v>
      </c>
      <c r="H1175">
        <v>1.5155320000000001</v>
      </c>
      <c r="I1175">
        <v>267.17270000000002</v>
      </c>
      <c r="J1175">
        <v>-199.73249999999999</v>
      </c>
      <c r="K1175">
        <v>1.1095379999999999</v>
      </c>
      <c r="L1175">
        <v>289.13709999999998</v>
      </c>
      <c r="M1175">
        <v>-0.73597029999999997</v>
      </c>
      <c r="N1175">
        <v>-1.613966E-2</v>
      </c>
      <c r="O1175">
        <v>-0.67682140000000002</v>
      </c>
      <c r="P1175">
        <v>-0.8685813</v>
      </c>
      <c r="Q1175">
        <v>0.19568569999999999</v>
      </c>
      <c r="R1175">
        <v>-0.45527339999999999</v>
      </c>
      <c r="S1175">
        <v>-3.2000890000000002</v>
      </c>
      <c r="T1175">
        <v>9.9823470000000008E-3</v>
      </c>
      <c r="U1175">
        <v>-0.54937740000000002</v>
      </c>
      <c r="V1175">
        <v>0.25878649999999997</v>
      </c>
      <c r="W1175">
        <v>0.20361360000000001</v>
      </c>
      <c r="X1175">
        <v>0.94423040000000003</v>
      </c>
      <c r="Y1175">
        <v>0.54248629999999998</v>
      </c>
      <c r="Z1175">
        <v>-1.0169549999999999E-2</v>
      </c>
      <c r="AA1175">
        <v>0.840003099999999</v>
      </c>
      <c r="AB1175">
        <v>28</v>
      </c>
      <c r="AC1175">
        <v>-129.7054</v>
      </c>
      <c r="AD1175">
        <v>0.40599400000000002</v>
      </c>
      <c r="AE1175">
        <v>-21.964399999999898</v>
      </c>
      <c r="AF1175">
        <v>71.630893085628699</v>
      </c>
      <c r="AG1175">
        <v>0.40599400000000002</v>
      </c>
      <c r="AH1175">
        <v>110.33862041338401</v>
      </c>
      <c r="AI1175">
        <v>89.823173403223393</v>
      </c>
      <c r="AJ1175">
        <v>57.0087099378269</v>
      </c>
      <c r="AK1175">
        <v>131.55136194696601</v>
      </c>
      <c r="AL1175">
        <v>78.251647452281603</v>
      </c>
      <c r="AM1175">
        <v>74.673227310000598</v>
      </c>
      <c r="AN1175">
        <v>0.99999999948568496</v>
      </c>
    </row>
    <row r="1176" spans="1:40" x14ac:dyDescent="0.25">
      <c r="A1176" t="str">
        <f>"20190303170743151"</f>
        <v>20190303170743151</v>
      </c>
      <c r="B1176" t="str">
        <f>"1551604063143362"</f>
        <v>1551604063143362</v>
      </c>
      <c r="C1176" t="s">
        <v>40</v>
      </c>
      <c r="D1176">
        <v>5.0904189999999998</v>
      </c>
      <c r="E1176">
        <v>0.6460574</v>
      </c>
      <c r="F1176" t="s">
        <v>68</v>
      </c>
      <c r="G1176">
        <v>-367.32299999999998</v>
      </c>
      <c r="H1176">
        <v>2.3054489999999999</v>
      </c>
      <c r="I1176">
        <v>267.85000000000002</v>
      </c>
      <c r="J1176">
        <v>-200.1534</v>
      </c>
      <c r="K1176">
        <v>1.109518</v>
      </c>
      <c r="L1176">
        <v>288.79610000000002</v>
      </c>
      <c r="M1176">
        <v>-0.75552549999999996</v>
      </c>
      <c r="N1176">
        <v>-1.6162909999999999E-2</v>
      </c>
      <c r="O1176">
        <v>-0.65491999999999995</v>
      </c>
      <c r="P1176">
        <v>-0.8810829</v>
      </c>
      <c r="Q1176">
        <v>0.19861180000000001</v>
      </c>
      <c r="R1176">
        <v>-0.4292397</v>
      </c>
      <c r="S1176">
        <v>-3.2334290000000001</v>
      </c>
      <c r="T1176">
        <v>2.3074750000000002E-2</v>
      </c>
      <c r="U1176">
        <v>-0.4107056</v>
      </c>
      <c r="V1176">
        <v>0.25881569999999998</v>
      </c>
      <c r="W1176">
        <v>0.20653469999999999</v>
      </c>
      <c r="X1176">
        <v>0.94358779999999998</v>
      </c>
      <c r="Y1176">
        <v>0.55440719999999899</v>
      </c>
      <c r="Z1176">
        <v>-1.3144980000000001E-2</v>
      </c>
      <c r="AA1176">
        <v>0.83214179999999904</v>
      </c>
      <c r="AB1176">
        <v>28</v>
      </c>
      <c r="AC1176">
        <v>-167.1696</v>
      </c>
      <c r="AD1176">
        <v>1.1959310000000001</v>
      </c>
      <c r="AE1176">
        <v>-20.946100000000001</v>
      </c>
      <c r="AF1176">
        <v>93.6649073798974</v>
      </c>
      <c r="AG1176">
        <v>1.1959310000000001</v>
      </c>
      <c r="AH1176">
        <v>140.030136431991</v>
      </c>
      <c r="AI1176">
        <v>89.593272651602604</v>
      </c>
      <c r="AJ1176">
        <v>56.221789282025298</v>
      </c>
      <c r="AK1176">
        <v>168.4725029036</v>
      </c>
      <c r="AL1176">
        <v>78.080646818286894</v>
      </c>
      <c r="AM1176">
        <v>74.661631827926996</v>
      </c>
      <c r="AN1176">
        <v>1.0000000425897</v>
      </c>
    </row>
    <row r="1177" spans="1:40" x14ac:dyDescent="0.25">
      <c r="A1177" t="str">
        <f>"20190303170743171"</f>
        <v>20190303170743171</v>
      </c>
      <c r="B1177" t="str">
        <f>"1551604063163858"</f>
        <v>1551604063163858</v>
      </c>
      <c r="C1177" t="s">
        <v>40</v>
      </c>
      <c r="D1177">
        <v>5.1123029999999998</v>
      </c>
      <c r="E1177">
        <v>0.64534930000000001</v>
      </c>
      <c r="F1177" t="s">
        <v>69</v>
      </c>
      <c r="G1177">
        <v>-440.6841</v>
      </c>
      <c r="H1177">
        <v>3.0286</v>
      </c>
      <c r="I1177">
        <v>265.02690000000001</v>
      </c>
      <c r="J1177">
        <v>-200.3716</v>
      </c>
      <c r="K1177">
        <v>1.109515</v>
      </c>
      <c r="L1177">
        <v>288.6275</v>
      </c>
      <c r="M1177">
        <v>-0.76527819999999902</v>
      </c>
      <c r="N1177">
        <v>-1.6172269999999999E-2</v>
      </c>
      <c r="O1177">
        <v>-0.64349679999999998</v>
      </c>
      <c r="P1177">
        <v>-0.88734259999999998</v>
      </c>
      <c r="Q1177">
        <v>0.19744690000000001</v>
      </c>
      <c r="R1177">
        <v>-0.4166995</v>
      </c>
      <c r="S1177">
        <v>-3.2429199999999998</v>
      </c>
      <c r="T1177">
        <v>2.5873899999999998E-2</v>
      </c>
      <c r="U1177">
        <v>-0.3204651</v>
      </c>
      <c r="V1177">
        <v>0.25815949999999999</v>
      </c>
      <c r="W1177">
        <v>0.20540040000000001</v>
      </c>
      <c r="X1177">
        <v>0.94401500000000005</v>
      </c>
      <c r="Y1177">
        <v>0.56502010000000003</v>
      </c>
      <c r="Z1177">
        <v>-1.3565270000000001E-2</v>
      </c>
      <c r="AA1177">
        <v>0.82496569999999902</v>
      </c>
      <c r="AB1177">
        <v>28</v>
      </c>
      <c r="AC1177">
        <v>-240.3125</v>
      </c>
      <c r="AD1177">
        <v>1.9190849999999999</v>
      </c>
      <c r="AE1177">
        <v>-23.600599999999901</v>
      </c>
      <c r="AF1177">
        <v>136.58850963080999</v>
      </c>
      <c r="AG1177">
        <v>1.9190849999999999</v>
      </c>
      <c r="AH1177">
        <v>199.10625288218401</v>
      </c>
      <c r="AI1177">
        <v>89.544619467385402</v>
      </c>
      <c r="AJ1177">
        <v>55.549560485905602</v>
      </c>
      <c r="AK1177">
        <v>241.460977773195</v>
      </c>
      <c r="AL1177">
        <v>78.147060749140294</v>
      </c>
      <c r="AM1177">
        <v>74.7052956840608</v>
      </c>
      <c r="AN1177">
        <v>0.99999998599270501</v>
      </c>
    </row>
    <row r="1178" spans="1:40" x14ac:dyDescent="0.25">
      <c r="A1178" t="str">
        <f>"20190303170743194"</f>
        <v>20190303170743194</v>
      </c>
      <c r="B1178" t="str">
        <f>"1551604063183378"</f>
        <v>1551604063183378</v>
      </c>
      <c r="C1178" t="s">
        <v>40</v>
      </c>
      <c r="D1178">
        <v>4.9099309999999896</v>
      </c>
      <c r="E1178">
        <v>0.6446518</v>
      </c>
      <c r="F1178" t="s">
        <v>69</v>
      </c>
      <c r="G1178">
        <v>-440.6841</v>
      </c>
      <c r="H1178">
        <v>2.7759689999999999</v>
      </c>
      <c r="I1178">
        <v>267.98680000000002</v>
      </c>
      <c r="J1178">
        <v>-200.60290000000001</v>
      </c>
      <c r="K1178">
        <v>1.1095159999999999</v>
      </c>
      <c r="L1178">
        <v>288.45460000000003</v>
      </c>
      <c r="M1178">
        <v>-0.77532990000000002</v>
      </c>
      <c r="N1178">
        <v>-1.617969E-2</v>
      </c>
      <c r="O1178">
        <v>-0.6313493</v>
      </c>
      <c r="P1178">
        <v>-0.89366520000000005</v>
      </c>
      <c r="Q1178">
        <v>0.1960634</v>
      </c>
      <c r="R1178">
        <v>-0.40363559999999998</v>
      </c>
      <c r="S1178">
        <v>-3.2449949999999999</v>
      </c>
      <c r="T1178">
        <v>2.2502660000000001E-2</v>
      </c>
      <c r="U1178">
        <v>-0.27871699999999999</v>
      </c>
      <c r="V1178">
        <v>0.25727250000000002</v>
      </c>
      <c r="W1178">
        <v>0.2040585</v>
      </c>
      <c r="X1178">
        <v>0.94454800000000005</v>
      </c>
      <c r="Y1178">
        <v>0.5626023</v>
      </c>
      <c r="Z1178">
        <v>-1.236305E-2</v>
      </c>
      <c r="AA1178">
        <v>0.82663519999999902</v>
      </c>
      <c r="AB1178">
        <v>28</v>
      </c>
      <c r="AC1178">
        <v>-240.0812</v>
      </c>
      <c r="AD1178">
        <v>1.666453</v>
      </c>
      <c r="AE1178">
        <v>-20.4678</v>
      </c>
      <c r="AF1178">
        <v>135.71706283999299</v>
      </c>
      <c r="AG1178">
        <v>1.666453</v>
      </c>
      <c r="AH1178">
        <v>199.08098490725001</v>
      </c>
      <c r="AI1178">
        <v>89.603723025905097</v>
      </c>
      <c r="AJ1178">
        <v>55.7170471299711</v>
      </c>
      <c r="AK1178">
        <v>240.94633585750299</v>
      </c>
      <c r="AL1178">
        <v>78.225609520237995</v>
      </c>
      <c r="AM1178">
        <v>74.763599442840302</v>
      </c>
      <c r="AN1178">
        <v>0.99999996749124898</v>
      </c>
    </row>
    <row r="1179" spans="1:40" x14ac:dyDescent="0.25">
      <c r="A1179" t="str">
        <f>"20190303170743215"</f>
        <v>20190303170743215</v>
      </c>
      <c r="B1179" t="str">
        <f>"1551604063203875"</f>
        <v>1551604063203875</v>
      </c>
      <c r="C1179" t="s">
        <v>40</v>
      </c>
      <c r="D1179">
        <v>4.9201160000000002</v>
      </c>
      <c r="E1179">
        <v>0.64401319999999995</v>
      </c>
      <c r="F1179" t="s">
        <v>69</v>
      </c>
      <c r="G1179">
        <v>-455.32769999999999</v>
      </c>
      <c r="H1179">
        <v>2.8533240000000002</v>
      </c>
      <c r="I1179">
        <v>270.08589999999998</v>
      </c>
      <c r="J1179">
        <v>-200.82239999999999</v>
      </c>
      <c r="K1179">
        <v>1.1095120000000001</v>
      </c>
      <c r="L1179">
        <v>288.29559999999998</v>
      </c>
      <c r="M1179">
        <v>-0.78460839999999998</v>
      </c>
      <c r="N1179">
        <v>-1.6184939999999998E-2</v>
      </c>
      <c r="O1179">
        <v>-0.61978059999999902</v>
      </c>
      <c r="P1179">
        <v>-0.89980439999999995</v>
      </c>
      <c r="Q1179">
        <v>0.19586700000000001</v>
      </c>
      <c r="R1179">
        <v>-0.3898568</v>
      </c>
      <c r="S1179">
        <v>-3.246353</v>
      </c>
      <c r="T1179">
        <v>2.2224190000000001E-2</v>
      </c>
      <c r="U1179">
        <v>-0.23410030000000001</v>
      </c>
      <c r="V1179">
        <v>0.25779550000000001</v>
      </c>
      <c r="W1179">
        <v>0.20385500000000001</v>
      </c>
      <c r="X1179">
        <v>0.94444939999999999</v>
      </c>
      <c r="Y1179">
        <v>0.56166579999999999</v>
      </c>
      <c r="Z1179">
        <v>-1.200622E-2</v>
      </c>
      <c r="AA1179">
        <v>0.82727709999999999</v>
      </c>
      <c r="AB1179">
        <v>28</v>
      </c>
      <c r="AC1179">
        <v>-254.50530000000001</v>
      </c>
      <c r="AD1179">
        <v>1.7438119999999999</v>
      </c>
      <c r="AE1179">
        <v>-18.209700000000002</v>
      </c>
      <c r="AF1179">
        <v>143.46203489074699</v>
      </c>
      <c r="AG1179">
        <v>1.7438119999999999</v>
      </c>
      <c r="AH1179">
        <v>210.99076783753799</v>
      </c>
      <c r="AI1179">
        <v>89.608411277197007</v>
      </c>
      <c r="AJ1179">
        <v>55.786468149242602</v>
      </c>
      <c r="AK1179">
        <v>255.14995678611999</v>
      </c>
      <c r="AL1179">
        <v>78.237520248206195</v>
      </c>
      <c r="AM1179">
        <v>74.732550390202107</v>
      </c>
      <c r="AN1179">
        <v>1.0000000250028001</v>
      </c>
    </row>
    <row r="1180" spans="1:40" x14ac:dyDescent="0.25">
      <c r="A1180" t="str">
        <f>"20190303170743239"</f>
        <v>20190303170743239</v>
      </c>
      <c r="B1180" t="str">
        <f>"1551604063223394"</f>
        <v>1551604063223394</v>
      </c>
      <c r="C1180" t="s">
        <v>40</v>
      </c>
      <c r="D1180">
        <v>4.9188169999999998</v>
      </c>
      <c r="E1180">
        <v>0.64310249999999902</v>
      </c>
      <c r="F1180" t="s">
        <v>70</v>
      </c>
      <c r="G1180">
        <v>-512.82619999999997</v>
      </c>
      <c r="H1180">
        <v>3.2291059999999998</v>
      </c>
      <c r="I1180">
        <v>270.08</v>
      </c>
      <c r="J1180">
        <v>-201.0754</v>
      </c>
      <c r="K1180">
        <v>1.1095219999999999</v>
      </c>
      <c r="L1180">
        <v>288.11849999999998</v>
      </c>
      <c r="M1180">
        <v>-0.79498899999999995</v>
      </c>
      <c r="N1180">
        <v>-1.6189129999999999E-2</v>
      </c>
      <c r="O1180">
        <v>-0.6064079</v>
      </c>
      <c r="P1180">
        <v>-0.90662379999999998</v>
      </c>
      <c r="Q1180">
        <v>0.19592760000000001</v>
      </c>
      <c r="R1180">
        <v>-0.37369229999999998</v>
      </c>
      <c r="S1180">
        <v>-3.2471160000000001</v>
      </c>
      <c r="T1180">
        <v>2.206004E-2</v>
      </c>
      <c r="U1180">
        <v>-0.1895752</v>
      </c>
      <c r="V1180">
        <v>0.25869629999999999</v>
      </c>
      <c r="W1180">
        <v>0.20389789999999999</v>
      </c>
      <c r="X1180">
        <v>0.94419379999999997</v>
      </c>
      <c r="Y1180">
        <v>0.55896999999999997</v>
      </c>
      <c r="Z1180">
        <v>-1.164433E-2</v>
      </c>
      <c r="AA1180">
        <v>0.82910609999999996</v>
      </c>
      <c r="AB1180">
        <v>28</v>
      </c>
      <c r="AC1180">
        <v>-311.75080000000003</v>
      </c>
      <c r="AD1180">
        <v>2.1195840000000001</v>
      </c>
      <c r="AE1180">
        <v>-18.038499999999999</v>
      </c>
      <c r="AF1180">
        <v>174.72257583215799</v>
      </c>
      <c r="AG1180">
        <v>2.1195840000000001</v>
      </c>
      <c r="AH1180">
        <v>258.79912215019601</v>
      </c>
      <c r="AI1180">
        <v>89.611086309469499</v>
      </c>
      <c r="AJ1180">
        <v>55.9756056186515</v>
      </c>
      <c r="AK1180">
        <v>312.26504249990802</v>
      </c>
      <c r="AL1180">
        <v>78.235009592575096</v>
      </c>
      <c r="AM1180">
        <v>74.677752349022697</v>
      </c>
      <c r="AN1180">
        <v>1.0000000306082599</v>
      </c>
    </row>
    <row r="1181" spans="1:40" x14ac:dyDescent="0.25">
      <c r="A1181" t="str">
        <f>"20190303170743285"</f>
        <v>20190303170743285</v>
      </c>
      <c r="B1181" t="str">
        <f>"1551604063273170"</f>
        <v>1551604063273170</v>
      </c>
      <c r="C1181" t="s">
        <v>40</v>
      </c>
      <c r="D1181">
        <v>4.8760979999999998</v>
      </c>
      <c r="E1181">
        <v>0.62806059999999997</v>
      </c>
      <c r="F1181" t="s">
        <v>70</v>
      </c>
      <c r="G1181">
        <v>-512.82619999999997</v>
      </c>
      <c r="H1181">
        <v>3.0309910000000002</v>
      </c>
      <c r="I1181">
        <v>274.66309999999999</v>
      </c>
      <c r="J1181">
        <v>-201.5539</v>
      </c>
      <c r="K1181">
        <v>1.1095619999999999</v>
      </c>
      <c r="L1181">
        <v>287.80029999999999</v>
      </c>
      <c r="M1181">
        <v>-0.81375969999999997</v>
      </c>
      <c r="N1181">
        <v>-1.6194279999999998E-2</v>
      </c>
      <c r="O1181">
        <v>-0.58097589999999999</v>
      </c>
      <c r="P1181">
        <v>-0.9171222</v>
      </c>
      <c r="Q1181">
        <v>0.19565150000000001</v>
      </c>
      <c r="R1181">
        <v>-0.34728609999999999</v>
      </c>
      <c r="S1181">
        <v>-3.2468569999999999</v>
      </c>
      <c r="T1181">
        <v>2.0012740000000001E-2</v>
      </c>
      <c r="U1181">
        <v>-0.1401367</v>
      </c>
      <c r="V1181">
        <v>0.25619259999999999</v>
      </c>
      <c r="W1181">
        <v>0.20372560000000001</v>
      </c>
      <c r="X1181">
        <v>0.94491329999999996</v>
      </c>
      <c r="Y1181">
        <v>0.5452861</v>
      </c>
      <c r="Z1181">
        <v>-1.056314E-2</v>
      </c>
      <c r="AA1181">
        <v>0.83818349999999897</v>
      </c>
      <c r="AB1181">
        <v>28</v>
      </c>
      <c r="AC1181">
        <v>-311.27229999999997</v>
      </c>
      <c r="AD1181">
        <v>1.9214290000000001</v>
      </c>
      <c r="AE1181">
        <v>-13.1372</v>
      </c>
      <c r="AF1181">
        <v>170.16701554997201</v>
      </c>
      <c r="AG1181">
        <v>1.9214290000000001</v>
      </c>
      <c r="AH1181">
        <v>260.95753338885203</v>
      </c>
      <c r="AI1181">
        <v>89.646628873041394</v>
      </c>
      <c r="AJ1181">
        <v>56.892151856123</v>
      </c>
      <c r="AK1181">
        <v>311.54347899286898</v>
      </c>
      <c r="AL1181">
        <v>78.245092427238802</v>
      </c>
      <c r="AM1181">
        <v>74.830195433445098</v>
      </c>
      <c r="AN1181">
        <v>0.99999995645350304</v>
      </c>
    </row>
    <row r="1182" spans="1:40" x14ac:dyDescent="0.25">
      <c r="A1182" t="str">
        <f>"20190303170743306"</f>
        <v>20190303170743306</v>
      </c>
      <c r="B1182" t="str">
        <f>"1551604063293667"</f>
        <v>1551604063293667</v>
      </c>
      <c r="C1182" t="s">
        <v>40</v>
      </c>
      <c r="D1182">
        <v>4.8602369999999997</v>
      </c>
      <c r="E1182">
        <v>0.62690679999999999</v>
      </c>
      <c r="F1182" t="s">
        <v>70</v>
      </c>
      <c r="G1182">
        <v>-511.07560000000001</v>
      </c>
      <c r="H1182">
        <v>5.6588430000000001</v>
      </c>
      <c r="I1182">
        <v>273.0292</v>
      </c>
      <c r="J1182">
        <v>-201.78569999999999</v>
      </c>
      <c r="K1182">
        <v>1.1095699999999999</v>
      </c>
      <c r="L1182">
        <v>287.65390000000002</v>
      </c>
      <c r="M1182">
        <v>-0.82246070000000004</v>
      </c>
      <c r="N1182">
        <v>-1.6197420000000001E-2</v>
      </c>
      <c r="O1182">
        <v>-0.56859119999999996</v>
      </c>
      <c r="P1182">
        <v>-0.92162259999999996</v>
      </c>
      <c r="Q1182">
        <v>0.19583919999999999</v>
      </c>
      <c r="R1182">
        <v>-0.33505020000000002</v>
      </c>
      <c r="S1182">
        <v>-3.2031710000000002</v>
      </c>
      <c r="T1182">
        <v>4.7080280000000002E-2</v>
      </c>
      <c r="U1182">
        <v>-0.15286250000000001</v>
      </c>
      <c r="V1182">
        <v>0.25443830000000001</v>
      </c>
      <c r="W1182">
        <v>0.2039773</v>
      </c>
      <c r="X1182">
        <v>0.94533290000000003</v>
      </c>
      <c r="Y1182">
        <v>0.52854350000000005</v>
      </c>
      <c r="Z1182">
        <v>-1.7199559999999999E-2</v>
      </c>
      <c r="AA1182">
        <v>0.84873199999999904</v>
      </c>
      <c r="AB1182">
        <v>28</v>
      </c>
      <c r="AC1182">
        <v>-309.28989999999999</v>
      </c>
      <c r="AD1182">
        <v>4.5492730000000003</v>
      </c>
      <c r="AE1182">
        <v>-14.624700000000001</v>
      </c>
      <c r="AF1182">
        <v>163.81741443381301</v>
      </c>
      <c r="AG1182">
        <v>4.5492730000000003</v>
      </c>
      <c r="AH1182">
        <v>262.67203971753202</v>
      </c>
      <c r="AI1182">
        <v>89.158069183538203</v>
      </c>
      <c r="AJ1182">
        <v>58.049958915843703</v>
      </c>
      <c r="AK1182">
        <v>309.602069770176</v>
      </c>
      <c r="AL1182">
        <v>78.230361560911604</v>
      </c>
      <c r="AM1182">
        <v>74.935716690580193</v>
      </c>
      <c r="AN1182">
        <v>0.99999993962229305</v>
      </c>
    </row>
    <row r="1183" spans="1:40" x14ac:dyDescent="0.25">
      <c r="A1183" t="str">
        <f>"20190303170743351"</f>
        <v>20190303170743351</v>
      </c>
      <c r="B1183" t="str">
        <f>"1551604063343443"</f>
        <v>1551604063343443</v>
      </c>
      <c r="C1183" t="s">
        <v>40</v>
      </c>
      <c r="D1183">
        <v>4.9125990000000002</v>
      </c>
      <c r="E1183">
        <v>0.61707990000000001</v>
      </c>
      <c r="F1183" t="s">
        <v>70</v>
      </c>
      <c r="G1183">
        <v>-511.07569999999998</v>
      </c>
      <c r="H1183">
        <v>5.9782129999999896</v>
      </c>
      <c r="I1183">
        <v>276.38159999999999</v>
      </c>
      <c r="J1183">
        <v>-202.25890000000001</v>
      </c>
      <c r="K1183">
        <v>1.1095389999999901</v>
      </c>
      <c r="L1183">
        <v>287.37029999999999</v>
      </c>
      <c r="M1183">
        <v>-0.83950759999999902</v>
      </c>
      <c r="N1183">
        <v>-1.620955E-2</v>
      </c>
      <c r="O1183">
        <v>-0.54310630000000004</v>
      </c>
      <c r="P1183">
        <v>-0.93023869999999997</v>
      </c>
      <c r="Q1183">
        <v>0.19642129999999999</v>
      </c>
      <c r="R1183">
        <v>-0.3099597</v>
      </c>
      <c r="S1183">
        <v>-3.2020110000000002</v>
      </c>
      <c r="T1183">
        <v>5.0404789999999998E-2</v>
      </c>
      <c r="U1183">
        <v>-0.1166992</v>
      </c>
      <c r="V1183">
        <v>0.25101469999999998</v>
      </c>
      <c r="W1183">
        <v>0.20466529999999999</v>
      </c>
      <c r="X1183">
        <v>0.94609920000000003</v>
      </c>
      <c r="Y1183">
        <v>0.51196200000000003</v>
      </c>
      <c r="Z1183">
        <v>-1.723506E-2</v>
      </c>
      <c r="AA1183">
        <v>0.85883519999999902</v>
      </c>
      <c r="AB1183">
        <v>28</v>
      </c>
      <c r="AC1183">
        <v>-308.81679999999898</v>
      </c>
      <c r="AD1183">
        <v>4.8686740000000004</v>
      </c>
      <c r="AE1183">
        <v>-10.9886999999999</v>
      </c>
      <c r="AF1183">
        <v>158.476721846141</v>
      </c>
      <c r="AG1183">
        <v>4.8686740000000004</v>
      </c>
      <c r="AH1183">
        <v>265.19107412715601</v>
      </c>
      <c r="AI1183">
        <v>89.097121140638606</v>
      </c>
      <c r="AJ1183">
        <v>59.137693811099702</v>
      </c>
      <c r="AK1183">
        <v>308.97391661810599</v>
      </c>
      <c r="AL1183">
        <v>78.190093030136893</v>
      </c>
      <c r="AM1183">
        <v>75.140888247121296</v>
      </c>
      <c r="AN1183">
        <v>0.99999998044040905</v>
      </c>
    </row>
    <row r="1184" spans="1:40" x14ac:dyDescent="0.25">
      <c r="A1184" t="str">
        <f>"20190303170743372"</f>
        <v>20190303170743372</v>
      </c>
      <c r="B1184" t="str">
        <f>"1551604063363938"</f>
        <v>1551604063363938</v>
      </c>
      <c r="C1184" t="s">
        <v>40</v>
      </c>
      <c r="D1184">
        <v>4.8570489999999999</v>
      </c>
      <c r="E1184">
        <v>0.61595909999999998</v>
      </c>
      <c r="F1184" t="s">
        <v>70</v>
      </c>
      <c r="G1184">
        <v>-511.95979999999997</v>
      </c>
      <c r="H1184">
        <v>3.6150920000000002</v>
      </c>
      <c r="I1184">
        <v>276.75560000000002</v>
      </c>
      <c r="J1184">
        <v>-202.50579999999999</v>
      </c>
      <c r="K1184">
        <v>1.1095139999999999</v>
      </c>
      <c r="L1184">
        <v>287.23050000000001</v>
      </c>
      <c r="M1184">
        <v>-0.84804190000000002</v>
      </c>
      <c r="N1184">
        <v>-1.62208E-2</v>
      </c>
      <c r="O1184">
        <v>-0.52968110000000002</v>
      </c>
      <c r="P1184">
        <v>-0.93416759999999999</v>
      </c>
      <c r="Q1184">
        <v>0.1966659</v>
      </c>
      <c r="R1184">
        <v>-0.2977475</v>
      </c>
      <c r="S1184">
        <v>-3.183182</v>
      </c>
      <c r="T1184">
        <v>2.5753499999999999E-2</v>
      </c>
      <c r="U1184">
        <v>-0.1091003</v>
      </c>
      <c r="V1184">
        <v>0.2483407</v>
      </c>
      <c r="W1184">
        <v>0.2049906</v>
      </c>
      <c r="X1184">
        <v>0.94673419999999997</v>
      </c>
      <c r="Y1184">
        <v>0.5002453</v>
      </c>
      <c r="Z1184">
        <v>-1.102469E-2</v>
      </c>
      <c r="AA1184">
        <v>0.86581359999999996</v>
      </c>
      <c r="AB1184">
        <v>28</v>
      </c>
      <c r="AC1184">
        <v>-309.45399999999898</v>
      </c>
      <c r="AD1184">
        <v>2.5055779999999999</v>
      </c>
      <c r="AE1184">
        <v>-10.4748999999999</v>
      </c>
      <c r="AF1184">
        <v>155.039008736379</v>
      </c>
      <c r="AG1184">
        <v>2.5055779999999999</v>
      </c>
      <c r="AH1184">
        <v>267.99599401297002</v>
      </c>
      <c r="AI1184">
        <v>89.536334532705993</v>
      </c>
      <c r="AJ1184">
        <v>59.950085748611599</v>
      </c>
      <c r="AK1184">
        <v>309.62109901954801</v>
      </c>
      <c r="AL1184">
        <v>78.171050586568697</v>
      </c>
      <c r="AM1184">
        <v>75.301719513316002</v>
      </c>
      <c r="AN1184">
        <v>0.99999994740724296</v>
      </c>
    </row>
    <row r="1185" spans="1:40" x14ac:dyDescent="0.25">
      <c r="A1185" t="str">
        <f>"20190303170743396"</f>
        <v>20190303170743396</v>
      </c>
      <c r="B1185" t="str">
        <f>"1551604063383459"</f>
        <v>1551604063383459</v>
      </c>
      <c r="C1185" t="s">
        <v>40</v>
      </c>
      <c r="D1185">
        <v>4.8782649999999999</v>
      </c>
      <c r="E1185">
        <v>0.61487190000000003</v>
      </c>
      <c r="F1185" t="s">
        <v>70</v>
      </c>
      <c r="G1185">
        <v>-551.0634</v>
      </c>
      <c r="H1185">
        <v>4.7426120000000003</v>
      </c>
      <c r="I1185">
        <v>279.16820000000001</v>
      </c>
      <c r="J1185">
        <v>-202.7662</v>
      </c>
      <c r="K1185">
        <v>1.109486</v>
      </c>
      <c r="L1185">
        <v>287.08870000000002</v>
      </c>
      <c r="M1185">
        <v>-0.85677420000000004</v>
      </c>
      <c r="N1185">
        <v>-1.623349E-2</v>
      </c>
      <c r="O1185">
        <v>-0.51543649999999996</v>
      </c>
      <c r="P1185">
        <v>-0.93831149999999997</v>
      </c>
      <c r="Q1185">
        <v>0.19681599999999999</v>
      </c>
      <c r="R1185">
        <v>-0.28431529999999999</v>
      </c>
      <c r="S1185">
        <v>-3.180984</v>
      </c>
      <c r="T1185">
        <v>3.3156869999999998E-2</v>
      </c>
      <c r="U1185">
        <v>-7.3577879999999998E-2</v>
      </c>
      <c r="V1185">
        <v>0.2460987</v>
      </c>
      <c r="W1185">
        <v>0.205209</v>
      </c>
      <c r="X1185">
        <v>0.94727220000000001</v>
      </c>
      <c r="Y1185">
        <v>0.49538199999999999</v>
      </c>
      <c r="Z1185">
        <v>-1.2417630000000001E-2</v>
      </c>
      <c r="AA1185">
        <v>0.86858649999999904</v>
      </c>
      <c r="AB1185">
        <v>28</v>
      </c>
      <c r="AC1185">
        <v>-348.29719999999998</v>
      </c>
      <c r="AD1185">
        <v>3.6331259999999999</v>
      </c>
      <c r="AE1185">
        <v>-7.9204999999999997</v>
      </c>
      <c r="AF1185">
        <v>172.74295918885699</v>
      </c>
      <c r="AG1185">
        <v>3.6331259999999999</v>
      </c>
      <c r="AH1185">
        <v>302.50148593935899</v>
      </c>
      <c r="AI1185">
        <v>89.402452649648595</v>
      </c>
      <c r="AJ1185">
        <v>60.271546169216002</v>
      </c>
      <c r="AK1185">
        <v>348.36830876153999</v>
      </c>
      <c r="AL1185">
        <v>78.158265567502099</v>
      </c>
      <c r="AM1185">
        <v>75.436666204208805</v>
      </c>
      <c r="AN1185">
        <v>0.99999996235776401</v>
      </c>
    </row>
    <row r="1186" spans="1:40" x14ac:dyDescent="0.25">
      <c r="A1186" t="str">
        <f>"20190303170743418"</f>
        <v>20190303170743418</v>
      </c>
      <c r="B1186" t="str">
        <f>"1551604063403955"</f>
        <v>1551604063403955</v>
      </c>
      <c r="C1186" t="s">
        <v>40</v>
      </c>
      <c r="D1186">
        <v>4.9124980000000003</v>
      </c>
      <c r="E1186">
        <v>0.61421009999999998</v>
      </c>
      <c r="F1186" t="s">
        <v>45</v>
      </c>
      <c r="G1186">
        <v>0</v>
      </c>
      <c r="H1186">
        <v>0</v>
      </c>
      <c r="I1186">
        <v>0</v>
      </c>
      <c r="J1186">
        <v>-203.0052</v>
      </c>
      <c r="K1186">
        <v>1.109451</v>
      </c>
      <c r="L1186">
        <v>286.96339999999998</v>
      </c>
      <c r="M1186">
        <v>-0.86457019999999996</v>
      </c>
      <c r="N1186">
        <v>-1.6245510000000001E-2</v>
      </c>
      <c r="O1186">
        <v>-0.50224950000000002</v>
      </c>
      <c r="P1186">
        <v>-0.9421081</v>
      </c>
      <c r="Q1186">
        <v>0.19693939999999999</v>
      </c>
      <c r="R1186">
        <v>-0.27138069999999997</v>
      </c>
      <c r="S1186">
        <v>-3.179306</v>
      </c>
      <c r="T1186">
        <v>3.5834070000000003E-2</v>
      </c>
      <c r="U1186">
        <v>-3.4301760000000001E-2</v>
      </c>
      <c r="V1186">
        <v>0.24462049999999999</v>
      </c>
      <c r="W1186">
        <v>0.2053719</v>
      </c>
      <c r="X1186">
        <v>0.94761969999999995</v>
      </c>
      <c r="Y1186">
        <v>0.49278050000000001</v>
      </c>
      <c r="Z1186">
        <v>-1.2685709999999999E-2</v>
      </c>
      <c r="AA1186">
        <v>0.87006119999999898</v>
      </c>
      <c r="AB1186">
        <v>27</v>
      </c>
      <c r="AC1186">
        <v>-3.179306</v>
      </c>
      <c r="AD1186">
        <v>3.5834070000000003E-2</v>
      </c>
      <c r="AE1186">
        <v>-3.4301760000000001E-2</v>
      </c>
      <c r="AF1186">
        <v>1.5671562617572099</v>
      </c>
      <c r="AG1186">
        <v>3.5834070000000003E-2</v>
      </c>
      <c r="AH1186">
        <v>2.7659748429259401</v>
      </c>
      <c r="AI1186">
        <v>89.354200157967298</v>
      </c>
      <c r="AJ1186">
        <v>60.4648160640361</v>
      </c>
      <c r="AK1186">
        <v>3.1792891754347798</v>
      </c>
      <c r="AL1186">
        <v>78.148728829840906</v>
      </c>
      <c r="AM1186">
        <v>75.525540536635503</v>
      </c>
      <c r="AN1186">
        <v>0.99999995107897299</v>
      </c>
    </row>
    <row r="1187" spans="1:40" x14ac:dyDescent="0.25">
      <c r="A1187" t="str">
        <f>"20190303170743442"</f>
        <v>20190303170743442</v>
      </c>
      <c r="B1187" t="str">
        <f>"1551604063433234"</f>
        <v>1551604063433234</v>
      </c>
      <c r="C1187" t="s">
        <v>40</v>
      </c>
      <c r="D1187">
        <v>4.8787229999999999</v>
      </c>
      <c r="E1187">
        <v>0.60479380000000005</v>
      </c>
      <c r="F1187" t="s">
        <v>45</v>
      </c>
      <c r="G1187">
        <v>0</v>
      </c>
      <c r="H1187">
        <v>0</v>
      </c>
      <c r="I1187">
        <v>0</v>
      </c>
      <c r="J1187">
        <v>-203.27879999999999</v>
      </c>
      <c r="K1187">
        <v>1.1094079999999999</v>
      </c>
      <c r="L1187">
        <v>286.82589999999999</v>
      </c>
      <c r="M1187">
        <v>-0.8732415</v>
      </c>
      <c r="N1187">
        <v>-1.6262700000000001E-2</v>
      </c>
      <c r="O1187">
        <v>-0.48701620000000001</v>
      </c>
      <c r="P1187">
        <v>-0.94667480000000004</v>
      </c>
      <c r="Q1187">
        <v>0.1967882</v>
      </c>
      <c r="R1187">
        <v>-0.25511010000000001</v>
      </c>
      <c r="S1187">
        <v>-3.178131</v>
      </c>
      <c r="T1187">
        <v>3.7165520000000001E-2</v>
      </c>
      <c r="U1187">
        <v>5.3710939999999999E-3</v>
      </c>
      <c r="V1187">
        <v>0.24436910000000001</v>
      </c>
      <c r="W1187">
        <v>0.20521690000000001</v>
      </c>
      <c r="X1187">
        <v>0.94771810000000001</v>
      </c>
      <c r="Y1187">
        <v>0.48837779999999997</v>
      </c>
      <c r="Z1187">
        <v>-1.2574210000000001E-2</v>
      </c>
      <c r="AA1187">
        <v>0.87254169999999998</v>
      </c>
      <c r="AB1187">
        <v>27</v>
      </c>
      <c r="AC1187">
        <v>-3.178131</v>
      </c>
      <c r="AD1187">
        <v>3.7165520000000001E-2</v>
      </c>
      <c r="AE1187">
        <v>5.3710939999999999E-3</v>
      </c>
      <c r="AF1187">
        <v>1.5524845991482601</v>
      </c>
      <c r="AG1187">
        <v>3.7165520000000001E-2</v>
      </c>
      <c r="AH1187">
        <v>2.7726476671299798</v>
      </c>
      <c r="AI1187">
        <v>89.329914813836794</v>
      </c>
      <c r="AJ1187">
        <v>60.754290042896599</v>
      </c>
      <c r="AK1187">
        <v>3.1779183111764802</v>
      </c>
      <c r="AL1187">
        <v>78.157802519980507</v>
      </c>
      <c r="AM1187">
        <v>75.541230621946198</v>
      </c>
      <c r="AN1187">
        <v>0.99999991507401098</v>
      </c>
    </row>
    <row r="1188" spans="1:40" x14ac:dyDescent="0.25">
      <c r="A1188" t="str">
        <f>"20190303170743463"</f>
        <v>20190303170743463</v>
      </c>
      <c r="B1188" t="str">
        <f>"1551604063453731"</f>
        <v>1551604063453731</v>
      </c>
      <c r="C1188" t="s">
        <v>40</v>
      </c>
      <c r="D1188">
        <v>4.9090689999999997</v>
      </c>
      <c r="E1188">
        <v>0.60310039999999998</v>
      </c>
      <c r="F1188" t="s">
        <v>45</v>
      </c>
      <c r="G1188">
        <v>0</v>
      </c>
      <c r="H1188">
        <v>0</v>
      </c>
      <c r="I1188">
        <v>0</v>
      </c>
      <c r="J1188">
        <v>-203.51820000000001</v>
      </c>
      <c r="K1188">
        <v>1.109372</v>
      </c>
      <c r="L1188">
        <v>286.7106</v>
      </c>
      <c r="M1188">
        <v>-0.88060469999999902</v>
      </c>
      <c r="N1188">
        <v>-1.628131E-2</v>
      </c>
      <c r="O1188">
        <v>-0.47357199999999999</v>
      </c>
      <c r="P1188">
        <v>-0.95018530000000001</v>
      </c>
      <c r="Q1188">
        <v>0.19691529999999999</v>
      </c>
      <c r="R1188">
        <v>-0.24160419999999999</v>
      </c>
      <c r="S1188">
        <v>-3.1610870000000002</v>
      </c>
      <c r="T1188">
        <v>1.870084E-2</v>
      </c>
      <c r="U1188">
        <v>-1.486206E-2</v>
      </c>
      <c r="V1188">
        <v>0.2433477</v>
      </c>
      <c r="W1188">
        <v>0.20536769999999999</v>
      </c>
      <c r="X1188">
        <v>0.94794829999999997</v>
      </c>
      <c r="Y1188">
        <v>0.46938550000000001</v>
      </c>
      <c r="Z1188">
        <v>-8.2363009999999997E-3</v>
      </c>
      <c r="AA1188">
        <v>0.88295499999999905</v>
      </c>
      <c r="AB1188">
        <v>27</v>
      </c>
      <c r="AC1188">
        <v>-3.1610870000000002</v>
      </c>
      <c r="AD1188">
        <v>1.870084E-2</v>
      </c>
      <c r="AE1188">
        <v>-1.486206E-2</v>
      </c>
      <c r="AF1188">
        <v>1.48405935492922</v>
      </c>
      <c r="AG1188">
        <v>1.870084E-2</v>
      </c>
      <c r="AH1188">
        <v>2.7909783817376099</v>
      </c>
      <c r="AI1188">
        <v>89.661036737870702</v>
      </c>
      <c r="AJ1188">
        <v>61.9988825003256</v>
      </c>
      <c r="AK1188">
        <v>3.1610666265829299</v>
      </c>
      <c r="AL1188">
        <v>78.148975149783894</v>
      </c>
      <c r="AM1188">
        <v>75.602498130248904</v>
      </c>
      <c r="AN1188">
        <v>0.99999998738573403</v>
      </c>
    </row>
    <row r="1189" spans="1:40" x14ac:dyDescent="0.25">
      <c r="A1189" t="str">
        <f>"20190303170743484"</f>
        <v>20190303170743484</v>
      </c>
      <c r="B1189" t="str">
        <f>"1551604063473250"</f>
        <v>1551604063473250</v>
      </c>
      <c r="C1189" t="s">
        <v>40</v>
      </c>
      <c r="D1189">
        <v>4.9531660000000004</v>
      </c>
      <c r="E1189">
        <v>0.59616089999999999</v>
      </c>
      <c r="F1189" t="s">
        <v>45</v>
      </c>
      <c r="G1189">
        <v>0</v>
      </c>
      <c r="H1189">
        <v>0</v>
      </c>
      <c r="I1189">
        <v>0</v>
      </c>
      <c r="J1189">
        <v>-203.7568</v>
      </c>
      <c r="K1189">
        <v>1.1093280000000001</v>
      </c>
      <c r="L1189">
        <v>286.6001</v>
      </c>
      <c r="M1189">
        <v>-0.88773829999999998</v>
      </c>
      <c r="N1189">
        <v>-1.6301119999999999E-2</v>
      </c>
      <c r="O1189">
        <v>-0.46005990000000002</v>
      </c>
      <c r="P1189">
        <v>-0.95317680000000005</v>
      </c>
      <c r="Q1189">
        <v>0.1973328</v>
      </c>
      <c r="R1189">
        <v>-0.22915940000000001</v>
      </c>
      <c r="S1189">
        <v>-3.1583100000000002</v>
      </c>
      <c r="T1189">
        <v>1.6563890000000001E-2</v>
      </c>
      <c r="U1189">
        <v>1.7578130000000001E-2</v>
      </c>
      <c r="V1189">
        <v>0.2412453</v>
      </c>
      <c r="W1189">
        <v>0.205847</v>
      </c>
      <c r="X1189">
        <v>0.94838169999999999</v>
      </c>
      <c r="Y1189">
        <v>0.46496140000000002</v>
      </c>
      <c r="Z1189">
        <v>-7.4912750000000004E-3</v>
      </c>
      <c r="AA1189">
        <v>0.88529930000000001</v>
      </c>
      <c r="AB1189">
        <v>27</v>
      </c>
      <c r="AC1189">
        <v>-3.1583100000000002</v>
      </c>
      <c r="AD1189">
        <v>1.6563890000000001E-2</v>
      </c>
      <c r="AE1189">
        <v>1.7578130000000001E-2</v>
      </c>
      <c r="AF1189">
        <v>1.46877123487971</v>
      </c>
      <c r="AG1189">
        <v>1.6563890000000001E-2</v>
      </c>
      <c r="AH1189">
        <v>2.79596019357894</v>
      </c>
      <c r="AI1189">
        <v>89.699509012236106</v>
      </c>
      <c r="AJ1189">
        <v>62.286197352805601</v>
      </c>
      <c r="AK1189">
        <v>3.1583154856568698</v>
      </c>
      <c r="AL1189">
        <v>78.120914679712598</v>
      </c>
      <c r="AM1189">
        <v>75.728036669206801</v>
      </c>
      <c r="AN1189">
        <v>1.0000000655379799</v>
      </c>
    </row>
    <row r="1190" spans="1:40" x14ac:dyDescent="0.25">
      <c r="A1190" t="str">
        <f>"20190303170743509"</f>
        <v>20190303170743509</v>
      </c>
      <c r="B1190" t="str">
        <f>"1551604063503506"</f>
        <v>1551604063503506</v>
      </c>
      <c r="C1190" t="s">
        <v>40</v>
      </c>
      <c r="D1190">
        <v>4.9483980000000001</v>
      </c>
      <c r="E1190">
        <v>0.59399679999999999</v>
      </c>
      <c r="F1190" t="s">
        <v>45</v>
      </c>
      <c r="G1190">
        <v>0</v>
      </c>
      <c r="H1190">
        <v>0</v>
      </c>
      <c r="I1190">
        <v>0</v>
      </c>
      <c r="J1190">
        <v>-204.0377</v>
      </c>
      <c r="K1190">
        <v>1.1092799999999901</v>
      </c>
      <c r="L1190">
        <v>286.47570000000002</v>
      </c>
      <c r="M1190">
        <v>-0.89585689999999996</v>
      </c>
      <c r="N1190">
        <v>-1.6322960000000001E-2</v>
      </c>
      <c r="O1190">
        <v>-0.44404260000000001</v>
      </c>
      <c r="P1190">
        <v>-0.95687409999999995</v>
      </c>
      <c r="Q1190">
        <v>0.19735849999999999</v>
      </c>
      <c r="R1190">
        <v>-0.2131701</v>
      </c>
      <c r="S1190">
        <v>-3.14621</v>
      </c>
      <c r="T1190">
        <v>1.2641670000000001E-2</v>
      </c>
      <c r="U1190">
        <v>5.9814450000000002E-3</v>
      </c>
      <c r="V1190">
        <v>0.2401064</v>
      </c>
      <c r="W1190">
        <v>0.2059076</v>
      </c>
      <c r="X1190">
        <v>0.94865750000000004</v>
      </c>
      <c r="Y1190">
        <v>0.44572289999999998</v>
      </c>
      <c r="Z1190">
        <v>-6.4394279999999996E-3</v>
      </c>
      <c r="AA1190">
        <v>0.89514780000000005</v>
      </c>
      <c r="AB1190">
        <v>27</v>
      </c>
      <c r="AC1190">
        <v>-3.14621</v>
      </c>
      <c r="AD1190">
        <v>1.2641670000000001E-2</v>
      </c>
      <c r="AE1190">
        <v>5.9814450000000002E-3</v>
      </c>
      <c r="AF1190">
        <v>1.4025741105456599</v>
      </c>
      <c r="AG1190">
        <v>1.2641670000000001E-2</v>
      </c>
      <c r="AH1190">
        <v>2.8162278654808302</v>
      </c>
      <c r="AI1190">
        <v>89.769779886345901</v>
      </c>
      <c r="AJ1190">
        <v>63.525185303997802</v>
      </c>
      <c r="AK1190">
        <v>3.14619028949364</v>
      </c>
      <c r="AL1190">
        <v>78.117366211124505</v>
      </c>
      <c r="AM1190">
        <v>75.796642628204097</v>
      </c>
      <c r="AN1190">
        <v>1.00000003768248</v>
      </c>
    </row>
    <row r="1191" spans="1:40" x14ac:dyDescent="0.25">
      <c r="A1191" t="str">
        <f>"20190303170743549"</f>
        <v>20190303170743549</v>
      </c>
      <c r="B1191" t="str">
        <f>"1551604063543522"</f>
        <v>1551604063543522</v>
      </c>
      <c r="C1191" t="s">
        <v>40</v>
      </c>
      <c r="D1191">
        <v>4.968038</v>
      </c>
      <c r="E1191">
        <v>0.58441430000000005</v>
      </c>
      <c r="F1191" t="s">
        <v>45</v>
      </c>
      <c r="G1191">
        <v>0</v>
      </c>
      <c r="H1191">
        <v>0</v>
      </c>
      <c r="I1191">
        <v>0</v>
      </c>
      <c r="J1191">
        <v>-204.49950000000001</v>
      </c>
      <c r="K1191">
        <v>1.109259</v>
      </c>
      <c r="L1191">
        <v>286.28489999999999</v>
      </c>
      <c r="M1191">
        <v>-0.90853550000000005</v>
      </c>
      <c r="N1191">
        <v>-1.634992E-2</v>
      </c>
      <c r="O1191">
        <v>-0.41748800000000003</v>
      </c>
      <c r="P1191">
        <v>-0.96296360000000003</v>
      </c>
      <c r="Q1191">
        <v>0.1965402</v>
      </c>
      <c r="R1191">
        <v>-0.1845897</v>
      </c>
      <c r="S1191">
        <v>-3.1433260000000001</v>
      </c>
      <c r="T1191">
        <v>6.0802699999999996E-3</v>
      </c>
      <c r="U1191">
        <v>4.2053220000000002E-2</v>
      </c>
      <c r="V1191">
        <v>0.2404945</v>
      </c>
      <c r="W1191">
        <v>0.2050872</v>
      </c>
      <c r="X1191">
        <v>0.94873680000000005</v>
      </c>
      <c r="Y1191">
        <v>0.42959799999999998</v>
      </c>
      <c r="Z1191">
        <v>-4.6764969999999999E-3</v>
      </c>
      <c r="AA1191">
        <v>0.90300809999999998</v>
      </c>
      <c r="AB1191">
        <v>27</v>
      </c>
      <c r="AC1191">
        <v>-3.1433260000000001</v>
      </c>
      <c r="AD1191">
        <v>6.0802699999999996E-3</v>
      </c>
      <c r="AE1191">
        <v>4.2053220000000002E-2</v>
      </c>
      <c r="AF1191">
        <v>1.35068301451627</v>
      </c>
      <c r="AG1191">
        <v>6.0802699999999996E-3</v>
      </c>
      <c r="AH1191">
        <v>2.8386349309014598</v>
      </c>
      <c r="AI1191">
        <v>89.889179962501501</v>
      </c>
      <c r="AJ1191">
        <v>64.553898958783194</v>
      </c>
      <c r="AK1191">
        <v>3.1436014133983301</v>
      </c>
      <c r="AL1191">
        <v>78.1653955785021</v>
      </c>
      <c r="AM1191">
        <v>75.775756751777493</v>
      </c>
      <c r="AN1191">
        <v>0.99999993990416303</v>
      </c>
    </row>
    <row r="1192" spans="1:40" x14ac:dyDescent="0.25">
      <c r="A1192" t="str">
        <f>"20190303170743573"</f>
        <v>20190303170743573</v>
      </c>
      <c r="B1192" t="str">
        <f>"1551604063563043"</f>
        <v>1551604063563043</v>
      </c>
      <c r="C1192" t="s">
        <v>40</v>
      </c>
      <c r="D1192">
        <v>4.9824510000000002</v>
      </c>
      <c r="E1192">
        <v>0.5835205</v>
      </c>
      <c r="F1192" t="s">
        <v>63</v>
      </c>
      <c r="G1192">
        <v>-337.48469999999998</v>
      </c>
      <c r="H1192" s="1">
        <v>2.2698560000000001E-6</v>
      </c>
      <c r="I1192">
        <v>288.65010000000001</v>
      </c>
      <c r="J1192">
        <v>-204.78290000000001</v>
      </c>
      <c r="K1192">
        <v>1.109264</v>
      </c>
      <c r="L1192">
        <v>286.17599999999999</v>
      </c>
      <c r="M1192">
        <v>-0.91589330000000002</v>
      </c>
      <c r="N1192">
        <v>-1.6360679999999999E-2</v>
      </c>
      <c r="O1192">
        <v>-0.40108830000000001</v>
      </c>
      <c r="P1192">
        <v>-0.96580549999999998</v>
      </c>
      <c r="Q1192">
        <v>0.19614490000000001</v>
      </c>
      <c r="R1192">
        <v>-0.16955029999999999</v>
      </c>
      <c r="S1192">
        <v>-3.1313780000000002</v>
      </c>
      <c r="T1192">
        <v>-2.6119469999999999E-2</v>
      </c>
      <c r="U1192">
        <v>5.569458E-2</v>
      </c>
      <c r="V1192">
        <v>0.2382457</v>
      </c>
      <c r="W1192">
        <v>0.20478109999999999</v>
      </c>
      <c r="X1192">
        <v>0.94937009999999999</v>
      </c>
      <c r="Y1192">
        <v>0.41731439999999997</v>
      </c>
      <c r="Z1192">
        <v>1.729565E-3</v>
      </c>
      <c r="AA1192">
        <v>0.90876049999999997</v>
      </c>
      <c r="AB1192">
        <v>27</v>
      </c>
      <c r="AC1192">
        <v>-132.701799999999</v>
      </c>
      <c r="AD1192">
        <v>-1.109261730144</v>
      </c>
      <c r="AE1192">
        <v>2.4741000000000199</v>
      </c>
      <c r="AF1192">
        <v>55.4947019819259</v>
      </c>
      <c r="AG1192">
        <v>-1.109261730144</v>
      </c>
      <c r="AH1192">
        <v>120.55607110648801</v>
      </c>
      <c r="AI1192">
        <v>90.478877687699907</v>
      </c>
      <c r="AJ1192">
        <v>65.282309082106096</v>
      </c>
      <c r="AK1192">
        <v>132.72022713317401</v>
      </c>
      <c r="AL1192">
        <v>78.183314241859307</v>
      </c>
      <c r="AM1192">
        <v>75.9124665281864</v>
      </c>
      <c r="AN1192">
        <v>0.99999994962985295</v>
      </c>
    </row>
    <row r="1193" spans="1:40" x14ac:dyDescent="0.25">
      <c r="A1193" t="str">
        <f>"20190303170743594"</f>
        <v>20190303170743594</v>
      </c>
      <c r="B1193" t="str">
        <f>"1551604063583539"</f>
        <v>1551604063583539</v>
      </c>
      <c r="C1193" t="s">
        <v>40</v>
      </c>
      <c r="D1193">
        <v>4.9643249999999997</v>
      </c>
      <c r="E1193">
        <v>0.58210399999999995</v>
      </c>
      <c r="F1193" t="s">
        <v>63</v>
      </c>
      <c r="G1193">
        <v>-333.97859999999997</v>
      </c>
      <c r="H1193">
        <v>8.0000940000000006E-2</v>
      </c>
      <c r="I1193">
        <v>290.26280000000003</v>
      </c>
      <c r="J1193">
        <v>-205.0213</v>
      </c>
      <c r="K1193">
        <v>1.109275</v>
      </c>
      <c r="L1193">
        <v>286.08870000000002</v>
      </c>
      <c r="M1193">
        <v>-0.92182799999999998</v>
      </c>
      <c r="N1193">
        <v>-1.6366889999999999E-2</v>
      </c>
      <c r="O1193">
        <v>-0.38725369999999998</v>
      </c>
      <c r="P1193">
        <v>-0.96794950000000002</v>
      </c>
      <c r="Q1193">
        <v>0.19511609999999999</v>
      </c>
      <c r="R1193">
        <v>-0.15812590000000001</v>
      </c>
      <c r="S1193">
        <v>-3.128647</v>
      </c>
      <c r="T1193">
        <v>-2.4924990000000001E-2</v>
      </c>
      <c r="U1193">
        <v>9.8968509999999996E-2</v>
      </c>
      <c r="V1193">
        <v>0.2352032</v>
      </c>
      <c r="W1193">
        <v>0.20387179999999999</v>
      </c>
      <c r="X1193">
        <v>0.9503241</v>
      </c>
      <c r="Y1193">
        <v>0.41620950000000001</v>
      </c>
      <c r="Z1193">
        <v>1.6350799999999999E-3</v>
      </c>
      <c r="AA1193">
        <v>0.90926719999999905</v>
      </c>
      <c r="AB1193">
        <v>27</v>
      </c>
      <c r="AC1193">
        <v>-128.95729999999901</v>
      </c>
      <c r="AD1193">
        <v>-1.0292740600000001</v>
      </c>
      <c r="AE1193">
        <v>4.1741000000000099</v>
      </c>
      <c r="AF1193">
        <v>53.790771804070701</v>
      </c>
      <c r="AG1193">
        <v>-1.0292740600000001</v>
      </c>
      <c r="AH1193">
        <v>117.268250583347</v>
      </c>
      <c r="AI1193">
        <v>90.457086892191498</v>
      </c>
      <c r="AJ1193">
        <v>65.359146798429705</v>
      </c>
      <c r="AK1193">
        <v>129.02073140099199</v>
      </c>
      <c r="AL1193">
        <v>78.236537634430505</v>
      </c>
      <c r="AM1193">
        <v>76.098763690033806</v>
      </c>
      <c r="AN1193">
        <v>1.00000007558314</v>
      </c>
    </row>
    <row r="1194" spans="1:40" x14ac:dyDescent="0.25">
      <c r="A1194" t="str">
        <f>"20190303170743618"</f>
        <v>20190303170743618</v>
      </c>
      <c r="B1194" t="str">
        <f>"1551604063613795"</f>
        <v>1551604063613795</v>
      </c>
      <c r="C1194" t="s">
        <v>40</v>
      </c>
      <c r="D1194">
        <v>4.9480629999999897</v>
      </c>
      <c r="E1194">
        <v>0.58058480000000001</v>
      </c>
      <c r="F1194" t="s">
        <v>63</v>
      </c>
      <c r="G1194">
        <v>-320.71080000000001</v>
      </c>
      <c r="H1194">
        <v>7.9999959999999995E-2</v>
      </c>
      <c r="I1194">
        <v>290.77859999999998</v>
      </c>
      <c r="J1194">
        <v>-205.31100000000001</v>
      </c>
      <c r="K1194">
        <v>1.1092900000000001</v>
      </c>
      <c r="L1194">
        <v>285.98820000000001</v>
      </c>
      <c r="M1194">
        <v>-0.92872489999999996</v>
      </c>
      <c r="N1194">
        <v>-1.637052E-2</v>
      </c>
      <c r="O1194">
        <v>-0.37040810000000002</v>
      </c>
      <c r="P1194">
        <v>-0.97056189999999998</v>
      </c>
      <c r="Q1194">
        <v>0.19485530000000001</v>
      </c>
      <c r="R1194">
        <v>-0.14156740000000001</v>
      </c>
      <c r="S1194">
        <v>-3.1256409999999999</v>
      </c>
      <c r="T1194">
        <v>-2.7808429999999999E-2</v>
      </c>
      <c r="U1194">
        <v>0.12670899999999999</v>
      </c>
      <c r="V1194">
        <v>0.2341307</v>
      </c>
      <c r="W1194">
        <v>0.2036673</v>
      </c>
      <c r="X1194">
        <v>0.9506327</v>
      </c>
      <c r="Y1194">
        <v>0.407723</v>
      </c>
      <c r="Z1194">
        <v>2.2292929999999998E-3</v>
      </c>
      <c r="AA1194">
        <v>0.91310290000000005</v>
      </c>
      <c r="AB1194">
        <v>27</v>
      </c>
      <c r="AC1194">
        <v>-115.3998</v>
      </c>
      <c r="AD1194">
        <v>-1.02929003999999</v>
      </c>
      <c r="AE1194">
        <v>4.7903999999999698</v>
      </c>
      <c r="AF1194">
        <v>47.196559068388602</v>
      </c>
      <c r="AG1194">
        <v>-1.02929003999999</v>
      </c>
      <c r="AH1194">
        <v>105.40601482229999</v>
      </c>
      <c r="AI1194">
        <v>90.510627821281403</v>
      </c>
      <c r="AJ1194">
        <v>65.879091132303699</v>
      </c>
      <c r="AK1194">
        <v>115.494599815755</v>
      </c>
      <c r="AL1194">
        <v>78.248505324555296</v>
      </c>
      <c r="AM1194">
        <v>76.164029561371294</v>
      </c>
      <c r="AN1194">
        <v>1.0000000420405299</v>
      </c>
    </row>
    <row r="1195" spans="1:40" x14ac:dyDescent="0.25">
      <c r="A1195" t="str">
        <f>"20190303170743639"</f>
        <v>20190303170743639</v>
      </c>
      <c r="B1195" t="str">
        <f>"1551604063633315"</f>
        <v>1551604063633315</v>
      </c>
      <c r="C1195" t="s">
        <v>40</v>
      </c>
      <c r="D1195">
        <v>4.9165679999999998</v>
      </c>
      <c r="E1195">
        <v>0.56915369999999998</v>
      </c>
      <c r="F1195" t="s">
        <v>71</v>
      </c>
      <c r="G1195">
        <v>-310.25200000000001</v>
      </c>
      <c r="H1195">
        <v>6.1436570000000003E-2</v>
      </c>
      <c r="I1195">
        <v>291.6397</v>
      </c>
      <c r="J1195">
        <v>-205.553</v>
      </c>
      <c r="K1195">
        <v>1.1093189999999999</v>
      </c>
      <c r="L1195">
        <v>285.90859999999998</v>
      </c>
      <c r="M1195">
        <v>-0.93421549999999998</v>
      </c>
      <c r="N1195">
        <v>-1.6369979999999999E-2</v>
      </c>
      <c r="O1195">
        <v>-0.35633359999999997</v>
      </c>
      <c r="P1195">
        <v>-0.97250970000000003</v>
      </c>
      <c r="Q1195">
        <v>0.19434399999999999</v>
      </c>
      <c r="R1195">
        <v>-0.1282797</v>
      </c>
      <c r="S1195">
        <v>-3.1217649999999999</v>
      </c>
      <c r="T1195">
        <v>-3.1171319999999999E-2</v>
      </c>
      <c r="U1195">
        <v>0.1681213</v>
      </c>
      <c r="V1195">
        <v>0.23276810000000001</v>
      </c>
      <c r="W1195">
        <v>0.20322280000000001</v>
      </c>
      <c r="X1195">
        <v>0.95106230000000003</v>
      </c>
      <c r="Y1195">
        <v>0.406053</v>
      </c>
      <c r="Z1195">
        <v>2.9412700000000002E-3</v>
      </c>
      <c r="AA1195">
        <v>0.91384480000000001</v>
      </c>
      <c r="AB1195">
        <v>27</v>
      </c>
      <c r="AC1195">
        <v>-104.699</v>
      </c>
      <c r="AD1195">
        <v>-1.04788243</v>
      </c>
      <c r="AE1195">
        <v>5.7311000000000201</v>
      </c>
      <c r="AF1195">
        <v>42.663306023104802</v>
      </c>
      <c r="AG1195">
        <v>-1.04788243</v>
      </c>
      <c r="AH1195">
        <v>95.772504619876202</v>
      </c>
      <c r="AI1195">
        <v>90.572627096342302</v>
      </c>
      <c r="AJ1195">
        <v>65.988697495799002</v>
      </c>
      <c r="AK1195">
        <v>104.850504908524</v>
      </c>
      <c r="AL1195">
        <v>78.274516762885</v>
      </c>
      <c r="AM1195">
        <v>76.247462906640294</v>
      </c>
      <c r="AN1195">
        <v>0.99999999664937</v>
      </c>
    </row>
    <row r="1196" spans="1:40" x14ac:dyDescent="0.25">
      <c r="A1196" t="str">
        <f>"20190303170743662"</f>
        <v>20190303170743662</v>
      </c>
      <c r="B1196" t="str">
        <f>"1551604063653812"</f>
        <v>1551604063653812</v>
      </c>
      <c r="C1196" t="s">
        <v>40</v>
      </c>
      <c r="D1196">
        <v>4.9340760000000001</v>
      </c>
      <c r="E1196">
        <v>0.56725170000000003</v>
      </c>
      <c r="F1196" t="s">
        <v>63</v>
      </c>
      <c r="G1196">
        <v>-268.55880000000002</v>
      </c>
      <c r="H1196" s="1">
        <v>3.0177750000000001E-6</v>
      </c>
      <c r="I1196">
        <v>288.29969999999997</v>
      </c>
      <c r="J1196">
        <v>-205.82480000000001</v>
      </c>
      <c r="K1196">
        <v>1.109375</v>
      </c>
      <c r="L1196">
        <v>285.82400000000001</v>
      </c>
      <c r="M1196">
        <v>-0.94008389999999997</v>
      </c>
      <c r="N1196">
        <v>-1.6364009999999998E-2</v>
      </c>
      <c r="O1196">
        <v>-0.34055069999999998</v>
      </c>
      <c r="P1196">
        <v>-0.97445590000000004</v>
      </c>
      <c r="Q1196">
        <v>0.1934669</v>
      </c>
      <c r="R1196">
        <v>-0.11404540000000001</v>
      </c>
      <c r="S1196">
        <v>-3.111313</v>
      </c>
      <c r="T1196">
        <v>-5.477953E-2</v>
      </c>
      <c r="U1196">
        <v>0.1180725</v>
      </c>
      <c r="V1196">
        <v>0.2306551</v>
      </c>
      <c r="W1196">
        <v>0.2024463</v>
      </c>
      <c r="X1196">
        <v>0.95174250000000005</v>
      </c>
      <c r="Y1196">
        <v>0.37589679999999998</v>
      </c>
      <c r="Z1196">
        <v>6.6477269999999896E-3</v>
      </c>
      <c r="AA1196">
        <v>0.92663770000000001</v>
      </c>
      <c r="AB1196">
        <v>27</v>
      </c>
      <c r="AC1196">
        <v>-62.734000000000002</v>
      </c>
      <c r="AD1196">
        <v>-1.1093719822249899</v>
      </c>
      <c r="AE1196">
        <v>2.4756999999999598</v>
      </c>
      <c r="AF1196">
        <v>23.687246644026501</v>
      </c>
      <c r="AG1196">
        <v>-1.1093719822249899</v>
      </c>
      <c r="AH1196">
        <v>58.121750944291399</v>
      </c>
      <c r="AI1196">
        <v>91.012626499115996</v>
      </c>
      <c r="AJ1196">
        <v>67.8268783384637</v>
      </c>
      <c r="AK1196">
        <v>62.773037943054199</v>
      </c>
      <c r="AL1196">
        <v>78.319951815229601</v>
      </c>
      <c r="AM1196">
        <v>76.377005520163706</v>
      </c>
      <c r="AN1196">
        <v>1.0000000329229699</v>
      </c>
    </row>
    <row r="1197" spans="1:40" x14ac:dyDescent="0.25">
      <c r="A1197" t="str">
        <f>"20190303170743707"</f>
        <v>20190303170743707</v>
      </c>
      <c r="B1197" t="str">
        <f>"1551604063693826"</f>
        <v>1551604063693826</v>
      </c>
      <c r="C1197" t="s">
        <v>40</v>
      </c>
      <c r="D1197">
        <v>4.8705990000000003</v>
      </c>
      <c r="E1197">
        <v>0.55850549999999999</v>
      </c>
      <c r="F1197" t="s">
        <v>63</v>
      </c>
      <c r="G1197">
        <v>-262.15550000000002</v>
      </c>
      <c r="H1197" s="1">
        <v>-3.8971540000000001E-7</v>
      </c>
      <c r="I1197">
        <v>288.50700000000001</v>
      </c>
      <c r="J1197">
        <v>-206.35079999999999</v>
      </c>
      <c r="K1197">
        <v>1.10958</v>
      </c>
      <c r="L1197">
        <v>285.67399999999998</v>
      </c>
      <c r="M1197">
        <v>-0.95051010000000002</v>
      </c>
      <c r="N1197">
        <v>-1.6328189999999999E-2</v>
      </c>
      <c r="O1197">
        <v>-0.31026409999999999</v>
      </c>
      <c r="P1197">
        <v>-0.9773596</v>
      </c>
      <c r="Q1197">
        <v>0.1920007</v>
      </c>
      <c r="R1197">
        <v>-8.8905010000000007E-2</v>
      </c>
      <c r="S1197">
        <v>-3.1081240000000001</v>
      </c>
      <c r="T1197">
        <v>-6.1211229999999998E-2</v>
      </c>
      <c r="U1197">
        <v>0.1480408</v>
      </c>
      <c r="V1197">
        <v>0.22460740000000001</v>
      </c>
      <c r="W1197">
        <v>0.2012592</v>
      </c>
      <c r="X1197">
        <v>0.95343920000000004</v>
      </c>
      <c r="Y1197">
        <v>0.35505730000000002</v>
      </c>
      <c r="Z1197">
        <v>7.3171290000000003E-3</v>
      </c>
      <c r="AA1197">
        <v>0.93481590000000003</v>
      </c>
      <c r="AB1197">
        <v>27</v>
      </c>
      <c r="AC1197">
        <v>-55.804699999999997</v>
      </c>
      <c r="AD1197">
        <v>-1.1095803897154</v>
      </c>
      <c r="AE1197">
        <v>2.83299999999997</v>
      </c>
      <c r="AF1197">
        <v>20.001771712796799</v>
      </c>
      <c r="AG1197">
        <v>-1.1095803897154</v>
      </c>
      <c r="AH1197">
        <v>52.150346862182097</v>
      </c>
      <c r="AI1197">
        <v>91.138061709480795</v>
      </c>
      <c r="AJ1197">
        <v>69.016156719351798</v>
      </c>
      <c r="AK1197">
        <v>55.865559320013901</v>
      </c>
      <c r="AL1197">
        <v>78.389397060369703</v>
      </c>
      <c r="AM1197">
        <v>76.744177226224593</v>
      </c>
      <c r="AN1197">
        <v>1.00000002890801</v>
      </c>
    </row>
    <row r="1198" spans="1:40" x14ac:dyDescent="0.25">
      <c r="A1198" t="str">
        <f>"20190303170743727"</f>
        <v>20190303170743727</v>
      </c>
      <c r="B1198" t="str">
        <f>"1551604063724082"</f>
        <v>1551604063724082</v>
      </c>
      <c r="C1198" t="s">
        <v>40</v>
      </c>
      <c r="D1198">
        <v>4.829561</v>
      </c>
      <c r="E1198">
        <v>0.55713990000000002</v>
      </c>
      <c r="F1198" t="s">
        <v>63</v>
      </c>
      <c r="G1198">
        <v>-247.50020000000001</v>
      </c>
      <c r="H1198" s="1">
        <v>2.454426E-6</v>
      </c>
      <c r="I1198">
        <v>287.77420000000001</v>
      </c>
      <c r="J1198">
        <v>-206.60239999999999</v>
      </c>
      <c r="K1198">
        <v>1.109707</v>
      </c>
      <c r="L1198">
        <v>285.60849999999999</v>
      </c>
      <c r="M1198">
        <v>-0.9550632</v>
      </c>
      <c r="N1198">
        <v>-1.6298099999999999E-2</v>
      </c>
      <c r="O1198">
        <v>-0.295954299999999</v>
      </c>
      <c r="P1198">
        <v>-0.97853520000000005</v>
      </c>
      <c r="Q1198">
        <v>0.1919399</v>
      </c>
      <c r="R1198">
        <v>-7.5022420000000006E-2</v>
      </c>
      <c r="S1198">
        <v>-3.100311</v>
      </c>
      <c r="T1198">
        <v>-8.3598729999999996E-2</v>
      </c>
      <c r="U1198">
        <v>0.1582336</v>
      </c>
      <c r="V1198">
        <v>0.22375349999999999</v>
      </c>
      <c r="W1198">
        <v>0.20127039999999999</v>
      </c>
      <c r="X1198">
        <v>0.95363759999999997</v>
      </c>
      <c r="Y1198">
        <v>0.34408309999999998</v>
      </c>
      <c r="Z1198">
        <v>1.0472830000000001E-2</v>
      </c>
      <c r="AA1198">
        <v>0.93888079999999996</v>
      </c>
      <c r="AB1198">
        <v>27</v>
      </c>
      <c r="AC1198">
        <v>-40.897799999999997</v>
      </c>
      <c r="AD1198">
        <v>-1.109704545574</v>
      </c>
      <c r="AE1198">
        <v>2.16570000000001</v>
      </c>
      <c r="AF1198">
        <v>14.163742080063701</v>
      </c>
      <c r="AG1198">
        <v>-1.109704545574</v>
      </c>
      <c r="AH1198">
        <v>38.395944224502003</v>
      </c>
      <c r="AI1198">
        <v>91.553224818823793</v>
      </c>
      <c r="AJ1198">
        <v>69.751667581364302</v>
      </c>
      <c r="AK1198">
        <v>40.940097298127</v>
      </c>
      <c r="AL1198">
        <v>78.388742041930499</v>
      </c>
      <c r="AM1198">
        <v>76.795454448426398</v>
      </c>
      <c r="AN1198">
        <v>1.00000003740608</v>
      </c>
    </row>
    <row r="1199" spans="1:40" x14ac:dyDescent="0.25">
      <c r="A1199" t="str">
        <f>"20190303170743751"</f>
        <v>20190303170743751</v>
      </c>
      <c r="B1199" t="str">
        <f>"1551604063743603"</f>
        <v>1551604063743603</v>
      </c>
      <c r="C1199" t="s">
        <v>40</v>
      </c>
      <c r="D1199">
        <v>4.8201019999999897</v>
      </c>
      <c r="E1199">
        <v>0.5509328</v>
      </c>
      <c r="F1199" t="s">
        <v>63</v>
      </c>
      <c r="G1199">
        <v>-246.2654</v>
      </c>
      <c r="H1199" s="1">
        <v>1.7973159999999999E-6</v>
      </c>
      <c r="I1199">
        <v>288.03059999999999</v>
      </c>
      <c r="J1199">
        <v>-206.87950000000001</v>
      </c>
      <c r="K1199">
        <v>1.1099239999999999</v>
      </c>
      <c r="L1199">
        <v>285.54090000000002</v>
      </c>
      <c r="M1199">
        <v>-0.95972630000000003</v>
      </c>
      <c r="N1199">
        <v>-1.625422E-2</v>
      </c>
      <c r="O1199">
        <v>-0.28046599999999999</v>
      </c>
      <c r="P1199">
        <v>-0.97963279999999997</v>
      </c>
      <c r="Q1199">
        <v>0.19182589999999999</v>
      </c>
      <c r="R1199">
        <v>-5.934917E-2</v>
      </c>
      <c r="S1199">
        <v>-3.0972900000000001</v>
      </c>
      <c r="T1199">
        <v>-8.6657170000000006E-2</v>
      </c>
      <c r="U1199">
        <v>0.18914790000000001</v>
      </c>
      <c r="V1199">
        <v>0.22348960000000001</v>
      </c>
      <c r="W1199">
        <v>0.20123530000000001</v>
      </c>
      <c r="X1199">
        <v>0.95370690000000002</v>
      </c>
      <c r="Y1199">
        <v>0.33826499999999998</v>
      </c>
      <c r="Z1199">
        <v>1.066275E-2</v>
      </c>
      <c r="AA1199">
        <v>0.94099049999999995</v>
      </c>
      <c r="AB1199">
        <v>27</v>
      </c>
      <c r="AC1199">
        <v>-39.3858999999999</v>
      </c>
      <c r="AD1199">
        <v>-1.1099222026840001</v>
      </c>
      <c r="AE1199">
        <v>2.4896999999999698</v>
      </c>
      <c r="AF1199">
        <v>13.426991342571</v>
      </c>
      <c r="AG1199">
        <v>-1.1099222026840001</v>
      </c>
      <c r="AH1199">
        <v>37.076983346073803</v>
      </c>
      <c r="AI1199">
        <v>91.612267760784405</v>
      </c>
      <c r="AJ1199">
        <v>70.092744366789802</v>
      </c>
      <c r="AK1199">
        <v>39.448938108072298</v>
      </c>
      <c r="AL1199">
        <v>78.390795270022593</v>
      </c>
      <c r="AM1199">
        <v>76.811408400853495</v>
      </c>
      <c r="AN1199">
        <v>1.00000004919092</v>
      </c>
    </row>
    <row r="1200" spans="1:40" x14ac:dyDescent="0.25">
      <c r="A1200" t="str">
        <f>"20190303170743772"</f>
        <v>20190303170743772</v>
      </c>
      <c r="B1200" t="str">
        <f>"1551604063764099"</f>
        <v>1551604063764099</v>
      </c>
      <c r="C1200" t="s">
        <v>40</v>
      </c>
      <c r="D1200">
        <v>4.8356700000000004</v>
      </c>
      <c r="E1200">
        <v>0.54937829999999999</v>
      </c>
      <c r="F1200" t="s">
        <v>63</v>
      </c>
      <c r="G1200">
        <v>-242.27969999999999</v>
      </c>
      <c r="H1200" s="1">
        <v>-3.236258E-7</v>
      </c>
      <c r="I1200">
        <v>287.66410000000002</v>
      </c>
      <c r="J1200">
        <v>-207.14150000000001</v>
      </c>
      <c r="K1200">
        <v>1.110196</v>
      </c>
      <c r="L1200">
        <v>285.48099999999999</v>
      </c>
      <c r="M1200">
        <v>-0.96379329999999996</v>
      </c>
      <c r="N1200">
        <v>-1.6196809999999999E-2</v>
      </c>
      <c r="O1200">
        <v>-0.26615830000000001</v>
      </c>
      <c r="P1200">
        <v>-0.98042890000000005</v>
      </c>
      <c r="Q1200">
        <v>0.19127449999999999</v>
      </c>
      <c r="R1200">
        <v>-4.6616440000000002E-2</v>
      </c>
      <c r="S1200">
        <v>-3.092606</v>
      </c>
      <c r="T1200">
        <v>-9.6964120000000001E-2</v>
      </c>
      <c r="U1200">
        <v>0.18548580000000001</v>
      </c>
      <c r="V1200">
        <v>0.22156770000000001</v>
      </c>
      <c r="W1200">
        <v>0.2008318</v>
      </c>
      <c r="X1200">
        <v>0.95424019999999998</v>
      </c>
      <c r="Y1200">
        <v>0.3231578</v>
      </c>
      <c r="Z1200">
        <v>1.161859E-2</v>
      </c>
      <c r="AA1200">
        <v>0.94627380000000005</v>
      </c>
      <c r="AB1200">
        <v>27</v>
      </c>
      <c r="AC1200">
        <v>-35.138199999999898</v>
      </c>
      <c r="AD1200">
        <v>-1.1101963236257999</v>
      </c>
      <c r="AE1200">
        <v>2.18310000000002</v>
      </c>
      <c r="AF1200">
        <v>11.4465005885182</v>
      </c>
      <c r="AG1200">
        <v>-1.1101963236257999</v>
      </c>
      <c r="AH1200">
        <v>33.256206179570299</v>
      </c>
      <c r="AI1200">
        <v>91.8079807573625</v>
      </c>
      <c r="AJ1200">
        <v>71.006976855291001</v>
      </c>
      <c r="AK1200">
        <v>35.188494725663297</v>
      </c>
      <c r="AL1200">
        <v>78.414395460172599</v>
      </c>
      <c r="AM1200">
        <v>76.927967163998602</v>
      </c>
      <c r="AN1200">
        <v>1.00000000843528</v>
      </c>
    </row>
    <row r="1201" spans="1:40" x14ac:dyDescent="0.25">
      <c r="A1201" t="str">
        <f>"20190303170743795"</f>
        <v>20190303170743795</v>
      </c>
      <c r="B1201" t="str">
        <f>"1551604063784595"</f>
        <v>1551604063784595</v>
      </c>
      <c r="C1201" t="s">
        <v>40</v>
      </c>
      <c r="D1201">
        <v>4.765917</v>
      </c>
      <c r="E1201">
        <v>0.54803310000000005</v>
      </c>
      <c r="F1201" t="s">
        <v>63</v>
      </c>
      <c r="G1201">
        <v>-240.9083</v>
      </c>
      <c r="H1201" s="1">
        <v>-1.053431E-6</v>
      </c>
      <c r="I1201">
        <v>287.80790000000002</v>
      </c>
      <c r="J1201">
        <v>-207.40199999999999</v>
      </c>
      <c r="K1201">
        <v>1.11049</v>
      </c>
      <c r="L1201">
        <v>285.42520000000002</v>
      </c>
      <c r="M1201">
        <v>-0.9675262</v>
      </c>
      <c r="N1201">
        <v>-1.6126870000000001E-2</v>
      </c>
      <c r="O1201">
        <v>-0.25225599999999998</v>
      </c>
      <c r="P1201">
        <v>-0.98106400000000005</v>
      </c>
      <c r="Q1201">
        <v>0.19046489999999999</v>
      </c>
      <c r="R1201">
        <v>-3.5169760000000001E-2</v>
      </c>
      <c r="S1201">
        <v>-3.0898129999999999</v>
      </c>
      <c r="T1201">
        <v>-0.1015881</v>
      </c>
      <c r="U1201">
        <v>0.2129211</v>
      </c>
      <c r="V1201">
        <v>0.21883089999999999</v>
      </c>
      <c r="W1201">
        <v>0.2001955</v>
      </c>
      <c r="X1201">
        <v>0.95500510000000005</v>
      </c>
      <c r="Y1201">
        <v>0.31792809999999999</v>
      </c>
      <c r="Z1201">
        <v>1.19308E-2</v>
      </c>
      <c r="AA1201">
        <v>0.94803979999999999</v>
      </c>
      <c r="AB1201">
        <v>27</v>
      </c>
      <c r="AC1201">
        <v>-33.506299999999896</v>
      </c>
      <c r="AD1201">
        <v>-1.110491053431</v>
      </c>
      <c r="AE1201">
        <v>2.3826999999999998</v>
      </c>
      <c r="AF1201">
        <v>10.7471427184396</v>
      </c>
      <c r="AG1201">
        <v>-1.110491053431</v>
      </c>
      <c r="AH1201">
        <v>31.786569161268599</v>
      </c>
      <c r="AI1201">
        <v>91.8955349522559</v>
      </c>
      <c r="AJ1201">
        <v>71.319437053733694</v>
      </c>
      <c r="AK1201">
        <v>33.572611546234697</v>
      </c>
      <c r="AL1201">
        <v>78.451608090663797</v>
      </c>
      <c r="AM1201">
        <v>77.093984196351599</v>
      </c>
      <c r="AN1201">
        <v>0.99999997102053395</v>
      </c>
    </row>
    <row r="1202" spans="1:40" x14ac:dyDescent="0.25">
      <c r="A1202" t="str">
        <f>"20190303170743819"</f>
        <v>20190303170743819</v>
      </c>
      <c r="B1202" t="str">
        <f>"1551604063813875"</f>
        <v>1551604063813875</v>
      </c>
      <c r="C1202" t="s">
        <v>40</v>
      </c>
      <c r="D1202">
        <v>4.7964359999999999</v>
      </c>
      <c r="E1202">
        <v>0.54048909999999994</v>
      </c>
      <c r="F1202" t="s">
        <v>63</v>
      </c>
      <c r="G1202">
        <v>-240.10480000000001</v>
      </c>
      <c r="H1202" s="1">
        <v>-1.4810019999999999E-6</v>
      </c>
      <c r="I1202">
        <v>287.95190000000002</v>
      </c>
      <c r="J1202">
        <v>-207.69329999999999</v>
      </c>
      <c r="K1202">
        <v>1.1108530000000001</v>
      </c>
      <c r="L1202">
        <v>285.36689999999999</v>
      </c>
      <c r="M1202">
        <v>-0.97134039999999999</v>
      </c>
      <c r="N1202">
        <v>-1.604152E-2</v>
      </c>
      <c r="O1202">
        <v>-0.23715169999999999</v>
      </c>
      <c r="P1202">
        <v>-0.98136389999999996</v>
      </c>
      <c r="Q1202">
        <v>0.19083240000000001</v>
      </c>
      <c r="R1202">
        <v>-2.2540250000000001E-2</v>
      </c>
      <c r="S1202">
        <v>-3.0868069999999999</v>
      </c>
      <c r="T1202">
        <v>-0.1048188</v>
      </c>
      <c r="U1202">
        <v>0.23849490000000001</v>
      </c>
      <c r="V1202">
        <v>0.2160455</v>
      </c>
      <c r="W1202">
        <v>0.20075190000000001</v>
      </c>
      <c r="X1202">
        <v>0.95552239999999999</v>
      </c>
      <c r="Y1202">
        <v>0.31101380000000001</v>
      </c>
      <c r="Z1202">
        <v>1.1952529999999999E-2</v>
      </c>
      <c r="AA1202">
        <v>0.95033020000000001</v>
      </c>
      <c r="AB1202">
        <v>27</v>
      </c>
      <c r="AC1202">
        <v>-32.411499999999997</v>
      </c>
      <c r="AD1202">
        <v>-1.110854481002</v>
      </c>
      <c r="AE1202">
        <v>2.5850000000000302</v>
      </c>
      <c r="AF1202">
        <v>10.186776881973</v>
      </c>
      <c r="AG1202">
        <v>-1.110854481002</v>
      </c>
      <c r="AH1202">
        <v>30.837533187193898</v>
      </c>
      <c r="AI1202">
        <v>91.959030194820301</v>
      </c>
      <c r="AJ1202">
        <v>71.719701552424297</v>
      </c>
      <c r="AK1202">
        <v>32.495505442943198</v>
      </c>
      <c r="AL1202">
        <v>78.419068703416698</v>
      </c>
      <c r="AM1202">
        <v>77.259534662784702</v>
      </c>
      <c r="AN1202">
        <v>1.0000000201628001</v>
      </c>
    </row>
    <row r="1203" spans="1:40" x14ac:dyDescent="0.25">
      <c r="A1203" t="str">
        <f>"20190303170743839"</f>
        <v>20190303170743839</v>
      </c>
      <c r="B1203" t="str">
        <f>"1551604063833395"</f>
        <v>1551604063833395</v>
      </c>
      <c r="C1203" t="s">
        <v>40</v>
      </c>
      <c r="D1203">
        <v>4.7708019999999998</v>
      </c>
      <c r="E1203">
        <v>0.53908219999999996</v>
      </c>
      <c r="F1203" t="s">
        <v>63</v>
      </c>
      <c r="G1203">
        <v>-238.31219999999999</v>
      </c>
      <c r="H1203" s="1">
        <v>2.7596339999999999E-6</v>
      </c>
      <c r="I1203">
        <v>287.51949999999999</v>
      </c>
      <c r="J1203">
        <v>-207.92099999999999</v>
      </c>
      <c r="K1203">
        <v>1.1111719999999901</v>
      </c>
      <c r="L1203">
        <v>285.32409999999999</v>
      </c>
      <c r="M1203">
        <v>-0.97405679999999994</v>
      </c>
      <c r="N1203">
        <v>-1.5969469999999999E-2</v>
      </c>
      <c r="O1203">
        <v>-0.22573960000000001</v>
      </c>
      <c r="P1203">
        <v>-0.98142169999999895</v>
      </c>
      <c r="Q1203">
        <v>0.19144949999999999</v>
      </c>
      <c r="R1203">
        <v>-1.258781E-2</v>
      </c>
      <c r="S1203">
        <v>-3.0837249999999998</v>
      </c>
      <c r="T1203">
        <v>-0.1118773</v>
      </c>
      <c r="U1203">
        <v>0.21679689999999999</v>
      </c>
      <c r="V1203">
        <v>0.21435029999999999</v>
      </c>
      <c r="W1203">
        <v>0.20150950000000001</v>
      </c>
      <c r="X1203">
        <v>0.9557447</v>
      </c>
      <c r="Y1203">
        <v>0.29321120000000001</v>
      </c>
      <c r="Z1203">
        <v>1.2179229999999999E-2</v>
      </c>
      <c r="AA1203">
        <v>0.95597010000000004</v>
      </c>
      <c r="AB1203">
        <v>27</v>
      </c>
      <c r="AC1203">
        <v>-30.391200000000001</v>
      </c>
      <c r="AD1203">
        <v>-1.1111692403659901</v>
      </c>
      <c r="AE1203">
        <v>2.1953999999999998</v>
      </c>
      <c r="AF1203">
        <v>8.9881362210749902</v>
      </c>
      <c r="AG1203">
        <v>-1.1111692403659901</v>
      </c>
      <c r="AH1203">
        <v>29.072216098790001</v>
      </c>
      <c r="AI1203">
        <v>92.091264872144805</v>
      </c>
      <c r="AJ1203">
        <v>72.820177438047395</v>
      </c>
      <c r="AK1203">
        <v>30.4502058893545</v>
      </c>
      <c r="AL1203">
        <v>78.374755985160306</v>
      </c>
      <c r="AM1203">
        <v>77.359122955421199</v>
      </c>
      <c r="AN1203">
        <v>1.0000000306392101</v>
      </c>
    </row>
    <row r="1204" spans="1:40" x14ac:dyDescent="0.25">
      <c r="A1204" t="str">
        <f>"20190303170743861"</f>
        <v>20190303170743861</v>
      </c>
      <c r="B1204" t="str">
        <f>"1551604063853891"</f>
        <v>1551604063853891</v>
      </c>
      <c r="C1204" t="s">
        <v>40</v>
      </c>
      <c r="D1204">
        <v>4.757009</v>
      </c>
      <c r="E1204">
        <v>0.53792689999999999</v>
      </c>
      <c r="F1204" t="s">
        <v>63</v>
      </c>
      <c r="G1204">
        <v>-239.09780000000001</v>
      </c>
      <c r="H1204" s="1">
        <v>3.1698079999999999E-6</v>
      </c>
      <c r="I1204">
        <v>287.70049999999998</v>
      </c>
      <c r="J1204">
        <v>-208.20089999999999</v>
      </c>
      <c r="K1204">
        <v>1.1116140000000001</v>
      </c>
      <c r="L1204">
        <v>285.27480000000003</v>
      </c>
      <c r="M1204">
        <v>-0.97708430000000002</v>
      </c>
      <c r="N1204">
        <v>-1.5870169999999999E-2</v>
      </c>
      <c r="O1204">
        <v>-0.2122607</v>
      </c>
      <c r="P1204">
        <v>-0.9815488</v>
      </c>
      <c r="Q1204">
        <v>0.19120970000000001</v>
      </c>
      <c r="R1204">
        <v>-1.003281E-3</v>
      </c>
      <c r="S1204">
        <v>-3.081207</v>
      </c>
      <c r="T1204">
        <v>-0.10981680000000001</v>
      </c>
      <c r="U1204">
        <v>0.2348633</v>
      </c>
      <c r="V1204">
        <v>0.21220700000000001</v>
      </c>
      <c r="W1204">
        <v>0.20145579999999999</v>
      </c>
      <c r="X1204">
        <v>0.95623420000000003</v>
      </c>
      <c r="Y1204">
        <v>0.28564430000000002</v>
      </c>
      <c r="Z1204">
        <v>1.150001E-2</v>
      </c>
      <c r="AA1204">
        <v>0.95826670000000003</v>
      </c>
      <c r="AB1204">
        <v>27</v>
      </c>
      <c r="AC1204">
        <v>-30.896899999999999</v>
      </c>
      <c r="AD1204">
        <v>-1.11161083019199</v>
      </c>
      <c r="AE1204">
        <v>2.42569999999994</v>
      </c>
      <c r="AF1204">
        <v>8.9179618105015503</v>
      </c>
      <c r="AG1204">
        <v>-1.11161083019199</v>
      </c>
      <c r="AH1204">
        <v>29.639598696257799</v>
      </c>
      <c r="AI1204">
        <v>92.056827671844601</v>
      </c>
      <c r="AJ1204">
        <v>73.254510977546602</v>
      </c>
      <c r="AK1204">
        <v>30.972108942830701</v>
      </c>
      <c r="AL1204">
        <v>78.377897389301907</v>
      </c>
      <c r="AM1204">
        <v>77.487722722102305</v>
      </c>
      <c r="AN1204">
        <v>1.0000000477261299</v>
      </c>
    </row>
    <row r="1205" spans="1:40" x14ac:dyDescent="0.25">
      <c r="A1205" t="str">
        <f>"20190303170743885"</f>
        <v>20190303170743885</v>
      </c>
      <c r="B1205" t="str">
        <f>"1551604063873411"</f>
        <v>1551604063873411</v>
      </c>
      <c r="C1205" t="s">
        <v>40</v>
      </c>
      <c r="D1205">
        <v>4.7590529999999998</v>
      </c>
      <c r="E1205">
        <v>0.53735119999999903</v>
      </c>
      <c r="F1205" t="s">
        <v>63</v>
      </c>
      <c r="G1205">
        <v>-238.83920000000001</v>
      </c>
      <c r="H1205" s="1">
        <v>3.0251719999999999E-6</v>
      </c>
      <c r="I1205">
        <v>287.8614</v>
      </c>
      <c r="J1205">
        <v>-208.4751</v>
      </c>
      <c r="K1205">
        <v>1.1120989999999999</v>
      </c>
      <c r="L1205">
        <v>285.2296</v>
      </c>
      <c r="M1205">
        <v>-0.97973069999999896</v>
      </c>
      <c r="N1205">
        <v>-1.5761310000000001E-2</v>
      </c>
      <c r="O1205">
        <v>-0.19969899999999999</v>
      </c>
      <c r="P1205">
        <v>-0.98161500000000002</v>
      </c>
      <c r="Q1205">
        <v>0.1906737</v>
      </c>
      <c r="R1205">
        <v>8.7152110000000005E-3</v>
      </c>
      <c r="S1205">
        <v>-3.0784150000000001</v>
      </c>
      <c r="T1205">
        <v>-0.11169</v>
      </c>
      <c r="U1205">
        <v>0.2598877</v>
      </c>
      <c r="V1205">
        <v>0.20915990000000001</v>
      </c>
      <c r="W1205">
        <v>0.20113780000000001</v>
      </c>
      <c r="X1205">
        <v>0.95697220000000005</v>
      </c>
      <c r="Y1205">
        <v>0.2811398</v>
      </c>
      <c r="Z1205">
        <v>1.1367789999999999E-2</v>
      </c>
      <c r="AA1205">
        <v>0.95959950000000005</v>
      </c>
      <c r="AB1205">
        <v>27</v>
      </c>
      <c r="AC1205">
        <v>-30.364100000000001</v>
      </c>
      <c r="AD1205">
        <v>-1.1120959748279999</v>
      </c>
      <c r="AE1205">
        <v>2.6317999999999899</v>
      </c>
      <c r="AF1205">
        <v>8.6317153762299004</v>
      </c>
      <c r="AG1205">
        <v>-1.1120959748279999</v>
      </c>
      <c r="AH1205">
        <v>29.187837294919301</v>
      </c>
      <c r="AI1205">
        <v>92.092492752672001</v>
      </c>
      <c r="AJ1205">
        <v>73.525477744758504</v>
      </c>
      <c r="AK1205">
        <v>30.457726667434599</v>
      </c>
      <c r="AL1205">
        <v>78.396498049338902</v>
      </c>
      <c r="AM1205">
        <v>77.671070431484495</v>
      </c>
      <c r="AN1205">
        <v>1.0000000349648399</v>
      </c>
    </row>
    <row r="1206" spans="1:40" x14ac:dyDescent="0.25">
      <c r="A1206" t="str">
        <f>"20190303170743908"</f>
        <v>20190303170743908</v>
      </c>
      <c r="B1206" t="str">
        <f>"1551604063893907"</f>
        <v>1551604063893907</v>
      </c>
      <c r="C1206" t="s">
        <v>40</v>
      </c>
      <c r="D1206">
        <v>4.7550600000000003</v>
      </c>
      <c r="E1206">
        <v>0.53156829999999999</v>
      </c>
      <c r="F1206" t="s">
        <v>63</v>
      </c>
      <c r="G1206">
        <v>-238.8708</v>
      </c>
      <c r="H1206" s="1">
        <v>3.0333619999999998E-6</v>
      </c>
      <c r="I1206">
        <v>288.05779999999999</v>
      </c>
      <c r="J1206">
        <v>-208.75559999999999</v>
      </c>
      <c r="K1206">
        <v>1.112633</v>
      </c>
      <c r="L1206">
        <v>285.18619999999999</v>
      </c>
      <c r="M1206">
        <v>-0.98212889999999997</v>
      </c>
      <c r="N1206">
        <v>-1.56425E-2</v>
      </c>
      <c r="O1206">
        <v>-0.18755869999999999</v>
      </c>
      <c r="P1206">
        <v>-0.98155400000000004</v>
      </c>
      <c r="Q1206">
        <v>0.19040099999999999</v>
      </c>
      <c r="R1206">
        <v>1.730373E-2</v>
      </c>
      <c r="S1206">
        <v>-3.0754999999999999</v>
      </c>
      <c r="T1206">
        <v>-0.11252429999999999</v>
      </c>
      <c r="U1206">
        <v>0.28616329999999901</v>
      </c>
      <c r="V1206">
        <v>0.20541609999999999</v>
      </c>
      <c r="W1206">
        <v>0.2011106</v>
      </c>
      <c r="X1206">
        <v>0.95778850000000004</v>
      </c>
      <c r="Y1206">
        <v>0.27747290000000002</v>
      </c>
      <c r="Z1206">
        <v>1.1134979999999999E-2</v>
      </c>
      <c r="AA1206">
        <v>0.96066890000000005</v>
      </c>
      <c r="AB1206">
        <v>27</v>
      </c>
      <c r="AC1206">
        <v>-30.115200000000002</v>
      </c>
      <c r="AD1206">
        <v>-1.112629966638</v>
      </c>
      <c r="AE1206">
        <v>2.8715999999999999</v>
      </c>
      <c r="AF1206">
        <v>8.45824343615757</v>
      </c>
      <c r="AG1206">
        <v>-1.112629966638</v>
      </c>
      <c r="AH1206">
        <v>29.002734342172001</v>
      </c>
      <c r="AI1206">
        <v>92.109176909496796</v>
      </c>
      <c r="AJ1206">
        <v>73.741410973465307</v>
      </c>
      <c r="AK1206">
        <v>30.231414568137001</v>
      </c>
      <c r="AL1206">
        <v>78.398088936083298</v>
      </c>
      <c r="AM1206">
        <v>77.895193796466302</v>
      </c>
      <c r="AN1206">
        <v>1.0000000291519</v>
      </c>
    </row>
    <row r="1207" spans="1:40" x14ac:dyDescent="0.25">
      <c r="A1207" t="str">
        <f>"20190303170743929"</f>
        <v>20190303170743929</v>
      </c>
      <c r="B1207" t="str">
        <f>"1551604063913427"</f>
        <v>1551604063913427</v>
      </c>
      <c r="C1207" t="s">
        <v>40</v>
      </c>
      <c r="D1207">
        <v>4.9347719999999997</v>
      </c>
      <c r="E1207">
        <v>0.53147849999999996</v>
      </c>
      <c r="F1207" t="s">
        <v>63</v>
      </c>
      <c r="G1207">
        <v>-240.36869999999999</v>
      </c>
      <c r="H1207" s="1">
        <v>-1.3405839999999999E-6</v>
      </c>
      <c r="I1207">
        <v>287.93299999999999</v>
      </c>
      <c r="J1207">
        <v>-208.99270000000001</v>
      </c>
      <c r="K1207">
        <v>1.1131150000000001</v>
      </c>
      <c r="L1207">
        <v>285.15190000000001</v>
      </c>
      <c r="M1207">
        <v>-0.98391870000000003</v>
      </c>
      <c r="N1207">
        <v>-1.553801E-2</v>
      </c>
      <c r="O1207">
        <v>-0.17794070000000001</v>
      </c>
      <c r="P1207">
        <v>-0.98139639999999995</v>
      </c>
      <c r="Q1207">
        <v>0.1904805</v>
      </c>
      <c r="R1207">
        <v>2.4053970000000001E-2</v>
      </c>
      <c r="S1207">
        <v>-3.072632</v>
      </c>
      <c r="T1207">
        <v>-0.1081424</v>
      </c>
      <c r="U1207">
        <v>0.26696779999999998</v>
      </c>
      <c r="V1207">
        <v>0.20238239999999999</v>
      </c>
      <c r="W1207">
        <v>0.20139650000000001</v>
      </c>
      <c r="X1207">
        <v>0.95837399999999995</v>
      </c>
      <c r="Y1207">
        <v>0.26220589999999999</v>
      </c>
      <c r="Z1207">
        <v>1.011688E-2</v>
      </c>
      <c r="AA1207">
        <v>0.96495889999999995</v>
      </c>
      <c r="AB1207">
        <v>27</v>
      </c>
      <c r="AC1207">
        <v>-31.375999999999902</v>
      </c>
      <c r="AD1207">
        <v>-1.1131163405840001</v>
      </c>
      <c r="AE1207">
        <v>2.7810999999999799</v>
      </c>
      <c r="AF1207">
        <v>8.3100693078198393</v>
      </c>
      <c r="AG1207">
        <v>-1.1131163405840001</v>
      </c>
      <c r="AH1207">
        <v>30.342333783851</v>
      </c>
      <c r="AI1207">
        <v>92.026408959401905</v>
      </c>
      <c r="AJ1207">
        <v>74.683581793711596</v>
      </c>
      <c r="AK1207">
        <v>31.4794138976422</v>
      </c>
      <c r="AL1207">
        <v>78.381365032245796</v>
      </c>
      <c r="AM1207">
        <v>78.075884720712196</v>
      </c>
      <c r="AN1207">
        <v>0.99999995495900296</v>
      </c>
    </row>
    <row r="1208" spans="1:40" x14ac:dyDescent="0.25">
      <c r="A1208" t="str">
        <f>"20190303170743952"</f>
        <v>20190303170743952</v>
      </c>
      <c r="B1208" t="str">
        <f>"1551604063943683"</f>
        <v>1551604063943683</v>
      </c>
      <c r="C1208" t="s">
        <v>40</v>
      </c>
      <c r="D1208">
        <v>4.762721</v>
      </c>
      <c r="E1208">
        <v>0.50366129999999998</v>
      </c>
      <c r="F1208" t="s">
        <v>63</v>
      </c>
      <c r="G1208">
        <v>-239.82329999999999</v>
      </c>
      <c r="H1208" s="1">
        <v>3.543461E-6</v>
      </c>
      <c r="I1208">
        <v>287.98419999999999</v>
      </c>
      <c r="J1208">
        <v>-209.27340000000001</v>
      </c>
      <c r="K1208">
        <v>1.113718</v>
      </c>
      <c r="L1208">
        <v>285.11360000000002</v>
      </c>
      <c r="M1208">
        <v>-0.98577780000000004</v>
      </c>
      <c r="N1208">
        <v>-1.541264E-2</v>
      </c>
      <c r="O1208">
        <v>-0.16734569999999999</v>
      </c>
      <c r="P1208">
        <v>-0.98127949999999997</v>
      </c>
      <c r="Q1208">
        <v>0.18992400000000001</v>
      </c>
      <c r="R1208">
        <v>3.1931080000000001E-2</v>
      </c>
      <c r="S1208">
        <v>-3.071472</v>
      </c>
      <c r="T1208">
        <v>-0.1108929</v>
      </c>
      <c r="U1208">
        <v>0.28216550000000001</v>
      </c>
      <c r="V1208">
        <v>0.19946829999999999</v>
      </c>
      <c r="W1208">
        <v>0.2010728</v>
      </c>
      <c r="X1208">
        <v>0.95905269999999998</v>
      </c>
      <c r="Y1208">
        <v>0.2565827</v>
      </c>
      <c r="Z1208">
        <v>1.0042840000000001E-2</v>
      </c>
      <c r="AA1208">
        <v>0.9664701</v>
      </c>
      <c r="AB1208">
        <v>26</v>
      </c>
      <c r="AC1208">
        <v>-30.549899999999901</v>
      </c>
      <c r="AD1208">
        <v>-1.113714456539</v>
      </c>
      <c r="AE1208">
        <v>2.8705999999999601</v>
      </c>
      <c r="AF1208">
        <v>7.9326613207865204</v>
      </c>
      <c r="AG1208">
        <v>-1.113714456539</v>
      </c>
      <c r="AH1208">
        <v>29.599557301265001</v>
      </c>
      <c r="AI1208">
        <v>92.081414161564695</v>
      </c>
      <c r="AJ1208">
        <v>74.997320163850503</v>
      </c>
      <c r="AK1208">
        <v>30.664332178475298</v>
      </c>
      <c r="AL1208">
        <v>78.400299273154701</v>
      </c>
      <c r="AM1208">
        <v>78.250856020875602</v>
      </c>
      <c r="AN1208">
        <v>0.999999977491009</v>
      </c>
    </row>
    <row r="1209" spans="1:40" x14ac:dyDescent="0.25">
      <c r="A1209" t="str">
        <f>"20190303170743972"</f>
        <v>20190303170743972</v>
      </c>
      <c r="B1209" t="str">
        <f>"1551604063963203"</f>
        <v>1551604063963203</v>
      </c>
      <c r="C1209" t="s">
        <v>40</v>
      </c>
      <c r="D1209">
        <v>4.8318699999999897</v>
      </c>
      <c r="E1209">
        <v>0.49350460000000002</v>
      </c>
      <c r="F1209" t="s">
        <v>71</v>
      </c>
      <c r="G1209">
        <v>-315.26620000000003</v>
      </c>
      <c r="H1209" s="1">
        <v>4.252488E-6</v>
      </c>
      <c r="I1209">
        <v>288.04629999999997</v>
      </c>
      <c r="J1209">
        <v>-209.52789999999999</v>
      </c>
      <c r="K1209">
        <v>1.1142570000000001</v>
      </c>
      <c r="L1209">
        <v>285.08069999999998</v>
      </c>
      <c r="M1209">
        <v>-0.98725110000000005</v>
      </c>
      <c r="N1209">
        <v>-1.530026E-2</v>
      </c>
      <c r="O1209">
        <v>-0.15843380000000001</v>
      </c>
      <c r="P1209">
        <v>-0.98149600000000004</v>
      </c>
      <c r="Q1209">
        <v>0.1878988</v>
      </c>
      <c r="R1209">
        <v>3.6876619999999999E-2</v>
      </c>
      <c r="S1209">
        <v>-3.0607150000000001</v>
      </c>
      <c r="T1209">
        <v>-3.2160279999999999E-2</v>
      </c>
      <c r="U1209">
        <v>8.4686280000000003E-2</v>
      </c>
      <c r="V1209">
        <v>0.19538620000000001</v>
      </c>
      <c r="W1209">
        <v>0.19928489999999999</v>
      </c>
      <c r="X1209">
        <v>0.96026549999999999</v>
      </c>
      <c r="Y1209">
        <v>0.1856737</v>
      </c>
      <c r="Z1209">
        <v>1.625973E-3</v>
      </c>
      <c r="AA1209">
        <v>0.98261010000000004</v>
      </c>
      <c r="AB1209">
        <v>26</v>
      </c>
      <c r="AC1209">
        <v>-105.7383</v>
      </c>
      <c r="AD1209">
        <v>-1.1142527475120001</v>
      </c>
      <c r="AE1209">
        <v>2.96559999999999</v>
      </c>
      <c r="AF1209">
        <v>19.6804317888623</v>
      </c>
      <c r="AG1209">
        <v>-1.1142527475120001</v>
      </c>
      <c r="AH1209">
        <v>103.92103141187199</v>
      </c>
      <c r="AI1209">
        <v>90.603580776128695</v>
      </c>
      <c r="AJ1209">
        <v>79.276393340489406</v>
      </c>
      <c r="AK1209">
        <v>105.77401251861799</v>
      </c>
      <c r="AL1209">
        <v>78.504855347155598</v>
      </c>
      <c r="AM1209">
        <v>78.498970070703805</v>
      </c>
      <c r="AN1209">
        <v>1.0000000345043401</v>
      </c>
    </row>
    <row r="1210" spans="1:40" x14ac:dyDescent="0.25">
      <c r="A1210" t="str">
        <f>"20190303170743996"</f>
        <v>20190303170743996</v>
      </c>
      <c r="B1210" t="str">
        <f>"1551604063983699"</f>
        <v>1551604063983699</v>
      </c>
      <c r="C1210" t="s">
        <v>40</v>
      </c>
      <c r="D1210">
        <v>4.7849680000000001</v>
      </c>
      <c r="E1210">
        <v>0.48755510000000002</v>
      </c>
      <c r="F1210" t="s">
        <v>71</v>
      </c>
      <c r="G1210">
        <v>-298.61779999999999</v>
      </c>
      <c r="H1210" s="1">
        <v>3.6505859999999999E-6</v>
      </c>
      <c r="I1210">
        <v>285.57510000000002</v>
      </c>
      <c r="J1210">
        <v>-209.7997</v>
      </c>
      <c r="K1210">
        <v>1.114768</v>
      </c>
      <c r="L1210">
        <v>285.04739999999998</v>
      </c>
      <c r="M1210">
        <v>-0.9886393</v>
      </c>
      <c r="N1210">
        <v>-1.51865E-2</v>
      </c>
      <c r="O1210">
        <v>-0.14953820000000001</v>
      </c>
      <c r="P1210">
        <v>-0.98179280000000002</v>
      </c>
      <c r="Q1210">
        <v>0.1857104</v>
      </c>
      <c r="R1210">
        <v>3.9932780000000001E-2</v>
      </c>
      <c r="S1210">
        <v>-3.0632630000000001</v>
      </c>
      <c r="T1210">
        <v>-3.8312440000000003E-2</v>
      </c>
      <c r="U1210">
        <v>1.6998289999999999E-2</v>
      </c>
      <c r="V1210">
        <v>0.18948789999999999</v>
      </c>
      <c r="W1210">
        <v>0.1973434</v>
      </c>
      <c r="X1210">
        <v>0.96184709999999995</v>
      </c>
      <c r="Y1210">
        <v>0.1550125</v>
      </c>
      <c r="Z1210">
        <v>1.7343809999999999E-3</v>
      </c>
      <c r="AA1210">
        <v>0.98791099999999998</v>
      </c>
      <c r="AB1210">
        <v>26</v>
      </c>
      <c r="AC1210">
        <v>-88.818099999999902</v>
      </c>
      <c r="AD1210">
        <v>-1.114764349414</v>
      </c>
      <c r="AE1210">
        <v>0.52770000000003803</v>
      </c>
      <c r="AF1210">
        <v>13.8028217092573</v>
      </c>
      <c r="AG1210">
        <v>-1.114764349414</v>
      </c>
      <c r="AH1210">
        <v>87.726453569013103</v>
      </c>
      <c r="AI1210">
        <v>90.719187544231502</v>
      </c>
      <c r="AJ1210">
        <v>81.058424267440998</v>
      </c>
      <c r="AK1210">
        <v>88.8126750103186</v>
      </c>
      <c r="AL1210">
        <v>78.618348450812206</v>
      </c>
      <c r="AM1210">
        <v>78.855208167092101</v>
      </c>
      <c r="AN1210">
        <v>0.99999996277418901</v>
      </c>
    </row>
    <row r="1211" spans="1:40" x14ac:dyDescent="0.25">
      <c r="A1211" t="str">
        <f>"20190303170744016"</f>
        <v>20190303170744016</v>
      </c>
      <c r="B1211" t="str">
        <f>"1551604064003219"</f>
        <v>1551604064003219</v>
      </c>
      <c r="C1211" t="s">
        <v>40</v>
      </c>
      <c r="D1211">
        <v>4.7922539999999998</v>
      </c>
      <c r="E1211">
        <v>0.48446640000000002</v>
      </c>
      <c r="F1211" t="s">
        <v>71</v>
      </c>
      <c r="G1211">
        <v>-288.9144</v>
      </c>
      <c r="H1211" s="1">
        <v>4.4695829999999997E-6</v>
      </c>
      <c r="I1211">
        <v>284.5172</v>
      </c>
      <c r="J1211">
        <v>-210.04130000000001</v>
      </c>
      <c r="K1211">
        <v>1.115173</v>
      </c>
      <c r="L1211">
        <v>285.01929999999999</v>
      </c>
      <c r="M1211">
        <v>-0.98972870000000002</v>
      </c>
      <c r="N1211">
        <v>-1.509192E-2</v>
      </c>
      <c r="O1211">
        <v>-0.14216019999999999</v>
      </c>
      <c r="P1211">
        <v>-0.98190370000000005</v>
      </c>
      <c r="Q1211">
        <v>0.18462990000000001</v>
      </c>
      <c r="R1211">
        <v>4.2155190000000002E-2</v>
      </c>
      <c r="S1211">
        <v>-3.0646209999999998</v>
      </c>
      <c r="T1211">
        <v>-4.3182020000000002E-2</v>
      </c>
      <c r="U1211">
        <v>-2.053833E-2</v>
      </c>
      <c r="V1211">
        <v>0.18428849999999999</v>
      </c>
      <c r="W1211">
        <v>0.1964533</v>
      </c>
      <c r="X1211">
        <v>0.96303890000000003</v>
      </c>
      <c r="Y1211">
        <v>0.13551189999999999</v>
      </c>
      <c r="Z1211">
        <v>1.823725E-3</v>
      </c>
      <c r="AA1211">
        <v>0.99077400000000004</v>
      </c>
      <c r="AB1211">
        <v>26</v>
      </c>
      <c r="AC1211">
        <v>-78.873099999999994</v>
      </c>
      <c r="AD1211">
        <v>-1.115168530417</v>
      </c>
      <c r="AE1211">
        <v>-0.502099999999984</v>
      </c>
      <c r="AF1211">
        <v>10.7147505807351</v>
      </c>
      <c r="AG1211">
        <v>-1.115168530417</v>
      </c>
      <c r="AH1211">
        <v>78.127624255998597</v>
      </c>
      <c r="AI1211">
        <v>90.810183297753397</v>
      </c>
      <c r="AJ1211">
        <v>82.190931981009996</v>
      </c>
      <c r="AK1211">
        <v>78.866819086007894</v>
      </c>
      <c r="AL1211">
        <v>78.670366570636105</v>
      </c>
      <c r="AM1211">
        <v>79.166765450710699</v>
      </c>
      <c r="AN1211">
        <v>1.0000000366131701</v>
      </c>
    </row>
    <row r="1212" spans="1:40" x14ac:dyDescent="0.25">
      <c r="A1212" t="str">
        <f>"20190303170744039"</f>
        <v>20190303170744039</v>
      </c>
      <c r="B1212" t="str">
        <f>"1551604064033475"</f>
        <v>1551604064033475</v>
      </c>
      <c r="C1212" t="s">
        <v>40</v>
      </c>
      <c r="D1212">
        <v>4.7659209999999996</v>
      </c>
      <c r="E1212">
        <v>0.48237720000000001</v>
      </c>
      <c r="F1212" t="s">
        <v>71</v>
      </c>
      <c r="G1212">
        <v>-286.32119999999998</v>
      </c>
      <c r="H1212" s="1">
        <v>5.7044259999999901E-6</v>
      </c>
      <c r="I1212">
        <v>284.10649999999998</v>
      </c>
      <c r="J1212">
        <v>-210.309</v>
      </c>
      <c r="K1212">
        <v>1.115605</v>
      </c>
      <c r="L1212">
        <v>284.98989999999998</v>
      </c>
      <c r="M1212">
        <v>-0.99078860000000002</v>
      </c>
      <c r="N1212">
        <v>-1.499079E-2</v>
      </c>
      <c r="O1212">
        <v>-0.13458599999999901</v>
      </c>
      <c r="P1212">
        <v>-0.98178980000000005</v>
      </c>
      <c r="Q1212">
        <v>0.18425630000000001</v>
      </c>
      <c r="R1212">
        <v>4.6246450000000001E-2</v>
      </c>
      <c r="S1212">
        <v>-3.0653079999999999</v>
      </c>
      <c r="T1212">
        <v>-4.4813039999999998E-2</v>
      </c>
      <c r="U1212">
        <v>-3.668213E-2</v>
      </c>
      <c r="V1212">
        <v>0.18071989999999999</v>
      </c>
      <c r="W1212">
        <v>0.19623360000000001</v>
      </c>
      <c r="X1212">
        <v>0.9637597</v>
      </c>
      <c r="Y1212">
        <v>0.122708</v>
      </c>
      <c r="Z1212">
        <v>1.7566999999999999E-3</v>
      </c>
      <c r="AA1212">
        <v>0.99244129999999997</v>
      </c>
      <c r="AB1212">
        <v>26</v>
      </c>
      <c r="AC1212">
        <v>-76.012199999999893</v>
      </c>
      <c r="AD1212">
        <v>-1.1155992955739999</v>
      </c>
      <c r="AE1212">
        <v>-0.88339999999999397</v>
      </c>
      <c r="AF1212">
        <v>9.3539512524779909</v>
      </c>
      <c r="AG1212">
        <v>-1.1155992955739999</v>
      </c>
      <c r="AH1212">
        <v>75.423141148415098</v>
      </c>
      <c r="AI1212">
        <v>90.840970129443804</v>
      </c>
      <c r="AJ1212">
        <v>82.930296308103294</v>
      </c>
      <c r="AK1212">
        <v>76.009151991821099</v>
      </c>
      <c r="AL1212">
        <v>78.683204304121404</v>
      </c>
      <c r="AM1212">
        <v>79.379485770734206</v>
      </c>
      <c r="AN1212">
        <v>1.0000000336845201</v>
      </c>
    </row>
    <row r="1213" spans="1:40" x14ac:dyDescent="0.25">
      <c r="A1213" t="str">
        <f>"20190303170744061"</f>
        <v>20190303170744061</v>
      </c>
      <c r="B1213" t="str">
        <f>"1551604064053971"</f>
        <v>1551604064053971</v>
      </c>
      <c r="C1213" t="s">
        <v>40</v>
      </c>
      <c r="D1213">
        <v>4.7659659999999997</v>
      </c>
      <c r="E1213">
        <v>0.48127589999999998</v>
      </c>
      <c r="F1213" t="s">
        <v>71</v>
      </c>
      <c r="G1213">
        <v>-287.0625</v>
      </c>
      <c r="H1213" s="1">
        <v>5.4160299999999999E-6</v>
      </c>
      <c r="I1213">
        <v>283.91120000000001</v>
      </c>
      <c r="J1213">
        <v>-210.583</v>
      </c>
      <c r="K1213">
        <v>1.1160639999999999</v>
      </c>
      <c r="L1213">
        <v>284.96109999999999</v>
      </c>
      <c r="M1213">
        <v>-0.99173149999999999</v>
      </c>
      <c r="N1213">
        <v>-1.4889039999999999E-2</v>
      </c>
      <c r="O1213">
        <v>-0.1274642</v>
      </c>
      <c r="P1213">
        <v>-0.98183779999999998</v>
      </c>
      <c r="Q1213">
        <v>0.1831555</v>
      </c>
      <c r="R1213">
        <v>4.948342E-2</v>
      </c>
      <c r="S1213">
        <v>-3.0660400000000001</v>
      </c>
      <c r="T1213">
        <v>-4.4564369999999999E-2</v>
      </c>
      <c r="U1213">
        <v>-4.3090820000000002E-2</v>
      </c>
      <c r="V1213">
        <v>0.17675399999999999</v>
      </c>
      <c r="W1213">
        <v>0.1952969</v>
      </c>
      <c r="X1213">
        <v>0.96468500000000001</v>
      </c>
      <c r="Y1213">
        <v>0.1135034</v>
      </c>
      <c r="Z1213">
        <v>1.6160759999999999E-3</v>
      </c>
      <c r="AA1213">
        <v>0.99353630000000004</v>
      </c>
      <c r="AB1213">
        <v>26</v>
      </c>
      <c r="AC1213">
        <v>-76.479500000000002</v>
      </c>
      <c r="AD1213">
        <v>-1.1160585839699999</v>
      </c>
      <c r="AE1213">
        <v>-1.0498999999999701</v>
      </c>
      <c r="AF1213">
        <v>8.7062902224236591</v>
      </c>
      <c r="AG1213">
        <v>-1.1160585839699999</v>
      </c>
      <c r="AH1213">
        <v>75.973194895805605</v>
      </c>
      <c r="AI1213">
        <v>90.836152111048804</v>
      </c>
      <c r="AJ1213">
        <v>83.462600896325199</v>
      </c>
      <c r="AK1213">
        <v>76.478568363143296</v>
      </c>
      <c r="AL1213">
        <v>78.737931846522997</v>
      </c>
      <c r="AM1213">
        <v>79.6171710111972</v>
      </c>
      <c r="AN1213">
        <v>1.0000000024453</v>
      </c>
    </row>
    <row r="1214" spans="1:40" x14ac:dyDescent="0.25">
      <c r="A1214" t="str">
        <f>"20190303170744088"</f>
        <v>20190303170744088</v>
      </c>
      <c r="B1214" t="str">
        <f>"1551604064073491"</f>
        <v>1551604064073491</v>
      </c>
      <c r="C1214" t="s">
        <v>40</v>
      </c>
      <c r="D1214">
        <v>4.7830879999999896</v>
      </c>
      <c r="E1214">
        <v>0.48047859999999998</v>
      </c>
      <c r="F1214" t="s">
        <v>71</v>
      </c>
      <c r="G1214">
        <v>-281.37549999999999</v>
      </c>
      <c r="H1214" s="1">
        <v>7.9296370000000007E-6</v>
      </c>
      <c r="I1214">
        <v>283.95159999999998</v>
      </c>
      <c r="J1214">
        <v>-210.87110000000001</v>
      </c>
      <c r="K1214">
        <v>1.116581</v>
      </c>
      <c r="L1214">
        <v>284.9323</v>
      </c>
      <c r="M1214">
        <v>-0.99258760000000001</v>
      </c>
      <c r="N1214">
        <v>-1.478602E-2</v>
      </c>
      <c r="O1214">
        <v>-0.12062970000000001</v>
      </c>
      <c r="P1214">
        <v>-0.98220660000000004</v>
      </c>
      <c r="Q1214">
        <v>0.18096380000000001</v>
      </c>
      <c r="R1214">
        <v>5.0225039999999999E-2</v>
      </c>
      <c r="S1214">
        <v>-3.0667420000000001</v>
      </c>
      <c r="T1214">
        <v>-4.8347710000000002E-2</v>
      </c>
      <c r="U1214">
        <v>-4.3731689999999997E-2</v>
      </c>
      <c r="V1214">
        <v>0.17059859999999999</v>
      </c>
      <c r="W1214">
        <v>0.1933137</v>
      </c>
      <c r="X1214">
        <v>0.96619149999999998</v>
      </c>
      <c r="Y1214">
        <v>0.1064507</v>
      </c>
      <c r="Z1214">
        <v>1.736535E-3</v>
      </c>
      <c r="AA1214">
        <v>0.99431650000000005</v>
      </c>
      <c r="AB1214">
        <v>26</v>
      </c>
      <c r="AC1214">
        <v>-70.504399999999904</v>
      </c>
      <c r="AD1214">
        <v>-1.1165730703629999</v>
      </c>
      <c r="AE1214">
        <v>-0.98070000000001301</v>
      </c>
      <c r="AF1214">
        <v>7.5304279500816698</v>
      </c>
      <c r="AG1214">
        <v>-1.1165730703629999</v>
      </c>
      <c r="AH1214">
        <v>70.090172731099898</v>
      </c>
      <c r="AI1214">
        <v>90.907452967436399</v>
      </c>
      <c r="AJ1214">
        <v>83.867713810633603</v>
      </c>
      <c r="AK1214">
        <v>70.502385732741402</v>
      </c>
      <c r="AL1214">
        <v>78.853769022246198</v>
      </c>
      <c r="AM1214">
        <v>79.986601861674202</v>
      </c>
      <c r="AN1214">
        <v>1.00000004180094</v>
      </c>
    </row>
    <row r="1215" spans="1:40" x14ac:dyDescent="0.25">
      <c r="A1215" t="str">
        <f>"20190303170744109"</f>
        <v>20190303170744109</v>
      </c>
      <c r="B1215" t="str">
        <f>"1551604064103749"</f>
        <v>1551604064103749</v>
      </c>
      <c r="C1215" t="s">
        <v>40</v>
      </c>
      <c r="D1215">
        <v>4.7674500000000002</v>
      </c>
      <c r="E1215">
        <v>0.47886810000000002</v>
      </c>
      <c r="F1215" t="s">
        <v>63</v>
      </c>
      <c r="G1215">
        <v>-273.01549999999997</v>
      </c>
      <c r="H1215" s="1">
        <v>9.6326509999999996E-8</v>
      </c>
      <c r="I1215">
        <v>283.96640000000002</v>
      </c>
      <c r="J1215">
        <v>-211.13200000000001</v>
      </c>
      <c r="K1215">
        <v>1.1170819999999999</v>
      </c>
      <c r="L1215">
        <v>284.90730000000002</v>
      </c>
      <c r="M1215">
        <v>-0.99325030000000003</v>
      </c>
      <c r="N1215">
        <v>-1.469845E-2</v>
      </c>
      <c r="O1215">
        <v>-0.1150563</v>
      </c>
      <c r="P1215">
        <v>-0.98270670000000004</v>
      </c>
      <c r="Q1215">
        <v>0.17887979999999901</v>
      </c>
      <c r="R1215">
        <v>4.7851209999999998E-2</v>
      </c>
      <c r="S1215">
        <v>-3.0669400000000002</v>
      </c>
      <c r="T1215">
        <v>-5.5105330000000001E-2</v>
      </c>
      <c r="U1215">
        <v>-4.7668460000000003E-2</v>
      </c>
      <c r="V1215">
        <v>0.16260459999999999</v>
      </c>
      <c r="W1215">
        <v>0.1914537</v>
      </c>
      <c r="X1215">
        <v>0.96793870000000004</v>
      </c>
      <c r="Y1215">
        <v>9.958757E-2</v>
      </c>
      <c r="Z1215">
        <v>1.9953979999999998E-3</v>
      </c>
      <c r="AA1215">
        <v>0.99502679999999999</v>
      </c>
      <c r="AB1215">
        <v>26</v>
      </c>
      <c r="AC1215">
        <v>-61.883499999999898</v>
      </c>
      <c r="AD1215">
        <v>-1.11708190367348</v>
      </c>
      <c r="AE1215">
        <v>-0.94089999999999896</v>
      </c>
      <c r="AF1215">
        <v>6.1841904731644703</v>
      </c>
      <c r="AG1215">
        <v>-1.11708190367348</v>
      </c>
      <c r="AH1215">
        <v>61.560654060410897</v>
      </c>
      <c r="AI1215">
        <v>91.034372253866707</v>
      </c>
      <c r="AJ1215">
        <v>84.263490626470201</v>
      </c>
      <c r="AK1215">
        <v>61.880580250458898</v>
      </c>
      <c r="AL1215">
        <v>78.962367938551594</v>
      </c>
      <c r="AM1215">
        <v>80.463888210372602</v>
      </c>
      <c r="AN1215">
        <v>1.0000000510712601</v>
      </c>
    </row>
    <row r="1216" spans="1:40" x14ac:dyDescent="0.25">
      <c r="A1216" t="str">
        <f>"20190303170744128"</f>
        <v>20190303170744128</v>
      </c>
      <c r="B1216" t="str">
        <f>"1551604064123267"</f>
        <v>1551604064123267</v>
      </c>
      <c r="C1216" t="s">
        <v>40</v>
      </c>
      <c r="D1216">
        <v>4.6482749999999999</v>
      </c>
      <c r="E1216">
        <v>0.4784505</v>
      </c>
      <c r="F1216" t="s">
        <v>63</v>
      </c>
      <c r="G1216">
        <v>-267.43340000000001</v>
      </c>
      <c r="H1216" s="1">
        <v>2.4189229999999998E-6</v>
      </c>
      <c r="I1216">
        <v>283.69220000000001</v>
      </c>
      <c r="J1216">
        <v>-211.3587</v>
      </c>
      <c r="K1216">
        <v>1.117529</v>
      </c>
      <c r="L1216">
        <v>284.88619999999997</v>
      </c>
      <c r="M1216">
        <v>-0.99374119999999999</v>
      </c>
      <c r="N1216">
        <v>-1.4626729999999999E-2</v>
      </c>
      <c r="O1216">
        <v>-0.1107453</v>
      </c>
      <c r="P1216">
        <v>-0.98277360000000002</v>
      </c>
      <c r="Q1216">
        <v>0.17918110000000001</v>
      </c>
      <c r="R1216">
        <v>4.5281120000000001E-2</v>
      </c>
      <c r="S1216">
        <v>-3.067062</v>
      </c>
      <c r="T1216">
        <v>-6.085372E-2</v>
      </c>
      <c r="U1216">
        <v>-6.6192630000000002E-2</v>
      </c>
      <c r="V1216">
        <v>0.1556411</v>
      </c>
      <c r="W1216">
        <v>0.19193760000000001</v>
      </c>
      <c r="X1216">
        <v>0.96898700000000004</v>
      </c>
      <c r="Y1216">
        <v>8.9255440000000005E-2</v>
      </c>
      <c r="Z1216">
        <v>2.1083550000000001E-3</v>
      </c>
      <c r="AA1216">
        <v>0.99600650000000002</v>
      </c>
      <c r="AB1216">
        <v>26</v>
      </c>
      <c r="AC1216">
        <v>-56.0747</v>
      </c>
      <c r="AD1216">
        <v>-1.1175265810770001</v>
      </c>
      <c r="AE1216">
        <v>-1.19399999999996</v>
      </c>
      <c r="AF1216">
        <v>5.0220261248796696</v>
      </c>
      <c r="AG1216">
        <v>-1.1175265810770001</v>
      </c>
      <c r="AH1216">
        <v>55.839776369226499</v>
      </c>
      <c r="AI1216">
        <v>91.141905005458398</v>
      </c>
      <c r="AJ1216">
        <v>84.860852575179294</v>
      </c>
      <c r="AK1216">
        <v>56.076289437012598</v>
      </c>
      <c r="AL1216">
        <v>78.9341180422051</v>
      </c>
      <c r="AM1216">
        <v>80.874950942636204</v>
      </c>
      <c r="AN1216">
        <v>1.0000000002359799</v>
      </c>
    </row>
    <row r="1217" spans="1:40" x14ac:dyDescent="0.25">
      <c r="A1217" t="str">
        <f>"20190303170744152"</f>
        <v>20190303170744152</v>
      </c>
      <c r="B1217" t="str">
        <f>"1551604064143763"</f>
        <v>1551604064143763</v>
      </c>
      <c r="C1217" t="s">
        <v>40</v>
      </c>
      <c r="D1217">
        <v>4.7483250000000004</v>
      </c>
      <c r="E1217">
        <v>0.47789749999999998</v>
      </c>
      <c r="F1217" t="s">
        <v>63</v>
      </c>
      <c r="G1217">
        <v>-268.34879999999998</v>
      </c>
      <c r="H1217" s="1">
        <v>2.9060030000000001E-6</v>
      </c>
      <c r="I1217">
        <v>283.47930000000002</v>
      </c>
      <c r="J1217">
        <v>-211.63919999999999</v>
      </c>
      <c r="K1217">
        <v>1.11809</v>
      </c>
      <c r="L1217">
        <v>284.86070000000001</v>
      </c>
      <c r="M1217">
        <v>-0.99425039999999998</v>
      </c>
      <c r="N1217">
        <v>-1.454365E-2</v>
      </c>
      <c r="O1217">
        <v>-0.1060881</v>
      </c>
      <c r="P1217">
        <v>-0.98248820000000003</v>
      </c>
      <c r="Q1217">
        <v>0.1809684</v>
      </c>
      <c r="R1217">
        <v>4.4357149999999998E-2</v>
      </c>
      <c r="S1217">
        <v>-3.0670470000000001</v>
      </c>
      <c r="T1217">
        <v>-6.014216E-2</v>
      </c>
      <c r="U1217">
        <v>-7.5714110000000001E-2</v>
      </c>
      <c r="V1217">
        <v>0.14989669999999999</v>
      </c>
      <c r="W1217">
        <v>0.19390170000000001</v>
      </c>
      <c r="X1217">
        <v>0.96950150000000002</v>
      </c>
      <c r="Y1217">
        <v>8.1499000000000002E-2</v>
      </c>
      <c r="Z1217">
        <v>1.9224820000000001E-3</v>
      </c>
      <c r="AA1217">
        <v>0.99667159999999999</v>
      </c>
      <c r="AB1217">
        <v>26</v>
      </c>
      <c r="AC1217">
        <v>-56.709600000000002</v>
      </c>
      <c r="AD1217">
        <v>-1.118087093997</v>
      </c>
      <c r="AE1217">
        <v>-1.38139999999998</v>
      </c>
      <c r="AF1217">
        <v>4.6414440058124997</v>
      </c>
      <c r="AG1217">
        <v>-1.118087093997</v>
      </c>
      <c r="AH1217">
        <v>56.514115178290503</v>
      </c>
      <c r="AI1217">
        <v>91.129601563780497</v>
      </c>
      <c r="AJ1217">
        <v>85.304896226316799</v>
      </c>
      <c r="AK1217">
        <v>56.715415325940597</v>
      </c>
      <c r="AL1217">
        <v>78.819429165967904</v>
      </c>
      <c r="AM1217">
        <v>81.210969747954707</v>
      </c>
      <c r="AN1217">
        <v>1.00000002421801</v>
      </c>
    </row>
    <row r="1218" spans="1:40" x14ac:dyDescent="0.25">
      <c r="A1218" t="str">
        <f>"20190303170744174"</f>
        <v>20190303170744174</v>
      </c>
      <c r="B1218" t="str">
        <f>"1551604064164259"</f>
        <v>1551604064164259</v>
      </c>
      <c r="C1218" t="s">
        <v>40</v>
      </c>
      <c r="D1218">
        <v>4.7143670000000002</v>
      </c>
      <c r="E1218">
        <v>0.47750680000000001</v>
      </c>
      <c r="F1218" t="s">
        <v>63</v>
      </c>
      <c r="G1218">
        <v>-275.89339999999999</v>
      </c>
      <c r="H1218" s="1">
        <v>1.666797E-6</v>
      </c>
      <c r="I1218">
        <v>283.07440000000003</v>
      </c>
      <c r="J1218">
        <v>-211.8897</v>
      </c>
      <c r="K1218">
        <v>1.1185670000000001</v>
      </c>
      <c r="L1218">
        <v>284.8383</v>
      </c>
      <c r="M1218">
        <v>-0.99462620000000002</v>
      </c>
      <c r="N1218">
        <v>-1.4475439999999999E-2</v>
      </c>
      <c r="O1218">
        <v>-0.1025147</v>
      </c>
      <c r="P1218">
        <v>-0.98226659999999999</v>
      </c>
      <c r="Q1218">
        <v>0.18260670000000001</v>
      </c>
      <c r="R1218">
        <v>4.2516970000000001E-2</v>
      </c>
      <c r="S1218">
        <v>-3.0671539999999999</v>
      </c>
      <c r="T1218">
        <v>-5.3371549999999997E-2</v>
      </c>
      <c r="U1218">
        <v>-8.5266110000000006E-2</v>
      </c>
      <c r="V1218">
        <v>0.1443431</v>
      </c>
      <c r="W1218">
        <v>0.19568459999999999</v>
      </c>
      <c r="X1218">
        <v>0.96998589999999996</v>
      </c>
      <c r="Y1218">
        <v>7.4822139999999995E-2</v>
      </c>
      <c r="Z1218">
        <v>1.4867470000000001E-3</v>
      </c>
      <c r="AA1218">
        <v>0.99719579999999997</v>
      </c>
      <c r="AB1218">
        <v>26</v>
      </c>
      <c r="AC1218">
        <v>-64.003699999999895</v>
      </c>
      <c r="AD1218">
        <v>-1.1185653332029999</v>
      </c>
      <c r="AE1218">
        <v>-1.76389999999997</v>
      </c>
      <c r="AF1218">
        <v>4.8059356865696197</v>
      </c>
      <c r="AG1218">
        <v>-1.1185653332029999</v>
      </c>
      <c r="AH1218">
        <v>63.827789460272399</v>
      </c>
      <c r="AI1218">
        <v>91.001157407901303</v>
      </c>
      <c r="AJ1218">
        <v>85.694019443456696</v>
      </c>
      <c r="AK1218">
        <v>64.018238913710704</v>
      </c>
      <c r="AL1218">
        <v>78.715281438866398</v>
      </c>
      <c r="AM1218">
        <v>81.535956640716705</v>
      </c>
      <c r="AN1218">
        <v>1.00000001969678</v>
      </c>
    </row>
    <row r="1219" spans="1:40" x14ac:dyDescent="0.25">
      <c r="A1219" t="str">
        <f>"20190303170744196"</f>
        <v>20190303170744196</v>
      </c>
      <c r="B1219" t="str">
        <f>"1551604064183779"</f>
        <v>1551604064183779</v>
      </c>
      <c r="C1219" t="s">
        <v>40</v>
      </c>
      <c r="D1219">
        <v>4.7500169999999997</v>
      </c>
      <c r="E1219">
        <v>0.46814810000000001</v>
      </c>
      <c r="F1219" t="s">
        <v>71</v>
      </c>
      <c r="G1219">
        <v>-285.72629999999998</v>
      </c>
      <c r="H1219" s="1">
        <v>6.2920580000000004E-6</v>
      </c>
      <c r="I1219">
        <v>282.5394</v>
      </c>
      <c r="J1219">
        <v>-212.15809999999999</v>
      </c>
      <c r="K1219">
        <v>1.1189899999999999</v>
      </c>
      <c r="L1219">
        <v>284.81479999999999</v>
      </c>
      <c r="M1219">
        <v>-0.99496249999999997</v>
      </c>
      <c r="N1219">
        <v>-1.4409299999999899E-2</v>
      </c>
      <c r="O1219">
        <v>-9.9205840000000003E-2</v>
      </c>
      <c r="P1219">
        <v>-0.98271330000000001</v>
      </c>
      <c r="Q1219">
        <v>0.1809521</v>
      </c>
      <c r="R1219">
        <v>3.9126679999999997E-2</v>
      </c>
      <c r="S1219">
        <v>-3.0669249999999999</v>
      </c>
      <c r="T1219">
        <v>-4.6461339999999997E-2</v>
      </c>
      <c r="U1219">
        <v>-9.5489500000000005E-2</v>
      </c>
      <c r="V1219">
        <v>0.13756959999999999</v>
      </c>
      <c r="W1219">
        <v>0.1941688</v>
      </c>
      <c r="X1219">
        <v>0.97127399999999997</v>
      </c>
      <c r="Y1219">
        <v>6.8186220000000006E-2</v>
      </c>
      <c r="Z1219">
        <v>1.076252E-3</v>
      </c>
      <c r="AA1219">
        <v>0.997672</v>
      </c>
      <c r="AB1219">
        <v>26</v>
      </c>
      <c r="AC1219">
        <v>-73.568199999999905</v>
      </c>
      <c r="AD1219">
        <v>-1.118983707942</v>
      </c>
      <c r="AE1219">
        <v>-2.2753999999999901</v>
      </c>
      <c r="AF1219">
        <v>5.0338171755260603</v>
      </c>
      <c r="AG1219">
        <v>-1.118983707942</v>
      </c>
      <c r="AH1219">
        <v>73.413995940151906</v>
      </c>
      <c r="AI1219">
        <v>90.871195320624906</v>
      </c>
      <c r="AJ1219">
        <v>86.077508809380404</v>
      </c>
      <c r="AK1219">
        <v>73.594879168294696</v>
      </c>
      <c r="AL1219">
        <v>78.803829272064405</v>
      </c>
      <c r="AM1219">
        <v>81.938347049514306</v>
      </c>
      <c r="AN1219">
        <v>1.0000000504067901</v>
      </c>
    </row>
    <row r="1220" spans="1:40" x14ac:dyDescent="0.25">
      <c r="A1220" t="str">
        <f>"20190303170744217"</f>
        <v>20190303170744217</v>
      </c>
      <c r="B1220" t="str">
        <f>"1551604064214035"</f>
        <v>1551604064214035</v>
      </c>
      <c r="C1220" t="s">
        <v>40</v>
      </c>
      <c r="D1220">
        <v>4.7298039999999997</v>
      </c>
      <c r="E1220">
        <v>0.46747430000000001</v>
      </c>
      <c r="F1220" t="s">
        <v>41</v>
      </c>
      <c r="G1220">
        <v>-354.92259999999999</v>
      </c>
      <c r="H1220">
        <v>0.19004699999999999</v>
      </c>
      <c r="I1220">
        <v>276.55619999999999</v>
      </c>
      <c r="J1220">
        <v>-212.3991</v>
      </c>
      <c r="K1220">
        <v>1.1193070000000001</v>
      </c>
      <c r="L1220">
        <v>284.79390000000001</v>
      </c>
      <c r="M1220">
        <v>-0.99521230000000005</v>
      </c>
      <c r="N1220">
        <v>-1.435471E-2</v>
      </c>
      <c r="O1220">
        <v>-9.667655E-2</v>
      </c>
      <c r="P1220">
        <v>-0.98314369999999995</v>
      </c>
      <c r="Q1220">
        <v>0.17950350000000001</v>
      </c>
      <c r="R1220">
        <v>3.474066E-2</v>
      </c>
      <c r="S1220">
        <v>-3.0634920000000001</v>
      </c>
      <c r="T1220">
        <v>-1.9932149999999999E-2</v>
      </c>
      <c r="U1220">
        <v>-0.1772156</v>
      </c>
      <c r="V1220">
        <v>0.13060840000000001</v>
      </c>
      <c r="W1220">
        <v>0.19282759999999999</v>
      </c>
      <c r="X1220">
        <v>0.97250139999999996</v>
      </c>
      <c r="Y1220">
        <v>3.9039049999999999E-2</v>
      </c>
      <c r="Z1220">
        <v>-3.5464159999999998E-4</v>
      </c>
      <c r="AA1220">
        <v>0.99923759999999995</v>
      </c>
      <c r="AB1220">
        <v>26</v>
      </c>
      <c r="AC1220">
        <v>-142.52349999999899</v>
      </c>
      <c r="AD1220">
        <v>-0.92925999999999997</v>
      </c>
      <c r="AE1220">
        <v>-8.2377000000000091</v>
      </c>
      <c r="AF1220">
        <v>5.5807586706737897</v>
      </c>
      <c r="AG1220">
        <v>-0.92925999999999997</v>
      </c>
      <c r="AH1220">
        <v>142.64619149370699</v>
      </c>
      <c r="AI1220">
        <v>90.372959304212699</v>
      </c>
      <c r="AJ1220">
        <v>87.759555130663102</v>
      </c>
      <c r="AK1220">
        <v>142.75834245026499</v>
      </c>
      <c r="AL1220">
        <v>78.882154166369801</v>
      </c>
      <c r="AM1220">
        <v>82.3508604499754</v>
      </c>
      <c r="AN1220">
        <v>1.0000000052371301</v>
      </c>
    </row>
    <row r="1221" spans="1:40" x14ac:dyDescent="0.25">
      <c r="A1221" t="str">
        <f>"20190303170744240"</f>
        <v>20190303170744240</v>
      </c>
      <c r="B1221" t="str">
        <f>"1551604064233555"</f>
        <v>1551604064233555</v>
      </c>
      <c r="C1221" t="s">
        <v>40</v>
      </c>
      <c r="D1221">
        <v>4.754016</v>
      </c>
      <c r="E1221">
        <v>0.4679102</v>
      </c>
      <c r="F1221" t="s">
        <v>63</v>
      </c>
      <c r="G1221">
        <v>-356.14690000000002</v>
      </c>
      <c r="H1221">
        <v>8.0001119999999995E-2</v>
      </c>
      <c r="I1221">
        <v>275.68310000000002</v>
      </c>
      <c r="J1221">
        <v>-212.67500000000001</v>
      </c>
      <c r="K1221">
        <v>1.1196469999999901</v>
      </c>
      <c r="L1221">
        <v>284.77019999999999</v>
      </c>
      <c r="M1221">
        <v>-0.99544080000000001</v>
      </c>
      <c r="N1221">
        <v>-1.429714E-2</v>
      </c>
      <c r="O1221">
        <v>-9.4305719999999996E-2</v>
      </c>
      <c r="P1221">
        <v>-0.9832149</v>
      </c>
      <c r="Q1221">
        <v>0.17949470000000001</v>
      </c>
      <c r="R1221">
        <v>3.2719940000000003E-2</v>
      </c>
      <c r="S1221">
        <v>-3.0623320000000001</v>
      </c>
      <c r="T1221">
        <v>-2.2140859999999998E-2</v>
      </c>
      <c r="U1221">
        <v>-0.19409180000000001</v>
      </c>
      <c r="V1221">
        <v>0.12611449999999999</v>
      </c>
      <c r="W1221">
        <v>0.19290099999999999</v>
      </c>
      <c r="X1221">
        <v>0.97307980000000005</v>
      </c>
      <c r="Y1221">
        <v>3.115018E-2</v>
      </c>
      <c r="Z1221">
        <v>-3.3425700000000002E-4</v>
      </c>
      <c r="AA1221">
        <v>0.99951460000000003</v>
      </c>
      <c r="AB1221">
        <v>26</v>
      </c>
      <c r="AC1221">
        <v>-143.47190000000001</v>
      </c>
      <c r="AD1221">
        <v>-1.0396458799999999</v>
      </c>
      <c r="AE1221">
        <v>-9.0870999999999604</v>
      </c>
      <c r="AF1221">
        <v>4.4847737784864696</v>
      </c>
      <c r="AG1221">
        <v>-1.0396458799999999</v>
      </c>
      <c r="AH1221">
        <v>143.68189420605</v>
      </c>
      <c r="AI1221">
        <v>90.414368751443703</v>
      </c>
      <c r="AJ1221">
        <v>88.212194993865594</v>
      </c>
      <c r="AK1221">
        <v>143.75562869689099</v>
      </c>
      <c r="AL1221">
        <v>78.877867905003797</v>
      </c>
      <c r="AM1221">
        <v>82.615432001009196</v>
      </c>
      <c r="AN1221">
        <v>0.99999998003964397</v>
      </c>
    </row>
    <row r="1222" spans="1:40" x14ac:dyDescent="0.25">
      <c r="A1222" t="str">
        <f>"20190303170744262"</f>
        <v>20190303170744262</v>
      </c>
      <c r="B1222" t="str">
        <f>"1551604064254051"</f>
        <v>1551604064254051</v>
      </c>
      <c r="C1222" t="s">
        <v>40</v>
      </c>
      <c r="D1222">
        <v>4.6981519999999897</v>
      </c>
      <c r="E1222">
        <v>0.4689045</v>
      </c>
      <c r="F1222" t="s">
        <v>63</v>
      </c>
      <c r="G1222">
        <v>-346.05680000000001</v>
      </c>
      <c r="H1222">
        <v>8.0001149999999993E-2</v>
      </c>
      <c r="I1222">
        <v>276.2056</v>
      </c>
      <c r="J1222">
        <v>-212.92580000000001</v>
      </c>
      <c r="K1222">
        <v>1.1199760000000001</v>
      </c>
      <c r="L1222">
        <v>284.74869999999999</v>
      </c>
      <c r="M1222">
        <v>-0.99560059999999995</v>
      </c>
      <c r="N1222">
        <v>-1.424975E-2</v>
      </c>
      <c r="O1222">
        <v>-9.2609060000000007E-2</v>
      </c>
      <c r="P1222">
        <v>-0.98325490000000004</v>
      </c>
      <c r="Q1222">
        <v>0.1796497</v>
      </c>
      <c r="R1222">
        <v>3.0590949999999999E-2</v>
      </c>
      <c r="S1222">
        <v>-3.0621339999999999</v>
      </c>
      <c r="T1222">
        <v>-2.3867849999999999E-2</v>
      </c>
      <c r="U1222">
        <v>-0.19662479999999999</v>
      </c>
      <c r="V1222">
        <v>0.1221819</v>
      </c>
      <c r="W1222">
        <v>0.19312940000000001</v>
      </c>
      <c r="X1222">
        <v>0.97353610000000002</v>
      </c>
      <c r="Y1222">
        <v>2.8619450000000001E-2</v>
      </c>
      <c r="Z1222">
        <v>-2.8544630000000001E-4</v>
      </c>
      <c r="AA1222">
        <v>0.99959030000000004</v>
      </c>
      <c r="AB1222">
        <v>26</v>
      </c>
      <c r="AC1222">
        <v>-133.131</v>
      </c>
      <c r="AD1222">
        <v>-1.0399748499999999</v>
      </c>
      <c r="AE1222">
        <v>-8.5430999999999795</v>
      </c>
      <c r="AF1222">
        <v>3.8237770735133898</v>
      </c>
      <c r="AG1222">
        <v>-1.0399748499999999</v>
      </c>
      <c r="AH1222">
        <v>133.34190470100401</v>
      </c>
      <c r="AI1222">
        <v>90.446674870959001</v>
      </c>
      <c r="AJ1222">
        <v>88.357408620438306</v>
      </c>
      <c r="AK1222">
        <v>133.40077349134199</v>
      </c>
      <c r="AL1222">
        <v>78.864530526821994</v>
      </c>
      <c r="AM1222">
        <v>82.846597493101598</v>
      </c>
      <c r="AN1222">
        <v>0.99999995991758905</v>
      </c>
    </row>
    <row r="1223" spans="1:40" x14ac:dyDescent="0.25">
      <c r="A1223" t="str">
        <f>"20190303170744290"</f>
        <v>20190303170744290</v>
      </c>
      <c r="B1223" t="str">
        <f>"1551604064283331"</f>
        <v>1551604064283331</v>
      </c>
      <c r="C1223" t="s">
        <v>40</v>
      </c>
      <c r="D1223">
        <v>4.6824589999999997</v>
      </c>
      <c r="E1223">
        <v>0.46892119999999998</v>
      </c>
      <c r="F1223" t="s">
        <v>63</v>
      </c>
      <c r="G1223">
        <v>-361.62540000000001</v>
      </c>
      <c r="H1223">
        <v>8.0000979999999999E-2</v>
      </c>
      <c r="I1223">
        <v>275.18990000000002</v>
      </c>
      <c r="J1223">
        <v>-213.238</v>
      </c>
      <c r="K1223">
        <v>1.1204099999999999</v>
      </c>
      <c r="L1223">
        <v>284.72199999999998</v>
      </c>
      <c r="M1223">
        <v>-0.99574629999999997</v>
      </c>
      <c r="N1223">
        <v>-1.4197990000000001E-2</v>
      </c>
      <c r="O1223">
        <v>-9.10387E-2</v>
      </c>
      <c r="P1223">
        <v>-0.98337070000000004</v>
      </c>
      <c r="Q1223">
        <v>0.1795522</v>
      </c>
      <c r="R1223">
        <v>2.7270289999999999E-2</v>
      </c>
      <c r="S1223">
        <v>-3.0611269999999999</v>
      </c>
      <c r="T1223">
        <v>-2.1408920000000001E-2</v>
      </c>
      <c r="U1223">
        <v>-0.19677729999999999</v>
      </c>
      <c r="V1223">
        <v>0.11714720000000001</v>
      </c>
      <c r="W1223">
        <v>0.19312699999999999</v>
      </c>
      <c r="X1223">
        <v>0.9741552</v>
      </c>
      <c r="Y1223">
        <v>2.697217E-2</v>
      </c>
      <c r="Z1223">
        <v>-3.7277920000000002E-4</v>
      </c>
      <c r="AA1223">
        <v>0.99963610000000003</v>
      </c>
      <c r="AB1223">
        <v>26</v>
      </c>
      <c r="AC1223">
        <v>-148.38740000000001</v>
      </c>
      <c r="AD1223">
        <v>-1.04040902</v>
      </c>
      <c r="AE1223">
        <v>-9.5320999999999501</v>
      </c>
      <c r="AF1223">
        <v>4.0176503276690401</v>
      </c>
      <c r="AG1223">
        <v>-1.04040902</v>
      </c>
      <c r="AH1223">
        <v>148.631676139815</v>
      </c>
      <c r="AI1223">
        <v>90.400912569553299</v>
      </c>
      <c r="AJ1223">
        <v>88.4516196515833</v>
      </c>
      <c r="AK1223">
        <v>148.68960662136101</v>
      </c>
      <c r="AL1223">
        <v>78.864670328119601</v>
      </c>
      <c r="AM1223">
        <v>83.142814353014799</v>
      </c>
      <c r="AN1223">
        <v>0.99999992914193703</v>
      </c>
    </row>
    <row r="1224" spans="1:40" x14ac:dyDescent="0.25">
      <c r="A1224" t="str">
        <f>"20190303170744308"</f>
        <v>20190303170744308</v>
      </c>
      <c r="B1224" t="str">
        <f>"1551604064303827"</f>
        <v>1551604064303827</v>
      </c>
      <c r="C1224" t="s">
        <v>40</v>
      </c>
      <c r="D1224">
        <v>4.705171</v>
      </c>
      <c r="E1224">
        <v>0.46923090000000001</v>
      </c>
      <c r="F1224" t="s">
        <v>63</v>
      </c>
      <c r="G1224">
        <v>-355.32400000000001</v>
      </c>
      <c r="H1224">
        <v>8.0001370000000002E-2</v>
      </c>
      <c r="I1224">
        <v>275.14030000000002</v>
      </c>
      <c r="J1224">
        <v>-213.46449999999999</v>
      </c>
      <c r="K1224">
        <v>1.1207240000000001</v>
      </c>
      <c r="L1224">
        <v>284.70229999999998</v>
      </c>
      <c r="M1224">
        <v>-0.99581430000000004</v>
      </c>
      <c r="N1224">
        <v>-1.416593E-2</v>
      </c>
      <c r="O1224">
        <v>-9.0296600000000005E-2</v>
      </c>
      <c r="P1224">
        <v>-0.98355239999999999</v>
      </c>
      <c r="Q1224">
        <v>0.1791905</v>
      </c>
      <c r="R1224">
        <v>2.271376E-2</v>
      </c>
      <c r="S1224">
        <v>-3.0605470000000001</v>
      </c>
      <c r="T1224">
        <v>-2.2410510000000002E-2</v>
      </c>
      <c r="U1224">
        <v>-0.2063904</v>
      </c>
      <c r="V1224">
        <v>0.1117549</v>
      </c>
      <c r="W1224">
        <v>0.19283829999999999</v>
      </c>
      <c r="X1224">
        <v>0.97484579999999998</v>
      </c>
      <c r="Y1224">
        <v>2.308901E-2</v>
      </c>
      <c r="Z1224">
        <v>-3.7262180000000001E-4</v>
      </c>
      <c r="AA1224">
        <v>0.99973330000000005</v>
      </c>
      <c r="AB1224">
        <v>26</v>
      </c>
      <c r="AC1224">
        <v>-141.8595</v>
      </c>
      <c r="AD1224">
        <v>-1.0407226300000001</v>
      </c>
      <c r="AE1224">
        <v>-9.5619999999999497</v>
      </c>
      <c r="AF1224">
        <v>3.2876075074103599</v>
      </c>
      <c r="AG1224">
        <v>-1.0407226300000001</v>
      </c>
      <c r="AH1224">
        <v>142.13576322664301</v>
      </c>
      <c r="AI1224">
        <v>90.419401872706501</v>
      </c>
      <c r="AJ1224">
        <v>88.6749819364518</v>
      </c>
      <c r="AK1224">
        <v>142.177588440428</v>
      </c>
      <c r="AL1224">
        <v>78.881529887113103</v>
      </c>
      <c r="AM1224">
        <v>83.460244208788495</v>
      </c>
      <c r="AN1224">
        <v>1.0000000506992599</v>
      </c>
    </row>
    <row r="1225" spans="1:40" x14ac:dyDescent="0.25">
      <c r="A1225" t="str">
        <f>"20190303170744330"</f>
        <v>20190303170744330</v>
      </c>
      <c r="B1225" t="str">
        <f>"1551604064323347"</f>
        <v>1551604064323347</v>
      </c>
      <c r="C1225" t="s">
        <v>40</v>
      </c>
      <c r="D1225">
        <v>4.6997920000000004</v>
      </c>
      <c r="E1225">
        <v>0.46941369999999999</v>
      </c>
      <c r="F1225" t="s">
        <v>63</v>
      </c>
      <c r="G1225">
        <v>-347.88650000000001</v>
      </c>
      <c r="H1225">
        <v>8.0000619999999995E-2</v>
      </c>
      <c r="I1225">
        <v>275.20530000000002</v>
      </c>
      <c r="J1225">
        <v>-213.7089</v>
      </c>
      <c r="K1225">
        <v>1.1210020000000001</v>
      </c>
      <c r="L1225">
        <v>284.68099999999998</v>
      </c>
      <c r="M1225">
        <v>-0.99586019999999997</v>
      </c>
      <c r="N1225">
        <v>-1.4135099999999999E-2</v>
      </c>
      <c r="O1225">
        <v>-8.9792510000000006E-2</v>
      </c>
      <c r="P1225">
        <v>-0.98347419999999997</v>
      </c>
      <c r="Q1225">
        <v>0.17996089999999901</v>
      </c>
      <c r="R1225">
        <v>1.9813239999999999E-2</v>
      </c>
      <c r="S1225">
        <v>-3.0594939999999999</v>
      </c>
      <c r="T1225">
        <v>-2.3687239999999998E-2</v>
      </c>
      <c r="U1225">
        <v>-0.21615599999999999</v>
      </c>
      <c r="V1225">
        <v>0.1082354</v>
      </c>
      <c r="W1225">
        <v>0.1936599</v>
      </c>
      <c r="X1225">
        <v>0.97507999999999995</v>
      </c>
      <c r="Y1225">
        <v>1.9384229999999999E-2</v>
      </c>
      <c r="Z1225">
        <v>-3.6482590000000003E-4</v>
      </c>
      <c r="AA1225">
        <v>0.99981209999999998</v>
      </c>
      <c r="AB1225">
        <v>26</v>
      </c>
      <c r="AC1225">
        <v>-134.17760000000001</v>
      </c>
      <c r="AD1225">
        <v>-1.04100138</v>
      </c>
      <c r="AE1225">
        <v>-9.4756999999999607</v>
      </c>
      <c r="AF1225">
        <v>2.6117754656229</v>
      </c>
      <c r="AG1225">
        <v>-1.04100138</v>
      </c>
      <c r="AH1225">
        <v>134.47835769417699</v>
      </c>
      <c r="AI1225">
        <v>90.443436030608794</v>
      </c>
      <c r="AJ1225">
        <v>88.887368175489698</v>
      </c>
      <c r="AK1225">
        <v>134.507746033747</v>
      </c>
      <c r="AL1225">
        <v>78.833551060082399</v>
      </c>
      <c r="AM1225">
        <v>83.666008663674404</v>
      </c>
      <c r="AN1225">
        <v>1.00000003254058</v>
      </c>
    </row>
    <row r="1226" spans="1:40" x14ac:dyDescent="0.25">
      <c r="A1226" t="str">
        <f>"20190303170744352"</f>
        <v>20190303170744352</v>
      </c>
      <c r="B1226" t="str">
        <f>"1551604064343844"</f>
        <v>1551604064343844</v>
      </c>
      <c r="C1226" t="s">
        <v>40</v>
      </c>
      <c r="D1226">
        <v>4.7692379999999996</v>
      </c>
      <c r="E1226">
        <v>0.46978880000000001</v>
      </c>
      <c r="F1226" t="s">
        <v>46</v>
      </c>
      <c r="G1226">
        <v>-375.24380000000002</v>
      </c>
      <c r="H1226">
        <v>-0.05</v>
      </c>
      <c r="I1226">
        <v>272.93759999999997</v>
      </c>
      <c r="J1226">
        <v>-213.97020000000001</v>
      </c>
      <c r="K1226">
        <v>1.1212329999999999</v>
      </c>
      <c r="L1226">
        <v>284.65780000000001</v>
      </c>
      <c r="M1226">
        <v>-0.99588129999999997</v>
      </c>
      <c r="N1226">
        <v>-1.409709E-2</v>
      </c>
      <c r="O1226">
        <v>-8.9566069999999998E-2</v>
      </c>
      <c r="P1226">
        <v>-0.98345170000000004</v>
      </c>
      <c r="Q1226">
        <v>0.180284</v>
      </c>
      <c r="R1226">
        <v>1.790982E-2</v>
      </c>
      <c r="S1226">
        <v>-3.058945</v>
      </c>
      <c r="T1226">
        <v>-2.2174949999999999E-2</v>
      </c>
      <c r="U1226">
        <v>-0.22238160000000001</v>
      </c>
      <c r="V1226">
        <v>0.1060068</v>
      </c>
      <c r="W1226">
        <v>0.19400980000000001</v>
      </c>
      <c r="X1226">
        <v>0.97525530000000005</v>
      </c>
      <c r="Y1226">
        <v>1.7119789999999999E-2</v>
      </c>
      <c r="Z1226">
        <v>-4.3328479999999998E-4</v>
      </c>
      <c r="AA1226">
        <v>0.9998534</v>
      </c>
      <c r="AB1226">
        <v>26</v>
      </c>
      <c r="AC1226">
        <v>-161.27359999999999</v>
      </c>
      <c r="AD1226">
        <v>-1.171233</v>
      </c>
      <c r="AE1226">
        <v>-11.7202</v>
      </c>
      <c r="AF1226">
        <v>2.7728440886949701</v>
      </c>
      <c r="AG1226">
        <v>-1.171233</v>
      </c>
      <c r="AH1226">
        <v>161.66664814697501</v>
      </c>
      <c r="AI1226">
        <v>90.415024784099401</v>
      </c>
      <c r="AJ1226">
        <v>89.017381202632293</v>
      </c>
      <c r="AK1226">
        <v>161.694667735699</v>
      </c>
      <c r="AL1226">
        <v>78.813116142731602</v>
      </c>
      <c r="AM1226">
        <v>83.796506278626794</v>
      </c>
      <c r="AN1226">
        <v>1.0000000721601801</v>
      </c>
    </row>
    <row r="1227" spans="1:40" x14ac:dyDescent="0.25">
      <c r="A1227" t="str">
        <f>"20190303170744384"</f>
        <v>20190303170744384</v>
      </c>
      <c r="B1227" t="str">
        <f>"1551604064373533"</f>
        <v>1551604064373533</v>
      </c>
      <c r="C1227" t="s">
        <v>40</v>
      </c>
      <c r="D1227">
        <v>4.6420139999999996</v>
      </c>
      <c r="E1227">
        <v>0.47089029999999998</v>
      </c>
      <c r="F1227" t="s">
        <v>46</v>
      </c>
      <c r="G1227">
        <v>-392.30399999999997</v>
      </c>
      <c r="H1227">
        <v>-0.05</v>
      </c>
      <c r="I1227">
        <v>271.59410000000003</v>
      </c>
      <c r="J1227">
        <v>-214.3261</v>
      </c>
      <c r="K1227">
        <v>1.121429</v>
      </c>
      <c r="L1227">
        <v>284.62599999999998</v>
      </c>
      <c r="M1227">
        <v>-0.99587729999999997</v>
      </c>
      <c r="N1227">
        <v>-1.4020319999999999E-2</v>
      </c>
      <c r="O1227">
        <v>-8.9622859999999999E-2</v>
      </c>
      <c r="P1227">
        <v>-0.98350709999999997</v>
      </c>
      <c r="Q1227">
        <v>0.18017</v>
      </c>
      <c r="R1227">
        <v>1.5904089999999999E-2</v>
      </c>
      <c r="S1227">
        <v>-3.058243</v>
      </c>
      <c r="T1227">
        <v>-2.0085450000000001E-2</v>
      </c>
      <c r="U1227">
        <v>-0.22402949999999999</v>
      </c>
      <c r="V1227">
        <v>0.10397439999999999</v>
      </c>
      <c r="W1227">
        <v>0.19387599999999999</v>
      </c>
      <c r="X1227">
        <v>0.97550060000000005</v>
      </c>
      <c r="Y1227">
        <v>1.6624E-2</v>
      </c>
      <c r="Z1227">
        <v>-4.9927230000000003E-4</v>
      </c>
      <c r="AA1227">
        <v>0.99986169999999996</v>
      </c>
      <c r="AB1227">
        <v>26</v>
      </c>
      <c r="AC1227">
        <v>-177.97790000000001</v>
      </c>
      <c r="AD1227">
        <v>-1.1714290000000001</v>
      </c>
      <c r="AE1227">
        <v>-13.031899999999901</v>
      </c>
      <c r="AF1227">
        <v>2.9728785137146998</v>
      </c>
      <c r="AG1227">
        <v>-1.1714290000000001</v>
      </c>
      <c r="AH1227">
        <v>178.42191845437301</v>
      </c>
      <c r="AI1227">
        <v>90.376117796856903</v>
      </c>
      <c r="AJ1227">
        <v>89.045422036544295</v>
      </c>
      <c r="AK1227">
        <v>178.45052882381199</v>
      </c>
      <c r="AL1227">
        <v>78.820929875723905</v>
      </c>
      <c r="AM1227">
        <v>83.916059575526006</v>
      </c>
      <c r="AN1227">
        <v>0.99999999991585997</v>
      </c>
    </row>
    <row r="1228" spans="1:40" x14ac:dyDescent="0.25">
      <c r="A1228" t="str">
        <f>"20190303170744404"</f>
        <v>20190303170744404</v>
      </c>
      <c r="B1228" t="str">
        <f>"1551604064394031"</f>
        <v>1551604064394031</v>
      </c>
      <c r="C1228" t="s">
        <v>40</v>
      </c>
      <c r="D1228">
        <v>4.6202959999999997</v>
      </c>
      <c r="E1228">
        <v>0.47128140000000002</v>
      </c>
      <c r="F1228" t="s">
        <v>46</v>
      </c>
      <c r="G1228">
        <v>-395.00540000000001</v>
      </c>
      <c r="H1228">
        <v>-0.05</v>
      </c>
      <c r="I1228">
        <v>271.62889999999999</v>
      </c>
      <c r="J1228">
        <v>-214.56120000000001</v>
      </c>
      <c r="K1228">
        <v>1.121491</v>
      </c>
      <c r="L1228">
        <v>284.60480000000001</v>
      </c>
      <c r="M1228">
        <v>-0.99586220000000003</v>
      </c>
      <c r="N1228">
        <v>-1.3924250000000001E-2</v>
      </c>
      <c r="O1228">
        <v>-8.9802950000000006E-2</v>
      </c>
      <c r="P1228">
        <v>-0.98382360000000002</v>
      </c>
      <c r="Q1228">
        <v>0.17869989999999999</v>
      </c>
      <c r="R1228">
        <v>1.256233E-2</v>
      </c>
      <c r="S1228">
        <v>-3.0574949999999999</v>
      </c>
      <c r="T1228">
        <v>-1.9823190000000001E-2</v>
      </c>
      <c r="U1228">
        <v>-0.2199402</v>
      </c>
      <c r="V1228">
        <v>0.10081610000000001</v>
      </c>
      <c r="W1228">
        <v>0.19233910000000001</v>
      </c>
      <c r="X1228">
        <v>0.97613609999999995</v>
      </c>
      <c r="Y1228">
        <v>1.8117089999999999E-2</v>
      </c>
      <c r="Z1228">
        <v>-4.8579530000000001E-4</v>
      </c>
      <c r="AA1228">
        <v>0.99983569999999999</v>
      </c>
      <c r="AB1228">
        <v>26</v>
      </c>
      <c r="AC1228">
        <v>-180.4442</v>
      </c>
      <c r="AD1228">
        <v>-1.1714910000000001</v>
      </c>
      <c r="AE1228">
        <v>-12.975899999999999</v>
      </c>
      <c r="AF1228">
        <v>3.2823937812930502</v>
      </c>
      <c r="AG1228">
        <v>-1.1714910000000001</v>
      </c>
      <c r="AH1228">
        <v>180.87278561414999</v>
      </c>
      <c r="AI1228">
        <v>90.371031505888496</v>
      </c>
      <c r="AJ1228">
        <v>88.960337409334699</v>
      </c>
      <c r="AK1228">
        <v>180.90635996537301</v>
      </c>
      <c r="AL1228">
        <v>78.910676472279505</v>
      </c>
      <c r="AM1228">
        <v>84.103354113561906</v>
      </c>
      <c r="AN1228">
        <v>0.99999995056561297</v>
      </c>
    </row>
    <row r="1229" spans="1:40" x14ac:dyDescent="0.25">
      <c r="A1229" t="str">
        <f>"20190303170744423"</f>
        <v>20190303170744423</v>
      </c>
      <c r="B1229" t="str">
        <f>"1551604064413550"</f>
        <v>1551604064413550</v>
      </c>
      <c r="C1229" t="s">
        <v>40</v>
      </c>
      <c r="D1229">
        <v>4.591799</v>
      </c>
      <c r="E1229">
        <v>0.4714062</v>
      </c>
      <c r="F1229" t="s">
        <v>63</v>
      </c>
      <c r="G1229">
        <v>-343.36660000000001</v>
      </c>
      <c r="H1229">
        <v>8.0000479999999999E-2</v>
      </c>
      <c r="I1229">
        <v>275.09640000000002</v>
      </c>
      <c r="J1229">
        <v>-214.7807</v>
      </c>
      <c r="K1229">
        <v>1.121505</v>
      </c>
      <c r="L1229">
        <v>284.5849</v>
      </c>
      <c r="M1229">
        <v>-0.99584550000000005</v>
      </c>
      <c r="N1229">
        <v>-1.3792270000000001E-2</v>
      </c>
      <c r="O1229">
        <v>-9.0009290000000006E-2</v>
      </c>
      <c r="P1229">
        <v>-0.98414999999999997</v>
      </c>
      <c r="Q1229">
        <v>0.17715510000000001</v>
      </c>
      <c r="R1229">
        <v>8.0715179999999997E-3</v>
      </c>
      <c r="S1229">
        <v>-3.0567169999999999</v>
      </c>
      <c r="T1229">
        <v>-2.4715899999999999E-2</v>
      </c>
      <c r="U1229">
        <v>-0.22564699999999999</v>
      </c>
      <c r="V1229">
        <v>9.6556160000000002E-2</v>
      </c>
      <c r="W1229">
        <v>0.1906842</v>
      </c>
      <c r="X1229">
        <v>0.97689119999999996</v>
      </c>
      <c r="Y1229">
        <v>1.6449809999999999E-2</v>
      </c>
      <c r="Z1229">
        <v>-3.3664259999999999E-4</v>
      </c>
      <c r="AA1229">
        <v>0.99986459999999999</v>
      </c>
      <c r="AB1229">
        <v>26</v>
      </c>
      <c r="AC1229">
        <v>-128.58590000000001</v>
      </c>
      <c r="AD1229">
        <v>-1.0415045199999999</v>
      </c>
      <c r="AE1229">
        <v>-9.4884999999999806</v>
      </c>
      <c r="AF1229">
        <v>2.1249088481976899</v>
      </c>
      <c r="AG1229">
        <v>-1.0415045199999999</v>
      </c>
      <c r="AH1229">
        <v>128.90958390450501</v>
      </c>
      <c r="AI1229">
        <v>90.462839210826303</v>
      </c>
      <c r="AJ1229">
        <v>89.055638222532906</v>
      </c>
      <c r="AK1229">
        <v>128.93130260612</v>
      </c>
      <c r="AL1229">
        <v>79.007283836059997</v>
      </c>
      <c r="AM1229">
        <v>84.355205866427298</v>
      </c>
      <c r="AN1229">
        <v>0.99999998640051202</v>
      </c>
    </row>
    <row r="1230" spans="1:40" x14ac:dyDescent="0.25">
      <c r="A1230" t="str">
        <f>"20190303170744443"</f>
        <v>20190303170744443</v>
      </c>
      <c r="B1230" t="str">
        <f>"1551604064434047"</f>
        <v>1551604064434047</v>
      </c>
      <c r="C1230" t="s">
        <v>40</v>
      </c>
      <c r="D1230">
        <v>4.5767769999999999</v>
      </c>
      <c r="E1230">
        <v>0.4716494</v>
      </c>
      <c r="F1230" t="s">
        <v>63</v>
      </c>
      <c r="G1230">
        <v>-325.03480000000002</v>
      </c>
      <c r="H1230">
        <v>8.0001829999999996E-2</v>
      </c>
      <c r="I1230">
        <v>276.05599999999998</v>
      </c>
      <c r="J1230">
        <v>-215.00899999999999</v>
      </c>
      <c r="K1230">
        <v>1.121494</v>
      </c>
      <c r="L1230">
        <v>284.56400000000002</v>
      </c>
      <c r="M1230">
        <v>-0.99582870000000001</v>
      </c>
      <c r="N1230">
        <v>-1.3628100000000001E-2</v>
      </c>
      <c r="O1230">
        <v>-9.0219339999999995E-2</v>
      </c>
      <c r="P1230">
        <v>-0.98415229999999998</v>
      </c>
      <c r="Q1230">
        <v>0.17726929999999999</v>
      </c>
      <c r="R1230">
        <v>4.472668E-3</v>
      </c>
      <c r="S1230">
        <v>-3.0554350000000001</v>
      </c>
      <c r="T1230">
        <v>-2.8862829999999999E-2</v>
      </c>
      <c r="U1230">
        <v>-0.2363586</v>
      </c>
      <c r="V1230">
        <v>9.3168790000000001E-2</v>
      </c>
      <c r="W1230">
        <v>0.19064529999999999</v>
      </c>
      <c r="X1230">
        <v>0.97722770000000003</v>
      </c>
      <c r="Y1230">
        <v>1.3144950000000001E-2</v>
      </c>
      <c r="Z1230">
        <v>-2.290301E-4</v>
      </c>
      <c r="AA1230">
        <v>0.99991359999999996</v>
      </c>
      <c r="AB1230">
        <v>26</v>
      </c>
      <c r="AC1230">
        <v>-110.0258</v>
      </c>
      <c r="AD1230">
        <v>-1.0414921699999999</v>
      </c>
      <c r="AE1230">
        <v>-8.5080000000000293</v>
      </c>
      <c r="AF1230">
        <v>1.4539499717670501</v>
      </c>
      <c r="AG1230">
        <v>-1.0414921699999999</v>
      </c>
      <c r="AH1230">
        <v>110.334852322603</v>
      </c>
      <c r="AI1230">
        <v>90.540773402804604</v>
      </c>
      <c r="AJ1230">
        <v>89.245022096045304</v>
      </c>
      <c r="AK1230">
        <v>110.349346683663</v>
      </c>
      <c r="AL1230">
        <v>79.009554619488298</v>
      </c>
      <c r="AM1230">
        <v>84.553887542120506</v>
      </c>
      <c r="AN1230">
        <v>1.00000001574472</v>
      </c>
    </row>
    <row r="1231" spans="1:40" x14ac:dyDescent="0.25">
      <c r="A1231" t="str">
        <f>"20190303170744466"</f>
        <v>20190303170744466</v>
      </c>
      <c r="B1231" t="str">
        <f>"1551604064453566"</f>
        <v>1551604064453566</v>
      </c>
      <c r="C1231" t="s">
        <v>40</v>
      </c>
      <c r="D1231">
        <v>4.5555339999999998</v>
      </c>
      <c r="E1231">
        <v>0.47174440000000001</v>
      </c>
      <c r="F1231" t="s">
        <v>63</v>
      </c>
      <c r="G1231">
        <v>-328.39109999999999</v>
      </c>
      <c r="H1231">
        <v>8.0000870000000002E-2</v>
      </c>
      <c r="I1231">
        <v>275.47550000000001</v>
      </c>
      <c r="J1231">
        <v>-215.27029999999999</v>
      </c>
      <c r="K1231">
        <v>1.121462</v>
      </c>
      <c r="L1231">
        <v>284.54020000000003</v>
      </c>
      <c r="M1231">
        <v>-0.99581299999999995</v>
      </c>
      <c r="N1231">
        <v>-1.3431709999999999E-2</v>
      </c>
      <c r="O1231">
        <v>-9.0422699999999995E-2</v>
      </c>
      <c r="P1231">
        <v>-0.98402029999999996</v>
      </c>
      <c r="Q1231">
        <v>0.17805389999999999</v>
      </c>
      <c r="R1231">
        <v>1.0618279999999999E-3</v>
      </c>
      <c r="S1231">
        <v>-3.0544739999999999</v>
      </c>
      <c r="T1231">
        <v>-2.8057459999999999E-2</v>
      </c>
      <c r="U1231">
        <v>-0.24484249999999999</v>
      </c>
      <c r="V1231">
        <v>8.9961269999999996E-2</v>
      </c>
      <c r="W1231">
        <v>0.1912384</v>
      </c>
      <c r="X1231">
        <v>0.97741230000000001</v>
      </c>
      <c r="Y1231">
        <v>1.0564810000000001E-2</v>
      </c>
      <c r="Z1231">
        <v>-2.678364E-4</v>
      </c>
      <c r="AA1231">
        <v>0.99994419999999995</v>
      </c>
      <c r="AB1231">
        <v>26</v>
      </c>
      <c r="AC1231">
        <v>-113.1208</v>
      </c>
      <c r="AD1231">
        <v>-1.0414611300000001</v>
      </c>
      <c r="AE1231">
        <v>-9.0647000000000109</v>
      </c>
      <c r="AF1231">
        <v>1.20194914370702</v>
      </c>
      <c r="AG1231">
        <v>-1.0414611300000001</v>
      </c>
      <c r="AH1231">
        <v>113.467486481519</v>
      </c>
      <c r="AI1231">
        <v>90.525844946997793</v>
      </c>
      <c r="AJ1231">
        <v>89.393094536549498</v>
      </c>
      <c r="AK1231">
        <v>113.478631519168</v>
      </c>
      <c r="AL1231">
        <v>78.974935149021803</v>
      </c>
      <c r="AM1231">
        <v>84.741298409425696</v>
      </c>
      <c r="AN1231">
        <v>0.999999979962931</v>
      </c>
    </row>
    <row r="1232" spans="1:40" x14ac:dyDescent="0.25">
      <c r="A1232" t="str">
        <f>"20190303170744491"</f>
        <v>20190303170744491</v>
      </c>
      <c r="B1232" t="str">
        <f>"1551604064483353"</f>
        <v>1551604064483353</v>
      </c>
      <c r="C1232" t="s">
        <v>40</v>
      </c>
      <c r="D1232">
        <v>4.6567460000000001</v>
      </c>
      <c r="E1232">
        <v>0.48165740000000001</v>
      </c>
      <c r="F1232" t="s">
        <v>46</v>
      </c>
      <c r="G1232">
        <v>-362.30119999999999</v>
      </c>
      <c r="H1232">
        <v>-0.05</v>
      </c>
      <c r="I1232">
        <v>272.28870000000001</v>
      </c>
      <c r="J1232">
        <v>-215.5401</v>
      </c>
      <c r="K1232">
        <v>1.1214059999999999</v>
      </c>
      <c r="L1232">
        <v>284.51549999999997</v>
      </c>
      <c r="M1232">
        <v>-0.99580219999999997</v>
      </c>
      <c r="N1232">
        <v>-1.3231410000000001E-2</v>
      </c>
      <c r="O1232">
        <v>-9.0570899999999996E-2</v>
      </c>
      <c r="P1232">
        <v>-0.98391280000000003</v>
      </c>
      <c r="Q1232">
        <v>0.17864559999999999</v>
      </c>
      <c r="R1232">
        <v>-1.309078E-3</v>
      </c>
      <c r="S1232">
        <v>-3.053375</v>
      </c>
      <c r="T1232">
        <v>-2.4327640000000001E-2</v>
      </c>
      <c r="U1232">
        <v>-0.25442500000000001</v>
      </c>
      <c r="V1232">
        <v>8.7750069999999999E-2</v>
      </c>
      <c r="W1232">
        <v>0.19162779999999999</v>
      </c>
      <c r="X1232">
        <v>0.97753710000000005</v>
      </c>
      <c r="Y1232">
        <v>7.5673880000000004E-3</v>
      </c>
      <c r="Z1232">
        <v>-3.9954790000000002E-4</v>
      </c>
      <c r="AA1232">
        <v>0.99997130000000001</v>
      </c>
      <c r="AB1232">
        <v>26</v>
      </c>
      <c r="AC1232">
        <v>-146.7611</v>
      </c>
      <c r="AD1232">
        <v>-1.1714059999999999</v>
      </c>
      <c r="AE1232">
        <v>-12.2267999999999</v>
      </c>
      <c r="AF1232">
        <v>1.1168375847598899</v>
      </c>
      <c r="AG1232">
        <v>-1.1714059999999999</v>
      </c>
      <c r="AH1232">
        <v>147.255980053966</v>
      </c>
      <c r="AI1232">
        <v>90.455759243647904</v>
      </c>
      <c r="AJ1232">
        <v>89.565458373365104</v>
      </c>
      <c r="AK1232">
        <v>147.264874222815</v>
      </c>
      <c r="AL1232">
        <v>78.952204387982704</v>
      </c>
      <c r="AM1232">
        <v>84.870507606474604</v>
      </c>
      <c r="AN1232">
        <v>1.0000000351971201</v>
      </c>
    </row>
    <row r="1233" spans="1:40" x14ac:dyDescent="0.25">
      <c r="A1233" t="str">
        <f>"20190303170744511"</f>
        <v>20190303170744511</v>
      </c>
      <c r="B1233" t="str">
        <f>"1551604064503849"</f>
        <v>1551604064503849</v>
      </c>
      <c r="C1233" t="s">
        <v>40</v>
      </c>
      <c r="D1233">
        <v>4.5963710000000004</v>
      </c>
      <c r="E1233">
        <v>0.48218559999999999</v>
      </c>
      <c r="F1233" t="s">
        <v>69</v>
      </c>
      <c r="G1233">
        <v>-456.08100000000002</v>
      </c>
      <c r="H1233">
        <v>1.4381330000000001</v>
      </c>
      <c r="I1233">
        <v>270.30650000000003</v>
      </c>
      <c r="J1233">
        <v>-215.7869</v>
      </c>
      <c r="K1233">
        <v>1.1213299999999999</v>
      </c>
      <c r="L1233">
        <v>284.49290000000002</v>
      </c>
      <c r="M1233">
        <v>-0.99580020000000002</v>
      </c>
      <c r="N1233">
        <v>-1.3038900000000001E-2</v>
      </c>
      <c r="O1233">
        <v>-9.0621170000000001E-2</v>
      </c>
      <c r="P1233">
        <v>-0.98389950000000004</v>
      </c>
      <c r="Q1233">
        <v>0.17869109999999999</v>
      </c>
      <c r="R1233">
        <v>-3.3801199999999999E-3</v>
      </c>
      <c r="S1233">
        <v>-3.0480960000000001</v>
      </c>
      <c r="T1233">
        <v>4.0136579999999998E-3</v>
      </c>
      <c r="U1233">
        <v>-0.18005370000000001</v>
      </c>
      <c r="V1233">
        <v>8.5760899999999904E-2</v>
      </c>
      <c r="W1233">
        <v>0.19147520000000001</v>
      </c>
      <c r="X1233">
        <v>0.97774349999999999</v>
      </c>
      <c r="Y1233">
        <v>3.1736640000000003E-2</v>
      </c>
      <c r="Z1233">
        <v>-1.115429E-3</v>
      </c>
      <c r="AA1233">
        <v>0.99949560000000004</v>
      </c>
      <c r="AB1233">
        <v>26</v>
      </c>
      <c r="AC1233">
        <v>-240.29409999999999</v>
      </c>
      <c r="AD1233">
        <v>0.316802999999999</v>
      </c>
      <c r="AE1233">
        <v>-14.1863999999999</v>
      </c>
      <c r="AF1233">
        <v>7.6495486211469901</v>
      </c>
      <c r="AG1233">
        <v>0.316802999999999</v>
      </c>
      <c r="AH1233">
        <v>240.59050712341599</v>
      </c>
      <c r="AI1233">
        <v>89.924592633640401</v>
      </c>
      <c r="AJ1233">
        <v>88.178900507441398</v>
      </c>
      <c r="AK1233">
        <v>240.71229315543999</v>
      </c>
      <c r="AL1233">
        <v>78.961112490046105</v>
      </c>
      <c r="AM1233">
        <v>84.987239445353694</v>
      </c>
      <c r="AN1233">
        <v>1.0000000179880399</v>
      </c>
    </row>
    <row r="1234" spans="1:40" x14ac:dyDescent="0.25">
      <c r="A1234" t="str">
        <f>"20190303170744535"</f>
        <v>20190303170744535</v>
      </c>
      <c r="B1234" t="str">
        <f>"1551604064523368"</f>
        <v>1551604064523368</v>
      </c>
      <c r="C1234" t="s">
        <v>40</v>
      </c>
      <c r="D1234">
        <v>4.5380789999999998</v>
      </c>
      <c r="E1234">
        <v>0.48298750000000001</v>
      </c>
      <c r="F1234" t="s">
        <v>69</v>
      </c>
      <c r="G1234">
        <v>-456.08100000000002</v>
      </c>
      <c r="H1234">
        <v>1.3415220000000001</v>
      </c>
      <c r="I1234">
        <v>270.17520000000002</v>
      </c>
      <c r="J1234">
        <v>-216.05690000000001</v>
      </c>
      <c r="K1234">
        <v>1.1212249999999999</v>
      </c>
      <c r="L1234">
        <v>284.4683</v>
      </c>
      <c r="M1234">
        <v>-0.99580659999999999</v>
      </c>
      <c r="N1234">
        <v>-1.2823090000000001E-2</v>
      </c>
      <c r="O1234">
        <v>-9.058223E-2</v>
      </c>
      <c r="P1234">
        <v>-0.98393459999999999</v>
      </c>
      <c r="Q1234">
        <v>0.17846479999999901</v>
      </c>
      <c r="R1234">
        <v>-4.8146980000000001E-3</v>
      </c>
      <c r="S1234">
        <v>-3.0479579999999999</v>
      </c>
      <c r="T1234">
        <v>2.7931929999999998E-3</v>
      </c>
      <c r="U1234">
        <v>-0.1816101</v>
      </c>
      <c r="V1234">
        <v>8.4331619999999996E-2</v>
      </c>
      <c r="W1234">
        <v>0.19102450000000001</v>
      </c>
      <c r="X1234">
        <v>0.97795589999999999</v>
      </c>
      <c r="Y1234">
        <v>3.1186769999999999E-2</v>
      </c>
      <c r="Z1234">
        <v>-1.0594720000000001E-3</v>
      </c>
      <c r="AA1234">
        <v>0.99951299999999998</v>
      </c>
      <c r="AB1234">
        <v>26</v>
      </c>
      <c r="AC1234">
        <v>-240.0241</v>
      </c>
      <c r="AD1234">
        <v>0.22029699999999999</v>
      </c>
      <c r="AE1234">
        <v>-14.2930999999999</v>
      </c>
      <c r="AF1234">
        <v>7.5093646892168602</v>
      </c>
      <c r="AG1234">
        <v>0.22029699999999999</v>
      </c>
      <c r="AH1234">
        <v>240.33179912148501</v>
      </c>
      <c r="AI1234">
        <v>89.947506206493799</v>
      </c>
      <c r="AJ1234">
        <v>88.2103285226396</v>
      </c>
      <c r="AK1234">
        <v>240.449189555244</v>
      </c>
      <c r="AL1234">
        <v>78.987420698337004</v>
      </c>
      <c r="AM1234">
        <v>85.071431706216103</v>
      </c>
      <c r="AN1234">
        <v>0.99999996203844099</v>
      </c>
    </row>
    <row r="1235" spans="1:40" x14ac:dyDescent="0.25">
      <c r="A1235" t="str">
        <f>"20190303170744555"</f>
        <v>20190303170744555</v>
      </c>
      <c r="B1235" t="str">
        <f>"1551604064543865"</f>
        <v>1551604064543865</v>
      </c>
      <c r="C1235" t="s">
        <v>40</v>
      </c>
      <c r="D1235">
        <v>4.5347</v>
      </c>
      <c r="E1235">
        <v>0.48350989999999999</v>
      </c>
      <c r="F1235" t="s">
        <v>70</v>
      </c>
      <c r="G1235">
        <v>-512.82560000000001</v>
      </c>
      <c r="H1235">
        <v>1.2515430000000001</v>
      </c>
      <c r="I1235">
        <v>267.11189999999999</v>
      </c>
      <c r="J1235">
        <v>-216.2945</v>
      </c>
      <c r="K1235">
        <v>1.1211100000000001</v>
      </c>
      <c r="L1235">
        <v>284.44670000000002</v>
      </c>
      <c r="M1235">
        <v>-0.99582179999999998</v>
      </c>
      <c r="N1235">
        <v>-1.2622E-2</v>
      </c>
      <c r="O1235">
        <v>-9.0442510000000004E-2</v>
      </c>
      <c r="P1235">
        <v>-0.98406570000000004</v>
      </c>
      <c r="Q1235">
        <v>0.1777301</v>
      </c>
      <c r="R1235">
        <v>-5.1969149999999999E-3</v>
      </c>
      <c r="S1235">
        <v>-3.047882</v>
      </c>
      <c r="T1235">
        <v>1.3391970000000001E-3</v>
      </c>
      <c r="U1235">
        <v>-0.1782532</v>
      </c>
      <c r="V1235">
        <v>8.3862359999999997E-2</v>
      </c>
      <c r="W1235">
        <v>0.1900789</v>
      </c>
      <c r="X1235">
        <v>0.97818050000000001</v>
      </c>
      <c r="Y1235">
        <v>3.21426E-2</v>
      </c>
      <c r="Z1235">
        <v>-9.8622259999999991E-4</v>
      </c>
      <c r="AA1235">
        <v>0.9994828</v>
      </c>
      <c r="AB1235">
        <v>26</v>
      </c>
      <c r="AC1235">
        <v>-296.53109999999998</v>
      </c>
      <c r="AD1235">
        <v>0.13043299999999999</v>
      </c>
      <c r="AE1235">
        <v>-17.334800000000001</v>
      </c>
      <c r="AF1235">
        <v>9.5574036936589497</v>
      </c>
      <c r="AG1235">
        <v>0.13043299999999999</v>
      </c>
      <c r="AH1235">
        <v>296.883496623442</v>
      </c>
      <c r="AI1235">
        <v>89.974840667961701</v>
      </c>
      <c r="AJ1235">
        <v>88.156145929589698</v>
      </c>
      <c r="AK1235">
        <v>297.03732348897199</v>
      </c>
      <c r="AL1235">
        <v>79.042611109980797</v>
      </c>
      <c r="AM1235">
        <v>85.099842467753803</v>
      </c>
      <c r="AN1235">
        <v>0.99999998711511395</v>
      </c>
    </row>
    <row r="1236" spans="1:40" x14ac:dyDescent="0.25">
      <c r="A1236" t="str">
        <f>"20190303170744578"</f>
        <v>20190303170744578</v>
      </c>
      <c r="B1236" t="str">
        <f>"1551604064563893"</f>
        <v>1551604064563893</v>
      </c>
      <c r="C1236" t="s">
        <v>40</v>
      </c>
      <c r="D1236">
        <v>4.4667649999999997</v>
      </c>
      <c r="E1236">
        <v>0.48383490000000001</v>
      </c>
      <c r="F1236" t="s">
        <v>70</v>
      </c>
      <c r="G1236">
        <v>-512.82550000000003</v>
      </c>
      <c r="H1236">
        <v>1.089043</v>
      </c>
      <c r="I1236">
        <v>267.36169999999998</v>
      </c>
      <c r="J1236">
        <v>-216.55940000000001</v>
      </c>
      <c r="K1236">
        <v>1.120968</v>
      </c>
      <c r="L1236">
        <v>284.42290000000003</v>
      </c>
      <c r="M1236">
        <v>-0.99585290000000004</v>
      </c>
      <c r="N1236">
        <v>-1.238062E-2</v>
      </c>
      <c r="O1236">
        <v>-9.0130769999999999E-2</v>
      </c>
      <c r="P1236">
        <v>-0.98420160000000001</v>
      </c>
      <c r="Q1236">
        <v>0.17698179999999999</v>
      </c>
      <c r="R1236">
        <v>-4.992158E-3</v>
      </c>
      <c r="S1236">
        <v>-3.047714</v>
      </c>
      <c r="T1236">
        <v>-3.2877919999999998E-4</v>
      </c>
      <c r="U1236">
        <v>-0.17559810000000001</v>
      </c>
      <c r="V1236">
        <v>8.3823099999999998E-2</v>
      </c>
      <c r="W1236">
        <v>0.1890733</v>
      </c>
      <c r="X1236">
        <v>0.97837879999999999</v>
      </c>
      <c r="Y1236">
        <v>3.2694830000000001E-2</v>
      </c>
      <c r="Z1236">
        <v>-9.028285E-4</v>
      </c>
      <c r="AA1236">
        <v>0.99946500000000005</v>
      </c>
      <c r="AB1236">
        <v>26</v>
      </c>
      <c r="AC1236">
        <v>-296.26609999999999</v>
      </c>
      <c r="AD1236">
        <v>-3.1924999999999898E-2</v>
      </c>
      <c r="AE1236">
        <v>-17.061199999999999</v>
      </c>
      <c r="AF1236">
        <v>9.7129913457619796</v>
      </c>
      <c r="AG1236">
        <v>-3.1924999999999898E-2</v>
      </c>
      <c r="AH1236">
        <v>296.59794725411598</v>
      </c>
      <c r="AI1236">
        <v>90.006163858280502</v>
      </c>
      <c r="AJ1236">
        <v>88.124347782203102</v>
      </c>
      <c r="AK1236">
        <v>296.756946903428</v>
      </c>
      <c r="AL1236">
        <v>79.101292564554399</v>
      </c>
      <c r="AM1236">
        <v>85.103113189553497</v>
      </c>
      <c r="AN1236">
        <v>1.00000005057796</v>
      </c>
    </row>
    <row r="1237" spans="1:40" x14ac:dyDescent="0.25">
      <c r="A1237" t="str">
        <f>"20190303170744598"</f>
        <v>20190303170744598</v>
      </c>
      <c r="B1237" t="str">
        <f>"1551604064583413"</f>
        <v>1551604064583413</v>
      </c>
      <c r="C1237" t="s">
        <v>40</v>
      </c>
      <c r="D1237">
        <v>4.539593</v>
      </c>
      <c r="E1237">
        <v>0.48404199999999997</v>
      </c>
      <c r="F1237" t="s">
        <v>70</v>
      </c>
      <c r="G1237">
        <v>-512.82550000000003</v>
      </c>
      <c r="H1237">
        <v>1.0062629999999999</v>
      </c>
      <c r="I1237">
        <v>267.67829999999998</v>
      </c>
      <c r="J1237">
        <v>-216.7878</v>
      </c>
      <c r="K1237">
        <v>1.120817</v>
      </c>
      <c r="L1237">
        <v>284.40260000000001</v>
      </c>
      <c r="M1237">
        <v>-0.99589399999999995</v>
      </c>
      <c r="N1237">
        <v>-1.216219E-2</v>
      </c>
      <c r="O1237">
        <v>-8.9706800000000003E-2</v>
      </c>
      <c r="P1237">
        <v>-0.98417600000000005</v>
      </c>
      <c r="Q1237">
        <v>0.17711489999999999</v>
      </c>
      <c r="R1237">
        <v>-5.2948369999999897E-3</v>
      </c>
      <c r="S1237">
        <v>-3.047501</v>
      </c>
      <c r="T1237">
        <v>-1.1790990000000001E-3</v>
      </c>
      <c r="U1237">
        <v>-0.17224120000000001</v>
      </c>
      <c r="V1237">
        <v>8.3155679999999996E-2</v>
      </c>
      <c r="W1237">
        <v>0.18896979999999999</v>
      </c>
      <c r="X1237">
        <v>0.97845570000000004</v>
      </c>
      <c r="Y1237">
        <v>3.3362940000000001E-2</v>
      </c>
      <c r="Z1237">
        <v>-8.4787090000000001E-4</v>
      </c>
      <c r="AA1237">
        <v>0.99944290000000002</v>
      </c>
      <c r="AB1237">
        <v>26</v>
      </c>
      <c r="AC1237">
        <v>-296.03769999999997</v>
      </c>
      <c r="AD1237">
        <v>-0.114554</v>
      </c>
      <c r="AE1237">
        <v>-16.724299999999999</v>
      </c>
      <c r="AF1237">
        <v>9.9016951591432001</v>
      </c>
      <c r="AG1237">
        <v>-0.114554</v>
      </c>
      <c r="AH1237">
        <v>296.34431362778503</v>
      </c>
      <c r="AI1237">
        <v>90.022135736668801</v>
      </c>
      <c r="AJ1237">
        <v>88.086299165373404</v>
      </c>
      <c r="AK1237">
        <v>296.50971132353601</v>
      </c>
      <c r="AL1237">
        <v>79.107331036002194</v>
      </c>
      <c r="AM1237">
        <v>85.142296035394594</v>
      </c>
      <c r="AN1237">
        <v>1.0000000046453901</v>
      </c>
    </row>
    <row r="1238" spans="1:40" x14ac:dyDescent="0.25">
      <c r="A1238" t="str">
        <f>"20190303170744621"</f>
        <v>20190303170744621</v>
      </c>
      <c r="B1238" t="str">
        <f>"1551604064613668"</f>
        <v>1551604064613668</v>
      </c>
      <c r="C1238" t="s">
        <v>40</v>
      </c>
      <c r="D1238">
        <v>4.4180640000000002</v>
      </c>
      <c r="E1238">
        <v>0.48437959999999902</v>
      </c>
      <c r="F1238" t="s">
        <v>70</v>
      </c>
      <c r="G1238">
        <v>-512.82550000000003</v>
      </c>
      <c r="H1238">
        <v>1.0996619999999999</v>
      </c>
      <c r="I1238">
        <v>267.81830000000002</v>
      </c>
      <c r="J1238">
        <v>-217.0634</v>
      </c>
      <c r="K1238">
        <v>1.1206</v>
      </c>
      <c r="L1238">
        <v>284.3784</v>
      </c>
      <c r="M1238">
        <v>-0.99596289999999998</v>
      </c>
      <c r="N1238">
        <v>-1.189195E-2</v>
      </c>
      <c r="O1238">
        <v>-8.8974999999999999E-2</v>
      </c>
      <c r="P1238">
        <v>-0.98420129999999995</v>
      </c>
      <c r="Q1238">
        <v>0.1769859</v>
      </c>
      <c r="R1238">
        <v>-4.9167050000000004E-3</v>
      </c>
      <c r="S1238">
        <v>-3.0473629999999998</v>
      </c>
      <c r="T1238">
        <v>-2.1696089999999999E-4</v>
      </c>
      <c r="U1238">
        <v>-0.17071529999999999</v>
      </c>
      <c r="V1238">
        <v>8.2889829999999998E-2</v>
      </c>
      <c r="W1238">
        <v>0.18854370000000001</v>
      </c>
      <c r="X1238">
        <v>0.9785604</v>
      </c>
      <c r="Y1238">
        <v>3.3124649999999999E-2</v>
      </c>
      <c r="Z1238">
        <v>-8.5438810000000001E-4</v>
      </c>
      <c r="AA1238">
        <v>0.99945090000000003</v>
      </c>
      <c r="AB1238">
        <v>26</v>
      </c>
      <c r="AC1238">
        <v>-295.76209999999998</v>
      </c>
      <c r="AD1238">
        <v>-2.0937999999999901E-2</v>
      </c>
      <c r="AE1238">
        <v>-16.560099999999899</v>
      </c>
      <c r="AF1238">
        <v>9.8228818407334604</v>
      </c>
      <c r="AG1238">
        <v>-2.0937999999999901E-2</v>
      </c>
      <c r="AH1238">
        <v>296.06243737421897</v>
      </c>
      <c r="AI1238">
        <v>90.004049818977805</v>
      </c>
      <c r="AJ1238">
        <v>88.0997140385238</v>
      </c>
      <c r="AK1238">
        <v>296.22534710929102</v>
      </c>
      <c r="AL1238">
        <v>79.132191103916597</v>
      </c>
      <c r="AM1238">
        <v>85.158267857222597</v>
      </c>
      <c r="AN1238">
        <v>0.99999995358763805</v>
      </c>
    </row>
    <row r="1239" spans="1:40" x14ac:dyDescent="0.25">
      <c r="A1239" t="str">
        <f>"20190303170744642"</f>
        <v>20190303170744642</v>
      </c>
      <c r="B1239" t="str">
        <f>"1551604064633188"</f>
        <v>1551604064633188</v>
      </c>
      <c r="C1239" t="s">
        <v>40</v>
      </c>
      <c r="D1239">
        <v>4.4039539999999997</v>
      </c>
      <c r="E1239">
        <v>0.4842688</v>
      </c>
      <c r="F1239" t="s">
        <v>70</v>
      </c>
      <c r="G1239">
        <v>-512.82560000000001</v>
      </c>
      <c r="H1239">
        <v>1.2423409999999999</v>
      </c>
      <c r="I1239">
        <v>268.23169999999999</v>
      </c>
      <c r="J1239">
        <v>-217.31469999999999</v>
      </c>
      <c r="K1239">
        <v>1.1203970000000001</v>
      </c>
      <c r="L1239">
        <v>284.35680000000002</v>
      </c>
      <c r="M1239">
        <v>-0.99604559999999998</v>
      </c>
      <c r="N1239">
        <v>-1.1644069999999999E-2</v>
      </c>
      <c r="O1239">
        <v>-8.8078509999999999E-2</v>
      </c>
      <c r="P1239">
        <v>-0.98433139999999997</v>
      </c>
      <c r="Q1239">
        <v>0.1763082</v>
      </c>
      <c r="R1239">
        <v>-2.7292499999999999E-3</v>
      </c>
      <c r="S1239">
        <v>-3.0470890000000002</v>
      </c>
      <c r="T1239">
        <v>1.255035E-3</v>
      </c>
      <c r="U1239">
        <v>-0.16635129999999901</v>
      </c>
      <c r="V1239">
        <v>8.4273459999999994E-2</v>
      </c>
      <c r="W1239">
        <v>0.18758730000000001</v>
      </c>
      <c r="X1239">
        <v>0.97862610000000005</v>
      </c>
      <c r="Y1239">
        <v>3.3646710000000003E-2</v>
      </c>
      <c r="Z1239">
        <v>-8.7355080000000001E-4</v>
      </c>
      <c r="AA1239">
        <v>0.99943340000000003</v>
      </c>
      <c r="AB1239">
        <v>26</v>
      </c>
      <c r="AC1239">
        <v>-295.51089999999999</v>
      </c>
      <c r="AD1239">
        <v>0.121944</v>
      </c>
      <c r="AE1239">
        <v>-16.1251</v>
      </c>
      <c r="AF1239">
        <v>9.96749768144144</v>
      </c>
      <c r="AG1239">
        <v>0.121944</v>
      </c>
      <c r="AH1239">
        <v>295.78257237051599</v>
      </c>
      <c r="AI1239">
        <v>89.976391738373593</v>
      </c>
      <c r="AJ1239">
        <v>88.069935248425097</v>
      </c>
      <c r="AK1239">
        <v>295.950495857818</v>
      </c>
      <c r="AL1239">
        <v>79.187985147309504</v>
      </c>
      <c r="AM1239">
        <v>85.078170387558501</v>
      </c>
      <c r="AN1239">
        <v>1.00000002739143</v>
      </c>
    </row>
    <row r="1240" spans="1:40" x14ac:dyDescent="0.25">
      <c r="A1240" t="str">
        <f>"20190303170744665"</f>
        <v>20190303170744665</v>
      </c>
      <c r="B1240" t="str">
        <f>"1551604064653684"</f>
        <v>1551604064653684</v>
      </c>
      <c r="C1240" t="s">
        <v>40</v>
      </c>
      <c r="D1240">
        <v>4.4422750000000004</v>
      </c>
      <c r="E1240">
        <v>0.48429339999999999</v>
      </c>
      <c r="F1240" t="s">
        <v>41</v>
      </c>
      <c r="G1240">
        <v>-355.435</v>
      </c>
      <c r="H1240">
        <v>1.069658</v>
      </c>
      <c r="I1240">
        <v>277.0566</v>
      </c>
      <c r="J1240">
        <v>-217.57810000000001</v>
      </c>
      <c r="K1240">
        <v>1.120177</v>
      </c>
      <c r="L1240">
        <v>284.3347</v>
      </c>
      <c r="M1240">
        <v>-0.99615260000000005</v>
      </c>
      <c r="N1240">
        <v>-1.139125E-2</v>
      </c>
      <c r="O1240">
        <v>-8.6894150000000003E-2</v>
      </c>
      <c r="P1240">
        <v>-0.9845256</v>
      </c>
      <c r="Q1240">
        <v>0.17524120000000001</v>
      </c>
      <c r="R1240">
        <v>4.9456999999999995E-4</v>
      </c>
      <c r="S1240">
        <v>-3.047501</v>
      </c>
      <c r="T1240">
        <v>-1.118064E-3</v>
      </c>
      <c r="U1240">
        <v>-0.16107179999999999</v>
      </c>
      <c r="V1240">
        <v>8.6417759999999996E-2</v>
      </c>
      <c r="W1240">
        <v>0.1862307</v>
      </c>
      <c r="X1240">
        <v>0.97869810000000002</v>
      </c>
      <c r="Y1240">
        <v>3.4192889999999997E-2</v>
      </c>
      <c r="Z1240">
        <v>-7.577126E-4</v>
      </c>
      <c r="AA1240">
        <v>0.99941500000000005</v>
      </c>
      <c r="AB1240">
        <v>26</v>
      </c>
      <c r="AC1240">
        <v>-137.8569</v>
      </c>
      <c r="AD1240">
        <v>-5.0518999999999897E-2</v>
      </c>
      <c r="AE1240">
        <v>-7.2780999999999896</v>
      </c>
      <c r="AF1240">
        <v>4.72916527263411</v>
      </c>
      <c r="AG1240">
        <v>-5.0518999999999897E-2</v>
      </c>
      <c r="AH1240">
        <v>137.96784229923401</v>
      </c>
      <c r="AI1240">
        <v>90.020967396224606</v>
      </c>
      <c r="AJ1240">
        <v>88.036823940131995</v>
      </c>
      <c r="AK1240">
        <v>138.048879260397</v>
      </c>
      <c r="AL1240">
        <v>79.267105968943198</v>
      </c>
      <c r="AM1240">
        <v>84.953944703026593</v>
      </c>
      <c r="AN1240">
        <v>0.99999993690475597</v>
      </c>
    </row>
    <row r="1241" spans="1:40" x14ac:dyDescent="0.25">
      <c r="A1241" t="str">
        <f>"20190303170744688"</f>
        <v>20190303170744688</v>
      </c>
      <c r="B1241" t="str">
        <f>"1551604064673711"</f>
        <v>1551604064673711</v>
      </c>
      <c r="C1241" t="s">
        <v>40</v>
      </c>
      <c r="D1241">
        <v>4.4319329999999999</v>
      </c>
      <c r="E1241">
        <v>0.46968500000000002</v>
      </c>
      <c r="F1241" t="s">
        <v>70</v>
      </c>
      <c r="G1241">
        <v>-512.82539999999995</v>
      </c>
      <c r="H1241">
        <v>0.76812349999999996</v>
      </c>
      <c r="I1241">
        <v>269.67770000000002</v>
      </c>
      <c r="J1241">
        <v>-217.83519999999999</v>
      </c>
      <c r="K1241">
        <v>1.1199809999999999</v>
      </c>
      <c r="L1241">
        <v>284.31360000000001</v>
      </c>
      <c r="M1241">
        <v>-0.99627619999999895</v>
      </c>
      <c r="N1241">
        <v>-1.1156070000000001E-2</v>
      </c>
      <c r="O1241">
        <v>-8.549466E-2</v>
      </c>
      <c r="P1241">
        <v>-0.98448290000000005</v>
      </c>
      <c r="Q1241">
        <v>0.17545229999999901</v>
      </c>
      <c r="R1241">
        <v>3.1814999999999999E-3</v>
      </c>
      <c r="S1241">
        <v>-3.0478969999999999</v>
      </c>
      <c r="T1241">
        <v>-3.6334990000000001E-3</v>
      </c>
      <c r="U1241">
        <v>-0.1513062</v>
      </c>
      <c r="V1241">
        <v>8.779402E-2</v>
      </c>
      <c r="W1241">
        <v>0.18616930000000001</v>
      </c>
      <c r="X1241">
        <v>0.97858730000000005</v>
      </c>
      <c r="Y1241">
        <v>3.5990130000000002E-2</v>
      </c>
      <c r="Z1241">
        <v>-6.3057580000000003E-4</v>
      </c>
      <c r="AA1241">
        <v>0.99935189999999996</v>
      </c>
      <c r="AB1241">
        <v>26</v>
      </c>
      <c r="AC1241">
        <v>-294.99020000000002</v>
      </c>
      <c r="AD1241">
        <v>-0.35185749999999899</v>
      </c>
      <c r="AE1241">
        <v>-14.6358999999999</v>
      </c>
      <c r="AF1241">
        <v>10.639334686282</v>
      </c>
      <c r="AG1241">
        <v>-0.35185749999999899</v>
      </c>
      <c r="AH1241">
        <v>295.16094696861501</v>
      </c>
      <c r="AI1241">
        <v>90.068257187144297</v>
      </c>
      <c r="AJ1241">
        <v>87.935617254881507</v>
      </c>
      <c r="AK1241">
        <v>295.35284637476701</v>
      </c>
      <c r="AL1241">
        <v>79.270686700342793</v>
      </c>
      <c r="AM1241">
        <v>84.873430439428702</v>
      </c>
      <c r="AN1241">
        <v>0.99999995096576899</v>
      </c>
    </row>
    <row r="1242" spans="1:40" x14ac:dyDescent="0.25">
      <c r="A1242" t="str">
        <f>"20190303170744711"</f>
        <v>20190303170744711</v>
      </c>
      <c r="B1242" t="str">
        <f>"1551604064703967"</f>
        <v>1551604064703967</v>
      </c>
      <c r="C1242" t="s">
        <v>40</v>
      </c>
      <c r="D1242">
        <v>4.4531229999999997</v>
      </c>
      <c r="E1242">
        <v>0.46688669999999999</v>
      </c>
      <c r="F1242" t="s">
        <v>69</v>
      </c>
      <c r="G1242">
        <v>-440.6841</v>
      </c>
      <c r="H1242">
        <v>2.7611680000000001</v>
      </c>
      <c r="I1242">
        <v>265.43810000000002</v>
      </c>
      <c r="J1242">
        <v>-218.1063</v>
      </c>
      <c r="K1242">
        <v>1.1197729999999999</v>
      </c>
      <c r="L1242">
        <v>284.29219999999998</v>
      </c>
      <c r="M1242">
        <v>-0.99642649999999999</v>
      </c>
      <c r="N1242">
        <v>-1.092685E-2</v>
      </c>
      <c r="O1242">
        <v>-8.3755070000000001E-2</v>
      </c>
      <c r="P1242">
        <v>-0.98429759999999999</v>
      </c>
      <c r="Q1242">
        <v>0.1764328</v>
      </c>
      <c r="R1242">
        <v>5.4652769999999897E-3</v>
      </c>
      <c r="S1242">
        <v>-3.0441590000000001</v>
      </c>
      <c r="T1242">
        <v>2.2419100000000001E-2</v>
      </c>
      <c r="U1242">
        <v>-0.25784299999999999</v>
      </c>
      <c r="V1242">
        <v>8.8425409999999996E-2</v>
      </c>
      <c r="W1242">
        <v>0.18688289999999999</v>
      </c>
      <c r="X1242">
        <v>0.9783944</v>
      </c>
      <c r="Y1242">
        <v>-6.5482500000000005E-4</v>
      </c>
      <c r="Z1242">
        <v>-1.530963E-3</v>
      </c>
      <c r="AA1242">
        <v>0.99999859999999896</v>
      </c>
      <c r="AB1242">
        <v>26</v>
      </c>
      <c r="AC1242">
        <v>-222.5778</v>
      </c>
      <c r="AD1242">
        <v>1.6413949999999999</v>
      </c>
      <c r="AE1242">
        <v>-18.854099999999899</v>
      </c>
      <c r="AF1242">
        <v>-0.144706474500917</v>
      </c>
      <c r="AG1242">
        <v>1.6413949999999999</v>
      </c>
      <c r="AH1242">
        <v>223.36281087276501</v>
      </c>
      <c r="AI1242">
        <v>89.578966198023707</v>
      </c>
      <c r="AJ1242">
        <v>90.037119290649798</v>
      </c>
      <c r="AK1242">
        <v>223.36888860916301</v>
      </c>
      <c r="AL1242">
        <v>79.229069901659798</v>
      </c>
      <c r="AM1242">
        <v>84.835747681935601</v>
      </c>
      <c r="AN1242">
        <v>0.99999993669871701</v>
      </c>
    </row>
    <row r="1243" spans="1:40" x14ac:dyDescent="0.25">
      <c r="A1243" t="str">
        <f>"20190303170744733"</f>
        <v>20190303170744733</v>
      </c>
      <c r="B1243" t="str">
        <f>"1551604064723487"</f>
        <v>1551604064723487</v>
      </c>
      <c r="C1243" t="s">
        <v>40</v>
      </c>
      <c r="D1243">
        <v>4.4178129999999998</v>
      </c>
      <c r="E1243">
        <v>0.4662115</v>
      </c>
      <c r="F1243" t="s">
        <v>69</v>
      </c>
      <c r="G1243">
        <v>-440.28820000000002</v>
      </c>
      <c r="H1243">
        <v>3.4449529999999999</v>
      </c>
      <c r="I1243">
        <v>264.43849999999998</v>
      </c>
      <c r="J1243">
        <v>-218.3656</v>
      </c>
      <c r="K1243">
        <v>1.1195900000000001</v>
      </c>
      <c r="L1243">
        <v>284.27229999999997</v>
      </c>
      <c r="M1243">
        <v>-0.99658599999999997</v>
      </c>
      <c r="N1243">
        <v>-1.0724310000000001E-2</v>
      </c>
      <c r="O1243">
        <v>-8.1862199999999996E-2</v>
      </c>
      <c r="P1243">
        <v>-0.98430059999999997</v>
      </c>
      <c r="Q1243">
        <v>0.176311299999999</v>
      </c>
      <c r="R1243">
        <v>8.1778559999999903E-3</v>
      </c>
      <c r="S1243">
        <v>-3.0436399999999999</v>
      </c>
      <c r="T1243">
        <v>3.1852480000000002E-2</v>
      </c>
      <c r="U1243">
        <v>-0.27197270000000001</v>
      </c>
      <c r="V1243">
        <v>8.9337319999999998E-2</v>
      </c>
      <c r="W1243">
        <v>0.18652589999999999</v>
      </c>
      <c r="X1243">
        <v>0.97837969999999996</v>
      </c>
      <c r="Y1243">
        <v>-7.180545E-3</v>
      </c>
      <c r="Z1243">
        <v>-1.7322559999999999E-3</v>
      </c>
      <c r="AA1243">
        <v>0.99997270000000005</v>
      </c>
      <c r="AB1243">
        <v>26</v>
      </c>
      <c r="AC1243">
        <v>-221.92259999999999</v>
      </c>
      <c r="AD1243">
        <v>2.3253629999999998</v>
      </c>
      <c r="AE1243">
        <v>-19.8338</v>
      </c>
      <c r="AF1243">
        <v>-1.59893287020035</v>
      </c>
      <c r="AG1243">
        <v>2.3253629999999998</v>
      </c>
      <c r="AH1243">
        <v>222.77713205671199</v>
      </c>
      <c r="AI1243">
        <v>89.401979839942499</v>
      </c>
      <c r="AJ1243">
        <v>90.411220538256799</v>
      </c>
      <c r="AK1243">
        <v>222.79500547996801</v>
      </c>
      <c r="AL1243">
        <v>79.249890779335203</v>
      </c>
      <c r="AM1243">
        <v>84.782704449490794</v>
      </c>
      <c r="AN1243">
        <v>0.99999995274384001</v>
      </c>
    </row>
    <row r="1244" spans="1:40" x14ac:dyDescent="0.25">
      <c r="A1244" t="str">
        <f>"20190303170744755"</f>
        <v>20190303170744755</v>
      </c>
      <c r="B1244" t="str">
        <f>"1551604064743983"</f>
        <v>1551604064743983</v>
      </c>
      <c r="C1244" t="s">
        <v>40</v>
      </c>
      <c r="D1244">
        <v>4.4348299999999998</v>
      </c>
      <c r="E1244">
        <v>0.46527449999999998</v>
      </c>
      <c r="F1244" t="s">
        <v>69</v>
      </c>
      <c r="G1244">
        <v>-440.28820000000002</v>
      </c>
      <c r="H1244">
        <v>3.4766110000000001</v>
      </c>
      <c r="I1244">
        <v>264.57069999999999</v>
      </c>
      <c r="J1244">
        <v>-218.6258</v>
      </c>
      <c r="K1244">
        <v>1.11944</v>
      </c>
      <c r="L1244">
        <v>284.25310000000002</v>
      </c>
      <c r="M1244">
        <v>-0.99675550000000002</v>
      </c>
      <c r="N1244">
        <v>-1.053845E-2</v>
      </c>
      <c r="O1244">
        <v>-7.9797510000000002E-2</v>
      </c>
      <c r="P1244">
        <v>-0.98430309999999999</v>
      </c>
      <c r="Q1244">
        <v>0.176178</v>
      </c>
      <c r="R1244">
        <v>1.0437119999999999E-2</v>
      </c>
      <c r="S1244">
        <v>-3.0442960000000001</v>
      </c>
      <c r="T1244">
        <v>3.233337E-2</v>
      </c>
      <c r="U1244">
        <v>-0.2702637</v>
      </c>
      <c r="V1244">
        <v>8.9617359999999993E-2</v>
      </c>
      <c r="W1244">
        <v>0.1861815</v>
      </c>
      <c r="X1244">
        <v>0.9784197</v>
      </c>
      <c r="Y1244">
        <v>-8.6756669999999998E-3</v>
      </c>
      <c r="Z1244">
        <v>-1.6849269999999999E-3</v>
      </c>
      <c r="AA1244">
        <v>0.99996099999999999</v>
      </c>
      <c r="AB1244">
        <v>26</v>
      </c>
      <c r="AC1244">
        <v>-221.66239999999999</v>
      </c>
      <c r="AD1244">
        <v>2.3571710000000001</v>
      </c>
      <c r="AE1244">
        <v>-19.682400000000001</v>
      </c>
      <c r="AF1244">
        <v>-1.9303232774689201</v>
      </c>
      <c r="AG1244">
        <v>2.3571710000000001</v>
      </c>
      <c r="AH1244">
        <v>222.50119023333301</v>
      </c>
      <c r="AI1244">
        <v>89.393055759012199</v>
      </c>
      <c r="AJ1244">
        <v>90.497060721945203</v>
      </c>
      <c r="AK1244">
        <v>222.52204847683899</v>
      </c>
      <c r="AL1244">
        <v>79.269975413764996</v>
      </c>
      <c r="AM1244">
        <v>84.766653573493699</v>
      </c>
      <c r="AN1244">
        <v>0.99999996575185401</v>
      </c>
    </row>
    <row r="1245" spans="1:40" x14ac:dyDescent="0.25">
      <c r="A1245" t="str">
        <f>"20190303170744777"</f>
        <v>20190303170744777</v>
      </c>
      <c r="B1245" t="str">
        <f>"1551604064773263"</f>
        <v>1551604064773263</v>
      </c>
      <c r="C1245" t="s">
        <v>40</v>
      </c>
      <c r="D1245">
        <v>4.4312909999999999</v>
      </c>
      <c r="E1245">
        <v>0.46446229999999999</v>
      </c>
      <c r="F1245" t="s">
        <v>69</v>
      </c>
      <c r="G1245">
        <v>-440.6841</v>
      </c>
      <c r="H1245">
        <v>3.593661</v>
      </c>
      <c r="I1245">
        <v>264.42590000000001</v>
      </c>
      <c r="J1245">
        <v>-218.87629999999999</v>
      </c>
      <c r="K1245">
        <v>1.119326</v>
      </c>
      <c r="L1245">
        <v>284.23520000000002</v>
      </c>
      <c r="M1245">
        <v>-0.99692480000000006</v>
      </c>
      <c r="N1245">
        <v>-1.03774E-2</v>
      </c>
      <c r="O1245">
        <v>-7.7674919999999995E-2</v>
      </c>
      <c r="P1245">
        <v>-0.98426029999999998</v>
      </c>
      <c r="Q1245">
        <v>0.176342</v>
      </c>
      <c r="R1245">
        <v>1.163898E-2</v>
      </c>
      <c r="S1245">
        <v>-3.044632</v>
      </c>
      <c r="T1245">
        <v>3.3924099999999999E-2</v>
      </c>
      <c r="U1245">
        <v>-0.2718506</v>
      </c>
      <c r="V1245">
        <v>8.8772480000000001E-2</v>
      </c>
      <c r="W1245">
        <v>0.18616840000000001</v>
      </c>
      <c r="X1245">
        <v>0.97849920000000001</v>
      </c>
      <c r="Y1245">
        <v>-1.131248E-2</v>
      </c>
      <c r="Z1245">
        <v>-1.6639949999999999E-3</v>
      </c>
      <c r="AA1245">
        <v>0.99993460000000001</v>
      </c>
      <c r="AB1245">
        <v>26</v>
      </c>
      <c r="AC1245">
        <v>-221.80779999999999</v>
      </c>
      <c r="AD1245">
        <v>2.474335</v>
      </c>
      <c r="AE1245">
        <v>-19.8093</v>
      </c>
      <c r="AF1245">
        <v>-2.5193037922583601</v>
      </c>
      <c r="AG1245">
        <v>2.474335</v>
      </c>
      <c r="AH1245">
        <v>222.64886978266</v>
      </c>
      <c r="AI1245">
        <v>89.363329158717406</v>
      </c>
      <c r="AJ1245">
        <v>90.648282270283701</v>
      </c>
      <c r="AK1245">
        <v>222.67687001748999</v>
      </c>
      <c r="AL1245">
        <v>79.270739232027594</v>
      </c>
      <c r="AM1245">
        <v>84.816140460002998</v>
      </c>
      <c r="AN1245">
        <v>0.99999995538227404</v>
      </c>
    </row>
    <row r="1246" spans="1:40" x14ac:dyDescent="0.25">
      <c r="A1246" t="str">
        <f>"20190303170744799"</f>
        <v>20190303170744799</v>
      </c>
      <c r="B1246" t="str">
        <f>"1551604064793759"</f>
        <v>1551604064793759</v>
      </c>
      <c r="C1246" t="s">
        <v>40</v>
      </c>
      <c r="D1246">
        <v>4.4329729999999996</v>
      </c>
      <c r="E1246">
        <v>0.46380539999999998</v>
      </c>
      <c r="F1246" t="s">
        <v>69</v>
      </c>
      <c r="G1246">
        <v>-440.6841</v>
      </c>
      <c r="H1246">
        <v>3.744348</v>
      </c>
      <c r="I1246">
        <v>264.2045</v>
      </c>
      <c r="J1246">
        <v>-219.14500000000001</v>
      </c>
      <c r="K1246">
        <v>1.1192230000000001</v>
      </c>
      <c r="L1246">
        <v>284.21679999999998</v>
      </c>
      <c r="M1246">
        <v>-0.99711079999999996</v>
      </c>
      <c r="N1246">
        <v>-1.0222480000000001E-2</v>
      </c>
      <c r="O1246">
        <v>-7.5270329999999996E-2</v>
      </c>
      <c r="P1246">
        <v>-0.98408960000000001</v>
      </c>
      <c r="Q1246">
        <v>0.17721410000000001</v>
      </c>
      <c r="R1246">
        <v>1.276272E-2</v>
      </c>
      <c r="S1246">
        <v>-3.0447690000000001</v>
      </c>
      <c r="T1246">
        <v>3.6033990000000002E-2</v>
      </c>
      <c r="U1246">
        <v>-0.27496340000000002</v>
      </c>
      <c r="V1246">
        <v>8.7561910000000007E-2</v>
      </c>
      <c r="W1246">
        <v>0.1868725</v>
      </c>
      <c r="X1246">
        <v>0.97847410000000001</v>
      </c>
      <c r="Y1246">
        <v>-1.473446E-2</v>
      </c>
      <c r="Z1246">
        <v>-1.6450939999999999E-3</v>
      </c>
      <c r="AA1246">
        <v>0.9998901</v>
      </c>
      <c r="AB1246">
        <v>26</v>
      </c>
      <c r="AC1246">
        <v>-221.53909999999999</v>
      </c>
      <c r="AD1246">
        <v>2.6251250000000002</v>
      </c>
      <c r="AE1246">
        <v>-20.0122999999999</v>
      </c>
      <c r="AF1246">
        <v>-3.2788738710332499</v>
      </c>
      <c r="AG1246">
        <v>2.6251250000000002</v>
      </c>
      <c r="AH1246">
        <v>222.38600289249001</v>
      </c>
      <c r="AI1246">
        <v>89.323764750628797</v>
      </c>
      <c r="AJ1246">
        <v>90.844711539781201</v>
      </c>
      <c r="AK1246">
        <v>222.42566528533999</v>
      </c>
      <c r="AL1246">
        <v>79.229677064640299</v>
      </c>
      <c r="AM1246">
        <v>84.886323736220803</v>
      </c>
      <c r="AN1246">
        <v>0.99999999185495403</v>
      </c>
    </row>
    <row r="1247" spans="1:40" x14ac:dyDescent="0.25">
      <c r="A1247" t="str">
        <f>"20190303170744824"</f>
        <v>20190303170744824</v>
      </c>
      <c r="B1247" t="str">
        <f>"1551604064813279"</f>
        <v>1551604064813279</v>
      </c>
      <c r="C1247" t="s">
        <v>40</v>
      </c>
      <c r="D1247">
        <v>4.4552300000000002</v>
      </c>
      <c r="E1247">
        <v>0.46309509999999998</v>
      </c>
      <c r="F1247" t="s">
        <v>69</v>
      </c>
      <c r="G1247">
        <v>-440.6841</v>
      </c>
      <c r="H1247">
        <v>4.0707959999999996</v>
      </c>
      <c r="I1247">
        <v>264.09710000000001</v>
      </c>
      <c r="J1247">
        <v>-219.44970000000001</v>
      </c>
      <c r="K1247">
        <v>1.1191230000000001</v>
      </c>
      <c r="L1247">
        <v>284.1968</v>
      </c>
      <c r="M1247">
        <v>-0.99732410000000005</v>
      </c>
      <c r="N1247">
        <v>-1.006348E-2</v>
      </c>
      <c r="O1247">
        <v>-7.2412459999999998E-2</v>
      </c>
      <c r="P1247">
        <v>-0.98361120000000002</v>
      </c>
      <c r="Q1247">
        <v>0.17972270000000001</v>
      </c>
      <c r="R1247">
        <v>1.4458779999999999E-2</v>
      </c>
      <c r="S1247">
        <v>-3.0447690000000001</v>
      </c>
      <c r="T1247">
        <v>4.0565730000000001E-2</v>
      </c>
      <c r="U1247">
        <v>-0.27651979999999998</v>
      </c>
      <c r="V1247">
        <v>8.6463239999999997E-2</v>
      </c>
      <c r="W1247">
        <v>0.18920619999999999</v>
      </c>
      <c r="X1247">
        <v>0.97812319999999997</v>
      </c>
      <c r="Y1247">
        <v>-1.810821E-2</v>
      </c>
      <c r="Z1247">
        <v>-1.66050799999999E-3</v>
      </c>
      <c r="AA1247">
        <v>0.99983469999999997</v>
      </c>
      <c r="AB1247">
        <v>26</v>
      </c>
      <c r="AC1247">
        <v>-221.23439999999999</v>
      </c>
      <c r="AD1247">
        <v>2.9516729999999902</v>
      </c>
      <c r="AE1247">
        <v>-20.099699999999899</v>
      </c>
      <c r="AF1247">
        <v>-4.0252808886568099</v>
      </c>
      <c r="AG1247">
        <v>2.9516729999999902</v>
      </c>
      <c r="AH1247">
        <v>222.06988689052801</v>
      </c>
      <c r="AI1247">
        <v>89.238615020449302</v>
      </c>
      <c r="AJ1247">
        <v>91.038440446853699</v>
      </c>
      <c r="AK1247">
        <v>222.12597759673099</v>
      </c>
      <c r="AL1247">
        <v>79.093536724194607</v>
      </c>
      <c r="AM1247">
        <v>84.948350719418698</v>
      </c>
      <c r="AN1247">
        <v>0.99999993618398597</v>
      </c>
    </row>
    <row r="1248" spans="1:40" x14ac:dyDescent="0.25">
      <c r="A1248" t="str">
        <f>"20190303170744844"</f>
        <v>20190303170744844</v>
      </c>
      <c r="B1248" t="str">
        <f>"1551604064833775"</f>
        <v>1551604064833775</v>
      </c>
      <c r="C1248" t="s">
        <v>40</v>
      </c>
      <c r="D1248">
        <v>4.451327</v>
      </c>
      <c r="E1248">
        <v>0.46284819999999999</v>
      </c>
      <c r="F1248" t="s">
        <v>69</v>
      </c>
      <c r="G1248">
        <v>-440.6841</v>
      </c>
      <c r="H1248">
        <v>4.7627969999999999</v>
      </c>
      <c r="I1248">
        <v>264.07229999999998</v>
      </c>
      <c r="J1248">
        <v>-219.6772</v>
      </c>
      <c r="K1248">
        <v>1.1190560000000001</v>
      </c>
      <c r="L1248">
        <v>284.18259999999998</v>
      </c>
      <c r="M1248">
        <v>-0.99748360000000003</v>
      </c>
      <c r="N1248">
        <v>-9.9580799999999994E-3</v>
      </c>
      <c r="O1248">
        <v>-7.0194149999999997E-2</v>
      </c>
      <c r="P1248">
        <v>-0.98312060000000001</v>
      </c>
      <c r="Q1248">
        <v>0.18218580000000001</v>
      </c>
      <c r="R1248">
        <v>1.680483E-2</v>
      </c>
      <c r="S1248">
        <v>-3.0448909999999998</v>
      </c>
      <c r="T1248">
        <v>5.0148730000000002E-2</v>
      </c>
      <c r="U1248">
        <v>-0.27697749999999999</v>
      </c>
      <c r="V1248">
        <v>8.6631070000000004E-2</v>
      </c>
      <c r="W1248">
        <v>0.19154679999999999</v>
      </c>
      <c r="X1248">
        <v>0.97765270000000004</v>
      </c>
      <c r="Y1248">
        <v>-2.048138E-2</v>
      </c>
      <c r="Z1248">
        <v>-1.784374E-3</v>
      </c>
      <c r="AA1248">
        <v>0.99978860000000003</v>
      </c>
      <c r="AB1248">
        <v>26</v>
      </c>
      <c r="AC1248">
        <v>-221.0069</v>
      </c>
      <c r="AD1248">
        <v>3.6437409999999999</v>
      </c>
      <c r="AE1248">
        <v>-20.110299999999899</v>
      </c>
      <c r="AF1248">
        <v>-4.5453032124377</v>
      </c>
      <c r="AG1248">
        <v>3.6437409999999999</v>
      </c>
      <c r="AH1248">
        <v>221.813595772388</v>
      </c>
      <c r="AI1248">
        <v>89.059082026694696</v>
      </c>
      <c r="AJ1248">
        <v>91.173914735040299</v>
      </c>
      <c r="AK1248">
        <v>221.89008066888499</v>
      </c>
      <c r="AL1248">
        <v>78.956932102702197</v>
      </c>
      <c r="AM1248">
        <v>84.936172905611997</v>
      </c>
      <c r="AN1248">
        <v>0.99999996034843597</v>
      </c>
    </row>
    <row r="1249" spans="1:40" x14ac:dyDescent="0.25">
      <c r="A1249" t="str">
        <f>"20190303170744866"</f>
        <v>20190303170744866</v>
      </c>
      <c r="B1249" t="str">
        <f>"1551604064853295"</f>
        <v>1551604064853295</v>
      </c>
      <c r="C1249" t="s">
        <v>40</v>
      </c>
      <c r="D1249">
        <v>4.4866060000000001</v>
      </c>
      <c r="E1249">
        <v>0.46272960000000002</v>
      </c>
      <c r="F1249" t="s">
        <v>69</v>
      </c>
      <c r="G1249">
        <v>-440.6841</v>
      </c>
      <c r="H1249">
        <v>5.2744629999999999</v>
      </c>
      <c r="I1249">
        <v>264.3956</v>
      </c>
      <c r="J1249">
        <v>-219.94030000000001</v>
      </c>
      <c r="K1249">
        <v>1.1189770000000001</v>
      </c>
      <c r="L1249">
        <v>284.1669</v>
      </c>
      <c r="M1249">
        <v>-0.99766659999999996</v>
      </c>
      <c r="N1249">
        <v>-9.8501370000000001E-3</v>
      </c>
      <c r="O1249">
        <v>-6.7559320000000006E-2</v>
      </c>
      <c r="P1249">
        <v>-0.9829097</v>
      </c>
      <c r="Q1249">
        <v>0.1830542</v>
      </c>
      <c r="R1249">
        <v>1.9491120000000001E-2</v>
      </c>
      <c r="S1249">
        <v>-3.0455779999999999</v>
      </c>
      <c r="T1249">
        <v>5.726361E-2</v>
      </c>
      <c r="U1249">
        <v>-0.27267459999999999</v>
      </c>
      <c r="V1249">
        <v>8.6747710000000006E-2</v>
      </c>
      <c r="W1249">
        <v>0.19229180000000001</v>
      </c>
      <c r="X1249">
        <v>0.97749609999999998</v>
      </c>
      <c r="Y1249">
        <v>-2.1703099999999999E-2</v>
      </c>
      <c r="Z1249">
        <v>-1.8343910000000001E-3</v>
      </c>
      <c r="AA1249">
        <v>0.99976279999999995</v>
      </c>
      <c r="AB1249">
        <v>26</v>
      </c>
      <c r="AC1249">
        <v>-220.74379999999999</v>
      </c>
      <c r="AD1249">
        <v>4.1554859999999998</v>
      </c>
      <c r="AE1249">
        <v>-19.7713</v>
      </c>
      <c r="AF1249">
        <v>-4.8104071085288798</v>
      </c>
      <c r="AG1249">
        <v>4.1554859999999998</v>
      </c>
      <c r="AH1249">
        <v>221.49733994207</v>
      </c>
      <c r="AI1249">
        <v>88.925459906121304</v>
      </c>
      <c r="AJ1249">
        <v>91.244135506450107</v>
      </c>
      <c r="AK1249">
        <v>221.58853689182399</v>
      </c>
      <c r="AL1249">
        <v>78.913438259427494</v>
      </c>
      <c r="AM1249">
        <v>84.928582390192602</v>
      </c>
      <c r="AN1249">
        <v>0.99999996352634601</v>
      </c>
    </row>
    <row r="1250" spans="1:40" x14ac:dyDescent="0.25">
      <c r="A1250" t="str">
        <f>"20190303170744886"</f>
        <v>20190303170744886</v>
      </c>
      <c r="B1250" t="str">
        <f>"1551604064884060"</f>
        <v>1551604064884060</v>
      </c>
      <c r="C1250" t="s">
        <v>40</v>
      </c>
      <c r="D1250">
        <v>4.5161389999999999</v>
      </c>
      <c r="E1250">
        <v>0.46242870000000003</v>
      </c>
      <c r="F1250" t="s">
        <v>69</v>
      </c>
      <c r="G1250">
        <v>-440.6841</v>
      </c>
      <c r="H1250">
        <v>5.4031919999999998</v>
      </c>
      <c r="I1250">
        <v>264.90199999999999</v>
      </c>
      <c r="J1250">
        <v>-220.19049999999999</v>
      </c>
      <c r="K1250">
        <v>1.1189039999999999</v>
      </c>
      <c r="L1250">
        <v>284.15260000000001</v>
      </c>
      <c r="M1250">
        <v>-0.99783790000000006</v>
      </c>
      <c r="N1250">
        <v>-9.7607059999999992E-3</v>
      </c>
      <c r="O1250">
        <v>-6.4995209999999998E-2</v>
      </c>
      <c r="P1250">
        <v>-0.98306229999999994</v>
      </c>
      <c r="Q1250">
        <v>0.181951</v>
      </c>
      <c r="R1250">
        <v>2.196592E-2</v>
      </c>
      <c r="S1250">
        <v>-3.0464169999999999</v>
      </c>
      <c r="T1250">
        <v>5.9125299999999999E-2</v>
      </c>
      <c r="U1250">
        <v>-0.26586910000000002</v>
      </c>
      <c r="V1250">
        <v>8.6733290000000005E-2</v>
      </c>
      <c r="W1250">
        <v>0.1910905</v>
      </c>
      <c r="X1250">
        <v>0.97773299999999996</v>
      </c>
      <c r="Y1250">
        <v>-2.203161E-2</v>
      </c>
      <c r="Z1250">
        <v>-1.78564E-3</v>
      </c>
      <c r="AA1250">
        <v>0.99975570000000002</v>
      </c>
      <c r="AB1250">
        <v>27</v>
      </c>
      <c r="AC1250">
        <v>-220.49359999999999</v>
      </c>
      <c r="AD1250">
        <v>4.2842880000000001</v>
      </c>
      <c r="AE1250">
        <v>-19.250599999999999</v>
      </c>
      <c r="AF1250">
        <v>-4.8763554200612802</v>
      </c>
      <c r="AG1250">
        <v>4.2842880000000001</v>
      </c>
      <c r="AH1250">
        <v>221.19571599315699</v>
      </c>
      <c r="AI1250">
        <v>88.890659682899695</v>
      </c>
      <c r="AJ1250">
        <v>91.2629057253057</v>
      </c>
      <c r="AK1250">
        <v>221.290936867227</v>
      </c>
      <c r="AL1250">
        <v>78.983568979072203</v>
      </c>
      <c r="AM1250">
        <v>84.9306431870925</v>
      </c>
      <c r="AN1250">
        <v>1.0000000310367301</v>
      </c>
    </row>
    <row r="1251" spans="1:40" x14ac:dyDescent="0.25">
      <c r="A1251" t="str">
        <f>"20190303170744912"</f>
        <v>20190303170744912</v>
      </c>
      <c r="B1251" t="str">
        <f>"1551604064903581"</f>
        <v>1551604064903581</v>
      </c>
      <c r="C1251" t="s">
        <v>40</v>
      </c>
      <c r="D1251">
        <v>4.5164109999999997</v>
      </c>
      <c r="E1251">
        <v>0.46228809999999898</v>
      </c>
      <c r="F1251" t="s">
        <v>69</v>
      </c>
      <c r="G1251">
        <v>-440.6841</v>
      </c>
      <c r="H1251">
        <v>5.0406810000000002</v>
      </c>
      <c r="I1251">
        <v>265.29849999999999</v>
      </c>
      <c r="J1251">
        <v>-220.48439999999999</v>
      </c>
      <c r="K1251">
        <v>1.1188400000000001</v>
      </c>
      <c r="L1251">
        <v>284.13690000000003</v>
      </c>
      <c r="M1251">
        <v>-0.99803390000000003</v>
      </c>
      <c r="N1251">
        <v>-9.6753819999999997E-3</v>
      </c>
      <c r="O1251">
        <v>-6.1924769999999997E-2</v>
      </c>
      <c r="P1251">
        <v>-0.98301609999999995</v>
      </c>
      <c r="Q1251">
        <v>0.18180679999999999</v>
      </c>
      <c r="R1251">
        <v>2.501625E-2</v>
      </c>
      <c r="S1251">
        <v>-3.0475159999999999</v>
      </c>
      <c r="T1251">
        <v>5.4204339999999997E-2</v>
      </c>
      <c r="U1251">
        <v>-0.26058959999999998</v>
      </c>
      <c r="V1251">
        <v>8.6785689999999999E-2</v>
      </c>
      <c r="W1251">
        <v>0.19085079999999999</v>
      </c>
      <c r="X1251">
        <v>0.97777519999999996</v>
      </c>
      <c r="Y1251">
        <v>-2.335342E-2</v>
      </c>
      <c r="Z1251">
        <v>-1.6026510000000001E-3</v>
      </c>
      <c r="AA1251">
        <v>0.999726</v>
      </c>
      <c r="AB1251">
        <v>27</v>
      </c>
      <c r="AC1251">
        <v>-220.19970000000001</v>
      </c>
      <c r="AD1251">
        <v>3.9218410000000001</v>
      </c>
      <c r="AE1251">
        <v>-18.8384</v>
      </c>
      <c r="AF1251">
        <v>-5.1641617377217797</v>
      </c>
      <c r="AG1251">
        <v>3.9218410000000001</v>
      </c>
      <c r="AH1251">
        <v>220.87412134277699</v>
      </c>
      <c r="AI1251">
        <v>88.983040871386095</v>
      </c>
      <c r="AJ1251">
        <v>91.339363674537395</v>
      </c>
      <c r="AK1251">
        <v>220.96928945495199</v>
      </c>
      <c r="AL1251">
        <v>78.997560630137301</v>
      </c>
      <c r="AM1251">
        <v>84.927814281931902</v>
      </c>
      <c r="AN1251">
        <v>1.0000000627922201</v>
      </c>
    </row>
    <row r="1252" spans="1:40" x14ac:dyDescent="0.25">
      <c r="A1252" t="str">
        <f>"20190303170744935"</f>
        <v>20190303170744935</v>
      </c>
      <c r="B1252" t="str">
        <f>"1551604064924075"</f>
        <v>1551604064924075</v>
      </c>
      <c r="C1252" t="s">
        <v>40</v>
      </c>
      <c r="D1252">
        <v>4.5526059999999999</v>
      </c>
      <c r="E1252">
        <v>0.46225759999999999</v>
      </c>
      <c r="F1252" t="s">
        <v>69</v>
      </c>
      <c r="G1252">
        <v>-440.6841</v>
      </c>
      <c r="H1252">
        <v>4.8602319999999999</v>
      </c>
      <c r="I1252">
        <v>265.952</v>
      </c>
      <c r="J1252">
        <v>-220.76249999999999</v>
      </c>
      <c r="K1252">
        <v>1.118808</v>
      </c>
      <c r="L1252">
        <v>284.12279999999998</v>
      </c>
      <c r="M1252">
        <v>-0.99821280000000001</v>
      </c>
      <c r="N1252">
        <v>-9.6114709999999999E-3</v>
      </c>
      <c r="O1252">
        <v>-5.898159E-2</v>
      </c>
      <c r="P1252">
        <v>-0.98260329999999996</v>
      </c>
      <c r="Q1252">
        <v>0.1834307</v>
      </c>
      <c r="R1252">
        <v>2.9049539999999999E-2</v>
      </c>
      <c r="S1252">
        <v>-3.0486759999999999</v>
      </c>
      <c r="T1252">
        <v>5.1799890000000001E-2</v>
      </c>
      <c r="U1252">
        <v>-0.25176999999999999</v>
      </c>
      <c r="V1252">
        <v>8.7922609999999998E-2</v>
      </c>
      <c r="W1252">
        <v>0.19239519999999999</v>
      </c>
      <c r="X1252">
        <v>0.97737079999999998</v>
      </c>
      <c r="Y1252">
        <v>-2.3395019999999999E-2</v>
      </c>
      <c r="Z1252">
        <v>-1.4800410000000001E-3</v>
      </c>
      <c r="AA1252">
        <v>0.99972519999999998</v>
      </c>
      <c r="AB1252">
        <v>27</v>
      </c>
      <c r="AC1252">
        <v>-219.92160000000001</v>
      </c>
      <c r="AD1252">
        <v>3.7414239999999999</v>
      </c>
      <c r="AE1252">
        <v>-18.1707999999999</v>
      </c>
      <c r="AF1252">
        <v>-5.1657532101779999</v>
      </c>
      <c r="AG1252">
        <v>3.7414239999999999</v>
      </c>
      <c r="AH1252">
        <v>220.547089468959</v>
      </c>
      <c r="AI1252">
        <v>89.028377643303202</v>
      </c>
      <c r="AJ1252">
        <v>91.341762207112296</v>
      </c>
      <c r="AK1252">
        <v>220.63930278398999</v>
      </c>
      <c r="AL1252">
        <v>78.907401440527707</v>
      </c>
      <c r="AM1252">
        <v>84.859605815484699</v>
      </c>
      <c r="AN1252">
        <v>0.99999998951244595</v>
      </c>
    </row>
    <row r="1253" spans="1:40" x14ac:dyDescent="0.25">
      <c r="A1253" t="str">
        <f>"20190303170744956"</f>
        <v>20190303170744956</v>
      </c>
      <c r="B1253" t="str">
        <f>"1551604064943595"</f>
        <v>1551604064943595</v>
      </c>
      <c r="C1253" t="s">
        <v>40</v>
      </c>
      <c r="D1253">
        <v>4.5718480000000001</v>
      </c>
      <c r="E1253">
        <v>0.46206540000000002</v>
      </c>
      <c r="F1253" t="s">
        <v>69</v>
      </c>
      <c r="G1253">
        <v>-440.6841</v>
      </c>
      <c r="H1253">
        <v>5.0780120000000002</v>
      </c>
      <c r="I1253">
        <v>266.83999999999997</v>
      </c>
      <c r="J1253">
        <v>-221.01589999999999</v>
      </c>
      <c r="K1253">
        <v>1.118797</v>
      </c>
      <c r="L1253">
        <v>284.11079999999998</v>
      </c>
      <c r="M1253">
        <v>-0.99836930000000002</v>
      </c>
      <c r="N1253">
        <v>-9.5623600000000007E-3</v>
      </c>
      <c r="O1253">
        <v>-5.6281699999999997E-2</v>
      </c>
      <c r="P1253">
        <v>-0.9820219</v>
      </c>
      <c r="Q1253">
        <v>0.185837</v>
      </c>
      <c r="R1253">
        <v>3.313733E-2</v>
      </c>
      <c r="S1253">
        <v>-3.049957</v>
      </c>
      <c r="T1253">
        <v>5.4907919999999999E-2</v>
      </c>
      <c r="U1253">
        <v>-0.23968510000000001</v>
      </c>
      <c r="V1253">
        <v>8.9343339999999993E-2</v>
      </c>
      <c r="W1253">
        <v>0.19473670000000001</v>
      </c>
      <c r="X1253">
        <v>0.97677809999999998</v>
      </c>
      <c r="Y1253">
        <v>-2.212894E-2</v>
      </c>
      <c r="Z1253">
        <v>-1.455547E-3</v>
      </c>
      <c r="AA1253">
        <v>0.99975409999999998</v>
      </c>
      <c r="AB1253">
        <v>27</v>
      </c>
      <c r="AC1253">
        <v>-219.66820000000001</v>
      </c>
      <c r="AD1253">
        <v>3.9592149999999999</v>
      </c>
      <c r="AE1253">
        <v>-17.270800000000001</v>
      </c>
      <c r="AF1253">
        <v>-4.8779841890089299</v>
      </c>
      <c r="AG1253">
        <v>3.9592149999999999</v>
      </c>
      <c r="AH1253">
        <v>220.22095337045599</v>
      </c>
      <c r="AI1253">
        <v>88.970278446193802</v>
      </c>
      <c r="AJ1253">
        <v>91.268917450238803</v>
      </c>
      <c r="AK1253">
        <v>220.31054994383999</v>
      </c>
      <c r="AL1253">
        <v>78.770657652135796</v>
      </c>
      <c r="AM1253">
        <v>84.773846907780495</v>
      </c>
      <c r="AN1253">
        <v>1.0000000356844201</v>
      </c>
    </row>
    <row r="1254" spans="1:40" x14ac:dyDescent="0.25">
      <c r="A1254" t="str">
        <f>"20190303170744979"</f>
        <v>20190303170744979</v>
      </c>
      <c r="B1254" t="str">
        <f>"1551604064973851"</f>
        <v>1551604064973851</v>
      </c>
      <c r="C1254" t="s">
        <v>40</v>
      </c>
      <c r="D1254">
        <v>4.633445</v>
      </c>
      <c r="E1254">
        <v>0.46178269999999999</v>
      </c>
      <c r="F1254" t="s">
        <v>69</v>
      </c>
      <c r="G1254">
        <v>-440.6841</v>
      </c>
      <c r="H1254">
        <v>5.5271290000000004</v>
      </c>
      <c r="I1254">
        <v>267.55950000000001</v>
      </c>
      <c r="J1254">
        <v>-221.29069999999999</v>
      </c>
      <c r="K1254">
        <v>1.1187849999999999</v>
      </c>
      <c r="L1254">
        <v>284.0985</v>
      </c>
      <c r="M1254">
        <v>-0.9985309</v>
      </c>
      <c r="N1254">
        <v>-9.5169989999999999E-3</v>
      </c>
      <c r="O1254">
        <v>-5.3345480000000001E-2</v>
      </c>
      <c r="P1254">
        <v>-0.98165089999999999</v>
      </c>
      <c r="Q1254">
        <v>0.1869873</v>
      </c>
      <c r="R1254">
        <v>3.7381709999999999E-2</v>
      </c>
      <c r="S1254">
        <v>-3.0510709999999999</v>
      </c>
      <c r="T1254">
        <v>6.1229470000000001E-2</v>
      </c>
      <c r="U1254">
        <v>-0.22988890000000001</v>
      </c>
      <c r="V1254">
        <v>9.0694170000000005E-2</v>
      </c>
      <c r="W1254">
        <v>0.19583049999999999</v>
      </c>
      <c r="X1254">
        <v>0.97643480000000005</v>
      </c>
      <c r="Y1254">
        <v>-2.1850809999999998E-2</v>
      </c>
      <c r="Z1254">
        <v>-1.4605620000000001E-3</v>
      </c>
      <c r="AA1254">
        <v>0.99976019999999999</v>
      </c>
      <c r="AB1254">
        <v>27</v>
      </c>
      <c r="AC1254">
        <v>-219.39340000000001</v>
      </c>
      <c r="AD1254">
        <v>4.4083439999999996</v>
      </c>
      <c r="AE1254">
        <v>-16.538999999999898</v>
      </c>
      <c r="AF1254">
        <v>-4.8093427998961698</v>
      </c>
      <c r="AG1254">
        <v>4.4083439999999996</v>
      </c>
      <c r="AH1254">
        <v>219.875030655068</v>
      </c>
      <c r="AI1254">
        <v>88.851687275944798</v>
      </c>
      <c r="AJ1254">
        <v>91.253035015981894</v>
      </c>
      <c r="AK1254">
        <v>219.97179905741601</v>
      </c>
      <c r="AL1254">
        <v>78.706756465496696</v>
      </c>
      <c r="AM1254">
        <v>84.693422925933206</v>
      </c>
      <c r="AN1254">
        <v>0.99999996792663803</v>
      </c>
    </row>
    <row r="1255" spans="1:40" x14ac:dyDescent="0.25">
      <c r="A1255" t="str">
        <f>"20190303170745000"</f>
        <v>20190303170745000</v>
      </c>
      <c r="B1255" t="str">
        <f>"1551604064993371"</f>
        <v>1551604064993371</v>
      </c>
      <c r="C1255" t="s">
        <v>40</v>
      </c>
      <c r="D1255">
        <v>4.6246999999999998</v>
      </c>
      <c r="E1255">
        <v>0.46187630000000002</v>
      </c>
      <c r="F1255" t="s">
        <v>69</v>
      </c>
      <c r="G1255">
        <v>-440.6841</v>
      </c>
      <c r="H1255">
        <v>5.7049940000000001</v>
      </c>
      <c r="I1255">
        <v>268.23930000000001</v>
      </c>
      <c r="J1255">
        <v>-221.55529999999999</v>
      </c>
      <c r="K1255">
        <v>1.118765</v>
      </c>
      <c r="L1255">
        <v>284.08749999999998</v>
      </c>
      <c r="M1255">
        <v>-0.99867810000000001</v>
      </c>
      <c r="N1255">
        <v>-9.480189E-3</v>
      </c>
      <c r="O1255">
        <v>-5.0520160000000001E-2</v>
      </c>
      <c r="P1255">
        <v>-0.98171370000000002</v>
      </c>
      <c r="Q1255">
        <v>0.18579180000000001</v>
      </c>
      <c r="R1255">
        <v>4.1469230000000003E-2</v>
      </c>
      <c r="S1255">
        <v>-3.0523220000000002</v>
      </c>
      <c r="T1255">
        <v>6.3806059999999998E-2</v>
      </c>
      <c r="U1255">
        <v>-0.22064210000000001</v>
      </c>
      <c r="V1255">
        <v>9.2007450000000005E-2</v>
      </c>
      <c r="W1255">
        <v>0.1945926</v>
      </c>
      <c r="X1255">
        <v>0.97655950000000002</v>
      </c>
      <c r="Y1255">
        <v>-2.163611E-2</v>
      </c>
      <c r="Z1255">
        <v>-1.40927E-3</v>
      </c>
      <c r="AA1255">
        <v>0.99976489999999996</v>
      </c>
      <c r="AB1255">
        <v>27</v>
      </c>
      <c r="AC1255">
        <v>-219.12880000000001</v>
      </c>
      <c r="AD1255">
        <v>4.5862290000000003</v>
      </c>
      <c r="AE1255">
        <v>-15.848199999999901</v>
      </c>
      <c r="AF1255">
        <v>-4.7549697200099201</v>
      </c>
      <c r="AG1255">
        <v>4.5862290000000003</v>
      </c>
      <c r="AH1255">
        <v>219.55397328089401</v>
      </c>
      <c r="AI1255">
        <v>88.803611818145001</v>
      </c>
      <c r="AJ1255">
        <v>91.240684052520095</v>
      </c>
      <c r="AK1255">
        <v>219.65334146537799</v>
      </c>
      <c r="AL1255">
        <v>78.779075206169694</v>
      </c>
      <c r="AM1255">
        <v>84.617713537690804</v>
      </c>
      <c r="AN1255">
        <v>1.00000005393525</v>
      </c>
    </row>
    <row r="1256" spans="1:40" x14ac:dyDescent="0.25">
      <c r="A1256" t="str">
        <f>"20190303170745022"</f>
        <v>20190303170745022</v>
      </c>
      <c r="B1256" t="str">
        <f>"1551604065013868"</f>
        <v>1551604065013868</v>
      </c>
      <c r="C1256" t="s">
        <v>40</v>
      </c>
      <c r="D1256">
        <v>4.5141900000000001</v>
      </c>
      <c r="E1256">
        <v>0.49315490000000001</v>
      </c>
      <c r="F1256" t="s">
        <v>69</v>
      </c>
      <c r="G1256">
        <v>-440.6841</v>
      </c>
      <c r="H1256">
        <v>5.3754869999999997</v>
      </c>
      <c r="I1256">
        <v>269.15989999999999</v>
      </c>
      <c r="J1256">
        <v>-221.82069999999999</v>
      </c>
      <c r="K1256">
        <v>1.118757</v>
      </c>
      <c r="L1256">
        <v>284.07709999999997</v>
      </c>
      <c r="M1256">
        <v>-0.99881750000000002</v>
      </c>
      <c r="N1256">
        <v>-9.4463819999999997E-3</v>
      </c>
      <c r="O1256">
        <v>-4.7693310000000003E-2</v>
      </c>
      <c r="P1256">
        <v>-0.98177669999999995</v>
      </c>
      <c r="Q1256">
        <v>0.18473000000000001</v>
      </c>
      <c r="R1256">
        <v>4.4606550000000002E-2</v>
      </c>
      <c r="S1256">
        <v>-3.053436</v>
      </c>
      <c r="T1256">
        <v>5.9315199999999901E-2</v>
      </c>
      <c r="U1256">
        <v>-0.20800779999999999</v>
      </c>
      <c r="V1256">
        <v>9.2370499999999994E-2</v>
      </c>
      <c r="W1256">
        <v>0.19349659999999999</v>
      </c>
      <c r="X1256">
        <v>0.97674289999999997</v>
      </c>
      <c r="Y1256">
        <v>-2.0320350000000001E-2</v>
      </c>
      <c r="Z1256">
        <v>-1.273918E-3</v>
      </c>
      <c r="AA1256">
        <v>0.99979269999999998</v>
      </c>
      <c r="AB1256">
        <v>27</v>
      </c>
      <c r="AC1256">
        <v>-218.86340000000001</v>
      </c>
      <c r="AD1256">
        <v>4.2567300000000001</v>
      </c>
      <c r="AE1256">
        <v>-14.9171999999999</v>
      </c>
      <c r="AF1256">
        <v>-4.4597596455416699</v>
      </c>
      <c r="AG1256">
        <v>4.2567300000000001</v>
      </c>
      <c r="AH1256">
        <v>219.24324896340701</v>
      </c>
      <c r="AI1256">
        <v>88.887940217265594</v>
      </c>
      <c r="AJ1256">
        <v>91.165327422590494</v>
      </c>
      <c r="AK1256">
        <v>219.32991456347099</v>
      </c>
      <c r="AL1256">
        <v>78.8430871222142</v>
      </c>
      <c r="AM1256">
        <v>84.597609733581194</v>
      </c>
      <c r="AN1256">
        <v>0.99999996809110903</v>
      </c>
    </row>
    <row r="1257" spans="1:40" x14ac:dyDescent="0.25">
      <c r="A1257" t="str">
        <f>"20190303170745046"</f>
        <v>20190303170745046</v>
      </c>
      <c r="B1257" t="str">
        <f>"1551604065033387"</f>
        <v>1551604065033387</v>
      </c>
      <c r="C1257" t="s">
        <v>40</v>
      </c>
      <c r="D1257">
        <v>4.5149549999999996</v>
      </c>
      <c r="E1257">
        <v>0.49793080000000001</v>
      </c>
      <c r="F1257" t="s">
        <v>45</v>
      </c>
      <c r="G1257">
        <v>0</v>
      </c>
      <c r="H1257">
        <v>0</v>
      </c>
      <c r="I1257">
        <v>0</v>
      </c>
      <c r="J1257">
        <v>-222.0966</v>
      </c>
      <c r="K1257">
        <v>1.1187549999999999</v>
      </c>
      <c r="L1257">
        <v>284.06709999999998</v>
      </c>
      <c r="M1257">
        <v>-0.99895339999999999</v>
      </c>
      <c r="N1257">
        <v>-9.4078689999999993E-3</v>
      </c>
      <c r="O1257">
        <v>-4.476393E-2</v>
      </c>
      <c r="P1257">
        <v>-0.98125240000000002</v>
      </c>
      <c r="Q1257">
        <v>0.1867028</v>
      </c>
      <c r="R1257">
        <v>4.7809560000000001E-2</v>
      </c>
      <c r="S1257">
        <v>-3.0529480000000002</v>
      </c>
      <c r="T1257">
        <v>2.948165E-3</v>
      </c>
      <c r="U1257">
        <v>4.8156740000000003E-2</v>
      </c>
      <c r="V1257">
        <v>9.2687779999999997E-2</v>
      </c>
      <c r="W1257">
        <v>0.1954255</v>
      </c>
      <c r="X1257">
        <v>0.97632870000000005</v>
      </c>
      <c r="Y1257">
        <v>6.051426E-2</v>
      </c>
      <c r="Z1257">
        <v>-2.089398E-4</v>
      </c>
      <c r="AA1257">
        <v>0.99816729999999998</v>
      </c>
      <c r="AB1257">
        <v>27</v>
      </c>
      <c r="AC1257">
        <v>-3.0529480000000002</v>
      </c>
      <c r="AD1257">
        <v>2.948165E-3</v>
      </c>
      <c r="AE1257">
        <v>4.8156740000000003E-2</v>
      </c>
      <c r="AF1257">
        <v>0.184776275070931</v>
      </c>
      <c r="AG1257">
        <v>2.948165E-3</v>
      </c>
      <c r="AH1257">
        <v>3.0477288112876599</v>
      </c>
      <c r="AI1257">
        <v>89.944677568641893</v>
      </c>
      <c r="AJ1257">
        <v>86.530545042630195</v>
      </c>
      <c r="AK1257">
        <v>3.0533263616355901</v>
      </c>
      <c r="AL1257">
        <v>78.730418137026305</v>
      </c>
      <c r="AM1257">
        <v>84.576877574580195</v>
      </c>
      <c r="AN1257">
        <v>0.99999994052763197</v>
      </c>
    </row>
    <row r="1258" spans="1:40" x14ac:dyDescent="0.25">
      <c r="A1258" t="str">
        <f>"20190303170745068"</f>
        <v>20190303170745068</v>
      </c>
      <c r="B1258" t="str">
        <f>"1551604065063644"</f>
        <v>1551604065063644</v>
      </c>
      <c r="C1258" t="s">
        <v>40</v>
      </c>
      <c r="D1258">
        <v>4.6001890000000003</v>
      </c>
      <c r="E1258">
        <v>0.50054189999999998</v>
      </c>
      <c r="F1258" t="s">
        <v>72</v>
      </c>
      <c r="G1258">
        <v>-550.05759999999998</v>
      </c>
      <c r="H1258">
        <v>2.1442169999999998</v>
      </c>
      <c r="I1258">
        <v>294.45030000000003</v>
      </c>
      <c r="J1258">
        <v>-222.36269999999999</v>
      </c>
      <c r="K1258">
        <v>1.1187530000000001</v>
      </c>
      <c r="L1258">
        <v>284.0582</v>
      </c>
      <c r="M1258">
        <v>-0.99907610000000002</v>
      </c>
      <c r="N1258">
        <v>-9.3643300000000006E-3</v>
      </c>
      <c r="O1258">
        <v>-4.194577E-2</v>
      </c>
      <c r="P1258">
        <v>-0.98056259999999995</v>
      </c>
      <c r="Q1258">
        <v>0.18931890000000001</v>
      </c>
      <c r="R1258">
        <v>5.1532550000000003E-2</v>
      </c>
      <c r="S1258">
        <v>-3.0507970000000002</v>
      </c>
      <c r="T1258">
        <v>9.5399620000000008E-3</v>
      </c>
      <c r="U1258">
        <v>9.6588129999999994E-2</v>
      </c>
      <c r="V1258">
        <v>9.3633850000000005E-2</v>
      </c>
      <c r="W1258">
        <v>0.19798760000000001</v>
      </c>
      <c r="X1258">
        <v>0.97572210000000004</v>
      </c>
      <c r="Y1258">
        <v>7.3540320000000006E-2</v>
      </c>
      <c r="Z1258">
        <v>-2.9438009999999999E-4</v>
      </c>
      <c r="AA1258">
        <v>0.99729219999999996</v>
      </c>
      <c r="AB1258">
        <v>27</v>
      </c>
      <c r="AC1258">
        <v>-327.69490000000002</v>
      </c>
      <c r="AD1258">
        <v>1.0254639999999899</v>
      </c>
      <c r="AE1258">
        <v>10.392099999999999</v>
      </c>
      <c r="AF1258">
        <v>24.128733247736999</v>
      </c>
      <c r="AG1258">
        <v>1.0254639999999899</v>
      </c>
      <c r="AH1258">
        <v>326.96734445248597</v>
      </c>
      <c r="AI1258">
        <v>89.820791779934297</v>
      </c>
      <c r="AJ1258">
        <v>85.779477003697295</v>
      </c>
      <c r="AK1258">
        <v>327.85803586745601</v>
      </c>
      <c r="AL1258">
        <v>78.580696053221601</v>
      </c>
      <c r="AM1258">
        <v>84.518473484013697</v>
      </c>
      <c r="AN1258">
        <v>1.0000000020239901</v>
      </c>
    </row>
    <row r="1259" spans="1:40" x14ac:dyDescent="0.25">
      <c r="A1259" t="str">
        <f>"20190303170745090"</f>
        <v>20190303170745090</v>
      </c>
      <c r="B1259" t="str">
        <f>"1551604065084140"</f>
        <v>1551604065084140</v>
      </c>
      <c r="C1259" t="s">
        <v>40</v>
      </c>
      <c r="D1259">
        <v>4.7265230000000003</v>
      </c>
      <c r="E1259">
        <v>0.50049949999999999</v>
      </c>
      <c r="F1259" t="s">
        <v>72</v>
      </c>
      <c r="G1259">
        <v>-510.9545</v>
      </c>
      <c r="H1259">
        <v>2.706264</v>
      </c>
      <c r="I1259">
        <v>296.21109999999999</v>
      </c>
      <c r="J1259">
        <v>-222.63919999999999</v>
      </c>
      <c r="K1259">
        <v>1.1187510000000001</v>
      </c>
      <c r="L1259">
        <v>284.04969999999997</v>
      </c>
      <c r="M1259">
        <v>-0.99919469999999999</v>
      </c>
      <c r="N1259">
        <v>-9.3119550000000002E-3</v>
      </c>
      <c r="O1259">
        <v>-3.902912E-2</v>
      </c>
      <c r="P1259">
        <v>-0.98000690000000001</v>
      </c>
      <c r="Q1259">
        <v>0.19115589999999999</v>
      </c>
      <c r="R1259">
        <v>5.518903E-2</v>
      </c>
      <c r="S1259">
        <v>-3.0495000000000001</v>
      </c>
      <c r="T1259">
        <v>1.6775849999999998E-2</v>
      </c>
      <c r="U1259">
        <v>0.128418</v>
      </c>
      <c r="V1259">
        <v>9.4421909999999998E-2</v>
      </c>
      <c r="W1259">
        <v>0.19976569999999999</v>
      </c>
      <c r="X1259">
        <v>0.97528360000000003</v>
      </c>
      <c r="Y1259">
        <v>8.103465E-2</v>
      </c>
      <c r="Z1259">
        <v>-4.2320820000000002E-4</v>
      </c>
      <c r="AA1259">
        <v>0.99671120000000002</v>
      </c>
      <c r="AB1259">
        <v>27</v>
      </c>
      <c r="AC1259">
        <v>-288.31529999999998</v>
      </c>
      <c r="AD1259">
        <v>1.587513</v>
      </c>
      <c r="AE1259">
        <v>12.1614</v>
      </c>
      <c r="AF1259">
        <v>23.404604947644</v>
      </c>
      <c r="AG1259">
        <v>1.587513</v>
      </c>
      <c r="AH1259">
        <v>287.61223229384598</v>
      </c>
      <c r="AI1259">
        <v>89.684793631301204</v>
      </c>
      <c r="AJ1259">
        <v>85.3477750694978</v>
      </c>
      <c r="AK1259">
        <v>288.56730912445602</v>
      </c>
      <c r="AL1259">
        <v>78.4767414602305</v>
      </c>
      <c r="AM1259">
        <v>84.470153508393906</v>
      </c>
      <c r="AN1259">
        <v>0.99999996620674803</v>
      </c>
    </row>
    <row r="1260" spans="1:40" x14ac:dyDescent="0.25">
      <c r="A1260" t="str">
        <f>"20190303170745113"</f>
        <v>20190303170745113</v>
      </c>
      <c r="B1260" t="str">
        <f>"1551604065103660"</f>
        <v>1551604065103660</v>
      </c>
      <c r="C1260" t="s">
        <v>40</v>
      </c>
      <c r="D1260">
        <v>4.7787129999999998</v>
      </c>
      <c r="E1260">
        <v>0.50062700000000004</v>
      </c>
      <c r="F1260" t="s">
        <v>72</v>
      </c>
      <c r="G1260">
        <v>-510.95490000000001</v>
      </c>
      <c r="H1260">
        <v>3.757428</v>
      </c>
      <c r="I1260">
        <v>297.19600000000003</v>
      </c>
      <c r="J1260">
        <v>-222.9205</v>
      </c>
      <c r="K1260">
        <v>1.118733</v>
      </c>
      <c r="L1260">
        <v>284.04199999999997</v>
      </c>
      <c r="M1260">
        <v>-0.99930600000000003</v>
      </c>
      <c r="N1260">
        <v>-9.2467350000000007E-3</v>
      </c>
      <c r="O1260">
        <v>-3.6081729999999999E-2</v>
      </c>
      <c r="P1260">
        <v>-0.97999729999999996</v>
      </c>
      <c r="Q1260">
        <v>0.19043930000000001</v>
      </c>
      <c r="R1260">
        <v>5.7776699999999903E-2</v>
      </c>
      <c r="S1260">
        <v>-3.0479579999999999</v>
      </c>
      <c r="T1260">
        <v>2.7895929999999999E-2</v>
      </c>
      <c r="U1260">
        <v>0.13897709999999999</v>
      </c>
      <c r="V1260">
        <v>9.4119129999999995E-2</v>
      </c>
      <c r="W1260">
        <v>0.1989891</v>
      </c>
      <c r="X1260">
        <v>0.97547169999999905</v>
      </c>
      <c r="Y1260">
        <v>8.1559549999999995E-2</v>
      </c>
      <c r="Z1260">
        <v>-6.5925640000000002E-4</v>
      </c>
      <c r="AA1260">
        <v>0.99666829999999995</v>
      </c>
      <c r="AB1260">
        <v>27</v>
      </c>
      <c r="AC1260">
        <v>-288.03440000000001</v>
      </c>
      <c r="AD1260">
        <v>2.6386949999999998</v>
      </c>
      <c r="AE1260">
        <v>13.1539999999999</v>
      </c>
      <c r="AF1260">
        <v>23.536687173155698</v>
      </c>
      <c r="AG1260">
        <v>2.6386949999999998</v>
      </c>
      <c r="AH1260">
        <v>287.34812333274903</v>
      </c>
      <c r="AI1260">
        <v>89.475628225978696</v>
      </c>
      <c r="AJ1260">
        <v>85.317355894964507</v>
      </c>
      <c r="AK1260">
        <v>288.32253178904102</v>
      </c>
      <c r="AL1260">
        <v>78.522150056473095</v>
      </c>
      <c r="AM1260">
        <v>84.488832894409001</v>
      </c>
      <c r="AN1260">
        <v>1.0000000550258199</v>
      </c>
    </row>
    <row r="1261" spans="1:40" x14ac:dyDescent="0.25">
      <c r="A1261" t="str">
        <f>"20190303170745134"</f>
        <v>20190303170745134</v>
      </c>
      <c r="B1261" t="str">
        <f>"1551604065124155"</f>
        <v>1551604065124155</v>
      </c>
      <c r="C1261" t="s">
        <v>40</v>
      </c>
      <c r="D1261">
        <v>4.7835260000000002</v>
      </c>
      <c r="E1261">
        <v>0.50018809999999903</v>
      </c>
      <c r="F1261" t="s">
        <v>72</v>
      </c>
      <c r="G1261">
        <v>-511.82139999999998</v>
      </c>
      <c r="H1261">
        <v>3.8685800000000001</v>
      </c>
      <c r="I1261">
        <v>298.0994</v>
      </c>
      <c r="J1261">
        <v>-223.1859</v>
      </c>
      <c r="K1261">
        <v>1.118722</v>
      </c>
      <c r="L1261">
        <v>284.03539999999998</v>
      </c>
      <c r="M1261">
        <v>-0.99940260000000003</v>
      </c>
      <c r="N1261">
        <v>-9.1779229999999993E-3</v>
      </c>
      <c r="O1261">
        <v>-3.332127E-2</v>
      </c>
      <c r="P1261">
        <v>-0.97996530000000004</v>
      </c>
      <c r="Q1261">
        <v>0.18985730000000001</v>
      </c>
      <c r="R1261">
        <v>6.0187089999999999E-2</v>
      </c>
      <c r="S1261">
        <v>-3.0468600000000001</v>
      </c>
      <c r="T1261">
        <v>2.9001829999999999E-2</v>
      </c>
      <c r="U1261">
        <v>0.14825439999999901</v>
      </c>
      <c r="V1261">
        <v>9.3819959999999994E-2</v>
      </c>
      <c r="W1261">
        <v>0.1983451</v>
      </c>
      <c r="X1261">
        <v>0.97563160000000004</v>
      </c>
      <c r="Y1261">
        <v>8.1850980000000004E-2</v>
      </c>
      <c r="Z1261">
        <v>-6.360831E-4</v>
      </c>
      <c r="AA1261">
        <v>0.99664439999999999</v>
      </c>
      <c r="AB1261">
        <v>27</v>
      </c>
      <c r="AC1261">
        <v>-288.63549999999998</v>
      </c>
      <c r="AD1261">
        <v>2.7498580000000001</v>
      </c>
      <c r="AE1261">
        <v>14.064</v>
      </c>
      <c r="AF1261">
        <v>23.672152018896401</v>
      </c>
      <c r="AG1261">
        <v>2.7498580000000001</v>
      </c>
      <c r="AH1261">
        <v>287.98047814202499</v>
      </c>
      <c r="AI1261">
        <v>89.4547515650588</v>
      </c>
      <c r="AJ1261">
        <v>85.300820748343099</v>
      </c>
      <c r="AK1261">
        <v>288.96485649839002</v>
      </c>
      <c r="AL1261">
        <v>78.559798252795503</v>
      </c>
      <c r="AM1261">
        <v>84.507138404844397</v>
      </c>
      <c r="AN1261">
        <v>0.99999999125348504</v>
      </c>
    </row>
    <row r="1262" spans="1:40" x14ac:dyDescent="0.25">
      <c r="A1262" t="str">
        <f>"20190303170745158"</f>
        <v>20190303170745158</v>
      </c>
      <c r="B1262" t="str">
        <f>"1551604065143676"</f>
        <v>1551604065143676</v>
      </c>
      <c r="C1262" t="s">
        <v>40</v>
      </c>
      <c r="D1262">
        <v>4.7804880000000001</v>
      </c>
      <c r="E1262">
        <v>0.4998186</v>
      </c>
      <c r="F1262" t="s">
        <v>72</v>
      </c>
      <c r="G1262">
        <v>-511.82139999999998</v>
      </c>
      <c r="H1262">
        <v>3.9286629999999998</v>
      </c>
      <c r="I1262">
        <v>298.43549999999999</v>
      </c>
      <c r="J1262">
        <v>-223.47139999999999</v>
      </c>
      <c r="K1262">
        <v>1.118717</v>
      </c>
      <c r="L1262">
        <v>284.02910000000003</v>
      </c>
      <c r="M1262">
        <v>-0.99949690000000002</v>
      </c>
      <c r="N1262">
        <v>-9.0854600000000001E-3</v>
      </c>
      <c r="O1262">
        <v>-3.0389269999999999E-2</v>
      </c>
      <c r="P1262">
        <v>-0.97962969999999905</v>
      </c>
      <c r="Q1262">
        <v>0.19068180000000001</v>
      </c>
      <c r="R1262">
        <v>6.2977340000000007E-2</v>
      </c>
      <c r="S1262">
        <v>-3.0462340000000001</v>
      </c>
      <c r="T1262">
        <v>2.9656769999999999E-2</v>
      </c>
      <c r="U1262">
        <v>0.15197749999999999</v>
      </c>
      <c r="V1262">
        <v>9.3725169999999997E-2</v>
      </c>
      <c r="W1262">
        <v>0.1990825</v>
      </c>
      <c r="X1262">
        <v>0.97549050000000004</v>
      </c>
      <c r="Y1262">
        <v>8.0152490000000007E-2</v>
      </c>
      <c r="Z1262">
        <v>-5.9715620000000001E-4</v>
      </c>
      <c r="AA1262">
        <v>0.99678239999999996</v>
      </c>
      <c r="AB1262">
        <v>27</v>
      </c>
      <c r="AC1262">
        <v>-288.35000000000002</v>
      </c>
      <c r="AD1262">
        <v>2.8099460000000001</v>
      </c>
      <c r="AE1262">
        <v>14.4063999999999</v>
      </c>
      <c r="AF1262">
        <v>23.160658989985102</v>
      </c>
      <c r="AG1262">
        <v>2.8099460000000001</v>
      </c>
      <c r="AH1262">
        <v>287.75173567958399</v>
      </c>
      <c r="AI1262">
        <v>89.442317886351802</v>
      </c>
      <c r="AJ1262">
        <v>85.398278040807</v>
      </c>
      <c r="AK1262">
        <v>288.695987689449</v>
      </c>
      <c r="AL1262">
        <v>78.516688530029995</v>
      </c>
      <c r="AM1262">
        <v>84.511865296470901</v>
      </c>
      <c r="AN1262">
        <v>0.999999982444014</v>
      </c>
    </row>
    <row r="1263" spans="1:40" x14ac:dyDescent="0.25">
      <c r="A1263" t="str">
        <f>"20190303170745178"</f>
        <v>20190303170745178</v>
      </c>
      <c r="B1263" t="str">
        <f>"1551604065173932"</f>
        <v>1551604065173932</v>
      </c>
      <c r="C1263" t="s">
        <v>40</v>
      </c>
      <c r="D1263">
        <v>4.833456</v>
      </c>
      <c r="E1263">
        <v>0.49933529999999998</v>
      </c>
      <c r="F1263" t="s">
        <v>72</v>
      </c>
      <c r="G1263">
        <v>-511.82159999999999</v>
      </c>
      <c r="H1263">
        <v>4.2621349999999998</v>
      </c>
      <c r="I1263">
        <v>298.8501</v>
      </c>
      <c r="J1263">
        <v>-223.72300000000001</v>
      </c>
      <c r="K1263">
        <v>1.1187260000000001</v>
      </c>
      <c r="L1263">
        <v>284.02420000000001</v>
      </c>
      <c r="M1263">
        <v>-0.99957169999999895</v>
      </c>
      <c r="N1263">
        <v>-8.9790319999999996E-3</v>
      </c>
      <c r="O1263">
        <v>-2.785497E-2</v>
      </c>
      <c r="P1263">
        <v>-0.97935989999999995</v>
      </c>
      <c r="Q1263">
        <v>0.1909247</v>
      </c>
      <c r="R1263">
        <v>6.634835E-2</v>
      </c>
      <c r="S1263">
        <v>-3.0458530000000001</v>
      </c>
      <c r="T1263">
        <v>3.3204909999999997E-2</v>
      </c>
      <c r="U1263">
        <v>0.15655520000000001</v>
      </c>
      <c r="V1263">
        <v>9.4596520000000003E-2</v>
      </c>
      <c r="W1263">
        <v>0.19922229999999999</v>
      </c>
      <c r="X1263">
        <v>0.97537790000000002</v>
      </c>
      <c r="Y1263">
        <v>7.9124829999999993E-2</v>
      </c>
      <c r="Z1263">
        <v>-6.2892229999999996E-4</v>
      </c>
      <c r="AA1263">
        <v>0.99686450000000004</v>
      </c>
      <c r="AB1263">
        <v>27</v>
      </c>
      <c r="AC1263">
        <v>-288.09859999999998</v>
      </c>
      <c r="AD1263">
        <v>3.1434090000000001</v>
      </c>
      <c r="AE1263">
        <v>14.825899999999899</v>
      </c>
      <c r="AF1263">
        <v>22.842735488339098</v>
      </c>
      <c r="AG1263">
        <v>3.1434090000000001</v>
      </c>
      <c r="AH1263">
        <v>287.53966951873798</v>
      </c>
      <c r="AI1263">
        <v>89.375629398582007</v>
      </c>
      <c r="AJ1263">
        <v>85.457846083011205</v>
      </c>
      <c r="AK1263">
        <v>288.46270665664298</v>
      </c>
      <c r="AL1263">
        <v>78.508515485827303</v>
      </c>
      <c r="AM1263">
        <v>84.4605232623814</v>
      </c>
      <c r="AN1263">
        <v>1.0000000371108999</v>
      </c>
    </row>
    <row r="1264" spans="1:40" x14ac:dyDescent="0.25">
      <c r="A1264" t="str">
        <f>"20190303170745201"</f>
        <v>20190303170745201</v>
      </c>
      <c r="B1264" t="str">
        <f>"1551604065193452"</f>
        <v>1551604065193452</v>
      </c>
      <c r="C1264" t="s">
        <v>40</v>
      </c>
      <c r="D1264">
        <v>4.8346169999999997</v>
      </c>
      <c r="E1264">
        <v>0.49909490000000001</v>
      </c>
      <c r="F1264" t="s">
        <v>41</v>
      </c>
      <c r="G1264">
        <v>-408.41770000000002</v>
      </c>
      <c r="H1264">
        <v>3.180984</v>
      </c>
      <c r="I1264">
        <v>293.82900000000001</v>
      </c>
      <c r="J1264">
        <v>-223.99760000000001</v>
      </c>
      <c r="K1264">
        <v>1.1187309999999999</v>
      </c>
      <c r="L1264">
        <v>284.01940000000002</v>
      </c>
      <c r="M1264">
        <v>-0.99964450000000005</v>
      </c>
      <c r="N1264">
        <v>-8.8331569999999995E-3</v>
      </c>
      <c r="O1264">
        <v>-2.5159250000000001E-2</v>
      </c>
      <c r="P1264">
        <v>-0.97924389999999994</v>
      </c>
      <c r="Q1264">
        <v>0.19023480000000001</v>
      </c>
      <c r="R1264">
        <v>6.9945919999999995E-2</v>
      </c>
      <c r="S1264">
        <v>-3.0456240000000001</v>
      </c>
      <c r="T1264">
        <v>3.4006710000000002E-2</v>
      </c>
      <c r="U1264">
        <v>0.1616821</v>
      </c>
      <c r="V1264">
        <v>9.5529639999999999E-2</v>
      </c>
      <c r="W1264">
        <v>0.19839609999999999</v>
      </c>
      <c r="X1264">
        <v>0.97545530000000003</v>
      </c>
      <c r="Y1264">
        <v>7.8114130000000004E-2</v>
      </c>
      <c r="Z1264">
        <v>-5.9332510000000005E-4</v>
      </c>
      <c r="AA1264">
        <v>0.99694419999999995</v>
      </c>
      <c r="AB1264">
        <v>27</v>
      </c>
      <c r="AC1264">
        <v>-184.42009999999999</v>
      </c>
      <c r="AD1264">
        <v>2.0622529999999899</v>
      </c>
      <c r="AE1264">
        <v>9.8095999999999801</v>
      </c>
      <c r="AF1264">
        <v>14.444745537712899</v>
      </c>
      <c r="AG1264">
        <v>2.0622529999999899</v>
      </c>
      <c r="AH1264">
        <v>184.091951693423</v>
      </c>
      <c r="AI1264">
        <v>89.360148928798196</v>
      </c>
      <c r="AJ1264">
        <v>85.513488174483896</v>
      </c>
      <c r="AK1264">
        <v>184.66929966667101</v>
      </c>
      <c r="AL1264">
        <v>78.556816829813897</v>
      </c>
      <c r="AM1264">
        <v>84.406666617495304</v>
      </c>
      <c r="AN1264">
        <v>0.99999998345591401</v>
      </c>
    </row>
    <row r="1265" spans="1:40" x14ac:dyDescent="0.25">
      <c r="A1265" t="str">
        <f>"20190303170745224"</f>
        <v>20190303170745224</v>
      </c>
      <c r="B1265" t="str">
        <f>"1551604065213947"</f>
        <v>1551604065213947</v>
      </c>
      <c r="C1265" t="s">
        <v>40</v>
      </c>
      <c r="D1265">
        <v>4.7156390000000004</v>
      </c>
      <c r="E1265">
        <v>0.49882880000000002</v>
      </c>
      <c r="F1265" t="s">
        <v>72</v>
      </c>
      <c r="G1265">
        <v>-511.82150000000001</v>
      </c>
      <c r="H1265">
        <v>4.1504379999999896</v>
      </c>
      <c r="I1265">
        <v>300.13470000000001</v>
      </c>
      <c r="J1265">
        <v>-224.28540000000001</v>
      </c>
      <c r="K1265">
        <v>1.1187419999999999</v>
      </c>
      <c r="L1265">
        <v>284.01510000000002</v>
      </c>
      <c r="M1265">
        <v>-0.99971100000000002</v>
      </c>
      <c r="N1265">
        <v>-8.6529380000000006E-3</v>
      </c>
      <c r="O1265">
        <v>-2.242539E-2</v>
      </c>
      <c r="P1265">
        <v>-0.97931159999999995</v>
      </c>
      <c r="Q1265">
        <v>0.18901770000000001</v>
      </c>
      <c r="R1265">
        <v>7.2257050000000003E-2</v>
      </c>
      <c r="S1265">
        <v>-3.0452119999999998</v>
      </c>
      <c r="T1265">
        <v>3.2076720000000003E-2</v>
      </c>
      <c r="U1265">
        <v>0.17050170000000001</v>
      </c>
      <c r="V1265">
        <v>9.5134479999999993E-2</v>
      </c>
      <c r="W1265">
        <v>0.19702040000000001</v>
      </c>
      <c r="X1265">
        <v>0.97577270000000005</v>
      </c>
      <c r="Y1265">
        <v>7.8274759999999999E-2</v>
      </c>
      <c r="Z1265">
        <v>-5.0291080000000002E-4</v>
      </c>
      <c r="AA1265">
        <v>0.99693169999999998</v>
      </c>
      <c r="AB1265">
        <v>27</v>
      </c>
      <c r="AC1265">
        <v>-287.53609999999998</v>
      </c>
      <c r="AD1265">
        <v>3.03169599999999</v>
      </c>
      <c r="AE1265">
        <v>16.119599999999899</v>
      </c>
      <c r="AF1265">
        <v>22.5613967000298</v>
      </c>
      <c r="AG1265">
        <v>3.03169599999999</v>
      </c>
      <c r="AH1265">
        <v>287.07046936306199</v>
      </c>
      <c r="AI1265">
        <v>89.396792691662498</v>
      </c>
      <c r="AJ1265">
        <v>85.5062561486032</v>
      </c>
      <c r="AK1265">
        <v>287.97163433578203</v>
      </c>
      <c r="AL1265">
        <v>78.637225857343395</v>
      </c>
      <c r="AM1265">
        <v>84.431458256149796</v>
      </c>
      <c r="AN1265">
        <v>0.99999998468315998</v>
      </c>
    </row>
    <row r="1266" spans="1:40" x14ac:dyDescent="0.25">
      <c r="A1266" t="str">
        <f>"20190303170745246"</f>
        <v>20190303170745246</v>
      </c>
      <c r="B1266" t="str">
        <f>"1551604065233471"</f>
        <v>1551604065233471</v>
      </c>
      <c r="C1266" t="s">
        <v>40</v>
      </c>
      <c r="D1266">
        <v>4.7092549999999997</v>
      </c>
      <c r="E1266">
        <v>0.49863760000000001</v>
      </c>
      <c r="F1266" t="s">
        <v>72</v>
      </c>
      <c r="G1266">
        <v>-511.82139999999998</v>
      </c>
      <c r="H1266">
        <v>3.8082639999999999</v>
      </c>
      <c r="I1266">
        <v>300.56810000000002</v>
      </c>
      <c r="J1266">
        <v>-224.55520000000001</v>
      </c>
      <c r="K1266">
        <v>1.1187640000000001</v>
      </c>
      <c r="L1266">
        <v>284.01170000000002</v>
      </c>
      <c r="M1266">
        <v>-0.99976509999999996</v>
      </c>
      <c r="N1266">
        <v>-8.4593329999999994E-3</v>
      </c>
      <c r="O1266">
        <v>-1.9958790000000001E-2</v>
      </c>
      <c r="P1266">
        <v>-0.97923640000000001</v>
      </c>
      <c r="Q1266">
        <v>0.18868370000000001</v>
      </c>
      <c r="R1266">
        <v>7.4127730000000003E-2</v>
      </c>
      <c r="S1266">
        <v>-3.0449519999999999</v>
      </c>
      <c r="T1266">
        <v>2.8482440000000001E-2</v>
      </c>
      <c r="U1266">
        <v>0.175293</v>
      </c>
      <c r="V1266">
        <v>9.4559710000000005E-2</v>
      </c>
      <c r="W1266">
        <v>0.19651550000000001</v>
      </c>
      <c r="X1266">
        <v>0.97593039999999998</v>
      </c>
      <c r="Y1266">
        <v>7.7384809999999998E-2</v>
      </c>
      <c r="Z1266">
        <v>-3.892635E-4</v>
      </c>
      <c r="AA1266">
        <v>0.99700120000000003</v>
      </c>
      <c r="AB1266">
        <v>28</v>
      </c>
      <c r="AC1266">
        <v>-287.26620000000003</v>
      </c>
      <c r="AD1266">
        <v>2.6894999999999998</v>
      </c>
      <c r="AE1266">
        <v>16.556399999999901</v>
      </c>
      <c r="AF1266">
        <v>22.2848453206439</v>
      </c>
      <c r="AG1266">
        <v>2.6894999999999998</v>
      </c>
      <c r="AH1266">
        <v>286.85345524769002</v>
      </c>
      <c r="AI1266">
        <v>89.464431733721099</v>
      </c>
      <c r="AJ1266">
        <v>85.557772995338297</v>
      </c>
      <c r="AK1266">
        <v>287.73034690270998</v>
      </c>
      <c r="AL1266">
        <v>78.6667316525605</v>
      </c>
      <c r="AM1266">
        <v>84.465780783451606</v>
      </c>
      <c r="AN1266">
        <v>1.0000000130698401</v>
      </c>
    </row>
    <row r="1267" spans="1:40" x14ac:dyDescent="0.25">
      <c r="A1267" t="str">
        <f>"20190303170745266"</f>
        <v>20190303170745266</v>
      </c>
      <c r="B1267" t="str">
        <f>"1551604065253964"</f>
        <v>1551604065253964</v>
      </c>
      <c r="C1267" t="s">
        <v>40</v>
      </c>
      <c r="D1267">
        <v>4.8255160000000004</v>
      </c>
      <c r="E1267">
        <v>0.49843880000000002</v>
      </c>
      <c r="F1267" t="s">
        <v>72</v>
      </c>
      <c r="G1267">
        <v>-511.82139999999998</v>
      </c>
      <c r="H1267">
        <v>3.7255069999999999</v>
      </c>
      <c r="I1267">
        <v>300.86399999999998</v>
      </c>
      <c r="J1267">
        <v>-224.81659999999999</v>
      </c>
      <c r="K1267">
        <v>1.118787</v>
      </c>
      <c r="L1267">
        <v>284.00889999999998</v>
      </c>
      <c r="M1267">
        <v>-0.99980999999999998</v>
      </c>
      <c r="N1267">
        <v>-8.2431090000000002E-3</v>
      </c>
      <c r="O1267">
        <v>-1.7667269999999999E-2</v>
      </c>
      <c r="P1267">
        <v>-0.97886680000000004</v>
      </c>
      <c r="Q1267">
        <v>0.1896997</v>
      </c>
      <c r="R1267">
        <v>7.6382790000000006E-2</v>
      </c>
      <c r="S1267">
        <v>-3.0447690000000001</v>
      </c>
      <c r="T1267">
        <v>2.763009E-2</v>
      </c>
      <c r="U1267">
        <v>0.17861939999999901</v>
      </c>
      <c r="V1267">
        <v>9.4540200000000005E-2</v>
      </c>
      <c r="W1267">
        <v>0.19733319999999999</v>
      </c>
      <c r="X1267">
        <v>0.9757673</v>
      </c>
      <c r="Y1267">
        <v>7.6189119999999999E-2</v>
      </c>
      <c r="Z1267">
        <v>-3.3678460000000001E-4</v>
      </c>
      <c r="AA1267">
        <v>0.99709329999999996</v>
      </c>
      <c r="AB1267">
        <v>28</v>
      </c>
      <c r="AC1267">
        <v>-287.00479999999999</v>
      </c>
      <c r="AD1267">
        <v>2.6067200000000001</v>
      </c>
      <c r="AE1267">
        <v>16.8551</v>
      </c>
      <c r="AF1267">
        <v>21.921430257586699</v>
      </c>
      <c r="AG1267">
        <v>2.6067200000000001</v>
      </c>
      <c r="AH1267">
        <v>286.63864396103799</v>
      </c>
      <c r="AI1267">
        <v>89.480477910485405</v>
      </c>
      <c r="AJ1267">
        <v>85.626670367661603</v>
      </c>
      <c r="AK1267">
        <v>287.48748895477098</v>
      </c>
      <c r="AL1267">
        <v>78.618945394692403</v>
      </c>
      <c r="AM1267">
        <v>84.465996425621</v>
      </c>
      <c r="AN1267">
        <v>1.0000000324937799</v>
      </c>
    </row>
    <row r="1268" spans="1:40" x14ac:dyDescent="0.25">
      <c r="A1268" t="str">
        <f>"20190303170745292"</f>
        <v>20190303170745292</v>
      </c>
      <c r="B1268" t="str">
        <f>"1551604065283244"</f>
        <v>1551604065283244</v>
      </c>
      <c r="C1268" t="s">
        <v>40</v>
      </c>
      <c r="D1268">
        <v>4.8330260000000003</v>
      </c>
      <c r="E1268">
        <v>0.49812899999999999</v>
      </c>
      <c r="F1268" t="s">
        <v>72</v>
      </c>
      <c r="G1268">
        <v>-511.82150000000001</v>
      </c>
      <c r="H1268">
        <v>4.0242239999999896</v>
      </c>
      <c r="I1268">
        <v>301.29050000000001</v>
      </c>
      <c r="J1268">
        <v>-225.12520000000001</v>
      </c>
      <c r="K1268">
        <v>1.118811</v>
      </c>
      <c r="L1268">
        <v>284.00619999999998</v>
      </c>
      <c r="M1268">
        <v>-0.99985460000000004</v>
      </c>
      <c r="N1268">
        <v>-7.9526749999999993E-3</v>
      </c>
      <c r="O1268">
        <v>-1.509374E-2</v>
      </c>
      <c r="P1268">
        <v>-0.97851960000000004</v>
      </c>
      <c r="Q1268">
        <v>0.1903948</v>
      </c>
      <c r="R1268">
        <v>7.9051490000000002E-2</v>
      </c>
      <c r="S1268">
        <v>-3.0444789999999999</v>
      </c>
      <c r="T1268">
        <v>3.0821080000000001E-2</v>
      </c>
      <c r="U1268">
        <v>0.18331910000000001</v>
      </c>
      <c r="V1268">
        <v>9.465229E-2</v>
      </c>
      <c r="W1268">
        <v>0.19776089999999999</v>
      </c>
      <c r="X1268">
        <v>0.97566980000000003</v>
      </c>
      <c r="Y1268">
        <v>7.5161560000000002E-2</v>
      </c>
      <c r="Z1268">
        <v>-3.5354130000000002E-4</v>
      </c>
      <c r="AA1268">
        <v>0.99717129999999998</v>
      </c>
      <c r="AB1268">
        <v>28</v>
      </c>
      <c r="AC1268">
        <v>-286.69630000000001</v>
      </c>
      <c r="AD1268">
        <v>2.9054129999999998</v>
      </c>
      <c r="AE1268">
        <v>17.284300000000002</v>
      </c>
      <c r="AF1268">
        <v>21.607575470350401</v>
      </c>
      <c r="AG1268">
        <v>2.9054129999999998</v>
      </c>
      <c r="AH1268">
        <v>286.37344130367501</v>
      </c>
      <c r="AI1268">
        <v>89.420370841754604</v>
      </c>
      <c r="AJ1268">
        <v>85.685069526982403</v>
      </c>
      <c r="AK1268">
        <v>287.20215289324801</v>
      </c>
      <c r="AL1268">
        <v>78.593946920604495</v>
      </c>
      <c r="AM1268">
        <v>84.458925703457297</v>
      </c>
      <c r="AN1268">
        <v>0.99999999410154705</v>
      </c>
    </row>
    <row r="1269" spans="1:40" x14ac:dyDescent="0.25">
      <c r="A1269" t="str">
        <f>"20190303170745314"</f>
        <v>20190303170745314</v>
      </c>
      <c r="B1269" t="str">
        <f>"1551604065303739"</f>
        <v>1551604065303739</v>
      </c>
      <c r="C1269" t="s">
        <v>40</v>
      </c>
      <c r="D1269">
        <v>4.8250419999999998</v>
      </c>
      <c r="E1269">
        <v>0.49795050000000002</v>
      </c>
      <c r="F1269" t="s">
        <v>72</v>
      </c>
      <c r="G1269">
        <v>-511.82150000000001</v>
      </c>
      <c r="H1269">
        <v>4.2172980000000004</v>
      </c>
      <c r="I1269">
        <v>301.7534</v>
      </c>
      <c r="J1269">
        <v>-225.4093</v>
      </c>
      <c r="K1269">
        <v>1.118817</v>
      </c>
      <c r="L1269">
        <v>284.0043</v>
      </c>
      <c r="M1269">
        <v>-0.99988809999999995</v>
      </c>
      <c r="N1269">
        <v>-7.6665539999999999E-3</v>
      </c>
      <c r="O1269">
        <v>-1.2841679999999999E-2</v>
      </c>
      <c r="P1269">
        <v>-0.9784967</v>
      </c>
      <c r="Q1269">
        <v>0.1899149</v>
      </c>
      <c r="R1269">
        <v>8.0476850000000003E-2</v>
      </c>
      <c r="S1269">
        <v>-3.044235</v>
      </c>
      <c r="T1269">
        <v>3.2901640000000003E-2</v>
      </c>
      <c r="U1269">
        <v>0.188446</v>
      </c>
      <c r="V1269">
        <v>9.3841629999999995E-2</v>
      </c>
      <c r="W1269">
        <v>0.1970209</v>
      </c>
      <c r="X1269">
        <v>0.97589780000000004</v>
      </c>
      <c r="Y1269">
        <v>7.4593329999999999E-2</v>
      </c>
      <c r="Z1269">
        <v>-3.5349410000000002E-4</v>
      </c>
      <c r="AA1269">
        <v>0.99721400000000004</v>
      </c>
      <c r="AB1269">
        <v>28</v>
      </c>
      <c r="AC1269">
        <v>-286.41219999999998</v>
      </c>
      <c r="AD1269">
        <v>3.098481</v>
      </c>
      <c r="AE1269">
        <v>17.749099999999999</v>
      </c>
      <c r="AF1269">
        <v>21.423260793249401</v>
      </c>
      <c r="AG1269">
        <v>3.098481</v>
      </c>
      <c r="AH1269">
        <v>286.127288011833</v>
      </c>
      <c r="AI1269">
        <v>89.381298193724106</v>
      </c>
      <c r="AJ1269">
        <v>85.718072175944101</v>
      </c>
      <c r="AK1269">
        <v>286.94491044890401</v>
      </c>
      <c r="AL1269">
        <v>78.637196828053803</v>
      </c>
      <c r="AM1269">
        <v>84.507366947149805</v>
      </c>
      <c r="AN1269">
        <v>1.0000000013013499</v>
      </c>
    </row>
    <row r="1270" spans="1:40" x14ac:dyDescent="0.25">
      <c r="A1270" t="str">
        <f>"20190303170745338"</f>
        <v>20190303170745338</v>
      </c>
      <c r="B1270" t="str">
        <f>"1551604065323260"</f>
        <v>1551604065323260</v>
      </c>
      <c r="C1270" t="s">
        <v>40</v>
      </c>
      <c r="D1270">
        <v>4.8188500000000003</v>
      </c>
      <c r="E1270">
        <v>0.49786370000000002</v>
      </c>
      <c r="F1270" t="s">
        <v>72</v>
      </c>
      <c r="G1270">
        <v>-511.82150000000001</v>
      </c>
      <c r="H1270">
        <v>4.0613060000000001</v>
      </c>
      <c r="I1270">
        <v>301.96109999999999</v>
      </c>
      <c r="J1270">
        <v>-225.72149999999999</v>
      </c>
      <c r="K1270">
        <v>1.1188229999999999</v>
      </c>
      <c r="L1270">
        <v>284.00279999999998</v>
      </c>
      <c r="M1270">
        <v>-0.99991819999999998</v>
      </c>
      <c r="N1270">
        <v>-7.353025E-3</v>
      </c>
      <c r="O1270">
        <v>-1.0468069999999999E-2</v>
      </c>
      <c r="P1270">
        <v>-0.97843309999999994</v>
      </c>
      <c r="Q1270">
        <v>0.1896448</v>
      </c>
      <c r="R1270">
        <v>8.1875229999999993E-2</v>
      </c>
      <c r="S1270">
        <v>-3.0441889999999998</v>
      </c>
      <c r="T1270">
        <v>3.1275749999999998E-2</v>
      </c>
      <c r="U1270">
        <v>0.1908569</v>
      </c>
      <c r="V1270">
        <v>9.2888929999999995E-2</v>
      </c>
      <c r="W1270">
        <v>0.19646269999999999</v>
      </c>
      <c r="X1270">
        <v>0.97610149999999996</v>
      </c>
      <c r="Y1270">
        <v>7.3014330000000002E-2</v>
      </c>
      <c r="Z1270">
        <v>-2.9032279999999998E-4</v>
      </c>
      <c r="AA1270">
        <v>0.99733079999999996</v>
      </c>
      <c r="AB1270">
        <v>28</v>
      </c>
      <c r="AC1270">
        <v>-286.10000000000002</v>
      </c>
      <c r="AD1270">
        <v>2.9424830000000002</v>
      </c>
      <c r="AE1270">
        <v>17.958300000000001</v>
      </c>
      <c r="AF1270">
        <v>20.950104345226599</v>
      </c>
      <c r="AG1270">
        <v>2.9424830000000002</v>
      </c>
      <c r="AH1270">
        <v>285.86620994926898</v>
      </c>
      <c r="AI1270">
        <v>89.411840167910796</v>
      </c>
      <c r="AJ1270">
        <v>85.808492130787698</v>
      </c>
      <c r="AK1270">
        <v>286.64796365758599</v>
      </c>
      <c r="AL1270">
        <v>78.6698173484763</v>
      </c>
      <c r="AM1270">
        <v>84.563921321147404</v>
      </c>
      <c r="AN1270">
        <v>1.0000000420550399</v>
      </c>
    </row>
    <row r="1271" spans="1:40" x14ac:dyDescent="0.25">
      <c r="A1271" t="str">
        <f>"20190303170745361"</f>
        <v>20190303170745361</v>
      </c>
      <c r="B1271" t="str">
        <f>"1551604065353515"</f>
        <v>1551604065353515</v>
      </c>
      <c r="C1271" t="s">
        <v>40</v>
      </c>
      <c r="D1271">
        <v>4.7056779999999998</v>
      </c>
      <c r="E1271">
        <v>0.49762519999999999</v>
      </c>
      <c r="F1271" t="s">
        <v>72</v>
      </c>
      <c r="G1271">
        <v>-511.82150000000001</v>
      </c>
      <c r="H1271">
        <v>3.988248</v>
      </c>
      <c r="I1271">
        <v>302.3116</v>
      </c>
      <c r="J1271">
        <v>-225.9965</v>
      </c>
      <c r="K1271">
        <v>1.11883</v>
      </c>
      <c r="L1271">
        <v>284.00200000000001</v>
      </c>
      <c r="M1271">
        <v>-0.99993940000000003</v>
      </c>
      <c r="N1271">
        <v>-7.073078E-3</v>
      </c>
      <c r="O1271">
        <v>-8.4574560000000003E-3</v>
      </c>
      <c r="P1271">
        <v>-0.97834189999999999</v>
      </c>
      <c r="Q1271">
        <v>0.18964819999999999</v>
      </c>
      <c r="R1271">
        <v>8.2950850000000007E-2</v>
      </c>
      <c r="S1271">
        <v>-3.04393</v>
      </c>
      <c r="T1271">
        <v>3.0529859999999999E-2</v>
      </c>
      <c r="U1271">
        <v>0.19479369999999999</v>
      </c>
      <c r="V1271">
        <v>9.1976589999999997E-2</v>
      </c>
      <c r="W1271">
        <v>0.19620599999999999</v>
      </c>
      <c r="X1271">
        <v>0.97623950000000004</v>
      </c>
      <c r="Y1271">
        <v>7.2299349999999998E-2</v>
      </c>
      <c r="Z1271">
        <v>-2.5073320000000001E-4</v>
      </c>
      <c r="AA1271">
        <v>0.99738289999999996</v>
      </c>
      <c r="AB1271">
        <v>28</v>
      </c>
      <c r="AC1271">
        <v>-285.82499999999999</v>
      </c>
      <c r="AD1271">
        <v>2.869418</v>
      </c>
      <c r="AE1271">
        <v>18.3095999999999</v>
      </c>
      <c r="AF1271">
        <v>20.724277403073099</v>
      </c>
      <c r="AG1271">
        <v>2.869418</v>
      </c>
      <c r="AH1271">
        <v>285.63125137642999</v>
      </c>
      <c r="AI1271">
        <v>89.425941636970293</v>
      </c>
      <c r="AJ1271">
        <v>85.850116141925</v>
      </c>
      <c r="AK1271">
        <v>286.39647518152799</v>
      </c>
      <c r="AL1271">
        <v>78.684816913010906</v>
      </c>
      <c r="AM1271">
        <v>84.617754893878896</v>
      </c>
      <c r="AN1271">
        <v>1.0000000244521301</v>
      </c>
    </row>
    <row r="1272" spans="1:40" x14ac:dyDescent="0.25">
      <c r="A1272" t="str">
        <f>"20190303170745381"</f>
        <v>20190303170745381</v>
      </c>
      <c r="B1272" t="str">
        <f>"1551604065374012"</f>
        <v>1551604065374012</v>
      </c>
      <c r="C1272" t="s">
        <v>40</v>
      </c>
      <c r="D1272">
        <v>4.7068709999999996</v>
      </c>
      <c r="E1272">
        <v>0.4974693</v>
      </c>
      <c r="F1272" t="s">
        <v>73</v>
      </c>
      <c r="G1272">
        <v>-456.8603</v>
      </c>
      <c r="H1272">
        <v>3.4254470000000001</v>
      </c>
      <c r="I1272">
        <v>298.90839999999997</v>
      </c>
      <c r="J1272">
        <v>-226.26429999999999</v>
      </c>
      <c r="K1272">
        <v>1.1188199999999999</v>
      </c>
      <c r="L1272">
        <v>284.00170000000003</v>
      </c>
      <c r="M1272">
        <v>-0.99995540000000005</v>
      </c>
      <c r="N1272">
        <v>-6.7919019999999998E-3</v>
      </c>
      <c r="O1272">
        <v>-6.5673509999999999E-3</v>
      </c>
      <c r="P1272">
        <v>-0.97820700000000005</v>
      </c>
      <c r="Q1272">
        <v>0.1899544</v>
      </c>
      <c r="R1272">
        <v>8.3835480000000004E-2</v>
      </c>
      <c r="S1272">
        <v>-3.0438390000000002</v>
      </c>
      <c r="T1272">
        <v>3.0411359999999998E-2</v>
      </c>
      <c r="U1272">
        <v>0.19653319999999999</v>
      </c>
      <c r="V1272">
        <v>9.0995000000000006E-2</v>
      </c>
      <c r="W1272">
        <v>0.1962499</v>
      </c>
      <c r="X1272">
        <v>0.97632269999999999</v>
      </c>
      <c r="Y1272">
        <v>7.09838E-2</v>
      </c>
      <c r="Z1272">
        <v>-2.230167E-4</v>
      </c>
      <c r="AA1272">
        <v>0.99747750000000002</v>
      </c>
      <c r="AB1272">
        <v>28</v>
      </c>
      <c r="AC1272">
        <v>-230.59599999999901</v>
      </c>
      <c r="AD1272">
        <v>2.3066270000000002</v>
      </c>
      <c r="AE1272">
        <v>14.906699999999899</v>
      </c>
      <c r="AF1272">
        <v>16.419182241694902</v>
      </c>
      <c r="AG1272">
        <v>2.3066270000000002</v>
      </c>
      <c r="AH1272">
        <v>230.47016273130399</v>
      </c>
      <c r="AI1272">
        <v>89.428032255072296</v>
      </c>
      <c r="AJ1272">
        <v>85.925012197886502</v>
      </c>
      <c r="AK1272">
        <v>231.06580444323001</v>
      </c>
      <c r="AL1272">
        <v>78.6822522098023</v>
      </c>
      <c r="AM1272">
        <v>84.675314352596004</v>
      </c>
      <c r="AN1272">
        <v>1.0000000639051401</v>
      </c>
    </row>
    <row r="1273" spans="1:40" x14ac:dyDescent="0.25">
      <c r="A1273" t="str">
        <f>"20190303170745403"</f>
        <v>20190303170745403</v>
      </c>
      <c r="B1273" t="str">
        <f>"1551604065393532"</f>
        <v>1551604065393532</v>
      </c>
      <c r="C1273" t="s">
        <v>40</v>
      </c>
      <c r="D1273">
        <v>4.5794779999999999</v>
      </c>
      <c r="E1273">
        <v>0.4972818</v>
      </c>
      <c r="F1273" t="s">
        <v>73</v>
      </c>
      <c r="G1273">
        <v>-455.3587</v>
      </c>
      <c r="H1273">
        <v>3.5011389999999998</v>
      </c>
      <c r="I1273">
        <v>298.93920000000003</v>
      </c>
      <c r="J1273">
        <v>-226.54839999999999</v>
      </c>
      <c r="K1273">
        <v>1.118811</v>
      </c>
      <c r="L1273">
        <v>284.0018</v>
      </c>
      <c r="M1273">
        <v>-0.99996830000000003</v>
      </c>
      <c r="N1273">
        <v>-6.4843130000000002E-3</v>
      </c>
      <c r="O1273">
        <v>-4.6248859999999999E-3</v>
      </c>
      <c r="P1273">
        <v>-0.97807219999999995</v>
      </c>
      <c r="Q1273">
        <v>0.19009190000000001</v>
      </c>
      <c r="R1273">
        <v>8.5089960000000006E-2</v>
      </c>
      <c r="S1273">
        <v>-3.0436860000000001</v>
      </c>
      <c r="T1273">
        <v>3.1651020000000002E-2</v>
      </c>
      <c r="U1273">
        <v>0.19845579999999999</v>
      </c>
      <c r="V1273">
        <v>9.0332549999999998E-2</v>
      </c>
      <c r="W1273">
        <v>0.19609750000000001</v>
      </c>
      <c r="X1273">
        <v>0.97641469999999997</v>
      </c>
      <c r="Y1273">
        <v>6.9676730000000006E-2</v>
      </c>
      <c r="Z1273">
        <v>-2.137385E-4</v>
      </c>
      <c r="AA1273">
        <v>0.99756959999999995</v>
      </c>
      <c r="AB1273">
        <v>28</v>
      </c>
      <c r="AC1273">
        <v>-228.81030000000001</v>
      </c>
      <c r="AD1273">
        <v>2.3823279999999998</v>
      </c>
      <c r="AE1273">
        <v>14.9374</v>
      </c>
      <c r="AF1273">
        <v>15.993757565633</v>
      </c>
      <c r="AG1273">
        <v>2.3823279999999998</v>
      </c>
      <c r="AH1273">
        <v>228.71407890213001</v>
      </c>
      <c r="AI1273">
        <v>89.404671901148703</v>
      </c>
      <c r="AJ1273">
        <v>85.999872565711797</v>
      </c>
      <c r="AK1273">
        <v>229.28498785532699</v>
      </c>
      <c r="AL1273">
        <v>78.691155612885098</v>
      </c>
      <c r="AM1273">
        <v>84.714353292317199</v>
      </c>
      <c r="AN1273">
        <v>0.99999993273591903</v>
      </c>
    </row>
    <row r="1274" spans="1:40" x14ac:dyDescent="0.25">
      <c r="A1274" t="str">
        <f>"20190303170745426"</f>
        <v>20190303170745426</v>
      </c>
      <c r="B1274" t="str">
        <f>"1551604065414028"</f>
        <v>1551604065414028</v>
      </c>
      <c r="C1274" t="s">
        <v>40</v>
      </c>
      <c r="D1274">
        <v>4.5533279999999996</v>
      </c>
      <c r="E1274">
        <v>0.49710199999999999</v>
      </c>
      <c r="F1274" t="s">
        <v>73</v>
      </c>
      <c r="G1274">
        <v>-455.3587</v>
      </c>
      <c r="H1274">
        <v>3.5346639999999998</v>
      </c>
      <c r="I1274">
        <v>299.11430000000001</v>
      </c>
      <c r="J1274">
        <v>-226.84100000000001</v>
      </c>
      <c r="K1274">
        <v>1.118797</v>
      </c>
      <c r="L1274">
        <v>284.00240000000002</v>
      </c>
      <c r="M1274">
        <v>-0.99997749999999996</v>
      </c>
      <c r="N1274">
        <v>-6.1621050000000002E-3</v>
      </c>
      <c r="O1274">
        <v>-2.6791940000000002E-3</v>
      </c>
      <c r="P1274">
        <v>-0.97801919999999998</v>
      </c>
      <c r="Q1274">
        <v>0.18995509999999999</v>
      </c>
      <c r="R1274">
        <v>8.5999590000000001E-2</v>
      </c>
      <c r="S1274">
        <v>-3.043533</v>
      </c>
      <c r="T1274">
        <v>3.213477E-2</v>
      </c>
      <c r="U1274">
        <v>0.20101930000000001</v>
      </c>
      <c r="V1274">
        <v>8.9323250000000007E-2</v>
      </c>
      <c r="W1274">
        <v>0.195657</v>
      </c>
      <c r="X1274">
        <v>0.97659589999999996</v>
      </c>
      <c r="Y1274">
        <v>6.8575659999999997E-2</v>
      </c>
      <c r="Z1274">
        <v>-1.948478E-4</v>
      </c>
      <c r="AA1274">
        <v>0.99764589999999997</v>
      </c>
      <c r="AB1274">
        <v>29</v>
      </c>
      <c r="AC1274">
        <v>-228.51769999999999</v>
      </c>
      <c r="AD1274">
        <v>2.4158669999999902</v>
      </c>
      <c r="AE1274">
        <v>15.111899999999901</v>
      </c>
      <c r="AF1274">
        <v>15.722351030091501</v>
      </c>
      <c r="AG1274">
        <v>2.4158669999999902</v>
      </c>
      <c r="AH1274">
        <v>228.45096965076701</v>
      </c>
      <c r="AI1274">
        <v>89.395549882135398</v>
      </c>
      <c r="AJ1274">
        <v>86.063023220705702</v>
      </c>
      <c r="AK1274">
        <v>229.00409225524999</v>
      </c>
      <c r="AL1274">
        <v>78.716892928077996</v>
      </c>
      <c r="AM1274">
        <v>84.774046160730293</v>
      </c>
      <c r="AN1274">
        <v>0.99999992826818296</v>
      </c>
    </row>
    <row r="1275" spans="1:40" x14ac:dyDescent="0.25">
      <c r="A1275" t="str">
        <f>"20190303170745448"</f>
        <v>20190303170745448</v>
      </c>
      <c r="B1275" t="str">
        <f>"1551604065443308"</f>
        <v>1551604065443308</v>
      </c>
      <c r="C1275" t="s">
        <v>40</v>
      </c>
      <c r="D1275">
        <v>4.5325949999999997</v>
      </c>
      <c r="E1275">
        <v>0.4968534</v>
      </c>
      <c r="F1275" t="s">
        <v>73</v>
      </c>
      <c r="G1275">
        <v>-455.3587</v>
      </c>
      <c r="H1275">
        <v>3.5027140000000001</v>
      </c>
      <c r="I1275">
        <v>299.19920000000002</v>
      </c>
      <c r="J1275">
        <v>-227.12690000000001</v>
      </c>
      <c r="K1275">
        <v>1.1187830000000001</v>
      </c>
      <c r="L1275">
        <v>284.00349999999997</v>
      </c>
      <c r="M1275">
        <v>-0.9999827</v>
      </c>
      <c r="N1275">
        <v>-5.8517019999999899E-3</v>
      </c>
      <c r="O1275">
        <v>-8.2388539999999895E-4</v>
      </c>
      <c r="P1275">
        <v>-0.977912</v>
      </c>
      <c r="Q1275">
        <v>0.1905049</v>
      </c>
      <c r="R1275">
        <v>8.6000199999999999E-2</v>
      </c>
      <c r="S1275">
        <v>-3.0434420000000002</v>
      </c>
      <c r="T1275">
        <v>3.1749609999999998E-2</v>
      </c>
      <c r="U1275">
        <v>0.20239260000000001</v>
      </c>
      <c r="V1275">
        <v>8.7498199999999998E-2</v>
      </c>
      <c r="W1275">
        <v>0.19591610000000001</v>
      </c>
      <c r="X1275">
        <v>0.97670919999999894</v>
      </c>
      <c r="Y1275">
        <v>6.7174999999999999E-2</v>
      </c>
      <c r="Z1275">
        <v>-1.66629399999999E-4</v>
      </c>
      <c r="AA1275">
        <v>0.99774119999999999</v>
      </c>
      <c r="AB1275">
        <v>29</v>
      </c>
      <c r="AC1275">
        <v>-228.23179999999999</v>
      </c>
      <c r="AD1275">
        <v>2.383931</v>
      </c>
      <c r="AE1275">
        <v>15.1957</v>
      </c>
      <c r="AF1275">
        <v>15.382064063197401</v>
      </c>
      <c r="AG1275">
        <v>2.383931</v>
      </c>
      <c r="AH1275">
        <v>228.19441608530599</v>
      </c>
      <c r="AI1275">
        <v>89.402811914487799</v>
      </c>
      <c r="AJ1275">
        <v>86.143656207084305</v>
      </c>
      <c r="AK1275">
        <v>228.724687242919</v>
      </c>
      <c r="AL1275">
        <v>78.701754943941495</v>
      </c>
      <c r="AM1275">
        <v>84.880840101789701</v>
      </c>
      <c r="AN1275">
        <v>0.99999995730354396</v>
      </c>
    </row>
    <row r="1276" spans="1:40" x14ac:dyDescent="0.25">
      <c r="A1276" t="str">
        <f>"20190303170745470"</f>
        <v>20190303170745470</v>
      </c>
      <c r="B1276" t="str">
        <f>"1551604065463804"</f>
        <v>1551604065463804</v>
      </c>
      <c r="C1276" t="s">
        <v>40</v>
      </c>
      <c r="D1276">
        <v>4.4092760000000002</v>
      </c>
      <c r="E1276">
        <v>0.49665359999999997</v>
      </c>
      <c r="F1276" t="s">
        <v>73</v>
      </c>
      <c r="G1276">
        <v>-455.3587</v>
      </c>
      <c r="H1276">
        <v>3.6614420000000001</v>
      </c>
      <c r="I1276">
        <v>299.0412</v>
      </c>
      <c r="J1276">
        <v>-227.41239999999999</v>
      </c>
      <c r="K1276">
        <v>1.1187659999999999</v>
      </c>
      <c r="L1276">
        <v>284.0052</v>
      </c>
      <c r="M1276">
        <v>-0.99998410000000004</v>
      </c>
      <c r="N1276">
        <v>-5.5555489999999999E-3</v>
      </c>
      <c r="O1276">
        <v>9.8901859999999992E-4</v>
      </c>
      <c r="P1276">
        <v>-0.97772380000000003</v>
      </c>
      <c r="Q1276">
        <v>0.19143279999999999</v>
      </c>
      <c r="R1276">
        <v>8.6081589999999999E-2</v>
      </c>
      <c r="S1276">
        <v>-3.043533</v>
      </c>
      <c r="T1276">
        <v>3.3907180000000002E-2</v>
      </c>
      <c r="U1276">
        <v>0.20053099999999999</v>
      </c>
      <c r="V1276">
        <v>8.5800570000000007E-2</v>
      </c>
      <c r="W1276">
        <v>0.19656460000000001</v>
      </c>
      <c r="X1276">
        <v>0.97672959999999998</v>
      </c>
      <c r="Y1276">
        <v>6.4756240000000007E-2</v>
      </c>
      <c r="Z1276">
        <v>-1.6374250000000001E-4</v>
      </c>
      <c r="AA1276">
        <v>0.99790109999999999</v>
      </c>
      <c r="AB1276">
        <v>29</v>
      </c>
      <c r="AC1276">
        <v>-227.94630000000001</v>
      </c>
      <c r="AD1276">
        <v>2.5426760000000002</v>
      </c>
      <c r="AE1276">
        <v>15.036</v>
      </c>
      <c r="AF1276">
        <v>14.808711410421401</v>
      </c>
      <c r="AG1276">
        <v>2.5426760000000002</v>
      </c>
      <c r="AH1276">
        <v>227.93282134450999</v>
      </c>
      <c r="AI1276">
        <v>89.362215161611999</v>
      </c>
      <c r="AJ1276">
        <v>86.282738696383404</v>
      </c>
      <c r="AK1276">
        <v>228.427525007269</v>
      </c>
      <c r="AL1276">
        <v>78.663862842919201</v>
      </c>
      <c r="AM1276">
        <v>84.979753208920201</v>
      </c>
      <c r="AN1276">
        <v>1.00000004565082</v>
      </c>
    </row>
    <row r="1277" spans="1:40" x14ac:dyDescent="0.25">
      <c r="A1277" t="str">
        <f>"20190303170745493"</f>
        <v>20190303170745493</v>
      </c>
      <c r="B1277" t="str">
        <f>"1551604065483325"</f>
        <v>1551604065483325</v>
      </c>
      <c r="C1277" t="s">
        <v>40</v>
      </c>
      <c r="D1277">
        <v>4.3876210000000002</v>
      </c>
      <c r="E1277">
        <v>0.49654809999999999</v>
      </c>
      <c r="F1277" t="s">
        <v>73</v>
      </c>
      <c r="G1277">
        <v>-455.35879999999997</v>
      </c>
      <c r="H1277">
        <v>3.8732150000000001</v>
      </c>
      <c r="I1277">
        <v>298.93680000000001</v>
      </c>
      <c r="J1277">
        <v>-227.71190000000001</v>
      </c>
      <c r="K1277">
        <v>1.118752</v>
      </c>
      <c r="L1277">
        <v>284.00729999999999</v>
      </c>
      <c r="M1277">
        <v>-0.99998209999999998</v>
      </c>
      <c r="N1277">
        <v>-5.2652869999999996E-3</v>
      </c>
      <c r="O1277">
        <v>2.8545319999999999E-3</v>
      </c>
      <c r="P1277">
        <v>-0.97745870000000001</v>
      </c>
      <c r="Q1277">
        <v>0.19240989999999999</v>
      </c>
      <c r="R1277">
        <v>8.6907559999999995E-2</v>
      </c>
      <c r="S1277">
        <v>-3.0435940000000001</v>
      </c>
      <c r="T1277">
        <v>3.6778209999999999E-2</v>
      </c>
      <c r="U1277">
        <v>0.1993713</v>
      </c>
      <c r="V1277">
        <v>8.4799410000000006E-2</v>
      </c>
      <c r="W1277">
        <v>0.19726299999999999</v>
      </c>
      <c r="X1277">
        <v>0.97667619999999999</v>
      </c>
      <c r="Y1277">
        <v>6.2514280000000005E-2</v>
      </c>
      <c r="Z1277">
        <v>-1.6306059999999999E-4</v>
      </c>
      <c r="AA1277">
        <v>0.99804409999999999</v>
      </c>
      <c r="AB1277">
        <v>29</v>
      </c>
      <c r="AC1277">
        <v>-227.64689999999999</v>
      </c>
      <c r="AD1277">
        <v>2.7544629999999999</v>
      </c>
      <c r="AE1277">
        <v>14.929500000000001</v>
      </c>
      <c r="AF1277">
        <v>14.2775235049555</v>
      </c>
      <c r="AG1277">
        <v>2.7544629999999999</v>
      </c>
      <c r="AH1277">
        <v>227.65540309200699</v>
      </c>
      <c r="AI1277">
        <v>89.308156142540597</v>
      </c>
      <c r="AJ1277">
        <v>86.411366324625405</v>
      </c>
      <c r="AK1277">
        <v>228.11930497184301</v>
      </c>
      <c r="AL1277">
        <v>78.623048007648904</v>
      </c>
      <c r="AM1277">
        <v>85.0377676192265</v>
      </c>
      <c r="AN1277">
        <v>1.0000000153758899</v>
      </c>
    </row>
    <row r="1278" spans="1:40" x14ac:dyDescent="0.25">
      <c r="A1278" t="str">
        <f>"20190303170745519"</f>
        <v>20190303170745519</v>
      </c>
      <c r="B1278" t="str">
        <f>"1551604065503819"</f>
        <v>1551604065503819</v>
      </c>
      <c r="C1278" t="s">
        <v>40</v>
      </c>
      <c r="D1278">
        <v>4.33073</v>
      </c>
      <c r="E1278">
        <v>0.49166110000000002</v>
      </c>
      <c r="F1278" t="s">
        <v>73</v>
      </c>
      <c r="G1278">
        <v>-455.35890000000001</v>
      </c>
      <c r="H1278">
        <v>4.0962839999999998</v>
      </c>
      <c r="I1278">
        <v>299.06619999999998</v>
      </c>
      <c r="J1278">
        <v>-227.9965</v>
      </c>
      <c r="K1278">
        <v>1.118733</v>
      </c>
      <c r="L1278">
        <v>284.00990000000002</v>
      </c>
      <c r="M1278">
        <v>-0.99997689999999995</v>
      </c>
      <c r="N1278">
        <v>-5.0106810000000003E-3</v>
      </c>
      <c r="O1278">
        <v>4.6010870000000002E-3</v>
      </c>
      <c r="P1278">
        <v>-0.97723530000000003</v>
      </c>
      <c r="Q1278">
        <v>0.19324330000000001</v>
      </c>
      <c r="R1278">
        <v>8.7570439999999999E-2</v>
      </c>
      <c r="S1278">
        <v>-3.0434570000000001</v>
      </c>
      <c r="T1278">
        <v>3.9807439999999999E-2</v>
      </c>
      <c r="U1278">
        <v>0.20132449999999999</v>
      </c>
      <c r="V1278">
        <v>8.3754899999999993E-2</v>
      </c>
      <c r="W1278">
        <v>0.197852</v>
      </c>
      <c r="X1278">
        <v>0.97664720000000005</v>
      </c>
      <c r="Y1278">
        <v>6.1411399999999998E-2</v>
      </c>
      <c r="Z1278">
        <v>-1.6399660000000001E-4</v>
      </c>
      <c r="AA1278">
        <v>0.99811249999999996</v>
      </c>
      <c r="AB1278">
        <v>29</v>
      </c>
      <c r="AC1278">
        <v>-227.36240000000001</v>
      </c>
      <c r="AD1278">
        <v>2.9775510000000001</v>
      </c>
      <c r="AE1278">
        <v>15.056299999999901</v>
      </c>
      <c r="AF1278">
        <v>14.007621437322101</v>
      </c>
      <c r="AG1278">
        <v>2.9775510000000001</v>
      </c>
      <c r="AH1278">
        <v>227.39044079708</v>
      </c>
      <c r="AI1278">
        <v>89.251205839060404</v>
      </c>
      <c r="AJ1278">
        <v>86.474941096182803</v>
      </c>
      <c r="AK1278">
        <v>227.84093537856501</v>
      </c>
      <c r="AL1278">
        <v>78.588622421595403</v>
      </c>
      <c r="AM1278">
        <v>85.0984450896526</v>
      </c>
      <c r="AN1278">
        <v>1.00000002522292</v>
      </c>
    </row>
    <row r="1279" spans="1:40" x14ac:dyDescent="0.25">
      <c r="A1279" t="str">
        <f>"20190303170745538"</f>
        <v>20190303170745538</v>
      </c>
      <c r="B1279" t="str">
        <f>"1551604065523340"</f>
        <v>1551604065523340</v>
      </c>
      <c r="C1279" t="s">
        <v>40</v>
      </c>
      <c r="D1279">
        <v>4.2559430000000003</v>
      </c>
      <c r="E1279">
        <v>0.49187310000000001</v>
      </c>
      <c r="F1279" t="s">
        <v>41</v>
      </c>
      <c r="G1279">
        <v>-408.37869999999998</v>
      </c>
      <c r="H1279">
        <v>3.6782279999999998</v>
      </c>
      <c r="I1279">
        <v>293.76710000000003</v>
      </c>
      <c r="J1279">
        <v>-228.3099</v>
      </c>
      <c r="K1279">
        <v>1.1187100000000001</v>
      </c>
      <c r="L1279">
        <v>284.01319999999998</v>
      </c>
      <c r="M1279">
        <v>-0.99996759999999996</v>
      </c>
      <c r="N1279">
        <v>-4.7534819999999998E-3</v>
      </c>
      <c r="O1279">
        <v>6.4993169999999897E-3</v>
      </c>
      <c r="P1279">
        <v>-0.97696380000000005</v>
      </c>
      <c r="Q1279">
        <v>0.19407830000000001</v>
      </c>
      <c r="R1279">
        <v>8.8744169999999997E-2</v>
      </c>
      <c r="S1279">
        <v>-3.04657</v>
      </c>
      <c r="T1279">
        <v>4.3228629999999997E-2</v>
      </c>
      <c r="U1279">
        <v>0.16479489999999999</v>
      </c>
      <c r="V1279">
        <v>8.3075280000000001E-2</v>
      </c>
      <c r="W1279">
        <v>0.19843810000000001</v>
      </c>
      <c r="X1279">
        <v>0.97658630000000002</v>
      </c>
      <c r="Y1279">
        <v>4.7519949999999998E-2</v>
      </c>
      <c r="Z1279">
        <v>-1.0082860000000001E-4</v>
      </c>
      <c r="AA1279">
        <v>0.99887029999999999</v>
      </c>
      <c r="AB1279">
        <v>29</v>
      </c>
      <c r="AC1279">
        <v>-180.06879999999899</v>
      </c>
      <c r="AD1279">
        <v>2.5595180000000002</v>
      </c>
      <c r="AE1279">
        <v>9.7539000000000406</v>
      </c>
      <c r="AF1279">
        <v>8.5816278041857998</v>
      </c>
      <c r="AG1279">
        <v>2.5595180000000002</v>
      </c>
      <c r="AH1279">
        <v>180.092111587951</v>
      </c>
      <c r="AI1279">
        <v>89.186674381642007</v>
      </c>
      <c r="AJ1279">
        <v>87.271843814665004</v>
      </c>
      <c r="AK1279">
        <v>180.31462537567199</v>
      </c>
      <c r="AL1279">
        <v>78.554361684644405</v>
      </c>
      <c r="AM1279">
        <v>85.137725051881105</v>
      </c>
      <c r="AN1279">
        <v>0.99999999151318897</v>
      </c>
    </row>
    <row r="1280" spans="1:40" x14ac:dyDescent="0.25">
      <c r="A1280" t="str">
        <f>"20190303170745571"</f>
        <v>20190303170745571</v>
      </c>
      <c r="B1280" t="str">
        <f>"1551604065563356"</f>
        <v>1551604065563356</v>
      </c>
      <c r="C1280" t="s">
        <v>40</v>
      </c>
      <c r="D1280">
        <v>4.216297</v>
      </c>
      <c r="E1280">
        <v>0.49207020000000001</v>
      </c>
      <c r="F1280" t="s">
        <v>72</v>
      </c>
      <c r="G1280">
        <v>-511.82190000000003</v>
      </c>
      <c r="H1280">
        <v>5.3773390000000001</v>
      </c>
      <c r="I1280">
        <v>299.85919999999999</v>
      </c>
      <c r="J1280">
        <v>-228.74369999999999</v>
      </c>
      <c r="K1280">
        <v>1.118679</v>
      </c>
      <c r="L1280">
        <v>284.01870000000002</v>
      </c>
      <c r="M1280">
        <v>-0.99994890000000003</v>
      </c>
      <c r="N1280">
        <v>-4.4338379999999998E-3</v>
      </c>
      <c r="O1280">
        <v>9.085447E-3</v>
      </c>
      <c r="P1280">
        <v>-0.9766338</v>
      </c>
      <c r="Q1280">
        <v>0.1948655</v>
      </c>
      <c r="R1280">
        <v>9.0631509999999998E-2</v>
      </c>
      <c r="S1280">
        <v>-3.0461879999999999</v>
      </c>
      <c r="T1280">
        <v>4.5757649999999997E-2</v>
      </c>
      <c r="U1280">
        <v>0.17025760000000001</v>
      </c>
      <c r="V1280">
        <v>8.2438189999999995E-2</v>
      </c>
      <c r="W1280">
        <v>0.19891529999999999</v>
      </c>
      <c r="X1280">
        <v>0.97654319999999895</v>
      </c>
      <c r="Y1280">
        <v>4.6729239999999998E-2</v>
      </c>
      <c r="Z1280" s="1">
        <v>-7.0389710000000002E-5</v>
      </c>
      <c r="AA1280">
        <v>0.99890760000000001</v>
      </c>
      <c r="AB1280">
        <v>30</v>
      </c>
      <c r="AC1280">
        <v>-283.07819999999998</v>
      </c>
      <c r="AD1280">
        <v>4.2586599999999999</v>
      </c>
      <c r="AE1280">
        <v>15.840499999999899</v>
      </c>
      <c r="AF1280">
        <v>13.264936119981</v>
      </c>
      <c r="AG1280">
        <v>4.2586599999999999</v>
      </c>
      <c r="AH1280">
        <v>283.14655238433198</v>
      </c>
      <c r="AI1280">
        <v>89.139252866426801</v>
      </c>
      <c r="AJ1280">
        <v>87.317750984918902</v>
      </c>
      <c r="AK1280">
        <v>283.48909122291798</v>
      </c>
      <c r="AL1280">
        <v>78.526463943043595</v>
      </c>
      <c r="AM1280">
        <v>85.174624319092899</v>
      </c>
      <c r="AN1280">
        <v>0.99999998660540201</v>
      </c>
    </row>
    <row r="1281" spans="1:40" x14ac:dyDescent="0.25">
      <c r="A1281" t="str">
        <f>"20190303170745592"</f>
        <v>20190303170745592</v>
      </c>
      <c r="B1281" t="str">
        <f>"1551604065583852"</f>
        <v>1551604065583852</v>
      </c>
      <c r="C1281" t="s">
        <v>40</v>
      </c>
      <c r="D1281">
        <v>4.2216509999999996</v>
      </c>
      <c r="E1281">
        <v>0.49207869999999998</v>
      </c>
      <c r="F1281" t="s">
        <v>72</v>
      </c>
      <c r="G1281">
        <v>-511.82190000000003</v>
      </c>
      <c r="H1281">
        <v>5.2998079999999996</v>
      </c>
      <c r="I1281">
        <v>300.49470000000002</v>
      </c>
      <c r="J1281">
        <v>-229.0386</v>
      </c>
      <c r="K1281">
        <v>1.1186579999999999</v>
      </c>
      <c r="L1281">
        <v>284.02300000000002</v>
      </c>
      <c r="M1281">
        <v>-0.99993240000000005</v>
      </c>
      <c r="N1281">
        <v>-4.2465489999999996E-3</v>
      </c>
      <c r="O1281">
        <v>1.0813649999999999E-2</v>
      </c>
      <c r="P1281">
        <v>-0.97655769999999997</v>
      </c>
      <c r="Q1281">
        <v>0.19500229999999999</v>
      </c>
      <c r="R1281">
        <v>9.1153670000000006E-2</v>
      </c>
      <c r="S1281">
        <v>-3.0463559999999998</v>
      </c>
      <c r="T1281">
        <v>4.4996260000000003E-2</v>
      </c>
      <c r="U1281">
        <v>0.1773071</v>
      </c>
      <c r="V1281">
        <v>8.1270510000000004E-2</v>
      </c>
      <c r="W1281">
        <v>0.1988741</v>
      </c>
      <c r="X1281">
        <v>0.97664949999999995</v>
      </c>
      <c r="Y1281">
        <v>4.7304110000000003E-2</v>
      </c>
      <c r="Z1281" s="1">
        <v>-4.3062110000000003E-5</v>
      </c>
      <c r="AA1281">
        <v>0.99888049999999995</v>
      </c>
      <c r="AB1281">
        <v>30</v>
      </c>
      <c r="AC1281">
        <v>-282.7833</v>
      </c>
      <c r="AD1281">
        <v>4.1811499999999997</v>
      </c>
      <c r="AE1281">
        <v>16.471699999999998</v>
      </c>
      <c r="AF1281">
        <v>13.4098676307408</v>
      </c>
      <c r="AG1281">
        <v>4.1811499999999997</v>
      </c>
      <c r="AH1281">
        <v>282.88325242539702</v>
      </c>
      <c r="AI1281">
        <v>89.154152296487595</v>
      </c>
      <c r="AJ1281">
        <v>87.2859684436105</v>
      </c>
      <c r="AK1281">
        <v>283.231779763443</v>
      </c>
      <c r="AL1281">
        <v>78.528873095454998</v>
      </c>
      <c r="AM1281">
        <v>85.243171910759102</v>
      </c>
      <c r="AN1281">
        <v>1.00000002464835</v>
      </c>
    </row>
    <row r="1282" spans="1:40" x14ac:dyDescent="0.25">
      <c r="A1282" t="str">
        <f>"20190303170745615"</f>
        <v>20190303170745615</v>
      </c>
      <c r="B1282" t="str">
        <f>"1551604065603375"</f>
        <v>1551604065603375</v>
      </c>
      <c r="C1282" t="s">
        <v>40</v>
      </c>
      <c r="D1282">
        <v>4.1852530000000003</v>
      </c>
      <c r="E1282">
        <v>0.48847879999999999</v>
      </c>
      <c r="F1282" t="s">
        <v>72</v>
      </c>
      <c r="G1282">
        <v>-511.82190000000003</v>
      </c>
      <c r="H1282">
        <v>5.304144</v>
      </c>
      <c r="I1282">
        <v>300.66059999999999</v>
      </c>
      <c r="J1282">
        <v>-229.34360000000001</v>
      </c>
      <c r="K1282">
        <v>1.1186339999999999</v>
      </c>
      <c r="L1282">
        <v>284.02809999999999</v>
      </c>
      <c r="M1282">
        <v>-0.99991260000000004</v>
      </c>
      <c r="N1282">
        <v>-4.074739E-3</v>
      </c>
      <c r="O1282">
        <v>1.2578539999999999E-2</v>
      </c>
      <c r="P1282">
        <v>-0.97660999999999998</v>
      </c>
      <c r="Q1282">
        <v>0.19463320000000001</v>
      </c>
      <c r="R1282">
        <v>9.1384019999999996E-2</v>
      </c>
      <c r="S1282">
        <v>-3.0462950000000002</v>
      </c>
      <c r="T1282">
        <v>4.5089240000000003E-2</v>
      </c>
      <c r="U1282">
        <v>0.17922969999999999</v>
      </c>
      <c r="V1282">
        <v>7.9771949999999994E-2</v>
      </c>
      <c r="W1282">
        <v>0.1983432</v>
      </c>
      <c r="X1282">
        <v>0.976881</v>
      </c>
      <c r="Y1282">
        <v>4.6170750000000003E-2</v>
      </c>
      <c r="Z1282" s="1">
        <v>-1.0028599999999999E-5</v>
      </c>
      <c r="AA1282">
        <v>0.99893359999999998</v>
      </c>
      <c r="AB1282">
        <v>30</v>
      </c>
      <c r="AC1282">
        <v>-282.47829999999999</v>
      </c>
      <c r="AD1282">
        <v>4.1855099999999998</v>
      </c>
      <c r="AE1282">
        <v>16.632499999999901</v>
      </c>
      <c r="AF1282">
        <v>13.0751294114524</v>
      </c>
      <c r="AG1282">
        <v>4.1855099999999998</v>
      </c>
      <c r="AH1282">
        <v>282.60333601224397</v>
      </c>
      <c r="AI1282">
        <v>89.152386787552601</v>
      </c>
      <c r="AJ1282">
        <v>87.351001292892704</v>
      </c>
      <c r="AK1282">
        <v>282.936606023921</v>
      </c>
      <c r="AL1282">
        <v>78.559909870137204</v>
      </c>
      <c r="AM1282">
        <v>85.331594022941502</v>
      </c>
      <c r="AN1282">
        <v>1.00000003857702</v>
      </c>
    </row>
    <row r="1283" spans="1:40" x14ac:dyDescent="0.25">
      <c r="A1283" t="str">
        <f>"20190303170745636"</f>
        <v>20190303170745636</v>
      </c>
      <c r="B1283" t="str">
        <f>"1551604065623868"</f>
        <v>1551604065623868</v>
      </c>
      <c r="C1283" t="s">
        <v>40</v>
      </c>
      <c r="D1283">
        <v>4.1767859999999999</v>
      </c>
      <c r="E1283">
        <v>0.46157579999999998</v>
      </c>
      <c r="F1283" t="s">
        <v>72</v>
      </c>
      <c r="G1283">
        <v>-510.07080000000002</v>
      </c>
      <c r="H1283">
        <v>6.4348869999999998</v>
      </c>
      <c r="I1283">
        <v>298.05669999999998</v>
      </c>
      <c r="J1283">
        <v>-229.63210000000001</v>
      </c>
      <c r="K1283">
        <v>1.1186130000000001</v>
      </c>
      <c r="L1283">
        <v>284.03320000000002</v>
      </c>
      <c r="M1283">
        <v>-0.99989130000000004</v>
      </c>
      <c r="N1283">
        <v>-3.9246940000000003E-3</v>
      </c>
      <c r="O1283">
        <v>1.42235E-2</v>
      </c>
      <c r="P1283">
        <v>-0.97650970000000004</v>
      </c>
      <c r="Q1283">
        <v>0.19491240000000001</v>
      </c>
      <c r="R1283">
        <v>9.1858860000000001E-2</v>
      </c>
      <c r="S1283">
        <v>-3.0461119999999999</v>
      </c>
      <c r="T1283">
        <v>5.768645E-2</v>
      </c>
      <c r="U1283">
        <v>0.15222169999999999</v>
      </c>
      <c r="V1283">
        <v>7.8638269999999996E-2</v>
      </c>
      <c r="W1283">
        <v>0.19848070000000001</v>
      </c>
      <c r="X1283">
        <v>0.97694499999999995</v>
      </c>
      <c r="Y1283">
        <v>3.5697890000000003E-2</v>
      </c>
      <c r="Z1283" s="1">
        <v>5.7249559999999999E-5</v>
      </c>
      <c r="AA1283">
        <v>0.99936259999999999</v>
      </c>
      <c r="AB1283">
        <v>30</v>
      </c>
      <c r="AC1283">
        <v>-280.43869999999998</v>
      </c>
      <c r="AD1283">
        <v>5.3162739999999999</v>
      </c>
      <c r="AE1283">
        <v>14.023499999999901</v>
      </c>
      <c r="AF1283">
        <v>10.0296361130055</v>
      </c>
      <c r="AG1283">
        <v>5.3162739999999999</v>
      </c>
      <c r="AH1283">
        <v>280.50924093607898</v>
      </c>
      <c r="AI1283">
        <v>88.914940726665193</v>
      </c>
      <c r="AJ1283">
        <v>87.952255976070902</v>
      </c>
      <c r="AK1283">
        <v>280.738829911962</v>
      </c>
      <c r="AL1283">
        <v>78.551872021123302</v>
      </c>
      <c r="AM1283">
        <v>85.3979522781474</v>
      </c>
      <c r="AN1283">
        <v>1.0000000494030401</v>
      </c>
    </row>
    <row r="1284" spans="1:40" x14ac:dyDescent="0.25">
      <c r="A1284" t="str">
        <f>"20190303170745659"</f>
        <v>20190303170745659</v>
      </c>
      <c r="B1284" t="str">
        <f>"1551604065654124"</f>
        <v>1551604065654124</v>
      </c>
      <c r="C1284" t="s">
        <v>40</v>
      </c>
      <c r="D1284">
        <v>4.1246780000000003</v>
      </c>
      <c r="E1284">
        <v>0.46147650000000001</v>
      </c>
      <c r="F1284" t="s">
        <v>70</v>
      </c>
      <c r="G1284">
        <v>-511.96429999999998</v>
      </c>
      <c r="H1284">
        <v>17.06739</v>
      </c>
      <c r="I1284">
        <v>279.03269999999998</v>
      </c>
      <c r="J1284">
        <v>-229.95099999999999</v>
      </c>
      <c r="K1284">
        <v>1.118601</v>
      </c>
      <c r="L1284">
        <v>284.03949999999998</v>
      </c>
      <c r="M1284">
        <v>-0.99986489999999995</v>
      </c>
      <c r="N1284">
        <v>-3.7673440000000002E-3</v>
      </c>
      <c r="O1284">
        <v>1.601054E-2</v>
      </c>
      <c r="P1284">
        <v>-0.97647519999999999</v>
      </c>
      <c r="Q1284">
        <v>0.19472120000000001</v>
      </c>
      <c r="R1284">
        <v>9.2628269999999999E-2</v>
      </c>
      <c r="S1284">
        <v>-3.042923</v>
      </c>
      <c r="T1284">
        <v>0.17189360000000001</v>
      </c>
      <c r="U1284">
        <v>-5.3894039999999997E-2</v>
      </c>
      <c r="V1284">
        <v>7.7655870000000002E-2</v>
      </c>
      <c r="W1284">
        <v>0.1981414</v>
      </c>
      <c r="X1284">
        <v>0.97709239999999997</v>
      </c>
      <c r="Y1284">
        <v>-3.36353E-2</v>
      </c>
      <c r="Z1284">
        <v>1.8496840000000001E-3</v>
      </c>
      <c r="AA1284">
        <v>0.9994324</v>
      </c>
      <c r="AB1284">
        <v>30</v>
      </c>
      <c r="AC1284">
        <v>-282.01330000000002</v>
      </c>
      <c r="AD1284">
        <v>15.948789</v>
      </c>
      <c r="AE1284">
        <v>-5.0067999999999904</v>
      </c>
      <c r="AF1284">
        <v>-9.4910293225477194</v>
      </c>
      <c r="AG1284">
        <v>15.948789</v>
      </c>
      <c r="AH1284">
        <v>280.998561375512</v>
      </c>
      <c r="AI1284">
        <v>86.753364789312897</v>
      </c>
      <c r="AJ1284">
        <v>91.934491303000598</v>
      </c>
      <c r="AK1284">
        <v>281.61078637593999</v>
      </c>
      <c r="AL1284">
        <v>78.571705872698601</v>
      </c>
      <c r="AM1284">
        <v>85.455884398537705</v>
      </c>
      <c r="AN1284">
        <v>1.0000000033385801</v>
      </c>
    </row>
    <row r="1285" spans="1:40" x14ac:dyDescent="0.25">
      <c r="A1285" t="str">
        <f>"20190303170745682"</f>
        <v>20190303170745682</v>
      </c>
      <c r="B1285" t="str">
        <f>"1551604065673644"</f>
        <v>1551604065673644</v>
      </c>
      <c r="C1285" t="s">
        <v>40</v>
      </c>
      <c r="D1285">
        <v>4.0583210000000003</v>
      </c>
      <c r="E1285">
        <v>0.46185209999999999</v>
      </c>
      <c r="F1285" t="s">
        <v>70</v>
      </c>
      <c r="G1285">
        <v>-511.96420000000001</v>
      </c>
      <c r="H1285">
        <v>16.762450000000001</v>
      </c>
      <c r="I1285">
        <v>279.18430000000001</v>
      </c>
      <c r="J1285">
        <v>-230.26499999999999</v>
      </c>
      <c r="K1285">
        <v>1.1185889999999901</v>
      </c>
      <c r="L1285">
        <v>284.04610000000002</v>
      </c>
      <c r="M1285">
        <v>-0.99983630000000001</v>
      </c>
      <c r="N1285">
        <v>-3.6176340000000002E-3</v>
      </c>
      <c r="O1285">
        <v>1.7734799999999998E-2</v>
      </c>
      <c r="P1285">
        <v>-0.97633610000000004</v>
      </c>
      <c r="Q1285">
        <v>0.1947382</v>
      </c>
      <c r="R1285">
        <v>9.4048649999999998E-2</v>
      </c>
      <c r="S1285">
        <v>-3.0435789999999998</v>
      </c>
      <c r="T1285">
        <v>0.16883429999999999</v>
      </c>
      <c r="U1285">
        <v>-5.2398680000000003E-2</v>
      </c>
      <c r="V1285">
        <v>7.7386620000000003E-2</v>
      </c>
      <c r="W1285">
        <v>0.1980152</v>
      </c>
      <c r="X1285">
        <v>0.97713939999999999</v>
      </c>
      <c r="Y1285">
        <v>-3.4862160000000003E-2</v>
      </c>
      <c r="Z1285">
        <v>1.9500800000000001E-3</v>
      </c>
      <c r="AA1285">
        <v>0.99939020000000001</v>
      </c>
      <c r="AB1285">
        <v>31</v>
      </c>
      <c r="AC1285">
        <v>-281.69920000000002</v>
      </c>
      <c r="AD1285">
        <v>15.643860999999999</v>
      </c>
      <c r="AE1285">
        <v>-4.8618000000000103</v>
      </c>
      <c r="AF1285">
        <v>-9.8266499024655793</v>
      </c>
      <c r="AG1285">
        <v>15.643860999999999</v>
      </c>
      <c r="AH1285">
        <v>280.703236303898</v>
      </c>
      <c r="AI1285">
        <v>86.812099701365895</v>
      </c>
      <c r="AJ1285">
        <v>92.004949230766698</v>
      </c>
      <c r="AK1285">
        <v>281.31050514827001</v>
      </c>
      <c r="AL1285">
        <v>78.579083393626604</v>
      </c>
      <c r="AM1285">
        <v>85.471791113248202</v>
      </c>
      <c r="AN1285">
        <v>1.0000000577092101</v>
      </c>
    </row>
    <row r="1286" spans="1:40" x14ac:dyDescent="0.25">
      <c r="A1286" t="str">
        <f>"20190303170745703"</f>
        <v>20190303170745703</v>
      </c>
      <c r="B1286" t="str">
        <f>"1551604065694140"</f>
        <v>1551604065694140</v>
      </c>
      <c r="C1286" t="s">
        <v>40</v>
      </c>
      <c r="D1286">
        <v>4.0958439999999996</v>
      </c>
      <c r="E1286">
        <v>0.46207799999999999</v>
      </c>
      <c r="F1286" t="s">
        <v>70</v>
      </c>
      <c r="G1286">
        <v>-551.77359999999999</v>
      </c>
      <c r="H1286">
        <v>18.71283</v>
      </c>
      <c r="I1286">
        <v>279.27539999999999</v>
      </c>
      <c r="J1286">
        <v>-230.56890000000001</v>
      </c>
      <c r="K1286">
        <v>1.118582</v>
      </c>
      <c r="L1286">
        <v>284.05309999999997</v>
      </c>
      <c r="M1286">
        <v>-0.99980650000000004</v>
      </c>
      <c r="N1286">
        <v>-3.4802230000000002E-3</v>
      </c>
      <c r="O1286">
        <v>1.9364880000000001E-2</v>
      </c>
      <c r="P1286">
        <v>-0.97625200000000001</v>
      </c>
      <c r="Q1286">
        <v>0.1948482</v>
      </c>
      <c r="R1286">
        <v>9.4690949999999996E-2</v>
      </c>
      <c r="S1286">
        <v>-3.0438390000000002</v>
      </c>
      <c r="T1286">
        <v>0.16657169999999999</v>
      </c>
      <c r="U1286">
        <v>-4.5166020000000001E-2</v>
      </c>
      <c r="V1286">
        <v>7.6429209999999997E-2</v>
      </c>
      <c r="W1286">
        <v>0.19799649999999999</v>
      </c>
      <c r="X1286">
        <v>0.97721849999999999</v>
      </c>
      <c r="Y1286">
        <v>-3.4116390000000003E-2</v>
      </c>
      <c r="Z1286">
        <v>1.9995400000000002E-3</v>
      </c>
      <c r="AA1286">
        <v>0.99941590000000002</v>
      </c>
      <c r="AB1286">
        <v>31</v>
      </c>
      <c r="AC1286">
        <v>-321.2047</v>
      </c>
      <c r="AD1286">
        <v>17.594248</v>
      </c>
      <c r="AE1286">
        <v>-4.7776999999999799</v>
      </c>
      <c r="AF1286">
        <v>-10.9640426479392</v>
      </c>
      <c r="AG1286">
        <v>17.594248</v>
      </c>
      <c r="AH1286">
        <v>320.09176032171399</v>
      </c>
      <c r="AI1286">
        <v>86.855671346654802</v>
      </c>
      <c r="AJ1286">
        <v>91.961774540140993</v>
      </c>
      <c r="AK1286">
        <v>320.76237750042498</v>
      </c>
      <c r="AL1286">
        <v>78.580176000602904</v>
      </c>
      <c r="AM1286">
        <v>85.527944947713394</v>
      </c>
      <c r="AN1286">
        <v>1.00000001744786</v>
      </c>
    </row>
    <row r="1287" spans="1:40" x14ac:dyDescent="0.25">
      <c r="A1287" t="str">
        <f>"20190303170745728"</f>
        <v>20190303170745728</v>
      </c>
      <c r="B1287" t="str">
        <f>"1551604065713660"</f>
        <v>1551604065713660</v>
      </c>
      <c r="C1287" t="s">
        <v>40</v>
      </c>
      <c r="D1287">
        <v>3.998132</v>
      </c>
      <c r="E1287">
        <v>0.462621</v>
      </c>
      <c r="F1287" t="s">
        <v>45</v>
      </c>
      <c r="G1287">
        <v>0</v>
      </c>
      <c r="H1287">
        <v>0</v>
      </c>
      <c r="I1287">
        <v>0</v>
      </c>
      <c r="J1287">
        <v>-230.89670000000001</v>
      </c>
      <c r="K1287">
        <v>1.118587</v>
      </c>
      <c r="L1287">
        <v>284.06110000000001</v>
      </c>
      <c r="M1287">
        <v>-0.99977249999999995</v>
      </c>
      <c r="N1287">
        <v>-3.3418789999999999E-3</v>
      </c>
      <c r="O1287">
        <v>2.1074349999999999E-2</v>
      </c>
      <c r="P1287">
        <v>-0.97620099999999999</v>
      </c>
      <c r="Q1287">
        <v>0.19473109999999999</v>
      </c>
      <c r="R1287">
        <v>9.5455499999999999E-2</v>
      </c>
      <c r="S1287">
        <v>-3.0436100000000001</v>
      </c>
      <c r="T1287">
        <v>0.1670606</v>
      </c>
      <c r="U1287">
        <v>-4.1015629999999997E-2</v>
      </c>
      <c r="V1287">
        <v>7.5511839999999997E-2</v>
      </c>
      <c r="W1287">
        <v>0.19775100000000001</v>
      </c>
      <c r="X1287">
        <v>0.97733950000000003</v>
      </c>
      <c r="Y1287">
        <v>-3.445993E-2</v>
      </c>
      <c r="Z1287">
        <v>2.1135310000000001E-3</v>
      </c>
      <c r="AA1287">
        <v>0.99940379999999995</v>
      </c>
      <c r="AB1287">
        <v>31</v>
      </c>
      <c r="AC1287">
        <v>-3.0436100000000001</v>
      </c>
      <c r="AD1287">
        <v>0.1670606</v>
      </c>
      <c r="AE1287">
        <v>-4.1015629999999997E-2</v>
      </c>
      <c r="AF1287">
        <v>-0.104833186299225</v>
      </c>
      <c r="AG1287">
        <v>0.1670606</v>
      </c>
      <c r="AH1287">
        <v>3.0329337000219301</v>
      </c>
      <c r="AI1287">
        <v>86.849087451325602</v>
      </c>
      <c r="AJ1287">
        <v>91.979637333316603</v>
      </c>
      <c r="AK1287">
        <v>3.0393397424030701</v>
      </c>
      <c r="AL1287">
        <v>78.594525611432701</v>
      </c>
      <c r="AM1287">
        <v>85.581953475168802</v>
      </c>
      <c r="AN1287">
        <v>0.99999999712071697</v>
      </c>
    </row>
    <row r="1288" spans="1:40" x14ac:dyDescent="0.25">
      <c r="A1288" t="str">
        <f>"20190303170745750"</f>
        <v>20190303170745750</v>
      </c>
      <c r="B1288" t="str">
        <f>"1551604065743917"</f>
        <v>1551604065743917</v>
      </c>
      <c r="C1288" t="s">
        <v>40</v>
      </c>
      <c r="D1288">
        <v>4.1059359999999998</v>
      </c>
      <c r="E1288">
        <v>0.4635013</v>
      </c>
      <c r="F1288" t="s">
        <v>45</v>
      </c>
      <c r="G1288">
        <v>0</v>
      </c>
      <c r="H1288">
        <v>0</v>
      </c>
      <c r="I1288">
        <v>0</v>
      </c>
      <c r="J1288">
        <v>-231.2013</v>
      </c>
      <c r="K1288">
        <v>1.1185860000000001</v>
      </c>
      <c r="L1288">
        <v>284.06889999999999</v>
      </c>
      <c r="M1288">
        <v>-0.99973920000000005</v>
      </c>
      <c r="N1288">
        <v>-3.22121E-3</v>
      </c>
      <c r="O1288">
        <v>2.2608699999999999E-2</v>
      </c>
      <c r="P1288">
        <v>-0.97616820000000004</v>
      </c>
      <c r="Q1288">
        <v>0.19481480000000001</v>
      </c>
      <c r="R1288">
        <v>9.5620499999999997E-2</v>
      </c>
      <c r="S1288">
        <v>-3.0432589999999999</v>
      </c>
      <c r="T1288">
        <v>0.1665412</v>
      </c>
      <c r="U1288">
        <v>-3.4057619999999997E-2</v>
      </c>
      <c r="V1288">
        <v>7.4165369999999994E-2</v>
      </c>
      <c r="W1288">
        <v>0.19772580000000001</v>
      </c>
      <c r="X1288">
        <v>0.97744770000000003</v>
      </c>
      <c r="Y1288">
        <v>-3.3709620000000003E-2</v>
      </c>
      <c r="Z1288">
        <v>2.176341E-3</v>
      </c>
      <c r="AA1288">
        <v>0.99942929999999996</v>
      </c>
      <c r="AB1288">
        <v>31</v>
      </c>
      <c r="AC1288">
        <v>-3.0432589999999999</v>
      </c>
      <c r="AD1288">
        <v>0.1665412</v>
      </c>
      <c r="AE1288">
        <v>-3.4057619999999997E-2</v>
      </c>
      <c r="AF1288">
        <v>-0.102546335568829</v>
      </c>
      <c r="AG1288">
        <v>0.1665412</v>
      </c>
      <c r="AH1288">
        <v>3.0326301681066501</v>
      </c>
      <c r="AI1288">
        <v>86.858470024105799</v>
      </c>
      <c r="AJ1288">
        <v>91.9366800721738</v>
      </c>
      <c r="AK1288">
        <v>3.0389303148882201</v>
      </c>
      <c r="AL1288">
        <v>78.595998583650399</v>
      </c>
      <c r="AM1288">
        <v>85.660907630269804</v>
      </c>
      <c r="AN1288">
        <v>1.0000000001640801</v>
      </c>
    </row>
    <row r="1289" spans="1:40" x14ac:dyDescent="0.25">
      <c r="A1289" t="str">
        <f>"20190303170745773"</f>
        <v>20190303170745773</v>
      </c>
      <c r="B1289" t="str">
        <f>"1551604065763438"</f>
        <v>1551604065763438</v>
      </c>
      <c r="C1289" t="s">
        <v>40</v>
      </c>
      <c r="D1289">
        <v>3.9167649999999998</v>
      </c>
      <c r="E1289">
        <v>0.46364440000000001</v>
      </c>
      <c r="F1289" t="s">
        <v>45</v>
      </c>
      <c r="G1289">
        <v>0</v>
      </c>
      <c r="H1289">
        <v>0</v>
      </c>
      <c r="I1289">
        <v>0</v>
      </c>
      <c r="J1289">
        <v>-231.5335</v>
      </c>
      <c r="K1289">
        <v>1.1185889999999901</v>
      </c>
      <c r="L1289">
        <v>284.0779</v>
      </c>
      <c r="M1289">
        <v>-0.99970190000000003</v>
      </c>
      <c r="N1289">
        <v>-3.0969320000000002E-3</v>
      </c>
      <c r="O1289">
        <v>2.4218199999999999E-2</v>
      </c>
      <c r="P1289">
        <v>-0.97615240000000003</v>
      </c>
      <c r="Q1289">
        <v>0.1945866</v>
      </c>
      <c r="R1289">
        <v>9.6242170000000002E-2</v>
      </c>
      <c r="S1289">
        <v>-3.0425260000000001</v>
      </c>
      <c r="T1289">
        <v>0.1672159</v>
      </c>
      <c r="U1289">
        <v>-2.6794430000000001E-2</v>
      </c>
      <c r="V1289">
        <v>7.3197670000000006E-2</v>
      </c>
      <c r="W1289">
        <v>0.19738459999999999</v>
      </c>
      <c r="X1289">
        <v>0.97758959999999995</v>
      </c>
      <c r="Y1289">
        <v>-3.2933419999999998E-2</v>
      </c>
      <c r="Z1289">
        <v>2.258145E-3</v>
      </c>
      <c r="AA1289">
        <v>0.99945499999999998</v>
      </c>
      <c r="AB1289">
        <v>31</v>
      </c>
      <c r="AC1289">
        <v>-3.0425260000000001</v>
      </c>
      <c r="AD1289">
        <v>0.1672159</v>
      </c>
      <c r="AE1289">
        <v>-2.6794430000000001E-2</v>
      </c>
      <c r="AF1289">
        <v>-0.100168885489288</v>
      </c>
      <c r="AG1289">
        <v>0.1672159</v>
      </c>
      <c r="AH1289">
        <v>3.0318276040262502</v>
      </c>
      <c r="AI1289">
        <v>86.8448537681452</v>
      </c>
      <c r="AJ1289">
        <v>91.892313219155696</v>
      </c>
      <c r="AK1289">
        <v>3.03808715861947</v>
      </c>
      <c r="AL1289">
        <v>78.615940960560906</v>
      </c>
      <c r="AM1289">
        <v>85.717930841376599</v>
      </c>
      <c r="AN1289">
        <v>1.0000000026193701</v>
      </c>
    </row>
    <row r="1290" spans="1:40" x14ac:dyDescent="0.25">
      <c r="A1290" t="str">
        <f>"20190303170745793"</f>
        <v>20190303170745793</v>
      </c>
      <c r="B1290" t="str">
        <f>"1551604065783932"</f>
        <v>1551604065783932</v>
      </c>
      <c r="C1290" t="s">
        <v>40</v>
      </c>
      <c r="D1290">
        <v>4.0678219999999996</v>
      </c>
      <c r="E1290">
        <v>0.46355479999999999</v>
      </c>
      <c r="F1290" t="s">
        <v>45</v>
      </c>
      <c r="G1290">
        <v>0</v>
      </c>
      <c r="H1290">
        <v>0</v>
      </c>
      <c r="I1290">
        <v>0</v>
      </c>
      <c r="J1290">
        <v>-231.8218</v>
      </c>
      <c r="K1290">
        <v>1.1185959999999999</v>
      </c>
      <c r="L1290">
        <v>284.08620000000002</v>
      </c>
      <c r="M1290">
        <v>-0.99966849999999996</v>
      </c>
      <c r="N1290">
        <v>-2.996996E-3</v>
      </c>
      <c r="O1290">
        <v>2.5573309999999998E-2</v>
      </c>
      <c r="P1290">
        <v>-0.97609429999999997</v>
      </c>
      <c r="Q1290">
        <v>0.194717</v>
      </c>
      <c r="R1290">
        <v>9.6566340000000001E-2</v>
      </c>
      <c r="S1290">
        <v>-3.0427089999999999</v>
      </c>
      <c r="T1290">
        <v>0.16513410000000001</v>
      </c>
      <c r="U1290">
        <v>-2.3803709999999999E-2</v>
      </c>
      <c r="V1290">
        <v>7.2186559999999997E-2</v>
      </c>
      <c r="W1290">
        <v>0.1974243</v>
      </c>
      <c r="X1290">
        <v>0.97765679999999999</v>
      </c>
      <c r="Y1290">
        <v>-3.3304840000000002E-2</v>
      </c>
      <c r="Z1290">
        <v>2.3165220000000001E-3</v>
      </c>
      <c r="AA1290">
        <v>0.99944259999999996</v>
      </c>
      <c r="AB1290">
        <v>31</v>
      </c>
      <c r="AC1290">
        <v>-3.0427089999999999</v>
      </c>
      <c r="AD1290">
        <v>0.16513410000000001</v>
      </c>
      <c r="AE1290">
        <v>-2.3803709999999999E-2</v>
      </c>
      <c r="AF1290">
        <v>-0.101310025454817</v>
      </c>
      <c r="AG1290">
        <v>0.16513410000000001</v>
      </c>
      <c r="AH1290">
        <v>3.0321745358707202</v>
      </c>
      <c r="AI1290">
        <v>86.884450993492294</v>
      </c>
      <c r="AJ1290">
        <v>91.913635997948901</v>
      </c>
      <c r="AK1290">
        <v>3.0383573536079198</v>
      </c>
      <c r="AL1290">
        <v>78.613621046220103</v>
      </c>
      <c r="AM1290">
        <v>85.777154590998194</v>
      </c>
      <c r="AN1290">
        <v>1.00000003613068</v>
      </c>
    </row>
    <row r="1291" spans="1:40" x14ac:dyDescent="0.25">
      <c r="A1291" t="str">
        <f>"20190303170745816"</f>
        <v>20190303170745816</v>
      </c>
      <c r="B1291" t="str">
        <f>"1551604065803452"</f>
        <v>1551604065803452</v>
      </c>
      <c r="C1291" t="s">
        <v>40</v>
      </c>
      <c r="D1291">
        <v>4.2204860000000002</v>
      </c>
      <c r="E1291">
        <v>0.4635224</v>
      </c>
      <c r="F1291" t="s">
        <v>45</v>
      </c>
      <c r="G1291">
        <v>0</v>
      </c>
      <c r="H1291">
        <v>0</v>
      </c>
      <c r="I1291">
        <v>0</v>
      </c>
      <c r="J1291">
        <v>-232.14830000000001</v>
      </c>
      <c r="K1291">
        <v>1.1185940000000001</v>
      </c>
      <c r="L1291">
        <v>284.09589999999997</v>
      </c>
      <c r="M1291">
        <v>-0.99962969999999896</v>
      </c>
      <c r="N1291">
        <v>-2.8958669999999999E-3</v>
      </c>
      <c r="O1291">
        <v>2.7060210000000001E-2</v>
      </c>
      <c r="P1291">
        <v>-0.97602</v>
      </c>
      <c r="Q1291">
        <v>0.19484280000000001</v>
      </c>
      <c r="R1291">
        <v>9.7061670000000003E-2</v>
      </c>
      <c r="S1291">
        <v>-3.0429529999999998</v>
      </c>
      <c r="T1291">
        <v>0.1648384</v>
      </c>
      <c r="U1291">
        <v>-2.362061E-2</v>
      </c>
      <c r="V1291">
        <v>7.1217450000000002E-2</v>
      </c>
      <c r="W1291">
        <v>0.19745889999999999</v>
      </c>
      <c r="X1291">
        <v>0.9777209</v>
      </c>
      <c r="Y1291">
        <v>-3.472662E-2</v>
      </c>
      <c r="Z1291">
        <v>2.43254E-3</v>
      </c>
      <c r="AA1291">
        <v>0.99939389999999995</v>
      </c>
      <c r="AB1291">
        <v>32</v>
      </c>
      <c r="AC1291">
        <v>-3.0429529999999998</v>
      </c>
      <c r="AD1291">
        <v>0.1648384</v>
      </c>
      <c r="AE1291">
        <v>-2.362061E-2</v>
      </c>
      <c r="AF1291">
        <v>-0.1056452535903</v>
      </c>
      <c r="AG1291">
        <v>0.1648384</v>
      </c>
      <c r="AH1291">
        <v>3.0323019032655001</v>
      </c>
      <c r="AI1291">
        <v>86.890300413898402</v>
      </c>
      <c r="AJ1291">
        <v>91.995375141302901</v>
      </c>
      <c r="AK1291">
        <v>3.0386160419290098</v>
      </c>
      <c r="AL1291">
        <v>78.611598967706698</v>
      </c>
      <c r="AM1291">
        <v>85.833917809045701</v>
      </c>
      <c r="AN1291">
        <v>1.00000005033526</v>
      </c>
    </row>
    <row r="1292" spans="1:40" x14ac:dyDescent="0.25">
      <c r="A1292" t="str">
        <f>"20190303170745836"</f>
        <v>20190303170745836</v>
      </c>
      <c r="B1292" t="str">
        <f>"1551604065823947"</f>
        <v>1551604065823947</v>
      </c>
      <c r="C1292" t="s">
        <v>40</v>
      </c>
      <c r="D1292">
        <v>4.0548580000000003</v>
      </c>
      <c r="E1292">
        <v>0.46330189999999999</v>
      </c>
      <c r="F1292" t="s">
        <v>45</v>
      </c>
      <c r="G1292">
        <v>0</v>
      </c>
      <c r="H1292">
        <v>0</v>
      </c>
      <c r="I1292">
        <v>0</v>
      </c>
      <c r="J1292">
        <v>-232.44550000000001</v>
      </c>
      <c r="K1292">
        <v>1.118601</v>
      </c>
      <c r="L1292">
        <v>284.10520000000002</v>
      </c>
      <c r="M1292">
        <v>-0.99959370000000003</v>
      </c>
      <c r="N1292">
        <v>-2.8149669999999998E-3</v>
      </c>
      <c r="O1292">
        <v>2.8371270000000001E-2</v>
      </c>
      <c r="P1292">
        <v>-0.97585120000000003</v>
      </c>
      <c r="Q1292">
        <v>0.1953976</v>
      </c>
      <c r="R1292">
        <v>9.764494E-2</v>
      </c>
      <c r="S1292">
        <v>-3.0432589999999999</v>
      </c>
      <c r="T1292">
        <v>0.163720799999999</v>
      </c>
      <c r="U1292">
        <v>-2.243042E-2</v>
      </c>
      <c r="V1292">
        <v>7.0513670000000001E-2</v>
      </c>
      <c r="W1292">
        <v>0.1979399</v>
      </c>
      <c r="X1292">
        <v>0.97767459999999995</v>
      </c>
      <c r="Y1292">
        <v>-3.5643699999999903E-2</v>
      </c>
      <c r="Z1292">
        <v>2.5127539999999999E-3</v>
      </c>
      <c r="AA1292">
        <v>0.99936139999999996</v>
      </c>
      <c r="AB1292">
        <v>32</v>
      </c>
      <c r="AC1292">
        <v>-3.0432589999999999</v>
      </c>
      <c r="AD1292">
        <v>0.163720799999999</v>
      </c>
      <c r="AE1292">
        <v>-2.243042E-2</v>
      </c>
      <c r="AF1292">
        <v>-0.108448980512079</v>
      </c>
      <c r="AG1292">
        <v>0.163720799999999</v>
      </c>
      <c r="AH1292">
        <v>3.0326209965648898</v>
      </c>
      <c r="AI1292">
        <v>86.911767564622807</v>
      </c>
      <c r="AJ1292">
        <v>92.0480706821035</v>
      </c>
      <c r="AK1292">
        <v>3.03897281832743</v>
      </c>
      <c r="AL1292">
        <v>78.583484248388501</v>
      </c>
      <c r="AM1292">
        <v>85.8747500681568</v>
      </c>
      <c r="AN1292">
        <v>1.0000000025770099</v>
      </c>
    </row>
    <row r="1293" spans="1:40" x14ac:dyDescent="0.25">
      <c r="A1293" t="str">
        <f>"20190303170745860"</f>
        <v>20190303170745860</v>
      </c>
      <c r="B1293" t="str">
        <f>"1551604065854204"</f>
        <v>1551604065854204</v>
      </c>
      <c r="C1293" t="s">
        <v>40</v>
      </c>
      <c r="D1293">
        <v>4.0231500000000002</v>
      </c>
      <c r="E1293">
        <v>0.46308929999999998</v>
      </c>
      <c r="F1293" t="s">
        <v>45</v>
      </c>
      <c r="G1293">
        <v>0</v>
      </c>
      <c r="H1293">
        <v>0</v>
      </c>
      <c r="I1293">
        <v>0</v>
      </c>
      <c r="J1293">
        <v>-232.78110000000001</v>
      </c>
      <c r="K1293">
        <v>1.1186130000000001</v>
      </c>
      <c r="L1293">
        <v>284.11610000000002</v>
      </c>
      <c r="M1293">
        <v>-0.9995522</v>
      </c>
      <c r="N1293">
        <v>-2.7362889999999998E-3</v>
      </c>
      <c r="O1293">
        <v>2.9800710000000001E-2</v>
      </c>
      <c r="P1293">
        <v>-0.97595460000000001</v>
      </c>
      <c r="Q1293">
        <v>0.19526940000000001</v>
      </c>
      <c r="R1293">
        <v>9.6865549999999995E-2</v>
      </c>
      <c r="S1293">
        <v>-3.0434570000000001</v>
      </c>
      <c r="T1293">
        <v>0.1648628</v>
      </c>
      <c r="U1293">
        <v>-2.215576E-2</v>
      </c>
      <c r="V1293">
        <v>6.8320480000000003E-2</v>
      </c>
      <c r="W1293">
        <v>0.19774539999999999</v>
      </c>
      <c r="X1293">
        <v>0.97786960000000001</v>
      </c>
      <c r="Y1293">
        <v>-3.6976719999999998E-2</v>
      </c>
      <c r="Z1293">
        <v>2.644572E-3</v>
      </c>
      <c r="AA1293">
        <v>0.9993126</v>
      </c>
      <c r="AB1293">
        <v>32</v>
      </c>
      <c r="AC1293">
        <v>-3.0434570000000001</v>
      </c>
      <c r="AD1293">
        <v>0.1648628</v>
      </c>
      <c r="AE1293">
        <v>-2.215576E-2</v>
      </c>
      <c r="AF1293">
        <v>-0.112513295751401</v>
      </c>
      <c r="AG1293">
        <v>0.1648628</v>
      </c>
      <c r="AH1293">
        <v>3.03254694605784</v>
      </c>
      <c r="AI1293">
        <v>86.890344032681895</v>
      </c>
      <c r="AJ1293">
        <v>92.124808467322396</v>
      </c>
      <c r="AK1293">
        <v>3.03910841606374</v>
      </c>
      <c r="AL1293">
        <v>78.594852304815305</v>
      </c>
      <c r="AM1293">
        <v>86.003429863724904</v>
      </c>
      <c r="AN1293">
        <v>0.99999994290637295</v>
      </c>
    </row>
    <row r="1294" spans="1:40" x14ac:dyDescent="0.25">
      <c r="A1294" t="str">
        <f>"20190303170745894"</f>
        <v>20190303170745894</v>
      </c>
      <c r="B1294" t="str">
        <f>"1551604065883484"</f>
        <v>1551604065883484</v>
      </c>
      <c r="C1294" t="s">
        <v>40</v>
      </c>
      <c r="D1294">
        <v>3.9955790000000002</v>
      </c>
      <c r="E1294">
        <v>0.46301520000000002</v>
      </c>
      <c r="F1294" t="s">
        <v>45</v>
      </c>
      <c r="G1294">
        <v>0</v>
      </c>
      <c r="H1294">
        <v>0</v>
      </c>
      <c r="I1294">
        <v>0</v>
      </c>
      <c r="J1294">
        <v>-233.2698</v>
      </c>
      <c r="K1294">
        <v>1.118628</v>
      </c>
      <c r="L1294">
        <v>284.13260000000002</v>
      </c>
      <c r="M1294">
        <v>-0.99949120000000002</v>
      </c>
      <c r="N1294">
        <v>-2.6438389999999998E-3</v>
      </c>
      <c r="O1294">
        <v>3.1787929999999999E-2</v>
      </c>
      <c r="P1294">
        <v>-0.97637160000000001</v>
      </c>
      <c r="Q1294">
        <v>0.1946166</v>
      </c>
      <c r="R1294">
        <v>9.3932749999999995E-2</v>
      </c>
      <c r="S1294">
        <v>-3.0439449999999999</v>
      </c>
      <c r="T1294">
        <v>0.16288849999999999</v>
      </c>
      <c r="U1294">
        <v>-2.6428219999999999E-2</v>
      </c>
      <c r="V1294">
        <v>6.3409789999999994E-2</v>
      </c>
      <c r="W1294">
        <v>0.1970237</v>
      </c>
      <c r="X1294">
        <v>0.97834600000000005</v>
      </c>
      <c r="Y1294">
        <v>-4.0359390000000002E-2</v>
      </c>
      <c r="Z1294">
        <v>2.809307E-3</v>
      </c>
      <c r="AA1294">
        <v>0.99918130000000005</v>
      </c>
      <c r="AB1294">
        <v>32</v>
      </c>
      <c r="AC1294">
        <v>-3.0439449999999999</v>
      </c>
      <c r="AD1294">
        <v>0.16288849999999999</v>
      </c>
      <c r="AE1294">
        <v>-2.6428219999999999E-2</v>
      </c>
      <c r="AF1294">
        <v>-0.12282421814724501</v>
      </c>
      <c r="AG1294">
        <v>0.16288849999999999</v>
      </c>
      <c r="AH1294">
        <v>3.0328823828686899</v>
      </c>
      <c r="AI1294">
        <v>86.928254170874894</v>
      </c>
      <c r="AJ1294">
        <v>92.319069794793094</v>
      </c>
      <c r="AK1294">
        <v>3.0397358438375801</v>
      </c>
      <c r="AL1294">
        <v>78.637033382108299</v>
      </c>
      <c r="AM1294">
        <v>86.291660768442597</v>
      </c>
      <c r="AN1294">
        <v>1.0000000177727599</v>
      </c>
    </row>
    <row r="1295" spans="1:40" x14ac:dyDescent="0.25">
      <c r="A1295" t="str">
        <f>"20190303170745915"</f>
        <v>20190303170745915</v>
      </c>
      <c r="B1295" t="str">
        <f>"1551604065903980"</f>
        <v>1551604065903980</v>
      </c>
      <c r="C1295" t="s">
        <v>40</v>
      </c>
      <c r="D1295">
        <v>4.0164299999999997</v>
      </c>
      <c r="E1295">
        <v>0.46283299999999999</v>
      </c>
      <c r="F1295" t="s">
        <v>45</v>
      </c>
      <c r="G1295">
        <v>0</v>
      </c>
      <c r="H1295">
        <v>0</v>
      </c>
      <c r="I1295">
        <v>0</v>
      </c>
      <c r="J1295">
        <v>-233.5933</v>
      </c>
      <c r="K1295">
        <v>1.1186499999999999</v>
      </c>
      <c r="L1295">
        <v>284.14400000000001</v>
      </c>
      <c r="M1295">
        <v>-0.99945059999999997</v>
      </c>
      <c r="N1295">
        <v>-2.596536E-3</v>
      </c>
      <c r="O1295">
        <v>3.304344E-2</v>
      </c>
      <c r="P1295">
        <v>-0.97626789999999997</v>
      </c>
      <c r="Q1295">
        <v>0.19561390000000001</v>
      </c>
      <c r="R1295">
        <v>9.293121E-2</v>
      </c>
      <c r="S1295">
        <v>-3.0442200000000001</v>
      </c>
      <c r="T1295">
        <v>0.1601948</v>
      </c>
      <c r="U1295">
        <v>-3.6773680000000003E-2</v>
      </c>
      <c r="V1295">
        <v>6.1172690000000002E-2</v>
      </c>
      <c r="W1295">
        <v>0.1979852</v>
      </c>
      <c r="X1295">
        <v>0.97829429999999995</v>
      </c>
      <c r="Y1295">
        <v>-4.5003990000000001E-2</v>
      </c>
      <c r="Z1295">
        <v>2.94794E-3</v>
      </c>
      <c r="AA1295">
        <v>0.99898240000000005</v>
      </c>
      <c r="AB1295">
        <v>32</v>
      </c>
      <c r="AC1295">
        <v>-3.0442200000000001</v>
      </c>
      <c r="AD1295">
        <v>0.1601948</v>
      </c>
      <c r="AE1295">
        <v>-3.6773680000000003E-2</v>
      </c>
      <c r="AF1295">
        <v>-0.136966209566942</v>
      </c>
      <c r="AG1295">
        <v>0.1601948</v>
      </c>
      <c r="AH1295">
        <v>3.0329450364681101</v>
      </c>
      <c r="AI1295">
        <v>86.979620180259303</v>
      </c>
      <c r="AJ1295">
        <v>92.585690619511197</v>
      </c>
      <c r="AK1295">
        <v>3.0402594808250698</v>
      </c>
      <c r="AL1295">
        <v>78.580836171056205</v>
      </c>
      <c r="AM1295">
        <v>86.421956510440594</v>
      </c>
      <c r="AN1295">
        <v>0.99999998741668294</v>
      </c>
    </row>
    <row r="1296" spans="1:40" x14ac:dyDescent="0.25">
      <c r="A1296" t="str">
        <f>"20190303170745939"</f>
        <v>20190303170745939</v>
      </c>
      <c r="B1296" t="str">
        <f>"1551604065934238"</f>
        <v>1551604065934238</v>
      </c>
      <c r="C1296" t="s">
        <v>40</v>
      </c>
      <c r="D1296">
        <v>3.9853179999999999</v>
      </c>
      <c r="E1296">
        <v>0.46271990000000002</v>
      </c>
      <c r="F1296" t="s">
        <v>45</v>
      </c>
      <c r="G1296">
        <v>0</v>
      </c>
      <c r="H1296">
        <v>0</v>
      </c>
      <c r="I1296">
        <v>0</v>
      </c>
      <c r="J1296">
        <v>-233.9272</v>
      </c>
      <c r="K1296">
        <v>1.1186750000000001</v>
      </c>
      <c r="L1296">
        <v>284.15620000000001</v>
      </c>
      <c r="M1296">
        <v>-0.99940850000000003</v>
      </c>
      <c r="N1296">
        <v>-2.5575340000000002E-3</v>
      </c>
      <c r="O1296">
        <v>3.4296630000000002E-2</v>
      </c>
      <c r="P1296">
        <v>-0.97597460000000003</v>
      </c>
      <c r="Q1296">
        <v>0.19741</v>
      </c>
      <c r="R1296">
        <v>9.2214210000000005E-2</v>
      </c>
      <c r="S1296">
        <v>-3.0438999999999998</v>
      </c>
      <c r="T1296">
        <v>0.1644852</v>
      </c>
      <c r="U1296">
        <v>-4.144287E-2</v>
      </c>
      <c r="V1296">
        <v>5.9231409999999998E-2</v>
      </c>
      <c r="W1296">
        <v>0.1997517</v>
      </c>
      <c r="X1296">
        <v>0.9780546</v>
      </c>
      <c r="Y1296">
        <v>-4.7778080000000001E-2</v>
      </c>
      <c r="Z1296">
        <v>3.1681249999999999E-3</v>
      </c>
      <c r="AA1296">
        <v>0.99885299999999999</v>
      </c>
      <c r="AB1296">
        <v>33</v>
      </c>
      <c r="AC1296">
        <v>-3.0438999999999998</v>
      </c>
      <c r="AD1296">
        <v>0.1644852</v>
      </c>
      <c r="AE1296">
        <v>-4.144287E-2</v>
      </c>
      <c r="AF1296">
        <v>-0.14538986503325099</v>
      </c>
      <c r="AG1296">
        <v>0.1644852</v>
      </c>
      <c r="AH1296">
        <v>3.03183637325411</v>
      </c>
      <c r="AI1296">
        <v>86.898153223726396</v>
      </c>
      <c r="AJ1296">
        <v>92.745480943104994</v>
      </c>
      <c r="AK1296">
        <v>3.0397739041020899</v>
      </c>
      <c r="AL1296">
        <v>78.477559924114402</v>
      </c>
      <c r="AM1296">
        <v>86.534375454495702</v>
      </c>
      <c r="AN1296">
        <v>0.99999995108231698</v>
      </c>
    </row>
    <row r="1297" spans="1:40" x14ac:dyDescent="0.25">
      <c r="A1297" t="str">
        <f>"20190303170745962"</f>
        <v>20190303170745962</v>
      </c>
      <c r="B1297" t="str">
        <f>"1551604065953756"</f>
        <v>1551604065953756</v>
      </c>
      <c r="C1297" t="s">
        <v>40</v>
      </c>
      <c r="D1297">
        <v>3.9838179999999999</v>
      </c>
      <c r="E1297">
        <v>0.46262409999999998</v>
      </c>
      <c r="F1297" t="s">
        <v>45</v>
      </c>
      <c r="G1297">
        <v>0</v>
      </c>
      <c r="H1297">
        <v>0</v>
      </c>
      <c r="I1297">
        <v>0</v>
      </c>
      <c r="J1297">
        <v>-234.26990000000001</v>
      </c>
      <c r="K1297">
        <v>1.118703</v>
      </c>
      <c r="L1297">
        <v>284.16910000000001</v>
      </c>
      <c r="M1297">
        <v>-0.99936559999999997</v>
      </c>
      <c r="N1297">
        <v>-2.5265069999999999E-3</v>
      </c>
      <c r="O1297">
        <v>3.5529489999999997E-2</v>
      </c>
      <c r="P1297">
        <v>-0.97587849999999998</v>
      </c>
      <c r="Q1297">
        <v>0.19776679999999999</v>
      </c>
      <c r="R1297">
        <v>9.2463870000000004E-2</v>
      </c>
      <c r="S1297">
        <v>-3.0436860000000001</v>
      </c>
      <c r="T1297">
        <v>0.16975870000000001</v>
      </c>
      <c r="U1297">
        <v>-4.4250490000000003E-2</v>
      </c>
      <c r="V1297">
        <v>5.8263530000000001E-2</v>
      </c>
      <c r="W1297">
        <v>0.20008480000000001</v>
      </c>
      <c r="X1297">
        <v>0.97804469999999999</v>
      </c>
      <c r="Y1297">
        <v>-4.9919230000000002E-2</v>
      </c>
      <c r="Z1297">
        <v>3.397326E-3</v>
      </c>
      <c r="AA1297">
        <v>0.99874750000000001</v>
      </c>
      <c r="AB1297">
        <v>33</v>
      </c>
      <c r="AC1297">
        <v>-3.0436860000000001</v>
      </c>
      <c r="AD1297">
        <v>0.16975870000000001</v>
      </c>
      <c r="AE1297">
        <v>-4.4250490000000003E-2</v>
      </c>
      <c r="AF1297">
        <v>-0.15189109531750999</v>
      </c>
      <c r="AG1297">
        <v>0.16975870000000001</v>
      </c>
      <c r="AH1297">
        <v>3.0307661414498499</v>
      </c>
      <c r="AI1297">
        <v>86.798119579216504</v>
      </c>
      <c r="AJ1297">
        <v>92.869057917951693</v>
      </c>
      <c r="AK1297">
        <v>3.0393144498753699</v>
      </c>
      <c r="AL1297">
        <v>78.458082059424299</v>
      </c>
      <c r="AM1297">
        <v>86.590836930367104</v>
      </c>
      <c r="AN1297">
        <v>1.0000000006585901</v>
      </c>
    </row>
    <row r="1298" spans="1:40" x14ac:dyDescent="0.25">
      <c r="A1298" t="str">
        <f>"20190303170745984"</f>
        <v>20190303170745984</v>
      </c>
      <c r="B1298" t="str">
        <f>"1551604065973276"</f>
        <v>1551604065973276</v>
      </c>
      <c r="C1298" t="s">
        <v>40</v>
      </c>
      <c r="D1298">
        <v>3.9842409999999999</v>
      </c>
      <c r="E1298">
        <v>0.46262029999999899</v>
      </c>
      <c r="F1298" t="s">
        <v>45</v>
      </c>
      <c r="G1298">
        <v>0</v>
      </c>
      <c r="H1298">
        <v>0</v>
      </c>
      <c r="I1298">
        <v>0</v>
      </c>
      <c r="J1298">
        <v>-234.59639999999999</v>
      </c>
      <c r="K1298">
        <v>1.1187240000000001</v>
      </c>
      <c r="L1298">
        <v>284.18180000000001</v>
      </c>
      <c r="M1298">
        <v>-0.99932520000000002</v>
      </c>
      <c r="N1298">
        <v>-2.5044970000000001E-3</v>
      </c>
      <c r="O1298">
        <v>3.6645110000000002E-2</v>
      </c>
      <c r="P1298">
        <v>-0.97609570000000001</v>
      </c>
      <c r="Q1298">
        <v>0.1967141</v>
      </c>
      <c r="R1298">
        <v>9.241684E-2</v>
      </c>
      <c r="S1298">
        <v>-3.0438390000000002</v>
      </c>
      <c r="T1298">
        <v>0.170022799999999</v>
      </c>
      <c r="U1298">
        <v>-4.379272E-2</v>
      </c>
      <c r="V1298">
        <v>5.7097170000000003E-2</v>
      </c>
      <c r="W1298">
        <v>0.199019</v>
      </c>
      <c r="X1298">
        <v>0.9783309</v>
      </c>
      <c r="Y1298">
        <v>-5.0879540000000001E-2</v>
      </c>
      <c r="Z1298">
        <v>3.492794E-3</v>
      </c>
      <c r="AA1298">
        <v>0.99869870000000005</v>
      </c>
      <c r="AB1298">
        <v>33</v>
      </c>
      <c r="AC1298">
        <v>-3.0438390000000002</v>
      </c>
      <c r="AD1298">
        <v>0.170022799999999</v>
      </c>
      <c r="AE1298">
        <v>-4.379272E-2</v>
      </c>
      <c r="AF1298">
        <v>-0.15482250688444699</v>
      </c>
      <c r="AG1298">
        <v>0.170022799999999</v>
      </c>
      <c r="AH1298">
        <v>3.0307354811154399</v>
      </c>
      <c r="AI1298">
        <v>86.7932726092953</v>
      </c>
      <c r="AJ1298">
        <v>92.924363429083897</v>
      </c>
      <c r="AK1298">
        <v>3.0394465479178798</v>
      </c>
      <c r="AL1298">
        <v>78.520401302640295</v>
      </c>
      <c r="AM1298">
        <v>86.659902938312499</v>
      </c>
      <c r="AN1298">
        <v>0.99999999953890895</v>
      </c>
    </row>
    <row r="1299" spans="1:40" x14ac:dyDescent="0.25">
      <c r="A1299" t="str">
        <f>"20190303170746007"</f>
        <v>20190303170746007</v>
      </c>
      <c r="B1299" t="str">
        <f>"1551604065993772"</f>
        <v>1551604065993772</v>
      </c>
      <c r="C1299" t="s">
        <v>40</v>
      </c>
      <c r="D1299">
        <v>3.9432749999999999</v>
      </c>
      <c r="E1299">
        <v>0.46251959999999998</v>
      </c>
      <c r="F1299" t="s">
        <v>45</v>
      </c>
      <c r="G1299">
        <v>0</v>
      </c>
      <c r="H1299">
        <v>0</v>
      </c>
      <c r="I1299">
        <v>0</v>
      </c>
      <c r="J1299">
        <v>-234.93870000000001</v>
      </c>
      <c r="K1299">
        <v>1.118749</v>
      </c>
      <c r="L1299">
        <v>284.19529999999997</v>
      </c>
      <c r="M1299">
        <v>-0.99928430000000001</v>
      </c>
      <c r="N1299">
        <v>-2.4882279999999999E-3</v>
      </c>
      <c r="O1299">
        <v>3.7745470000000003E-2</v>
      </c>
      <c r="P1299">
        <v>-0.97618959999999999</v>
      </c>
      <c r="Q1299">
        <v>0.1955991</v>
      </c>
      <c r="R1299">
        <v>9.3780479999999999E-2</v>
      </c>
      <c r="S1299">
        <v>-3.0441280000000002</v>
      </c>
      <c r="T1299">
        <v>0.16661719999999999</v>
      </c>
      <c r="U1299">
        <v>-4.4403079999999998E-2</v>
      </c>
      <c r="V1299">
        <v>5.7354910000000002E-2</v>
      </c>
      <c r="W1299">
        <v>0.1978936</v>
      </c>
      <c r="X1299">
        <v>0.97854410000000003</v>
      </c>
      <c r="Y1299">
        <v>-5.2179830000000003E-2</v>
      </c>
      <c r="Z1299">
        <v>3.519823E-3</v>
      </c>
      <c r="AA1299">
        <v>0.99863150000000001</v>
      </c>
      <c r="AB1299">
        <v>33</v>
      </c>
      <c r="AC1299">
        <v>-3.0441280000000002</v>
      </c>
      <c r="AD1299">
        <v>0.16661719999999999</v>
      </c>
      <c r="AE1299">
        <v>-4.4403079999999998E-2</v>
      </c>
      <c r="AF1299">
        <v>-0.15879820636325201</v>
      </c>
      <c r="AG1299">
        <v>0.16661719999999999</v>
      </c>
      <c r="AH1299">
        <v>3.03120370772952</v>
      </c>
      <c r="AI1299">
        <v>86.858069518221996</v>
      </c>
      <c r="AJ1299">
        <v>92.998860531303606</v>
      </c>
      <c r="AK1299">
        <v>3.0399299464680398</v>
      </c>
      <c r="AL1299">
        <v>78.5861906531579</v>
      </c>
      <c r="AM1299">
        <v>86.645589240354894</v>
      </c>
      <c r="AN1299">
        <v>1.00000000913343</v>
      </c>
    </row>
    <row r="1300" spans="1:40" x14ac:dyDescent="0.25">
      <c r="A1300" t="str">
        <f>"20190303170746028"</f>
        <v>20190303170746028</v>
      </c>
      <c r="B1300" t="str">
        <f>"1551604066024028"</f>
        <v>1551604066024028</v>
      </c>
      <c r="C1300" t="s">
        <v>40</v>
      </c>
      <c r="D1300">
        <v>3.9968309999999998</v>
      </c>
      <c r="E1300">
        <v>0.46248509999999998</v>
      </c>
      <c r="F1300" t="s">
        <v>45</v>
      </c>
      <c r="G1300">
        <v>0</v>
      </c>
      <c r="H1300">
        <v>0</v>
      </c>
      <c r="I1300">
        <v>0</v>
      </c>
      <c r="J1300">
        <v>-235.26249999999999</v>
      </c>
      <c r="K1300">
        <v>1.1187800000000001</v>
      </c>
      <c r="L1300">
        <v>284.20839999999998</v>
      </c>
      <c r="M1300">
        <v>-0.99924729999999995</v>
      </c>
      <c r="N1300">
        <v>-2.4786320000000001E-3</v>
      </c>
      <c r="O1300">
        <v>3.8712490000000002E-2</v>
      </c>
      <c r="P1300">
        <v>-0.97618470000000002</v>
      </c>
      <c r="Q1300">
        <v>0.19497709999999999</v>
      </c>
      <c r="R1300">
        <v>9.5117339999999995E-2</v>
      </c>
      <c r="S1300">
        <v>-3.0443120000000001</v>
      </c>
      <c r="T1300">
        <v>0.1640587</v>
      </c>
      <c r="U1300">
        <v>-4.1473389999999999E-2</v>
      </c>
      <c r="V1300">
        <v>5.7718749999999999E-2</v>
      </c>
      <c r="W1300">
        <v>0.1972682</v>
      </c>
      <c r="X1300">
        <v>0.97864899999999999</v>
      </c>
      <c r="Y1300">
        <v>-5.2187119999999997E-2</v>
      </c>
      <c r="Z1300">
        <v>3.5206320000000001E-3</v>
      </c>
      <c r="AA1300">
        <v>0.99863109999999999</v>
      </c>
      <c r="AB1300">
        <v>33</v>
      </c>
      <c r="AC1300">
        <v>-3.0443120000000001</v>
      </c>
      <c r="AD1300">
        <v>0.1640587</v>
      </c>
      <c r="AE1300">
        <v>-4.1473389999999999E-2</v>
      </c>
      <c r="AF1300">
        <v>-0.158834368308711</v>
      </c>
      <c r="AG1300">
        <v>0.1640587</v>
      </c>
      <c r="AH1300">
        <v>3.0316217236516101</v>
      </c>
      <c r="AI1300">
        <v>86.906647676797107</v>
      </c>
      <c r="AJ1300">
        <v>92.999129355263804</v>
      </c>
      <c r="AK1300">
        <v>3.0402095139838798</v>
      </c>
      <c r="AL1300">
        <v>78.6227442781246</v>
      </c>
      <c r="AM1300">
        <v>86.624720048302507</v>
      </c>
      <c r="AN1300">
        <v>1.0000000310168999</v>
      </c>
    </row>
    <row r="1301" spans="1:40" x14ac:dyDescent="0.25">
      <c r="A1301" t="str">
        <f>"20190303170746050"</f>
        <v>20190303170746050</v>
      </c>
      <c r="B1301" t="str">
        <f>"1551604066043548"</f>
        <v>1551604066043548</v>
      </c>
      <c r="C1301" t="s">
        <v>40</v>
      </c>
      <c r="D1301">
        <v>3.99464</v>
      </c>
      <c r="E1301">
        <v>0.46655679999999999</v>
      </c>
      <c r="F1301" t="s">
        <v>45</v>
      </c>
      <c r="G1301">
        <v>0</v>
      </c>
      <c r="H1301">
        <v>0</v>
      </c>
      <c r="I1301">
        <v>0</v>
      </c>
      <c r="J1301">
        <v>-235.58160000000001</v>
      </c>
      <c r="K1301">
        <v>1.1188279999999999</v>
      </c>
      <c r="L1301">
        <v>284.22160000000002</v>
      </c>
      <c r="M1301">
        <v>-0.99921300000000002</v>
      </c>
      <c r="N1301">
        <v>-2.4740209999999999E-3</v>
      </c>
      <c r="O1301">
        <v>3.9590149999999998E-2</v>
      </c>
      <c r="P1301">
        <v>-0.97601749999999998</v>
      </c>
      <c r="Q1301">
        <v>0.19551460000000001</v>
      </c>
      <c r="R1301">
        <v>9.5731159999999996E-2</v>
      </c>
      <c r="S1301">
        <v>-3.0445099999999998</v>
      </c>
      <c r="T1301">
        <v>0.16226009999999999</v>
      </c>
      <c r="U1301">
        <v>-3.8269039999999997E-2</v>
      </c>
      <c r="V1301">
        <v>5.7454539999999998E-2</v>
      </c>
      <c r="W1301">
        <v>0.19780900000000001</v>
      </c>
      <c r="X1301">
        <v>0.97855530000000002</v>
      </c>
      <c r="Y1301">
        <v>-5.201426E-2</v>
      </c>
      <c r="Z1301">
        <v>3.526665E-3</v>
      </c>
      <c r="AA1301">
        <v>0.99864010000000003</v>
      </c>
      <c r="AB1301">
        <v>33</v>
      </c>
      <c r="AC1301">
        <v>-3.0445099999999998</v>
      </c>
      <c r="AD1301">
        <v>0.16226009999999999</v>
      </c>
      <c r="AE1301">
        <v>-3.8269039999999997E-2</v>
      </c>
      <c r="AF1301">
        <v>-0.15832236890721299</v>
      </c>
      <c r="AG1301">
        <v>0.16226009999999999</v>
      </c>
      <c r="AH1301">
        <v>3.0319971106266399</v>
      </c>
      <c r="AI1301">
        <v>86.940845919622802</v>
      </c>
      <c r="AJ1301">
        <v>92.989109834848705</v>
      </c>
      <c r="AK1301">
        <v>3.0404606215829699</v>
      </c>
      <c r="AL1301">
        <v>78.591134943270902</v>
      </c>
      <c r="AM1301">
        <v>86.639814075750095</v>
      </c>
      <c r="AN1301">
        <v>0.99999994990284902</v>
      </c>
    </row>
    <row r="1302" spans="1:40" x14ac:dyDescent="0.25">
      <c r="A1302" t="str">
        <f>"20190303170746072"</f>
        <v>20190303170746072</v>
      </c>
      <c r="B1302" t="str">
        <f>"1551604066064044"</f>
        <v>1551604066064044</v>
      </c>
      <c r="C1302" t="s">
        <v>40</v>
      </c>
      <c r="D1302">
        <v>3.9604520000000001</v>
      </c>
      <c r="E1302">
        <v>0.4666959</v>
      </c>
      <c r="F1302" t="s">
        <v>45</v>
      </c>
      <c r="G1302">
        <v>0</v>
      </c>
      <c r="H1302">
        <v>0</v>
      </c>
      <c r="I1302">
        <v>0</v>
      </c>
      <c r="J1302">
        <v>-235.9384</v>
      </c>
      <c r="K1302">
        <v>1.118881</v>
      </c>
      <c r="L1302">
        <v>284.23649999999998</v>
      </c>
      <c r="M1302">
        <v>-0.99917750000000005</v>
      </c>
      <c r="N1302">
        <v>-2.4743539999999998E-3</v>
      </c>
      <c r="O1302">
        <v>4.0478460000000001E-2</v>
      </c>
      <c r="P1302">
        <v>-0.97594369999999997</v>
      </c>
      <c r="Q1302">
        <v>0.19587460000000001</v>
      </c>
      <c r="R1302">
        <v>9.5744839999999998E-2</v>
      </c>
      <c r="S1302">
        <v>-3.0637050000000001</v>
      </c>
      <c r="T1302">
        <v>5.4839249999999999E-2</v>
      </c>
      <c r="U1302">
        <v>-1.013184E-2</v>
      </c>
      <c r="V1302">
        <v>5.6571389999999999E-2</v>
      </c>
      <c r="W1302">
        <v>0.1981801</v>
      </c>
      <c r="X1302">
        <v>0.9785317</v>
      </c>
      <c r="Y1302">
        <v>-4.3768250000000002E-2</v>
      </c>
      <c r="Z1302">
        <v>1.162054E-3</v>
      </c>
      <c r="AA1302">
        <v>0.99904099999999996</v>
      </c>
      <c r="AB1302">
        <v>34</v>
      </c>
      <c r="AC1302">
        <v>-3.0637050000000001</v>
      </c>
      <c r="AD1302">
        <v>5.4839249999999999E-2</v>
      </c>
      <c r="AE1302">
        <v>-1.013184E-2</v>
      </c>
      <c r="AF1302">
        <v>-0.134094993817058</v>
      </c>
      <c r="AG1302">
        <v>5.4839249999999999E-2</v>
      </c>
      <c r="AH1302">
        <v>3.05980354214593</v>
      </c>
      <c r="AI1302">
        <v>88.974212182868001</v>
      </c>
      <c r="AJ1302">
        <v>92.509365073764997</v>
      </c>
      <c r="AK1302">
        <v>3.0632313864995799</v>
      </c>
      <c r="AL1302">
        <v>78.5694434072538</v>
      </c>
      <c r="AM1302">
        <v>86.691269183345099</v>
      </c>
      <c r="AN1302">
        <v>0.99999998105371501</v>
      </c>
    </row>
    <row r="1303" spans="1:40" x14ac:dyDescent="0.25">
      <c r="A1303" t="str">
        <f>"20190303170746095"</f>
        <v>20190303170746095</v>
      </c>
      <c r="B1303" t="str">
        <f>"1551604066083564"</f>
        <v>1551604066083564</v>
      </c>
      <c r="C1303" t="s">
        <v>40</v>
      </c>
      <c r="D1303">
        <v>3.994014</v>
      </c>
      <c r="E1303">
        <v>0.46661520000000001</v>
      </c>
      <c r="F1303" t="s">
        <v>45</v>
      </c>
      <c r="G1303">
        <v>0</v>
      </c>
      <c r="H1303">
        <v>0</v>
      </c>
      <c r="I1303">
        <v>0</v>
      </c>
      <c r="J1303">
        <v>-236.2747</v>
      </c>
      <c r="K1303">
        <v>1.118932</v>
      </c>
      <c r="L1303">
        <v>284.2509</v>
      </c>
      <c r="M1303">
        <v>-0.99914590000000003</v>
      </c>
      <c r="N1303">
        <v>-2.4794890000000001E-3</v>
      </c>
      <c r="O1303">
        <v>4.1247800000000001E-2</v>
      </c>
      <c r="P1303">
        <v>-0.97612169999999998</v>
      </c>
      <c r="Q1303">
        <v>0.1951107</v>
      </c>
      <c r="R1303">
        <v>9.5491610000000005E-2</v>
      </c>
      <c r="S1303">
        <v>-3.0676269999999999</v>
      </c>
      <c r="T1303">
        <v>3.6023970000000002E-2</v>
      </c>
      <c r="U1303">
        <v>-9.2163090000000007E-3</v>
      </c>
      <c r="V1303">
        <v>5.5529839999999997E-2</v>
      </c>
      <c r="W1303">
        <v>0.19743089999999999</v>
      </c>
      <c r="X1303">
        <v>0.97874280000000002</v>
      </c>
      <c r="Y1303">
        <v>-4.4242980000000001E-2</v>
      </c>
      <c r="Z1303">
        <v>7.9147750000000002E-4</v>
      </c>
      <c r="AA1303">
        <v>0.99902049999999998</v>
      </c>
      <c r="AB1303">
        <v>34</v>
      </c>
      <c r="AC1303">
        <v>-3.0676269999999999</v>
      </c>
      <c r="AD1303">
        <v>3.6023970000000002E-2</v>
      </c>
      <c r="AE1303">
        <v>-9.2163090000000007E-3</v>
      </c>
      <c r="AF1303">
        <v>-0.13572299899558701</v>
      </c>
      <c r="AG1303">
        <v>3.6023970000000002E-2</v>
      </c>
      <c r="AH1303">
        <v>3.0642135537488202</v>
      </c>
      <c r="AI1303">
        <v>89.327101420229198</v>
      </c>
      <c r="AJ1303">
        <v>92.536140345238493</v>
      </c>
      <c r="AK1303">
        <v>3.06742940617203</v>
      </c>
      <c r="AL1303">
        <v>78.613234838341995</v>
      </c>
      <c r="AM1303">
        <v>86.752754447023705</v>
      </c>
      <c r="AN1303">
        <v>0.99999999597853695</v>
      </c>
    </row>
    <row r="1304" spans="1:40" x14ac:dyDescent="0.25">
      <c r="A1304" t="str">
        <f>"20190303170746115"</f>
        <v>20190303170746115</v>
      </c>
      <c r="B1304" t="str">
        <f>"1551604066104060"</f>
        <v>1551604066104060</v>
      </c>
      <c r="C1304" t="s">
        <v>40</v>
      </c>
      <c r="D1304">
        <v>3.9816940000000001</v>
      </c>
      <c r="E1304">
        <v>0.46720220000000001</v>
      </c>
      <c r="F1304" t="s">
        <v>45</v>
      </c>
      <c r="G1304">
        <v>0</v>
      </c>
      <c r="H1304">
        <v>0</v>
      </c>
      <c r="I1304">
        <v>0</v>
      </c>
      <c r="J1304">
        <v>-236.59989999999999</v>
      </c>
      <c r="K1304">
        <v>1.1189720000000001</v>
      </c>
      <c r="L1304">
        <v>284.26490000000001</v>
      </c>
      <c r="M1304">
        <v>-0.99911749999999999</v>
      </c>
      <c r="N1304">
        <v>-2.4908790000000001E-3</v>
      </c>
      <c r="O1304">
        <v>4.193202E-2</v>
      </c>
      <c r="P1304">
        <v>-0.97621919999999995</v>
      </c>
      <c r="Q1304">
        <v>0.1948674</v>
      </c>
      <c r="R1304">
        <v>9.4989879999999999E-2</v>
      </c>
      <c r="S1304">
        <v>-3.0695950000000001</v>
      </c>
      <c r="T1304">
        <v>2.4431939999999999E-2</v>
      </c>
      <c r="U1304">
        <v>-1.1230469999999999E-2</v>
      </c>
      <c r="V1304">
        <v>5.4330730000000001E-2</v>
      </c>
      <c r="W1304">
        <v>0.19720789999999999</v>
      </c>
      <c r="X1304">
        <v>0.97885509999999998</v>
      </c>
      <c r="Y1304">
        <v>-4.5583970000000001E-2</v>
      </c>
      <c r="Z1304">
        <v>5.6277650000000003E-4</v>
      </c>
      <c r="AA1304">
        <v>0.99896039999999997</v>
      </c>
      <c r="AB1304">
        <v>34</v>
      </c>
      <c r="AC1304">
        <v>-3.0695950000000001</v>
      </c>
      <c r="AD1304">
        <v>2.4431939999999999E-2</v>
      </c>
      <c r="AE1304">
        <v>-1.1230469999999999E-2</v>
      </c>
      <c r="AF1304">
        <v>-0.13992642836735</v>
      </c>
      <c r="AG1304">
        <v>2.4431939999999999E-2</v>
      </c>
      <c r="AH1304">
        <v>3.0662300070569999</v>
      </c>
      <c r="AI1304">
        <v>89.543947395633595</v>
      </c>
      <c r="AJ1304">
        <v>92.6128618465861</v>
      </c>
      <c r="AK1304">
        <v>3.0695183304917002</v>
      </c>
      <c r="AL1304">
        <v>78.626268609552696</v>
      </c>
      <c r="AM1304">
        <v>86.823093910495302</v>
      </c>
      <c r="AN1304">
        <v>1.0000000454203699</v>
      </c>
    </row>
    <row r="1305" spans="1:40" x14ac:dyDescent="0.25">
      <c r="A1305" t="str">
        <f>"20190303170746140"</f>
        <v>20190303170746140</v>
      </c>
      <c r="B1305" t="str">
        <f>"1551604066133340"</f>
        <v>1551604066133340</v>
      </c>
      <c r="C1305" t="s">
        <v>40</v>
      </c>
      <c r="D1305">
        <v>3.962977</v>
      </c>
      <c r="E1305">
        <v>0.4675552</v>
      </c>
      <c r="F1305" t="s">
        <v>45</v>
      </c>
      <c r="G1305">
        <v>0</v>
      </c>
      <c r="H1305">
        <v>0</v>
      </c>
      <c r="I1305">
        <v>0</v>
      </c>
      <c r="J1305">
        <v>-236.9607</v>
      </c>
      <c r="K1305">
        <v>1.1190199999999999</v>
      </c>
      <c r="L1305">
        <v>284.28059999999999</v>
      </c>
      <c r="M1305">
        <v>-0.99908790000000003</v>
      </c>
      <c r="N1305">
        <v>-2.5111619999999999E-3</v>
      </c>
      <c r="O1305">
        <v>4.2628859999999998E-2</v>
      </c>
      <c r="P1305">
        <v>-0.97638780000000003</v>
      </c>
      <c r="Q1305">
        <v>0.19479850000000001</v>
      </c>
      <c r="R1305">
        <v>9.3384469999999997E-2</v>
      </c>
      <c r="S1305">
        <v>-3.0699619999999999</v>
      </c>
      <c r="T1305">
        <v>1.9861940000000002E-2</v>
      </c>
      <c r="U1305">
        <v>-8.7585449999999995E-3</v>
      </c>
      <c r="V1305">
        <v>5.2013799999999999E-2</v>
      </c>
      <c r="W1305">
        <v>0.19716910000000001</v>
      </c>
      <c r="X1305">
        <v>0.97898870000000004</v>
      </c>
      <c r="Y1305">
        <v>-4.5476910000000002E-2</v>
      </c>
      <c r="Z1305">
        <v>4.7281619999999999E-4</v>
      </c>
      <c r="AA1305">
        <v>0.99896529999999994</v>
      </c>
      <c r="AB1305">
        <v>34</v>
      </c>
      <c r="AC1305">
        <v>-3.0699619999999999</v>
      </c>
      <c r="AD1305">
        <v>1.9861940000000002E-2</v>
      </c>
      <c r="AE1305">
        <v>-8.7585449999999995E-3</v>
      </c>
      <c r="AF1305">
        <v>-0.13961412194761599</v>
      </c>
      <c r="AG1305">
        <v>1.9861940000000002E-2</v>
      </c>
      <c r="AH1305">
        <v>3.0666695855147799</v>
      </c>
      <c r="AI1305">
        <v>89.629300799839598</v>
      </c>
      <c r="AJ1305">
        <v>92.606664989669994</v>
      </c>
      <c r="AK1305">
        <v>3.0699102505495399</v>
      </c>
      <c r="AL1305">
        <v>78.628535478504602</v>
      </c>
      <c r="AM1305">
        <v>86.958727099888193</v>
      </c>
      <c r="AN1305">
        <v>0.99999998205646901</v>
      </c>
    </row>
    <row r="1306" spans="1:40" x14ac:dyDescent="0.25">
      <c r="A1306" t="str">
        <f>"20190303170746164"</f>
        <v>20190303170746164</v>
      </c>
      <c r="B1306" t="str">
        <f>"1551604066153836"</f>
        <v>1551604066153836</v>
      </c>
      <c r="C1306" t="s">
        <v>40</v>
      </c>
      <c r="D1306">
        <v>3.968925</v>
      </c>
      <c r="E1306">
        <v>0.46769040000000001</v>
      </c>
      <c r="F1306" t="s">
        <v>45</v>
      </c>
      <c r="G1306">
        <v>0</v>
      </c>
      <c r="H1306">
        <v>0</v>
      </c>
      <c r="I1306">
        <v>0</v>
      </c>
      <c r="J1306">
        <v>-237.3365</v>
      </c>
      <c r="K1306">
        <v>1.119062</v>
      </c>
      <c r="L1306">
        <v>284.29730000000001</v>
      </c>
      <c r="M1306">
        <v>-0.99905909999999998</v>
      </c>
      <c r="N1306">
        <v>-2.5426720000000002E-3</v>
      </c>
      <c r="O1306">
        <v>4.3297559999999999E-2</v>
      </c>
      <c r="P1306">
        <v>-0.97629149999999998</v>
      </c>
      <c r="Q1306">
        <v>0.19619719999999999</v>
      </c>
      <c r="R1306">
        <v>9.1442469999999998E-2</v>
      </c>
      <c r="S1306">
        <v>-3.0703279999999999</v>
      </c>
      <c r="T1306">
        <v>1.6353960000000001E-2</v>
      </c>
      <c r="U1306">
        <v>-1.107788E-2</v>
      </c>
      <c r="V1306">
        <v>4.9403450000000002E-2</v>
      </c>
      <c r="W1306">
        <v>0.1986078</v>
      </c>
      <c r="X1306">
        <v>0.97883310000000001</v>
      </c>
      <c r="Y1306">
        <v>-4.6900369999999997E-2</v>
      </c>
      <c r="Z1306">
        <v>4.0596289999999998E-4</v>
      </c>
      <c r="AA1306">
        <v>0.99889950000000005</v>
      </c>
      <c r="AB1306">
        <v>34</v>
      </c>
      <c r="AC1306">
        <v>-3.0703279999999999</v>
      </c>
      <c r="AD1306">
        <v>1.6353960000000001E-2</v>
      </c>
      <c r="AE1306">
        <v>-1.107788E-2</v>
      </c>
      <c r="AF1306">
        <v>-0.144001531202989</v>
      </c>
      <c r="AG1306">
        <v>1.6353960000000001E-2</v>
      </c>
      <c r="AH1306">
        <v>3.0668820363306599</v>
      </c>
      <c r="AI1306">
        <v>89.694812896486596</v>
      </c>
      <c r="AJ1306">
        <v>92.688275779251299</v>
      </c>
      <c r="AK1306">
        <v>3.0703044340527801</v>
      </c>
      <c r="AL1306">
        <v>78.544441214166397</v>
      </c>
      <c r="AM1306">
        <v>87.110631751050605</v>
      </c>
      <c r="AN1306">
        <v>0.99999999837417597</v>
      </c>
    </row>
    <row r="1307" spans="1:40" x14ac:dyDescent="0.25">
      <c r="A1307" t="str">
        <f>"20190303170746184"</f>
        <v>20190303170746184</v>
      </c>
      <c r="B1307" t="str">
        <f>"1551604066173748"</f>
        <v>1551604066173748</v>
      </c>
      <c r="C1307" t="s">
        <v>40</v>
      </c>
      <c r="D1307">
        <v>3.9870510000000001</v>
      </c>
      <c r="E1307">
        <v>0.46788790000000002</v>
      </c>
      <c r="F1307" t="s">
        <v>45</v>
      </c>
      <c r="G1307">
        <v>0</v>
      </c>
      <c r="H1307">
        <v>0</v>
      </c>
      <c r="I1307">
        <v>0</v>
      </c>
      <c r="J1307">
        <v>-237.65880000000001</v>
      </c>
      <c r="K1307">
        <v>1.119102</v>
      </c>
      <c r="L1307">
        <v>284.31169999999997</v>
      </c>
      <c r="M1307">
        <v>-0.99903549999999997</v>
      </c>
      <c r="N1307">
        <v>-2.5775609999999999E-3</v>
      </c>
      <c r="O1307">
        <v>4.3833700000000003E-2</v>
      </c>
      <c r="P1307">
        <v>-0.97620499999999999</v>
      </c>
      <c r="Q1307">
        <v>0.1974118</v>
      </c>
      <c r="R1307">
        <v>8.9735640000000005E-2</v>
      </c>
      <c r="S1307">
        <v>-3.070465</v>
      </c>
      <c r="T1307">
        <v>1.9186379999999999E-2</v>
      </c>
      <c r="U1307">
        <v>-1.5686039999999998E-2</v>
      </c>
      <c r="V1307">
        <v>4.7163280000000002E-2</v>
      </c>
      <c r="W1307">
        <v>0.19986329999999999</v>
      </c>
      <c r="X1307">
        <v>0.97868809999999995</v>
      </c>
      <c r="Y1307">
        <v>-4.8934709999999999E-2</v>
      </c>
      <c r="Z1307">
        <v>4.766657E-4</v>
      </c>
      <c r="AA1307">
        <v>0.99880190000000002</v>
      </c>
      <c r="AB1307">
        <v>35</v>
      </c>
      <c r="AC1307">
        <v>-3.070465</v>
      </c>
      <c r="AD1307">
        <v>1.9186379999999999E-2</v>
      </c>
      <c r="AE1307">
        <v>-1.5686039999999998E-2</v>
      </c>
      <c r="AF1307">
        <v>-0.15025538735881999</v>
      </c>
      <c r="AG1307">
        <v>1.9186379999999999E-2</v>
      </c>
      <c r="AH1307">
        <v>3.06670645732645</v>
      </c>
      <c r="AI1307">
        <v>89.641971862113294</v>
      </c>
      <c r="AJ1307">
        <v>92.805002928585694</v>
      </c>
      <c r="AK1307">
        <v>3.07044512962137</v>
      </c>
      <c r="AL1307">
        <v>78.471035342007198</v>
      </c>
      <c r="AM1307">
        <v>87.241033195669402</v>
      </c>
      <c r="AN1307">
        <v>1.0000000553744199</v>
      </c>
    </row>
    <row r="1308" spans="1:40" x14ac:dyDescent="0.25">
      <c r="A1308" t="str">
        <f>"20190303170746206"</f>
        <v>20190303170746206</v>
      </c>
      <c r="B1308" t="str">
        <f>"1551604066193268"</f>
        <v>1551604066193268</v>
      </c>
      <c r="C1308" t="s">
        <v>40</v>
      </c>
      <c r="D1308">
        <v>4.004969</v>
      </c>
      <c r="E1308">
        <v>0.46790789999999999</v>
      </c>
      <c r="F1308" t="s">
        <v>45</v>
      </c>
      <c r="G1308">
        <v>0</v>
      </c>
      <c r="H1308">
        <v>0</v>
      </c>
      <c r="I1308">
        <v>0</v>
      </c>
      <c r="J1308">
        <v>-238.00720000000001</v>
      </c>
      <c r="K1308">
        <v>1.1191329999999999</v>
      </c>
      <c r="L1308">
        <v>284.32749999999999</v>
      </c>
      <c r="M1308">
        <v>-0.99901099999999998</v>
      </c>
      <c r="N1308">
        <v>-2.624824E-3</v>
      </c>
      <c r="O1308">
        <v>4.4387419999999997E-2</v>
      </c>
      <c r="P1308">
        <v>-0.97626199999999996</v>
      </c>
      <c r="Q1308">
        <v>0.19821250000000001</v>
      </c>
      <c r="R1308">
        <v>8.7320179999999997E-2</v>
      </c>
      <c r="S1308">
        <v>-3.0705110000000002</v>
      </c>
      <c r="T1308">
        <v>2.1380900000000001E-2</v>
      </c>
      <c r="U1308">
        <v>-1.8371579999999998E-2</v>
      </c>
      <c r="V1308">
        <v>4.4192769999999999E-2</v>
      </c>
      <c r="W1308">
        <v>0.20071829999999999</v>
      </c>
      <c r="X1308">
        <v>0.97865170000000001</v>
      </c>
      <c r="Y1308">
        <v>-5.0361209999999997E-2</v>
      </c>
      <c r="Z1308">
        <v>5.3478249999999998E-4</v>
      </c>
      <c r="AA1308">
        <v>0.99873089999999998</v>
      </c>
      <c r="AB1308">
        <v>35</v>
      </c>
      <c r="AC1308">
        <v>-3.0705110000000002</v>
      </c>
      <c r="AD1308">
        <v>2.1380900000000001E-2</v>
      </c>
      <c r="AE1308">
        <v>-1.8371579999999998E-2</v>
      </c>
      <c r="AF1308">
        <v>-0.154638498258376</v>
      </c>
      <c r="AG1308">
        <v>2.1380900000000001E-2</v>
      </c>
      <c r="AH1308">
        <v>3.0665205089237602</v>
      </c>
      <c r="AI1308">
        <v>89.601026343779793</v>
      </c>
      <c r="AJ1308">
        <v>92.886866180413193</v>
      </c>
      <c r="AK1308">
        <v>3.0704915306312901</v>
      </c>
      <c r="AL1308">
        <v>78.421033526598904</v>
      </c>
      <c r="AM1308">
        <v>87.414462941397403</v>
      </c>
      <c r="AN1308">
        <v>0.99999999339402601</v>
      </c>
    </row>
    <row r="1309" spans="1:40" x14ac:dyDescent="0.25">
      <c r="A1309" t="str">
        <f>"20190303170746228"</f>
        <v>20190303170746228</v>
      </c>
      <c r="B1309" t="str">
        <f>"1551604066213763"</f>
        <v>1551604066213763</v>
      </c>
      <c r="C1309" t="s">
        <v>40</v>
      </c>
      <c r="D1309">
        <v>3.9736400000000001</v>
      </c>
      <c r="E1309">
        <v>0.46799809999999997</v>
      </c>
      <c r="F1309" t="s">
        <v>45</v>
      </c>
      <c r="G1309">
        <v>0</v>
      </c>
      <c r="H1309">
        <v>0</v>
      </c>
      <c r="I1309">
        <v>0</v>
      </c>
      <c r="J1309">
        <v>-238.33080000000001</v>
      </c>
      <c r="K1309">
        <v>1.119157</v>
      </c>
      <c r="L1309">
        <v>284.34230000000002</v>
      </c>
      <c r="M1309">
        <v>-0.9989886</v>
      </c>
      <c r="N1309">
        <v>-2.679421E-3</v>
      </c>
      <c r="O1309">
        <v>4.4884519999999997E-2</v>
      </c>
      <c r="P1309">
        <v>-0.97641279999999997</v>
      </c>
      <c r="Q1309">
        <v>0.1979833</v>
      </c>
      <c r="R1309">
        <v>8.6144410000000005E-2</v>
      </c>
      <c r="S1309">
        <v>-3.070541</v>
      </c>
      <c r="T1309">
        <v>2.2390719999999999E-2</v>
      </c>
      <c r="U1309">
        <v>-2.4139399999999998E-2</v>
      </c>
      <c r="V1309">
        <v>4.2514419999999997E-2</v>
      </c>
      <c r="W1309">
        <v>0.2005468</v>
      </c>
      <c r="X1309">
        <v>0.9787612</v>
      </c>
      <c r="Y1309">
        <v>-5.2733629999999997E-2</v>
      </c>
      <c r="Z1309">
        <v>5.6912559999999996E-4</v>
      </c>
      <c r="AA1309">
        <v>0.99860850000000001</v>
      </c>
      <c r="AB1309">
        <v>35</v>
      </c>
      <c r="AC1309">
        <v>-3.070541</v>
      </c>
      <c r="AD1309">
        <v>2.2390719999999999E-2</v>
      </c>
      <c r="AE1309">
        <v>-2.4139399999999998E-2</v>
      </c>
      <c r="AF1309">
        <v>-0.16192671391999799</v>
      </c>
      <c r="AG1309">
        <v>2.2390719999999999E-2</v>
      </c>
      <c r="AH1309">
        <v>3.06619990768937</v>
      </c>
      <c r="AI1309">
        <v>89.5821910259925</v>
      </c>
      <c r="AJ1309">
        <v>93.022994926467803</v>
      </c>
      <c r="AK1309">
        <v>3.0705542624968101</v>
      </c>
      <c r="AL1309">
        <v>78.431063669881993</v>
      </c>
      <c r="AM1309">
        <v>87.512808462538402</v>
      </c>
      <c r="AN1309">
        <v>0.99999999076180801</v>
      </c>
    </row>
    <row r="1310" spans="1:40" x14ac:dyDescent="0.25">
      <c r="A1310" t="str">
        <f>"20190303170746251"</f>
        <v>20190303170746251</v>
      </c>
      <c r="B1310" t="str">
        <f>"1551604066244020"</f>
        <v>1551604066244020</v>
      </c>
      <c r="C1310" t="s">
        <v>40</v>
      </c>
      <c r="D1310">
        <v>4.0156130000000001</v>
      </c>
      <c r="E1310">
        <v>0.46836260000000002</v>
      </c>
      <c r="F1310" t="s">
        <v>45</v>
      </c>
      <c r="G1310">
        <v>0</v>
      </c>
      <c r="H1310">
        <v>0</v>
      </c>
      <c r="I1310">
        <v>0</v>
      </c>
      <c r="J1310">
        <v>-238.70079999999999</v>
      </c>
      <c r="K1310">
        <v>1.1191739999999999</v>
      </c>
      <c r="L1310">
        <v>284.35939999999999</v>
      </c>
      <c r="M1310">
        <v>-0.99896320000000005</v>
      </c>
      <c r="N1310">
        <v>-2.756835E-3</v>
      </c>
      <c r="O1310">
        <v>4.5441080000000002E-2</v>
      </c>
      <c r="P1310">
        <v>-0.9765336</v>
      </c>
      <c r="Q1310">
        <v>0.19820679999999999</v>
      </c>
      <c r="R1310">
        <v>8.4240029999999994E-2</v>
      </c>
      <c r="S1310">
        <v>-3.0708160000000002</v>
      </c>
      <c r="T1310">
        <v>1.9956229999999998E-2</v>
      </c>
      <c r="U1310">
        <v>-2.6947019999999999E-2</v>
      </c>
      <c r="V1310">
        <v>4.0053749999999999E-2</v>
      </c>
      <c r="W1310">
        <v>0.2008509</v>
      </c>
      <c r="X1310">
        <v>0.97880259999999997</v>
      </c>
      <c r="Y1310">
        <v>-5.4202699999999902E-2</v>
      </c>
      <c r="Z1310">
        <v>5.2193370000000005E-4</v>
      </c>
      <c r="AA1310">
        <v>0.99852980000000002</v>
      </c>
      <c r="AB1310">
        <v>35</v>
      </c>
      <c r="AC1310">
        <v>-3.0708160000000002</v>
      </c>
      <c r="AD1310">
        <v>1.9956229999999998E-2</v>
      </c>
      <c r="AE1310">
        <v>-2.6947019999999999E-2</v>
      </c>
      <c r="AF1310">
        <v>-0.16645388290995999</v>
      </c>
      <c r="AG1310">
        <v>1.9956229999999998E-2</v>
      </c>
      <c r="AH1310">
        <v>3.06628989184428</v>
      </c>
      <c r="AI1310">
        <v>89.627657300053997</v>
      </c>
      <c r="AJ1310">
        <v>93.107257835026203</v>
      </c>
      <c r="AK1310">
        <v>3.07086939596558</v>
      </c>
      <c r="AL1310">
        <v>78.413277759831402</v>
      </c>
      <c r="AM1310">
        <v>87.656696928436105</v>
      </c>
      <c r="AN1310">
        <v>0.99999995834331501</v>
      </c>
    </row>
    <row r="1311" spans="1:40" x14ac:dyDescent="0.25">
      <c r="A1311" t="str">
        <f>"20190303170746273"</f>
        <v>20190303170746273</v>
      </c>
      <c r="B1311" t="str">
        <f>"1551604066263540"</f>
        <v>1551604066263540</v>
      </c>
      <c r="C1311" t="s">
        <v>40</v>
      </c>
      <c r="D1311">
        <v>4.0583600000000004</v>
      </c>
      <c r="E1311">
        <v>0.46863690000000002</v>
      </c>
      <c r="F1311" t="s">
        <v>45</v>
      </c>
      <c r="G1311">
        <v>0</v>
      </c>
      <c r="H1311">
        <v>0</v>
      </c>
      <c r="I1311">
        <v>0</v>
      </c>
      <c r="J1311">
        <v>-239.065</v>
      </c>
      <c r="K1311">
        <v>1.119197</v>
      </c>
      <c r="L1311">
        <v>284.37639999999999</v>
      </c>
      <c r="M1311">
        <v>-0.99893829999999995</v>
      </c>
      <c r="N1311">
        <v>-2.8462679999999999E-3</v>
      </c>
      <c r="O1311">
        <v>4.5982019999999998E-2</v>
      </c>
      <c r="P1311">
        <v>-0.97667930000000003</v>
      </c>
      <c r="Q1311">
        <v>0.197961</v>
      </c>
      <c r="R1311">
        <v>8.3122329999999994E-2</v>
      </c>
      <c r="S1311">
        <v>-3.0709840000000002</v>
      </c>
      <c r="T1311">
        <v>1.8071529999999999E-2</v>
      </c>
      <c r="U1311">
        <v>-2.9693600000000001E-2</v>
      </c>
      <c r="V1311">
        <v>3.8395060000000002E-2</v>
      </c>
      <c r="W1311">
        <v>0.20069680000000001</v>
      </c>
      <c r="X1311">
        <v>0.97890069999999996</v>
      </c>
      <c r="Y1311">
        <v>-5.563622E-2</v>
      </c>
      <c r="Z1311">
        <v>4.8593410000000002E-4</v>
      </c>
      <c r="AA1311">
        <v>0.99845099999999998</v>
      </c>
      <c r="AB1311">
        <v>35</v>
      </c>
      <c r="AC1311">
        <v>-3.0709840000000002</v>
      </c>
      <c r="AD1311">
        <v>1.8071529999999999E-2</v>
      </c>
      <c r="AE1311">
        <v>-2.9693600000000001E-2</v>
      </c>
      <c r="AF1311">
        <v>-0.17086688291145799</v>
      </c>
      <c r="AG1311">
        <v>1.8071529999999999E-2</v>
      </c>
      <c r="AH1311">
        <v>3.0662641471325101</v>
      </c>
      <c r="AI1311">
        <v>89.662844905919002</v>
      </c>
      <c r="AJ1311">
        <v>93.189495816688805</v>
      </c>
      <c r="AK1311">
        <v>3.0710743872238999</v>
      </c>
      <c r="AL1311">
        <v>78.422290855049695</v>
      </c>
      <c r="AM1311">
        <v>87.753860196772806</v>
      </c>
      <c r="AN1311">
        <v>0.99999998331156603</v>
      </c>
    </row>
    <row r="1312" spans="1:40" x14ac:dyDescent="0.25">
      <c r="A1312" t="str">
        <f>"20190303170746296"</f>
        <v>20190303170746296</v>
      </c>
      <c r="B1312" t="str">
        <f>"1551604066283566"</f>
        <v>1551604066283566</v>
      </c>
      <c r="C1312" t="s">
        <v>40</v>
      </c>
      <c r="D1312">
        <v>4.0613989999999998</v>
      </c>
      <c r="E1312">
        <v>0.46880660000000002</v>
      </c>
      <c r="F1312" t="s">
        <v>45</v>
      </c>
      <c r="G1312">
        <v>0</v>
      </c>
      <c r="H1312">
        <v>0</v>
      </c>
      <c r="I1312">
        <v>0</v>
      </c>
      <c r="J1312">
        <v>-239.42189999999999</v>
      </c>
      <c r="K1312">
        <v>1.1192139999999999</v>
      </c>
      <c r="L1312">
        <v>284.39330000000001</v>
      </c>
      <c r="M1312">
        <v>-0.99891350000000001</v>
      </c>
      <c r="N1312">
        <v>-2.9402310000000002E-3</v>
      </c>
      <c r="O1312">
        <v>4.650907E-2</v>
      </c>
      <c r="P1312">
        <v>-0.97665539999999995</v>
      </c>
      <c r="Q1312">
        <v>0.19842879999999999</v>
      </c>
      <c r="R1312">
        <v>8.228075E-2</v>
      </c>
      <c r="S1312">
        <v>-3.0710449999999998</v>
      </c>
      <c r="T1312">
        <v>1.5816210000000001E-2</v>
      </c>
      <c r="U1312">
        <v>-3.0822749999999999E-2</v>
      </c>
      <c r="V1312">
        <v>3.7035989999999998E-2</v>
      </c>
      <c r="W1312">
        <v>0.20125870000000001</v>
      </c>
      <c r="X1312">
        <v>0.97883770000000003</v>
      </c>
      <c r="Y1312">
        <v>-5.6530289999999997E-2</v>
      </c>
      <c r="Z1312">
        <v>4.3869539999999999E-4</v>
      </c>
      <c r="AA1312">
        <v>0.99840079999999998</v>
      </c>
      <c r="AB1312">
        <v>35</v>
      </c>
      <c r="AC1312">
        <v>-3.0710449999999998</v>
      </c>
      <c r="AD1312">
        <v>1.5816210000000001E-2</v>
      </c>
      <c r="AE1312">
        <v>-3.0822749999999999E-2</v>
      </c>
      <c r="AF1312">
        <v>-0.173616860985398</v>
      </c>
      <c r="AG1312">
        <v>1.5816210000000001E-2</v>
      </c>
      <c r="AH1312">
        <v>3.0662068316453599</v>
      </c>
      <c r="AI1312">
        <v>89.704930255611998</v>
      </c>
      <c r="AJ1312">
        <v>93.240780330444807</v>
      </c>
      <c r="AK1312">
        <v>3.07115895084346</v>
      </c>
      <c r="AL1312">
        <v>78.389425800528699</v>
      </c>
      <c r="AM1312">
        <v>87.833150323606603</v>
      </c>
      <c r="AN1312">
        <v>0.99999998591113004</v>
      </c>
    </row>
    <row r="1313" spans="1:40" x14ac:dyDescent="0.25">
      <c r="A1313" t="str">
        <f>"20190303170746317"</f>
        <v>20190303170746317</v>
      </c>
      <c r="B1313" t="str">
        <f>"1551604066304062"</f>
        <v>1551604066304062</v>
      </c>
      <c r="C1313" t="s">
        <v>40</v>
      </c>
      <c r="D1313">
        <v>4.0116610000000001</v>
      </c>
      <c r="E1313">
        <v>0.46896589999999999</v>
      </c>
      <c r="F1313" t="s">
        <v>45</v>
      </c>
      <c r="G1313">
        <v>0</v>
      </c>
      <c r="H1313">
        <v>0</v>
      </c>
      <c r="I1313">
        <v>0</v>
      </c>
      <c r="J1313">
        <v>-239.7525</v>
      </c>
      <c r="K1313">
        <v>1.1192359999999999</v>
      </c>
      <c r="L1313">
        <v>284.40910000000002</v>
      </c>
      <c r="M1313">
        <v>-0.99889050000000001</v>
      </c>
      <c r="N1313">
        <v>-3.0314299999999999E-3</v>
      </c>
      <c r="O1313">
        <v>4.6996549999999998E-2</v>
      </c>
      <c r="P1313">
        <v>-0.97673739999999998</v>
      </c>
      <c r="Q1313">
        <v>0.1984224</v>
      </c>
      <c r="R1313">
        <v>8.1318340000000003E-2</v>
      </c>
      <c r="S1313">
        <v>-3.0713349999999999</v>
      </c>
      <c r="T1313">
        <v>1.499808E-2</v>
      </c>
      <c r="U1313">
        <v>-3.1860350000000003E-2</v>
      </c>
      <c r="V1313">
        <v>3.5590620000000003E-2</v>
      </c>
      <c r="W1313">
        <v>0.2013442</v>
      </c>
      <c r="X1313">
        <v>0.97887369999999996</v>
      </c>
      <c r="Y1313">
        <v>-5.7353939999999999E-2</v>
      </c>
      <c r="Z1313">
        <v>4.250282E-4</v>
      </c>
      <c r="AA1313">
        <v>0.99835379999999996</v>
      </c>
      <c r="AB1313">
        <v>36</v>
      </c>
      <c r="AC1313">
        <v>-3.0713349999999999</v>
      </c>
      <c r="AD1313">
        <v>1.499808E-2</v>
      </c>
      <c r="AE1313">
        <v>-3.1860350000000003E-2</v>
      </c>
      <c r="AF1313">
        <v>-0.17616375044909099</v>
      </c>
      <c r="AG1313">
        <v>1.499808E-2</v>
      </c>
      <c r="AH1313">
        <v>3.0663708563115999</v>
      </c>
      <c r="AI1313">
        <v>89.720221300658807</v>
      </c>
      <c r="AJ1313">
        <v>93.288042199513001</v>
      </c>
      <c r="AK1313">
        <v>3.0714636312047001</v>
      </c>
      <c r="AL1313">
        <v>78.384424209168699</v>
      </c>
      <c r="AM1313">
        <v>87.917714560612197</v>
      </c>
      <c r="AN1313">
        <v>0.99999994982865503</v>
      </c>
    </row>
    <row r="1314" spans="1:40" x14ac:dyDescent="0.25">
      <c r="A1314" t="str">
        <f>"20190303170746342"</f>
        <v>20190303170746342</v>
      </c>
      <c r="B1314" t="str">
        <f>"1551604066333342"</f>
        <v>1551604066333342</v>
      </c>
      <c r="C1314" t="s">
        <v>40</v>
      </c>
      <c r="D1314">
        <v>4.0582940000000001</v>
      </c>
      <c r="E1314">
        <v>0.46916750000000002</v>
      </c>
      <c r="F1314" t="s">
        <v>45</v>
      </c>
      <c r="G1314">
        <v>0</v>
      </c>
      <c r="H1314">
        <v>0</v>
      </c>
      <c r="I1314">
        <v>0</v>
      </c>
      <c r="J1314">
        <v>-240.15389999999999</v>
      </c>
      <c r="K1314">
        <v>1.119254</v>
      </c>
      <c r="L1314">
        <v>284.42849999999999</v>
      </c>
      <c r="M1314">
        <v>-0.99886209999999997</v>
      </c>
      <c r="N1314">
        <v>-3.147665E-3</v>
      </c>
      <c r="O1314">
        <v>4.7587999999999998E-2</v>
      </c>
      <c r="P1314">
        <v>-0.97687330000000006</v>
      </c>
      <c r="Q1314">
        <v>0.19791249999999999</v>
      </c>
      <c r="R1314">
        <v>8.092684E-2</v>
      </c>
      <c r="S1314">
        <v>-3.0715330000000001</v>
      </c>
      <c r="T1314">
        <v>1.3235210000000001E-2</v>
      </c>
      <c r="U1314">
        <v>-3.3325199999999902E-2</v>
      </c>
      <c r="V1314">
        <v>3.461094E-2</v>
      </c>
      <c r="W1314">
        <v>0.20094999999999999</v>
      </c>
      <c r="X1314">
        <v>0.97898989999999997</v>
      </c>
      <c r="Y1314">
        <v>-5.8420729999999997E-2</v>
      </c>
      <c r="Z1314">
        <v>3.8873860000000001E-4</v>
      </c>
      <c r="AA1314">
        <v>0.99829199999999996</v>
      </c>
      <c r="AB1314">
        <v>36</v>
      </c>
      <c r="AC1314">
        <v>-3.0715330000000001</v>
      </c>
      <c r="AD1314">
        <v>1.3235210000000001E-2</v>
      </c>
      <c r="AE1314">
        <v>-3.3325199999999902E-2</v>
      </c>
      <c r="AF1314">
        <v>-0.179452947258601</v>
      </c>
      <c r="AG1314">
        <v>1.3235210000000001E-2</v>
      </c>
      <c r="AH1314">
        <v>3.0664102541820402</v>
      </c>
      <c r="AI1314">
        <v>89.753124439980496</v>
      </c>
      <c r="AJ1314">
        <v>93.349252627258906</v>
      </c>
      <c r="AK1314">
        <v>3.0716852667576902</v>
      </c>
      <c r="AL1314">
        <v>78.407482321223796</v>
      </c>
      <c r="AM1314">
        <v>87.975224048664302</v>
      </c>
      <c r="AN1314">
        <v>1.0000000219848399</v>
      </c>
    </row>
    <row r="1315" spans="1:40" x14ac:dyDescent="0.25">
      <c r="A1315" t="str">
        <f>"20190303170746364"</f>
        <v>20190303170746364</v>
      </c>
      <c r="B1315" t="str">
        <f>"1551604066353838"</f>
        <v>1551604066353838</v>
      </c>
      <c r="C1315" t="s">
        <v>40</v>
      </c>
      <c r="D1315">
        <v>4.0863269999999998</v>
      </c>
      <c r="E1315">
        <v>0.46934290000000001</v>
      </c>
      <c r="F1315" t="s">
        <v>45</v>
      </c>
      <c r="G1315">
        <v>0</v>
      </c>
      <c r="H1315">
        <v>0</v>
      </c>
      <c r="I1315">
        <v>0</v>
      </c>
      <c r="J1315">
        <v>-240.511</v>
      </c>
      <c r="K1315">
        <v>1.119264</v>
      </c>
      <c r="L1315">
        <v>284.44589999999999</v>
      </c>
      <c r="M1315">
        <v>-0.99883659999999996</v>
      </c>
      <c r="N1315">
        <v>-3.253691E-3</v>
      </c>
      <c r="O1315">
        <v>4.811414E-2</v>
      </c>
      <c r="P1315">
        <v>-0.97687049999999997</v>
      </c>
      <c r="Q1315">
        <v>0.197767</v>
      </c>
      <c r="R1315">
        <v>8.1317490000000006E-2</v>
      </c>
      <c r="S1315">
        <v>-3.0718540000000001</v>
      </c>
      <c r="T1315">
        <v>9.2849730000000002E-3</v>
      </c>
      <c r="U1315">
        <v>-3.2623289999999999E-2</v>
      </c>
      <c r="V1315">
        <v>3.44847E-2</v>
      </c>
      <c r="W1315">
        <v>0.20090839999999999</v>
      </c>
      <c r="X1315">
        <v>0.97900290000000001</v>
      </c>
      <c r="Y1315">
        <v>-5.871792E-2</v>
      </c>
      <c r="Z1315">
        <v>2.9518110000000003E-4</v>
      </c>
      <c r="AA1315">
        <v>0.99827460000000001</v>
      </c>
      <c r="AB1315">
        <v>36</v>
      </c>
      <c r="AC1315">
        <v>-3.0718540000000001</v>
      </c>
      <c r="AD1315">
        <v>9.2849730000000002E-3</v>
      </c>
      <c r="AE1315">
        <v>-3.2623289999999999E-2</v>
      </c>
      <c r="AF1315">
        <v>-0.18038424652666801</v>
      </c>
      <c r="AG1315">
        <v>9.2849730000000002E-3</v>
      </c>
      <c r="AH1315">
        <v>3.0666986126593501</v>
      </c>
      <c r="AI1315">
        <v>89.826826728253494</v>
      </c>
      <c r="AJ1315">
        <v>93.366278394556005</v>
      </c>
      <c r="AK1315">
        <v>3.0720131946340001</v>
      </c>
      <c r="AL1315">
        <v>78.409915529381095</v>
      </c>
      <c r="AM1315">
        <v>87.9826298728061</v>
      </c>
      <c r="AN1315">
        <v>1.0000000289665201</v>
      </c>
    </row>
    <row r="1316" spans="1:40" x14ac:dyDescent="0.25">
      <c r="A1316" t="str">
        <f>"20190303170746409"</f>
        <v>20190303170746409</v>
      </c>
      <c r="B1316" t="str">
        <f>"1551604066404121"</f>
        <v>1551604066404121</v>
      </c>
      <c r="C1316" t="s">
        <v>40</v>
      </c>
      <c r="D1316">
        <v>4.0985469999999999</v>
      </c>
      <c r="E1316">
        <v>0.46961779999999997</v>
      </c>
      <c r="F1316" t="s">
        <v>45</v>
      </c>
      <c r="G1316">
        <v>0</v>
      </c>
      <c r="H1316">
        <v>0</v>
      </c>
      <c r="I1316">
        <v>0</v>
      </c>
      <c r="J1316">
        <v>-241.23269999999999</v>
      </c>
      <c r="K1316">
        <v>1.1192820000000001</v>
      </c>
      <c r="L1316">
        <v>284.48180000000002</v>
      </c>
      <c r="M1316">
        <v>-0.99878460000000002</v>
      </c>
      <c r="N1316">
        <v>-3.4703009999999999E-3</v>
      </c>
      <c r="O1316">
        <v>4.9167929999999999E-2</v>
      </c>
      <c r="P1316">
        <v>-0.9767652</v>
      </c>
      <c r="Q1316">
        <v>0.19839409999999999</v>
      </c>
      <c r="R1316">
        <v>8.1054559999999998E-2</v>
      </c>
      <c r="S1316">
        <v>-3.0719910000000001</v>
      </c>
      <c r="T1316">
        <v>7.4696540000000001E-3</v>
      </c>
      <c r="U1316">
        <v>-2.963257E-2</v>
      </c>
      <c r="V1316">
        <v>3.3192600000000003E-2</v>
      </c>
      <c r="W1316">
        <v>0.2017496</v>
      </c>
      <c r="X1316">
        <v>0.97887460000000004</v>
      </c>
      <c r="Y1316">
        <v>-5.8799089999999998E-2</v>
      </c>
      <c r="Z1316">
        <v>2.5964279999999998E-4</v>
      </c>
      <c r="AA1316">
        <v>0.99826979999999998</v>
      </c>
      <c r="AB1316">
        <v>36</v>
      </c>
      <c r="AC1316">
        <v>-3.0719910000000001</v>
      </c>
      <c r="AD1316">
        <v>7.4696540000000001E-3</v>
      </c>
      <c r="AE1316">
        <v>-2.963257E-2</v>
      </c>
      <c r="AF1316">
        <v>-0.180639994282243</v>
      </c>
      <c r="AG1316">
        <v>7.4696540000000001E-3</v>
      </c>
      <c r="AH1316">
        <v>3.0668003513889301</v>
      </c>
      <c r="AI1316">
        <v>89.860689231923601</v>
      </c>
      <c r="AJ1316">
        <v>93.3709285122453</v>
      </c>
      <c r="AK1316">
        <v>3.0721248344662802</v>
      </c>
      <c r="AL1316">
        <v>78.360711226207698</v>
      </c>
      <c r="AM1316">
        <v>88.057904977540602</v>
      </c>
      <c r="AN1316">
        <v>1.0000000661600299</v>
      </c>
    </row>
    <row r="1317" spans="1:40" x14ac:dyDescent="0.25">
      <c r="A1317" t="str">
        <f>"20190303170746430"</f>
        <v>20190303170746430</v>
      </c>
      <c r="B1317" t="str">
        <f>"1551604066423641"</f>
        <v>1551604066423641</v>
      </c>
      <c r="C1317" t="s">
        <v>40</v>
      </c>
      <c r="D1317">
        <v>4.1393149999999999</v>
      </c>
      <c r="E1317">
        <v>0.46972039999999998</v>
      </c>
      <c r="F1317" t="s">
        <v>45</v>
      </c>
      <c r="G1317">
        <v>0</v>
      </c>
      <c r="H1317">
        <v>0</v>
      </c>
      <c r="I1317">
        <v>0</v>
      </c>
      <c r="J1317">
        <v>-241.57259999999999</v>
      </c>
      <c r="K1317">
        <v>1.119299</v>
      </c>
      <c r="L1317">
        <v>284.49889999999999</v>
      </c>
      <c r="M1317">
        <v>-0.99876019999999999</v>
      </c>
      <c r="N1317">
        <v>-3.5721379999999999E-3</v>
      </c>
      <c r="O1317">
        <v>4.9652679999999998E-2</v>
      </c>
      <c r="P1317">
        <v>-0.97683580000000003</v>
      </c>
      <c r="Q1317">
        <v>0.1981501</v>
      </c>
      <c r="R1317">
        <v>8.0800330000000004E-2</v>
      </c>
      <c r="S1317">
        <v>-3.0723569999999998</v>
      </c>
      <c r="T1317">
        <v>5.4663419999999999E-3</v>
      </c>
      <c r="U1317">
        <v>-2.5604249999999999E-2</v>
      </c>
      <c r="V1317">
        <v>3.245721E-2</v>
      </c>
      <c r="W1317">
        <v>0.2016067</v>
      </c>
      <c r="X1317">
        <v>0.97892860000000004</v>
      </c>
      <c r="Y1317">
        <v>-5.7973839999999999E-2</v>
      </c>
      <c r="Z1317">
        <v>2.13752E-4</v>
      </c>
      <c r="AA1317">
        <v>0.99831809999999999</v>
      </c>
      <c r="AB1317">
        <v>36</v>
      </c>
      <c r="AC1317">
        <v>-3.0723569999999998</v>
      </c>
      <c r="AD1317">
        <v>5.4663419999999999E-3</v>
      </c>
      <c r="AE1317">
        <v>-2.5604249999999999E-2</v>
      </c>
      <c r="AF1317">
        <v>-0.178123829796936</v>
      </c>
      <c r="AG1317">
        <v>5.4663419999999999E-3</v>
      </c>
      <c r="AH1317">
        <v>3.0672863010843199</v>
      </c>
      <c r="AI1317">
        <v>89.898062591225496</v>
      </c>
      <c r="AJ1317">
        <v>93.323554867551195</v>
      </c>
      <c r="AK1317">
        <v>3.07245882518479</v>
      </c>
      <c r="AL1317">
        <v>78.369069402988302</v>
      </c>
      <c r="AM1317">
        <v>88.1010053760711</v>
      </c>
      <c r="AN1317">
        <v>0.99999996793191603</v>
      </c>
    </row>
    <row r="1318" spans="1:40" x14ac:dyDescent="0.25">
      <c r="A1318" t="str">
        <f>"20190303170746451"</f>
        <v>20190303170746451</v>
      </c>
      <c r="B1318" t="str">
        <f>"1551604066444137"</f>
        <v>1551604066444137</v>
      </c>
      <c r="C1318" t="s">
        <v>40</v>
      </c>
      <c r="D1318">
        <v>4.130992</v>
      </c>
      <c r="E1318">
        <v>0.46981889999999998</v>
      </c>
      <c r="F1318" t="s">
        <v>45</v>
      </c>
      <c r="G1318">
        <v>0</v>
      </c>
      <c r="H1318">
        <v>0</v>
      </c>
      <c r="I1318">
        <v>0</v>
      </c>
      <c r="J1318">
        <v>-241.9443</v>
      </c>
      <c r="K1318">
        <v>1.119321</v>
      </c>
      <c r="L1318">
        <v>284.51780000000002</v>
      </c>
      <c r="M1318">
        <v>-0.99873540000000005</v>
      </c>
      <c r="N1318">
        <v>-3.6822439999999999E-3</v>
      </c>
      <c r="O1318">
        <v>5.0142310000000002E-2</v>
      </c>
      <c r="P1318">
        <v>-0.9769042</v>
      </c>
      <c r="Q1318">
        <v>0.19781380000000001</v>
      </c>
      <c r="R1318">
        <v>8.0797399999999894E-2</v>
      </c>
      <c r="S1318">
        <v>-3.0724640000000001</v>
      </c>
      <c r="T1318">
        <v>3.407836E-3</v>
      </c>
      <c r="U1318">
        <v>-2.4505619999999999E-2</v>
      </c>
      <c r="V1318">
        <v>3.1961070000000001E-2</v>
      </c>
      <c r="W1318">
        <v>0.20138059999999999</v>
      </c>
      <c r="X1318">
        <v>0.97899150000000001</v>
      </c>
      <c r="Y1318">
        <v>-5.8106169999999999E-2</v>
      </c>
      <c r="Z1318">
        <v>1.655238E-4</v>
      </c>
      <c r="AA1318">
        <v>0.99831040000000004</v>
      </c>
      <c r="AB1318">
        <v>37</v>
      </c>
      <c r="AC1318">
        <v>-3.0724640000000001</v>
      </c>
      <c r="AD1318">
        <v>3.407836E-3</v>
      </c>
      <c r="AE1318">
        <v>-2.4505619999999999E-2</v>
      </c>
      <c r="AF1318">
        <v>-0.17853604461165301</v>
      </c>
      <c r="AG1318">
        <v>3.407836E-3</v>
      </c>
      <c r="AH1318">
        <v>3.0673664943779402</v>
      </c>
      <c r="AI1318">
        <v>89.936452121178604</v>
      </c>
      <c r="AJ1318">
        <v>93.331142053235595</v>
      </c>
      <c r="AK1318">
        <v>3.0725598356100798</v>
      </c>
      <c r="AL1318">
        <v>78.382295698609497</v>
      </c>
      <c r="AM1318">
        <v>88.130132646371493</v>
      </c>
      <c r="AN1318">
        <v>1.00000000656207</v>
      </c>
    </row>
    <row r="1319" spans="1:40" x14ac:dyDescent="0.25">
      <c r="A1319" t="str">
        <f>"20190303170746473"</f>
        <v>20190303170746473</v>
      </c>
      <c r="B1319" t="str">
        <f>"1551604066463657"</f>
        <v>1551604066463657</v>
      </c>
      <c r="C1319" t="s">
        <v>40</v>
      </c>
      <c r="D1319">
        <v>4.1616839999999904</v>
      </c>
      <c r="E1319">
        <v>0.46991290000000002</v>
      </c>
      <c r="F1319" t="s">
        <v>45</v>
      </c>
      <c r="G1319">
        <v>0</v>
      </c>
      <c r="H1319">
        <v>0</v>
      </c>
      <c r="I1319">
        <v>0</v>
      </c>
      <c r="J1319">
        <v>-242.30600000000001</v>
      </c>
      <c r="K1319">
        <v>1.119354</v>
      </c>
      <c r="L1319">
        <v>284.53629999999998</v>
      </c>
      <c r="M1319">
        <v>-0.99871310000000002</v>
      </c>
      <c r="N1319">
        <v>-3.7863770000000001E-3</v>
      </c>
      <c r="O1319">
        <v>5.0576959999999997E-2</v>
      </c>
      <c r="P1319">
        <v>-0.97685230000000001</v>
      </c>
      <c r="Q1319">
        <v>0.1977225</v>
      </c>
      <c r="R1319">
        <v>8.1643720000000003E-2</v>
      </c>
      <c r="S1319">
        <v>-3.07254</v>
      </c>
      <c r="T1319">
        <v>1.84691E-3</v>
      </c>
      <c r="U1319">
        <v>-2.420044E-2</v>
      </c>
      <c r="V1319">
        <v>3.2368710000000002E-2</v>
      </c>
      <c r="W1319">
        <v>0.20139319999999999</v>
      </c>
      <c r="X1319">
        <v>0.9789755</v>
      </c>
      <c r="Y1319">
        <v>-5.8441359999999998E-2</v>
      </c>
      <c r="Z1319">
        <v>1.2886780000000001E-4</v>
      </c>
      <c r="AA1319">
        <v>0.99829080000000003</v>
      </c>
      <c r="AB1319">
        <v>37</v>
      </c>
      <c r="AC1319">
        <v>-3.07254</v>
      </c>
      <c r="AD1319">
        <v>1.84691E-3</v>
      </c>
      <c r="AE1319">
        <v>-2.420044E-2</v>
      </c>
      <c r="AF1319">
        <v>-0.17957023157555599</v>
      </c>
      <c r="AG1319">
        <v>1.84691E-3</v>
      </c>
      <c r="AH1319">
        <v>3.0673825034838198</v>
      </c>
      <c r="AI1319">
        <v>89.965560451159604</v>
      </c>
      <c r="AJ1319">
        <v>93.350376732496201</v>
      </c>
      <c r="AK1319">
        <v>3.0726347491726602</v>
      </c>
      <c r="AL1319">
        <v>78.381558499828799</v>
      </c>
      <c r="AM1319">
        <v>88.106270187792106</v>
      </c>
      <c r="AN1319">
        <v>0.99999999199677603</v>
      </c>
    </row>
    <row r="1320" spans="1:40" x14ac:dyDescent="0.25">
      <c r="A1320" t="str">
        <f>"20190303170746496"</f>
        <v>20190303170746496</v>
      </c>
      <c r="B1320" t="str">
        <f>"1551604066483684"</f>
        <v>1551604066483684</v>
      </c>
      <c r="C1320" t="s">
        <v>40</v>
      </c>
      <c r="D1320">
        <v>4.1565519999999996</v>
      </c>
      <c r="E1320">
        <v>0.46999819999999998</v>
      </c>
      <c r="F1320" t="s">
        <v>45</v>
      </c>
      <c r="G1320">
        <v>0</v>
      </c>
      <c r="H1320">
        <v>0</v>
      </c>
      <c r="I1320">
        <v>0</v>
      </c>
      <c r="J1320">
        <v>-242.67070000000001</v>
      </c>
      <c r="K1320">
        <v>1.1194010000000001</v>
      </c>
      <c r="L1320">
        <v>284.55509999999998</v>
      </c>
      <c r="M1320">
        <v>-0.99869339999999995</v>
      </c>
      <c r="N1320">
        <v>-3.8859400000000001E-3</v>
      </c>
      <c r="O1320">
        <v>5.0954630000000001E-2</v>
      </c>
      <c r="P1320">
        <v>-0.97667890000000002</v>
      </c>
      <c r="Q1320">
        <v>0.19820099999999999</v>
      </c>
      <c r="R1320">
        <v>8.2552219999999996E-2</v>
      </c>
      <c r="S1320">
        <v>-3.0726779999999998</v>
      </c>
      <c r="T1320">
        <v>1.034975E-3</v>
      </c>
      <c r="U1320">
        <v>-2.1697999999999999E-2</v>
      </c>
      <c r="V1320">
        <v>3.2895010000000002E-2</v>
      </c>
      <c r="W1320">
        <v>0.2019714</v>
      </c>
      <c r="X1320">
        <v>0.97883880000000001</v>
      </c>
      <c r="Y1320">
        <v>-5.8005559999999998E-2</v>
      </c>
      <c r="Z1320">
        <v>1.1228239999999999E-4</v>
      </c>
      <c r="AA1320">
        <v>0.99831619999999999</v>
      </c>
      <c r="AB1320">
        <v>37</v>
      </c>
      <c r="AC1320">
        <v>-3.0726779999999998</v>
      </c>
      <c r="AD1320">
        <v>1.034975E-3</v>
      </c>
      <c r="AE1320">
        <v>-2.1697999999999999E-2</v>
      </c>
      <c r="AF1320">
        <v>-0.178238147121245</v>
      </c>
      <c r="AG1320">
        <v>1.034975E-3</v>
      </c>
      <c r="AH1320">
        <v>3.0675804660110599</v>
      </c>
      <c r="AI1320">
        <v>89.980701451496103</v>
      </c>
      <c r="AJ1320">
        <v>93.325364891444096</v>
      </c>
      <c r="AK1320">
        <v>3.0727544359605301</v>
      </c>
      <c r="AL1320">
        <v>78.347734689280401</v>
      </c>
      <c r="AM1320">
        <v>88.075233436626803</v>
      </c>
      <c r="AN1320">
        <v>0.99999996224314902</v>
      </c>
    </row>
    <row r="1321" spans="1:40" x14ac:dyDescent="0.25">
      <c r="A1321" t="str">
        <f>"20190303170746518"</f>
        <v>20190303170746518</v>
      </c>
      <c r="B1321" t="str">
        <f>"1551604066504180"</f>
        <v>1551604066504180</v>
      </c>
      <c r="C1321" t="s">
        <v>40</v>
      </c>
      <c r="D1321">
        <v>4.1805110000000001</v>
      </c>
      <c r="E1321">
        <v>0.47002690000000003</v>
      </c>
      <c r="F1321" t="s">
        <v>45</v>
      </c>
      <c r="G1321">
        <v>0</v>
      </c>
      <c r="H1321">
        <v>0</v>
      </c>
      <c r="I1321">
        <v>0</v>
      </c>
      <c r="J1321">
        <v>-243.03450000000001</v>
      </c>
      <c r="K1321">
        <v>1.1194660000000001</v>
      </c>
      <c r="L1321">
        <v>284.57400000000001</v>
      </c>
      <c r="M1321">
        <v>-0.99867810000000001</v>
      </c>
      <c r="N1321">
        <v>-3.9801849999999998E-3</v>
      </c>
      <c r="O1321">
        <v>5.1249679999999999E-2</v>
      </c>
      <c r="P1321">
        <v>-0.97652229999999995</v>
      </c>
      <c r="Q1321">
        <v>0.1985883</v>
      </c>
      <c r="R1321">
        <v>8.346903E-2</v>
      </c>
      <c r="S1321">
        <v>-3.0728149999999999</v>
      </c>
      <c r="T1321">
        <v>1.8730159999999999E-3</v>
      </c>
      <c r="U1321">
        <v>-1.849365E-2</v>
      </c>
      <c r="V1321">
        <v>3.3501839999999998E-2</v>
      </c>
      <c r="W1321">
        <v>0.2024543</v>
      </c>
      <c r="X1321">
        <v>0.97871850000000005</v>
      </c>
      <c r="Y1321">
        <v>-5.7259119999999997E-2</v>
      </c>
      <c r="Z1321">
        <v>1.387692E-4</v>
      </c>
      <c r="AA1321">
        <v>0.99835929999999995</v>
      </c>
      <c r="AB1321">
        <v>37</v>
      </c>
      <c r="AC1321">
        <v>-3.0728149999999999</v>
      </c>
      <c r="AD1321">
        <v>1.8730159999999999E-3</v>
      </c>
      <c r="AE1321">
        <v>-1.849365E-2</v>
      </c>
      <c r="AF1321">
        <v>-0.175951288963207</v>
      </c>
      <c r="AG1321">
        <v>1.8730159999999999E-3</v>
      </c>
      <c r="AH1321">
        <v>3.0678279232795198</v>
      </c>
      <c r="AI1321">
        <v>89.965076324218998</v>
      </c>
      <c r="AJ1321">
        <v>93.282528989279697</v>
      </c>
      <c r="AK1321">
        <v>3.0728700804183502</v>
      </c>
      <c r="AL1321">
        <v>78.319483479934505</v>
      </c>
      <c r="AM1321">
        <v>88.039513039544005</v>
      </c>
      <c r="AN1321">
        <v>1.00000000955706</v>
      </c>
    </row>
    <row r="1322" spans="1:40" x14ac:dyDescent="0.25">
      <c r="A1322" t="str">
        <f>"20190303170746543"</f>
        <v>20190303170746543</v>
      </c>
      <c r="B1322" t="str">
        <f>"1551604066533460"</f>
        <v>1551604066533460</v>
      </c>
      <c r="C1322" t="s">
        <v>40</v>
      </c>
      <c r="D1322">
        <v>4.2389250000000001</v>
      </c>
      <c r="E1322">
        <v>0.47018500000000002</v>
      </c>
      <c r="F1322" t="s">
        <v>45</v>
      </c>
      <c r="G1322">
        <v>0</v>
      </c>
      <c r="H1322">
        <v>0</v>
      </c>
      <c r="I1322">
        <v>0</v>
      </c>
      <c r="J1322">
        <v>-243.4442</v>
      </c>
      <c r="K1322">
        <v>1.1195459999999999</v>
      </c>
      <c r="L1322">
        <v>284.59519999999998</v>
      </c>
      <c r="M1322">
        <v>-0.9986659</v>
      </c>
      <c r="N1322">
        <v>-4.0847169999999999E-3</v>
      </c>
      <c r="O1322">
        <v>5.1476170000000002E-2</v>
      </c>
      <c r="P1322">
        <v>-0.97646650000000002</v>
      </c>
      <c r="Q1322">
        <v>0.1987343</v>
      </c>
      <c r="R1322">
        <v>8.3773739999999999E-2</v>
      </c>
      <c r="S1322">
        <v>-3.0730439999999999</v>
      </c>
      <c r="T1322">
        <v>2.1425490000000001E-3</v>
      </c>
      <c r="U1322">
        <v>-1.5716549999999999E-2</v>
      </c>
      <c r="V1322">
        <v>3.3549199999999897E-2</v>
      </c>
      <c r="W1322">
        <v>0.20270879999999999</v>
      </c>
      <c r="X1322">
        <v>0.97866419999999998</v>
      </c>
      <c r="Y1322">
        <v>-5.6582880000000002E-2</v>
      </c>
      <c r="Z1322">
        <v>1.503675E-4</v>
      </c>
      <c r="AA1322">
        <v>0.99839789999999995</v>
      </c>
      <c r="AB1322">
        <v>37</v>
      </c>
      <c r="AC1322">
        <v>-3.0730439999999999</v>
      </c>
      <c r="AD1322">
        <v>2.1425490000000001E-3</v>
      </c>
      <c r="AE1322">
        <v>-1.5716549999999999E-2</v>
      </c>
      <c r="AF1322">
        <v>-0.17388547874037</v>
      </c>
      <c r="AG1322">
        <v>2.1425490000000001E-3</v>
      </c>
      <c r="AH1322">
        <v>3.06815923562278</v>
      </c>
      <c r="AI1322">
        <v>89.960053468336596</v>
      </c>
      <c r="AJ1322">
        <v>93.243722689106093</v>
      </c>
      <c r="AK1322">
        <v>3.0730834426306002</v>
      </c>
      <c r="AL1322">
        <v>78.304592976746306</v>
      </c>
      <c r="AM1322">
        <v>88.036634913539501</v>
      </c>
      <c r="AN1322">
        <v>1.0000000113898599</v>
      </c>
    </row>
    <row r="1323" spans="1:40" x14ac:dyDescent="0.25">
      <c r="A1323" t="str">
        <f>"20190303170746564"</f>
        <v>20190303170746564</v>
      </c>
      <c r="B1323" t="str">
        <f>"1551604066553956"</f>
        <v>1551604066553956</v>
      </c>
      <c r="C1323" t="s">
        <v>40</v>
      </c>
      <c r="D1323">
        <v>4.2506459999999997</v>
      </c>
      <c r="E1323">
        <v>0.47030709999999998</v>
      </c>
      <c r="F1323" t="s">
        <v>45</v>
      </c>
      <c r="G1323">
        <v>0</v>
      </c>
      <c r="H1323">
        <v>0</v>
      </c>
      <c r="I1323">
        <v>0</v>
      </c>
      <c r="J1323">
        <v>-243.80840000000001</v>
      </c>
      <c r="K1323">
        <v>1.119631</v>
      </c>
      <c r="L1323">
        <v>284.61399999999998</v>
      </c>
      <c r="M1323">
        <v>-0.99866060000000001</v>
      </c>
      <c r="N1323">
        <v>-4.1792920000000002E-3</v>
      </c>
      <c r="O1323">
        <v>5.1572340000000001E-2</v>
      </c>
      <c r="P1323">
        <v>-0.97637739999999995</v>
      </c>
      <c r="Q1323">
        <v>0.1988055</v>
      </c>
      <c r="R1323">
        <v>8.4639119999999998E-2</v>
      </c>
      <c r="S1323">
        <v>-3.0731959999999998</v>
      </c>
      <c r="T1323">
        <v>1.709461E-3</v>
      </c>
      <c r="U1323">
        <v>-1.446533E-2</v>
      </c>
      <c r="V1323">
        <v>3.428498E-2</v>
      </c>
      <c r="W1323">
        <v>0.20287830000000001</v>
      </c>
      <c r="X1323">
        <v>0.97860349999999996</v>
      </c>
      <c r="Y1323">
        <v>-5.6272320000000001E-2</v>
      </c>
      <c r="Z1323">
        <v>1.4233919999999999E-4</v>
      </c>
      <c r="AA1323">
        <v>0.99841550000000001</v>
      </c>
      <c r="AB1323">
        <v>37</v>
      </c>
      <c r="AC1323">
        <v>-3.0731959999999998</v>
      </c>
      <c r="AD1323">
        <v>1.709461E-3</v>
      </c>
      <c r="AE1323">
        <v>-1.446533E-2</v>
      </c>
      <c r="AF1323">
        <v>-0.17293930653794901</v>
      </c>
      <c r="AG1323">
        <v>1.709461E-3</v>
      </c>
      <c r="AH1323">
        <v>3.06835934204764</v>
      </c>
      <c r="AI1323">
        <v>89.9681296488192</v>
      </c>
      <c r="AJ1323">
        <v>93.225899883723599</v>
      </c>
      <c r="AK1323">
        <v>3.0732295680495101</v>
      </c>
      <c r="AL1323">
        <v>78.294674388184902</v>
      </c>
      <c r="AM1323">
        <v>87.993486089372496</v>
      </c>
      <c r="AN1323">
        <v>0.99999993733836801</v>
      </c>
    </row>
    <row r="1324" spans="1:40" x14ac:dyDescent="0.25">
      <c r="A1324" t="str">
        <f>"20190303170746585"</f>
        <v>20190303170746585</v>
      </c>
      <c r="B1324" t="str">
        <f>"1551604066573982"</f>
        <v>1551604066573982</v>
      </c>
      <c r="C1324" t="s">
        <v>40</v>
      </c>
      <c r="D1324">
        <v>4.2363770000000001</v>
      </c>
      <c r="E1324">
        <v>0.47036929999999999</v>
      </c>
      <c r="F1324" t="s">
        <v>45</v>
      </c>
      <c r="G1324">
        <v>0</v>
      </c>
      <c r="H1324">
        <v>0</v>
      </c>
      <c r="I1324">
        <v>0</v>
      </c>
      <c r="J1324">
        <v>-244.16309999999999</v>
      </c>
      <c r="K1324">
        <v>1.11972</v>
      </c>
      <c r="L1324">
        <v>284.63240000000002</v>
      </c>
      <c r="M1324">
        <v>-0.99866100000000002</v>
      </c>
      <c r="N1324">
        <v>-4.274201E-3</v>
      </c>
      <c r="O1324">
        <v>5.1556310000000001E-2</v>
      </c>
      <c r="P1324">
        <v>-0.9763541</v>
      </c>
      <c r="Q1324">
        <v>0.19928999999999999</v>
      </c>
      <c r="R1324">
        <v>8.3763710000000005E-2</v>
      </c>
      <c r="S1324">
        <v>-3.0733030000000001</v>
      </c>
      <c r="T1324">
        <v>1.4617439999999901E-3</v>
      </c>
      <c r="U1324">
        <v>-1.1993409999999999E-2</v>
      </c>
      <c r="V1324">
        <v>3.3385169999999999E-2</v>
      </c>
      <c r="W1324">
        <v>0.2034628</v>
      </c>
      <c r="X1324">
        <v>0.97851330000000003</v>
      </c>
      <c r="Y1324">
        <v>-5.5453089999999997E-2</v>
      </c>
      <c r="Z1324">
        <v>1.3962139999999901E-4</v>
      </c>
      <c r="AA1324">
        <v>0.9984613</v>
      </c>
      <c r="AB1324">
        <v>37</v>
      </c>
      <c r="AC1324">
        <v>-3.0733030000000001</v>
      </c>
      <c r="AD1324">
        <v>1.4617439999999901E-3</v>
      </c>
      <c r="AE1324">
        <v>-1.1993409999999999E-2</v>
      </c>
      <c r="AF1324">
        <v>-0.17042702143403299</v>
      </c>
      <c r="AG1324">
        <v>1.4617439999999901E-3</v>
      </c>
      <c r="AH1324">
        <v>3.0685966709015302</v>
      </c>
      <c r="AI1324">
        <v>89.972748818832997</v>
      </c>
      <c r="AJ1324">
        <v>93.178888772757503</v>
      </c>
      <c r="AK1324">
        <v>3.0733260541306602</v>
      </c>
      <c r="AL1324">
        <v>78.260472149247406</v>
      </c>
      <c r="AM1324">
        <v>88.045925748726404</v>
      </c>
      <c r="AN1324">
        <v>0.99999997941832897</v>
      </c>
    </row>
    <row r="1325" spans="1:40" x14ac:dyDescent="0.25">
      <c r="A1325" t="str">
        <f>"20190303170746608"</f>
        <v>20190303170746608</v>
      </c>
      <c r="B1325" t="str">
        <f>"1551604066593506"</f>
        <v>1551604066593506</v>
      </c>
      <c r="C1325" t="s">
        <v>40</v>
      </c>
      <c r="D1325">
        <v>4.2203140000000001</v>
      </c>
      <c r="E1325">
        <v>0.47028039999999999</v>
      </c>
      <c r="F1325" t="s">
        <v>45</v>
      </c>
      <c r="G1325">
        <v>0</v>
      </c>
      <c r="H1325">
        <v>0</v>
      </c>
      <c r="I1325">
        <v>0</v>
      </c>
      <c r="J1325">
        <v>-244.5274</v>
      </c>
      <c r="K1325">
        <v>1.119837</v>
      </c>
      <c r="L1325">
        <v>284.65100000000001</v>
      </c>
      <c r="M1325">
        <v>-0.99866730000000004</v>
      </c>
      <c r="N1325">
        <v>-4.3776279999999997E-3</v>
      </c>
      <c r="O1325">
        <v>5.1425899999999997E-2</v>
      </c>
      <c r="P1325">
        <v>-0.97637300000000005</v>
      </c>
      <c r="Q1325">
        <v>0.1998404</v>
      </c>
      <c r="R1325">
        <v>8.2218949999999999E-2</v>
      </c>
      <c r="S1325">
        <v>-3.0733489999999999</v>
      </c>
      <c r="T1325">
        <v>2.5632379999999998E-3</v>
      </c>
      <c r="U1325">
        <v>-1.397705E-2</v>
      </c>
      <c r="V1325">
        <v>3.1921709999999999E-2</v>
      </c>
      <c r="W1325">
        <v>0.204122</v>
      </c>
      <c r="X1325">
        <v>0.97842479999999998</v>
      </c>
      <c r="Y1325">
        <v>-5.5967009999999998E-2</v>
      </c>
      <c r="Z1325">
        <v>1.689044E-4</v>
      </c>
      <c r="AA1325">
        <v>0.9984326</v>
      </c>
      <c r="AB1325">
        <v>37</v>
      </c>
      <c r="AC1325">
        <v>-3.0733489999999999</v>
      </c>
      <c r="AD1325">
        <v>2.5632379999999998E-3</v>
      </c>
      <c r="AE1325">
        <v>-1.397705E-2</v>
      </c>
      <c r="AF1325">
        <v>-0.172009675641348</v>
      </c>
      <c r="AG1325">
        <v>2.5632379999999998E-3</v>
      </c>
      <c r="AH1325">
        <v>3.0685613835882499</v>
      </c>
      <c r="AI1325">
        <v>89.952214581339604</v>
      </c>
      <c r="AJ1325">
        <v>93.208384648881704</v>
      </c>
      <c r="AK1325">
        <v>3.0733797135323702</v>
      </c>
      <c r="AL1325">
        <v>78.221892659295705</v>
      </c>
      <c r="AM1325">
        <v>88.131352832204698</v>
      </c>
      <c r="AN1325">
        <v>0.99999993785417995</v>
      </c>
    </row>
    <row r="1326" spans="1:40" x14ac:dyDescent="0.25">
      <c r="A1326" t="str">
        <f>"20190303170746631"</f>
        <v>20190303170746631</v>
      </c>
      <c r="B1326" t="str">
        <f>"1551604066623760"</f>
        <v>1551604066623760</v>
      </c>
      <c r="C1326" t="s">
        <v>40</v>
      </c>
      <c r="D1326">
        <v>4.2397499999999999</v>
      </c>
      <c r="E1326">
        <v>0.4702287</v>
      </c>
      <c r="F1326" t="s">
        <v>45</v>
      </c>
      <c r="G1326">
        <v>0</v>
      </c>
      <c r="H1326">
        <v>0</v>
      </c>
      <c r="I1326">
        <v>0</v>
      </c>
      <c r="J1326">
        <v>-244.9248</v>
      </c>
      <c r="K1326">
        <v>1.1199619999999999</v>
      </c>
      <c r="L1326">
        <v>284.67129999999997</v>
      </c>
      <c r="M1326">
        <v>-0.99868069999999998</v>
      </c>
      <c r="N1326">
        <v>-4.4986089999999998E-3</v>
      </c>
      <c r="O1326">
        <v>5.1154610000000003E-2</v>
      </c>
      <c r="P1326">
        <v>-0.97621800000000003</v>
      </c>
      <c r="Q1326">
        <v>0.2009735</v>
      </c>
      <c r="R1326">
        <v>8.1292939999999994E-2</v>
      </c>
      <c r="S1326">
        <v>-3.0736849999999998</v>
      </c>
      <c r="T1326">
        <v>2.7329920000000001E-3</v>
      </c>
      <c r="U1326">
        <v>-1.9653319999999998E-2</v>
      </c>
      <c r="V1326">
        <v>3.1217249999999998E-2</v>
      </c>
      <c r="W1326">
        <v>0.2053808</v>
      </c>
      <c r="X1326">
        <v>0.97818419999999895</v>
      </c>
      <c r="Y1326">
        <v>-5.7538989999999998E-2</v>
      </c>
      <c r="Z1326">
        <v>1.718159E-4</v>
      </c>
      <c r="AA1326">
        <v>0.99834319999999999</v>
      </c>
      <c r="AB1326">
        <v>38</v>
      </c>
      <c r="AC1326">
        <v>-3.0736849999999998</v>
      </c>
      <c r="AD1326">
        <v>2.7329920000000001E-3</v>
      </c>
      <c r="AE1326">
        <v>-1.9653319999999998E-2</v>
      </c>
      <c r="AF1326">
        <v>-0.17686218339960799</v>
      </c>
      <c r="AG1326">
        <v>2.7329920000000001E-3</v>
      </c>
      <c r="AH1326">
        <v>3.0686528904101</v>
      </c>
      <c r="AI1326">
        <v>89.949056006493706</v>
      </c>
      <c r="AJ1326">
        <v>93.298600028352595</v>
      </c>
      <c r="AK1326">
        <v>3.0737466165877199</v>
      </c>
      <c r="AL1326">
        <v>78.148209093060203</v>
      </c>
      <c r="AM1326">
        <v>88.1721133640674</v>
      </c>
      <c r="AN1326">
        <v>1.0000000594179099</v>
      </c>
    </row>
    <row r="1327" spans="1:40" x14ac:dyDescent="0.25">
      <c r="A1327" t="str">
        <f>"20190303170746654"</f>
        <v>20190303170746654</v>
      </c>
      <c r="B1327" t="str">
        <f>"1551604066644255"</f>
        <v>1551604066644255</v>
      </c>
      <c r="C1327" t="s">
        <v>40</v>
      </c>
      <c r="D1327">
        <v>4.3059539999999998</v>
      </c>
      <c r="E1327">
        <v>0.47019529999999898</v>
      </c>
      <c r="F1327" t="s">
        <v>45</v>
      </c>
      <c r="G1327">
        <v>0</v>
      </c>
      <c r="H1327">
        <v>0</v>
      </c>
      <c r="I1327">
        <v>0</v>
      </c>
      <c r="J1327">
        <v>-245.31379999999999</v>
      </c>
      <c r="K1327">
        <v>1.120074</v>
      </c>
      <c r="L1327">
        <v>284.6909</v>
      </c>
      <c r="M1327">
        <v>-0.99869920000000001</v>
      </c>
      <c r="N1327">
        <v>-4.6291739999999998E-3</v>
      </c>
      <c r="O1327">
        <v>5.0780529999999997E-2</v>
      </c>
      <c r="P1327">
        <v>-0.97614710000000005</v>
      </c>
      <c r="Q1327">
        <v>0.20163919999999999</v>
      </c>
      <c r="R1327">
        <v>8.0491080000000007E-2</v>
      </c>
      <c r="S1327">
        <v>-3.07402</v>
      </c>
      <c r="T1327">
        <v>5.2049160000000004E-3</v>
      </c>
      <c r="U1327">
        <v>-2.3925780000000001E-2</v>
      </c>
      <c r="V1327">
        <v>3.0737549999999999E-2</v>
      </c>
      <c r="W1327">
        <v>0.20618059999999999</v>
      </c>
      <c r="X1327">
        <v>0.97803110000000004</v>
      </c>
      <c r="Y1327">
        <v>-5.8551619999999999E-2</v>
      </c>
      <c r="Z1327">
        <v>2.3513319999999999E-4</v>
      </c>
      <c r="AA1327">
        <v>0.99828430000000001</v>
      </c>
      <c r="AB1327">
        <v>38</v>
      </c>
      <c r="AC1327">
        <v>-3.07402</v>
      </c>
      <c r="AD1327">
        <v>5.2049160000000004E-3</v>
      </c>
      <c r="AE1327">
        <v>-2.3925780000000001E-2</v>
      </c>
      <c r="AF1327">
        <v>-0.17999641826358101</v>
      </c>
      <c r="AG1327">
        <v>5.2049160000000004E-3</v>
      </c>
      <c r="AH1327">
        <v>3.0688301534449098</v>
      </c>
      <c r="AI1327">
        <v>89.9029898123636</v>
      </c>
      <c r="AJ1327">
        <v>93.356729657288994</v>
      </c>
      <c r="AK1327">
        <v>3.07410870211692</v>
      </c>
      <c r="AL1327">
        <v>78.101381438471407</v>
      </c>
      <c r="AM1327">
        <v>88.199901417445005</v>
      </c>
      <c r="AN1327">
        <v>1.0000000346817799</v>
      </c>
    </row>
    <row r="1328" spans="1:40" x14ac:dyDescent="0.25">
      <c r="A1328" t="str">
        <f>"20190303170746675"</f>
        <v>20190303170746675</v>
      </c>
      <c r="B1328" t="str">
        <f>"1551604066663775"</f>
        <v>1551604066663775</v>
      </c>
      <c r="C1328" t="s">
        <v>40</v>
      </c>
      <c r="D1328">
        <v>4.2746389999999996</v>
      </c>
      <c r="E1328">
        <v>0.47018510000000002</v>
      </c>
      <c r="F1328" t="s">
        <v>45</v>
      </c>
      <c r="G1328">
        <v>0</v>
      </c>
      <c r="H1328">
        <v>0</v>
      </c>
      <c r="I1328">
        <v>0</v>
      </c>
      <c r="J1328">
        <v>-245.67850000000001</v>
      </c>
      <c r="K1328">
        <v>1.1201749999999999</v>
      </c>
      <c r="L1328">
        <v>284.70909999999998</v>
      </c>
      <c r="M1328">
        <v>-0.99871989999999999</v>
      </c>
      <c r="N1328">
        <v>-4.760813E-3</v>
      </c>
      <c r="O1328">
        <v>5.0360179999999997E-2</v>
      </c>
      <c r="P1328">
        <v>-0.97604029999999997</v>
      </c>
      <c r="Q1328">
        <v>0.2025547</v>
      </c>
      <c r="R1328">
        <v>7.9478670000000001E-2</v>
      </c>
      <c r="S1328">
        <v>-3.0741269999999998</v>
      </c>
      <c r="T1328">
        <v>7.124305E-3</v>
      </c>
      <c r="U1328">
        <v>-2.758789E-2</v>
      </c>
      <c r="V1328">
        <v>3.0103580000000001E-2</v>
      </c>
      <c r="W1328">
        <v>0.20722979999999999</v>
      </c>
      <c r="X1328">
        <v>0.97782899999999995</v>
      </c>
      <c r="Y1328">
        <v>-5.9320100000000001E-2</v>
      </c>
      <c r="Z1328">
        <v>2.8401689999999998E-4</v>
      </c>
      <c r="AA1328">
        <v>0.99823899999999999</v>
      </c>
      <c r="AB1328">
        <v>38</v>
      </c>
      <c r="AC1328">
        <v>-3.0741269999999998</v>
      </c>
      <c r="AD1328">
        <v>7.124305E-3</v>
      </c>
      <c r="AE1328">
        <v>-2.758789E-2</v>
      </c>
      <c r="AF1328">
        <v>-0.18236722819717699</v>
      </c>
      <c r="AG1328">
        <v>7.124305E-3</v>
      </c>
      <c r="AH1328">
        <v>3.0688203901918998</v>
      </c>
      <c r="AI1328">
        <v>89.867221610037205</v>
      </c>
      <c r="AJ1328">
        <v>93.400850276069207</v>
      </c>
      <c r="AK1328">
        <v>3.0742425325435199</v>
      </c>
      <c r="AL1328">
        <v>78.039939155966294</v>
      </c>
      <c r="AM1328">
        <v>88.236641094338196</v>
      </c>
      <c r="AN1328">
        <v>0.99999998438892701</v>
      </c>
    </row>
    <row r="1329" spans="1:40" x14ac:dyDescent="0.25">
      <c r="A1329" t="str">
        <f>"20190303170746696"</f>
        <v>20190303170746696</v>
      </c>
      <c r="B1329" t="str">
        <f>"1551604066683801"</f>
        <v>1551604066683801</v>
      </c>
      <c r="C1329" t="s">
        <v>40</v>
      </c>
      <c r="D1329">
        <v>4.3193619999999999</v>
      </c>
      <c r="E1329">
        <v>0.47044849999999999</v>
      </c>
      <c r="F1329" t="s">
        <v>45</v>
      </c>
      <c r="G1329">
        <v>0</v>
      </c>
      <c r="H1329">
        <v>0</v>
      </c>
      <c r="I1329">
        <v>0</v>
      </c>
      <c r="J1329">
        <v>-246.04</v>
      </c>
      <c r="K1329">
        <v>1.12026</v>
      </c>
      <c r="L1329">
        <v>284.72699999999998</v>
      </c>
      <c r="M1329">
        <v>-0.99874249999999998</v>
      </c>
      <c r="N1329">
        <v>-4.9111739999999999E-3</v>
      </c>
      <c r="O1329">
        <v>4.9893159999999999E-2</v>
      </c>
      <c r="P1329">
        <v>-0.97611950000000003</v>
      </c>
      <c r="Q1329">
        <v>0.20254710000000001</v>
      </c>
      <c r="R1329">
        <v>7.8520549999999995E-2</v>
      </c>
      <c r="S1329">
        <v>-3.074265</v>
      </c>
      <c r="T1329">
        <v>8.6133479999999998E-3</v>
      </c>
      <c r="U1329">
        <v>-2.972412E-2</v>
      </c>
      <c r="V1329">
        <v>2.9567779999999998E-2</v>
      </c>
      <c r="W1329">
        <v>0.20737349999999999</v>
      </c>
      <c r="X1329">
        <v>0.97781490000000004</v>
      </c>
      <c r="Y1329">
        <v>-5.9546309999999998E-2</v>
      </c>
      <c r="Z1329">
        <v>3.2202979999999999E-4</v>
      </c>
      <c r="AA1329">
        <v>0.99822549999999999</v>
      </c>
      <c r="AB1329">
        <v>38</v>
      </c>
      <c r="AC1329">
        <v>-3.074265</v>
      </c>
      <c r="AD1329">
        <v>8.6133479999999998E-3</v>
      </c>
      <c r="AE1329">
        <v>-2.972412E-2</v>
      </c>
      <c r="AF1329">
        <v>-0.18307230574418201</v>
      </c>
      <c r="AG1329">
        <v>8.6133479999999998E-3</v>
      </c>
      <c r="AH1329">
        <v>3.0689289608304202</v>
      </c>
      <c r="AI1329">
        <v>89.839477727430904</v>
      </c>
      <c r="AJ1329">
        <v>93.413847286872397</v>
      </c>
      <c r="AK1329">
        <v>3.0743966278796799</v>
      </c>
      <c r="AL1329">
        <v>78.031523121492896</v>
      </c>
      <c r="AM1329">
        <v>88.2679820724655</v>
      </c>
      <c r="AN1329">
        <v>1.00000000038919</v>
      </c>
    </row>
    <row r="1330" spans="1:40" x14ac:dyDescent="0.25">
      <c r="A1330" t="str">
        <f>"20190303170746719"</f>
        <v>20190303170746719</v>
      </c>
      <c r="B1330" t="str">
        <f>"1551604066714057"</f>
        <v>1551604066714057</v>
      </c>
      <c r="C1330" t="s">
        <v>40</v>
      </c>
      <c r="D1330">
        <v>4.2756829999999999</v>
      </c>
      <c r="E1330">
        <v>0.50916919999999999</v>
      </c>
      <c r="F1330" t="s">
        <v>45</v>
      </c>
      <c r="G1330">
        <v>0</v>
      </c>
      <c r="H1330">
        <v>0</v>
      </c>
      <c r="I1330">
        <v>0</v>
      </c>
      <c r="J1330">
        <v>-246.42160000000001</v>
      </c>
      <c r="K1330">
        <v>1.1203419999999999</v>
      </c>
      <c r="L1330">
        <v>284.74560000000002</v>
      </c>
      <c r="M1330">
        <v>-0.99876799999999999</v>
      </c>
      <c r="N1330">
        <v>-5.1033110000000001E-3</v>
      </c>
      <c r="O1330">
        <v>4.9362669999999997E-2</v>
      </c>
      <c r="P1330">
        <v>-0.97616139999999996</v>
      </c>
      <c r="Q1330">
        <v>0.2026259</v>
      </c>
      <c r="R1330">
        <v>7.7792829999999993E-2</v>
      </c>
      <c r="S1330">
        <v>-3.0744020000000001</v>
      </c>
      <c r="T1330">
        <v>6.8713430000000002E-3</v>
      </c>
      <c r="U1330">
        <v>-3.02124E-2</v>
      </c>
      <c r="V1330">
        <v>2.933063E-2</v>
      </c>
      <c r="W1330">
        <v>0.207644</v>
      </c>
      <c r="X1330">
        <v>0.97776459999999998</v>
      </c>
      <c r="Y1330">
        <v>-5.9174419999999998E-2</v>
      </c>
      <c r="Z1330">
        <v>2.77395E-4</v>
      </c>
      <c r="AA1330">
        <v>0.99824760000000001</v>
      </c>
      <c r="AB1330">
        <v>38</v>
      </c>
      <c r="AC1330">
        <v>-3.0744020000000001</v>
      </c>
      <c r="AD1330">
        <v>6.8713430000000002E-3</v>
      </c>
      <c r="AE1330">
        <v>-3.02124E-2</v>
      </c>
      <c r="AF1330">
        <v>-0.18193730878772699</v>
      </c>
      <c r="AG1330">
        <v>6.8713430000000002E-3</v>
      </c>
      <c r="AH1330">
        <v>3.0691472484041999</v>
      </c>
      <c r="AI1330">
        <v>89.871948673040606</v>
      </c>
      <c r="AJ1330">
        <v>93.392491245830797</v>
      </c>
      <c r="AK1330">
        <v>3.07454276796902</v>
      </c>
      <c r="AL1330">
        <v>78.015679320235293</v>
      </c>
      <c r="AM1330">
        <v>88.281777122648094</v>
      </c>
      <c r="AN1330">
        <v>0.99999996480267705</v>
      </c>
    </row>
    <row r="1331" spans="1:40" x14ac:dyDescent="0.25">
      <c r="A1331" t="str">
        <f>"20190303170746743"</f>
        <v>20190303170746743</v>
      </c>
      <c r="B1331" t="str">
        <f>"1551604066733578"</f>
        <v>1551604066733578</v>
      </c>
      <c r="C1331" t="s">
        <v>40</v>
      </c>
      <c r="D1331">
        <v>4.3065939999999996</v>
      </c>
      <c r="E1331">
        <v>0.51259290000000002</v>
      </c>
      <c r="F1331" t="s">
        <v>73</v>
      </c>
      <c r="G1331">
        <v>-440.87119999999999</v>
      </c>
      <c r="H1331">
        <v>0.32998369999999999</v>
      </c>
      <c r="I1331">
        <v>302.255</v>
      </c>
      <c r="J1331">
        <v>-246.82380000000001</v>
      </c>
      <c r="K1331">
        <v>1.1204240000000001</v>
      </c>
      <c r="L1331">
        <v>284.76499999999999</v>
      </c>
      <c r="M1331">
        <v>-0.99879530000000005</v>
      </c>
      <c r="N1331">
        <v>-5.343146E-3</v>
      </c>
      <c r="O1331">
        <v>4.8778620000000002E-2</v>
      </c>
      <c r="P1331">
        <v>-0.97623260000000001</v>
      </c>
      <c r="Q1331">
        <v>0.20240540000000001</v>
      </c>
      <c r="R1331">
        <v>7.7474119999999994E-2</v>
      </c>
      <c r="S1331">
        <v>-3.053925</v>
      </c>
      <c r="T1331">
        <v>-1.241279E-2</v>
      </c>
      <c r="U1331">
        <v>0.27499390000000001</v>
      </c>
      <c r="V1331">
        <v>2.9557839999999998E-2</v>
      </c>
      <c r="W1331">
        <v>0.20766180000000001</v>
      </c>
      <c r="X1331">
        <v>0.97775400000000001</v>
      </c>
      <c r="Y1331">
        <v>4.099295E-2</v>
      </c>
      <c r="Z1331">
        <v>2.5551259999999999E-4</v>
      </c>
      <c r="AA1331">
        <v>0.99915940000000003</v>
      </c>
      <c r="AB1331">
        <v>38</v>
      </c>
      <c r="AC1331">
        <v>-194.04740000000001</v>
      </c>
      <c r="AD1331">
        <v>-0.79044029999999998</v>
      </c>
      <c r="AE1331">
        <v>17.489999999999998</v>
      </c>
      <c r="AF1331">
        <v>8.0035481115998905</v>
      </c>
      <c r="AG1331">
        <v>-0.79044029999999998</v>
      </c>
      <c r="AH1331">
        <v>194.666348410555</v>
      </c>
      <c r="AI1331">
        <v>90.232451145638507</v>
      </c>
      <c r="AJ1331">
        <v>87.645656743374104</v>
      </c>
      <c r="AK1331">
        <v>194.83241204107199</v>
      </c>
      <c r="AL1331">
        <v>78.0146369970915</v>
      </c>
      <c r="AM1331">
        <v>88.268456204242597</v>
      </c>
      <c r="AN1331">
        <v>0.99999998680035196</v>
      </c>
    </row>
    <row r="1332" spans="1:40" x14ac:dyDescent="0.25">
      <c r="A1332" t="str">
        <f>"20190303170746765"</f>
        <v>20190303170746765</v>
      </c>
      <c r="B1332" t="str">
        <f>"1551604066754073"</f>
        <v>1551604066754073</v>
      </c>
      <c r="C1332" t="s">
        <v>40</v>
      </c>
      <c r="D1332">
        <v>4.2865419999999999</v>
      </c>
      <c r="E1332">
        <v>0.51412650000000004</v>
      </c>
      <c r="F1332" t="s">
        <v>73</v>
      </c>
      <c r="G1332">
        <v>-440.87119999999999</v>
      </c>
      <c r="H1332">
        <v>0.32863150000000002</v>
      </c>
      <c r="I1332">
        <v>303.92149999999998</v>
      </c>
      <c r="J1332">
        <v>-247.21979999999999</v>
      </c>
      <c r="K1332">
        <v>1.1204989999999999</v>
      </c>
      <c r="L1332">
        <v>284.78379999999999</v>
      </c>
      <c r="M1332">
        <v>-0.9988226</v>
      </c>
      <c r="N1332">
        <v>-5.6042089999999998E-3</v>
      </c>
      <c r="O1332">
        <v>4.8189210000000003E-2</v>
      </c>
      <c r="P1332">
        <v>-0.97632569999999996</v>
      </c>
      <c r="Q1332">
        <v>0.20240540000000001</v>
      </c>
      <c r="R1332">
        <v>7.6293780000000005E-2</v>
      </c>
      <c r="S1332">
        <v>-3.0517270000000001</v>
      </c>
      <c r="T1332">
        <v>-1.245213E-2</v>
      </c>
      <c r="U1332">
        <v>0.30126950000000002</v>
      </c>
      <c r="V1332">
        <v>2.8932570000000001E-2</v>
      </c>
      <c r="W1332">
        <v>0.2079192</v>
      </c>
      <c r="X1332">
        <v>0.97771799999999998</v>
      </c>
      <c r="Y1332">
        <v>5.0171510000000002E-2</v>
      </c>
      <c r="Z1332">
        <v>3.1671029999999999E-4</v>
      </c>
      <c r="AA1332">
        <v>0.99874059999999998</v>
      </c>
      <c r="AB1332">
        <v>38</v>
      </c>
      <c r="AC1332">
        <v>-193.6514</v>
      </c>
      <c r="AD1332">
        <v>-0.79186749999999995</v>
      </c>
      <c r="AE1332">
        <v>19.137699999999899</v>
      </c>
      <c r="AF1332">
        <v>9.7832499763163199</v>
      </c>
      <c r="AG1332">
        <v>-0.79186749999999995</v>
      </c>
      <c r="AH1332">
        <v>194.34544045597201</v>
      </c>
      <c r="AI1332">
        <v>90.2331571988028</v>
      </c>
      <c r="AJ1332">
        <v>87.118192377826901</v>
      </c>
      <c r="AK1332">
        <v>194.59313775224001</v>
      </c>
      <c r="AL1332">
        <v>77.999559990180103</v>
      </c>
      <c r="AM1332">
        <v>88.305001515464795</v>
      </c>
      <c r="AN1332">
        <v>0.99999998742972196</v>
      </c>
    </row>
    <row r="1333" spans="1:40" x14ac:dyDescent="0.25">
      <c r="A1333" t="str">
        <f>"20190303170746788"</f>
        <v>20190303170746788</v>
      </c>
      <c r="B1333" t="str">
        <f>"1551604066774100"</f>
        <v>1551604066774100</v>
      </c>
      <c r="C1333" t="s">
        <v>40</v>
      </c>
      <c r="D1333">
        <v>4.2320690000000001</v>
      </c>
      <c r="E1333">
        <v>0.51469620000000005</v>
      </c>
      <c r="F1333" t="s">
        <v>73</v>
      </c>
      <c r="G1333">
        <v>-440.87119999999999</v>
      </c>
      <c r="H1333">
        <v>0.34930290000000003</v>
      </c>
      <c r="I1333">
        <v>304.4751</v>
      </c>
      <c r="J1333">
        <v>-247.6027</v>
      </c>
      <c r="K1333">
        <v>1.120568</v>
      </c>
      <c r="L1333">
        <v>284.80189999999999</v>
      </c>
      <c r="M1333">
        <v>-0.99884870000000003</v>
      </c>
      <c r="N1333">
        <v>-5.8708900000000001E-3</v>
      </c>
      <c r="O1333">
        <v>4.7613719999999998E-2</v>
      </c>
      <c r="P1333">
        <v>-0.97648639999999998</v>
      </c>
      <c r="Q1333">
        <v>0.20196710000000001</v>
      </c>
      <c r="R1333">
        <v>7.5391639999999996E-2</v>
      </c>
      <c r="S1333">
        <v>-3.0510410000000001</v>
      </c>
      <c r="T1333">
        <v>-1.2150289999999999E-2</v>
      </c>
      <c r="U1333">
        <v>0.31024170000000001</v>
      </c>
      <c r="V1333">
        <v>2.8572159999999999E-2</v>
      </c>
      <c r="W1333">
        <v>0.20774390000000001</v>
      </c>
      <c r="X1333">
        <v>0.97776589999999997</v>
      </c>
      <c r="Y1333">
        <v>5.3676290000000002E-2</v>
      </c>
      <c r="Z1333">
        <v>3.5468460000000001E-4</v>
      </c>
      <c r="AA1333">
        <v>0.99855830000000001</v>
      </c>
      <c r="AB1333">
        <v>38</v>
      </c>
      <c r="AC1333">
        <v>-193.26849999999999</v>
      </c>
      <c r="AD1333">
        <v>-0.77126509999999904</v>
      </c>
      <c r="AE1333">
        <v>19.673200000000001</v>
      </c>
      <c r="AF1333">
        <v>10.4483320290683</v>
      </c>
      <c r="AG1333">
        <v>-0.77126509999999904</v>
      </c>
      <c r="AH1333">
        <v>193.982964655968</v>
      </c>
      <c r="AI1333">
        <v>90.227473797738696</v>
      </c>
      <c r="AJ1333">
        <v>86.916907525786996</v>
      </c>
      <c r="AK1333">
        <v>194.26567650710399</v>
      </c>
      <c r="AL1333">
        <v>78.009828615913605</v>
      </c>
      <c r="AM1333">
        <v>88.326185802662394</v>
      </c>
      <c r="AN1333">
        <v>1.00000002575854</v>
      </c>
    </row>
    <row r="1334" spans="1:40" x14ac:dyDescent="0.25">
      <c r="A1334" t="str">
        <f>"20190303170746809"</f>
        <v>20190303170746809</v>
      </c>
      <c r="B1334" t="str">
        <f>"1551604066803381"</f>
        <v>1551604066803381</v>
      </c>
      <c r="C1334" t="s">
        <v>40</v>
      </c>
      <c r="D1334">
        <v>4.3333570000000003</v>
      </c>
      <c r="E1334">
        <v>0.5153491</v>
      </c>
      <c r="F1334" t="s">
        <v>73</v>
      </c>
      <c r="G1334">
        <v>-440.87119999999999</v>
      </c>
      <c r="H1334">
        <v>0.38230439999999999</v>
      </c>
      <c r="I1334">
        <v>304.5616</v>
      </c>
      <c r="J1334">
        <v>-247.9485</v>
      </c>
      <c r="K1334">
        <v>1.1206309999999999</v>
      </c>
      <c r="L1334">
        <v>284.81799999999998</v>
      </c>
      <c r="M1334">
        <v>-0.99887170000000003</v>
      </c>
      <c r="N1334">
        <v>-6.1189269999999997E-3</v>
      </c>
      <c r="O1334">
        <v>4.7093139999999999E-2</v>
      </c>
      <c r="P1334">
        <v>-0.97657490000000002</v>
      </c>
      <c r="Q1334">
        <v>0.20153779999999999</v>
      </c>
      <c r="R1334">
        <v>7.539216E-2</v>
      </c>
      <c r="S1334">
        <v>-3.050583</v>
      </c>
      <c r="T1334">
        <v>-1.165271E-2</v>
      </c>
      <c r="U1334">
        <v>0.31188959999999999</v>
      </c>
      <c r="V1334">
        <v>2.9066740000000001E-2</v>
      </c>
      <c r="W1334">
        <v>0.2075601</v>
      </c>
      <c r="X1334">
        <v>0.97779039999999995</v>
      </c>
      <c r="Y1334">
        <v>5.474561E-2</v>
      </c>
      <c r="Z1334">
        <v>3.806231E-4</v>
      </c>
      <c r="AA1334">
        <v>0.99850030000000001</v>
      </c>
      <c r="AB1334">
        <v>38</v>
      </c>
      <c r="AC1334">
        <v>-192.92269999999999</v>
      </c>
      <c r="AD1334">
        <v>-0.73832659999999894</v>
      </c>
      <c r="AE1334">
        <v>19.743600000000001</v>
      </c>
      <c r="AF1334">
        <v>10.636033177038399</v>
      </c>
      <c r="AG1334">
        <v>-0.73832659999999894</v>
      </c>
      <c r="AH1334">
        <v>193.63564363482701</v>
      </c>
      <c r="AI1334">
        <v>90.218137121854596</v>
      </c>
      <c r="AJ1334">
        <v>86.856012481016293</v>
      </c>
      <c r="AK1334">
        <v>193.928937535854</v>
      </c>
      <c r="AL1334">
        <v>78.020594759298604</v>
      </c>
      <c r="AM1334">
        <v>88.297271870744197</v>
      </c>
      <c r="AN1334">
        <v>1.0000000684091901</v>
      </c>
    </row>
    <row r="1335" spans="1:40" x14ac:dyDescent="0.25">
      <c r="A1335" t="str">
        <f>"20190303170746831"</f>
        <v>20190303170746831</v>
      </c>
      <c r="B1335" t="str">
        <f>"1551604066823876"</f>
        <v>1551604066823876</v>
      </c>
      <c r="C1335" t="s">
        <v>40</v>
      </c>
      <c r="D1335">
        <v>4.328748</v>
      </c>
      <c r="E1335">
        <v>0.51553519999999997</v>
      </c>
      <c r="F1335" t="s">
        <v>73</v>
      </c>
      <c r="G1335">
        <v>-440.87119999999999</v>
      </c>
      <c r="H1335">
        <v>0.33573560000000002</v>
      </c>
      <c r="I1335">
        <v>304.86200000000002</v>
      </c>
      <c r="J1335">
        <v>-248.3451</v>
      </c>
      <c r="K1335">
        <v>1.1206940000000001</v>
      </c>
      <c r="L1335">
        <v>284.83620000000002</v>
      </c>
      <c r="M1335">
        <v>-0.99889799999999995</v>
      </c>
      <c r="N1335">
        <v>-6.4024470000000003E-3</v>
      </c>
      <c r="O1335">
        <v>4.6496139999999998E-2</v>
      </c>
      <c r="P1335">
        <v>-0.97652019999999995</v>
      </c>
      <c r="Q1335">
        <v>0.2018382</v>
      </c>
      <c r="R1335">
        <v>7.5297740000000002E-2</v>
      </c>
      <c r="S1335">
        <v>-3.0500949999999998</v>
      </c>
      <c r="T1335">
        <v>-1.240897E-2</v>
      </c>
      <c r="U1335">
        <v>0.31689450000000002</v>
      </c>
      <c r="V1335">
        <v>2.9547460000000001E-2</v>
      </c>
      <c r="W1335">
        <v>0.2081394</v>
      </c>
      <c r="X1335">
        <v>0.97765279999999999</v>
      </c>
      <c r="Y1335">
        <v>5.6979380000000003E-2</v>
      </c>
      <c r="Z1335">
        <v>4.0715530000000002E-4</v>
      </c>
      <c r="AA1335">
        <v>0.99837529999999997</v>
      </c>
      <c r="AB1335">
        <v>38</v>
      </c>
      <c r="AC1335">
        <v>-192.52610000000001</v>
      </c>
      <c r="AD1335">
        <v>-0.78495839999999995</v>
      </c>
      <c r="AE1335">
        <v>20.0258</v>
      </c>
      <c r="AF1335">
        <v>11.052055305820801</v>
      </c>
      <c r="AG1335">
        <v>-0.78495839999999995</v>
      </c>
      <c r="AH1335">
        <v>193.245832119054</v>
      </c>
      <c r="AI1335">
        <v>90.232352661517993</v>
      </c>
      <c r="AJ1335">
        <v>86.726723397963099</v>
      </c>
      <c r="AK1335">
        <v>193.56320858458099</v>
      </c>
      <c r="AL1335">
        <v>77.986661785214196</v>
      </c>
      <c r="AM1335">
        <v>88.268884844878102</v>
      </c>
      <c r="AN1335">
        <v>1.0000000297863201</v>
      </c>
    </row>
    <row r="1336" spans="1:40" x14ac:dyDescent="0.25">
      <c r="A1336" t="str">
        <f>"20190303170746854"</f>
        <v>20190303170746854</v>
      </c>
      <c r="B1336" t="str">
        <f>"1551604066844372"</f>
        <v>1551604066844372</v>
      </c>
      <c r="C1336" t="s">
        <v>40</v>
      </c>
      <c r="D1336">
        <v>4.3633579999999998</v>
      </c>
      <c r="E1336">
        <v>0.51604289999999997</v>
      </c>
      <c r="F1336" t="s">
        <v>73</v>
      </c>
      <c r="G1336">
        <v>-440.87119999999999</v>
      </c>
      <c r="H1336">
        <v>0.35058329999999999</v>
      </c>
      <c r="I1336">
        <v>304.94119999999998</v>
      </c>
      <c r="J1336">
        <v>-248.7345</v>
      </c>
      <c r="K1336">
        <v>1.120749</v>
      </c>
      <c r="L1336">
        <v>284.85390000000001</v>
      </c>
      <c r="M1336">
        <v>-0.99892340000000002</v>
      </c>
      <c r="N1336">
        <v>-6.6752349999999998E-3</v>
      </c>
      <c r="O1336">
        <v>4.5910550000000001E-2</v>
      </c>
      <c r="P1336">
        <v>-0.9764429</v>
      </c>
      <c r="Q1336">
        <v>0.20252100000000001</v>
      </c>
      <c r="R1336">
        <v>7.4462940000000005E-2</v>
      </c>
      <c r="S1336">
        <v>-3.0500790000000002</v>
      </c>
      <c r="T1336">
        <v>-1.2200239999999999E-2</v>
      </c>
      <c r="U1336">
        <v>0.31851200000000002</v>
      </c>
      <c r="V1336">
        <v>2.9279960000000001E-2</v>
      </c>
      <c r="W1336">
        <v>0.20908889999999999</v>
      </c>
      <c r="X1336">
        <v>0.97745820000000005</v>
      </c>
      <c r="Y1336">
        <v>5.8088809999999998E-2</v>
      </c>
      <c r="Z1336">
        <v>4.3318609999999999E-4</v>
      </c>
      <c r="AA1336">
        <v>0.99831130000000001</v>
      </c>
      <c r="AB1336">
        <v>39</v>
      </c>
      <c r="AC1336">
        <v>-192.13669999999999</v>
      </c>
      <c r="AD1336">
        <v>-0.77016569999999995</v>
      </c>
      <c r="AE1336">
        <v>20.0872999999999</v>
      </c>
      <c r="AF1336">
        <v>11.2446425847687</v>
      </c>
      <c r="AG1336">
        <v>-0.77016569999999995</v>
      </c>
      <c r="AH1336">
        <v>192.85326763939301</v>
      </c>
      <c r="AI1336">
        <v>90.228423364924595</v>
      </c>
      <c r="AJ1336">
        <v>86.663048791299403</v>
      </c>
      <c r="AK1336">
        <v>193.18234386520999</v>
      </c>
      <c r="AL1336">
        <v>77.931035293554402</v>
      </c>
      <c r="AM1336">
        <v>88.284206302903002</v>
      </c>
      <c r="AN1336">
        <v>1.0000000084540199</v>
      </c>
    </row>
    <row r="1337" spans="1:40" x14ac:dyDescent="0.25">
      <c r="A1337" t="str">
        <f>"20190303170746876"</f>
        <v>20190303170746876</v>
      </c>
      <c r="B1337" t="str">
        <f>"1551604066863892"</f>
        <v>1551604066863892</v>
      </c>
      <c r="C1337" t="s">
        <v>40</v>
      </c>
      <c r="D1337">
        <v>4.3619510000000004</v>
      </c>
      <c r="E1337">
        <v>0.51621220000000001</v>
      </c>
      <c r="F1337" t="s">
        <v>73</v>
      </c>
      <c r="G1337">
        <v>-440.87119999999999</v>
      </c>
      <c r="H1337">
        <v>0.35430909999999999</v>
      </c>
      <c r="I1337">
        <v>305.03879999999998</v>
      </c>
      <c r="J1337">
        <v>-249.1181</v>
      </c>
      <c r="K1337">
        <v>1.1207910000000001</v>
      </c>
      <c r="L1337">
        <v>284.87099999999998</v>
      </c>
      <c r="M1337">
        <v>-0.99894799999999995</v>
      </c>
      <c r="N1337">
        <v>-6.9340490000000003E-3</v>
      </c>
      <c r="O1337">
        <v>4.5333060000000001E-2</v>
      </c>
      <c r="P1337">
        <v>-0.97653780000000001</v>
      </c>
      <c r="Q1337">
        <v>0.20270650000000001</v>
      </c>
      <c r="R1337">
        <v>7.269436E-2</v>
      </c>
      <c r="S1337">
        <v>-3.050446</v>
      </c>
      <c r="T1337">
        <v>-1.2168170000000001E-2</v>
      </c>
      <c r="U1337">
        <v>0.3204651</v>
      </c>
      <c r="V1337">
        <v>2.806668E-2</v>
      </c>
      <c r="W1337">
        <v>0.20952709999999999</v>
      </c>
      <c r="X1337">
        <v>0.97739989999999999</v>
      </c>
      <c r="Y1337">
        <v>5.9285669999999999E-2</v>
      </c>
      <c r="Z1337">
        <v>4.5760259999999997E-4</v>
      </c>
      <c r="AA1337">
        <v>0.99824089999999999</v>
      </c>
      <c r="AB1337">
        <v>39</v>
      </c>
      <c r="AC1337">
        <v>-191.75309999999999</v>
      </c>
      <c r="AD1337">
        <v>-0.76648190000000005</v>
      </c>
      <c r="AE1337">
        <v>20.1678</v>
      </c>
      <c r="AF1337">
        <v>11.4539214761037</v>
      </c>
      <c r="AG1337">
        <v>-0.76648190000000005</v>
      </c>
      <c r="AH1337">
        <v>192.46720301941099</v>
      </c>
      <c r="AI1337">
        <v>90.227770686775401</v>
      </c>
      <c r="AJ1337">
        <v>86.594285878188501</v>
      </c>
      <c r="AK1337">
        <v>192.80924264619401</v>
      </c>
      <c r="AL1337">
        <v>77.905358895002294</v>
      </c>
      <c r="AM1337">
        <v>88.355166068967904</v>
      </c>
      <c r="AN1337">
        <v>0.99999995434031996</v>
      </c>
    </row>
    <row r="1338" spans="1:40" x14ac:dyDescent="0.25">
      <c r="A1338" t="str">
        <f>"20190303170746898"</f>
        <v>20190303170746898</v>
      </c>
      <c r="B1338" t="str">
        <f>"1551604066883920"</f>
        <v>1551604066883920</v>
      </c>
      <c r="C1338" t="s">
        <v>40</v>
      </c>
      <c r="D1338">
        <v>4.296443</v>
      </c>
      <c r="E1338">
        <v>0.51630759999999998</v>
      </c>
      <c r="F1338" t="s">
        <v>73</v>
      </c>
      <c r="G1338">
        <v>-440.87119999999999</v>
      </c>
      <c r="H1338">
        <v>0.30239870000000002</v>
      </c>
      <c r="I1338">
        <v>304.75139999999999</v>
      </c>
      <c r="J1338">
        <v>-249.49279999999999</v>
      </c>
      <c r="K1338">
        <v>1.1208290000000001</v>
      </c>
      <c r="L1338">
        <v>284.88749999999999</v>
      </c>
      <c r="M1338">
        <v>-0.99897159999999996</v>
      </c>
      <c r="N1338">
        <v>-7.1843979999999998E-3</v>
      </c>
      <c r="O1338">
        <v>4.4768599999999999E-2</v>
      </c>
      <c r="P1338">
        <v>-0.97668250000000001</v>
      </c>
      <c r="Q1338">
        <v>0.20249710000000001</v>
      </c>
      <c r="R1338">
        <v>7.1317779999999997E-2</v>
      </c>
      <c r="S1338">
        <v>-3.0512540000000001</v>
      </c>
      <c r="T1338">
        <v>-1.302242E-2</v>
      </c>
      <c r="U1338">
        <v>0.31634519999999999</v>
      </c>
      <c r="V1338">
        <v>2.723211E-2</v>
      </c>
      <c r="W1338">
        <v>0.20956259999999999</v>
      </c>
      <c r="X1338">
        <v>0.97741599999999995</v>
      </c>
      <c r="Y1338">
        <v>5.8488659999999998E-2</v>
      </c>
      <c r="Z1338">
        <v>4.6579729999999999E-4</v>
      </c>
      <c r="AA1338">
        <v>0.99828799999999995</v>
      </c>
      <c r="AB1338">
        <v>39</v>
      </c>
      <c r="AC1338">
        <v>-191.3784</v>
      </c>
      <c r="AD1338">
        <v>-0.81843030000000005</v>
      </c>
      <c r="AE1338">
        <v>19.863900000000001</v>
      </c>
      <c r="AF1338">
        <v>11.275815352386401</v>
      </c>
      <c r="AG1338">
        <v>-0.81843030000000005</v>
      </c>
      <c r="AH1338">
        <v>192.07233761776999</v>
      </c>
      <c r="AI1338">
        <v>90.243719231434696</v>
      </c>
      <c r="AJ1338">
        <v>86.640245136945694</v>
      </c>
      <c r="AK1338">
        <v>192.404773116396</v>
      </c>
      <c r="AL1338">
        <v>77.903279937639098</v>
      </c>
      <c r="AM1338">
        <v>88.404076224970197</v>
      </c>
      <c r="AN1338">
        <v>1.0000000540948999</v>
      </c>
    </row>
    <row r="1339" spans="1:40" x14ac:dyDescent="0.25">
      <c r="A1339" t="str">
        <f>"20190303170746921"</f>
        <v>20190303170746921</v>
      </c>
      <c r="B1339" t="str">
        <f>"1551604066914176"</f>
        <v>1551604066914176</v>
      </c>
      <c r="C1339" t="s">
        <v>40</v>
      </c>
      <c r="D1339">
        <v>4.3045559999999998</v>
      </c>
      <c r="E1339">
        <v>0.51618620000000004</v>
      </c>
      <c r="F1339" t="s">
        <v>73</v>
      </c>
      <c r="G1339">
        <v>-440.87110000000001</v>
      </c>
      <c r="H1339">
        <v>0.14257909999999999</v>
      </c>
      <c r="I1339">
        <v>304.5</v>
      </c>
      <c r="J1339">
        <v>-249.88829999999999</v>
      </c>
      <c r="K1339">
        <v>1.1208720000000001</v>
      </c>
      <c r="L1339">
        <v>284.90480000000002</v>
      </c>
      <c r="M1339">
        <v>-0.99899610000000005</v>
      </c>
      <c r="N1339">
        <v>-7.4533969999999996E-3</v>
      </c>
      <c r="O1339">
        <v>4.417256E-2</v>
      </c>
      <c r="P1339">
        <v>-0.97674780000000005</v>
      </c>
      <c r="Q1339">
        <v>0.20285539999999999</v>
      </c>
      <c r="R1339">
        <v>6.937923E-2</v>
      </c>
      <c r="S1339">
        <v>-3.0520480000000001</v>
      </c>
      <c r="T1339">
        <v>-1.560068E-2</v>
      </c>
      <c r="U1339">
        <v>0.31277470000000002</v>
      </c>
      <c r="V1339">
        <v>2.587095E-2</v>
      </c>
      <c r="W1339">
        <v>0.21018220000000001</v>
      </c>
      <c r="X1339">
        <v>0.97731990000000002</v>
      </c>
      <c r="Y1339">
        <v>5.790145E-2</v>
      </c>
      <c r="Z1339">
        <v>4.675778E-4</v>
      </c>
      <c r="AA1339">
        <v>0.99832220000000005</v>
      </c>
      <c r="AB1339">
        <v>39</v>
      </c>
      <c r="AC1339">
        <v>-190.9828</v>
      </c>
      <c r="AD1339">
        <v>-0.97829289999999902</v>
      </c>
      <c r="AE1339">
        <v>19.595199999999899</v>
      </c>
      <c r="AF1339">
        <v>11.1393495037641</v>
      </c>
      <c r="AG1339">
        <v>-0.97829289999999902</v>
      </c>
      <c r="AH1339">
        <v>191.65699207716401</v>
      </c>
      <c r="AI1339">
        <v>90.291965006274594</v>
      </c>
      <c r="AJ1339">
        <v>86.673638222236505</v>
      </c>
      <c r="AK1339">
        <v>191.98292834632801</v>
      </c>
      <c r="AL1339">
        <v>77.866970468695797</v>
      </c>
      <c r="AM1339">
        <v>88.483659073934504</v>
      </c>
      <c r="AN1339">
        <v>1.00000002509337</v>
      </c>
    </row>
    <row r="1340" spans="1:40" x14ac:dyDescent="0.25">
      <c r="A1340" t="str">
        <f>"20190303170746944"</f>
        <v>20190303170746944</v>
      </c>
      <c r="B1340" t="str">
        <f>"1551604066933696"</f>
        <v>1551604066933696</v>
      </c>
      <c r="C1340" t="s">
        <v>40</v>
      </c>
      <c r="D1340">
        <v>4.3606099999999897</v>
      </c>
      <c r="E1340">
        <v>0.51643159999999999</v>
      </c>
      <c r="F1340" t="s">
        <v>73</v>
      </c>
      <c r="G1340">
        <v>-440.87119999999999</v>
      </c>
      <c r="H1340">
        <v>0.18027570000000001</v>
      </c>
      <c r="I1340">
        <v>304.0154</v>
      </c>
      <c r="J1340">
        <v>-250.2937</v>
      </c>
      <c r="K1340">
        <v>1.1209199999999999</v>
      </c>
      <c r="L1340">
        <v>284.9221</v>
      </c>
      <c r="M1340">
        <v>-0.99902089999999999</v>
      </c>
      <c r="N1340">
        <v>-7.7371699999999998E-3</v>
      </c>
      <c r="O1340">
        <v>4.3561219999999998E-2</v>
      </c>
      <c r="P1340">
        <v>-0.97670729999999994</v>
      </c>
      <c r="Q1340">
        <v>0.20379520000000001</v>
      </c>
      <c r="R1340">
        <v>6.7161150000000003E-2</v>
      </c>
      <c r="S1340">
        <v>-3.0528409999999999</v>
      </c>
      <c r="T1340">
        <v>-1.5035150000000001E-2</v>
      </c>
      <c r="U1340">
        <v>0.305481</v>
      </c>
      <c r="V1340">
        <v>2.424989E-2</v>
      </c>
      <c r="W1340">
        <v>0.21139649999999999</v>
      </c>
      <c r="X1340">
        <v>0.97709950000000001</v>
      </c>
      <c r="Y1340">
        <v>5.6125099999999997E-2</v>
      </c>
      <c r="Z1340">
        <v>4.7817010000000002E-4</v>
      </c>
      <c r="AA1340">
        <v>0.99842359999999997</v>
      </c>
      <c r="AB1340">
        <v>39</v>
      </c>
      <c r="AC1340">
        <v>-190.57749999999999</v>
      </c>
      <c r="AD1340">
        <v>-0.94064429999999999</v>
      </c>
      <c r="AE1340">
        <v>19.093299999999999</v>
      </c>
      <c r="AF1340">
        <v>10.772878883314799</v>
      </c>
      <c r="AG1340">
        <v>-0.94064429999999999</v>
      </c>
      <c r="AH1340">
        <v>191.22372533848599</v>
      </c>
      <c r="AI1340">
        <v>90.281393915654604</v>
      </c>
      <c r="AJ1340">
        <v>86.775563634459303</v>
      </c>
      <c r="AK1340">
        <v>191.529248062698</v>
      </c>
      <c r="AL1340">
        <v>77.795796545671294</v>
      </c>
      <c r="AM1340">
        <v>88.578311432972498</v>
      </c>
      <c r="AN1340">
        <v>0.99999998513875599</v>
      </c>
    </row>
    <row r="1341" spans="1:40" x14ac:dyDescent="0.25">
      <c r="A1341" t="str">
        <f>"20190303170746966"</f>
        <v>20190303170746966</v>
      </c>
      <c r="B1341" t="str">
        <f>"1551604066954191"</f>
        <v>1551604066954191</v>
      </c>
      <c r="C1341" t="s">
        <v>40</v>
      </c>
      <c r="D1341">
        <v>4.3850569999999998</v>
      </c>
      <c r="E1341">
        <v>0.51673500000000006</v>
      </c>
      <c r="F1341" t="s">
        <v>73</v>
      </c>
      <c r="G1341">
        <v>-440.87119999999999</v>
      </c>
      <c r="H1341">
        <v>0.32674789999999998</v>
      </c>
      <c r="I1341">
        <v>303.68509999999998</v>
      </c>
      <c r="J1341">
        <v>-250.6781</v>
      </c>
      <c r="K1341">
        <v>1.1209629999999999</v>
      </c>
      <c r="L1341">
        <v>284.9384</v>
      </c>
      <c r="M1341">
        <v>-0.99904380000000004</v>
      </c>
      <c r="N1341">
        <v>-8.0142300000000007E-3</v>
      </c>
      <c r="O1341">
        <v>4.298184E-2</v>
      </c>
      <c r="P1341">
        <v>-0.97661469999999995</v>
      </c>
      <c r="Q1341">
        <v>0.20488490000000001</v>
      </c>
      <c r="R1341">
        <v>6.5163739999999998E-2</v>
      </c>
      <c r="S1341">
        <v>-3.0535130000000001</v>
      </c>
      <c r="T1341">
        <v>-1.27244E-2</v>
      </c>
      <c r="U1341">
        <v>0.30062870000000003</v>
      </c>
      <c r="V1341">
        <v>2.2820819999999999E-2</v>
      </c>
      <c r="W1341">
        <v>0.21275340000000001</v>
      </c>
      <c r="X1341">
        <v>0.97683940000000002</v>
      </c>
      <c r="Y1341">
        <v>5.5111630000000002E-2</v>
      </c>
      <c r="Z1341">
        <v>5.0129039999999997E-4</v>
      </c>
      <c r="AA1341">
        <v>0.99848009999999998</v>
      </c>
      <c r="AB1341">
        <v>39</v>
      </c>
      <c r="AC1341">
        <v>-190.19309999999999</v>
      </c>
      <c r="AD1341">
        <v>-0.79421509999999995</v>
      </c>
      <c r="AE1341">
        <v>18.746699999999901</v>
      </c>
      <c r="AF1341">
        <v>10.554080735533001</v>
      </c>
      <c r="AG1341">
        <v>-0.79421509999999995</v>
      </c>
      <c r="AH1341">
        <v>190.819820526477</v>
      </c>
      <c r="AI1341">
        <v>90.238106651530003</v>
      </c>
      <c r="AJ1341">
        <v>86.834245031722602</v>
      </c>
      <c r="AK1341">
        <v>191.11311651363499</v>
      </c>
      <c r="AL1341">
        <v>77.716242568892596</v>
      </c>
      <c r="AM1341">
        <v>88.661705420659203</v>
      </c>
      <c r="AN1341">
        <v>1.0000000062146901</v>
      </c>
    </row>
    <row r="1342" spans="1:40" x14ac:dyDescent="0.25">
      <c r="A1342" t="str">
        <f>"20190303170746987"</f>
        <v>20190303170746987</v>
      </c>
      <c r="B1342" t="str">
        <f>"1551604066974219"</f>
        <v>1551604066974219</v>
      </c>
      <c r="C1342" t="s">
        <v>40</v>
      </c>
      <c r="D1342">
        <v>4.3804639999999999</v>
      </c>
      <c r="E1342">
        <v>0.51702749999999997</v>
      </c>
      <c r="F1342" t="s">
        <v>73</v>
      </c>
      <c r="G1342">
        <v>-440.87119999999999</v>
      </c>
      <c r="H1342">
        <v>0.48676160000000002</v>
      </c>
      <c r="I1342">
        <v>303.41449999999998</v>
      </c>
      <c r="J1342">
        <v>-251.05510000000001</v>
      </c>
      <c r="K1342">
        <v>1.1209960000000001</v>
      </c>
      <c r="L1342">
        <v>284.95409999999998</v>
      </c>
      <c r="M1342">
        <v>-0.9990658</v>
      </c>
      <c r="N1342">
        <v>-8.2931359999999996E-3</v>
      </c>
      <c r="O1342">
        <v>4.2414279999999999E-2</v>
      </c>
      <c r="P1342">
        <v>-0.97690060000000001</v>
      </c>
      <c r="Q1342">
        <v>0.2042292</v>
      </c>
      <c r="R1342">
        <v>6.2897259999999997E-2</v>
      </c>
      <c r="S1342">
        <v>-3.0541529999999999</v>
      </c>
      <c r="T1342">
        <v>-1.0183930000000001E-2</v>
      </c>
      <c r="U1342">
        <v>0.29669190000000001</v>
      </c>
      <c r="V1342">
        <v>2.109801E-2</v>
      </c>
      <c r="W1342">
        <v>0.21236949999999999</v>
      </c>
      <c r="X1342">
        <v>0.97696170000000004</v>
      </c>
      <c r="Y1342">
        <v>5.4384040000000002E-2</v>
      </c>
      <c r="Z1342">
        <v>5.2669749999999997E-4</v>
      </c>
      <c r="AA1342">
        <v>0.99851999999999996</v>
      </c>
      <c r="AB1342">
        <v>39</v>
      </c>
      <c r="AC1342">
        <v>-189.81610000000001</v>
      </c>
      <c r="AD1342">
        <v>-0.63423439999999898</v>
      </c>
      <c r="AE1342">
        <v>18.4604</v>
      </c>
      <c r="AF1342">
        <v>10.392482386407901</v>
      </c>
      <c r="AG1342">
        <v>-0.63423439999999898</v>
      </c>
      <c r="AH1342">
        <v>190.42617993336901</v>
      </c>
      <c r="AI1342">
        <v>90.190545359461396</v>
      </c>
      <c r="AJ1342">
        <v>86.876189647055099</v>
      </c>
      <c r="AK1342">
        <v>190.71060785242599</v>
      </c>
      <c r="AL1342">
        <v>77.7387533366295</v>
      </c>
      <c r="AM1342">
        <v>88.762859319201596</v>
      </c>
      <c r="AN1342">
        <v>1.00000004691154</v>
      </c>
    </row>
    <row r="1343" spans="1:40" x14ac:dyDescent="0.25">
      <c r="A1343" t="str">
        <f>"20190303170747012"</f>
        <v>20190303170747012</v>
      </c>
      <c r="B1343" t="str">
        <f>"1551604067003499"</f>
        <v>1551604067003499</v>
      </c>
      <c r="C1343" t="s">
        <v>40</v>
      </c>
      <c r="D1343">
        <v>4.4047289999999997</v>
      </c>
      <c r="E1343">
        <v>0.51741309999999996</v>
      </c>
      <c r="F1343" t="s">
        <v>73</v>
      </c>
      <c r="G1343">
        <v>-440.87119999999999</v>
      </c>
      <c r="H1343">
        <v>0.33074530000000002</v>
      </c>
      <c r="I1343">
        <v>303.13959999999997</v>
      </c>
      <c r="J1343">
        <v>-251.4545</v>
      </c>
      <c r="K1343">
        <v>1.121043</v>
      </c>
      <c r="L1343">
        <v>284.97050000000002</v>
      </c>
      <c r="M1343">
        <v>-0.99908850000000005</v>
      </c>
      <c r="N1343">
        <v>-8.5921009999999996E-3</v>
      </c>
      <c r="O1343">
        <v>4.1814259999999999E-2</v>
      </c>
      <c r="P1343">
        <v>-0.97715320000000006</v>
      </c>
      <c r="Q1343">
        <v>0.20362620000000001</v>
      </c>
      <c r="R1343">
        <v>6.0894120000000003E-2</v>
      </c>
      <c r="S1343">
        <v>-3.0547490000000002</v>
      </c>
      <c r="T1343">
        <v>-1.271749E-2</v>
      </c>
      <c r="U1343">
        <v>0.29266360000000002</v>
      </c>
      <c r="V1343">
        <v>1.967143E-2</v>
      </c>
      <c r="W1343">
        <v>0.2120582</v>
      </c>
      <c r="X1343">
        <v>0.97705900000000001</v>
      </c>
      <c r="Y1343">
        <v>5.3659789999999999E-2</v>
      </c>
      <c r="Z1343">
        <v>5.2766219999999999E-4</v>
      </c>
      <c r="AA1343">
        <v>0.99855910000000003</v>
      </c>
      <c r="AB1343">
        <v>39</v>
      </c>
      <c r="AC1343">
        <v>-189.41669999999999</v>
      </c>
      <c r="AD1343">
        <v>-0.79029769999999999</v>
      </c>
      <c r="AE1343">
        <v>18.169099999999901</v>
      </c>
      <c r="AF1343">
        <v>10.2324204894033</v>
      </c>
      <c r="AG1343">
        <v>-0.79029769999999999</v>
      </c>
      <c r="AH1343">
        <v>190.00750220987999</v>
      </c>
      <c r="AI1343">
        <v>90.237964001820004</v>
      </c>
      <c r="AJ1343">
        <v>86.917444148062501</v>
      </c>
      <c r="AK1343">
        <v>190.284465723202</v>
      </c>
      <c r="AL1343">
        <v>77.757004242432203</v>
      </c>
      <c r="AM1343">
        <v>88.846602237588101</v>
      </c>
      <c r="AN1343">
        <v>0.99999996741324104</v>
      </c>
    </row>
    <row r="1344" spans="1:40" x14ac:dyDescent="0.25">
      <c r="A1344" t="str">
        <f>"20190303170747032"</f>
        <v>20190303170747032</v>
      </c>
      <c r="B1344" t="str">
        <f>"1551604067023995"</f>
        <v>1551604067023995</v>
      </c>
      <c r="C1344" t="s">
        <v>40</v>
      </c>
      <c r="D1344">
        <v>4.3144629999999999</v>
      </c>
      <c r="E1344">
        <v>0.51759949999999999</v>
      </c>
      <c r="F1344" t="s">
        <v>73</v>
      </c>
      <c r="G1344">
        <v>-440.87110000000001</v>
      </c>
      <c r="H1344">
        <v>0.13943059999999999</v>
      </c>
      <c r="I1344">
        <v>302.93990000000002</v>
      </c>
      <c r="J1344">
        <v>-251.83250000000001</v>
      </c>
      <c r="K1344">
        <v>1.1210789999999999</v>
      </c>
      <c r="L1344">
        <v>284.98579999999998</v>
      </c>
      <c r="M1344">
        <v>-0.99910960000000004</v>
      </c>
      <c r="N1344">
        <v>-8.8757119999999991E-3</v>
      </c>
      <c r="O1344">
        <v>4.1245770000000001E-2</v>
      </c>
      <c r="P1344">
        <v>-0.97734270000000001</v>
      </c>
      <c r="Q1344">
        <v>0.20325360000000001</v>
      </c>
      <c r="R1344">
        <v>5.9071980000000003E-2</v>
      </c>
      <c r="S1344">
        <v>-3.0553889999999999</v>
      </c>
      <c r="T1344">
        <v>-1.5833739999999999E-2</v>
      </c>
      <c r="U1344">
        <v>0.289856</v>
      </c>
      <c r="V1344">
        <v>1.8398080000000001E-2</v>
      </c>
      <c r="W1344">
        <v>0.2119617</v>
      </c>
      <c r="X1344">
        <v>0.9771048</v>
      </c>
      <c r="Y1344">
        <v>5.3298020000000002E-2</v>
      </c>
      <c r="Z1344">
        <v>5.2727480000000005E-4</v>
      </c>
      <c r="AA1344">
        <v>0.99857850000000004</v>
      </c>
      <c r="AB1344">
        <v>39</v>
      </c>
      <c r="AC1344">
        <v>-189.0386</v>
      </c>
      <c r="AD1344">
        <v>-0.98164839999999998</v>
      </c>
      <c r="AE1344">
        <v>17.9541</v>
      </c>
      <c r="AF1344">
        <v>10.1411995828625</v>
      </c>
      <c r="AG1344">
        <v>-0.98164839999999998</v>
      </c>
      <c r="AH1344">
        <v>189.613213879949</v>
      </c>
      <c r="AI1344">
        <v>90.296200552874595</v>
      </c>
      <c r="AJ1344">
        <v>86.938531636168904</v>
      </c>
      <c r="AK1344">
        <v>189.886751619074</v>
      </c>
      <c r="AL1344">
        <v>77.762662562616995</v>
      </c>
      <c r="AM1344">
        <v>88.921295049411896</v>
      </c>
      <c r="AN1344">
        <v>1.0000000208988</v>
      </c>
    </row>
    <row r="1345" spans="1:40" x14ac:dyDescent="0.25">
      <c r="A1345" t="str">
        <f>"20190303170747055"</f>
        <v>20190303170747055</v>
      </c>
      <c r="B1345" t="str">
        <f>"1551604067043515"</f>
        <v>1551604067043515</v>
      </c>
      <c r="C1345" t="s">
        <v>40</v>
      </c>
      <c r="D1345">
        <v>4.4836729999999996</v>
      </c>
      <c r="E1345">
        <v>0.5167929</v>
      </c>
      <c r="F1345" t="s">
        <v>43</v>
      </c>
      <c r="G1345">
        <v>-434.8639</v>
      </c>
      <c r="H1345">
        <v>7.9986290000000002E-2</v>
      </c>
      <c r="I1345">
        <v>302.14389999999997</v>
      </c>
      <c r="J1345">
        <v>-252.22540000000001</v>
      </c>
      <c r="K1345">
        <v>1.121116</v>
      </c>
      <c r="L1345">
        <v>285.00150000000002</v>
      </c>
      <c r="M1345">
        <v>-0.9991314</v>
      </c>
      <c r="N1345">
        <v>-9.1625839999999997E-3</v>
      </c>
      <c r="O1345">
        <v>4.0655289999999997E-2</v>
      </c>
      <c r="P1345">
        <v>-0.97748880000000005</v>
      </c>
      <c r="Q1345">
        <v>0.20354839999999999</v>
      </c>
      <c r="R1345">
        <v>5.5533890000000002E-2</v>
      </c>
      <c r="S1345">
        <v>-3.0558619999999999</v>
      </c>
      <c r="T1345">
        <v>-1.738191E-2</v>
      </c>
      <c r="U1345">
        <v>0.28646850000000001</v>
      </c>
      <c r="V1345">
        <v>1.5432939999999999E-2</v>
      </c>
      <c r="W1345">
        <v>0.21253250000000001</v>
      </c>
      <c r="X1345">
        <v>0.97703209999999996</v>
      </c>
      <c r="Y1345">
        <v>5.2776030000000002E-2</v>
      </c>
      <c r="Z1345">
        <v>5.3346069999999897E-4</v>
      </c>
      <c r="AA1345">
        <v>0.9986062</v>
      </c>
      <c r="AB1345">
        <v>39</v>
      </c>
      <c r="AC1345">
        <v>-182.63849999999999</v>
      </c>
      <c r="AD1345">
        <v>-1.0411297100000001</v>
      </c>
      <c r="AE1345">
        <v>17.142399999999899</v>
      </c>
      <c r="AF1345">
        <v>9.7023819437369703</v>
      </c>
      <c r="AG1345">
        <v>-1.0411297100000001</v>
      </c>
      <c r="AH1345">
        <v>183.17854554293601</v>
      </c>
      <c r="AI1345">
        <v>90.325191999766702</v>
      </c>
      <c r="AJ1345">
        <v>86.968058965383506</v>
      </c>
      <c r="AK1345">
        <v>183.43827221624301</v>
      </c>
      <c r="AL1345">
        <v>77.7291951349752</v>
      </c>
      <c r="AM1345">
        <v>89.095046316845995</v>
      </c>
      <c r="AN1345">
        <v>0.99999998181185101</v>
      </c>
    </row>
    <row r="1346" spans="1:40" x14ac:dyDescent="0.25">
      <c r="A1346" t="str">
        <f>"20190303170747076"</f>
        <v>20190303170747076</v>
      </c>
      <c r="B1346" t="str">
        <f>"1551604067064011"</f>
        <v>1551604067064011</v>
      </c>
      <c r="C1346" t="s">
        <v>40</v>
      </c>
      <c r="D1346">
        <v>4.479673</v>
      </c>
      <c r="E1346">
        <v>0.48231180000000001</v>
      </c>
      <c r="F1346" t="s">
        <v>73</v>
      </c>
      <c r="G1346">
        <v>-440.87119999999999</v>
      </c>
      <c r="H1346">
        <v>0.1819519</v>
      </c>
      <c r="I1346">
        <v>301.60969999999998</v>
      </c>
      <c r="J1346">
        <v>-252.58510000000001</v>
      </c>
      <c r="K1346">
        <v>1.1211500000000001</v>
      </c>
      <c r="L1346">
        <v>285.01560000000001</v>
      </c>
      <c r="M1346">
        <v>-0.99915069999999995</v>
      </c>
      <c r="N1346">
        <v>-9.4215489999999995E-3</v>
      </c>
      <c r="O1346">
        <v>4.0114650000000002E-2</v>
      </c>
      <c r="P1346">
        <v>-0.97746169999999999</v>
      </c>
      <c r="Q1346">
        <v>0.20473530000000001</v>
      </c>
      <c r="R1346">
        <v>5.1498929999999998E-2</v>
      </c>
      <c r="S1346">
        <v>-3.0569760000000001</v>
      </c>
      <c r="T1346">
        <v>-1.5218850000000001E-2</v>
      </c>
      <c r="U1346">
        <v>0.2691345</v>
      </c>
      <c r="V1346">
        <v>1.1928660000000001E-2</v>
      </c>
      <c r="W1346">
        <v>0.21396509999999999</v>
      </c>
      <c r="X1346">
        <v>0.97676850000000004</v>
      </c>
      <c r="Y1346">
        <v>4.7666470000000002E-2</v>
      </c>
      <c r="Z1346">
        <v>5.2168379999999995E-4</v>
      </c>
      <c r="AA1346">
        <v>0.99886319999999995</v>
      </c>
      <c r="AB1346">
        <v>39</v>
      </c>
      <c r="AC1346">
        <v>-188.2861</v>
      </c>
      <c r="AD1346">
        <v>-0.93919809999999904</v>
      </c>
      <c r="AE1346">
        <v>16.594099999999901</v>
      </c>
      <c r="AF1346">
        <v>9.0271530947398695</v>
      </c>
      <c r="AG1346">
        <v>-0.93919809999999904</v>
      </c>
      <c r="AH1346">
        <v>188.795566669919</v>
      </c>
      <c r="AI1346">
        <v>90.284700737215402</v>
      </c>
      <c r="AJ1346">
        <v>87.262519642929206</v>
      </c>
      <c r="AK1346">
        <v>189.013590993565</v>
      </c>
      <c r="AL1346">
        <v>77.645181286625998</v>
      </c>
      <c r="AM1346">
        <v>89.300317425615205</v>
      </c>
      <c r="AN1346">
        <v>1.0000000297698199</v>
      </c>
    </row>
    <row r="1347" spans="1:40" x14ac:dyDescent="0.25">
      <c r="A1347" t="str">
        <f>"20190303170747098"</f>
        <v>20190303170747098</v>
      </c>
      <c r="B1347" t="str">
        <f>"1551604067093798"</f>
        <v>1551604067093798</v>
      </c>
      <c r="C1347" t="s">
        <v>40</v>
      </c>
      <c r="D1347">
        <v>4.4352369999999999</v>
      </c>
      <c r="E1347">
        <v>0.47764329999999999</v>
      </c>
      <c r="F1347" t="s">
        <v>45</v>
      </c>
      <c r="G1347">
        <v>0</v>
      </c>
      <c r="H1347">
        <v>0</v>
      </c>
      <c r="I1347">
        <v>0</v>
      </c>
      <c r="J1347">
        <v>-252.97800000000001</v>
      </c>
      <c r="K1347">
        <v>1.1211899999999999</v>
      </c>
      <c r="L1347">
        <v>285.0308</v>
      </c>
      <c r="M1347">
        <v>-0.99917160000000005</v>
      </c>
      <c r="N1347">
        <v>-9.7085220000000007E-3</v>
      </c>
      <c r="O1347">
        <v>3.952195E-2</v>
      </c>
      <c r="P1347">
        <v>-0.97756710000000002</v>
      </c>
      <c r="Q1347">
        <v>0.20489850000000001</v>
      </c>
      <c r="R1347">
        <v>4.8780249999999997E-2</v>
      </c>
      <c r="S1347">
        <v>-3.0630489999999999</v>
      </c>
      <c r="T1347">
        <v>3.3306120000000002E-2</v>
      </c>
      <c r="U1347">
        <v>-1.6571039999999999E-2</v>
      </c>
      <c r="V1347">
        <v>9.7865910000000007E-3</v>
      </c>
      <c r="W1347">
        <v>0.21440529999999999</v>
      </c>
      <c r="X1347">
        <v>0.9766958</v>
      </c>
      <c r="Y1347">
        <v>-4.4920250000000002E-2</v>
      </c>
      <c r="Z1347">
        <v>8.3955309999999997E-4</v>
      </c>
      <c r="AA1347">
        <v>0.99899020000000005</v>
      </c>
      <c r="AB1347">
        <v>39</v>
      </c>
      <c r="AC1347">
        <v>-3.0630489999999999</v>
      </c>
      <c r="AD1347">
        <v>3.3306120000000002E-2</v>
      </c>
      <c r="AE1347">
        <v>-1.6571039999999999E-2</v>
      </c>
      <c r="AF1347">
        <v>-0.13760519017487</v>
      </c>
      <c r="AG1347">
        <v>3.3306120000000002E-2</v>
      </c>
      <c r="AH1347">
        <v>3.0596389305831901</v>
      </c>
      <c r="AI1347">
        <v>89.376953300061899</v>
      </c>
      <c r="AJ1347">
        <v>92.575103630071794</v>
      </c>
      <c r="AK1347">
        <v>3.0629128083464598</v>
      </c>
      <c r="AL1347">
        <v>77.619360690788895</v>
      </c>
      <c r="AM1347">
        <v>89.425909689567206</v>
      </c>
      <c r="AN1347">
        <v>1.0000000478845601</v>
      </c>
    </row>
    <row r="1348" spans="1:40" x14ac:dyDescent="0.25">
      <c r="A1348" t="str">
        <f>"20190303170747122"</f>
        <v>20190303170747122</v>
      </c>
      <c r="B1348" t="str">
        <f>"1551604067113318"</f>
        <v>1551604067113318</v>
      </c>
      <c r="C1348" t="s">
        <v>40</v>
      </c>
      <c r="D1348">
        <v>4.388115</v>
      </c>
      <c r="E1348">
        <v>0.47602899999999998</v>
      </c>
      <c r="F1348" t="s">
        <v>70</v>
      </c>
      <c r="G1348">
        <v>-551.0634</v>
      </c>
      <c r="H1348">
        <v>4.6334269999999904</v>
      </c>
      <c r="I1348">
        <v>278.91559999999998</v>
      </c>
      <c r="J1348">
        <v>-253.37950000000001</v>
      </c>
      <c r="K1348">
        <v>1.1212359999999999</v>
      </c>
      <c r="L1348">
        <v>285.04610000000002</v>
      </c>
      <c r="M1348">
        <v>-0.99919239999999998</v>
      </c>
      <c r="N1348">
        <v>-1.001429E-2</v>
      </c>
      <c r="O1348">
        <v>3.8914949999999997E-2</v>
      </c>
      <c r="P1348">
        <v>-0.97781260000000003</v>
      </c>
      <c r="Q1348">
        <v>0.20402219999999999</v>
      </c>
      <c r="R1348">
        <v>4.7513970000000003E-2</v>
      </c>
      <c r="S1348">
        <v>-3.0644070000000001</v>
      </c>
      <c r="T1348">
        <v>3.610766E-2</v>
      </c>
      <c r="U1348">
        <v>-6.2866210000000006E-2</v>
      </c>
      <c r="V1348">
        <v>9.1050190000000007E-3</v>
      </c>
      <c r="W1348">
        <v>0.21382909999999999</v>
      </c>
      <c r="X1348">
        <v>0.97682860000000005</v>
      </c>
      <c r="Y1348">
        <v>-5.9393969999999997E-2</v>
      </c>
      <c r="Z1348">
        <v>9.0054429999999997E-4</v>
      </c>
      <c r="AA1348">
        <v>0.99823419999999896</v>
      </c>
      <c r="AB1348">
        <v>39</v>
      </c>
      <c r="AC1348">
        <v>-297.68389999999999</v>
      </c>
      <c r="AD1348">
        <v>3.5121909999999898</v>
      </c>
      <c r="AE1348">
        <v>-6.1305000000000396</v>
      </c>
      <c r="AF1348">
        <v>-17.7083262091592</v>
      </c>
      <c r="AG1348">
        <v>3.5121909999999898</v>
      </c>
      <c r="AH1348">
        <v>297.17845936292798</v>
      </c>
      <c r="AI1348">
        <v>89.324082620482301</v>
      </c>
      <c r="AJ1348">
        <v>93.4101193912295</v>
      </c>
      <c r="AK1348">
        <v>297.72631226022702</v>
      </c>
      <c r="AL1348">
        <v>77.653157121084206</v>
      </c>
      <c r="AM1348">
        <v>89.465961527062504</v>
      </c>
      <c r="AN1348">
        <v>0.99999994957787897</v>
      </c>
    </row>
    <row r="1349" spans="1:40" x14ac:dyDescent="0.25">
      <c r="A1349" t="str">
        <f>"20190303170747146"</f>
        <v>20190303170747146</v>
      </c>
      <c r="B1349" t="str">
        <f>"1551604067133813"</f>
        <v>1551604067133813</v>
      </c>
      <c r="C1349" t="s">
        <v>40</v>
      </c>
      <c r="D1349">
        <v>4.3904079999999999</v>
      </c>
      <c r="E1349">
        <v>0.47533619999999999</v>
      </c>
      <c r="F1349" t="s">
        <v>70</v>
      </c>
      <c r="G1349">
        <v>-511.9599</v>
      </c>
      <c r="H1349">
        <v>3.785269</v>
      </c>
      <c r="I1349">
        <v>278.3039</v>
      </c>
      <c r="J1349">
        <v>-253.80279999999999</v>
      </c>
      <c r="K1349">
        <v>1.1212789999999999</v>
      </c>
      <c r="L1349">
        <v>285.06200000000001</v>
      </c>
      <c r="M1349">
        <v>-0.99921349999999998</v>
      </c>
      <c r="N1349">
        <v>-1.0351000000000001E-2</v>
      </c>
      <c r="O1349">
        <v>3.8279819999999999E-2</v>
      </c>
      <c r="P1349">
        <v>-0.97799570000000002</v>
      </c>
      <c r="Q1349">
        <v>0.20320250000000001</v>
      </c>
      <c r="R1349">
        <v>4.7257519999999997E-2</v>
      </c>
      <c r="S1349">
        <v>-3.0653229999999998</v>
      </c>
      <c r="T1349">
        <v>3.1581520000000002E-2</v>
      </c>
      <c r="U1349">
        <v>-7.9925540000000003E-2</v>
      </c>
      <c r="V1349">
        <v>9.4624340000000005E-3</v>
      </c>
      <c r="W1349">
        <v>0.2133409</v>
      </c>
      <c r="X1349">
        <v>0.97693200000000002</v>
      </c>
      <c r="Y1349">
        <v>-6.4306859999999993E-2</v>
      </c>
      <c r="Z1349">
        <v>7.8879089999999905E-4</v>
      </c>
      <c r="AA1349">
        <v>0.99792990000000004</v>
      </c>
      <c r="AB1349">
        <v>39</v>
      </c>
      <c r="AC1349">
        <v>-258.15710000000001</v>
      </c>
      <c r="AD1349">
        <v>2.6639900000000001</v>
      </c>
      <c r="AE1349">
        <v>-6.7581000000000104</v>
      </c>
      <c r="AF1349">
        <v>-16.634112318232901</v>
      </c>
      <c r="AG1349">
        <v>2.6639900000000001</v>
      </c>
      <c r="AH1349">
        <v>257.68173214889902</v>
      </c>
      <c r="AI1349">
        <v>89.408910569324902</v>
      </c>
      <c r="AJ1349">
        <v>93.693486113819702</v>
      </c>
      <c r="AK1349">
        <v>258.23180597787001</v>
      </c>
      <c r="AL1349">
        <v>77.681790325176806</v>
      </c>
      <c r="AM1349">
        <v>89.445058019678498</v>
      </c>
      <c r="AN1349">
        <v>1.0000000049469999</v>
      </c>
    </row>
    <row r="1350" spans="1:40" x14ac:dyDescent="0.25">
      <c r="A1350" t="str">
        <f>"20190303170747167"</f>
        <v>20190303170747167</v>
      </c>
      <c r="B1350" t="str">
        <f>"1551604067164069"</f>
        <v>1551604067164069</v>
      </c>
      <c r="C1350" t="s">
        <v>40</v>
      </c>
      <c r="D1350">
        <v>4.3850150000000001</v>
      </c>
      <c r="E1350">
        <v>0.4758077</v>
      </c>
      <c r="F1350" t="s">
        <v>70</v>
      </c>
      <c r="G1350">
        <v>-511.95979999999997</v>
      </c>
      <c r="H1350">
        <v>3.6849129999999999</v>
      </c>
      <c r="I1350">
        <v>277.82459999999998</v>
      </c>
      <c r="J1350">
        <v>-254.17</v>
      </c>
      <c r="K1350">
        <v>1.1213169999999999</v>
      </c>
      <c r="L1350">
        <v>285.07560000000001</v>
      </c>
      <c r="M1350">
        <v>-0.99923090000000003</v>
      </c>
      <c r="N1350">
        <v>-1.0654769999999999E-2</v>
      </c>
      <c r="O1350">
        <v>3.7735419999999999E-2</v>
      </c>
      <c r="P1350">
        <v>-0.97796360000000004</v>
      </c>
      <c r="Q1350">
        <v>0.20316719999999999</v>
      </c>
      <c r="R1350">
        <v>4.8063370000000001E-2</v>
      </c>
      <c r="S1350">
        <v>-3.065369</v>
      </c>
      <c r="T1350">
        <v>3.0441639999999999E-2</v>
      </c>
      <c r="U1350">
        <v>-8.59375E-2</v>
      </c>
      <c r="V1350">
        <v>1.080179E-2</v>
      </c>
      <c r="W1350">
        <v>0.21360409999999999</v>
      </c>
      <c r="X1350">
        <v>0.97686059999999997</v>
      </c>
      <c r="Y1350">
        <v>-6.5718990000000005E-2</v>
      </c>
      <c r="Z1350">
        <v>7.5269789999999996E-4</v>
      </c>
      <c r="AA1350">
        <v>0.99783790000000006</v>
      </c>
      <c r="AB1350">
        <v>39</v>
      </c>
      <c r="AC1350">
        <v>-257.78980000000001</v>
      </c>
      <c r="AD1350">
        <v>2.563596</v>
      </c>
      <c r="AE1350">
        <v>-7.2510000000000296</v>
      </c>
      <c r="AF1350">
        <v>-16.972517042847901</v>
      </c>
      <c r="AG1350">
        <v>2.563596</v>
      </c>
      <c r="AH1350">
        <v>257.30711134626802</v>
      </c>
      <c r="AI1350">
        <v>89.4304086787199</v>
      </c>
      <c r="AJ1350">
        <v>93.773882806286693</v>
      </c>
      <c r="AK1350">
        <v>257.879017968857</v>
      </c>
      <c r="AL1350">
        <v>77.666354336495701</v>
      </c>
      <c r="AM1350">
        <v>89.366468710592102</v>
      </c>
      <c r="AN1350">
        <v>1.0000000110181799</v>
      </c>
    </row>
    <row r="1351" spans="1:40" x14ac:dyDescent="0.25">
      <c r="A1351" t="str">
        <f>"20190303170747199"</f>
        <v>20190303170747199</v>
      </c>
      <c r="B1351" t="str">
        <f>"1551604067193858"</f>
        <v>1551604067193858</v>
      </c>
      <c r="C1351" t="s">
        <v>40</v>
      </c>
      <c r="D1351">
        <v>4.346902</v>
      </c>
      <c r="E1351">
        <v>0.4763695</v>
      </c>
      <c r="F1351" t="s">
        <v>70</v>
      </c>
      <c r="G1351">
        <v>-511.9597</v>
      </c>
      <c r="H1351">
        <v>3.4299569999999999</v>
      </c>
      <c r="I1351">
        <v>278.37299999999999</v>
      </c>
      <c r="J1351">
        <v>-254.72499999999999</v>
      </c>
      <c r="K1351">
        <v>1.121381</v>
      </c>
      <c r="L1351">
        <v>285.09559999999999</v>
      </c>
      <c r="M1351">
        <v>-0.99925660000000005</v>
      </c>
      <c r="N1351">
        <v>-1.1132929999999999E-2</v>
      </c>
      <c r="O1351">
        <v>3.6912779999999999E-2</v>
      </c>
      <c r="P1351">
        <v>-0.97769779999999995</v>
      </c>
      <c r="Q1351">
        <v>0.20397709999999999</v>
      </c>
      <c r="R1351">
        <v>5.000686E-2</v>
      </c>
      <c r="S1351">
        <v>-3.0658259999999999</v>
      </c>
      <c r="T1351">
        <v>2.7456999999999999E-2</v>
      </c>
      <c r="U1351">
        <v>-7.9711909999999997E-2</v>
      </c>
      <c r="V1351">
        <v>1.356242E-2</v>
      </c>
      <c r="W1351">
        <v>0.21488260000000001</v>
      </c>
      <c r="X1351">
        <v>0.97654569999999996</v>
      </c>
      <c r="Y1351">
        <v>-6.2869410000000001E-2</v>
      </c>
      <c r="Z1351">
        <v>6.728398E-4</v>
      </c>
      <c r="AA1351">
        <v>0.99802150000000001</v>
      </c>
      <c r="AB1351">
        <v>39</v>
      </c>
      <c r="AC1351">
        <v>-257.23469999999998</v>
      </c>
      <c r="AD1351">
        <v>2.308576</v>
      </c>
      <c r="AE1351">
        <v>-6.7225999999999999</v>
      </c>
      <c r="AF1351">
        <v>-16.2125481976821</v>
      </c>
      <c r="AG1351">
        <v>2.308576</v>
      </c>
      <c r="AH1351">
        <v>256.790536734216</v>
      </c>
      <c r="AI1351">
        <v>89.485941792359895</v>
      </c>
      <c r="AJ1351">
        <v>93.612591449214406</v>
      </c>
      <c r="AK1351">
        <v>257.312176156622</v>
      </c>
      <c r="AL1351">
        <v>77.591360045237096</v>
      </c>
      <c r="AM1351">
        <v>89.204318373275399</v>
      </c>
      <c r="AN1351">
        <v>0.99999998760375297</v>
      </c>
    </row>
    <row r="1352" spans="1:40" x14ac:dyDescent="0.25">
      <c r="A1352" t="str">
        <f>"20190303170747222"</f>
        <v>20190303170747222</v>
      </c>
      <c r="B1352" t="str">
        <f>"1551604067213378"</f>
        <v>1551604067213378</v>
      </c>
      <c r="C1352" t="s">
        <v>40</v>
      </c>
      <c r="D1352">
        <v>4.2698869999999998</v>
      </c>
      <c r="E1352">
        <v>0.4768037</v>
      </c>
      <c r="F1352" t="s">
        <v>70</v>
      </c>
      <c r="G1352">
        <v>-511.95979999999997</v>
      </c>
      <c r="H1352">
        <v>3.5724450000000001</v>
      </c>
      <c r="I1352">
        <v>279.25510000000003</v>
      </c>
      <c r="J1352">
        <v>-255.12450000000001</v>
      </c>
      <c r="K1352">
        <v>1.1214139999999999</v>
      </c>
      <c r="L1352">
        <v>285.10980000000001</v>
      </c>
      <c r="M1352">
        <v>-0.99927460000000001</v>
      </c>
      <c r="N1352">
        <v>-1.1469989999999999E-2</v>
      </c>
      <c r="O1352">
        <v>3.631533E-2</v>
      </c>
      <c r="P1352">
        <v>-0.97780100000000003</v>
      </c>
      <c r="Q1352">
        <v>0.2033932</v>
      </c>
      <c r="R1352">
        <v>5.0362490000000003E-2</v>
      </c>
      <c r="S1352">
        <v>-3.065887</v>
      </c>
      <c r="T1352">
        <v>2.9214259999999999E-2</v>
      </c>
      <c r="U1352">
        <v>-6.9610599999999995E-2</v>
      </c>
      <c r="V1352">
        <v>1.450422E-2</v>
      </c>
      <c r="W1352">
        <v>0.21463019999999999</v>
      </c>
      <c r="X1352">
        <v>0.97658769999999995</v>
      </c>
      <c r="Y1352">
        <v>-5.8984950000000001E-2</v>
      </c>
      <c r="Z1352">
        <v>7.0512350000000005E-4</v>
      </c>
      <c r="AA1352">
        <v>0.99825870000000005</v>
      </c>
      <c r="AB1352">
        <v>39</v>
      </c>
      <c r="AC1352">
        <v>-256.83530000000002</v>
      </c>
      <c r="AD1352">
        <v>2.4510309999999902</v>
      </c>
      <c r="AE1352">
        <v>-5.8546999999999798</v>
      </c>
      <c r="AF1352">
        <v>-15.177127968411501</v>
      </c>
      <c r="AG1352">
        <v>2.4510309999999902</v>
      </c>
      <c r="AH1352">
        <v>256.42989326364602</v>
      </c>
      <c r="AI1352">
        <v>89.453323676360199</v>
      </c>
      <c r="AJ1352">
        <v>93.3871718524735</v>
      </c>
      <c r="AK1352">
        <v>256.89033248749797</v>
      </c>
      <c r="AL1352">
        <v>77.606167331766898</v>
      </c>
      <c r="AM1352">
        <v>89.149109192868096</v>
      </c>
      <c r="AN1352">
        <v>1.0000000154705599</v>
      </c>
    </row>
    <row r="1353" spans="1:40" x14ac:dyDescent="0.25">
      <c r="A1353" t="str">
        <f>"20190303170747244"</f>
        <v>20190303170747244</v>
      </c>
      <c r="B1353" t="str">
        <f>"1551604067233874"</f>
        <v>1551604067233874</v>
      </c>
      <c r="C1353" t="s">
        <v>40</v>
      </c>
      <c r="D1353">
        <v>4.2443759999999999</v>
      </c>
      <c r="E1353">
        <v>0.47723189999999999</v>
      </c>
      <c r="F1353" t="s">
        <v>70</v>
      </c>
      <c r="G1353">
        <v>-551.06309999999996</v>
      </c>
      <c r="H1353">
        <v>3.7539419999999999</v>
      </c>
      <c r="I1353">
        <v>278.77330000000001</v>
      </c>
      <c r="J1353">
        <v>-255.5068</v>
      </c>
      <c r="K1353">
        <v>1.121445</v>
      </c>
      <c r="L1353">
        <v>285.1232</v>
      </c>
      <c r="M1353">
        <v>-0.9992917</v>
      </c>
      <c r="N1353">
        <v>-1.177837E-2</v>
      </c>
      <c r="O1353">
        <v>3.5741710000000003E-2</v>
      </c>
      <c r="P1353">
        <v>-0.97787250000000003</v>
      </c>
      <c r="Q1353">
        <v>0.20306589999999999</v>
      </c>
      <c r="R1353">
        <v>5.029923E-2</v>
      </c>
      <c r="S1353">
        <v>-3.0658259999999999</v>
      </c>
      <c r="T1353">
        <v>2.7272939999999999E-2</v>
      </c>
      <c r="U1353">
        <v>-6.5643309999999996E-2</v>
      </c>
      <c r="V1353">
        <v>1.500432E-2</v>
      </c>
      <c r="W1353">
        <v>0.21460509999999999</v>
      </c>
      <c r="X1353">
        <v>0.97658560000000005</v>
      </c>
      <c r="Y1353">
        <v>-5.71218E-2</v>
      </c>
      <c r="Z1353">
        <v>6.564292E-4</v>
      </c>
      <c r="AA1353">
        <v>0.998367</v>
      </c>
      <c r="AB1353">
        <v>39</v>
      </c>
      <c r="AC1353">
        <v>-295.55630000000002</v>
      </c>
      <c r="AD1353">
        <v>2.6324969999999999</v>
      </c>
      <c r="AE1353">
        <v>-6.3498999999999901</v>
      </c>
      <c r="AF1353">
        <v>-16.908921270646101</v>
      </c>
      <c r="AG1353">
        <v>2.6324969999999999</v>
      </c>
      <c r="AH1353">
        <v>295.117057535931</v>
      </c>
      <c r="AI1353">
        <v>89.489761713973493</v>
      </c>
      <c r="AJ1353">
        <v>93.279213282287898</v>
      </c>
      <c r="AK1353">
        <v>295.61278610313502</v>
      </c>
      <c r="AL1353">
        <v>77.607639021930297</v>
      </c>
      <c r="AM1353">
        <v>89.119773447429793</v>
      </c>
      <c r="AN1353">
        <v>0.99999995634601502</v>
      </c>
    </row>
    <row r="1354" spans="1:40" x14ac:dyDescent="0.25">
      <c r="A1354" t="str">
        <f>"20190303170747265"</f>
        <v>20190303170747265</v>
      </c>
      <c r="B1354" t="str">
        <f>"1551604067253398"</f>
        <v>1551604067253398</v>
      </c>
      <c r="C1354" t="s">
        <v>40</v>
      </c>
      <c r="D1354">
        <v>4.2418009999999997</v>
      </c>
      <c r="E1354">
        <v>0.47754560000000001</v>
      </c>
      <c r="F1354" t="s">
        <v>70</v>
      </c>
      <c r="G1354">
        <v>-551.06299999999999</v>
      </c>
      <c r="H1354">
        <v>3.6824910000000002</v>
      </c>
      <c r="I1354">
        <v>279.12389999999999</v>
      </c>
      <c r="J1354">
        <v>-255.8751</v>
      </c>
      <c r="K1354">
        <v>1.1214729999999999</v>
      </c>
      <c r="L1354">
        <v>285.13580000000002</v>
      </c>
      <c r="M1354">
        <v>-0.99930759999999996</v>
      </c>
      <c r="N1354">
        <v>-1.206978E-2</v>
      </c>
      <c r="O1354">
        <v>3.5192380000000002E-2</v>
      </c>
      <c r="P1354">
        <v>-0.97796609999999995</v>
      </c>
      <c r="Q1354">
        <v>0.20275969999999999</v>
      </c>
      <c r="R1354">
        <v>4.9708389999999998E-2</v>
      </c>
      <c r="S1354">
        <v>-3.0655519999999998</v>
      </c>
      <c r="T1354">
        <v>2.6564359999999999E-2</v>
      </c>
      <c r="U1354">
        <v>-6.2225339999999997E-2</v>
      </c>
      <c r="V1354">
        <v>1.495077E-2</v>
      </c>
      <c r="W1354">
        <v>0.21458459999999999</v>
      </c>
      <c r="X1354">
        <v>0.97659099999999999</v>
      </c>
      <c r="Y1354">
        <v>-5.5462459999999998E-2</v>
      </c>
      <c r="Z1354">
        <v>6.3516539999999995E-4</v>
      </c>
      <c r="AA1354">
        <v>0.99846060000000003</v>
      </c>
      <c r="AB1354">
        <v>39</v>
      </c>
      <c r="AC1354">
        <v>-295.18790000000001</v>
      </c>
      <c r="AD1354">
        <v>2.5610179999999998</v>
      </c>
      <c r="AE1354">
        <v>-6.0119000000000202</v>
      </c>
      <c r="AF1354">
        <v>-16.396064016593499</v>
      </c>
      <c r="AG1354">
        <v>2.5610179999999998</v>
      </c>
      <c r="AH1354">
        <v>294.77125400332898</v>
      </c>
      <c r="AI1354">
        <v>89.502986206107195</v>
      </c>
      <c r="AJ1354">
        <v>93.183682992513297</v>
      </c>
      <c r="AK1354">
        <v>295.23800892691298</v>
      </c>
      <c r="AL1354">
        <v>77.608842512335102</v>
      </c>
      <c r="AM1354">
        <v>89.122919308868802</v>
      </c>
      <c r="AN1354">
        <v>1.0000000286808699</v>
      </c>
    </row>
    <row r="1355" spans="1:40" x14ac:dyDescent="0.25">
      <c r="A1355" t="str">
        <f>"20190303170747288"</f>
        <v>20190303170747288</v>
      </c>
      <c r="B1355" t="str">
        <f>"1551604067283927"</f>
        <v>1551604067283927</v>
      </c>
      <c r="C1355" t="s">
        <v>40</v>
      </c>
      <c r="D1355">
        <v>4.213978</v>
      </c>
      <c r="E1355">
        <v>0.47769709999999899</v>
      </c>
      <c r="F1355" t="s">
        <v>70</v>
      </c>
      <c r="G1355">
        <v>-551.06299999999999</v>
      </c>
      <c r="H1355">
        <v>3.6037599999999999</v>
      </c>
      <c r="I1355">
        <v>279.1995</v>
      </c>
      <c r="J1355">
        <v>-256.27820000000003</v>
      </c>
      <c r="K1355">
        <v>1.121505</v>
      </c>
      <c r="L1355">
        <v>285.14940000000001</v>
      </c>
      <c r="M1355">
        <v>-0.99932469999999995</v>
      </c>
      <c r="N1355">
        <v>-1.238643E-2</v>
      </c>
      <c r="O1355">
        <v>3.4595840000000003E-2</v>
      </c>
      <c r="P1355">
        <v>-0.97783359999999997</v>
      </c>
      <c r="Q1355">
        <v>0.20349880000000001</v>
      </c>
      <c r="R1355">
        <v>4.9292179999999998E-2</v>
      </c>
      <c r="S1355">
        <v>-3.065369</v>
      </c>
      <c r="T1355">
        <v>2.5778059999999998E-2</v>
      </c>
      <c r="U1355">
        <v>-6.1645510000000001E-2</v>
      </c>
      <c r="V1355">
        <v>1.512351E-2</v>
      </c>
      <c r="W1355">
        <v>0.21563089999999999</v>
      </c>
      <c r="X1355">
        <v>0.97635780000000005</v>
      </c>
      <c r="Y1355">
        <v>-5.4679140000000001E-2</v>
      </c>
      <c r="Z1355">
        <v>6.1057859999999995E-4</v>
      </c>
      <c r="AA1355">
        <v>0.99850380000000005</v>
      </c>
      <c r="AB1355">
        <v>39</v>
      </c>
      <c r="AC1355">
        <v>-294.78480000000002</v>
      </c>
      <c r="AD1355">
        <v>2.4822549999999999</v>
      </c>
      <c r="AE1355">
        <v>-5.9499000000000102</v>
      </c>
      <c r="AF1355">
        <v>-16.144302915444101</v>
      </c>
      <c r="AG1355">
        <v>2.4822549999999999</v>
      </c>
      <c r="AH1355">
        <v>294.38158779834799</v>
      </c>
      <c r="AI1355">
        <v>89.517612535232004</v>
      </c>
      <c r="AJ1355">
        <v>93.139037190272305</v>
      </c>
      <c r="AK1355">
        <v>294.83439307717703</v>
      </c>
      <c r="AL1355">
        <v>77.547456298832401</v>
      </c>
      <c r="AM1355">
        <v>89.112575325221599</v>
      </c>
      <c r="AN1355">
        <v>0.99999997960518505</v>
      </c>
    </row>
    <row r="1356" spans="1:40" x14ac:dyDescent="0.25">
      <c r="A1356" t="str">
        <f>"20190303170747311"</f>
        <v>20190303170747311</v>
      </c>
      <c r="B1356" t="str">
        <f>"1551604067303447"</f>
        <v>1551604067303447</v>
      </c>
      <c r="C1356" t="s">
        <v>40</v>
      </c>
      <c r="D1356">
        <v>4.2028939999999997</v>
      </c>
      <c r="E1356">
        <v>0.47759770000000001</v>
      </c>
      <c r="F1356" t="s">
        <v>70</v>
      </c>
      <c r="G1356">
        <v>-551.06320000000005</v>
      </c>
      <c r="H1356">
        <v>3.9689939999999999</v>
      </c>
      <c r="I1356">
        <v>279.19690000000003</v>
      </c>
      <c r="J1356">
        <v>-256.66309999999999</v>
      </c>
      <c r="K1356">
        <v>1.1215379999999999</v>
      </c>
      <c r="L1356">
        <v>285.16219999999998</v>
      </c>
      <c r="M1356">
        <v>-0.99934049999999996</v>
      </c>
      <c r="N1356">
        <v>-1.2678969999999999E-2</v>
      </c>
      <c r="O1356">
        <v>3.40279E-2</v>
      </c>
      <c r="P1356">
        <v>-0.97801179999999999</v>
      </c>
      <c r="Q1356">
        <v>0.2027977</v>
      </c>
      <c r="R1356">
        <v>4.8640990000000002E-2</v>
      </c>
      <c r="S1356">
        <v>-3.064972</v>
      </c>
      <c r="T1356">
        <v>2.9607060000000001E-2</v>
      </c>
      <c r="U1356">
        <v>-6.1889649999999997E-2</v>
      </c>
      <c r="V1356">
        <v>1.502439E-2</v>
      </c>
      <c r="W1356">
        <v>0.21521699999999999</v>
      </c>
      <c r="X1356">
        <v>0.9764507</v>
      </c>
      <c r="Y1356">
        <v>-5.4192770000000001E-2</v>
      </c>
      <c r="Z1356">
        <v>6.7816969999999997E-4</v>
      </c>
      <c r="AA1356">
        <v>0.99853029999999998</v>
      </c>
      <c r="AB1356">
        <v>39</v>
      </c>
      <c r="AC1356">
        <v>-294.40010000000001</v>
      </c>
      <c r="AD1356">
        <v>2.8474560000000002</v>
      </c>
      <c r="AE1356">
        <v>-5.9652999999999503</v>
      </c>
      <c r="AF1356">
        <v>-15.9789726665387</v>
      </c>
      <c r="AG1356">
        <v>2.8474560000000002</v>
      </c>
      <c r="AH1356">
        <v>293.99908567807302</v>
      </c>
      <c r="AI1356">
        <v>89.445910863881807</v>
      </c>
      <c r="AJ1356">
        <v>93.1109886184895</v>
      </c>
      <c r="AK1356">
        <v>294.44676590632201</v>
      </c>
      <c r="AL1356">
        <v>77.571741846988701</v>
      </c>
      <c r="AM1356">
        <v>89.118474479288295</v>
      </c>
      <c r="AN1356">
        <v>1.00000002945718</v>
      </c>
    </row>
    <row r="1357" spans="1:40" x14ac:dyDescent="0.25">
      <c r="A1357" t="str">
        <f>"20190303170747334"</f>
        <v>20190303170747334</v>
      </c>
      <c r="B1357" t="str">
        <f>"1551604067323943"</f>
        <v>1551604067323943</v>
      </c>
      <c r="C1357" t="s">
        <v>40</v>
      </c>
      <c r="D1357">
        <v>4.1929220000000003</v>
      </c>
      <c r="E1357">
        <v>0.47755140000000001</v>
      </c>
      <c r="F1357" t="s">
        <v>70</v>
      </c>
      <c r="G1357">
        <v>-551.06309999999996</v>
      </c>
      <c r="H1357">
        <v>3.8416990000000002</v>
      </c>
      <c r="I1357">
        <v>278.8449</v>
      </c>
      <c r="J1357">
        <v>-257.06220000000002</v>
      </c>
      <c r="K1357">
        <v>1.1215679999999999</v>
      </c>
      <c r="L1357">
        <v>285.17520000000002</v>
      </c>
      <c r="M1357">
        <v>-0.99935669999999999</v>
      </c>
      <c r="N1357">
        <v>-1.2962059999999999E-2</v>
      </c>
      <c r="O1357">
        <v>3.3439539999999997E-2</v>
      </c>
      <c r="P1357">
        <v>-0.97828179999999998</v>
      </c>
      <c r="Q1357">
        <v>0.20169090000000001</v>
      </c>
      <c r="R1357">
        <v>4.780715E-2</v>
      </c>
      <c r="S1357">
        <v>-3.064819</v>
      </c>
      <c r="T1357">
        <v>2.8318759999999998E-2</v>
      </c>
      <c r="U1357">
        <v>-6.5765379999999998E-2</v>
      </c>
      <c r="V1357">
        <v>1.4760209999999999E-2</v>
      </c>
      <c r="W1357">
        <v>0.21438940000000001</v>
      </c>
      <c r="X1357">
        <v>0.97663670000000002</v>
      </c>
      <c r="Y1357">
        <v>-5.486858E-2</v>
      </c>
      <c r="Z1357">
        <v>6.4013410000000003E-4</v>
      </c>
      <c r="AA1357">
        <v>0.99849339999999998</v>
      </c>
      <c r="AB1357">
        <v>39</v>
      </c>
      <c r="AC1357">
        <v>-294.00089999999898</v>
      </c>
      <c r="AD1357">
        <v>2.7201309999999901</v>
      </c>
      <c r="AE1357">
        <v>-6.3303000000000198</v>
      </c>
      <c r="AF1357">
        <v>-16.157457373782599</v>
      </c>
      <c r="AG1357">
        <v>2.7201309999999901</v>
      </c>
      <c r="AH1357">
        <v>293.599628991305</v>
      </c>
      <c r="AI1357">
        <v>89.469985301185602</v>
      </c>
      <c r="AJ1357">
        <v>93.149940100735705</v>
      </c>
      <c r="AK1357">
        <v>294.05646513089101</v>
      </c>
      <c r="AL1357">
        <v>77.620292291916201</v>
      </c>
      <c r="AM1357">
        <v>89.134137231001105</v>
      </c>
      <c r="AN1357">
        <v>0.99999996120924595</v>
      </c>
    </row>
    <row r="1358" spans="1:40" x14ac:dyDescent="0.25">
      <c r="A1358" t="str">
        <f>"20190303170747357"</f>
        <v>20190303170747357</v>
      </c>
      <c r="B1358" t="str">
        <f>"1551604067343463"</f>
        <v>1551604067343463</v>
      </c>
      <c r="C1358" t="s">
        <v>40</v>
      </c>
      <c r="D1358">
        <v>4.1651339999999903</v>
      </c>
      <c r="E1358">
        <v>0.47752729999999999</v>
      </c>
      <c r="F1358" t="s">
        <v>70</v>
      </c>
      <c r="G1358">
        <v>-551.06299999999999</v>
      </c>
      <c r="H1358">
        <v>3.595574</v>
      </c>
      <c r="I1358">
        <v>278.57920000000001</v>
      </c>
      <c r="J1358">
        <v>-257.45</v>
      </c>
      <c r="K1358">
        <v>1.121594</v>
      </c>
      <c r="L1358">
        <v>285.18770000000001</v>
      </c>
      <c r="M1358">
        <v>-0.9993725</v>
      </c>
      <c r="N1358">
        <v>-1.321175E-2</v>
      </c>
      <c r="O1358">
        <v>3.2866819999999998E-2</v>
      </c>
      <c r="P1358">
        <v>-0.97846359999999999</v>
      </c>
      <c r="Q1358">
        <v>0.20098630000000001</v>
      </c>
      <c r="R1358">
        <v>4.7052579999999997E-2</v>
      </c>
      <c r="S1358">
        <v>-3.0646360000000001</v>
      </c>
      <c r="T1358">
        <v>2.5789619999999999E-2</v>
      </c>
      <c r="U1358">
        <v>-6.8756100000000001E-2</v>
      </c>
      <c r="V1358">
        <v>1.456258E-2</v>
      </c>
      <c r="W1358">
        <v>0.2139306</v>
      </c>
      <c r="X1358">
        <v>0.97674030000000001</v>
      </c>
      <c r="Y1358">
        <v>-5.5272420000000003E-2</v>
      </c>
      <c r="Z1358">
        <v>5.7807269999999905E-4</v>
      </c>
      <c r="AA1358">
        <v>0.99847109999999994</v>
      </c>
      <c r="AB1358">
        <v>39</v>
      </c>
      <c r="AC1358">
        <v>-293.613</v>
      </c>
      <c r="AD1358">
        <v>2.4739800000000001</v>
      </c>
      <c r="AE1358">
        <v>-6.6084999999999896</v>
      </c>
      <c r="AF1358">
        <v>-16.254742728730001</v>
      </c>
      <c r="AG1358">
        <v>2.4739800000000001</v>
      </c>
      <c r="AH1358">
        <v>293.216318660544</v>
      </c>
      <c r="AI1358">
        <v>89.517325780370399</v>
      </c>
      <c r="AJ1358">
        <v>93.173001685433704</v>
      </c>
      <c r="AK1358">
        <v>293.67694285908698</v>
      </c>
      <c r="AL1358">
        <v>77.647204372363404</v>
      </c>
      <c r="AM1358">
        <v>89.145819459974604</v>
      </c>
      <c r="AN1358">
        <v>0.99999999199835299</v>
      </c>
    </row>
    <row r="1359" spans="1:40" x14ac:dyDescent="0.25">
      <c r="A1359" t="str">
        <f>"20190303170747391"</f>
        <v>20190303170747391</v>
      </c>
      <c r="B1359" t="str">
        <f>"1551604067383987"</f>
        <v>1551604067383987</v>
      </c>
      <c r="C1359" t="s">
        <v>40</v>
      </c>
      <c r="D1359">
        <v>4.1554679999999999</v>
      </c>
      <c r="E1359">
        <v>0.4775665</v>
      </c>
      <c r="F1359" t="s">
        <v>70</v>
      </c>
      <c r="G1359">
        <v>-511.9597</v>
      </c>
      <c r="H1359">
        <v>3.1190289999999998</v>
      </c>
      <c r="I1359">
        <v>279.23919999999998</v>
      </c>
      <c r="J1359">
        <v>-258.03179999999998</v>
      </c>
      <c r="K1359">
        <v>1.1216140000000001</v>
      </c>
      <c r="L1359">
        <v>285.20589999999999</v>
      </c>
      <c r="M1359">
        <v>-0.99939599999999995</v>
      </c>
      <c r="N1359">
        <v>-1.3539020000000001E-2</v>
      </c>
      <c r="O1359">
        <v>3.2007569999999999E-2</v>
      </c>
      <c r="P1359">
        <v>-0.97852589999999995</v>
      </c>
      <c r="Q1359">
        <v>0.20056930000000001</v>
      </c>
      <c r="R1359">
        <v>4.7531469999999999E-2</v>
      </c>
      <c r="S1359">
        <v>-3.0645449999999999</v>
      </c>
      <c r="T1359">
        <v>2.405202E-2</v>
      </c>
      <c r="U1359">
        <v>-7.1624759999999996E-2</v>
      </c>
      <c r="V1359">
        <v>1.5881780000000002E-2</v>
      </c>
      <c r="W1359">
        <v>0.21383559999999999</v>
      </c>
      <c r="X1359">
        <v>0.97674050000000001</v>
      </c>
      <c r="Y1359">
        <v>-5.53494E-2</v>
      </c>
      <c r="Z1359">
        <v>5.2689160000000002E-4</v>
      </c>
      <c r="AA1359">
        <v>0.99846690000000005</v>
      </c>
      <c r="AB1359">
        <v>39</v>
      </c>
      <c r="AC1359">
        <v>-253.92789999999999</v>
      </c>
      <c r="AD1359">
        <v>1.9974149999999999</v>
      </c>
      <c r="AE1359">
        <v>-5.9667000000000003</v>
      </c>
      <c r="AF1359">
        <v>-14.0911302774352</v>
      </c>
      <c r="AG1359">
        <v>1.9974149999999999</v>
      </c>
      <c r="AH1359">
        <v>253.59109085603299</v>
      </c>
      <c r="AI1359">
        <v>89.549413102020495</v>
      </c>
      <c r="AJ1359">
        <v>93.180446459711206</v>
      </c>
      <c r="AK1359">
        <v>253.99013953445299</v>
      </c>
      <c r="AL1359">
        <v>77.652775880219096</v>
      </c>
      <c r="AM1359">
        <v>89.068453919822204</v>
      </c>
      <c r="AN1359">
        <v>0.99999994955178795</v>
      </c>
    </row>
    <row r="1360" spans="1:40" x14ac:dyDescent="0.25">
      <c r="A1360" t="str">
        <f>"20190303170747413"</f>
        <v>20190303170747413</v>
      </c>
      <c r="B1360" t="str">
        <f>"1551604067403507"</f>
        <v>1551604067403507</v>
      </c>
      <c r="C1360" t="s">
        <v>40</v>
      </c>
      <c r="D1360">
        <v>4.1605230000000004</v>
      </c>
      <c r="E1360">
        <v>0.47754980000000002</v>
      </c>
      <c r="F1360" t="s">
        <v>70</v>
      </c>
      <c r="G1360">
        <v>-551.06299999999999</v>
      </c>
      <c r="H1360">
        <v>3.4813619999999998</v>
      </c>
      <c r="I1360">
        <v>278.54610000000002</v>
      </c>
      <c r="J1360">
        <v>-258.42110000000002</v>
      </c>
      <c r="K1360">
        <v>1.121629</v>
      </c>
      <c r="L1360">
        <v>285.21780000000001</v>
      </c>
      <c r="M1360">
        <v>-0.99941170000000001</v>
      </c>
      <c r="N1360">
        <v>-1.372468E-2</v>
      </c>
      <c r="O1360">
        <v>3.1431359999999998E-2</v>
      </c>
      <c r="P1360">
        <v>-0.97843190000000002</v>
      </c>
      <c r="Q1360">
        <v>0.2010169</v>
      </c>
      <c r="R1360">
        <v>4.7576859999999999E-2</v>
      </c>
      <c r="S1360">
        <v>-3.064209</v>
      </c>
      <c r="T1360">
        <v>2.467656E-2</v>
      </c>
      <c r="U1360">
        <v>-6.9641110000000006E-2</v>
      </c>
      <c r="V1360">
        <v>1.649459E-2</v>
      </c>
      <c r="W1360">
        <v>0.2144644</v>
      </c>
      <c r="X1360">
        <v>0.97659249999999997</v>
      </c>
      <c r="Y1360">
        <v>-5.4130169999999998E-2</v>
      </c>
      <c r="Z1360">
        <v>5.3082919999999998E-4</v>
      </c>
      <c r="AA1360">
        <v>0.99853369999999997</v>
      </c>
      <c r="AB1360">
        <v>38</v>
      </c>
      <c r="AC1360">
        <v>-292.64190000000002</v>
      </c>
      <c r="AD1360">
        <v>2.3597329999999999</v>
      </c>
      <c r="AE1360">
        <v>-6.67169999999998</v>
      </c>
      <c r="AF1360">
        <v>-15.866371012489299</v>
      </c>
      <c r="AG1360">
        <v>2.3597329999999999</v>
      </c>
      <c r="AH1360">
        <v>292.26856808977499</v>
      </c>
      <c r="AI1360">
        <v>89.538092546714793</v>
      </c>
      <c r="AJ1360">
        <v>93.107363336635302</v>
      </c>
      <c r="AK1360">
        <v>292.70843165543602</v>
      </c>
      <c r="AL1360">
        <v>77.615893021052997</v>
      </c>
      <c r="AM1360">
        <v>89.032369652237804</v>
      </c>
      <c r="AN1360">
        <v>0.99999998071143803</v>
      </c>
    </row>
    <row r="1361" spans="1:40" x14ac:dyDescent="0.25">
      <c r="A1361" t="str">
        <f>"20190303170747437"</f>
        <v>20190303170747437</v>
      </c>
      <c r="B1361" t="str">
        <f>"1551604067424003"</f>
        <v>1551604067424003</v>
      </c>
      <c r="C1361" t="s">
        <v>40</v>
      </c>
      <c r="D1361">
        <v>4.1427849999999999</v>
      </c>
      <c r="E1361">
        <v>0.47754020000000003</v>
      </c>
      <c r="F1361" t="s">
        <v>70</v>
      </c>
      <c r="G1361">
        <v>-551.06299999999999</v>
      </c>
      <c r="H1361">
        <v>3.6891069999999999</v>
      </c>
      <c r="I1361">
        <v>278.57220000000001</v>
      </c>
      <c r="J1361">
        <v>-258.82</v>
      </c>
      <c r="K1361">
        <v>1.1216429999999999</v>
      </c>
      <c r="L1361">
        <v>285.22969999999998</v>
      </c>
      <c r="M1361">
        <v>-0.99942790000000004</v>
      </c>
      <c r="N1361">
        <v>-1.3891529999999999E-2</v>
      </c>
      <c r="O1361">
        <v>3.084056E-2</v>
      </c>
      <c r="P1361">
        <v>-0.97860610000000003</v>
      </c>
      <c r="Q1361">
        <v>0.200296</v>
      </c>
      <c r="R1361">
        <v>4.7030740000000001E-2</v>
      </c>
      <c r="S1361">
        <v>-3.0640260000000001</v>
      </c>
      <c r="T1361">
        <v>2.688289E-2</v>
      </c>
      <c r="U1361">
        <v>-6.9580080000000002E-2</v>
      </c>
      <c r="V1361">
        <v>1.652383E-2</v>
      </c>
      <c r="W1361">
        <v>0.2139083</v>
      </c>
      <c r="X1361">
        <v>0.97671399999999997</v>
      </c>
      <c r="Y1361">
        <v>-5.352092E-2</v>
      </c>
      <c r="Z1361">
        <v>5.6186589999999905E-4</v>
      </c>
      <c r="AA1361">
        <v>0.99856659999999997</v>
      </c>
      <c r="AB1361">
        <v>38</v>
      </c>
      <c r="AC1361">
        <v>-292.24299999999999</v>
      </c>
      <c r="AD1361">
        <v>2.56746399999999</v>
      </c>
      <c r="AE1361">
        <v>-6.6574999999999704</v>
      </c>
      <c r="AF1361">
        <v>-15.6669303831232</v>
      </c>
      <c r="AG1361">
        <v>2.56746399999999</v>
      </c>
      <c r="AH1361">
        <v>291.876101163192</v>
      </c>
      <c r="AI1361">
        <v>89.496739843091504</v>
      </c>
      <c r="AJ1361">
        <v>93.0724967742606</v>
      </c>
      <c r="AK1361">
        <v>292.30754866962798</v>
      </c>
      <c r="AL1361">
        <v>77.648512669630904</v>
      </c>
      <c r="AM1361">
        <v>89.030775218921804</v>
      </c>
      <c r="AN1361">
        <v>1.0000000177813699</v>
      </c>
    </row>
    <row r="1362" spans="1:40" x14ac:dyDescent="0.25">
      <c r="A1362" t="str">
        <f>"20190303170747456"</f>
        <v>20190303170747456</v>
      </c>
      <c r="B1362" t="str">
        <f>"1551604067443523"</f>
        <v>1551604067443523</v>
      </c>
      <c r="C1362" t="s">
        <v>40</v>
      </c>
      <c r="D1362">
        <v>4.1188560000000001</v>
      </c>
      <c r="E1362">
        <v>0.47753230000000002</v>
      </c>
      <c r="F1362" t="s">
        <v>70</v>
      </c>
      <c r="G1362">
        <v>-515.59630000000004</v>
      </c>
      <c r="H1362">
        <v>3.2606290000000002</v>
      </c>
      <c r="I1362">
        <v>279.27539999999999</v>
      </c>
      <c r="J1362">
        <v>-259.1481</v>
      </c>
      <c r="K1362">
        <v>1.1216469999999901</v>
      </c>
      <c r="L1362">
        <v>285.23939999999999</v>
      </c>
      <c r="M1362">
        <v>-0.99944100000000002</v>
      </c>
      <c r="N1362">
        <v>-1.4012699999999999E-2</v>
      </c>
      <c r="O1362">
        <v>3.0354470000000001E-2</v>
      </c>
      <c r="P1362">
        <v>-0.97872329999999996</v>
      </c>
      <c r="Q1362">
        <v>0.20003019999999999</v>
      </c>
      <c r="R1362">
        <v>4.5702390000000002E-2</v>
      </c>
      <c r="S1362">
        <v>-3.0637819999999998</v>
      </c>
      <c r="T1362">
        <v>2.5522710000000001E-2</v>
      </c>
      <c r="U1362">
        <v>-7.1044919999999998E-2</v>
      </c>
      <c r="V1362">
        <v>1.5669760000000001E-2</v>
      </c>
      <c r="W1362">
        <v>0.21376020000000001</v>
      </c>
      <c r="X1362">
        <v>0.97676050000000003</v>
      </c>
      <c r="Y1362">
        <v>-5.3514699999999901E-2</v>
      </c>
      <c r="Z1362">
        <v>5.2598499999999997E-4</v>
      </c>
      <c r="AA1362">
        <v>0.99856690000000004</v>
      </c>
      <c r="AB1362">
        <v>38</v>
      </c>
      <c r="AC1362">
        <v>-256.44819999999999</v>
      </c>
      <c r="AD1362">
        <v>2.1389819999999999</v>
      </c>
      <c r="AE1362">
        <v>-5.9639999999999898</v>
      </c>
      <c r="AF1362">
        <v>-13.7454088101907</v>
      </c>
      <c r="AG1362">
        <v>2.1389819999999999</v>
      </c>
      <c r="AH1362">
        <v>256.13114371775799</v>
      </c>
      <c r="AI1362">
        <v>89.522214655319203</v>
      </c>
      <c r="AJ1362">
        <v>93.071860596399205</v>
      </c>
      <c r="AK1362">
        <v>256.50862420106398</v>
      </c>
      <c r="AL1362">
        <v>77.657199112303203</v>
      </c>
      <c r="AM1362">
        <v>89.080906625188305</v>
      </c>
      <c r="AN1362">
        <v>1.0000000194213701</v>
      </c>
    </row>
    <row r="1363" spans="1:40" x14ac:dyDescent="0.25">
      <c r="A1363" t="str">
        <f>"20190303170747478"</f>
        <v>20190303170747478</v>
      </c>
      <c r="B1363" t="str">
        <f>"1551604067474286"</f>
        <v>1551604067474286</v>
      </c>
      <c r="C1363" t="s">
        <v>40</v>
      </c>
      <c r="D1363">
        <v>4.1421039999999998</v>
      </c>
      <c r="E1363">
        <v>0.47763549999999999</v>
      </c>
      <c r="F1363" t="s">
        <v>70</v>
      </c>
      <c r="G1363">
        <v>-511.9597</v>
      </c>
      <c r="H1363">
        <v>3.2693500000000002</v>
      </c>
      <c r="I1363">
        <v>278.99360000000001</v>
      </c>
      <c r="J1363">
        <v>-259.53070000000002</v>
      </c>
      <c r="K1363">
        <v>1.1216520000000001</v>
      </c>
      <c r="L1363">
        <v>285.25049999999999</v>
      </c>
      <c r="M1363">
        <v>-0.99945640000000002</v>
      </c>
      <c r="N1363">
        <v>-1.4136910000000001E-2</v>
      </c>
      <c r="O1363">
        <v>2.9787049999999999E-2</v>
      </c>
      <c r="P1363">
        <v>-0.97878069999999895</v>
      </c>
      <c r="Q1363">
        <v>0.19985030000000001</v>
      </c>
      <c r="R1363">
        <v>4.5258819999999998E-2</v>
      </c>
      <c r="S1363">
        <v>-3.0634459999999999</v>
      </c>
      <c r="T1363">
        <v>2.602577E-2</v>
      </c>
      <c r="U1363">
        <v>-7.5683589999999995E-2</v>
      </c>
      <c r="V1363">
        <v>1.57816E-2</v>
      </c>
      <c r="W1363">
        <v>0.21370239999999999</v>
      </c>
      <c r="X1363">
        <v>0.97677139999999996</v>
      </c>
      <c r="Y1363">
        <v>-5.4461500000000003E-2</v>
      </c>
      <c r="Z1363">
        <v>5.2032169999999896E-4</v>
      </c>
      <c r="AA1363">
        <v>0.99851570000000001</v>
      </c>
      <c r="AB1363">
        <v>38</v>
      </c>
      <c r="AC1363">
        <v>-252.429</v>
      </c>
      <c r="AD1363">
        <v>2.1476980000000001</v>
      </c>
      <c r="AE1363">
        <v>-6.2568999999999697</v>
      </c>
      <c r="AF1363">
        <v>-13.772992564980299</v>
      </c>
      <c r="AG1363">
        <v>2.1476980000000001</v>
      </c>
      <c r="AH1363">
        <v>252.11233468832901</v>
      </c>
      <c r="AI1363">
        <v>89.512646408616405</v>
      </c>
      <c r="AJ1363">
        <v>93.126981857272497</v>
      </c>
      <c r="AK1363">
        <v>252.497400447795</v>
      </c>
      <c r="AL1363">
        <v>77.660589793230102</v>
      </c>
      <c r="AM1363">
        <v>89.074358232115799</v>
      </c>
      <c r="AN1363">
        <v>1.0000000712611301</v>
      </c>
    </row>
    <row r="1364" spans="1:40" x14ac:dyDescent="0.25">
      <c r="A1364" t="str">
        <f>"20190303170747501"</f>
        <v>20190303170747501</v>
      </c>
      <c r="B1364" t="str">
        <f>"1551604067493806"</f>
        <v>1551604067493806</v>
      </c>
      <c r="C1364" t="s">
        <v>40</v>
      </c>
      <c r="D1364">
        <v>4.1351180000000003</v>
      </c>
      <c r="E1364">
        <v>0.4776726</v>
      </c>
      <c r="F1364" t="s">
        <v>70</v>
      </c>
      <c r="G1364">
        <v>-511.9597</v>
      </c>
      <c r="H1364">
        <v>3.1968730000000001</v>
      </c>
      <c r="I1364">
        <v>278.97390000000001</v>
      </c>
      <c r="J1364">
        <v>-259.92180000000002</v>
      </c>
      <c r="K1364">
        <v>1.121658</v>
      </c>
      <c r="L1364">
        <v>285.26159999999999</v>
      </c>
      <c r="M1364">
        <v>-0.99947180000000002</v>
      </c>
      <c r="N1364">
        <v>-1.4247360000000001E-2</v>
      </c>
      <c r="O1364">
        <v>2.9207460000000001E-2</v>
      </c>
      <c r="P1364">
        <v>-0.9787477</v>
      </c>
      <c r="Q1364">
        <v>0.2001549</v>
      </c>
      <c r="R1364">
        <v>4.461801E-2</v>
      </c>
      <c r="S1364">
        <v>-3.0634459999999999</v>
      </c>
      <c r="T1364">
        <v>2.5185590000000001E-2</v>
      </c>
      <c r="U1364">
        <v>-7.6171879999999997E-2</v>
      </c>
      <c r="V1364">
        <v>1.5710289999999998E-2</v>
      </c>
      <c r="W1364">
        <v>0.2141141</v>
      </c>
      <c r="X1364">
        <v>0.9766823</v>
      </c>
      <c r="Y1364">
        <v>-5.4041859999999997E-2</v>
      </c>
      <c r="Z1364">
        <v>4.9321140000000005E-4</v>
      </c>
      <c r="AA1364">
        <v>0.99853860000000005</v>
      </c>
      <c r="AB1364">
        <v>38</v>
      </c>
      <c r="AC1364">
        <v>-252.03790000000001</v>
      </c>
      <c r="AD1364">
        <v>2.075215</v>
      </c>
      <c r="AE1364">
        <v>-6.2876999999999699</v>
      </c>
      <c r="AF1364">
        <v>-13.6462267210383</v>
      </c>
      <c r="AG1364">
        <v>2.075215</v>
      </c>
      <c r="AH1364">
        <v>251.72962985043301</v>
      </c>
      <c r="AI1364">
        <v>89.528366780226193</v>
      </c>
      <c r="AJ1364">
        <v>93.102958711431796</v>
      </c>
      <c r="AK1364">
        <v>252.10777966110899</v>
      </c>
      <c r="AL1364">
        <v>77.636441151538094</v>
      </c>
      <c r="AM1364">
        <v>89.078456023211103</v>
      </c>
      <c r="AN1364">
        <v>0.99999998808199198</v>
      </c>
    </row>
    <row r="1365" spans="1:40" x14ac:dyDescent="0.25">
      <c r="A1365" t="str">
        <f>"20190303170747526"</f>
        <v>20190303170747526</v>
      </c>
      <c r="B1365" t="str">
        <f>"1551604067513325"</f>
        <v>1551604067513325</v>
      </c>
      <c r="C1365" t="s">
        <v>40</v>
      </c>
      <c r="D1365">
        <v>4.1296390000000001</v>
      </c>
      <c r="E1365">
        <v>0.47771160000000001</v>
      </c>
      <c r="F1365" t="s">
        <v>70</v>
      </c>
      <c r="G1365">
        <v>-511.9597</v>
      </c>
      <c r="H1365">
        <v>3.2986249999999999</v>
      </c>
      <c r="I1365">
        <v>278.80869999999999</v>
      </c>
      <c r="J1365">
        <v>-260.34930000000003</v>
      </c>
      <c r="K1365">
        <v>1.1216649999999999</v>
      </c>
      <c r="L1365">
        <v>285.27339999999998</v>
      </c>
      <c r="M1365">
        <v>-0.99948870000000001</v>
      </c>
      <c r="N1365">
        <v>-1.435145E-2</v>
      </c>
      <c r="O1365">
        <v>2.8573210000000002E-2</v>
      </c>
      <c r="P1365">
        <v>-0.97883109999999995</v>
      </c>
      <c r="Q1365">
        <v>0.199929</v>
      </c>
      <c r="R1365">
        <v>4.3799169999999998E-2</v>
      </c>
      <c r="S1365">
        <v>-3.0633240000000002</v>
      </c>
      <c r="T1365">
        <v>2.6460290000000001E-2</v>
      </c>
      <c r="U1365">
        <v>-7.8430180000000002E-2</v>
      </c>
      <c r="V1365">
        <v>1.551202E-2</v>
      </c>
      <c r="W1365">
        <v>0.21399029999999999</v>
      </c>
      <c r="X1365">
        <v>0.97671260000000004</v>
      </c>
      <c r="Y1365">
        <v>-5.4144709999999999E-2</v>
      </c>
      <c r="Z1365">
        <v>5.0196189999999997E-4</v>
      </c>
      <c r="AA1365">
        <v>0.998533</v>
      </c>
      <c r="AB1365">
        <v>38</v>
      </c>
      <c r="AC1365">
        <v>-251.6104</v>
      </c>
      <c r="AD1365">
        <v>2.1769599999999998</v>
      </c>
      <c r="AE1365">
        <v>-6.4646999999999899</v>
      </c>
      <c r="AF1365">
        <v>-13.651095791486</v>
      </c>
      <c r="AG1365">
        <v>2.1769599999999998</v>
      </c>
      <c r="AH1365">
        <v>251.30411073389601</v>
      </c>
      <c r="AI1365">
        <v>89.5044096410317</v>
      </c>
      <c r="AJ1365">
        <v>93.109309336541003</v>
      </c>
      <c r="AK1365">
        <v>251.684023416077</v>
      </c>
      <c r="AL1365">
        <v>77.643702663143003</v>
      </c>
      <c r="AM1365">
        <v>89.090112523545599</v>
      </c>
      <c r="AN1365">
        <v>0.999999987128665</v>
      </c>
    </row>
    <row r="1366" spans="1:40" x14ac:dyDescent="0.25">
      <c r="A1366" t="str">
        <f>"20190303170747546"</f>
        <v>20190303170747546</v>
      </c>
      <c r="B1366" t="str">
        <f>"1551604067533822"</f>
        <v>1551604067533822</v>
      </c>
      <c r="C1366" t="s">
        <v>40</v>
      </c>
      <c r="D1366">
        <v>4.1160119999999996</v>
      </c>
      <c r="E1366">
        <v>0.4776763</v>
      </c>
      <c r="F1366" t="s">
        <v>70</v>
      </c>
      <c r="G1366">
        <v>-511.9597</v>
      </c>
      <c r="H1366">
        <v>3.270648</v>
      </c>
      <c r="I1366">
        <v>278.65809999999999</v>
      </c>
      <c r="J1366">
        <v>-260.69209999999998</v>
      </c>
      <c r="K1366">
        <v>1.1216820000000001</v>
      </c>
      <c r="L1366">
        <v>285.28269999999998</v>
      </c>
      <c r="M1366">
        <v>-0.99950229999999995</v>
      </c>
      <c r="N1366">
        <v>-1.442275E-2</v>
      </c>
      <c r="O1366">
        <v>2.806053E-2</v>
      </c>
      <c r="P1366">
        <v>-0.97877130000000001</v>
      </c>
      <c r="Q1366">
        <v>0.20032559999999999</v>
      </c>
      <c r="R1366">
        <v>4.3323050000000002E-2</v>
      </c>
      <c r="S1366">
        <v>-3.0631409999999999</v>
      </c>
      <c r="T1366">
        <v>2.6162979999999999E-2</v>
      </c>
      <c r="U1366">
        <v>-8.0535889999999999E-2</v>
      </c>
      <c r="V1366">
        <v>1.5539580000000001E-2</v>
      </c>
      <c r="W1366">
        <v>0.2144556</v>
      </c>
      <c r="X1366">
        <v>0.97661010000000004</v>
      </c>
      <c r="Y1366">
        <v>-5.4320220000000002E-2</v>
      </c>
      <c r="Z1366">
        <v>4.8439769999999999E-4</v>
      </c>
      <c r="AA1366">
        <v>0.99852350000000001</v>
      </c>
      <c r="AB1366">
        <v>38</v>
      </c>
      <c r="AC1366">
        <v>-251.26759999999999</v>
      </c>
      <c r="AD1366">
        <v>2.1489660000000002</v>
      </c>
      <c r="AE1366">
        <v>-6.6245999999999796</v>
      </c>
      <c r="AF1366">
        <v>-13.6724260481488</v>
      </c>
      <c r="AG1366">
        <v>2.1489660000000002</v>
      </c>
      <c r="AH1366">
        <v>250.96438353619601</v>
      </c>
      <c r="AI1366">
        <v>89.510124229565605</v>
      </c>
      <c r="AJ1366">
        <v>93.118365453460001</v>
      </c>
      <c r="AK1366">
        <v>251.34572821636399</v>
      </c>
      <c r="AL1366">
        <v>77.616409290874103</v>
      </c>
      <c r="AM1366">
        <v>89.088400560417398</v>
      </c>
      <c r="AN1366">
        <v>0.99999998516997302</v>
      </c>
    </row>
    <row r="1367" spans="1:40" x14ac:dyDescent="0.25">
      <c r="A1367" t="str">
        <f>"20190303170747568"</f>
        <v>20190303170747568</v>
      </c>
      <c r="B1367" t="str">
        <f>"1551604067564077"</f>
        <v>1551604067564077</v>
      </c>
      <c r="C1367" t="s">
        <v>40</v>
      </c>
      <c r="D1367">
        <v>4.2190719999999997</v>
      </c>
      <c r="E1367">
        <v>0.45693669999999997</v>
      </c>
      <c r="F1367" t="s">
        <v>70</v>
      </c>
      <c r="G1367">
        <v>-511.9597</v>
      </c>
      <c r="H1367">
        <v>3.4126409999999998</v>
      </c>
      <c r="I1367">
        <v>278.5059</v>
      </c>
      <c r="J1367">
        <v>-261.07249999999999</v>
      </c>
      <c r="K1367">
        <v>1.1216999999999999</v>
      </c>
      <c r="L1367">
        <v>285.29289999999997</v>
      </c>
      <c r="M1367">
        <v>-0.99951730000000005</v>
      </c>
      <c r="N1367">
        <v>-1.449161E-2</v>
      </c>
      <c r="O1367">
        <v>2.7481080000000001E-2</v>
      </c>
      <c r="P1367">
        <v>-0.97864189999999995</v>
      </c>
      <c r="Q1367">
        <v>0.2010613</v>
      </c>
      <c r="R1367">
        <v>4.2831719999999997E-2</v>
      </c>
      <c r="S1367">
        <v>-3.0630190000000002</v>
      </c>
      <c r="T1367">
        <v>2.7928350000000001E-2</v>
      </c>
      <c r="U1367">
        <v>-8.2611080000000003E-2</v>
      </c>
      <c r="V1367">
        <v>1.561602E-2</v>
      </c>
      <c r="W1367">
        <v>0.21525610000000001</v>
      </c>
      <c r="X1367">
        <v>0.97643270000000004</v>
      </c>
      <c r="Y1367">
        <v>-5.4418149999999998E-2</v>
      </c>
      <c r="Z1367">
        <v>5.0234100000000001E-4</v>
      </c>
      <c r="AA1367">
        <v>0.99851809999999996</v>
      </c>
      <c r="AB1367">
        <v>38</v>
      </c>
      <c r="AC1367">
        <v>-250.88720000000001</v>
      </c>
      <c r="AD1367">
        <v>2.2909410000000001</v>
      </c>
      <c r="AE1367">
        <v>-6.7869999999999697</v>
      </c>
      <c r="AF1367">
        <v>-13.678671575416701</v>
      </c>
      <c r="AG1367">
        <v>2.2909410000000001</v>
      </c>
      <c r="AH1367">
        <v>250.585013373105</v>
      </c>
      <c r="AI1367">
        <v>89.476973973298499</v>
      </c>
      <c r="AJ1367">
        <v>93.124500913931101</v>
      </c>
      <c r="AK1367">
        <v>250.96853068449201</v>
      </c>
      <c r="AL1367">
        <v>77.569446598098295</v>
      </c>
      <c r="AM1367">
        <v>89.083750710635499</v>
      </c>
      <c r="AN1367">
        <v>0.99999993314856706</v>
      </c>
    </row>
    <row r="1368" spans="1:40" x14ac:dyDescent="0.25">
      <c r="A1368" t="str">
        <f>"20190303170747592"</f>
        <v>20190303170747592</v>
      </c>
      <c r="B1368" t="str">
        <f>"1551604067583597"</f>
        <v>1551604067583597</v>
      </c>
      <c r="C1368" t="s">
        <v>40</v>
      </c>
      <c r="D1368">
        <v>4.1964860000000002</v>
      </c>
      <c r="E1368">
        <v>0.44478960000000001</v>
      </c>
      <c r="F1368" t="s">
        <v>69</v>
      </c>
      <c r="G1368">
        <v>-448.2439</v>
      </c>
      <c r="H1368">
        <v>4.0645689999999997</v>
      </c>
      <c r="I1368">
        <v>270.08550000000002</v>
      </c>
      <c r="J1368">
        <v>-261.4699</v>
      </c>
      <c r="K1368">
        <v>1.1217200000000001</v>
      </c>
      <c r="L1368">
        <v>285.3032</v>
      </c>
      <c r="M1368">
        <v>-0.99953349999999996</v>
      </c>
      <c r="N1368">
        <v>-1.455269E-2</v>
      </c>
      <c r="O1368">
        <v>2.6853709999999999E-2</v>
      </c>
      <c r="P1368">
        <v>-0.97839399999999999</v>
      </c>
      <c r="Q1368">
        <v>0.20232649999999999</v>
      </c>
      <c r="R1368">
        <v>4.2538029999999998E-2</v>
      </c>
      <c r="S1368">
        <v>-3.0664669999999998</v>
      </c>
      <c r="T1368">
        <v>4.8213840000000001E-2</v>
      </c>
      <c r="U1368">
        <v>-0.24914549999999999</v>
      </c>
      <c r="V1368">
        <v>1.593615E-2</v>
      </c>
      <c r="W1368">
        <v>0.21657789999999999</v>
      </c>
      <c r="X1368">
        <v>0.97613530000000004</v>
      </c>
      <c r="Y1368">
        <v>-0.1077075</v>
      </c>
      <c r="Z1368">
        <v>8.7187210000000002E-4</v>
      </c>
      <c r="AA1368">
        <v>0.99418220000000002</v>
      </c>
      <c r="AB1368">
        <v>38</v>
      </c>
      <c r="AC1368">
        <v>-186.774</v>
      </c>
      <c r="AD1368">
        <v>2.9428489999999998</v>
      </c>
      <c r="AE1368">
        <v>-15.217699999999899</v>
      </c>
      <c r="AF1368">
        <v>-20.223329164387302</v>
      </c>
      <c r="AG1368">
        <v>2.9428489999999998</v>
      </c>
      <c r="AH1368">
        <v>186.252001631371</v>
      </c>
      <c r="AI1368">
        <v>89.100069821664206</v>
      </c>
      <c r="AJ1368">
        <v>96.196925212740695</v>
      </c>
      <c r="AK1368">
        <v>187.369825517398</v>
      </c>
      <c r="AL1368">
        <v>77.491884747933497</v>
      </c>
      <c r="AM1368">
        <v>89.064685982588202</v>
      </c>
      <c r="AN1368">
        <v>1.00000003577566</v>
      </c>
    </row>
    <row r="1369" spans="1:40" x14ac:dyDescent="0.25">
      <c r="A1369" t="str">
        <f>"20190303170747612"</f>
        <v>20190303170747612</v>
      </c>
      <c r="B1369" t="str">
        <f>"1551604067604094"</f>
        <v>1551604067604094</v>
      </c>
      <c r="C1369" t="s">
        <v>40</v>
      </c>
      <c r="D1369">
        <v>4.1773749999999996</v>
      </c>
      <c r="E1369">
        <v>0.43916529999999998</v>
      </c>
      <c r="F1369" t="s">
        <v>69</v>
      </c>
      <c r="G1369">
        <v>-440.6841</v>
      </c>
      <c r="H1369">
        <v>4.2869679999999999</v>
      </c>
      <c r="I1369">
        <v>265.04489999999998</v>
      </c>
      <c r="J1369">
        <v>-261.83159999999998</v>
      </c>
      <c r="K1369">
        <v>1.1217520000000001</v>
      </c>
      <c r="L1369">
        <v>285.31229999999999</v>
      </c>
      <c r="M1369">
        <v>-0.99954860000000001</v>
      </c>
      <c r="N1369">
        <v>-1.460004E-2</v>
      </c>
      <c r="O1369">
        <v>2.6260929999999998E-2</v>
      </c>
      <c r="P1369">
        <v>-0.97819409999999896</v>
      </c>
      <c r="Q1369">
        <v>0.20323350000000001</v>
      </c>
      <c r="R1369">
        <v>4.2809529999999998E-2</v>
      </c>
      <c r="S1369">
        <v>-3.0701290000000001</v>
      </c>
      <c r="T1369">
        <v>5.4224250000000002E-2</v>
      </c>
      <c r="U1369">
        <v>-0.34704590000000002</v>
      </c>
      <c r="V1369">
        <v>1.6783610000000001E-2</v>
      </c>
      <c r="W1369">
        <v>0.2175298</v>
      </c>
      <c r="X1369">
        <v>0.97590940000000004</v>
      </c>
      <c r="Y1369">
        <v>-0.13836579999999901</v>
      </c>
      <c r="Z1369">
        <v>1.049073E-3</v>
      </c>
      <c r="AA1369">
        <v>0.99038060000000006</v>
      </c>
      <c r="AB1369">
        <v>38</v>
      </c>
      <c r="AC1369">
        <v>-178.85249999999999</v>
      </c>
      <c r="AD1369">
        <v>3.165216</v>
      </c>
      <c r="AE1369">
        <v>-20.267399999999999</v>
      </c>
      <c r="AF1369">
        <v>-24.9500267330878</v>
      </c>
      <c r="AG1369">
        <v>3.165216</v>
      </c>
      <c r="AH1369">
        <v>178.20340212958101</v>
      </c>
      <c r="AI1369">
        <v>88.992257035363906</v>
      </c>
      <c r="AJ1369">
        <v>97.970099305361799</v>
      </c>
      <c r="AK1369">
        <v>179.96937227446699</v>
      </c>
      <c r="AL1369">
        <v>77.436012818475305</v>
      </c>
      <c r="AM1369">
        <v>89.014729002274905</v>
      </c>
      <c r="AN1369">
        <v>1.0000000302305101</v>
      </c>
    </row>
    <row r="1370" spans="1:40" x14ac:dyDescent="0.25">
      <c r="A1370" t="str">
        <f>"20190303170747634"</f>
        <v>20190303170747634</v>
      </c>
      <c r="B1370" t="str">
        <f>"1551604067623613"</f>
        <v>1551604067623613</v>
      </c>
      <c r="C1370" t="s">
        <v>40</v>
      </c>
      <c r="D1370">
        <v>4.159516</v>
      </c>
      <c r="E1370">
        <v>0.43614969999999997</v>
      </c>
      <c r="F1370" t="s">
        <v>69</v>
      </c>
      <c r="G1370">
        <v>-440.6841</v>
      </c>
      <c r="H1370">
        <v>4.706105</v>
      </c>
      <c r="I1370">
        <v>262.52879999999999</v>
      </c>
      <c r="J1370">
        <v>-262.18970000000002</v>
      </c>
      <c r="K1370">
        <v>1.1217699999999999</v>
      </c>
      <c r="L1370">
        <v>285.32119999999998</v>
      </c>
      <c r="M1370">
        <v>-0.9995638</v>
      </c>
      <c r="N1370">
        <v>-1.464069E-2</v>
      </c>
      <c r="O1370">
        <v>2.5653140000000001E-2</v>
      </c>
      <c r="P1370">
        <v>-0.97846200000000005</v>
      </c>
      <c r="Q1370">
        <v>0.20191200000000001</v>
      </c>
      <c r="R1370">
        <v>4.2938659999999997E-2</v>
      </c>
      <c r="S1370">
        <v>-3.0712280000000001</v>
      </c>
      <c r="T1370">
        <v>6.1550140000000003E-2</v>
      </c>
      <c r="U1370">
        <v>-0.39123540000000001</v>
      </c>
      <c r="V1370">
        <v>1.7493410000000001E-2</v>
      </c>
      <c r="W1370">
        <v>0.2162539</v>
      </c>
      <c r="X1370">
        <v>0.97618039999999995</v>
      </c>
      <c r="Y1370">
        <v>-0.15175169999999999</v>
      </c>
      <c r="Z1370">
        <v>1.284976E-3</v>
      </c>
      <c r="AA1370">
        <v>0.98841780000000001</v>
      </c>
      <c r="AB1370">
        <v>38</v>
      </c>
      <c r="AC1370">
        <v>-178.49439999999899</v>
      </c>
      <c r="AD1370">
        <v>3.5843349999999998</v>
      </c>
      <c r="AE1370">
        <v>-22.792399999999901</v>
      </c>
      <c r="AF1370">
        <v>-27.353476491092</v>
      </c>
      <c r="AG1370">
        <v>3.5843349999999998</v>
      </c>
      <c r="AH1370">
        <v>177.78034768424601</v>
      </c>
      <c r="AI1370">
        <v>88.858412181482393</v>
      </c>
      <c r="AJ1370">
        <v>98.746997753717494</v>
      </c>
      <c r="AK1370">
        <v>179.90806584551001</v>
      </c>
      <c r="AL1370">
        <v>77.510898376302606</v>
      </c>
      <c r="AM1370">
        <v>88.973354421346002</v>
      </c>
      <c r="AN1370">
        <v>0.99999997100139804</v>
      </c>
    </row>
    <row r="1371" spans="1:40" x14ac:dyDescent="0.25">
      <c r="A1371" t="str">
        <f>"20190303170747656"</f>
        <v>20190303170747656</v>
      </c>
      <c r="B1371" t="str">
        <f>"1551604067644109"</f>
        <v>1551604067644109</v>
      </c>
      <c r="C1371" t="s">
        <v>40</v>
      </c>
      <c r="D1371">
        <v>4.1700010000000001</v>
      </c>
      <c r="E1371">
        <v>0.4345638</v>
      </c>
      <c r="F1371" t="s">
        <v>68</v>
      </c>
      <c r="G1371">
        <v>-387.83960000000002</v>
      </c>
      <c r="H1371">
        <v>3.4814970000000001</v>
      </c>
      <c r="I1371">
        <v>268.36970000000002</v>
      </c>
      <c r="J1371">
        <v>-262.5693</v>
      </c>
      <c r="K1371">
        <v>1.1217919999999999</v>
      </c>
      <c r="L1371">
        <v>285.33030000000002</v>
      </c>
      <c r="M1371">
        <v>-0.99958029999999998</v>
      </c>
      <c r="N1371">
        <v>-1.467742E-2</v>
      </c>
      <c r="O1371">
        <v>2.4980410000000002E-2</v>
      </c>
      <c r="P1371">
        <v>-0.97876890000000005</v>
      </c>
      <c r="Q1371">
        <v>0.200406</v>
      </c>
      <c r="R1371">
        <v>4.3001409999999997E-2</v>
      </c>
      <c r="S1371">
        <v>-3.072327</v>
      </c>
      <c r="T1371">
        <v>5.7700630000000003E-2</v>
      </c>
      <c r="U1371">
        <v>-0.41448970000000002</v>
      </c>
      <c r="V1371">
        <v>1.8198490000000001E-2</v>
      </c>
      <c r="W1371">
        <v>0.21479039999999999</v>
      </c>
      <c r="X1371">
        <v>0.97649059999999999</v>
      </c>
      <c r="Y1371">
        <v>-0.15839700000000001</v>
      </c>
      <c r="Z1371">
        <v>1.1448039999999999E-3</v>
      </c>
      <c r="AA1371">
        <v>0.9873748</v>
      </c>
      <c r="AB1371">
        <v>38</v>
      </c>
      <c r="AC1371">
        <v>-125.27030000000001</v>
      </c>
      <c r="AD1371">
        <v>2.3597049999999999</v>
      </c>
      <c r="AE1371">
        <v>-16.960599999999999</v>
      </c>
      <c r="AF1371">
        <v>-20.0779503805304</v>
      </c>
      <c r="AG1371">
        <v>2.3597049999999999</v>
      </c>
      <c r="AH1371">
        <v>124.76399851511</v>
      </c>
      <c r="AI1371">
        <v>88.930234530511996</v>
      </c>
      <c r="AJ1371">
        <v>99.142081195672802</v>
      </c>
      <c r="AK1371">
        <v>126.391248212242</v>
      </c>
      <c r="AL1371">
        <v>77.596769126688997</v>
      </c>
      <c r="AM1371">
        <v>88.9323235903518</v>
      </c>
      <c r="AN1371">
        <v>0.99999999642939996</v>
      </c>
    </row>
    <row r="1372" spans="1:40" x14ac:dyDescent="0.25">
      <c r="A1372" t="str">
        <f>"20190303170747679"</f>
        <v>20190303170747679</v>
      </c>
      <c r="B1372" t="str">
        <f>"1551604067673390"</f>
        <v>1551604067673390</v>
      </c>
      <c r="C1372" t="s">
        <v>40</v>
      </c>
      <c r="D1372">
        <v>4.1599219999999999</v>
      </c>
      <c r="E1372">
        <v>0.43291990000000002</v>
      </c>
      <c r="F1372" t="s">
        <v>68</v>
      </c>
      <c r="G1372">
        <v>-385.31319999999999</v>
      </c>
      <c r="H1372">
        <v>3.2566030000000001</v>
      </c>
      <c r="I1372">
        <v>268.27640000000002</v>
      </c>
      <c r="J1372">
        <v>-262.93579999999997</v>
      </c>
      <c r="K1372">
        <v>1.1218239999999999</v>
      </c>
      <c r="L1372">
        <v>285.33870000000002</v>
      </c>
      <c r="M1372">
        <v>-0.9995967</v>
      </c>
      <c r="N1372">
        <v>-1.470773E-2</v>
      </c>
      <c r="O1372">
        <v>2.4297240000000001E-2</v>
      </c>
      <c r="P1372">
        <v>-0.97889700000000002</v>
      </c>
      <c r="Q1372">
        <v>0.19992750000000001</v>
      </c>
      <c r="R1372">
        <v>4.2306709999999997E-2</v>
      </c>
      <c r="S1372">
        <v>-3.0728759999999999</v>
      </c>
      <c r="T1372">
        <v>5.3446529999999999E-2</v>
      </c>
      <c r="U1372">
        <v>-0.42694090000000001</v>
      </c>
      <c r="V1372">
        <v>1.8158540000000001E-2</v>
      </c>
      <c r="W1372">
        <v>0.21434420000000001</v>
      </c>
      <c r="X1372">
        <v>0.97658940000000005</v>
      </c>
      <c r="Y1372">
        <v>-0.16162889999999999</v>
      </c>
      <c r="Z1372">
        <v>9.8061899999999898E-4</v>
      </c>
      <c r="AA1372">
        <v>0.98685109999999998</v>
      </c>
      <c r="AB1372">
        <v>38</v>
      </c>
      <c r="AC1372">
        <v>-122.37739999999999</v>
      </c>
      <c r="AD1372">
        <v>2.134779</v>
      </c>
      <c r="AE1372">
        <v>-17.062299999999901</v>
      </c>
      <c r="AF1372">
        <v>-20.025038671124801</v>
      </c>
      <c r="AG1372">
        <v>2.134779</v>
      </c>
      <c r="AH1372">
        <v>121.89026808943299</v>
      </c>
      <c r="AI1372">
        <v>89.009897615359407</v>
      </c>
      <c r="AJ1372">
        <v>99.329635263859402</v>
      </c>
      <c r="AK1372">
        <v>123.542692661576</v>
      </c>
      <c r="AL1372">
        <v>77.622944341767706</v>
      </c>
      <c r="AM1372">
        <v>88.934774605664103</v>
      </c>
      <c r="AN1372">
        <v>1.00000001242046</v>
      </c>
    </row>
    <row r="1373" spans="1:40" x14ac:dyDescent="0.25">
      <c r="A1373" t="str">
        <f>"20190303170747701"</f>
        <v>20190303170747701</v>
      </c>
      <c r="B1373" t="str">
        <f>"1551604067693886"</f>
        <v>1551604067693886</v>
      </c>
      <c r="C1373" t="s">
        <v>40</v>
      </c>
      <c r="D1373">
        <v>4.1710799999999999</v>
      </c>
      <c r="E1373">
        <v>0.43251469999999997</v>
      </c>
      <c r="F1373" t="s">
        <v>68</v>
      </c>
      <c r="G1373">
        <v>-384.43639999999999</v>
      </c>
      <c r="H1373">
        <v>3.1751610000000001</v>
      </c>
      <c r="I1373">
        <v>267.85000000000002</v>
      </c>
      <c r="J1373">
        <v>-263.33240000000001</v>
      </c>
      <c r="K1373">
        <v>1.1218629999999901</v>
      </c>
      <c r="L1373">
        <v>285.34769999999997</v>
      </c>
      <c r="M1373">
        <v>-0.99961500000000003</v>
      </c>
      <c r="N1373">
        <v>-1.473554E-2</v>
      </c>
      <c r="O1373">
        <v>2.351717E-2</v>
      </c>
      <c r="P1373">
        <v>-0.97887429999999997</v>
      </c>
      <c r="Q1373">
        <v>0.2000933</v>
      </c>
      <c r="R1373">
        <v>4.2049139999999999E-2</v>
      </c>
      <c r="S1373">
        <v>-3.0731809999999999</v>
      </c>
      <c r="T1373">
        <v>5.1937820000000003E-2</v>
      </c>
      <c r="U1373">
        <v>-0.44235229999999998</v>
      </c>
      <c r="V1373">
        <v>1.8649809999999999E-2</v>
      </c>
      <c r="W1373">
        <v>0.21453849999999999</v>
      </c>
      <c r="X1373">
        <v>0.97653749999999995</v>
      </c>
      <c r="Y1373">
        <v>-0.16569729999999999</v>
      </c>
      <c r="Z1373">
        <v>9.0587410000000001E-4</v>
      </c>
      <c r="AA1373">
        <v>0.98617630000000001</v>
      </c>
      <c r="AB1373">
        <v>38</v>
      </c>
      <c r="AC1373">
        <v>-121.103999999999</v>
      </c>
      <c r="AD1373">
        <v>2.0532979999999998</v>
      </c>
      <c r="AE1373">
        <v>-17.497699999999899</v>
      </c>
      <c r="AF1373">
        <v>-20.335465568050399</v>
      </c>
      <c r="AG1373">
        <v>2.0532979999999998</v>
      </c>
      <c r="AH1373">
        <v>120.624991839511</v>
      </c>
      <c r="AI1373">
        <v>89.038363036705704</v>
      </c>
      <c r="AJ1373">
        <v>99.569185047583602</v>
      </c>
      <c r="AK1373">
        <v>122.34433312919801</v>
      </c>
      <c r="AL1373">
        <v>77.611546923989707</v>
      </c>
      <c r="AM1373">
        <v>88.905904259802796</v>
      </c>
      <c r="AN1373">
        <v>1.0000000361507599</v>
      </c>
    </row>
    <row r="1374" spans="1:40" x14ac:dyDescent="0.25">
      <c r="A1374" t="str">
        <f>"20190303170747724"</f>
        <v>20190303170747724</v>
      </c>
      <c r="B1374" t="str">
        <f>"1551604067713406"</f>
        <v>1551604067713406</v>
      </c>
      <c r="C1374" t="s">
        <v>40</v>
      </c>
      <c r="D1374">
        <v>4.145054</v>
      </c>
      <c r="E1374">
        <v>0.43201879999999998</v>
      </c>
      <c r="F1374" t="s">
        <v>68</v>
      </c>
      <c r="G1374">
        <v>-383.66750000000002</v>
      </c>
      <c r="H1374">
        <v>3.2156090000000002</v>
      </c>
      <c r="I1374">
        <v>267.85000000000002</v>
      </c>
      <c r="J1374">
        <v>-263.7124</v>
      </c>
      <c r="K1374">
        <v>1.1218999999999999</v>
      </c>
      <c r="L1374">
        <v>285.35579999999999</v>
      </c>
      <c r="M1374">
        <v>-0.99963270000000004</v>
      </c>
      <c r="N1374">
        <v>-1.4757940000000001E-2</v>
      </c>
      <c r="O1374">
        <v>2.2731589999999999E-2</v>
      </c>
      <c r="P1374">
        <v>-0.97886899999999999</v>
      </c>
      <c r="Q1374">
        <v>0.2003683</v>
      </c>
      <c r="R1374">
        <v>4.0841740000000001E-2</v>
      </c>
      <c r="S1374">
        <v>-3.0729980000000001</v>
      </c>
      <c r="T1374">
        <v>5.3469780000000001E-2</v>
      </c>
      <c r="U1374">
        <v>-0.44683840000000002</v>
      </c>
      <c r="V1374">
        <v>1.8195699999999999E-2</v>
      </c>
      <c r="W1374">
        <v>0.2148351</v>
      </c>
      <c r="X1374">
        <v>0.97648080000000004</v>
      </c>
      <c r="Y1374">
        <v>-0.16633999999999999</v>
      </c>
      <c r="Z1374">
        <v>9.3268870000000001E-4</v>
      </c>
      <c r="AA1374">
        <v>0.98606799999999994</v>
      </c>
      <c r="AB1374">
        <v>38</v>
      </c>
      <c r="AC1374">
        <v>-119.9551</v>
      </c>
      <c r="AD1374">
        <v>2.093709</v>
      </c>
      <c r="AE1374">
        <v>-17.505799999999901</v>
      </c>
      <c r="AF1374">
        <v>-20.222310477344301</v>
      </c>
      <c r="AG1374">
        <v>2.093709</v>
      </c>
      <c r="AH1374">
        <v>119.49047616902899</v>
      </c>
      <c r="AI1374">
        <v>89.010238746786897</v>
      </c>
      <c r="AJ1374">
        <v>99.605598182180998</v>
      </c>
      <c r="AK1374">
        <v>121.20767035761401</v>
      </c>
      <c r="AL1374">
        <v>77.594146558108406</v>
      </c>
      <c r="AM1374">
        <v>88.932476526203899</v>
      </c>
      <c r="AN1374">
        <v>0.99999997822956899</v>
      </c>
    </row>
    <row r="1375" spans="1:40" x14ac:dyDescent="0.25">
      <c r="A1375" t="str">
        <f>"20190303170747745"</f>
        <v>20190303170747745</v>
      </c>
      <c r="B1375" t="str">
        <f>"1551604067733902"</f>
        <v>1551604067733902</v>
      </c>
      <c r="C1375" t="s">
        <v>40</v>
      </c>
      <c r="D1375">
        <v>4.1034329999999999</v>
      </c>
      <c r="E1375">
        <v>0.43158750000000001</v>
      </c>
      <c r="F1375" t="s">
        <v>68</v>
      </c>
      <c r="G1375">
        <v>-381.96260000000001</v>
      </c>
      <c r="H1375">
        <v>3.2650220000000001</v>
      </c>
      <c r="I1375">
        <v>267.85000000000002</v>
      </c>
      <c r="J1375">
        <v>-264.06869999999998</v>
      </c>
      <c r="K1375">
        <v>1.121928</v>
      </c>
      <c r="L1375">
        <v>285.36320000000001</v>
      </c>
      <c r="M1375">
        <v>-0.99964960000000003</v>
      </c>
      <c r="N1375">
        <v>-1.477583E-2</v>
      </c>
      <c r="O1375">
        <v>2.1967319999999999E-2</v>
      </c>
      <c r="P1375">
        <v>-0.97902529999999999</v>
      </c>
      <c r="Q1375">
        <v>0.19982279999999999</v>
      </c>
      <c r="R1375">
        <v>3.9755659999999998E-2</v>
      </c>
      <c r="S1375">
        <v>-3.0723569999999998</v>
      </c>
      <c r="T1375">
        <v>5.5684209999999998E-2</v>
      </c>
      <c r="U1375">
        <v>-0.45483400000000002</v>
      </c>
      <c r="V1375">
        <v>1.7841829999999999E-2</v>
      </c>
      <c r="W1375">
        <v>0.21430979999999999</v>
      </c>
      <c r="X1375">
        <v>0.97660279999999999</v>
      </c>
      <c r="Y1375">
        <v>-0.16812579999999999</v>
      </c>
      <c r="Z1375">
        <v>9.8505480000000002E-4</v>
      </c>
      <c r="AA1375">
        <v>0.985765</v>
      </c>
      <c r="AB1375">
        <v>38</v>
      </c>
      <c r="AC1375">
        <v>-117.8939</v>
      </c>
      <c r="AD1375">
        <v>2.1430940000000001</v>
      </c>
      <c r="AE1375">
        <v>-17.513199999999902</v>
      </c>
      <c r="AF1375">
        <v>-20.092572319548601</v>
      </c>
      <c r="AG1375">
        <v>2.1430940000000001</v>
      </c>
      <c r="AH1375">
        <v>117.44271419754</v>
      </c>
      <c r="AI1375">
        <v>88.969551379406298</v>
      </c>
      <c r="AJ1375">
        <v>99.708400010451996</v>
      </c>
      <c r="AK1375">
        <v>119.168349121712</v>
      </c>
      <c r="AL1375">
        <v>77.624962367455794</v>
      </c>
      <c r="AM1375">
        <v>88.953363795077607</v>
      </c>
      <c r="AN1375">
        <v>1.0000000251208101</v>
      </c>
    </row>
    <row r="1376" spans="1:40" x14ac:dyDescent="0.25">
      <c r="A1376" t="str">
        <f>"20190303170747770"</f>
        <v>20190303170747770</v>
      </c>
      <c r="B1376" t="str">
        <f>"1551604067764158"</f>
        <v>1551604067764158</v>
      </c>
      <c r="C1376" t="s">
        <v>40</v>
      </c>
      <c r="D1376">
        <v>4.0976239999999997</v>
      </c>
      <c r="E1376">
        <v>0.43107210000000001</v>
      </c>
      <c r="F1376" t="s">
        <v>68</v>
      </c>
      <c r="G1376">
        <v>-380.7235</v>
      </c>
      <c r="H1376">
        <v>3.1499079999999999</v>
      </c>
      <c r="I1376">
        <v>267.85000000000002</v>
      </c>
      <c r="J1376">
        <v>-264.47930000000002</v>
      </c>
      <c r="K1376">
        <v>1.121958</v>
      </c>
      <c r="L1376">
        <v>285.37130000000002</v>
      </c>
      <c r="M1376">
        <v>-0.99966880000000002</v>
      </c>
      <c r="N1376">
        <v>-1.479275E-2</v>
      </c>
      <c r="O1376">
        <v>2.1061369999999999E-2</v>
      </c>
      <c r="P1376">
        <v>-0.97904709999999995</v>
      </c>
      <c r="Q1376">
        <v>0.20008600000000001</v>
      </c>
      <c r="R1376">
        <v>3.7849649999999999E-2</v>
      </c>
      <c r="S1376">
        <v>-3.0721129999999999</v>
      </c>
      <c r="T1376">
        <v>5.3408740000000003E-2</v>
      </c>
      <c r="U1376">
        <v>-0.46121220000000002</v>
      </c>
      <c r="V1376">
        <v>1.680949E-2</v>
      </c>
      <c r="W1376">
        <v>0.2145878</v>
      </c>
      <c r="X1376">
        <v>0.97656010000000004</v>
      </c>
      <c r="Y1376">
        <v>-0.16924800000000001</v>
      </c>
      <c r="Z1376">
        <v>8.7790100000000005E-4</v>
      </c>
      <c r="AA1376">
        <v>0.98557309999999998</v>
      </c>
      <c r="AB1376">
        <v>38</v>
      </c>
      <c r="AC1376">
        <v>-116.244199999999</v>
      </c>
      <c r="AD1376">
        <v>2.0279500000000001</v>
      </c>
      <c r="AE1376">
        <v>-17.521299999999901</v>
      </c>
      <c r="AF1376">
        <v>-19.960002677831302</v>
      </c>
      <c r="AG1376">
        <v>2.0279500000000001</v>
      </c>
      <c r="AH1376">
        <v>115.814881548682</v>
      </c>
      <c r="AI1376">
        <v>89.011409273773694</v>
      </c>
      <c r="AJ1376">
        <v>99.778524889097895</v>
      </c>
      <c r="AK1376">
        <v>117.53978507823101</v>
      </c>
      <c r="AL1376">
        <v>77.608655135415304</v>
      </c>
      <c r="AM1376">
        <v>89.013867420217593</v>
      </c>
      <c r="AN1376">
        <v>1.00000005588745</v>
      </c>
    </row>
    <row r="1377" spans="1:40" x14ac:dyDescent="0.25">
      <c r="A1377" t="str">
        <f>"20190303170747793"</f>
        <v>20190303170747793</v>
      </c>
      <c r="B1377" t="str">
        <f>"1551604067783677"</f>
        <v>1551604067783677</v>
      </c>
      <c r="C1377" t="s">
        <v>40</v>
      </c>
      <c r="D1377">
        <v>4.1012500000000003</v>
      </c>
      <c r="E1377">
        <v>0.43083060000000001</v>
      </c>
      <c r="F1377" t="s">
        <v>68</v>
      </c>
      <c r="G1377">
        <v>-378.87849999999997</v>
      </c>
      <c r="H1377">
        <v>3.1443560000000002</v>
      </c>
      <c r="I1377">
        <v>267.85000000000002</v>
      </c>
      <c r="J1377">
        <v>-264.8648</v>
      </c>
      <c r="K1377">
        <v>1.1219920000000001</v>
      </c>
      <c r="L1377">
        <v>285.37860000000001</v>
      </c>
      <c r="M1377">
        <v>-0.99968650000000003</v>
      </c>
      <c r="N1377">
        <v>-1.480558E-2</v>
      </c>
      <c r="O1377">
        <v>2.0191730000000001E-2</v>
      </c>
      <c r="P1377">
        <v>-0.97919990000000001</v>
      </c>
      <c r="Q1377">
        <v>0.19966729999999999</v>
      </c>
      <c r="R1377">
        <v>3.6061879999999998E-2</v>
      </c>
      <c r="S1377">
        <v>-3.0712890000000002</v>
      </c>
      <c r="T1377">
        <v>5.4297570000000003E-2</v>
      </c>
      <c r="U1377">
        <v>-0.47039789999999998</v>
      </c>
      <c r="V1377">
        <v>1.586274E-2</v>
      </c>
      <c r="W1377">
        <v>0.21418209999999999</v>
      </c>
      <c r="X1377">
        <v>0.97666489999999995</v>
      </c>
      <c r="Y1377">
        <v>-0.171310299999999</v>
      </c>
      <c r="Z1377">
        <v>8.8188589999999999E-4</v>
      </c>
      <c r="AA1377">
        <v>0.98521669999999995</v>
      </c>
      <c r="AB1377">
        <v>38</v>
      </c>
      <c r="AC1377">
        <v>-114.01369999999901</v>
      </c>
      <c r="AD1377">
        <v>2.0223640000000001</v>
      </c>
      <c r="AE1377">
        <v>-17.528599999999901</v>
      </c>
      <c r="AF1377">
        <v>-19.8213193495654</v>
      </c>
      <c r="AG1377">
        <v>2.0223640000000001</v>
      </c>
      <c r="AH1377">
        <v>113.60156144357001</v>
      </c>
      <c r="AI1377">
        <v>88.995289318796196</v>
      </c>
      <c r="AJ1377">
        <v>99.897392674063795</v>
      </c>
      <c r="AK1377">
        <v>115.33555141119</v>
      </c>
      <c r="AL1377">
        <v>77.632452187670197</v>
      </c>
      <c r="AM1377">
        <v>89.0694985064805</v>
      </c>
      <c r="AN1377">
        <v>0.99999996268636304</v>
      </c>
    </row>
    <row r="1378" spans="1:40" x14ac:dyDescent="0.25">
      <c r="A1378" t="str">
        <f>"20190303170747814"</f>
        <v>20190303170747814</v>
      </c>
      <c r="B1378" t="str">
        <f>"1551604067804174"</f>
        <v>1551604067804174</v>
      </c>
      <c r="C1378" t="s">
        <v>40</v>
      </c>
      <c r="D1378">
        <v>4.1147039999999997</v>
      </c>
      <c r="E1378">
        <v>0.43061199999999999</v>
      </c>
      <c r="F1378" t="s">
        <v>68</v>
      </c>
      <c r="G1378">
        <v>-377.51319999999998</v>
      </c>
      <c r="H1378">
        <v>3.0691989999999998</v>
      </c>
      <c r="I1378">
        <v>267.85000000000002</v>
      </c>
      <c r="J1378">
        <v>-265.22989999999999</v>
      </c>
      <c r="K1378">
        <v>1.122007</v>
      </c>
      <c r="L1378">
        <v>285.3852</v>
      </c>
      <c r="M1378">
        <v>-0.99970289999999995</v>
      </c>
      <c r="N1378">
        <v>-1.4815500000000001E-2</v>
      </c>
      <c r="O1378">
        <v>1.9358299999999998E-2</v>
      </c>
      <c r="P1378">
        <v>-0.97928440000000005</v>
      </c>
      <c r="Q1378">
        <v>0.19945579999999999</v>
      </c>
      <c r="R1378">
        <v>3.4923129999999997E-2</v>
      </c>
      <c r="S1378">
        <v>-3.0704959999999999</v>
      </c>
      <c r="T1378">
        <v>5.3077699999999901E-2</v>
      </c>
      <c r="U1378">
        <v>-0.47778320000000002</v>
      </c>
      <c r="V1378">
        <v>1.5533689999999999E-2</v>
      </c>
      <c r="W1378">
        <v>0.2139809</v>
      </c>
      <c r="X1378">
        <v>0.97671430000000004</v>
      </c>
      <c r="Y1378">
        <v>-0.17284260000000001</v>
      </c>
      <c r="Z1378">
        <v>8.1443819999999997E-4</v>
      </c>
      <c r="AA1378">
        <v>0.98494910000000002</v>
      </c>
      <c r="AB1378">
        <v>38</v>
      </c>
      <c r="AC1378">
        <v>-112.2833</v>
      </c>
      <c r="AD1378">
        <v>1.947192</v>
      </c>
      <c r="AE1378">
        <v>-17.5351999999999</v>
      </c>
      <c r="AF1378">
        <v>-19.6999821574104</v>
      </c>
      <c r="AG1378">
        <v>1.947192</v>
      </c>
      <c r="AH1378">
        <v>111.88991744386701</v>
      </c>
      <c r="AI1378">
        <v>89.018096556286395</v>
      </c>
      <c r="AJ1378">
        <v>99.985483220434801</v>
      </c>
      <c r="AK1378">
        <v>113.62761319011599</v>
      </c>
      <c r="AL1378">
        <v>77.644253830391193</v>
      </c>
      <c r="AM1378">
        <v>89.088843227639202</v>
      </c>
      <c r="AN1378">
        <v>0.99999997245715699</v>
      </c>
    </row>
    <row r="1379" spans="1:40" x14ac:dyDescent="0.25">
      <c r="A1379" t="str">
        <f>"20190303170747835"</f>
        <v>20190303170747835</v>
      </c>
      <c r="B1379" t="str">
        <f>"1551604067823694"</f>
        <v>1551604067823694</v>
      </c>
      <c r="C1379" t="s">
        <v>40</v>
      </c>
      <c r="D1379">
        <v>4.135205</v>
      </c>
      <c r="E1379">
        <v>0.43055110000000002</v>
      </c>
      <c r="F1379" t="s">
        <v>68</v>
      </c>
      <c r="G1379">
        <v>-376.73140000000001</v>
      </c>
      <c r="H1379">
        <v>3.0392169999999998</v>
      </c>
      <c r="I1379">
        <v>267.85000000000002</v>
      </c>
      <c r="J1379">
        <v>-265.57249999999999</v>
      </c>
      <c r="K1379">
        <v>1.1220209999999999</v>
      </c>
      <c r="L1379">
        <v>285.39109999999999</v>
      </c>
      <c r="M1379">
        <v>-0.99971770000000004</v>
      </c>
      <c r="N1379">
        <v>-1.4823060000000001E-2</v>
      </c>
      <c r="O1379">
        <v>1.8571629999999999E-2</v>
      </c>
      <c r="P1379">
        <v>-0.97928459999999995</v>
      </c>
      <c r="Q1379">
        <v>0.1996049</v>
      </c>
      <c r="R1379">
        <v>3.4054040000000001E-2</v>
      </c>
      <c r="S1379">
        <v>-3.0699160000000001</v>
      </c>
      <c r="T1379">
        <v>5.2787420000000002E-2</v>
      </c>
      <c r="U1379">
        <v>-0.4827881</v>
      </c>
      <c r="V1379">
        <v>1.543129E-2</v>
      </c>
      <c r="W1379">
        <v>0.21413689999999999</v>
      </c>
      <c r="X1379">
        <v>0.97668180000000004</v>
      </c>
      <c r="Y1379">
        <v>-0.17366379999999901</v>
      </c>
      <c r="Z1379">
        <v>7.7976119999999998E-4</v>
      </c>
      <c r="AA1379">
        <v>0.98480469999999998</v>
      </c>
      <c r="AB1379">
        <v>38</v>
      </c>
      <c r="AC1379">
        <v>-111.1589</v>
      </c>
      <c r="AD1379">
        <v>1.9171959999999999</v>
      </c>
      <c r="AE1379">
        <v>-17.541099999999901</v>
      </c>
      <c r="AF1379">
        <v>-19.597014844948799</v>
      </c>
      <c r="AG1379">
        <v>1.9171959999999999</v>
      </c>
      <c r="AH1379">
        <v>110.78176820143101</v>
      </c>
      <c r="AI1379">
        <v>89.023689764033804</v>
      </c>
      <c r="AJ1379">
        <v>100.03169807502999</v>
      </c>
      <c r="AK1379">
        <v>112.51808208981799</v>
      </c>
      <c r="AL1379">
        <v>77.635104410544898</v>
      </c>
      <c r="AM1379">
        <v>89.094818568065705</v>
      </c>
      <c r="AN1379">
        <v>1.00000003755195</v>
      </c>
    </row>
    <row r="1380" spans="1:40" x14ac:dyDescent="0.25">
      <c r="A1380" t="str">
        <f>"20190303170747858"</f>
        <v>20190303170747858</v>
      </c>
      <c r="B1380" t="str">
        <f>"1551604067853951"</f>
        <v>1551604067853951</v>
      </c>
      <c r="C1380" t="s">
        <v>40</v>
      </c>
      <c r="D1380">
        <v>4.0947180000000003</v>
      </c>
      <c r="E1380">
        <v>0.43057630000000002</v>
      </c>
      <c r="F1380" t="s">
        <v>68</v>
      </c>
      <c r="G1380">
        <v>-376.28769999999997</v>
      </c>
      <c r="H1380">
        <v>3.0626540000000002</v>
      </c>
      <c r="I1380">
        <v>267.85000000000002</v>
      </c>
      <c r="J1380">
        <v>-265.95030000000003</v>
      </c>
      <c r="K1380">
        <v>1.1220349999999999</v>
      </c>
      <c r="L1380">
        <v>285.3972</v>
      </c>
      <c r="M1380">
        <v>-0.99973330000000005</v>
      </c>
      <c r="N1380">
        <v>-1.48299E-2</v>
      </c>
      <c r="O1380">
        <v>1.7701669999999999E-2</v>
      </c>
      <c r="P1380">
        <v>-0.97924540000000004</v>
      </c>
      <c r="Q1380">
        <v>0.199881</v>
      </c>
      <c r="R1380">
        <v>3.3552390000000001E-2</v>
      </c>
      <c r="S1380">
        <v>-3.0693969999999999</v>
      </c>
      <c r="T1380">
        <v>5.3802849999999999E-2</v>
      </c>
      <c r="U1380">
        <v>-0.4862976</v>
      </c>
      <c r="V1380">
        <v>1.5778770000000001E-2</v>
      </c>
      <c r="W1380">
        <v>0.21442020000000001</v>
      </c>
      <c r="X1380">
        <v>0.97661410000000004</v>
      </c>
      <c r="Y1380">
        <v>-0.17393069999999999</v>
      </c>
      <c r="Z1380">
        <v>7.8629259999999995E-4</v>
      </c>
      <c r="AA1380">
        <v>0.98475760000000001</v>
      </c>
      <c r="AB1380">
        <v>38</v>
      </c>
      <c r="AC1380">
        <v>-110.33739999999899</v>
      </c>
      <c r="AD1380">
        <v>1.9406189999999901</v>
      </c>
      <c r="AE1380">
        <v>-17.547199999999901</v>
      </c>
      <c r="AF1380">
        <v>-19.491940198344501</v>
      </c>
      <c r="AG1380">
        <v>1.9406189999999901</v>
      </c>
      <c r="AH1380">
        <v>109.976278065016</v>
      </c>
      <c r="AI1380">
        <v>89.004585747236007</v>
      </c>
      <c r="AJ1380">
        <v>100.050597845024</v>
      </c>
      <c r="AK1380">
        <v>111.707132591579</v>
      </c>
      <c r="AL1380">
        <v>77.618486633160799</v>
      </c>
      <c r="AM1380">
        <v>89.074375154483604</v>
      </c>
      <c r="AN1380">
        <v>1.00000004603478</v>
      </c>
    </row>
    <row r="1381" spans="1:40" x14ac:dyDescent="0.25">
      <c r="A1381" t="str">
        <f>"20190303170747880"</f>
        <v>20190303170747880</v>
      </c>
      <c r="B1381" t="str">
        <f>"1551604067873470"</f>
        <v>1551604067873470</v>
      </c>
      <c r="C1381" t="s">
        <v>40</v>
      </c>
      <c r="D1381">
        <v>4.1127229999999999</v>
      </c>
      <c r="E1381">
        <v>0.43044759999999999</v>
      </c>
      <c r="F1381" t="s">
        <v>68</v>
      </c>
      <c r="G1381">
        <v>-376.4264</v>
      </c>
      <c r="H1381">
        <v>3.0808849999999999</v>
      </c>
      <c r="I1381">
        <v>267.85000000000002</v>
      </c>
      <c r="J1381">
        <v>-266.33440000000002</v>
      </c>
      <c r="K1381">
        <v>1.1220460000000001</v>
      </c>
      <c r="L1381">
        <v>285.40320000000003</v>
      </c>
      <c r="M1381">
        <v>-0.99974859999999999</v>
      </c>
      <c r="N1381">
        <v>-1.4835350000000001E-2</v>
      </c>
      <c r="O1381">
        <v>1.6817329999999998E-2</v>
      </c>
      <c r="P1381">
        <v>-0.97923020000000005</v>
      </c>
      <c r="Q1381">
        <v>0.20010310000000001</v>
      </c>
      <c r="R1381">
        <v>3.267026E-2</v>
      </c>
      <c r="S1381">
        <v>-3.0691830000000002</v>
      </c>
      <c r="T1381">
        <v>5.4421659999999997E-2</v>
      </c>
      <c r="U1381">
        <v>-0.48748780000000003</v>
      </c>
      <c r="V1381">
        <v>1.5760529999999998E-2</v>
      </c>
      <c r="W1381">
        <v>0.214647</v>
      </c>
      <c r="X1381">
        <v>0.97656449999999995</v>
      </c>
      <c r="Y1381">
        <v>-0.17344270000000001</v>
      </c>
      <c r="Z1381">
        <v>7.7762320000000003E-4</v>
      </c>
      <c r="AA1381">
        <v>0.98484369999999999</v>
      </c>
      <c r="AB1381">
        <v>37</v>
      </c>
      <c r="AC1381">
        <v>-110.091999999999</v>
      </c>
      <c r="AD1381">
        <v>1.958839</v>
      </c>
      <c r="AE1381">
        <v>-17.5532</v>
      </c>
      <c r="AF1381">
        <v>-19.396385854904199</v>
      </c>
      <c r="AG1381">
        <v>1.958839</v>
      </c>
      <c r="AH1381">
        <v>109.747314144654</v>
      </c>
      <c r="AI1381">
        <v>88.993059636888702</v>
      </c>
      <c r="AJ1381">
        <v>100.02276963426</v>
      </c>
      <c r="AK1381">
        <v>111.46537487680099</v>
      </c>
      <c r="AL1381">
        <v>77.605181293590405</v>
      </c>
      <c r="AM1381">
        <v>89.075398025549305</v>
      </c>
      <c r="AN1381">
        <v>0.99999997578756505</v>
      </c>
    </row>
    <row r="1382" spans="1:40" x14ac:dyDescent="0.25">
      <c r="A1382" t="str">
        <f>"20190303170747902"</f>
        <v>20190303170747902</v>
      </c>
      <c r="B1382" t="str">
        <f>"1551604067893966"</f>
        <v>1551604067893966</v>
      </c>
      <c r="C1382" t="s">
        <v>40</v>
      </c>
      <c r="D1382">
        <v>4.1405560000000001</v>
      </c>
      <c r="E1382">
        <v>0.43045699999999998</v>
      </c>
      <c r="F1382" t="s">
        <v>68</v>
      </c>
      <c r="G1382">
        <v>-376.02109999999999</v>
      </c>
      <c r="H1382">
        <v>3.0992220000000001</v>
      </c>
      <c r="I1382">
        <v>267.85000000000002</v>
      </c>
      <c r="J1382">
        <v>-266.70859999999999</v>
      </c>
      <c r="K1382">
        <v>1.122053</v>
      </c>
      <c r="L1382">
        <v>285.40859999999998</v>
      </c>
      <c r="M1382">
        <v>-0.9997627</v>
      </c>
      <c r="N1382">
        <v>-1.4839130000000001E-2</v>
      </c>
      <c r="O1382">
        <v>1.5957579999999999E-2</v>
      </c>
      <c r="P1382">
        <v>-0.97928440000000005</v>
      </c>
      <c r="Q1382">
        <v>0.19996620000000001</v>
      </c>
      <c r="R1382">
        <v>3.1872169999999998E-2</v>
      </c>
      <c r="S1382">
        <v>-3.0687259999999998</v>
      </c>
      <c r="T1382">
        <v>5.5318239999999998E-2</v>
      </c>
      <c r="U1382">
        <v>-0.49108889999999999</v>
      </c>
      <c r="V1382">
        <v>1.580225E-2</v>
      </c>
      <c r="W1382">
        <v>0.21451419999999999</v>
      </c>
      <c r="X1382">
        <v>0.97659300000000004</v>
      </c>
      <c r="Y1382">
        <v>-0.17374529999999999</v>
      </c>
      <c r="Z1382">
        <v>7.7973889999999996E-4</v>
      </c>
      <c r="AA1382">
        <v>0.98479030000000001</v>
      </c>
      <c r="AB1382">
        <v>37</v>
      </c>
      <c r="AC1382">
        <v>-109.3125</v>
      </c>
      <c r="AD1382">
        <v>1.977169</v>
      </c>
      <c r="AE1382">
        <v>-17.558599999999899</v>
      </c>
      <c r="AF1382">
        <v>-19.294765025654101</v>
      </c>
      <c r="AG1382">
        <v>1.977169</v>
      </c>
      <c r="AH1382">
        <v>108.983597283742</v>
      </c>
      <c r="AI1382">
        <v>88.976572019590293</v>
      </c>
      <c r="AJ1382">
        <v>100.03977378465</v>
      </c>
      <c r="AK1382">
        <v>110.696077760482</v>
      </c>
      <c r="AL1382">
        <v>77.612971571334796</v>
      </c>
      <c r="AM1382">
        <v>89.072977970016694</v>
      </c>
      <c r="AN1382">
        <v>0.99999997037785004</v>
      </c>
    </row>
    <row r="1383" spans="1:40" x14ac:dyDescent="0.25">
      <c r="A1383" t="str">
        <f>"20190303170747925"</f>
        <v>20190303170747925</v>
      </c>
      <c r="B1383" t="str">
        <f>"1551604067913486"</f>
        <v>1551604067913486</v>
      </c>
      <c r="C1383" t="s">
        <v>40</v>
      </c>
      <c r="D1383">
        <v>4.1355219999999999</v>
      </c>
      <c r="E1383">
        <v>0.43046849999999998</v>
      </c>
      <c r="F1383" t="s">
        <v>68</v>
      </c>
      <c r="G1383">
        <v>-375.976</v>
      </c>
      <c r="H1383">
        <v>3.059736</v>
      </c>
      <c r="I1383">
        <v>267.85000000000002</v>
      </c>
      <c r="J1383">
        <v>-267.07100000000003</v>
      </c>
      <c r="K1383">
        <v>1.1220540000000001</v>
      </c>
      <c r="L1383">
        <v>285.41359999999997</v>
      </c>
      <c r="M1383">
        <v>-0.99977550000000004</v>
      </c>
      <c r="N1383">
        <v>-1.484183E-2</v>
      </c>
      <c r="O1383">
        <v>1.512608E-2</v>
      </c>
      <c r="P1383">
        <v>-0.97946639999999996</v>
      </c>
      <c r="Q1383">
        <v>0.19918079999999999</v>
      </c>
      <c r="R1383">
        <v>3.1189399999999999E-2</v>
      </c>
      <c r="S1383">
        <v>-3.06839</v>
      </c>
      <c r="T1383">
        <v>5.4414749999999998E-2</v>
      </c>
      <c r="U1383">
        <v>-0.49307250000000002</v>
      </c>
      <c r="V1383">
        <v>1.5932140000000001E-2</v>
      </c>
      <c r="W1383">
        <v>0.21373400000000001</v>
      </c>
      <c r="X1383">
        <v>0.97676189999999996</v>
      </c>
      <c r="Y1383">
        <v>-0.17356489999999999</v>
      </c>
      <c r="Z1383">
        <v>7.2234030000000002E-4</v>
      </c>
      <c r="AA1383">
        <v>0.98482219999999998</v>
      </c>
      <c r="AB1383">
        <v>37</v>
      </c>
      <c r="AC1383">
        <v>-108.905</v>
      </c>
      <c r="AD1383">
        <v>1.9376819999999999</v>
      </c>
      <c r="AE1383">
        <v>-17.563599999999902</v>
      </c>
      <c r="AF1383">
        <v>-19.203152252629302</v>
      </c>
      <c r="AG1383">
        <v>1.9376819999999999</v>
      </c>
      <c r="AH1383">
        <v>108.593334346186</v>
      </c>
      <c r="AI1383">
        <v>88.993367553626101</v>
      </c>
      <c r="AJ1383">
        <v>100.028252779825</v>
      </c>
      <c r="AK1383">
        <v>110.29518544521</v>
      </c>
      <c r="AL1383">
        <v>77.658734686680006</v>
      </c>
      <c r="AM1383">
        <v>89.065521046588998</v>
      </c>
      <c r="AN1383">
        <v>0.99999993256629205</v>
      </c>
    </row>
    <row r="1384" spans="1:40" x14ac:dyDescent="0.25">
      <c r="A1384" t="str">
        <f>"20190303170747946"</f>
        <v>20190303170747946</v>
      </c>
      <c r="B1384" t="str">
        <f>"1551604067933982"</f>
        <v>1551604067933982</v>
      </c>
      <c r="C1384" t="s">
        <v>40</v>
      </c>
      <c r="D1384">
        <v>4.1684850000000004</v>
      </c>
      <c r="E1384">
        <v>0.43042849999999999</v>
      </c>
      <c r="F1384" t="s">
        <v>68</v>
      </c>
      <c r="G1384">
        <v>-376.03129999999999</v>
      </c>
      <c r="H1384">
        <v>2.9502929999999998</v>
      </c>
      <c r="I1384">
        <v>267.85000000000002</v>
      </c>
      <c r="J1384">
        <v>-267.42849999999999</v>
      </c>
      <c r="K1384">
        <v>1.122055</v>
      </c>
      <c r="L1384">
        <v>285.41820000000001</v>
      </c>
      <c r="M1384">
        <v>-0.99978750000000005</v>
      </c>
      <c r="N1384">
        <v>-1.484355E-2</v>
      </c>
      <c r="O1384">
        <v>1.4308980000000001E-2</v>
      </c>
      <c r="P1384">
        <v>-0.97959039999999997</v>
      </c>
      <c r="Q1384">
        <v>0.19862279999999999</v>
      </c>
      <c r="R1384">
        <v>3.085065E-2</v>
      </c>
      <c r="S1384">
        <v>-3.0681759999999998</v>
      </c>
      <c r="T1384">
        <v>5.1482800000000002E-2</v>
      </c>
      <c r="U1384">
        <v>-0.4945679</v>
      </c>
      <c r="V1384">
        <v>1.639326E-2</v>
      </c>
      <c r="W1384">
        <v>0.2131806</v>
      </c>
      <c r="X1384">
        <v>0.97687520000000005</v>
      </c>
      <c r="Y1384">
        <v>-0.17324100000000001</v>
      </c>
      <c r="Z1384">
        <v>5.9952379999999997E-4</v>
      </c>
      <c r="AA1384">
        <v>0.98487930000000001</v>
      </c>
      <c r="AB1384">
        <v>37</v>
      </c>
      <c r="AC1384">
        <v>-108.6028</v>
      </c>
      <c r="AD1384">
        <v>1.828238</v>
      </c>
      <c r="AE1384">
        <v>-17.568199999999901</v>
      </c>
      <c r="AF1384">
        <v>-19.1152884886584</v>
      </c>
      <c r="AG1384">
        <v>1.828238</v>
      </c>
      <c r="AH1384">
        <v>108.310356960308</v>
      </c>
      <c r="AI1384">
        <v>89.047675392795298</v>
      </c>
      <c r="AJ1384">
        <v>100.008849923925</v>
      </c>
      <c r="AK1384">
        <v>109.999409694138</v>
      </c>
      <c r="AL1384">
        <v>77.691190185753001</v>
      </c>
      <c r="AM1384">
        <v>89.038591157099006</v>
      </c>
      <c r="AN1384">
        <v>0.99999993178241098</v>
      </c>
    </row>
    <row r="1385" spans="1:40" x14ac:dyDescent="0.25">
      <c r="A1385" t="str">
        <f>"20190303170747971"</f>
        <v>20190303170747971</v>
      </c>
      <c r="B1385" t="str">
        <f>"1551604067964238"</f>
        <v>1551604067964238</v>
      </c>
      <c r="C1385" t="s">
        <v>40</v>
      </c>
      <c r="D1385">
        <v>4.2025730000000001</v>
      </c>
      <c r="E1385">
        <v>0.43037209999999998</v>
      </c>
      <c r="F1385" t="s">
        <v>68</v>
      </c>
      <c r="G1385">
        <v>-376.22390000000001</v>
      </c>
      <c r="H1385">
        <v>2.8553199999999999</v>
      </c>
      <c r="I1385">
        <v>267.85000000000002</v>
      </c>
      <c r="J1385">
        <v>-267.82400000000001</v>
      </c>
      <c r="K1385">
        <v>1.1220570000000001</v>
      </c>
      <c r="L1385">
        <v>285.423</v>
      </c>
      <c r="M1385">
        <v>-0.99980000000000002</v>
      </c>
      <c r="N1385">
        <v>-1.484451E-2</v>
      </c>
      <c r="O1385">
        <v>1.3406390000000001E-2</v>
      </c>
      <c r="P1385">
        <v>-0.97958210000000001</v>
      </c>
      <c r="Q1385">
        <v>0.19872200000000001</v>
      </c>
      <c r="R1385">
        <v>3.0475809999999999E-2</v>
      </c>
      <c r="S1385">
        <v>-3.0682070000000001</v>
      </c>
      <c r="T1385">
        <v>4.8883320000000001E-2</v>
      </c>
      <c r="U1385">
        <v>-0.49545289999999997</v>
      </c>
      <c r="V1385">
        <v>1.6903809999999998E-2</v>
      </c>
      <c r="W1385">
        <v>0.21328130000000001</v>
      </c>
      <c r="X1385">
        <v>0.97684459999999995</v>
      </c>
      <c r="Y1385">
        <v>-0.17262930000000001</v>
      </c>
      <c r="Z1385">
        <v>4.8655569999999997E-4</v>
      </c>
      <c r="AA1385">
        <v>0.98498669999999999</v>
      </c>
      <c r="AB1385">
        <v>37</v>
      </c>
      <c r="AC1385">
        <v>-108.3999</v>
      </c>
      <c r="AD1385">
        <v>1.733263</v>
      </c>
      <c r="AE1385">
        <v>-17.572999999999901</v>
      </c>
      <c r="AF1385">
        <v>-19.020093510408199</v>
      </c>
      <c r="AG1385">
        <v>1.733263</v>
      </c>
      <c r="AH1385">
        <v>108.127603020998</v>
      </c>
      <c r="AI1385">
        <v>89.095523531368798</v>
      </c>
      <c r="AJ1385">
        <v>99.976502099473194</v>
      </c>
      <c r="AK1385">
        <v>109.801396588743</v>
      </c>
      <c r="AL1385">
        <v>77.685285689630902</v>
      </c>
      <c r="AM1385">
        <v>89.008623976349597</v>
      </c>
      <c r="AN1385">
        <v>1.00000001213568</v>
      </c>
    </row>
    <row r="1386" spans="1:40" x14ac:dyDescent="0.25">
      <c r="A1386" t="str">
        <f>"20190303170747993"</f>
        <v>20190303170747993</v>
      </c>
      <c r="B1386" t="str">
        <f>"1551604067983758"</f>
        <v>1551604067983758</v>
      </c>
      <c r="C1386" t="s">
        <v>40</v>
      </c>
      <c r="D1386">
        <v>4.2187270000000003</v>
      </c>
      <c r="E1386">
        <v>0.4303206</v>
      </c>
      <c r="F1386" t="s">
        <v>68</v>
      </c>
      <c r="G1386">
        <v>-376.32470000000001</v>
      </c>
      <c r="H1386">
        <v>2.8429739999999999</v>
      </c>
      <c r="I1386">
        <v>267.85000000000002</v>
      </c>
      <c r="J1386">
        <v>-268.21109999999999</v>
      </c>
      <c r="K1386">
        <v>1.1220589999999999</v>
      </c>
      <c r="L1386">
        <v>285.4273</v>
      </c>
      <c r="M1386">
        <v>-0.99981149999999996</v>
      </c>
      <c r="N1386">
        <v>-1.484453E-2</v>
      </c>
      <c r="O1386">
        <v>1.252433E-2</v>
      </c>
      <c r="P1386">
        <v>-0.97956719999999997</v>
      </c>
      <c r="Q1386">
        <v>0.19895119999999999</v>
      </c>
      <c r="R1386">
        <v>2.944285E-2</v>
      </c>
      <c r="S1386">
        <v>-3.0681150000000001</v>
      </c>
      <c r="T1386">
        <v>4.8665170000000001E-2</v>
      </c>
      <c r="U1386">
        <v>-0.49691770000000002</v>
      </c>
      <c r="V1386">
        <v>1.6735989999999999E-2</v>
      </c>
      <c r="W1386">
        <v>0.21350949999999999</v>
      </c>
      <c r="X1386">
        <v>0.97679760000000004</v>
      </c>
      <c r="Y1386">
        <v>-0.17222370000000001</v>
      </c>
      <c r="Z1386">
        <v>4.5236830000000002E-4</v>
      </c>
      <c r="AA1386">
        <v>0.98505779999999998</v>
      </c>
      <c r="AB1386">
        <v>37</v>
      </c>
      <c r="AC1386">
        <v>-108.11360000000001</v>
      </c>
      <c r="AD1386">
        <v>1.720915</v>
      </c>
      <c r="AE1386">
        <v>-17.577299999999902</v>
      </c>
      <c r="AF1386">
        <v>-18.9254488224455</v>
      </c>
      <c r="AG1386">
        <v>1.720915</v>
      </c>
      <c r="AH1386">
        <v>107.858325884791</v>
      </c>
      <c r="AI1386">
        <v>89.099657194047694</v>
      </c>
      <c r="AJ1386">
        <v>99.952139499995596</v>
      </c>
      <c r="AK1386">
        <v>109.519644923813</v>
      </c>
      <c r="AL1386">
        <v>77.671902067167494</v>
      </c>
      <c r="AM1386">
        <v>89.0184171434517</v>
      </c>
      <c r="AN1386">
        <v>0.99999997565864396</v>
      </c>
    </row>
    <row r="1387" spans="1:40" x14ac:dyDescent="0.25">
      <c r="A1387" t="str">
        <f>"20190303170748014"</f>
        <v>20190303170748014</v>
      </c>
      <c r="B1387" t="str">
        <f>"1551604068004255"</f>
        <v>1551604068004255</v>
      </c>
      <c r="C1387" t="s">
        <v>40</v>
      </c>
      <c r="D1387">
        <v>4.2105670000000002</v>
      </c>
      <c r="E1387">
        <v>0.40643259999999998</v>
      </c>
      <c r="F1387" t="s">
        <v>68</v>
      </c>
      <c r="G1387">
        <v>-376.0788</v>
      </c>
      <c r="H1387">
        <v>2.847858</v>
      </c>
      <c r="I1387">
        <v>267.85000000000002</v>
      </c>
      <c r="J1387">
        <v>-268.56970000000001</v>
      </c>
      <c r="K1387">
        <v>1.122064</v>
      </c>
      <c r="L1387">
        <v>285.43099999999998</v>
      </c>
      <c r="M1387">
        <v>-0.99982119999999997</v>
      </c>
      <c r="N1387">
        <v>-1.4844130000000001E-2</v>
      </c>
      <c r="O1387">
        <v>1.170825E-2</v>
      </c>
      <c r="P1387">
        <v>-0.97959609999999997</v>
      </c>
      <c r="Q1387">
        <v>0.19901650000000001</v>
      </c>
      <c r="R1387">
        <v>2.799422E-2</v>
      </c>
      <c r="S1387">
        <v>-3.0676269999999999</v>
      </c>
      <c r="T1387">
        <v>4.9081800000000002E-2</v>
      </c>
      <c r="U1387">
        <v>-0.49987789999999999</v>
      </c>
      <c r="V1387">
        <v>1.6087730000000001E-2</v>
      </c>
      <c r="W1387">
        <v>0.21357290000000001</v>
      </c>
      <c r="X1387">
        <v>0.97679470000000002</v>
      </c>
      <c r="Y1387">
        <v>-0.17237069999999999</v>
      </c>
      <c r="Z1387">
        <v>4.4077819999999997E-4</v>
      </c>
      <c r="AA1387">
        <v>0.98503209999999997</v>
      </c>
      <c r="AB1387">
        <v>37</v>
      </c>
      <c r="AC1387">
        <v>-107.5091</v>
      </c>
      <c r="AD1387">
        <v>1.7257939999999901</v>
      </c>
      <c r="AE1387">
        <v>-17.5809999999999</v>
      </c>
      <c r="AF1387">
        <v>-18.833950071118899</v>
      </c>
      <c r="AG1387">
        <v>1.7257939999999901</v>
      </c>
      <c r="AH1387">
        <v>107.2689422917</v>
      </c>
      <c r="AI1387">
        <v>89.092162127185802</v>
      </c>
      <c r="AJ1387">
        <v>99.958314989974795</v>
      </c>
      <c r="AK1387">
        <v>108.923468640105</v>
      </c>
      <c r="AL1387">
        <v>77.668184582983599</v>
      </c>
      <c r="AM1387">
        <v>89.056428439266099</v>
      </c>
      <c r="AN1387">
        <v>1.0000000423095201</v>
      </c>
    </row>
    <row r="1388" spans="1:40" x14ac:dyDescent="0.25">
      <c r="A1388" t="str">
        <f>"20190303170748035"</f>
        <v>20190303170748035</v>
      </c>
      <c r="B1388" t="str">
        <f>"1551604068023774"</f>
        <v>1551604068023774</v>
      </c>
      <c r="C1388" t="s">
        <v>40</v>
      </c>
      <c r="D1388">
        <v>4.2116470000000001</v>
      </c>
      <c r="E1388">
        <v>0.39987790000000001</v>
      </c>
      <c r="F1388" t="s">
        <v>68</v>
      </c>
      <c r="G1388">
        <v>-352.08690000000001</v>
      </c>
      <c r="H1388">
        <v>3.3615550000000001</v>
      </c>
      <c r="I1388">
        <v>266.54169999999999</v>
      </c>
      <c r="J1388">
        <v>-268.91059999999999</v>
      </c>
      <c r="K1388">
        <v>1.1220650000000001</v>
      </c>
      <c r="L1388">
        <v>285.43419999999998</v>
      </c>
      <c r="M1388">
        <v>-0.99983010000000005</v>
      </c>
      <c r="N1388">
        <v>-1.4843220000000001E-2</v>
      </c>
      <c r="O1388">
        <v>1.0932870000000001E-2</v>
      </c>
      <c r="P1388">
        <v>-0.97968909999999998</v>
      </c>
      <c r="Q1388">
        <v>0.1986667</v>
      </c>
      <c r="R1388">
        <v>2.7223199999999999E-2</v>
      </c>
      <c r="S1388">
        <v>-3.0656129999999999</v>
      </c>
      <c r="T1388">
        <v>8.2206249999999995E-2</v>
      </c>
      <c r="U1388">
        <v>-0.69335939999999996</v>
      </c>
      <c r="V1388">
        <v>1.6077190000000002E-2</v>
      </c>
      <c r="W1388">
        <v>0.21322350000000001</v>
      </c>
      <c r="X1388">
        <v>0.97687109999999999</v>
      </c>
      <c r="Y1388">
        <v>-0.23120969999999999</v>
      </c>
      <c r="Z1388">
        <v>1.7729759999999999E-3</v>
      </c>
      <c r="AA1388">
        <v>0.9729023</v>
      </c>
      <c r="AB1388">
        <v>37</v>
      </c>
      <c r="AC1388">
        <v>-83.176299999999998</v>
      </c>
      <c r="AD1388">
        <v>2.23949</v>
      </c>
      <c r="AE1388">
        <v>-18.892499999999899</v>
      </c>
      <c r="AF1388">
        <v>-19.787185783052202</v>
      </c>
      <c r="AG1388">
        <v>2.23949</v>
      </c>
      <c r="AH1388">
        <v>82.907601873979601</v>
      </c>
      <c r="AI1388">
        <v>88.494960237748899</v>
      </c>
      <c r="AJ1388">
        <v>103.423415502045</v>
      </c>
      <c r="AK1388">
        <v>85.265576202635501</v>
      </c>
      <c r="AL1388">
        <v>77.688674474482895</v>
      </c>
      <c r="AM1388">
        <v>89.057120249799198</v>
      </c>
      <c r="AN1388">
        <v>0.99999994150287597</v>
      </c>
    </row>
    <row r="1389" spans="1:40" x14ac:dyDescent="0.25">
      <c r="A1389" t="str">
        <f>"20190303170748059"</f>
        <v>20190303170748059</v>
      </c>
      <c r="B1389" t="str">
        <f>"1551604068054031"</f>
        <v>1551604068054031</v>
      </c>
      <c r="C1389" t="s">
        <v>40</v>
      </c>
      <c r="D1389">
        <v>4.2551290000000002</v>
      </c>
      <c r="E1389">
        <v>0.3958064</v>
      </c>
      <c r="F1389" t="s">
        <v>68</v>
      </c>
      <c r="G1389">
        <v>-352.55</v>
      </c>
      <c r="H1389">
        <v>3.7802709999999999</v>
      </c>
      <c r="I1389">
        <v>265.03160000000003</v>
      </c>
      <c r="J1389">
        <v>-269.3116</v>
      </c>
      <c r="K1389">
        <v>1.1220559999999999</v>
      </c>
      <c r="L1389">
        <v>285.43770000000001</v>
      </c>
      <c r="M1389">
        <v>-0.9998397</v>
      </c>
      <c r="N1389">
        <v>-1.484151E-2</v>
      </c>
      <c r="O1389">
        <v>1.002138E-2</v>
      </c>
      <c r="P1389">
        <v>-0.97983799999999999</v>
      </c>
      <c r="Q1389">
        <v>0.19806860000000001</v>
      </c>
      <c r="R1389">
        <v>2.620186E-2</v>
      </c>
      <c r="S1389">
        <v>-3.063202</v>
      </c>
      <c r="T1389">
        <v>9.7356559999999995E-2</v>
      </c>
      <c r="U1389">
        <v>-0.74722290000000002</v>
      </c>
      <c r="V1389">
        <v>1.5949890000000001E-2</v>
      </c>
      <c r="W1389">
        <v>0.2126248</v>
      </c>
      <c r="X1389">
        <v>0.97700379999999998</v>
      </c>
      <c r="Y1389">
        <v>-0.24664040000000001</v>
      </c>
      <c r="Z1389">
        <v>2.4652570000000002E-3</v>
      </c>
      <c r="AA1389">
        <v>0.96910390000000002</v>
      </c>
      <c r="AB1389">
        <v>37</v>
      </c>
      <c r="AC1389">
        <v>-83.238399999999999</v>
      </c>
      <c r="AD1389">
        <v>2.6582150000000002</v>
      </c>
      <c r="AE1389">
        <v>-20.406099999999899</v>
      </c>
      <c r="AF1389">
        <v>-21.218917433465499</v>
      </c>
      <c r="AG1389">
        <v>2.6582150000000002</v>
      </c>
      <c r="AH1389">
        <v>82.949899625748699</v>
      </c>
      <c r="AI1389">
        <v>88.221746084917697</v>
      </c>
      <c r="AJ1389">
        <v>104.34879762595401</v>
      </c>
      <c r="AK1389">
        <v>85.6620943705922</v>
      </c>
      <c r="AL1389">
        <v>77.723784071039802</v>
      </c>
      <c r="AM1389">
        <v>89.064711716036797</v>
      </c>
      <c r="AN1389">
        <v>1.0000000648902401</v>
      </c>
    </row>
    <row r="1390" spans="1:40" x14ac:dyDescent="0.25">
      <c r="A1390" t="str">
        <f>"20190303170748081"</f>
        <v>20190303170748081</v>
      </c>
      <c r="B1390" t="str">
        <f>"1551604068073550"</f>
        <v>1551604068073550</v>
      </c>
      <c r="C1390" t="s">
        <v>40</v>
      </c>
      <c r="D1390">
        <v>4.2392989999999999</v>
      </c>
      <c r="E1390">
        <v>0.39423649999999999</v>
      </c>
      <c r="F1390" t="s">
        <v>68</v>
      </c>
      <c r="G1390">
        <v>-352.55</v>
      </c>
      <c r="H1390">
        <v>3.9785539999999999</v>
      </c>
      <c r="I1390">
        <v>264.15699999999998</v>
      </c>
      <c r="J1390">
        <v>-269.66789999999997</v>
      </c>
      <c r="K1390">
        <v>1.122053</v>
      </c>
      <c r="L1390">
        <v>285.44049999999999</v>
      </c>
      <c r="M1390">
        <v>-0.99984759999999995</v>
      </c>
      <c r="N1390">
        <v>-1.483992E-2</v>
      </c>
      <c r="O1390">
        <v>9.2116820000000006E-3</v>
      </c>
      <c r="P1390">
        <v>-0.97994320000000001</v>
      </c>
      <c r="Q1390">
        <v>0.1975847</v>
      </c>
      <c r="R1390">
        <v>2.592013E-2</v>
      </c>
      <c r="S1390">
        <v>-3.0614319999999999</v>
      </c>
      <c r="T1390">
        <v>0.105062</v>
      </c>
      <c r="U1390">
        <v>-0.7826843</v>
      </c>
      <c r="V1390">
        <v>1.6462580000000001E-2</v>
      </c>
      <c r="W1390">
        <v>0.21214160000000001</v>
      </c>
      <c r="X1390">
        <v>0.97710030000000003</v>
      </c>
      <c r="Y1390">
        <v>-0.25651960000000001</v>
      </c>
      <c r="Z1390">
        <v>2.8424209999999999E-3</v>
      </c>
      <c r="AA1390">
        <v>0.96653489999999997</v>
      </c>
      <c r="AB1390">
        <v>37</v>
      </c>
      <c r="AC1390">
        <v>-82.882099999999994</v>
      </c>
      <c r="AD1390">
        <v>2.8565010000000002</v>
      </c>
      <c r="AE1390">
        <v>-21.2835</v>
      </c>
      <c r="AF1390">
        <v>-22.0216249500941</v>
      </c>
      <c r="AG1390">
        <v>2.8565010000000002</v>
      </c>
      <c r="AH1390">
        <v>82.590471292131099</v>
      </c>
      <c r="AI1390">
        <v>88.085957914576795</v>
      </c>
      <c r="AJ1390">
        <v>104.92979750320499</v>
      </c>
      <c r="AK1390">
        <v>85.523666383416597</v>
      </c>
      <c r="AL1390">
        <v>77.752115371731804</v>
      </c>
      <c r="AM1390">
        <v>89.034748922565299</v>
      </c>
      <c r="AN1390">
        <v>1.0000000356254499</v>
      </c>
    </row>
    <row r="1391" spans="1:40" x14ac:dyDescent="0.25">
      <c r="A1391" t="str">
        <f>"20190303170748104"</f>
        <v>20190303170748104</v>
      </c>
      <c r="B1391" t="str">
        <f>"1551604068094046"</f>
        <v>1551604068094046</v>
      </c>
      <c r="C1391" t="s">
        <v>40</v>
      </c>
      <c r="D1391">
        <v>4.2853430000000001</v>
      </c>
      <c r="E1391">
        <v>0.39313379999999998</v>
      </c>
      <c r="F1391" t="s">
        <v>68</v>
      </c>
      <c r="G1391">
        <v>-352.55</v>
      </c>
      <c r="H1391">
        <v>4.0283540000000002</v>
      </c>
      <c r="I1391">
        <v>263.8938</v>
      </c>
      <c r="J1391">
        <v>-270.0532</v>
      </c>
      <c r="K1391">
        <v>1.122055</v>
      </c>
      <c r="L1391">
        <v>285.44319999999999</v>
      </c>
      <c r="M1391">
        <v>-0.9998553</v>
      </c>
      <c r="N1391">
        <v>-1.483809E-2</v>
      </c>
      <c r="O1391">
        <v>8.3356550000000008E-3</v>
      </c>
      <c r="P1391">
        <v>-0.97985299999999997</v>
      </c>
      <c r="Q1391">
        <v>0.19799349999999999</v>
      </c>
      <c r="R1391">
        <v>2.621161E-2</v>
      </c>
      <c r="S1391">
        <v>-3.0608219999999999</v>
      </c>
      <c r="T1391">
        <v>0.10733189999999999</v>
      </c>
      <c r="U1391">
        <v>-0.79571530000000001</v>
      </c>
      <c r="V1391">
        <v>1.761389E-2</v>
      </c>
      <c r="W1391">
        <v>0.2125493</v>
      </c>
      <c r="X1391">
        <v>0.97699159999999996</v>
      </c>
      <c r="Y1391">
        <v>-0.2595711</v>
      </c>
      <c r="Z1391">
        <v>2.9268300000000001E-3</v>
      </c>
      <c r="AA1391">
        <v>0.96571960000000001</v>
      </c>
      <c r="AB1391">
        <v>37</v>
      </c>
      <c r="AC1391">
        <v>-82.496799999999993</v>
      </c>
      <c r="AD1391">
        <v>2.9062990000000002</v>
      </c>
      <c r="AE1391">
        <v>-21.549399999999899</v>
      </c>
      <c r="AF1391">
        <v>-22.2105868563694</v>
      </c>
      <c r="AG1391">
        <v>2.9062990000000002</v>
      </c>
      <c r="AH1391">
        <v>82.218761417900197</v>
      </c>
      <c r="AI1391">
        <v>88.045532035196601</v>
      </c>
      <c r="AJ1391">
        <v>105.117058154772</v>
      </c>
      <c r="AK1391">
        <v>85.215500183213905</v>
      </c>
      <c r="AL1391">
        <v>77.728210538203996</v>
      </c>
      <c r="AM1391">
        <v>88.967143384351402</v>
      </c>
      <c r="AN1391">
        <v>1.00000002026099</v>
      </c>
    </row>
    <row r="1392" spans="1:40" x14ac:dyDescent="0.25">
      <c r="A1392" t="str">
        <f>"20190303170748125"</f>
        <v>20190303170748125</v>
      </c>
      <c r="B1392" t="str">
        <f>"1551604068113570"</f>
        <v>1551604068113570</v>
      </c>
      <c r="C1392" t="s">
        <v>40</v>
      </c>
      <c r="D1392">
        <v>4.3055479999999999</v>
      </c>
      <c r="E1392">
        <v>0.39216580000000001</v>
      </c>
      <c r="F1392" t="s">
        <v>68</v>
      </c>
      <c r="G1392">
        <v>-352.55</v>
      </c>
      <c r="H1392">
        <v>4.1438889999999997</v>
      </c>
      <c r="I1392">
        <v>263.78399999999999</v>
      </c>
      <c r="J1392">
        <v>-270.3895</v>
      </c>
      <c r="K1392">
        <v>1.122066</v>
      </c>
      <c r="L1392">
        <v>285.44529999999997</v>
      </c>
      <c r="M1392">
        <v>-0.99986140000000001</v>
      </c>
      <c r="N1392">
        <v>-1.483612E-2</v>
      </c>
      <c r="O1392">
        <v>7.5714340000000002E-3</v>
      </c>
      <c r="P1392">
        <v>-0.97984689999999997</v>
      </c>
      <c r="Q1392">
        <v>0.19798550000000001</v>
      </c>
      <c r="R1392">
        <v>2.649673E-2</v>
      </c>
      <c r="S1392">
        <v>-3.0605159999999998</v>
      </c>
      <c r="T1392">
        <v>0.1121086</v>
      </c>
      <c r="U1392">
        <v>-0.80352780000000001</v>
      </c>
      <c r="V1392">
        <v>1.864888E-2</v>
      </c>
      <c r="W1392">
        <v>0.21254139999999999</v>
      </c>
      <c r="X1392">
        <v>0.97697409999999996</v>
      </c>
      <c r="Y1392">
        <v>-0.26115300000000002</v>
      </c>
      <c r="Z1392">
        <v>3.1150040000000002E-3</v>
      </c>
      <c r="AA1392">
        <v>0.96529240000000005</v>
      </c>
      <c r="AB1392">
        <v>37</v>
      </c>
      <c r="AC1392">
        <v>-82.160499999999999</v>
      </c>
      <c r="AD1392">
        <v>3.0218229999999902</v>
      </c>
      <c r="AE1392">
        <v>-21.661299999999901</v>
      </c>
      <c r="AF1392">
        <v>-22.2546721029005</v>
      </c>
      <c r="AG1392">
        <v>3.0218229999999902</v>
      </c>
      <c r="AH1392">
        <v>81.890542856796799</v>
      </c>
      <c r="AI1392">
        <v>87.960602928038199</v>
      </c>
      <c r="AJ1392">
        <v>105.20358618311499</v>
      </c>
      <c r="AK1392">
        <v>84.914444319160594</v>
      </c>
      <c r="AL1392">
        <v>77.728673627957406</v>
      </c>
      <c r="AM1392">
        <v>88.906447602590006</v>
      </c>
      <c r="AN1392">
        <v>1.0000000097550099</v>
      </c>
    </row>
    <row r="1393" spans="1:40" x14ac:dyDescent="0.25">
      <c r="A1393" t="str">
        <f>"20190303170748147"</f>
        <v>20190303170748147</v>
      </c>
      <c r="B1393" t="str">
        <f>"1551604068134063"</f>
        <v>1551604068134063</v>
      </c>
      <c r="C1393" t="s">
        <v>40</v>
      </c>
      <c r="D1393">
        <v>4.3078640000000004</v>
      </c>
      <c r="E1393">
        <v>0.39134039999999998</v>
      </c>
      <c r="F1393" t="s">
        <v>74</v>
      </c>
      <c r="G1393">
        <v>-337.33519999999999</v>
      </c>
      <c r="H1393">
        <v>3.5857640000000002</v>
      </c>
      <c r="I1393">
        <v>267.73129999999998</v>
      </c>
      <c r="J1393">
        <v>-270.75830000000002</v>
      </c>
      <c r="K1393">
        <v>1.12206299999999</v>
      </c>
      <c r="L1393">
        <v>285.44720000000001</v>
      </c>
      <c r="M1393">
        <v>-0.99986739999999996</v>
      </c>
      <c r="N1393">
        <v>-1.4833789999999999E-2</v>
      </c>
      <c r="O1393">
        <v>6.7319529999999997E-3</v>
      </c>
      <c r="P1393">
        <v>-0.97977360000000002</v>
      </c>
      <c r="Q1393">
        <v>0.19834350000000001</v>
      </c>
      <c r="R1393">
        <v>2.652289E-2</v>
      </c>
      <c r="S1393">
        <v>-3.0608520000000001</v>
      </c>
      <c r="T1393">
        <v>0.1126437</v>
      </c>
      <c r="U1393">
        <v>-0.80990600000000001</v>
      </c>
      <c r="V1393">
        <v>1.9498680000000001E-2</v>
      </c>
      <c r="W1393">
        <v>0.21289739999999999</v>
      </c>
      <c r="X1393">
        <v>0.97687999999999997</v>
      </c>
      <c r="Y1393">
        <v>-0.2621967</v>
      </c>
      <c r="Z1393">
        <v>3.105062E-3</v>
      </c>
      <c r="AA1393">
        <v>0.96500949999999996</v>
      </c>
      <c r="AB1393">
        <v>37</v>
      </c>
      <c r="AC1393">
        <v>-66.576899999999895</v>
      </c>
      <c r="AD1393">
        <v>2.4637009999999999</v>
      </c>
      <c r="AE1393">
        <v>-17.715900000000001</v>
      </c>
      <c r="AF1393">
        <v>-18.1405413960807</v>
      </c>
      <c r="AG1393">
        <v>2.4637009999999999</v>
      </c>
      <c r="AH1393">
        <v>66.371236891147007</v>
      </c>
      <c r="AI1393">
        <v>87.949305829424304</v>
      </c>
      <c r="AJ1393">
        <v>105.286687381793</v>
      </c>
      <c r="AK1393">
        <v>68.849765077457505</v>
      </c>
      <c r="AL1393">
        <v>77.707798671923697</v>
      </c>
      <c r="AM1393">
        <v>88.856518979334595</v>
      </c>
      <c r="AN1393">
        <v>1.0000000179242501</v>
      </c>
    </row>
    <row r="1394" spans="1:40" x14ac:dyDescent="0.25">
      <c r="A1394" t="str">
        <f>"20190303170748171"</f>
        <v>20190303170748171</v>
      </c>
      <c r="B1394" t="str">
        <f>"1551604068164318"</f>
        <v>1551604068164318</v>
      </c>
      <c r="C1394" t="s">
        <v>40</v>
      </c>
      <c r="D1394">
        <v>4.3612349999999998</v>
      </c>
      <c r="E1394">
        <v>0.3903277</v>
      </c>
      <c r="F1394" t="s">
        <v>74</v>
      </c>
      <c r="G1394">
        <v>-337.22829999999999</v>
      </c>
      <c r="H1394">
        <v>3.6298910000000002</v>
      </c>
      <c r="I1394">
        <v>267.72070000000002</v>
      </c>
      <c r="J1394">
        <v>-271.14499999999998</v>
      </c>
      <c r="K1394">
        <v>1.122058</v>
      </c>
      <c r="L1394">
        <v>285.44889999999998</v>
      </c>
      <c r="M1394">
        <v>-0.99987289999999995</v>
      </c>
      <c r="N1394">
        <v>-1.48311E-2</v>
      </c>
      <c r="O1394">
        <v>5.8511750000000001E-3</v>
      </c>
      <c r="P1394">
        <v>-0.97988160000000002</v>
      </c>
      <c r="Q1394">
        <v>0.1976945</v>
      </c>
      <c r="R1394">
        <v>2.7367430000000002E-2</v>
      </c>
      <c r="S1394">
        <v>-3.060638</v>
      </c>
      <c r="T1394">
        <v>0.1154739</v>
      </c>
      <c r="U1394">
        <v>-0.81622309999999998</v>
      </c>
      <c r="V1394">
        <v>2.1208399999999999E-2</v>
      </c>
      <c r="W1394">
        <v>0.21225060000000001</v>
      </c>
      <c r="X1394">
        <v>0.97698510000000005</v>
      </c>
      <c r="Y1394">
        <v>-0.26321749999999999</v>
      </c>
      <c r="Z1394">
        <v>3.1947579999999998E-3</v>
      </c>
      <c r="AA1394">
        <v>0.96473120000000001</v>
      </c>
      <c r="AB1394">
        <v>37</v>
      </c>
      <c r="AC1394">
        <v>-66.083299999999994</v>
      </c>
      <c r="AD1394">
        <v>2.5078330000000002</v>
      </c>
      <c r="AE1394">
        <v>-17.728199999999902</v>
      </c>
      <c r="AF1394">
        <v>-18.0902999656583</v>
      </c>
      <c r="AG1394">
        <v>2.5078330000000002</v>
      </c>
      <c r="AH1394">
        <v>65.889904474118893</v>
      </c>
      <c r="AI1394">
        <v>87.898029705304097</v>
      </c>
      <c r="AJ1394">
        <v>105.352461455602</v>
      </c>
      <c r="AK1394">
        <v>68.374174150858394</v>
      </c>
      <c r="AL1394">
        <v>77.745724146282001</v>
      </c>
      <c r="AM1394">
        <v>88.756418097775096</v>
      </c>
      <c r="AN1394">
        <v>0.99999999952646501</v>
      </c>
    </row>
    <row r="1395" spans="1:40" x14ac:dyDescent="0.25">
      <c r="A1395" t="str">
        <f>"20190303170748193"</f>
        <v>20190303170748193</v>
      </c>
      <c r="B1395" t="str">
        <f>"1551604068183838"</f>
        <v>1551604068183838</v>
      </c>
      <c r="C1395" t="s">
        <v>40</v>
      </c>
      <c r="D1395">
        <v>4.7369180000000002</v>
      </c>
      <c r="E1395">
        <v>0.39061040000000002</v>
      </c>
      <c r="F1395" t="s">
        <v>74</v>
      </c>
      <c r="G1395">
        <v>-337.2038</v>
      </c>
      <c r="H1395">
        <v>3.627621</v>
      </c>
      <c r="I1395">
        <v>267.71089999999998</v>
      </c>
      <c r="J1395">
        <v>-271.51920000000001</v>
      </c>
      <c r="K1395">
        <v>1.1220559999999999</v>
      </c>
      <c r="L1395">
        <v>285.45030000000003</v>
      </c>
      <c r="M1395">
        <v>-0.99987769999999998</v>
      </c>
      <c r="N1395">
        <v>-1.482818E-2</v>
      </c>
      <c r="O1395">
        <v>4.9985819999999997E-3</v>
      </c>
      <c r="P1395">
        <v>-0.9800006</v>
      </c>
      <c r="Q1395">
        <v>0.19680320000000001</v>
      </c>
      <c r="R1395">
        <v>2.9459329999999999E-2</v>
      </c>
      <c r="S1395">
        <v>-3.061096</v>
      </c>
      <c r="T1395">
        <v>0.116105</v>
      </c>
      <c r="U1395">
        <v>-0.82196039999999904</v>
      </c>
      <c r="V1395">
        <v>2.413833E-2</v>
      </c>
      <c r="W1395">
        <v>0.21136379999999999</v>
      </c>
      <c r="X1395">
        <v>0.97710940000000002</v>
      </c>
      <c r="Y1395">
        <v>-0.26404559999999999</v>
      </c>
      <c r="Z1395">
        <v>3.1855189999999999E-3</v>
      </c>
      <c r="AA1395">
        <v>0.96450499999999995</v>
      </c>
      <c r="AB1395">
        <v>37</v>
      </c>
      <c r="AC1395">
        <v>-65.684599999999904</v>
      </c>
      <c r="AD1395">
        <v>2.5055649999999998</v>
      </c>
      <c r="AE1395">
        <v>-17.7394</v>
      </c>
      <c r="AF1395">
        <v>-18.043075015189999</v>
      </c>
      <c r="AG1395">
        <v>2.5055649999999998</v>
      </c>
      <c r="AH1395">
        <v>65.506260897243607</v>
      </c>
      <c r="AI1395">
        <v>87.888119351288594</v>
      </c>
      <c r="AJ1395">
        <v>105.399711087558</v>
      </c>
      <c r="AK1395">
        <v>67.991915907045495</v>
      </c>
      <c r="AL1395">
        <v>77.797714201325803</v>
      </c>
      <c r="AM1395">
        <v>88.584863482925499</v>
      </c>
      <c r="AN1395">
        <v>1.0000000472469901</v>
      </c>
    </row>
    <row r="1396" spans="1:40" x14ac:dyDescent="0.25">
      <c r="A1396" t="str">
        <f>"20190303170748217"</f>
        <v>20190303170748217</v>
      </c>
      <c r="B1396" t="str">
        <f>"1551604068204334"</f>
        <v>1551604068204334</v>
      </c>
      <c r="C1396" t="s">
        <v>40</v>
      </c>
      <c r="D1396">
        <v>4.4182689999999996</v>
      </c>
      <c r="E1396">
        <v>0.45183400000000001</v>
      </c>
      <c r="F1396" t="s">
        <v>68</v>
      </c>
      <c r="G1396">
        <v>-352.55</v>
      </c>
      <c r="H1396">
        <v>4.0856009999999996</v>
      </c>
      <c r="I1396">
        <v>263.93619999999999</v>
      </c>
      <c r="J1396">
        <v>-271.88810000000001</v>
      </c>
      <c r="K1396">
        <v>1.122061</v>
      </c>
      <c r="L1396">
        <v>285.4513</v>
      </c>
      <c r="M1396">
        <v>-0.99988140000000003</v>
      </c>
      <c r="N1396">
        <v>-1.4825049999999999E-2</v>
      </c>
      <c r="O1396">
        <v>4.1578500000000003E-3</v>
      </c>
      <c r="P1396">
        <v>-0.97984919999999998</v>
      </c>
      <c r="Q1396">
        <v>0.1971387</v>
      </c>
      <c r="R1396">
        <v>3.2122390000000001E-2</v>
      </c>
      <c r="S1396">
        <v>-3.063202</v>
      </c>
      <c r="T1396">
        <v>0.11203339999999901</v>
      </c>
      <c r="U1396">
        <v>-0.8132935</v>
      </c>
      <c r="V1396">
        <v>2.762622E-2</v>
      </c>
      <c r="W1396">
        <v>0.21170030000000001</v>
      </c>
      <c r="X1396">
        <v>0.97694409999999998</v>
      </c>
      <c r="Y1396">
        <v>-0.26053159999999997</v>
      </c>
      <c r="Z1396">
        <v>2.927196E-3</v>
      </c>
      <c r="AA1396">
        <v>0.96546089999999996</v>
      </c>
      <c r="AB1396">
        <v>37</v>
      </c>
      <c r="AC1396">
        <v>-80.661900000000003</v>
      </c>
      <c r="AD1396">
        <v>2.9635400000000001</v>
      </c>
      <c r="AE1396">
        <v>-21.5151</v>
      </c>
      <c r="AF1396">
        <v>-21.8228300321536</v>
      </c>
      <c r="AG1396">
        <v>2.9635400000000001</v>
      </c>
      <c r="AH1396">
        <v>80.470328306546904</v>
      </c>
      <c r="AI1396">
        <v>87.964341971967997</v>
      </c>
      <c r="AJ1396">
        <v>105.173159494521</v>
      </c>
      <c r="AK1396">
        <v>83.429564410389304</v>
      </c>
      <c r="AL1396">
        <v>77.777987195487796</v>
      </c>
      <c r="AM1396">
        <v>88.3802101922969</v>
      </c>
      <c r="AN1396">
        <v>0.99999999978819398</v>
      </c>
    </row>
    <row r="1397" spans="1:40" x14ac:dyDescent="0.25">
      <c r="A1397" t="str">
        <f>"20190303170748238"</f>
        <v>20190303170748238</v>
      </c>
      <c r="B1397" t="str">
        <f>"1551604068223855"</f>
        <v>1551604068223855</v>
      </c>
      <c r="C1397" t="s">
        <v>40</v>
      </c>
      <c r="D1397">
        <v>4.4293550000000002</v>
      </c>
      <c r="E1397">
        <v>0.50280199999999997</v>
      </c>
      <c r="F1397" t="s">
        <v>69</v>
      </c>
      <c r="G1397">
        <v>-440.6841</v>
      </c>
      <c r="H1397">
        <v>0.86684889999999903</v>
      </c>
      <c r="I1397">
        <v>267.77409999999998</v>
      </c>
      <c r="J1397">
        <v>-272.24689999999998</v>
      </c>
      <c r="K1397">
        <v>1.1220669999999999</v>
      </c>
      <c r="L1397">
        <v>285.452</v>
      </c>
      <c r="M1397">
        <v>-0.99988469999999996</v>
      </c>
      <c r="N1397">
        <v>-1.4821930000000001E-2</v>
      </c>
      <c r="O1397">
        <v>3.3400600000000002E-3</v>
      </c>
      <c r="P1397">
        <v>-0.97947289999999998</v>
      </c>
      <c r="Q1397">
        <v>0.1985133</v>
      </c>
      <c r="R1397">
        <v>3.5010350000000003E-2</v>
      </c>
      <c r="S1397">
        <v>-3.0731809999999999</v>
      </c>
      <c r="T1397">
        <v>-4.6463009999999898E-3</v>
      </c>
      <c r="U1397">
        <v>-0.32183840000000002</v>
      </c>
      <c r="V1397">
        <v>3.1315229999999999E-2</v>
      </c>
      <c r="W1397">
        <v>0.2130735</v>
      </c>
      <c r="X1397">
        <v>0.97653420000000002</v>
      </c>
      <c r="Y1397">
        <v>-0.1074753</v>
      </c>
      <c r="Z1397">
        <v>-8.3540449999999896E-4</v>
      </c>
      <c r="AA1397">
        <v>0.99420739999999996</v>
      </c>
      <c r="AB1397">
        <v>37</v>
      </c>
      <c r="AC1397">
        <v>-168.43719999999999</v>
      </c>
      <c r="AD1397">
        <v>-0.2552181</v>
      </c>
      <c r="AE1397">
        <v>-17.677900000000001</v>
      </c>
      <c r="AF1397">
        <v>-18.2404120386188</v>
      </c>
      <c r="AG1397">
        <v>-0.2552181</v>
      </c>
      <c r="AH1397">
        <v>168.37682616321601</v>
      </c>
      <c r="AI1397">
        <v>90.086341172841003</v>
      </c>
      <c r="AJ1397">
        <v>96.182792000612693</v>
      </c>
      <c r="AK1397">
        <v>169.36213672605501</v>
      </c>
      <c r="AL1397">
        <v>77.697471742132905</v>
      </c>
      <c r="AM1397">
        <v>88.163284125682907</v>
      </c>
      <c r="AN1397">
        <v>1.0000000019009201</v>
      </c>
    </row>
    <row r="1398" spans="1:40" x14ac:dyDescent="0.25">
      <c r="A1398" t="str">
        <f>"20190303170748259"</f>
        <v>20190303170748259</v>
      </c>
      <c r="B1398" t="str">
        <f>"1551604068254111"</f>
        <v>1551604068254111</v>
      </c>
      <c r="C1398" t="s">
        <v>40</v>
      </c>
      <c r="D1398">
        <v>4.3724809999999996</v>
      </c>
      <c r="E1398">
        <v>0.50620200000000004</v>
      </c>
      <c r="F1398" t="s">
        <v>72</v>
      </c>
      <c r="G1398">
        <v>-550.05730000000005</v>
      </c>
      <c r="H1398">
        <v>1.260324</v>
      </c>
      <c r="I1398">
        <v>294.03219999999999</v>
      </c>
      <c r="J1398">
        <v>-272.60419999999999</v>
      </c>
      <c r="K1398">
        <v>1.12207099999999</v>
      </c>
      <c r="L1398">
        <v>285.45240000000001</v>
      </c>
      <c r="M1398">
        <v>-0.99988719999999998</v>
      </c>
      <c r="N1398">
        <v>-1.481877E-2</v>
      </c>
      <c r="O1398">
        <v>2.5259039999999998E-3</v>
      </c>
      <c r="P1398">
        <v>-0.97914860000000004</v>
      </c>
      <c r="Q1398">
        <v>0.19973260000000001</v>
      </c>
      <c r="R1398">
        <v>3.7087269999999999E-2</v>
      </c>
      <c r="S1398">
        <v>-3.0591430000000002</v>
      </c>
      <c r="T1398">
        <v>1.5233759999999999E-3</v>
      </c>
      <c r="U1398">
        <v>9.4482419999999998E-2</v>
      </c>
      <c r="V1398">
        <v>3.4189049999999999E-2</v>
      </c>
      <c r="W1398">
        <v>0.2142897</v>
      </c>
      <c r="X1398">
        <v>0.97617160000000003</v>
      </c>
      <c r="Y1398">
        <v>2.8345860000000001E-2</v>
      </c>
      <c r="Z1398">
        <v>2.417121E-4</v>
      </c>
      <c r="AA1398">
        <v>0.99959810000000004</v>
      </c>
      <c r="AB1398">
        <v>37</v>
      </c>
      <c r="AC1398">
        <v>-277.45310000000001</v>
      </c>
      <c r="AD1398">
        <v>0.13825299999999999</v>
      </c>
      <c r="AE1398">
        <v>8.5797999999999703</v>
      </c>
      <c r="AF1398">
        <v>7.8788739490724398</v>
      </c>
      <c r="AG1398">
        <v>0.13825299999999999</v>
      </c>
      <c r="AH1398">
        <v>277.473819999608</v>
      </c>
      <c r="AI1398">
        <v>89.971463537375797</v>
      </c>
      <c r="AJ1398">
        <v>88.373522379897295</v>
      </c>
      <c r="AK1398">
        <v>277.58569227136297</v>
      </c>
      <c r="AL1398">
        <v>77.626140832552807</v>
      </c>
      <c r="AM1398">
        <v>87.994115070739596</v>
      </c>
      <c r="AN1398">
        <v>0.99999997965627596</v>
      </c>
    </row>
    <row r="1399" spans="1:40" x14ac:dyDescent="0.25">
      <c r="A1399" t="str">
        <f>"20190303170748282"</f>
        <v>20190303170748282</v>
      </c>
      <c r="B1399" t="str">
        <f>"1551604068274606"</f>
        <v>1551604068274606</v>
      </c>
      <c r="C1399" t="s">
        <v>40</v>
      </c>
      <c r="D1399">
        <v>4.5464070000000003</v>
      </c>
      <c r="E1399">
        <v>0.50647159999999902</v>
      </c>
      <c r="F1399" t="s">
        <v>41</v>
      </c>
      <c r="G1399">
        <v>-476.18060000000003</v>
      </c>
      <c r="H1399">
        <v>0.65828580000000003</v>
      </c>
      <c r="I1399">
        <v>293.8929</v>
      </c>
      <c r="J1399">
        <v>-272.97410000000002</v>
      </c>
      <c r="K1399">
        <v>1.1220760000000001</v>
      </c>
      <c r="L1399">
        <v>285.45249999999999</v>
      </c>
      <c r="M1399">
        <v>-0.99988889999999997</v>
      </c>
      <c r="N1399">
        <v>-1.481536E-2</v>
      </c>
      <c r="O1399">
        <v>1.68267E-3</v>
      </c>
      <c r="P1399">
        <v>-0.97901499999999997</v>
      </c>
      <c r="Q1399">
        <v>0.19995180000000001</v>
      </c>
      <c r="R1399">
        <v>3.9360159999999998E-2</v>
      </c>
      <c r="S1399">
        <v>-3.0605159999999998</v>
      </c>
      <c r="T1399">
        <v>-6.9724319999999998E-3</v>
      </c>
      <c r="U1399">
        <v>0.12689210000000001</v>
      </c>
      <c r="V1399">
        <v>3.728828E-2</v>
      </c>
      <c r="W1399">
        <v>0.21450959999999999</v>
      </c>
      <c r="X1399">
        <v>0.97600980000000004</v>
      </c>
      <c r="Y1399">
        <v>3.9743309999999997E-2</v>
      </c>
      <c r="Z1399">
        <v>3.6089180000000001E-4</v>
      </c>
      <c r="AA1399">
        <v>0.99920989999999998</v>
      </c>
      <c r="AB1399">
        <v>37</v>
      </c>
      <c r="AC1399">
        <v>-203.20650000000001</v>
      </c>
      <c r="AD1399">
        <v>-0.46379019999999999</v>
      </c>
      <c r="AE1399">
        <v>8.4404000000000092</v>
      </c>
      <c r="AF1399">
        <v>8.0983789455517297</v>
      </c>
      <c r="AG1399">
        <v>-0.46379019999999999</v>
      </c>
      <c r="AH1399">
        <v>203.21935944570001</v>
      </c>
      <c r="AI1399">
        <v>90.130657336444699</v>
      </c>
      <c r="AJ1399">
        <v>87.717946023904204</v>
      </c>
      <c r="AK1399">
        <v>203.38118619089599</v>
      </c>
      <c r="AL1399">
        <v>77.613241245229105</v>
      </c>
      <c r="AM1399">
        <v>87.812089065914407</v>
      </c>
      <c r="AN1399">
        <v>0.99999995700677802</v>
      </c>
    </row>
    <row r="1400" spans="1:40" x14ac:dyDescent="0.25">
      <c r="A1400" t="str">
        <f>"20190303170748304"</f>
        <v>20190303170748304</v>
      </c>
      <c r="B1400" t="str">
        <f>"1551604068294127"</f>
        <v>1551604068294127</v>
      </c>
      <c r="C1400" t="s">
        <v>40</v>
      </c>
      <c r="D1400">
        <v>4.392163</v>
      </c>
      <c r="E1400">
        <v>0.50647799999999998</v>
      </c>
      <c r="F1400" t="s">
        <v>72</v>
      </c>
      <c r="G1400">
        <v>-510.95389999999998</v>
      </c>
      <c r="H1400">
        <v>0.73068859999999902</v>
      </c>
      <c r="I1400">
        <v>295.97890000000001</v>
      </c>
      <c r="J1400">
        <v>-273.33440000000002</v>
      </c>
      <c r="K1400">
        <v>1.122077</v>
      </c>
      <c r="L1400">
        <v>285.45240000000001</v>
      </c>
      <c r="M1400">
        <v>-0.99988999999999995</v>
      </c>
      <c r="N1400">
        <v>-1.4811929999999999E-2</v>
      </c>
      <c r="O1400">
        <v>8.6059530000000002E-4</v>
      </c>
      <c r="P1400">
        <v>-0.9788926</v>
      </c>
      <c r="Q1400">
        <v>0.2002196</v>
      </c>
      <c r="R1400">
        <v>4.1007679999999998E-2</v>
      </c>
      <c r="S1400">
        <v>-3.0598749999999999</v>
      </c>
      <c r="T1400">
        <v>-5.0312279999999996E-3</v>
      </c>
      <c r="U1400">
        <v>0.13534549999999901</v>
      </c>
      <c r="V1400">
        <v>3.974138E-2</v>
      </c>
      <c r="W1400">
        <v>0.21477640000000001</v>
      </c>
      <c r="X1400">
        <v>0.97585429999999995</v>
      </c>
      <c r="Y1400">
        <v>4.3328749999999999E-2</v>
      </c>
      <c r="Z1400">
        <v>3.6799960000000003E-4</v>
      </c>
      <c r="AA1400">
        <v>0.99906079999999997</v>
      </c>
      <c r="AB1400">
        <v>37</v>
      </c>
      <c r="AC1400">
        <v>-237.61949999999999</v>
      </c>
      <c r="AD1400">
        <v>-0.39138840000000003</v>
      </c>
      <c r="AE1400">
        <v>10.5265</v>
      </c>
      <c r="AF1400">
        <v>10.3219515063461</v>
      </c>
      <c r="AG1400">
        <v>-0.39138840000000003</v>
      </c>
      <c r="AH1400">
        <v>237.62782861248701</v>
      </c>
      <c r="AI1400">
        <v>90.094280865431699</v>
      </c>
      <c r="AJ1400">
        <v>87.512779858044993</v>
      </c>
      <c r="AK1400">
        <v>237.852224708672</v>
      </c>
      <c r="AL1400">
        <v>77.597589813441402</v>
      </c>
      <c r="AM1400">
        <v>87.667934867940005</v>
      </c>
      <c r="AN1400">
        <v>0.99999994705487505</v>
      </c>
    </row>
    <row r="1401" spans="1:40" x14ac:dyDescent="0.25">
      <c r="A1401" t="str">
        <f>"20190303170748325"</f>
        <v>20190303170748325</v>
      </c>
      <c r="B1401" t="str">
        <f>"1551604068313646"</f>
        <v>1551604068313646</v>
      </c>
      <c r="C1401" t="s">
        <v>40</v>
      </c>
      <c r="D1401">
        <v>4.5161470000000001</v>
      </c>
      <c r="E1401">
        <v>0.50671060000000001</v>
      </c>
      <c r="F1401" t="s">
        <v>72</v>
      </c>
      <c r="G1401">
        <v>-510.95389999999998</v>
      </c>
      <c r="H1401">
        <v>0.77456369999999997</v>
      </c>
      <c r="I1401">
        <v>296.38780000000003</v>
      </c>
      <c r="J1401">
        <v>-273.67380000000003</v>
      </c>
      <c r="K1401">
        <v>1.122074</v>
      </c>
      <c r="L1401">
        <v>285.45190000000002</v>
      </c>
      <c r="M1401">
        <v>-0.99989039999999996</v>
      </c>
      <c r="N1401">
        <v>-1.480862E-2</v>
      </c>
      <c r="O1401" s="1">
        <v>8.6251090000000004E-5</v>
      </c>
      <c r="P1401">
        <v>-0.97856339999999997</v>
      </c>
      <c r="Q1401">
        <v>0.20112650000000001</v>
      </c>
      <c r="R1401">
        <v>4.4292709999999999E-2</v>
      </c>
      <c r="S1401">
        <v>-3.0596619999999999</v>
      </c>
      <c r="T1401">
        <v>-4.4735670000000003E-3</v>
      </c>
      <c r="U1401">
        <v>0.14080809999999999</v>
      </c>
      <c r="V1401">
        <v>4.3783469999999998E-2</v>
      </c>
      <c r="W1401">
        <v>0.2156826</v>
      </c>
      <c r="X1401">
        <v>0.9754815</v>
      </c>
      <c r="Y1401">
        <v>4.5885450000000001E-2</v>
      </c>
      <c r="Z1401">
        <v>3.7462809999999999E-4</v>
      </c>
      <c r="AA1401">
        <v>0.99894669999999997</v>
      </c>
      <c r="AB1401">
        <v>37</v>
      </c>
      <c r="AC1401">
        <v>-237.2801</v>
      </c>
      <c r="AD1401">
        <v>-0.34751029999999999</v>
      </c>
      <c r="AE1401">
        <v>10.9359</v>
      </c>
      <c r="AF1401">
        <v>10.915408685707099</v>
      </c>
      <c r="AG1401">
        <v>-0.34751029999999999</v>
      </c>
      <c r="AH1401">
        <v>237.28053458301599</v>
      </c>
      <c r="AI1401">
        <v>90.083824090754703</v>
      </c>
      <c r="AJ1401">
        <v>87.366129300449899</v>
      </c>
      <c r="AK1401">
        <v>237.531722096621</v>
      </c>
      <c r="AL1401">
        <v>77.544423824540203</v>
      </c>
      <c r="AM1401">
        <v>87.430063524296301</v>
      </c>
      <c r="AN1401">
        <v>1.0000000665151201</v>
      </c>
    </row>
    <row r="1402" spans="1:40" x14ac:dyDescent="0.25">
      <c r="A1402" t="str">
        <f>"20190303170748361"</f>
        <v>20190303170748361</v>
      </c>
      <c r="B1402" t="str">
        <f>"1551604068353662"</f>
        <v>1551604068353662</v>
      </c>
      <c r="C1402" t="s">
        <v>40</v>
      </c>
      <c r="D1402">
        <v>4.519844</v>
      </c>
      <c r="E1402">
        <v>0.50649789999999995</v>
      </c>
      <c r="F1402" t="s">
        <v>72</v>
      </c>
      <c r="G1402">
        <v>-510.95389999999998</v>
      </c>
      <c r="H1402">
        <v>0.9862303</v>
      </c>
      <c r="I1402">
        <v>297.32530000000003</v>
      </c>
      <c r="J1402">
        <v>-274.2448</v>
      </c>
      <c r="K1402">
        <v>1.1220840000000001</v>
      </c>
      <c r="L1402">
        <v>285.45060000000001</v>
      </c>
      <c r="M1402">
        <v>-0.99988969999999999</v>
      </c>
      <c r="N1402">
        <v>-1.4802910000000001E-2</v>
      </c>
      <c r="O1402">
        <v>-1.2168929999999999E-3</v>
      </c>
      <c r="P1402">
        <v>-0.97821210000000003</v>
      </c>
      <c r="Q1402">
        <v>0.2021548</v>
      </c>
      <c r="R1402">
        <v>4.7270609999999998E-2</v>
      </c>
      <c r="S1402">
        <v>-3.059113</v>
      </c>
      <c r="T1402">
        <v>-1.7502310000000001E-3</v>
      </c>
      <c r="U1402">
        <v>0.1530762</v>
      </c>
      <c r="V1402">
        <v>4.803557E-2</v>
      </c>
      <c r="W1402">
        <v>0.21670690000000001</v>
      </c>
      <c r="X1402">
        <v>0.97505419999999998</v>
      </c>
      <c r="Y1402">
        <v>5.1192000000000001E-2</v>
      </c>
      <c r="Z1402">
        <v>3.7648169999999998E-4</v>
      </c>
      <c r="AA1402">
        <v>0.99868880000000004</v>
      </c>
      <c r="AB1402">
        <v>37</v>
      </c>
      <c r="AC1402">
        <v>-236.70910000000001</v>
      </c>
      <c r="AD1402">
        <v>-0.13585369999999999</v>
      </c>
      <c r="AE1402">
        <v>11.874700000000001</v>
      </c>
      <c r="AF1402">
        <v>12.1627684184716</v>
      </c>
      <c r="AG1402">
        <v>-0.13585369999999999</v>
      </c>
      <c r="AH1402">
        <v>236.69439510656099</v>
      </c>
      <c r="AI1402">
        <v>90.032842291887405</v>
      </c>
      <c r="AJ1402">
        <v>87.058388742581201</v>
      </c>
      <c r="AK1402">
        <v>237.006725783658</v>
      </c>
      <c r="AL1402">
        <v>77.484313267955102</v>
      </c>
      <c r="AM1402">
        <v>87.179631539585301</v>
      </c>
      <c r="AN1402">
        <v>0.99999999471523704</v>
      </c>
    </row>
    <row r="1403" spans="1:40" x14ac:dyDescent="0.25">
      <c r="A1403" t="str">
        <f>"20190303170748384"</f>
        <v>20190303170748384</v>
      </c>
      <c r="B1403" t="str">
        <f>"1551604068374159"</f>
        <v>1551604068374159</v>
      </c>
      <c r="C1403" t="s">
        <v>40</v>
      </c>
      <c r="D1403">
        <v>4.6501749999999999</v>
      </c>
      <c r="E1403">
        <v>0.50627179999999905</v>
      </c>
      <c r="F1403" t="s">
        <v>72</v>
      </c>
      <c r="G1403">
        <v>-511.82049999999998</v>
      </c>
      <c r="H1403">
        <v>1.092187</v>
      </c>
      <c r="I1403">
        <v>297.9074</v>
      </c>
      <c r="J1403">
        <v>-274.62389999999999</v>
      </c>
      <c r="K1403">
        <v>1.12209</v>
      </c>
      <c r="L1403">
        <v>285.44920000000002</v>
      </c>
      <c r="M1403">
        <v>-0.99988840000000001</v>
      </c>
      <c r="N1403">
        <v>-1.479901E-2</v>
      </c>
      <c r="O1403">
        <v>-2.0828309999999998E-3</v>
      </c>
      <c r="P1403">
        <v>-0.97822480000000001</v>
      </c>
      <c r="Q1403">
        <v>0.20200560000000001</v>
      </c>
      <c r="R1403">
        <v>4.7645800000000002E-2</v>
      </c>
      <c r="S1403">
        <v>-3.0591430000000002</v>
      </c>
      <c r="T1403">
        <v>-3.8385390000000001E-4</v>
      </c>
      <c r="U1403">
        <v>0.1604004</v>
      </c>
      <c r="V1403">
        <v>4.9259219999999999E-2</v>
      </c>
      <c r="W1403">
        <v>0.21655559999999999</v>
      </c>
      <c r="X1403">
        <v>0.97502679999999997</v>
      </c>
      <c r="Y1403">
        <v>5.4441000000000003E-2</v>
      </c>
      <c r="Z1403">
        <v>3.7600559999999999E-4</v>
      </c>
      <c r="AA1403">
        <v>0.99851690000000004</v>
      </c>
      <c r="AB1403">
        <v>36</v>
      </c>
      <c r="AC1403">
        <v>-237.19659999999999</v>
      </c>
      <c r="AD1403">
        <v>-2.9902999999999999E-2</v>
      </c>
      <c r="AE1403">
        <v>12.4581999999999</v>
      </c>
      <c r="AF1403">
        <v>12.9522672664458</v>
      </c>
      <c r="AG1403">
        <v>-2.9902999999999999E-2</v>
      </c>
      <c r="AH1403">
        <v>237.170130461404</v>
      </c>
      <c r="AI1403">
        <v>90.007213245838201</v>
      </c>
      <c r="AJ1403">
        <v>86.8740844422571</v>
      </c>
      <c r="AK1403">
        <v>237.52354179030399</v>
      </c>
      <c r="AL1403">
        <v>77.493193425955695</v>
      </c>
      <c r="AM1403">
        <v>87.107825277529699</v>
      </c>
      <c r="AN1403">
        <v>1.0000000296823</v>
      </c>
    </row>
    <row r="1404" spans="1:40" x14ac:dyDescent="0.25">
      <c r="A1404" t="str">
        <f>"20190303170748408"</f>
        <v>20190303170748408</v>
      </c>
      <c r="B1404" t="str">
        <f>"1551604068404415"</f>
        <v>1551604068404415</v>
      </c>
      <c r="C1404" t="s">
        <v>40</v>
      </c>
      <c r="D1404">
        <v>4.7087370000000002</v>
      </c>
      <c r="E1404">
        <v>0.50596750000000001</v>
      </c>
      <c r="F1404" t="s">
        <v>72</v>
      </c>
      <c r="G1404">
        <v>-511.82049999999998</v>
      </c>
      <c r="H1404">
        <v>1.0556669999999999</v>
      </c>
      <c r="I1404">
        <v>297.79829999999998</v>
      </c>
      <c r="J1404">
        <v>-274.9973</v>
      </c>
      <c r="K1404">
        <v>1.1220810000000001</v>
      </c>
      <c r="L1404">
        <v>285.44760000000002</v>
      </c>
      <c r="M1404">
        <v>-0.99988630000000001</v>
      </c>
      <c r="N1404">
        <v>-1.47951E-2</v>
      </c>
      <c r="O1404">
        <v>-2.9357810000000002E-3</v>
      </c>
      <c r="P1404">
        <v>-0.97822659999999995</v>
      </c>
      <c r="Q1404">
        <v>0.20204059999999999</v>
      </c>
      <c r="R1404">
        <v>4.7457430000000002E-2</v>
      </c>
      <c r="S1404">
        <v>-3.0592350000000001</v>
      </c>
      <c r="T1404">
        <v>-8.5556509999999903E-4</v>
      </c>
      <c r="U1404">
        <v>0.1592712</v>
      </c>
      <c r="V1404">
        <v>4.9905940000000003E-2</v>
      </c>
      <c r="W1404">
        <v>0.21658720000000001</v>
      </c>
      <c r="X1404">
        <v>0.97498689999999999</v>
      </c>
      <c r="Y1404">
        <v>5.4923520000000003E-2</v>
      </c>
      <c r="Z1404">
        <v>3.7168500000000002E-4</v>
      </c>
      <c r="AA1404">
        <v>0.99849049999999995</v>
      </c>
      <c r="AB1404">
        <v>36</v>
      </c>
      <c r="AC1404">
        <v>-236.82320000000001</v>
      </c>
      <c r="AD1404">
        <v>-6.6413999999999904E-2</v>
      </c>
      <c r="AE1404">
        <v>12.3506999999999</v>
      </c>
      <c r="AF1404">
        <v>13.0459828547779</v>
      </c>
      <c r="AG1404">
        <v>-6.6413999999999904E-2</v>
      </c>
      <c r="AH1404">
        <v>236.78589771868801</v>
      </c>
      <c r="AI1404">
        <v>90.016046054230003</v>
      </c>
      <c r="AJ1404">
        <v>86.846413601285903</v>
      </c>
      <c r="AK1404">
        <v>237.14502617156299</v>
      </c>
      <c r="AL1404">
        <v>77.491338952748293</v>
      </c>
      <c r="AM1404">
        <v>87.069800208030102</v>
      </c>
      <c r="AN1404">
        <v>1.0000000366113599</v>
      </c>
    </row>
    <row r="1405" spans="1:40" x14ac:dyDescent="0.25">
      <c r="A1405" t="str">
        <f>"20190303170748431"</f>
        <v>20190303170748431</v>
      </c>
      <c r="B1405" t="str">
        <f>"1551604068423935"</f>
        <v>1551604068423935</v>
      </c>
      <c r="C1405" t="s">
        <v>40</v>
      </c>
      <c r="D1405">
        <v>4.7097600000000002</v>
      </c>
      <c r="E1405">
        <v>0.50590429999999997</v>
      </c>
      <c r="F1405" t="s">
        <v>72</v>
      </c>
      <c r="G1405">
        <v>-511.82049999999998</v>
      </c>
      <c r="H1405">
        <v>0.96711590000000003</v>
      </c>
      <c r="I1405">
        <v>297.51819999999998</v>
      </c>
      <c r="J1405">
        <v>-275.37580000000003</v>
      </c>
      <c r="K1405">
        <v>1.1220829999999999</v>
      </c>
      <c r="L1405">
        <v>285.44560000000001</v>
      </c>
      <c r="M1405">
        <v>-0.99988339999999998</v>
      </c>
      <c r="N1405">
        <v>-1.4791179999999999E-2</v>
      </c>
      <c r="O1405">
        <v>-3.7978790000000001E-3</v>
      </c>
      <c r="P1405">
        <v>-0.97835459999999996</v>
      </c>
      <c r="Q1405">
        <v>0.20169680000000001</v>
      </c>
      <c r="R1405">
        <v>4.6266790000000002E-2</v>
      </c>
      <c r="S1405">
        <v>-3.0596009999999998</v>
      </c>
      <c r="T1405">
        <v>-2.0009279999999999E-3</v>
      </c>
      <c r="U1405">
        <v>0.15594479999999999</v>
      </c>
      <c r="V1405">
        <v>4.9561439999999998E-2</v>
      </c>
      <c r="W1405">
        <v>0.21623990000000001</v>
      </c>
      <c r="X1405">
        <v>0.97508150000000005</v>
      </c>
      <c r="Y1405">
        <v>5.4695279999999999E-2</v>
      </c>
      <c r="Z1405">
        <v>3.6900429999999997E-4</v>
      </c>
      <c r="AA1405">
        <v>0.99850300000000003</v>
      </c>
      <c r="AB1405">
        <v>36</v>
      </c>
      <c r="AC1405">
        <v>-236.44469999999899</v>
      </c>
      <c r="AD1405">
        <v>-0.1549671</v>
      </c>
      <c r="AE1405">
        <v>12.0725999999999</v>
      </c>
      <c r="AF1405">
        <v>12.9705939566366</v>
      </c>
      <c r="AG1405">
        <v>-0.1549671</v>
      </c>
      <c r="AH1405">
        <v>236.39703782342201</v>
      </c>
      <c r="AI1405">
        <v>90.037503112327798</v>
      </c>
      <c r="AJ1405">
        <v>86.859453543805799</v>
      </c>
      <c r="AK1405">
        <v>236.75265534747101</v>
      </c>
      <c r="AL1405">
        <v>77.511720085865505</v>
      </c>
      <c r="AM1405">
        <v>87.090274285363805</v>
      </c>
      <c r="AN1405">
        <v>0.99999998116456601</v>
      </c>
    </row>
    <row r="1406" spans="1:40" x14ac:dyDescent="0.25">
      <c r="A1406" t="str">
        <f>"20190303170748450"</f>
        <v>20190303170748450</v>
      </c>
      <c r="B1406" t="str">
        <f>"1551604068443455"</f>
        <v>1551604068443455</v>
      </c>
      <c r="C1406" t="s">
        <v>40</v>
      </c>
      <c r="D1406">
        <v>4.4982930000000003</v>
      </c>
      <c r="E1406">
        <v>0.50571690000000002</v>
      </c>
      <c r="F1406" t="s">
        <v>72</v>
      </c>
      <c r="G1406">
        <v>-510.95389999999998</v>
      </c>
      <c r="H1406">
        <v>0.83909069999999997</v>
      </c>
      <c r="I1406">
        <v>297.05889999999999</v>
      </c>
      <c r="J1406">
        <v>-275.69959999999998</v>
      </c>
      <c r="K1406">
        <v>1.122082</v>
      </c>
      <c r="L1406">
        <v>285.44369999999998</v>
      </c>
      <c r="M1406">
        <v>-0.9998804</v>
      </c>
      <c r="N1406">
        <v>-1.4787710000000001E-2</v>
      </c>
      <c r="O1406">
        <v>-4.5284490000000004E-3</v>
      </c>
      <c r="P1406">
        <v>-0.97833879999999995</v>
      </c>
      <c r="Q1406">
        <v>0.2021683</v>
      </c>
      <c r="R1406">
        <v>4.451397E-2</v>
      </c>
      <c r="S1406">
        <v>-3.0599980000000002</v>
      </c>
      <c r="T1406">
        <v>-3.674746E-3</v>
      </c>
      <c r="U1406">
        <v>0.15084839999999999</v>
      </c>
      <c r="V1406">
        <v>4.8525449999999998E-2</v>
      </c>
      <c r="W1406">
        <v>0.21670500000000001</v>
      </c>
      <c r="X1406">
        <v>0.97503039999999996</v>
      </c>
      <c r="Y1406">
        <v>5.3759120000000001E-2</v>
      </c>
      <c r="Z1406">
        <v>3.6851990000000002E-4</v>
      </c>
      <c r="AA1406">
        <v>0.99855389999999999</v>
      </c>
      <c r="AB1406">
        <v>36</v>
      </c>
      <c r="AC1406">
        <v>-235.2543</v>
      </c>
      <c r="AD1406">
        <v>-0.2829913</v>
      </c>
      <c r="AE1406">
        <v>11.6152</v>
      </c>
      <c r="AF1406">
        <v>12.6805161755952</v>
      </c>
      <c r="AG1406">
        <v>-0.2829913</v>
      </c>
      <c r="AH1406">
        <v>235.19894319755201</v>
      </c>
      <c r="AI1406">
        <v>90.068838257904602</v>
      </c>
      <c r="AJ1406">
        <v>86.913943044094907</v>
      </c>
      <c r="AK1406">
        <v>235.540693842488</v>
      </c>
      <c r="AL1406">
        <v>77.484425211062998</v>
      </c>
      <c r="AM1406">
        <v>87.150846365501394</v>
      </c>
      <c r="AN1406">
        <v>1.0000000286234301</v>
      </c>
    </row>
    <row r="1407" spans="1:40" x14ac:dyDescent="0.25">
      <c r="A1407" t="str">
        <f>"20190303170748472"</f>
        <v>20190303170748472</v>
      </c>
      <c r="B1407" t="str">
        <f>"1551604068463951"</f>
        <v>1551604068463951</v>
      </c>
      <c r="C1407" t="s">
        <v>40</v>
      </c>
      <c r="D1407">
        <v>4.7698640000000001</v>
      </c>
      <c r="E1407">
        <v>0.50555410000000001</v>
      </c>
      <c r="F1407" t="s">
        <v>72</v>
      </c>
      <c r="G1407">
        <v>-510.95389999999998</v>
      </c>
      <c r="H1407">
        <v>0.93930820000000004</v>
      </c>
      <c r="I1407">
        <v>296.48820000000001</v>
      </c>
      <c r="J1407">
        <v>-276.05610000000001</v>
      </c>
      <c r="K1407">
        <v>1.122082</v>
      </c>
      <c r="L1407">
        <v>285.44130000000001</v>
      </c>
      <c r="M1407">
        <v>-0.9998766</v>
      </c>
      <c r="N1407">
        <v>-1.4784E-2</v>
      </c>
      <c r="O1407">
        <v>-5.3233159999999998E-3</v>
      </c>
      <c r="P1407">
        <v>-0.97820220000000002</v>
      </c>
      <c r="Q1407">
        <v>0.20333270000000001</v>
      </c>
      <c r="R1407">
        <v>4.2145479999999999E-2</v>
      </c>
      <c r="S1407">
        <v>-3.0603940000000001</v>
      </c>
      <c r="T1407">
        <v>-2.3765560000000002E-3</v>
      </c>
      <c r="U1407">
        <v>0.14367679999999999</v>
      </c>
      <c r="V1407">
        <v>4.6936199999999997E-2</v>
      </c>
      <c r="W1407">
        <v>0.21785879999999999</v>
      </c>
      <c r="X1407">
        <v>0.97485100000000002</v>
      </c>
      <c r="Y1407">
        <v>5.221203E-2</v>
      </c>
      <c r="Z1407">
        <v>3.3192029999999997E-4</v>
      </c>
      <c r="AA1407">
        <v>0.99863590000000002</v>
      </c>
      <c r="AB1407">
        <v>36</v>
      </c>
      <c r="AC1407">
        <v>-234.89779999999999</v>
      </c>
      <c r="AD1407">
        <v>-0.18277379999999999</v>
      </c>
      <c r="AE1407">
        <v>11.0468999999999</v>
      </c>
      <c r="AF1407">
        <v>12.297307830472599</v>
      </c>
      <c r="AG1407">
        <v>-0.18277379999999999</v>
      </c>
      <c r="AH1407">
        <v>234.83551659003601</v>
      </c>
      <c r="AI1407">
        <v>90.044532601724796</v>
      </c>
      <c r="AJ1407">
        <v>87.002408839138596</v>
      </c>
      <c r="AK1407">
        <v>235.15734527811</v>
      </c>
      <c r="AL1407">
        <v>77.416698514628095</v>
      </c>
      <c r="AM1407">
        <v>87.243505892787596</v>
      </c>
      <c r="AN1407">
        <v>0.99999996790443901</v>
      </c>
    </row>
    <row r="1408" spans="1:40" x14ac:dyDescent="0.25">
      <c r="A1408" t="str">
        <f>"20190303170748495"</f>
        <v>20190303170748495</v>
      </c>
      <c r="B1408" t="str">
        <f>"1551604068483470"</f>
        <v>1551604068483470</v>
      </c>
      <c r="C1408" t="s">
        <v>40</v>
      </c>
      <c r="D1408">
        <v>4.5928620000000002</v>
      </c>
      <c r="E1408">
        <v>0.50552149999999996</v>
      </c>
      <c r="F1408" t="s">
        <v>72</v>
      </c>
      <c r="G1408">
        <v>-510.95400000000001</v>
      </c>
      <c r="H1408">
        <v>1.197927</v>
      </c>
      <c r="I1408">
        <v>295.78339999999997</v>
      </c>
      <c r="J1408">
        <v>-276.41590000000002</v>
      </c>
      <c r="K1408">
        <v>1.122072</v>
      </c>
      <c r="L1408">
        <v>285.43849999999998</v>
      </c>
      <c r="M1408">
        <v>-0.99987210000000004</v>
      </c>
      <c r="N1408">
        <v>-1.4780160000000001E-2</v>
      </c>
      <c r="O1408">
        <v>-6.1035009999999999E-3</v>
      </c>
      <c r="P1408">
        <v>-0.97805819999999999</v>
      </c>
      <c r="Q1408">
        <v>0.20458960000000001</v>
      </c>
      <c r="R1408">
        <v>3.9313609999999999E-2</v>
      </c>
      <c r="S1408">
        <v>-3.060883</v>
      </c>
      <c r="T1408">
        <v>9.8943709999999995E-4</v>
      </c>
      <c r="U1408">
        <v>0.13476560000000001</v>
      </c>
      <c r="V1408">
        <v>4.487294E-2</v>
      </c>
      <c r="W1408">
        <v>0.21910399999999999</v>
      </c>
      <c r="X1408">
        <v>0.97466909999999896</v>
      </c>
      <c r="Y1408">
        <v>5.0082599999999998E-2</v>
      </c>
      <c r="Z1408">
        <v>2.7008149999999999E-4</v>
      </c>
      <c r="AA1408">
        <v>0.99874499999999999</v>
      </c>
      <c r="AB1408">
        <v>36</v>
      </c>
      <c r="AC1408">
        <v>-234.53809999999999</v>
      </c>
      <c r="AD1408">
        <v>7.5854999999999895E-2</v>
      </c>
      <c r="AE1408">
        <v>10.3448999999999</v>
      </c>
      <c r="AF1408">
        <v>11.7763660062064</v>
      </c>
      <c r="AG1408">
        <v>7.5854999999999895E-2</v>
      </c>
      <c r="AH1408">
        <v>234.47055892659</v>
      </c>
      <c r="AI1408">
        <v>89.981487229023102</v>
      </c>
      <c r="AJ1408">
        <v>87.124715484351498</v>
      </c>
      <c r="AK1408">
        <v>234.766120966464</v>
      </c>
      <c r="AL1408">
        <v>77.343587922233596</v>
      </c>
      <c r="AM1408">
        <v>87.364012195033297</v>
      </c>
      <c r="AN1408">
        <v>0.99999999902752601</v>
      </c>
    </row>
    <row r="1409" spans="1:40" x14ac:dyDescent="0.25">
      <c r="A1409" t="str">
        <f>"20190303170748515"</f>
        <v>20190303170748515</v>
      </c>
      <c r="B1409" t="str">
        <f>"1551604068503970"</f>
        <v>1551604068503970</v>
      </c>
      <c r="C1409" t="s">
        <v>40</v>
      </c>
      <c r="D1409">
        <v>4.6533639999999998</v>
      </c>
      <c r="E1409">
        <v>0.49569980000000002</v>
      </c>
      <c r="F1409" t="s">
        <v>41</v>
      </c>
      <c r="G1409">
        <v>-476.34320000000002</v>
      </c>
      <c r="H1409">
        <v>1.4333499999999999</v>
      </c>
      <c r="I1409">
        <v>293.7038</v>
      </c>
      <c r="J1409">
        <v>-276.7527</v>
      </c>
      <c r="K1409">
        <v>1.122045</v>
      </c>
      <c r="L1409">
        <v>285.43579999999997</v>
      </c>
      <c r="M1409">
        <v>-0.99986779999999997</v>
      </c>
      <c r="N1409">
        <v>-1.4776499999999901E-2</v>
      </c>
      <c r="O1409">
        <v>-6.798508E-3</v>
      </c>
      <c r="P1409">
        <v>-0.9778213</v>
      </c>
      <c r="Q1409">
        <v>0.20614650000000001</v>
      </c>
      <c r="R1409">
        <v>3.7007970000000001E-2</v>
      </c>
      <c r="S1409">
        <v>-3.0612490000000001</v>
      </c>
      <c r="T1409">
        <v>4.7662260000000001E-3</v>
      </c>
      <c r="U1409">
        <v>0.12655640000000001</v>
      </c>
      <c r="V1409">
        <v>4.3256070000000001E-2</v>
      </c>
      <c r="W1409">
        <v>0.2206475</v>
      </c>
      <c r="X1409">
        <v>0.97439399999999998</v>
      </c>
      <c r="Y1409">
        <v>4.8098229999999999E-2</v>
      </c>
      <c r="Z1409">
        <v>2.0710570000000001E-4</v>
      </c>
      <c r="AA1409">
        <v>0.99884260000000002</v>
      </c>
      <c r="AB1409">
        <v>36</v>
      </c>
      <c r="AC1409">
        <v>-199.59049999999999</v>
      </c>
      <c r="AD1409">
        <v>0.311304999999999</v>
      </c>
      <c r="AE1409">
        <v>8.2680000000000202</v>
      </c>
      <c r="AF1409">
        <v>9.6248511590146304</v>
      </c>
      <c r="AG1409">
        <v>0.311304999999999</v>
      </c>
      <c r="AH1409">
        <v>199.529185668455</v>
      </c>
      <c r="AI1409">
        <v>89.910711144371305</v>
      </c>
      <c r="AJ1409">
        <v>87.238317726171999</v>
      </c>
      <c r="AK1409">
        <v>199.761434226311</v>
      </c>
      <c r="AL1409">
        <v>77.252933859873707</v>
      </c>
      <c r="AM1409">
        <v>87.458149269545402</v>
      </c>
      <c r="AN1409">
        <v>1.0000000370420401</v>
      </c>
    </row>
    <row r="1410" spans="1:40" x14ac:dyDescent="0.25">
      <c r="A1410" t="str">
        <f>"20190303170748539"</f>
        <v>20190303170748539</v>
      </c>
      <c r="B1410" t="str">
        <f>"1551604068523487"</f>
        <v>1551604068523487</v>
      </c>
      <c r="C1410" t="s">
        <v>40</v>
      </c>
      <c r="D1410">
        <v>4.6374909999999998</v>
      </c>
      <c r="E1410">
        <v>0.49521680000000001</v>
      </c>
      <c r="F1410" t="s">
        <v>45</v>
      </c>
      <c r="G1410">
        <v>0</v>
      </c>
      <c r="H1410">
        <v>0</v>
      </c>
      <c r="I1410">
        <v>0</v>
      </c>
      <c r="J1410">
        <v>-277.12560000000002</v>
      </c>
      <c r="K1410">
        <v>1.1220000000000001</v>
      </c>
      <c r="L1410">
        <v>285.4325</v>
      </c>
      <c r="M1410">
        <v>-0.99986280000000005</v>
      </c>
      <c r="N1410">
        <v>-1.477234E-2</v>
      </c>
      <c r="O1410">
        <v>-7.505266E-3</v>
      </c>
      <c r="P1410">
        <v>-0.97769919999999999</v>
      </c>
      <c r="Q1410">
        <v>0.2068632</v>
      </c>
      <c r="R1410">
        <v>3.6223039999999998E-2</v>
      </c>
      <c r="S1410">
        <v>-3.0626220000000002</v>
      </c>
      <c r="T1410">
        <v>1.798582E-2</v>
      </c>
      <c r="U1410">
        <v>4.2083740000000001E-2</v>
      </c>
      <c r="V1410">
        <v>4.3184220000000002E-2</v>
      </c>
      <c r="W1410">
        <v>0.22135289999999999</v>
      </c>
      <c r="X1410">
        <v>0.97423709999999997</v>
      </c>
      <c r="Y1410">
        <v>2.1243729999999999E-2</v>
      </c>
      <c r="Z1410" s="1">
        <v>-6.0392729999999997E-5</v>
      </c>
      <c r="AA1410">
        <v>0.9997743</v>
      </c>
      <c r="AB1410">
        <v>36</v>
      </c>
      <c r="AC1410">
        <v>-3.0626220000000002</v>
      </c>
      <c r="AD1410">
        <v>1.798582E-2</v>
      </c>
      <c r="AE1410">
        <v>4.2083740000000001E-2</v>
      </c>
      <c r="AF1410">
        <v>6.5068609993230497E-2</v>
      </c>
      <c r="AG1410">
        <v>1.798582E-2</v>
      </c>
      <c r="AH1410">
        <v>3.0621142509824599</v>
      </c>
      <c r="AI1410">
        <v>89.663543856285301</v>
      </c>
      <c r="AJ1410">
        <v>88.782672547358302</v>
      </c>
      <c r="AK1410">
        <v>3.06285832186169</v>
      </c>
      <c r="AL1410">
        <v>77.211491668852702</v>
      </c>
      <c r="AM1410">
        <v>87.461957708465107</v>
      </c>
      <c r="AN1410">
        <v>0.999999955105913</v>
      </c>
    </row>
    <row r="1411" spans="1:40" x14ac:dyDescent="0.25">
      <c r="A1411" t="str">
        <f>"20190303170748562"</f>
        <v>20190303170748562</v>
      </c>
      <c r="B1411" t="str">
        <f>"1551604068553743"</f>
        <v>1551604068553743</v>
      </c>
      <c r="C1411" t="s">
        <v>40</v>
      </c>
      <c r="D1411">
        <v>4.7130489999999998</v>
      </c>
      <c r="E1411">
        <v>0.49508829999999998</v>
      </c>
      <c r="F1411" t="s">
        <v>45</v>
      </c>
      <c r="G1411">
        <v>0</v>
      </c>
      <c r="H1411">
        <v>0</v>
      </c>
      <c r="I1411">
        <v>0</v>
      </c>
      <c r="J1411">
        <v>-277.5027</v>
      </c>
      <c r="K1411">
        <v>1.1219300000000001</v>
      </c>
      <c r="L1411">
        <v>285.42899999999997</v>
      </c>
      <c r="M1411">
        <v>-0.99985800000000002</v>
      </c>
      <c r="N1411">
        <v>-1.476797E-2</v>
      </c>
      <c r="O1411">
        <v>-8.1297179999999993E-3</v>
      </c>
      <c r="P1411">
        <v>-0.97789280000000001</v>
      </c>
      <c r="Q1411">
        <v>0.20602760000000001</v>
      </c>
      <c r="R1411">
        <v>3.5755990000000001E-2</v>
      </c>
      <c r="S1411">
        <v>-3.0623170000000002</v>
      </c>
      <c r="T1411">
        <v>2.276862E-2</v>
      </c>
      <c r="U1411">
        <v>3.6437990000000003E-2</v>
      </c>
      <c r="V1411">
        <v>4.3366349999999998E-2</v>
      </c>
      <c r="W1411">
        <v>0.2205088</v>
      </c>
      <c r="X1411">
        <v>0.97442039999999996</v>
      </c>
      <c r="Y1411">
        <v>2.0026160000000001E-2</v>
      </c>
      <c r="Z1411">
        <v>-1.0705920000000001E-4</v>
      </c>
      <c r="AA1411">
        <v>0.9997994</v>
      </c>
      <c r="AB1411">
        <v>36</v>
      </c>
      <c r="AC1411">
        <v>-3.0623170000000002</v>
      </c>
      <c r="AD1411">
        <v>2.276862E-2</v>
      </c>
      <c r="AE1411">
        <v>3.6437990000000003E-2</v>
      </c>
      <c r="AF1411">
        <v>6.1331881915001302E-2</v>
      </c>
      <c r="AG1411">
        <v>2.276862E-2</v>
      </c>
      <c r="AH1411">
        <v>3.0617502840217399</v>
      </c>
      <c r="AI1411">
        <v>89.574014853797493</v>
      </c>
      <c r="AJ1411">
        <v>88.852425003419498</v>
      </c>
      <c r="AK1411">
        <v>3.0624491524763502</v>
      </c>
      <c r="AL1411">
        <v>77.261080254541994</v>
      </c>
      <c r="AM1411">
        <v>87.451746383190795</v>
      </c>
      <c r="AN1411">
        <v>0.99999994356295896</v>
      </c>
    </row>
    <row r="1412" spans="1:40" x14ac:dyDescent="0.25">
      <c r="A1412" t="str">
        <f>"20190303170748583"</f>
        <v>20190303170748583</v>
      </c>
      <c r="B1412" t="str">
        <f>"1551604068574238"</f>
        <v>1551604068574238</v>
      </c>
      <c r="C1412" t="s">
        <v>40</v>
      </c>
      <c r="D1412">
        <v>4.6521129999999999</v>
      </c>
      <c r="E1412">
        <v>0.49517990000000001</v>
      </c>
      <c r="F1412" t="s">
        <v>45</v>
      </c>
      <c r="G1412">
        <v>0</v>
      </c>
      <c r="H1412">
        <v>0</v>
      </c>
      <c r="I1412">
        <v>0</v>
      </c>
      <c r="J1412">
        <v>-277.851</v>
      </c>
      <c r="K1412">
        <v>1.1218549999999901</v>
      </c>
      <c r="L1412">
        <v>285.42559999999997</v>
      </c>
      <c r="M1412">
        <v>-0.99985409999999997</v>
      </c>
      <c r="N1412">
        <v>-1.476382E-2</v>
      </c>
      <c r="O1412">
        <v>-8.6088950000000001E-3</v>
      </c>
      <c r="P1412">
        <v>-0.97813249999999996</v>
      </c>
      <c r="Q1412">
        <v>0.20499999999999999</v>
      </c>
      <c r="R1412">
        <v>3.5104290000000003E-2</v>
      </c>
      <c r="S1412">
        <v>-3.0628660000000001</v>
      </c>
      <c r="T1412">
        <v>1.7493249999999998E-2</v>
      </c>
      <c r="U1412">
        <v>3.4790040000000001E-2</v>
      </c>
      <c r="V1412">
        <v>4.3228349999999999E-2</v>
      </c>
      <c r="W1412">
        <v>0.21947249999999999</v>
      </c>
      <c r="X1412">
        <v>0.97466050000000004</v>
      </c>
      <c r="Y1412">
        <v>1.9965489999999999E-2</v>
      </c>
      <c r="Z1412" s="1">
        <v>-8.5884699999999906E-5</v>
      </c>
      <c r="AA1412">
        <v>0.99980069999999999</v>
      </c>
      <c r="AB1412">
        <v>36</v>
      </c>
      <c r="AC1412">
        <v>-3.0628660000000001</v>
      </c>
      <c r="AD1412">
        <v>1.7493249999999998E-2</v>
      </c>
      <c r="AE1412">
        <v>3.4790040000000001E-2</v>
      </c>
      <c r="AF1412">
        <v>6.11575177449694E-2</v>
      </c>
      <c r="AG1412">
        <v>1.7493249999999998E-2</v>
      </c>
      <c r="AH1412">
        <v>3.06235305626454</v>
      </c>
      <c r="AI1412">
        <v>89.6727749318962</v>
      </c>
      <c r="AJ1412">
        <v>88.855911824842295</v>
      </c>
      <c r="AK1412">
        <v>3.0630136299052002</v>
      </c>
      <c r="AL1412">
        <v>77.321947453767194</v>
      </c>
      <c r="AM1412">
        <v>87.460469702157994</v>
      </c>
      <c r="AN1412">
        <v>0.99999997938011098</v>
      </c>
    </row>
    <row r="1413" spans="1:40" x14ac:dyDescent="0.25">
      <c r="A1413" t="str">
        <f>"20190303170748607"</f>
        <v>20190303170748607</v>
      </c>
      <c r="B1413" t="str">
        <f>"1551604068593758"</f>
        <v>1551604068593758</v>
      </c>
      <c r="C1413" t="s">
        <v>40</v>
      </c>
      <c r="D1413">
        <v>4.5800109999999998</v>
      </c>
      <c r="E1413">
        <v>0.49534070000000002</v>
      </c>
      <c r="F1413" t="s">
        <v>45</v>
      </c>
      <c r="G1413">
        <v>0</v>
      </c>
      <c r="H1413">
        <v>0</v>
      </c>
      <c r="I1413">
        <v>0</v>
      </c>
      <c r="J1413">
        <v>-278.22109999999998</v>
      </c>
      <c r="K1413">
        <v>1.121767</v>
      </c>
      <c r="L1413">
        <v>285.42200000000003</v>
      </c>
      <c r="M1413">
        <v>-0.99985049999999998</v>
      </c>
      <c r="N1413">
        <v>-1.475946E-2</v>
      </c>
      <c r="O1413">
        <v>-9.0097200000000006E-3</v>
      </c>
      <c r="P1413">
        <v>-0.97839860000000001</v>
      </c>
      <c r="Q1413">
        <v>0.20386760000000001</v>
      </c>
      <c r="R1413">
        <v>3.4263920000000003E-2</v>
      </c>
      <c r="S1413">
        <v>-3.062805</v>
      </c>
      <c r="T1413">
        <v>1.442981E-2</v>
      </c>
      <c r="U1413">
        <v>3.4759520000000002E-2</v>
      </c>
      <c r="V1413">
        <v>4.2833120000000002E-2</v>
      </c>
      <c r="W1413">
        <v>0.2183293</v>
      </c>
      <c r="X1413">
        <v>0.97493470000000004</v>
      </c>
      <c r="Y1413">
        <v>2.0356619999999999E-2</v>
      </c>
      <c r="Z1413" s="1">
        <v>-7.3137899999999996E-5</v>
      </c>
      <c r="AA1413">
        <v>0.99979280000000004</v>
      </c>
      <c r="AB1413">
        <v>36</v>
      </c>
      <c r="AC1413">
        <v>-3.062805</v>
      </c>
      <c r="AD1413">
        <v>1.442981E-2</v>
      </c>
      <c r="AE1413">
        <v>3.4759520000000002E-2</v>
      </c>
      <c r="AF1413">
        <v>6.2354746077015702E-2</v>
      </c>
      <c r="AG1413">
        <v>1.442981E-2</v>
      </c>
      <c r="AH1413">
        <v>3.0622994877913201</v>
      </c>
      <c r="AI1413">
        <v>89.730075468124397</v>
      </c>
      <c r="AJ1413">
        <v>88.833500720179998</v>
      </c>
      <c r="AK1413">
        <v>3.0629682477462801</v>
      </c>
      <c r="AL1413">
        <v>77.389076506297101</v>
      </c>
      <c r="AM1413">
        <v>87.484365056480996</v>
      </c>
      <c r="AN1413">
        <v>1.0000000143357499</v>
      </c>
    </row>
    <row r="1414" spans="1:40" x14ac:dyDescent="0.25">
      <c r="A1414" t="str">
        <f>"20190303170748652"</f>
        <v>20190303170748652</v>
      </c>
      <c r="B1414" t="str">
        <f>"1551604068643535"</f>
        <v>1551604068643535</v>
      </c>
      <c r="C1414" t="s">
        <v>40</v>
      </c>
      <c r="D1414">
        <v>4.5284469999999999</v>
      </c>
      <c r="E1414">
        <v>0.49519209999999902</v>
      </c>
      <c r="F1414" t="s">
        <v>45</v>
      </c>
      <c r="G1414">
        <v>0</v>
      </c>
      <c r="H1414">
        <v>0</v>
      </c>
      <c r="I1414">
        <v>0</v>
      </c>
      <c r="J1414">
        <v>-278.93349999999998</v>
      </c>
      <c r="K1414">
        <v>1.1216090000000001</v>
      </c>
      <c r="L1414">
        <v>285.41500000000002</v>
      </c>
      <c r="M1414">
        <v>-0.99984620000000002</v>
      </c>
      <c r="N1414">
        <v>-1.475154E-2</v>
      </c>
      <c r="O1414">
        <v>-9.4930009999999992E-3</v>
      </c>
      <c r="P1414">
        <v>-0.97877360000000002</v>
      </c>
      <c r="Q1414">
        <v>0.20195340000000001</v>
      </c>
      <c r="R1414">
        <v>3.4889080000000003E-2</v>
      </c>
      <c r="S1414">
        <v>-3.0629270000000002</v>
      </c>
      <c r="T1414">
        <v>9.9922420000000001E-3</v>
      </c>
      <c r="U1414">
        <v>3.463745E-2</v>
      </c>
      <c r="V1414">
        <v>4.4023050000000001E-2</v>
      </c>
      <c r="W1414">
        <v>0.21639639999999999</v>
      </c>
      <c r="X1414">
        <v>0.97531250000000003</v>
      </c>
      <c r="Y1414">
        <v>2.0799660000000001E-2</v>
      </c>
      <c r="Z1414" s="1">
        <v>-5.1506430000000001E-5</v>
      </c>
      <c r="AA1414">
        <v>0.99978359999999999</v>
      </c>
      <c r="AB1414">
        <v>36</v>
      </c>
      <c r="AC1414">
        <v>-3.0629270000000002</v>
      </c>
      <c r="AD1414">
        <v>9.9922420000000001E-3</v>
      </c>
      <c r="AE1414">
        <v>3.463745E-2</v>
      </c>
      <c r="AF1414">
        <v>6.3714741953995901E-2</v>
      </c>
      <c r="AG1414">
        <v>9.9922420000000001E-3</v>
      </c>
      <c r="AH1414">
        <v>3.06242751837758</v>
      </c>
      <c r="AI1414">
        <v>89.813093569850594</v>
      </c>
      <c r="AJ1414">
        <v>88.808115721988898</v>
      </c>
      <c r="AK1414">
        <v>3.0631065470464298</v>
      </c>
      <c r="AL1414">
        <v>77.5025354667074</v>
      </c>
      <c r="AM1414">
        <v>87.415572885809993</v>
      </c>
      <c r="AN1414">
        <v>0.99999995176025502</v>
      </c>
    </row>
    <row r="1415" spans="1:40" x14ac:dyDescent="0.25">
      <c r="A1415" t="str">
        <f>"20190303170748673"</f>
        <v>20190303170748673</v>
      </c>
      <c r="B1415" t="str">
        <f>"1551604068664031"</f>
        <v>1551604068664031</v>
      </c>
      <c r="C1415" t="s">
        <v>40</v>
      </c>
      <c r="D1415">
        <v>4.5153030000000003</v>
      </c>
      <c r="E1415">
        <v>0.49516080000000001</v>
      </c>
      <c r="F1415" t="s">
        <v>45</v>
      </c>
      <c r="G1415">
        <v>0</v>
      </c>
      <c r="H1415">
        <v>0</v>
      </c>
      <c r="I1415">
        <v>0</v>
      </c>
      <c r="J1415">
        <v>-279.29219999999998</v>
      </c>
      <c r="K1415">
        <v>1.1215469999999901</v>
      </c>
      <c r="L1415">
        <v>285.41140000000001</v>
      </c>
      <c r="M1415">
        <v>-0.99984490000000004</v>
      </c>
      <c r="N1415">
        <v>-1.474753E-2</v>
      </c>
      <c r="O1415">
        <v>-9.6370750000000002E-3</v>
      </c>
      <c r="P1415">
        <v>-0.97876200000000002</v>
      </c>
      <c r="Q1415">
        <v>0.20203879999999999</v>
      </c>
      <c r="R1415">
        <v>3.4718760000000001E-2</v>
      </c>
      <c r="S1415">
        <v>-3.063507</v>
      </c>
      <c r="T1415">
        <v>1.78659E-3</v>
      </c>
      <c r="U1415">
        <v>3.3905030000000003E-2</v>
      </c>
      <c r="V1415">
        <v>4.4024000000000001E-2</v>
      </c>
      <c r="W1415">
        <v>0.21647130000000001</v>
      </c>
      <c r="X1415">
        <v>0.97529589999999999</v>
      </c>
      <c r="Y1415">
        <v>2.0702680000000001E-2</v>
      </c>
      <c r="Z1415" s="1">
        <v>-1.113047E-6</v>
      </c>
      <c r="AA1415">
        <v>0.9997857</v>
      </c>
      <c r="AB1415">
        <v>36</v>
      </c>
      <c r="AC1415">
        <v>-3.063507</v>
      </c>
      <c r="AD1415">
        <v>1.78659E-3</v>
      </c>
      <c r="AE1415">
        <v>3.3905030000000003E-2</v>
      </c>
      <c r="AF1415">
        <v>6.3429888602483706E-2</v>
      </c>
      <c r="AG1415">
        <v>1.78659E-3</v>
      </c>
      <c r="AH1415">
        <v>3.0630368844556499</v>
      </c>
      <c r="AI1415">
        <v>89.9665880243262</v>
      </c>
      <c r="AJ1415">
        <v>88.8136788126574</v>
      </c>
      <c r="AK1415">
        <v>3.0636940934446599</v>
      </c>
      <c r="AL1415">
        <v>77.498140620076995</v>
      </c>
      <c r="AM1415">
        <v>87.415473261036396</v>
      </c>
      <c r="AN1415">
        <v>1.0000000144282499</v>
      </c>
    </row>
    <row r="1416" spans="1:40" x14ac:dyDescent="0.25">
      <c r="A1416" t="str">
        <f>"20190303170748695"</f>
        <v>20190303170748695</v>
      </c>
      <c r="B1416" t="str">
        <f>"1551604068683550"</f>
        <v>1551604068683550</v>
      </c>
      <c r="C1416" t="s">
        <v>40</v>
      </c>
      <c r="D1416">
        <v>4.5370569999999999</v>
      </c>
      <c r="E1416">
        <v>0.49507899999999999</v>
      </c>
      <c r="F1416" t="s">
        <v>45</v>
      </c>
      <c r="G1416">
        <v>0</v>
      </c>
      <c r="H1416">
        <v>0</v>
      </c>
      <c r="I1416">
        <v>0</v>
      </c>
      <c r="J1416">
        <v>-279.62869999999998</v>
      </c>
      <c r="K1416">
        <v>1.121507</v>
      </c>
      <c r="L1416">
        <v>285.40800000000002</v>
      </c>
      <c r="M1416">
        <v>-0.99984399999999996</v>
      </c>
      <c r="N1416">
        <v>-1.4743559999999999E-2</v>
      </c>
      <c r="O1416">
        <v>-9.7388140000000002E-3</v>
      </c>
      <c r="P1416">
        <v>-0.97873129999999997</v>
      </c>
      <c r="Q1416">
        <v>0.2022217</v>
      </c>
      <c r="R1416">
        <v>3.4519729999999998E-2</v>
      </c>
      <c r="S1416">
        <v>-3.0637819999999998</v>
      </c>
      <c r="T1416">
        <v>8.0561640000000002E-4</v>
      </c>
      <c r="U1416">
        <v>3.2165529999999998E-2</v>
      </c>
      <c r="V1416">
        <v>4.394522E-2</v>
      </c>
      <c r="W1416">
        <v>0.21664539999999999</v>
      </c>
      <c r="X1416">
        <v>0.97526080000000004</v>
      </c>
      <c r="Y1416">
        <v>2.0235840000000001E-2</v>
      </c>
      <c r="Z1416" s="1">
        <v>3.7672E-7</v>
      </c>
      <c r="AA1416">
        <v>0.99979530000000005</v>
      </c>
      <c r="AB1416">
        <v>36</v>
      </c>
      <c r="AC1416">
        <v>-3.0637819999999998</v>
      </c>
      <c r="AD1416">
        <v>8.0561640000000002E-4</v>
      </c>
      <c r="AE1416">
        <v>3.2165529999999998E-2</v>
      </c>
      <c r="AF1416">
        <v>6.2004842883039202E-2</v>
      </c>
      <c r="AG1416">
        <v>8.0561640000000002E-4</v>
      </c>
      <c r="AH1416">
        <v>3.0633231736576199</v>
      </c>
      <c r="AI1416">
        <v>89.984934999245198</v>
      </c>
      <c r="AJ1416">
        <v>88.840432250875807</v>
      </c>
      <c r="AK1416">
        <v>3.0639507365208201</v>
      </c>
      <c r="AL1416">
        <v>77.487923025592593</v>
      </c>
      <c r="AM1416">
        <v>87.419999235104498</v>
      </c>
      <c r="AN1416">
        <v>1.00000001985932</v>
      </c>
    </row>
    <row r="1417" spans="1:40" x14ac:dyDescent="0.25">
      <c r="A1417" t="str">
        <f>"20190303170748717"</f>
        <v>20190303170748717</v>
      </c>
      <c r="B1417" t="str">
        <f>"1551604068704047"</f>
        <v>1551604068704047</v>
      </c>
      <c r="C1417" t="s">
        <v>40</v>
      </c>
      <c r="D1417">
        <v>4.5215350000000001</v>
      </c>
      <c r="E1417">
        <v>0.49510759999999998</v>
      </c>
      <c r="F1417" t="s">
        <v>45</v>
      </c>
      <c r="G1417">
        <v>0</v>
      </c>
      <c r="H1417">
        <v>0</v>
      </c>
      <c r="I1417">
        <v>0</v>
      </c>
      <c r="J1417">
        <v>-279.97989999999999</v>
      </c>
      <c r="K1417">
        <v>1.121467</v>
      </c>
      <c r="L1417">
        <v>285.40449999999998</v>
      </c>
      <c r="M1417">
        <v>-0.99984320000000004</v>
      </c>
      <c r="N1417">
        <v>-1.473937E-2</v>
      </c>
      <c r="O1417">
        <v>-9.8248820000000001E-3</v>
      </c>
      <c r="P1417">
        <v>-0.97870919999999895</v>
      </c>
      <c r="Q1417">
        <v>0.2024252</v>
      </c>
      <c r="R1417">
        <v>3.3952540000000003E-2</v>
      </c>
      <c r="S1417">
        <v>-3.0638730000000001</v>
      </c>
      <c r="T1417">
        <v>1.419306E-3</v>
      </c>
      <c r="U1417">
        <v>2.990723E-2</v>
      </c>
      <c r="V1417">
        <v>4.3477990000000001E-2</v>
      </c>
      <c r="W1417">
        <v>0.2168409</v>
      </c>
      <c r="X1417">
        <v>0.9752383</v>
      </c>
      <c r="Y1417">
        <v>1.958472E-2</v>
      </c>
      <c r="Z1417" s="1">
        <v>-9.5597060000000007E-6</v>
      </c>
      <c r="AA1417">
        <v>0.99980820000000004</v>
      </c>
      <c r="AB1417">
        <v>36</v>
      </c>
      <c r="AC1417">
        <v>-3.0638730000000001</v>
      </c>
      <c r="AD1417">
        <v>1.419306E-3</v>
      </c>
      <c r="AE1417">
        <v>2.990723E-2</v>
      </c>
      <c r="AF1417">
        <v>6.0011231344618401E-2</v>
      </c>
      <c r="AG1417">
        <v>1.419306E-3</v>
      </c>
      <c r="AH1417">
        <v>3.06343056487168</v>
      </c>
      <c r="AI1417">
        <v>89.9734596109666</v>
      </c>
      <c r="AJ1417">
        <v>88.877744907275002</v>
      </c>
      <c r="AK1417">
        <v>3.0640186337728101</v>
      </c>
      <c r="AL1417">
        <v>77.476449033254895</v>
      </c>
      <c r="AM1417">
        <v>87.447334771702501</v>
      </c>
      <c r="AN1417">
        <v>1.0000000266570599</v>
      </c>
    </row>
    <row r="1418" spans="1:40" x14ac:dyDescent="0.25">
      <c r="A1418" t="str">
        <f>"20190303170748740"</f>
        <v>20190303170748740</v>
      </c>
      <c r="B1418" t="str">
        <f>"1551604068734303"</f>
        <v>1551604068734303</v>
      </c>
      <c r="C1418" t="s">
        <v>40</v>
      </c>
      <c r="D1418">
        <v>4.6559540000000004</v>
      </c>
      <c r="E1418">
        <v>0.49526189999999998</v>
      </c>
      <c r="F1418" t="s">
        <v>45</v>
      </c>
      <c r="G1418">
        <v>0</v>
      </c>
      <c r="H1418">
        <v>0</v>
      </c>
      <c r="I1418">
        <v>0</v>
      </c>
      <c r="J1418">
        <v>-280.35419999999999</v>
      </c>
      <c r="K1418">
        <v>1.1214470000000001</v>
      </c>
      <c r="L1418">
        <v>285.40069999999997</v>
      </c>
      <c r="M1418">
        <v>-0.99984240000000002</v>
      </c>
      <c r="N1418">
        <v>-1.473498E-2</v>
      </c>
      <c r="O1418">
        <v>-9.9091630000000003E-3</v>
      </c>
      <c r="P1418">
        <v>-0.97875069999999997</v>
      </c>
      <c r="Q1418">
        <v>0.2022977</v>
      </c>
      <c r="R1418">
        <v>3.3512479999999997E-2</v>
      </c>
      <c r="S1418">
        <v>-3.063904</v>
      </c>
      <c r="T1418">
        <v>1.426339E-3</v>
      </c>
      <c r="U1418">
        <v>2.8717039999999999E-2</v>
      </c>
      <c r="V1418">
        <v>4.3133579999999998E-2</v>
      </c>
      <c r="W1418">
        <v>0.21670729999999999</v>
      </c>
      <c r="X1418">
        <v>0.97528329999999996</v>
      </c>
      <c r="Y1418">
        <v>1.928055E-2</v>
      </c>
      <c r="Z1418" s="1">
        <v>-1.305668E-5</v>
      </c>
      <c r="AA1418">
        <v>0.99981410000000004</v>
      </c>
      <c r="AB1418">
        <v>36</v>
      </c>
      <c r="AC1418">
        <v>-3.063904</v>
      </c>
      <c r="AD1418">
        <v>1.426339E-3</v>
      </c>
      <c r="AE1418">
        <v>2.8717039999999999E-2</v>
      </c>
      <c r="AF1418">
        <v>5.9079635550977297E-2</v>
      </c>
      <c r="AG1418">
        <v>1.426339E-3</v>
      </c>
      <c r="AH1418">
        <v>3.0634682824179702</v>
      </c>
      <c r="AI1418">
        <v>89.973328267690306</v>
      </c>
      <c r="AJ1418">
        <v>88.895175695299898</v>
      </c>
      <c r="AK1418">
        <v>3.0640382430969599</v>
      </c>
      <c r="AL1418">
        <v>77.484290335018301</v>
      </c>
      <c r="AM1418">
        <v>87.467645923037395</v>
      </c>
      <c r="AN1418">
        <v>1.0000000374278899</v>
      </c>
    </row>
    <row r="1419" spans="1:40" x14ac:dyDescent="0.25">
      <c r="A1419" t="str">
        <f>"20190303170748762"</f>
        <v>20190303170748762</v>
      </c>
      <c r="B1419" t="str">
        <f>"1551604068753823"</f>
        <v>1551604068753823</v>
      </c>
      <c r="C1419" t="s">
        <v>40</v>
      </c>
      <c r="D1419">
        <v>4.5312859999999997</v>
      </c>
      <c r="E1419">
        <v>0.49533899999999997</v>
      </c>
      <c r="F1419" t="s">
        <v>45</v>
      </c>
      <c r="G1419">
        <v>0</v>
      </c>
      <c r="H1419">
        <v>0</v>
      </c>
      <c r="I1419">
        <v>0</v>
      </c>
      <c r="J1419">
        <v>-280.71080000000001</v>
      </c>
      <c r="K1419">
        <v>1.121429</v>
      </c>
      <c r="L1419">
        <v>285.39699999999999</v>
      </c>
      <c r="M1419">
        <v>-0.99984170000000006</v>
      </c>
      <c r="N1419">
        <v>-1.473085E-2</v>
      </c>
      <c r="O1419">
        <v>-9.9909349999999994E-3</v>
      </c>
      <c r="P1419">
        <v>-0.97904170000000001</v>
      </c>
      <c r="Q1419">
        <v>0.20103019999999999</v>
      </c>
      <c r="R1419">
        <v>3.2624350000000003E-2</v>
      </c>
      <c r="S1419">
        <v>-3.0638730000000001</v>
      </c>
      <c r="T1419">
        <v>1.4954809999999999E-3</v>
      </c>
      <c r="U1419">
        <v>2.7648929999999999E-2</v>
      </c>
      <c r="V1419">
        <v>4.233804E-2</v>
      </c>
      <c r="W1419">
        <v>0.2154382</v>
      </c>
      <c r="X1419">
        <v>0.9755992</v>
      </c>
      <c r="Y1419">
        <v>1.901388E-2</v>
      </c>
      <c r="Z1419" s="1">
        <v>-1.664112E-5</v>
      </c>
      <c r="AA1419">
        <v>0.99981920000000002</v>
      </c>
      <c r="AB1419">
        <v>36</v>
      </c>
      <c r="AC1419">
        <v>-3.0638730000000001</v>
      </c>
      <c r="AD1419">
        <v>1.4954809999999999E-3</v>
      </c>
      <c r="AE1419">
        <v>2.7648929999999999E-2</v>
      </c>
      <c r="AF1419">
        <v>5.8261809933067898E-2</v>
      </c>
      <c r="AG1419">
        <v>1.4954809999999999E-3</v>
      </c>
      <c r="AH1419">
        <v>3.0634430486035198</v>
      </c>
      <c r="AI1419">
        <v>89.972034978420595</v>
      </c>
      <c r="AJ1419">
        <v>88.910456835600499</v>
      </c>
      <c r="AK1419">
        <v>3.0639973869109798</v>
      </c>
      <c r="AL1419">
        <v>77.558762739245907</v>
      </c>
      <c r="AM1419">
        <v>87.515096470295106</v>
      </c>
      <c r="AN1419">
        <v>0.99999996334546004</v>
      </c>
    </row>
    <row r="1420" spans="1:40" x14ac:dyDescent="0.25">
      <c r="A1420" t="str">
        <f>"20190303170748786"</f>
        <v>20190303170748786</v>
      </c>
      <c r="B1420" t="str">
        <f>"1551604068774319"</f>
        <v>1551604068774319</v>
      </c>
      <c r="C1420" t="s">
        <v>40</v>
      </c>
      <c r="D1420">
        <v>4.548902</v>
      </c>
      <c r="E1420">
        <v>0.49522820000000001</v>
      </c>
      <c r="F1420" t="s">
        <v>45</v>
      </c>
      <c r="G1420">
        <v>0</v>
      </c>
      <c r="H1420">
        <v>0</v>
      </c>
      <c r="I1420">
        <v>0</v>
      </c>
      <c r="J1420">
        <v>-281.0652</v>
      </c>
      <c r="K1420">
        <v>1.1214109999999999</v>
      </c>
      <c r="L1420">
        <v>285.39330000000001</v>
      </c>
      <c r="M1420">
        <v>-0.99984090000000003</v>
      </c>
      <c r="N1420">
        <v>-1.47268E-2</v>
      </c>
      <c r="O1420">
        <v>-1.007635E-2</v>
      </c>
      <c r="P1420">
        <v>-0.97914650000000003</v>
      </c>
      <c r="Q1420">
        <v>0.2007447</v>
      </c>
      <c r="R1420">
        <v>3.1212810000000001E-2</v>
      </c>
      <c r="S1420">
        <v>-3.063812</v>
      </c>
      <c r="T1420">
        <v>-1.799822E-3</v>
      </c>
      <c r="U1420">
        <v>2.5512699999999999E-2</v>
      </c>
      <c r="V1420">
        <v>4.1019E-2</v>
      </c>
      <c r="W1420">
        <v>0.21514900000000001</v>
      </c>
      <c r="X1420">
        <v>0.97571940000000001</v>
      </c>
      <c r="Y1420">
        <v>1.8402410000000001E-2</v>
      </c>
      <c r="Z1420" s="1">
        <v>-1.5600089999999999E-6</v>
      </c>
      <c r="AA1420">
        <v>0.99983069999999996</v>
      </c>
      <c r="AB1420">
        <v>36</v>
      </c>
      <c r="AC1420">
        <v>-3.063812</v>
      </c>
      <c r="AD1420">
        <v>-1.799822E-3</v>
      </c>
      <c r="AE1420">
        <v>2.5512699999999999E-2</v>
      </c>
      <c r="AF1420">
        <v>5.6386771718796198E-2</v>
      </c>
      <c r="AG1420">
        <v>-1.799822E-3</v>
      </c>
      <c r="AH1420">
        <v>3.06339826376938</v>
      </c>
      <c r="AI1420">
        <v>90.033656978005297</v>
      </c>
      <c r="AJ1420">
        <v>88.945498111590098</v>
      </c>
      <c r="AK1420">
        <v>3.0639176930605299</v>
      </c>
      <c r="AL1420">
        <v>77.575731036819903</v>
      </c>
      <c r="AM1420">
        <v>87.592717227555397</v>
      </c>
      <c r="AN1420">
        <v>0.99999999904917902</v>
      </c>
    </row>
    <row r="1421" spans="1:40" x14ac:dyDescent="0.25">
      <c r="A1421" t="str">
        <f>"20190303170748807"</f>
        <v>20190303170748807</v>
      </c>
      <c r="B1421" t="str">
        <f>"1551604068793838"</f>
        <v>1551604068793838</v>
      </c>
      <c r="C1421" t="s">
        <v>40</v>
      </c>
      <c r="D1421">
        <v>4.5513329999999996</v>
      </c>
      <c r="E1421">
        <v>0.49531350000000002</v>
      </c>
      <c r="F1421" t="s">
        <v>45</v>
      </c>
      <c r="G1421">
        <v>0</v>
      </c>
      <c r="H1421">
        <v>0</v>
      </c>
      <c r="I1421">
        <v>0</v>
      </c>
      <c r="J1421">
        <v>-281.4228</v>
      </c>
      <c r="K1421">
        <v>1.1213959999999901</v>
      </c>
      <c r="L1421">
        <v>285.38959999999997</v>
      </c>
      <c r="M1421">
        <v>-0.99983999999999995</v>
      </c>
      <c r="N1421">
        <v>-1.4722839999999999E-2</v>
      </c>
      <c r="O1421">
        <v>-1.01666E-2</v>
      </c>
      <c r="P1421">
        <v>-0.97922149999999997</v>
      </c>
      <c r="Q1421">
        <v>0.20055770000000001</v>
      </c>
      <c r="R1421">
        <v>3.003374E-2</v>
      </c>
      <c r="S1421">
        <v>-3.0637819999999998</v>
      </c>
      <c r="T1421">
        <v>-2.7022359999999998E-3</v>
      </c>
      <c r="U1421">
        <v>2.087402E-2</v>
      </c>
      <c r="V1421">
        <v>3.993476E-2</v>
      </c>
      <c r="W1421">
        <v>0.21495800000000001</v>
      </c>
      <c r="X1421">
        <v>0.97580650000000002</v>
      </c>
      <c r="Y1421">
        <v>1.6979020000000001E-2</v>
      </c>
      <c r="Z1421" s="1">
        <v>-8.2360060000000002E-6</v>
      </c>
      <c r="AA1421">
        <v>0.99985579999999996</v>
      </c>
      <c r="AB1421">
        <v>36</v>
      </c>
      <c r="AC1421">
        <v>-3.0637819999999998</v>
      </c>
      <c r="AD1421">
        <v>-2.7022359999999998E-3</v>
      </c>
      <c r="AE1421">
        <v>2.087402E-2</v>
      </c>
      <c r="AF1421">
        <v>5.2024520715427E-2</v>
      </c>
      <c r="AG1421">
        <v>-2.7022359999999998E-3</v>
      </c>
      <c r="AH1421">
        <v>3.0634090019678202</v>
      </c>
      <c r="AI1421">
        <v>90.050533362036106</v>
      </c>
      <c r="AJ1421">
        <v>89.027064634275405</v>
      </c>
      <c r="AK1421">
        <v>3.06385191648888</v>
      </c>
      <c r="AL1421">
        <v>77.586937059787502</v>
      </c>
      <c r="AM1421">
        <v>87.656485086792998</v>
      </c>
      <c r="AN1421">
        <v>1.0000000261312501</v>
      </c>
    </row>
    <row r="1422" spans="1:40" x14ac:dyDescent="0.25">
      <c r="A1422" t="str">
        <f>"20190303170748831"</f>
        <v>20190303170748831</v>
      </c>
      <c r="B1422" t="str">
        <f>"1551604068824095"</f>
        <v>1551604068824095</v>
      </c>
      <c r="C1422" t="s">
        <v>40</v>
      </c>
      <c r="D1422">
        <v>4.5972650000000002</v>
      </c>
      <c r="E1422">
        <v>0.49536849999999999</v>
      </c>
      <c r="F1422" t="s">
        <v>45</v>
      </c>
      <c r="G1422">
        <v>0</v>
      </c>
      <c r="H1422">
        <v>0</v>
      </c>
      <c r="I1422">
        <v>0</v>
      </c>
      <c r="J1422">
        <v>-281.79340000000002</v>
      </c>
      <c r="K1422">
        <v>1.1213869999999999</v>
      </c>
      <c r="L1422">
        <v>285.38569999999999</v>
      </c>
      <c r="M1422">
        <v>-0.99983909999999998</v>
      </c>
      <c r="N1422">
        <v>-1.471867E-2</v>
      </c>
      <c r="O1422">
        <v>-1.026321E-2</v>
      </c>
      <c r="P1422">
        <v>-0.97941560000000005</v>
      </c>
      <c r="Q1422">
        <v>0.1998027</v>
      </c>
      <c r="R1422">
        <v>2.8706659999999998E-2</v>
      </c>
      <c r="S1422">
        <v>-3.0637819999999998</v>
      </c>
      <c r="T1422">
        <v>-3.2176969999999998E-3</v>
      </c>
      <c r="U1422">
        <v>1.7883300000000001E-2</v>
      </c>
      <c r="V1422">
        <v>3.8708649999999997E-2</v>
      </c>
      <c r="W1422">
        <v>0.21420030000000001</v>
      </c>
      <c r="X1422">
        <v>0.97602250000000002</v>
      </c>
      <c r="Y1422">
        <v>1.609965E-2</v>
      </c>
      <c r="Z1422" s="1">
        <v>-1.3345689999999999E-5</v>
      </c>
      <c r="AA1422">
        <v>0.99987040000000005</v>
      </c>
      <c r="AB1422">
        <v>36</v>
      </c>
      <c r="AC1422">
        <v>-3.0637819999999998</v>
      </c>
      <c r="AD1422">
        <v>-3.2176969999999998E-3</v>
      </c>
      <c r="AE1422">
        <v>1.7883300000000001E-2</v>
      </c>
      <c r="AF1422">
        <v>4.93299450253104E-2</v>
      </c>
      <c r="AG1422">
        <v>-3.2176969999999998E-3</v>
      </c>
      <c r="AH1422">
        <v>3.0634336626329901</v>
      </c>
      <c r="AI1422">
        <v>90.060173162730393</v>
      </c>
      <c r="AJ1422">
        <v>89.077455657009594</v>
      </c>
      <c r="AK1422">
        <v>3.06383250234133</v>
      </c>
      <c r="AL1422">
        <v>77.631385402468595</v>
      </c>
      <c r="AM1422">
        <v>87.728863248824794</v>
      </c>
      <c r="AN1422">
        <v>1.00000002430558</v>
      </c>
    </row>
    <row r="1423" spans="1:40" x14ac:dyDescent="0.25">
      <c r="A1423" t="str">
        <f>"20190303170748852"</f>
        <v>20190303170748852</v>
      </c>
      <c r="B1423" t="str">
        <f>"1551604068843615"</f>
        <v>1551604068843615</v>
      </c>
      <c r="C1423" t="s">
        <v>40</v>
      </c>
      <c r="D1423">
        <v>4.6482979999999996</v>
      </c>
      <c r="E1423">
        <v>0.47667720000000002</v>
      </c>
      <c r="F1423" t="s">
        <v>49</v>
      </c>
      <c r="G1423">
        <v>-1018.124</v>
      </c>
      <c r="H1423">
        <v>-0.1</v>
      </c>
      <c r="I1423">
        <v>288.82569999999998</v>
      </c>
      <c r="J1423">
        <v>-282.12560000000002</v>
      </c>
      <c r="K1423">
        <v>1.1213869999999999</v>
      </c>
      <c r="L1423">
        <v>285.38220000000001</v>
      </c>
      <c r="M1423">
        <v>-0.99983829999999996</v>
      </c>
      <c r="N1423">
        <v>-1.471484E-2</v>
      </c>
      <c r="O1423">
        <v>-1.034964E-2</v>
      </c>
      <c r="P1423">
        <v>-0.97944390000000003</v>
      </c>
      <c r="Q1423">
        <v>0.1997922</v>
      </c>
      <c r="R1423">
        <v>2.780496E-2</v>
      </c>
      <c r="S1423">
        <v>-3.0636899999999998</v>
      </c>
      <c r="T1423">
        <v>-5.0818920000000002E-3</v>
      </c>
      <c r="U1423">
        <v>1.4312739999999999E-2</v>
      </c>
      <c r="V1423">
        <v>3.7894610000000002E-2</v>
      </c>
      <c r="W1423">
        <v>0.2141864</v>
      </c>
      <c r="X1423">
        <v>0.97605750000000002</v>
      </c>
      <c r="Y1423">
        <v>1.502099E-2</v>
      </c>
      <c r="Z1423" s="1">
        <v>-1.2154360000000001E-5</v>
      </c>
      <c r="AA1423">
        <v>0.99988719999999998</v>
      </c>
      <c r="AB1423">
        <v>35</v>
      </c>
      <c r="AC1423">
        <v>-735.99839999999995</v>
      </c>
      <c r="AD1423">
        <v>-1.221387</v>
      </c>
      <c r="AE1423">
        <v>3.44349999999997</v>
      </c>
      <c r="AF1423">
        <v>11.061427338394401</v>
      </c>
      <c r="AG1423">
        <v>-1.221387</v>
      </c>
      <c r="AH1423">
        <v>735.92130269476695</v>
      </c>
      <c r="AI1423">
        <v>90.095081297465896</v>
      </c>
      <c r="AJ1423">
        <v>89.138868003753799</v>
      </c>
      <c r="AK1423">
        <v>736.00544204572998</v>
      </c>
      <c r="AL1423">
        <v>77.632200800134896</v>
      </c>
      <c r="AM1423">
        <v>87.776656283095704</v>
      </c>
      <c r="AN1423">
        <v>1.00000002935913</v>
      </c>
    </row>
    <row r="1424" spans="1:40" x14ac:dyDescent="0.25">
      <c r="A1424" t="str">
        <f>"20190303170748875"</f>
        <v>20190303170748875</v>
      </c>
      <c r="B1424" t="str">
        <f>"1551604068864110"</f>
        <v>1551604068864110</v>
      </c>
      <c r="C1424" t="s">
        <v>40</v>
      </c>
      <c r="D1424">
        <v>4.6612349999999996</v>
      </c>
      <c r="E1424">
        <v>0.45964129999999997</v>
      </c>
      <c r="F1424" t="s">
        <v>70</v>
      </c>
      <c r="G1424">
        <v>-512.82569999999998</v>
      </c>
      <c r="H1424">
        <v>1.71363499999999</v>
      </c>
      <c r="I1424">
        <v>275.02800000000002</v>
      </c>
      <c r="J1424">
        <v>-282.49329999999998</v>
      </c>
      <c r="K1424">
        <v>1.1213799999999901</v>
      </c>
      <c r="L1424">
        <v>285.37830000000002</v>
      </c>
      <c r="M1424">
        <v>-0.99983719999999998</v>
      </c>
      <c r="N1424">
        <v>-1.4710579999999999E-2</v>
      </c>
      <c r="O1424">
        <v>-1.044585E-2</v>
      </c>
      <c r="P1424">
        <v>-0.97957749999999999</v>
      </c>
      <c r="Q1424">
        <v>0.19923869999999999</v>
      </c>
      <c r="R1424">
        <v>2.7052730000000001E-2</v>
      </c>
      <c r="S1424">
        <v>-3.0652469999999998</v>
      </c>
      <c r="T1424">
        <v>7.8700780000000008E-3</v>
      </c>
      <c r="U1424">
        <v>-0.13757320000000001</v>
      </c>
      <c r="V1424">
        <v>3.7240040000000002E-2</v>
      </c>
      <c r="W1424">
        <v>0.21363019999999999</v>
      </c>
      <c r="X1424">
        <v>0.97620459999999998</v>
      </c>
      <c r="Y1424">
        <v>-3.4399649999999997E-2</v>
      </c>
      <c r="Z1424">
        <v>-3.8942909999999998E-4</v>
      </c>
      <c r="AA1424">
        <v>0.99940810000000002</v>
      </c>
      <c r="AB1424">
        <v>35</v>
      </c>
      <c r="AC1424">
        <v>-230.33240000000001</v>
      </c>
      <c r="AD1424">
        <v>0.59225499999999998</v>
      </c>
      <c r="AE1424">
        <v>-10.350300000000001</v>
      </c>
      <c r="AF1424">
        <v>-7.9434046155435496</v>
      </c>
      <c r="AG1424">
        <v>0.59225499999999998</v>
      </c>
      <c r="AH1424">
        <v>230.42643945072101</v>
      </c>
      <c r="AI1424">
        <v>89.852822911419196</v>
      </c>
      <c r="AJ1424">
        <v>91.974354180494302</v>
      </c>
      <c r="AK1424">
        <v>230.564074479976</v>
      </c>
      <c r="AL1424">
        <v>77.664824096408196</v>
      </c>
      <c r="AM1424">
        <v>87.815352436908199</v>
      </c>
      <c r="AN1424">
        <v>1.00000005199619</v>
      </c>
    </row>
    <row r="1425" spans="1:40" x14ac:dyDescent="0.25">
      <c r="A1425" t="str">
        <f>"20190303170748895"</f>
        <v>20190303170748895</v>
      </c>
      <c r="B1425" t="str">
        <f>"1551604068883781"</f>
        <v>1551604068883781</v>
      </c>
      <c r="C1425" t="s">
        <v>40</v>
      </c>
      <c r="D1425">
        <v>4.6036929999999998</v>
      </c>
      <c r="E1425">
        <v>0.45983279999999899</v>
      </c>
      <c r="F1425" t="s">
        <v>69</v>
      </c>
      <c r="G1425">
        <v>-452.8467</v>
      </c>
      <c r="H1425">
        <v>1.6592819999999999</v>
      </c>
      <c r="I1425">
        <v>270.08629999999999</v>
      </c>
      <c r="J1425">
        <v>-282.80509999999998</v>
      </c>
      <c r="K1425">
        <v>1.1213799999999901</v>
      </c>
      <c r="L1425">
        <v>285.375</v>
      </c>
      <c r="M1425">
        <v>-0.99983650000000002</v>
      </c>
      <c r="N1425">
        <v>-1.470698E-2</v>
      </c>
      <c r="O1425">
        <v>-1.0527430000000001E-2</v>
      </c>
      <c r="P1425">
        <v>-0.97966819999999999</v>
      </c>
      <c r="Q1425">
        <v>0.1988933</v>
      </c>
      <c r="R1425">
        <v>2.629834E-2</v>
      </c>
      <c r="S1425">
        <v>-3.0682070000000001</v>
      </c>
      <c r="T1425">
        <v>9.6882579999999999E-3</v>
      </c>
      <c r="U1425">
        <v>-0.27542109999999997</v>
      </c>
      <c r="V1425">
        <v>3.6567769999999999E-2</v>
      </c>
      <c r="W1425">
        <v>0.21328220000000001</v>
      </c>
      <c r="X1425">
        <v>0.97630600000000001</v>
      </c>
      <c r="Y1425">
        <v>-7.8918390000000005E-2</v>
      </c>
      <c r="Z1425">
        <v>-6.4488230000000004E-4</v>
      </c>
      <c r="AA1425">
        <v>0.99688089999999996</v>
      </c>
      <c r="AB1425">
        <v>35</v>
      </c>
      <c r="AC1425">
        <v>-170.04159999999999</v>
      </c>
      <c r="AD1425">
        <v>0.53790199999999999</v>
      </c>
      <c r="AE1425">
        <v>-15.2887</v>
      </c>
      <c r="AF1425">
        <v>-13.4974240770423</v>
      </c>
      <c r="AG1425">
        <v>0.53790199999999999</v>
      </c>
      <c r="AH1425">
        <v>170.19145381900799</v>
      </c>
      <c r="AI1425">
        <v>89.819480091827202</v>
      </c>
      <c r="AJ1425">
        <v>94.5344824974038</v>
      </c>
      <c r="AK1425">
        <v>170.72668434753999</v>
      </c>
      <c r="AL1425">
        <v>77.685232158534404</v>
      </c>
      <c r="AM1425">
        <v>87.854975858604703</v>
      </c>
      <c r="AN1425">
        <v>0.99999995213780501</v>
      </c>
    </row>
    <row r="1426" spans="1:40" x14ac:dyDescent="0.25">
      <c r="A1426" t="str">
        <f>"20190303170748917"</f>
        <v>20190303170748917</v>
      </c>
      <c r="B1426" t="str">
        <f>"1551604068904278"</f>
        <v>1551604068904278</v>
      </c>
      <c r="C1426" t="s">
        <v>40</v>
      </c>
      <c r="D1426">
        <v>4.676399</v>
      </c>
      <c r="E1426">
        <v>0.45945910000000001</v>
      </c>
      <c r="F1426" t="s">
        <v>69</v>
      </c>
      <c r="G1426">
        <v>-452.56639999999999</v>
      </c>
      <c r="H1426">
        <v>1.480248</v>
      </c>
      <c r="I1426">
        <v>270.08640000000003</v>
      </c>
      <c r="J1426">
        <v>-283.15789999999998</v>
      </c>
      <c r="K1426">
        <v>1.1213869999999999</v>
      </c>
      <c r="L1426">
        <v>285.37119999999999</v>
      </c>
      <c r="M1426">
        <v>-0.99983560000000005</v>
      </c>
      <c r="N1426">
        <v>-1.4702949999999999E-2</v>
      </c>
      <c r="O1426">
        <v>-1.0619160000000001E-2</v>
      </c>
      <c r="P1426">
        <v>-0.97936579999999995</v>
      </c>
      <c r="Q1426">
        <v>0.2002449</v>
      </c>
      <c r="R1426">
        <v>2.72932E-2</v>
      </c>
      <c r="S1426">
        <v>-3.06839</v>
      </c>
      <c r="T1426">
        <v>6.4866539999999997E-3</v>
      </c>
      <c r="U1426">
        <v>-0.27633669999999999</v>
      </c>
      <c r="V1426">
        <v>3.7650210000000003E-2</v>
      </c>
      <c r="W1426">
        <v>0.2146256</v>
      </c>
      <c r="X1426">
        <v>0.97597040000000002</v>
      </c>
      <c r="Y1426">
        <v>-7.9116140000000001E-2</v>
      </c>
      <c r="Z1426">
        <v>-6.7761089999999905E-4</v>
      </c>
      <c r="AA1426">
        <v>0.99686520000000001</v>
      </c>
      <c r="AB1426">
        <v>35</v>
      </c>
      <c r="AC1426">
        <v>-169.4085</v>
      </c>
      <c r="AD1426">
        <v>0.35886099999999899</v>
      </c>
      <c r="AE1426">
        <v>-15.284799999999899</v>
      </c>
      <c r="AF1426">
        <v>-13.484707667912801</v>
      </c>
      <c r="AG1426">
        <v>0.35886099999999899</v>
      </c>
      <c r="AH1426">
        <v>169.56052040992799</v>
      </c>
      <c r="AI1426">
        <v>89.879119996497096</v>
      </c>
      <c r="AJ1426">
        <v>94.547014575884106</v>
      </c>
      <c r="AK1426">
        <v>170.09625570185901</v>
      </c>
      <c r="AL1426">
        <v>77.606436408030703</v>
      </c>
      <c r="AM1426">
        <v>87.790784463665304</v>
      </c>
      <c r="AN1426">
        <v>0.99999995408228104</v>
      </c>
    </row>
    <row r="1427" spans="1:40" x14ac:dyDescent="0.25">
      <c r="A1427" t="str">
        <f>"20190303170748941"</f>
        <v>20190303170748941</v>
      </c>
      <c r="B1427" t="str">
        <f>"1551604068933558"</f>
        <v>1551604068933558</v>
      </c>
      <c r="C1427" t="s">
        <v>40</v>
      </c>
      <c r="D1427">
        <v>4.6687969999999996</v>
      </c>
      <c r="E1427">
        <v>0.45978289999999999</v>
      </c>
      <c r="F1427" t="s">
        <v>69</v>
      </c>
      <c r="G1427">
        <v>-452.74200000000002</v>
      </c>
      <c r="H1427">
        <v>1.736057</v>
      </c>
      <c r="I1427">
        <v>270.08629999999999</v>
      </c>
      <c r="J1427">
        <v>-283.53579999999999</v>
      </c>
      <c r="K1427">
        <v>1.121402</v>
      </c>
      <c r="L1427">
        <v>285.36709999999999</v>
      </c>
      <c r="M1427">
        <v>-0.99983449999999996</v>
      </c>
      <c r="N1427">
        <v>-1.469867E-2</v>
      </c>
      <c r="O1427">
        <v>-1.0718149999999999E-2</v>
      </c>
      <c r="P1427">
        <v>-0.97903689999999999</v>
      </c>
      <c r="Q1427">
        <v>0.20162849999999999</v>
      </c>
      <c r="R1427">
        <v>2.88571E-2</v>
      </c>
      <c r="S1427">
        <v>-3.0686339999999999</v>
      </c>
      <c r="T1427">
        <v>1.1122699999999999E-2</v>
      </c>
      <c r="U1427">
        <v>-0.27658080000000002</v>
      </c>
      <c r="V1427">
        <v>3.9307729999999999E-2</v>
      </c>
      <c r="W1427">
        <v>0.21599969999999999</v>
      </c>
      <c r="X1427">
        <v>0.97560190000000002</v>
      </c>
      <c r="Y1427">
        <v>-7.9089859999999998E-2</v>
      </c>
      <c r="Z1427">
        <v>-6.3542989999999897E-4</v>
      </c>
      <c r="AA1427">
        <v>0.99686730000000001</v>
      </c>
      <c r="AB1427">
        <v>35</v>
      </c>
      <c r="AC1427">
        <v>-169.206199999999</v>
      </c>
      <c r="AD1427">
        <v>0.61465499999999995</v>
      </c>
      <c r="AE1427">
        <v>-15.280799999999999</v>
      </c>
      <c r="AF1427">
        <v>-13.4659723951894</v>
      </c>
      <c r="AG1427">
        <v>0.61465499999999995</v>
      </c>
      <c r="AH1427">
        <v>169.35806141966901</v>
      </c>
      <c r="AI1427">
        <v>89.792710277566201</v>
      </c>
      <c r="AJ1427">
        <v>94.546128983747593</v>
      </c>
      <c r="AK1427">
        <v>169.89368199302001</v>
      </c>
      <c r="AL1427">
        <v>77.525816117664405</v>
      </c>
      <c r="AM1427">
        <v>87.692758146541493</v>
      </c>
      <c r="AN1427">
        <v>1.00000001766072</v>
      </c>
    </row>
    <row r="1428" spans="1:40" x14ac:dyDescent="0.25">
      <c r="A1428" t="str">
        <f>"20190303170748963"</f>
        <v>20190303170748963</v>
      </c>
      <c r="B1428" t="str">
        <f>"1551604068954054"</f>
        <v>1551604068954054</v>
      </c>
      <c r="C1428" t="s">
        <v>40</v>
      </c>
      <c r="D1428">
        <v>4.6525270000000001</v>
      </c>
      <c r="E1428">
        <v>0.45998499999999998</v>
      </c>
      <c r="F1428" t="s">
        <v>69</v>
      </c>
      <c r="G1428">
        <v>-456.08100000000002</v>
      </c>
      <c r="H1428">
        <v>2.2252670000000001</v>
      </c>
      <c r="I1428">
        <v>270.21800000000002</v>
      </c>
      <c r="J1428">
        <v>-283.88720000000001</v>
      </c>
      <c r="K1428">
        <v>1.1214029999999999</v>
      </c>
      <c r="L1428">
        <v>285.36320000000001</v>
      </c>
      <c r="M1428">
        <v>-0.99983359999999999</v>
      </c>
      <c r="N1428">
        <v>-1.469468E-2</v>
      </c>
      <c r="O1428">
        <v>-1.0809040000000001E-2</v>
      </c>
      <c r="P1428">
        <v>-0.97866699999999995</v>
      </c>
      <c r="Q1428">
        <v>0.2032079</v>
      </c>
      <c r="R1428">
        <v>3.02895E-2</v>
      </c>
      <c r="S1428">
        <v>-3.0681759999999998</v>
      </c>
      <c r="T1428">
        <v>1.9628759999999999E-2</v>
      </c>
      <c r="U1428">
        <v>-0.26937870000000003</v>
      </c>
      <c r="V1428">
        <v>4.0825970000000003E-2</v>
      </c>
      <c r="W1428">
        <v>0.2175694</v>
      </c>
      <c r="X1428">
        <v>0.97519060000000002</v>
      </c>
      <c r="Y1428">
        <v>-7.6691720000000005E-2</v>
      </c>
      <c r="Z1428">
        <v>-5.473028E-4</v>
      </c>
      <c r="AA1428">
        <v>0.99705469999999896</v>
      </c>
      <c r="AB1428">
        <v>35</v>
      </c>
      <c r="AC1428">
        <v>-172.19379999999899</v>
      </c>
      <c r="AD1428">
        <v>1.10386399999999</v>
      </c>
      <c r="AE1428">
        <v>-15.1451999999999</v>
      </c>
      <c r="AF1428">
        <v>-13.282322719124201</v>
      </c>
      <c r="AG1428">
        <v>1.10386399999999</v>
      </c>
      <c r="AH1428">
        <v>172.34043304538201</v>
      </c>
      <c r="AI1428">
        <v>89.634102773571897</v>
      </c>
      <c r="AJ1428">
        <v>94.407088867181997</v>
      </c>
      <c r="AK1428">
        <v>172.85503601230499</v>
      </c>
      <c r="AL1428">
        <v>77.433687269072294</v>
      </c>
      <c r="AM1428">
        <v>87.602734644140398</v>
      </c>
      <c r="AN1428">
        <v>0.99999995498557903</v>
      </c>
    </row>
    <row r="1429" spans="1:40" x14ac:dyDescent="0.25">
      <c r="A1429" t="str">
        <f>"20190303170748985"</f>
        <v>20190303170748985</v>
      </c>
      <c r="B1429" t="str">
        <f>"1551604068973574"</f>
        <v>1551604068973574</v>
      </c>
      <c r="C1429" t="s">
        <v>40</v>
      </c>
      <c r="D1429">
        <v>4.6540010000000001</v>
      </c>
      <c r="E1429">
        <v>0.46003319999999998</v>
      </c>
      <c r="F1429" t="s">
        <v>70</v>
      </c>
      <c r="G1429">
        <v>-512.82619999999997</v>
      </c>
      <c r="H1429">
        <v>3.0422289999999998</v>
      </c>
      <c r="I1429">
        <v>265.74560000000002</v>
      </c>
      <c r="J1429">
        <v>-284.21409999999997</v>
      </c>
      <c r="K1429">
        <v>1.121405</v>
      </c>
      <c r="L1429">
        <v>285.35950000000003</v>
      </c>
      <c r="M1429">
        <v>-0.99983290000000002</v>
      </c>
      <c r="N1429">
        <v>-1.4691020000000001E-2</v>
      </c>
      <c r="O1429">
        <v>-1.0889289999999999E-2</v>
      </c>
      <c r="P1429">
        <v>-0.97858460000000003</v>
      </c>
      <c r="Q1429">
        <v>0.20353299999999999</v>
      </c>
      <c r="R1429">
        <v>3.0771300000000001E-2</v>
      </c>
      <c r="S1429">
        <v>-3.0681759999999998</v>
      </c>
      <c r="T1429">
        <v>2.5743370000000002E-2</v>
      </c>
      <c r="U1429">
        <v>-0.2629089</v>
      </c>
      <c r="V1429">
        <v>4.1387279999999999E-2</v>
      </c>
      <c r="W1429">
        <v>0.2178891</v>
      </c>
      <c r="X1429">
        <v>0.97509559999999995</v>
      </c>
      <c r="Y1429">
        <v>-7.4525209999999995E-2</v>
      </c>
      <c r="Z1429">
        <v>-4.8726610000000001E-4</v>
      </c>
      <c r="AA1429">
        <v>0.99721899999999997</v>
      </c>
      <c r="AB1429">
        <v>35</v>
      </c>
      <c r="AC1429">
        <v>-228.6121</v>
      </c>
      <c r="AD1429">
        <v>1.9208240000000001</v>
      </c>
      <c r="AE1429">
        <v>-19.613900000000001</v>
      </c>
      <c r="AF1429">
        <v>-17.1218450954863</v>
      </c>
      <c r="AG1429">
        <v>1.9208240000000001</v>
      </c>
      <c r="AH1429">
        <v>228.79611317958501</v>
      </c>
      <c r="AI1429">
        <v>89.520334214981702</v>
      </c>
      <c r="AJ1429">
        <v>94.279724390082905</v>
      </c>
      <c r="AK1429">
        <v>229.443911556611</v>
      </c>
      <c r="AL1429">
        <v>77.414920105190205</v>
      </c>
      <c r="AM1429">
        <v>87.569577778360099</v>
      </c>
      <c r="AN1429">
        <v>0.99999999799198402</v>
      </c>
    </row>
    <row r="1430" spans="1:40" x14ac:dyDescent="0.25">
      <c r="A1430" t="str">
        <f>"20190303170749007"</f>
        <v>20190303170749007</v>
      </c>
      <c r="B1430" t="str">
        <f>"1551604068994070"</f>
        <v>1551604068994070</v>
      </c>
      <c r="C1430" t="s">
        <v>40</v>
      </c>
      <c r="D1430">
        <v>4.6706690000000002</v>
      </c>
      <c r="E1430">
        <v>0.46015349999999999</v>
      </c>
      <c r="F1430" t="s">
        <v>70</v>
      </c>
      <c r="G1430">
        <v>-512.82619999999997</v>
      </c>
      <c r="H1430">
        <v>3.0325000000000002</v>
      </c>
      <c r="I1430">
        <v>265.92899999999997</v>
      </c>
      <c r="J1430">
        <v>-284.57299999999998</v>
      </c>
      <c r="K1430">
        <v>1.1213979999999999</v>
      </c>
      <c r="L1430">
        <v>285.35550000000001</v>
      </c>
      <c r="M1430">
        <v>-0.9998321</v>
      </c>
      <c r="N1430">
        <v>-1.4687199999999999E-2</v>
      </c>
      <c r="O1430">
        <v>-1.0969370000000001E-2</v>
      </c>
      <c r="P1430">
        <v>-0.97865740000000001</v>
      </c>
      <c r="Q1430">
        <v>0.2032243</v>
      </c>
      <c r="R1430">
        <v>3.049313E-2</v>
      </c>
      <c r="S1430">
        <v>-3.0685120000000001</v>
      </c>
      <c r="T1430">
        <v>2.565241E-2</v>
      </c>
      <c r="U1430">
        <v>-0.26080320000000001</v>
      </c>
      <c r="V1430">
        <v>4.119159E-2</v>
      </c>
      <c r="W1430">
        <v>0.2175773</v>
      </c>
      <c r="X1430">
        <v>0.97517350000000003</v>
      </c>
      <c r="Y1430">
        <v>-7.3756660000000002E-2</v>
      </c>
      <c r="Z1430">
        <v>-4.8726310000000002E-4</v>
      </c>
      <c r="AA1430">
        <v>0.9972761</v>
      </c>
      <c r="AB1430">
        <v>35</v>
      </c>
      <c r="AC1430">
        <v>-228.25319999999999</v>
      </c>
      <c r="AD1430">
        <v>1.9111020000000001</v>
      </c>
      <c r="AE1430">
        <v>-19.426499999999901</v>
      </c>
      <c r="AF1430">
        <v>-16.920089771574801</v>
      </c>
      <c r="AG1430">
        <v>1.9111020000000001</v>
      </c>
      <c r="AH1430">
        <v>228.43668469713299</v>
      </c>
      <c r="AI1430">
        <v>89.521983913916003</v>
      </c>
      <c r="AJ1430">
        <v>94.236108898433898</v>
      </c>
      <c r="AK1430">
        <v>229.07042730162701</v>
      </c>
      <c r="AL1430">
        <v>77.433223993489605</v>
      </c>
      <c r="AM1430">
        <v>87.581248777910204</v>
      </c>
      <c r="AN1430">
        <v>0.99999999183213395</v>
      </c>
    </row>
    <row r="1431" spans="1:40" x14ac:dyDescent="0.25">
      <c r="A1431" t="str">
        <f>"20190303170749034"</f>
        <v>20190303170749034</v>
      </c>
      <c r="B1431" t="str">
        <f>"1551604069024328"</f>
        <v>1551604069024328</v>
      </c>
      <c r="C1431" t="s">
        <v>40</v>
      </c>
      <c r="D1431">
        <v>4.6808230000000002</v>
      </c>
      <c r="E1431">
        <v>0.45983800000000002</v>
      </c>
      <c r="F1431" t="s">
        <v>70</v>
      </c>
      <c r="G1431">
        <v>-512.8261</v>
      </c>
      <c r="H1431">
        <v>2.84789</v>
      </c>
      <c r="I1431">
        <v>266.00450000000001</v>
      </c>
      <c r="J1431">
        <v>-284.96800000000002</v>
      </c>
      <c r="K1431">
        <v>1.121391</v>
      </c>
      <c r="L1431">
        <v>285.35109999999997</v>
      </c>
      <c r="M1431">
        <v>-0.99983120000000003</v>
      </c>
      <c r="N1431">
        <v>-1.4682860000000001E-2</v>
      </c>
      <c r="O1431">
        <v>-1.104341E-2</v>
      </c>
      <c r="P1431">
        <v>-0.97843559999999996</v>
      </c>
      <c r="Q1431">
        <v>0.2043587</v>
      </c>
      <c r="R1431">
        <v>3.0023089999999999E-2</v>
      </c>
      <c r="S1431">
        <v>-3.0687259999999998</v>
      </c>
      <c r="T1431">
        <v>2.3212670000000001E-2</v>
      </c>
      <c r="U1431">
        <v>-0.26016240000000002</v>
      </c>
      <c r="V1431">
        <v>4.0796880000000001E-2</v>
      </c>
      <c r="W1431">
        <v>0.21870339999999999</v>
      </c>
      <c r="X1431">
        <v>0.97493819999999998</v>
      </c>
      <c r="Y1431">
        <v>-7.3469999999999994E-2</v>
      </c>
      <c r="Z1431">
        <v>-5.082458E-4</v>
      </c>
      <c r="AA1431">
        <v>0.99729730000000005</v>
      </c>
      <c r="AB1431">
        <v>35</v>
      </c>
      <c r="AC1431">
        <v>-227.85810000000001</v>
      </c>
      <c r="AD1431">
        <v>1.726499</v>
      </c>
      <c r="AE1431">
        <v>-19.346599999999899</v>
      </c>
      <c r="AF1431">
        <v>-16.8278590327354</v>
      </c>
      <c r="AG1431">
        <v>1.726499</v>
      </c>
      <c r="AH1431">
        <v>228.04487878406499</v>
      </c>
      <c r="AI1431">
        <v>89.5674053182683</v>
      </c>
      <c r="AJ1431">
        <v>94.220313843682106</v>
      </c>
      <c r="AK1431">
        <v>228.671433235683</v>
      </c>
      <c r="AL1431">
        <v>77.367111507326101</v>
      </c>
      <c r="AM1431">
        <v>87.603821333653698</v>
      </c>
      <c r="AN1431">
        <v>1.00000002820426</v>
      </c>
    </row>
    <row r="1432" spans="1:40" x14ac:dyDescent="0.25">
      <c r="A1432" t="str">
        <f>"20190303170749053"</f>
        <v>20190303170749053</v>
      </c>
      <c r="B1432" t="str">
        <f>"1551604069043846"</f>
        <v>1551604069043846</v>
      </c>
      <c r="C1432" t="s">
        <v>40</v>
      </c>
      <c r="D1432">
        <v>4.683135</v>
      </c>
      <c r="E1432">
        <v>0.4596789</v>
      </c>
      <c r="F1432" t="s">
        <v>70</v>
      </c>
      <c r="G1432">
        <v>-512.8261</v>
      </c>
      <c r="H1432">
        <v>2.9645350000000001</v>
      </c>
      <c r="I1432">
        <v>265.7251</v>
      </c>
      <c r="J1432">
        <v>-285.2901</v>
      </c>
      <c r="K1432">
        <v>1.1213879999999901</v>
      </c>
      <c r="L1432">
        <v>285.34750000000003</v>
      </c>
      <c r="M1432">
        <v>-0.99983080000000002</v>
      </c>
      <c r="N1432">
        <v>-1.4679289999999999E-2</v>
      </c>
      <c r="O1432">
        <v>-1.1092670000000001E-2</v>
      </c>
      <c r="P1432">
        <v>-0.97827529999999996</v>
      </c>
      <c r="Q1432">
        <v>0.20521039999999999</v>
      </c>
      <c r="R1432">
        <v>2.9437649999999999E-2</v>
      </c>
      <c r="S1432">
        <v>-3.0690309999999998</v>
      </c>
      <c r="T1432">
        <v>2.482641E-2</v>
      </c>
      <c r="U1432">
        <v>-0.2643433</v>
      </c>
      <c r="V1432">
        <v>4.0263300000000002E-2</v>
      </c>
      <c r="W1432">
        <v>0.21954779999999999</v>
      </c>
      <c r="X1432">
        <v>0.97477049999999998</v>
      </c>
      <c r="Y1432">
        <v>-7.4761380000000002E-2</v>
      </c>
      <c r="Z1432">
        <v>-5.0004499999999996E-4</v>
      </c>
      <c r="AA1432">
        <v>0.99720129999999996</v>
      </c>
      <c r="AB1432">
        <v>35</v>
      </c>
      <c r="AC1432">
        <v>-227.53599999999901</v>
      </c>
      <c r="AD1432">
        <v>1.8431470000000001</v>
      </c>
      <c r="AE1432">
        <v>-19.622399999999999</v>
      </c>
      <c r="AF1432">
        <v>-17.095825414757002</v>
      </c>
      <c r="AG1432">
        <v>1.8431470000000001</v>
      </c>
      <c r="AH1432">
        <v>227.724853525415</v>
      </c>
      <c r="AI1432">
        <v>89.537573864572593</v>
      </c>
      <c r="AJ1432">
        <v>94.293271843086401</v>
      </c>
      <c r="AK1432">
        <v>228.37310119768301</v>
      </c>
      <c r="AL1432">
        <v>77.317524829200494</v>
      </c>
      <c r="AM1432">
        <v>87.634718604838497</v>
      </c>
      <c r="AN1432">
        <v>0.99999994874098797</v>
      </c>
    </row>
    <row r="1433" spans="1:40" x14ac:dyDescent="0.25">
      <c r="A1433" t="str">
        <f>"20190303170749075"</f>
        <v>20190303170749075</v>
      </c>
      <c r="B1433" t="str">
        <f>"1551604069064342"</f>
        <v>1551604069064342</v>
      </c>
      <c r="C1433" t="s">
        <v>40</v>
      </c>
      <c r="D1433">
        <v>4.6910249999999998</v>
      </c>
      <c r="E1433">
        <v>0.45962330000000001</v>
      </c>
      <c r="F1433" t="s">
        <v>70</v>
      </c>
      <c r="G1433">
        <v>-512.82619999999997</v>
      </c>
      <c r="H1433">
        <v>3.0370689999999998</v>
      </c>
      <c r="I1433">
        <v>265.50630000000001</v>
      </c>
      <c r="J1433">
        <v>-285.62630000000001</v>
      </c>
      <c r="K1433">
        <v>1.121373</v>
      </c>
      <c r="L1433">
        <v>285.34370000000001</v>
      </c>
      <c r="M1433">
        <v>-0.99983040000000001</v>
      </c>
      <c r="N1433">
        <v>-1.4675590000000001E-2</v>
      </c>
      <c r="O1433">
        <v>-1.1133830000000001E-2</v>
      </c>
      <c r="P1433">
        <v>-0.97830700000000004</v>
      </c>
      <c r="Q1433">
        <v>0.20519000000000001</v>
      </c>
      <c r="R1433">
        <v>2.8511729999999999E-2</v>
      </c>
      <c r="S1433">
        <v>-3.0692439999999999</v>
      </c>
      <c r="T1433">
        <v>2.584171E-2</v>
      </c>
      <c r="U1433">
        <v>-0.26763920000000002</v>
      </c>
      <c r="V1433">
        <v>3.9383519999999998E-2</v>
      </c>
      <c r="W1433">
        <v>0.2195232</v>
      </c>
      <c r="X1433">
        <v>0.97481200000000001</v>
      </c>
      <c r="Y1433">
        <v>-7.5777319999999995E-2</v>
      </c>
      <c r="Z1433">
        <v>-4.9537690000000004E-4</v>
      </c>
      <c r="AA1433">
        <v>0.99712469999999997</v>
      </c>
      <c r="AB1433">
        <v>35</v>
      </c>
      <c r="AC1433">
        <v>-227.19990000000001</v>
      </c>
      <c r="AD1433">
        <v>1.9156960000000001</v>
      </c>
      <c r="AE1433">
        <v>-19.837399999999999</v>
      </c>
      <c r="AF1433">
        <v>-17.305071860285501</v>
      </c>
      <c r="AG1433">
        <v>1.9156960000000001</v>
      </c>
      <c r="AH1433">
        <v>227.39066049661099</v>
      </c>
      <c r="AI1433">
        <v>89.518703863336498</v>
      </c>
      <c r="AJ1433">
        <v>94.3519819686544</v>
      </c>
      <c r="AK1433">
        <v>228.05623842451499</v>
      </c>
      <c r="AL1433">
        <v>77.318969774757406</v>
      </c>
      <c r="AM1433">
        <v>87.686443182565498</v>
      </c>
      <c r="AN1433">
        <v>0.99999996616491404</v>
      </c>
    </row>
    <row r="1434" spans="1:40" x14ac:dyDescent="0.25">
      <c r="A1434" t="str">
        <f>"20190303170749097"</f>
        <v>20190303170749097</v>
      </c>
      <c r="B1434" t="str">
        <f>"1551604069083393"</f>
        <v>1551604069083393</v>
      </c>
      <c r="C1434" t="s">
        <v>40</v>
      </c>
      <c r="D1434">
        <v>4.6760570000000001</v>
      </c>
      <c r="E1434">
        <v>0.45947460000000001</v>
      </c>
      <c r="F1434" t="s">
        <v>69</v>
      </c>
      <c r="G1434">
        <v>-456.08100000000002</v>
      </c>
      <c r="H1434">
        <v>2.4367510000000001</v>
      </c>
      <c r="I1434">
        <v>270.31819999999999</v>
      </c>
      <c r="J1434">
        <v>-285.97019999999998</v>
      </c>
      <c r="K1434">
        <v>1.1213580000000001</v>
      </c>
      <c r="L1434">
        <v>285.33980000000003</v>
      </c>
      <c r="M1434">
        <v>-0.99983010000000005</v>
      </c>
      <c r="N1434">
        <v>-1.467122E-2</v>
      </c>
      <c r="O1434">
        <v>-1.1164240000000001E-2</v>
      </c>
      <c r="P1434">
        <v>-0.97843380000000002</v>
      </c>
      <c r="Q1434">
        <v>0.2046675</v>
      </c>
      <c r="R1434">
        <v>2.7902099999999999E-2</v>
      </c>
      <c r="S1434">
        <v>-3.0694270000000001</v>
      </c>
      <c r="T1434">
        <v>2.368665E-2</v>
      </c>
      <c r="U1434">
        <v>-0.2705688</v>
      </c>
      <c r="V1434">
        <v>3.8810549999999999E-2</v>
      </c>
      <c r="W1434">
        <v>0.21899750000000001</v>
      </c>
      <c r="X1434">
        <v>0.97495319999999996</v>
      </c>
      <c r="Y1434">
        <v>-7.6686169999999998E-2</v>
      </c>
      <c r="Z1434">
        <v>-5.1781059999999896E-4</v>
      </c>
      <c r="AA1434">
        <v>0.99705520000000003</v>
      </c>
      <c r="AB1434">
        <v>35</v>
      </c>
      <c r="AC1434">
        <v>-170.11079999999899</v>
      </c>
      <c r="AD1434">
        <v>1.31539299999999</v>
      </c>
      <c r="AE1434">
        <v>-15.021599999999999</v>
      </c>
      <c r="AF1434">
        <v>-13.120523067020301</v>
      </c>
      <c r="AG1434">
        <v>1.31539299999999</v>
      </c>
      <c r="AH1434">
        <v>170.25781746546301</v>
      </c>
      <c r="AI1434">
        <v>89.558656475903803</v>
      </c>
      <c r="AJ1434">
        <v>94.406656672815302</v>
      </c>
      <c r="AK1434">
        <v>170.76768661664099</v>
      </c>
      <c r="AL1434">
        <v>77.349841215982806</v>
      </c>
      <c r="AM1434">
        <v>87.720395964244702</v>
      </c>
      <c r="AN1434">
        <v>0.99999995299389499</v>
      </c>
    </row>
    <row r="1435" spans="1:40" x14ac:dyDescent="0.25">
      <c r="A1435" t="str">
        <f>"20190303170749119"</f>
        <v>20190303170749119</v>
      </c>
      <c r="B1435" t="str">
        <f>"1551604069113650"</f>
        <v>1551604069113650</v>
      </c>
      <c r="C1435" t="s">
        <v>40</v>
      </c>
      <c r="D1435">
        <v>4.67441</v>
      </c>
      <c r="E1435">
        <v>0.45936260000000001</v>
      </c>
      <c r="F1435" t="s">
        <v>69</v>
      </c>
      <c r="G1435">
        <v>-456.08100000000002</v>
      </c>
      <c r="H1435">
        <v>2.2689659999999998</v>
      </c>
      <c r="I1435">
        <v>270.21379999999999</v>
      </c>
      <c r="J1435">
        <v>-286.32589999999999</v>
      </c>
      <c r="K1435">
        <v>1.1213489999999999</v>
      </c>
      <c r="L1435">
        <v>285.33580000000001</v>
      </c>
      <c r="M1435">
        <v>-0.99983010000000005</v>
      </c>
      <c r="N1435">
        <v>-1.466486E-2</v>
      </c>
      <c r="O1435">
        <v>-1.1184039999999999E-2</v>
      </c>
      <c r="P1435">
        <v>-0.97855990000000004</v>
      </c>
      <c r="Q1435">
        <v>0.20414470000000001</v>
      </c>
      <c r="R1435">
        <v>2.7309659999999999E-2</v>
      </c>
      <c r="S1435">
        <v>-3.0696409999999998</v>
      </c>
      <c r="T1435">
        <v>2.0708560000000001E-2</v>
      </c>
      <c r="U1435">
        <v>-0.2729492</v>
      </c>
      <c r="V1435">
        <v>3.8244399999999998E-2</v>
      </c>
      <c r="W1435">
        <v>0.21846940000000001</v>
      </c>
      <c r="X1435">
        <v>0.97509409999999996</v>
      </c>
      <c r="Y1435">
        <v>-7.7427270000000006E-2</v>
      </c>
      <c r="Z1435">
        <v>-5.4722169999999999E-4</v>
      </c>
      <c r="AA1435">
        <v>0.99699780000000005</v>
      </c>
      <c r="AB1435">
        <v>35</v>
      </c>
      <c r="AC1435">
        <v>-169.755099999999</v>
      </c>
      <c r="AD1435">
        <v>1.1476170000000001</v>
      </c>
      <c r="AE1435">
        <v>-15.122</v>
      </c>
      <c r="AF1435">
        <v>-13.2217028381476</v>
      </c>
      <c r="AG1435">
        <v>1.1476170000000001</v>
      </c>
      <c r="AH1435">
        <v>169.90591974283001</v>
      </c>
      <c r="AI1435">
        <v>89.614172181811099</v>
      </c>
      <c r="AJ1435">
        <v>94.449663474134994</v>
      </c>
      <c r="AK1435">
        <v>170.42344913296401</v>
      </c>
      <c r="AL1435">
        <v>77.380850718106402</v>
      </c>
      <c r="AM1435">
        <v>87.753939701244903</v>
      </c>
      <c r="AN1435">
        <v>1.0000000083612599</v>
      </c>
    </row>
    <row r="1436" spans="1:40" x14ac:dyDescent="0.25">
      <c r="A1436" t="str">
        <f>"20190303170749141"</f>
        <v>20190303170749141</v>
      </c>
      <c r="B1436" t="str">
        <f>"1551604069134145"</f>
        <v>1551604069134145</v>
      </c>
      <c r="C1436" t="s">
        <v>40</v>
      </c>
      <c r="D1436">
        <v>4.660469</v>
      </c>
      <c r="E1436">
        <v>0.4594432</v>
      </c>
      <c r="F1436" t="s">
        <v>69</v>
      </c>
      <c r="G1436">
        <v>-456.08100000000002</v>
      </c>
      <c r="H1436">
        <v>2.0459589999999999</v>
      </c>
      <c r="I1436">
        <v>270.11799999999999</v>
      </c>
      <c r="J1436">
        <v>-286.67039999999997</v>
      </c>
      <c r="K1436">
        <v>1.1213470000000001</v>
      </c>
      <c r="L1436">
        <v>285.33199999999999</v>
      </c>
      <c r="M1436">
        <v>-0.99982990000000005</v>
      </c>
      <c r="N1436">
        <v>-1.4657669999999999E-2</v>
      </c>
      <c r="O1436">
        <v>-1.11948E-2</v>
      </c>
      <c r="P1436">
        <v>-0.978487</v>
      </c>
      <c r="Q1436">
        <v>0.20454020000000001</v>
      </c>
      <c r="R1436">
        <v>2.6958739999999998E-2</v>
      </c>
      <c r="S1436">
        <v>-3.0699459999999998</v>
      </c>
      <c r="T1436">
        <v>1.6721610000000001E-2</v>
      </c>
      <c r="U1436">
        <v>-0.27520749999999999</v>
      </c>
      <c r="V1436">
        <v>3.7907929999999999E-2</v>
      </c>
      <c r="W1436">
        <v>0.21885599999999999</v>
      </c>
      <c r="X1436">
        <v>0.97502049999999996</v>
      </c>
      <c r="Y1436">
        <v>-7.8134969999999998E-2</v>
      </c>
      <c r="Z1436">
        <v>-5.8607389999999998E-4</v>
      </c>
      <c r="AA1436">
        <v>0.99694260000000001</v>
      </c>
      <c r="AB1436">
        <v>35</v>
      </c>
      <c r="AC1436">
        <v>-169.41059999999999</v>
      </c>
      <c r="AD1436">
        <v>0.92461199999999999</v>
      </c>
      <c r="AE1436">
        <v>-15.214</v>
      </c>
      <c r="AF1436">
        <v>-13.315931401847299</v>
      </c>
      <c r="AG1436">
        <v>0.92461199999999999</v>
      </c>
      <c r="AH1436">
        <v>169.56530724279401</v>
      </c>
      <c r="AI1436">
        <v>89.688537432631506</v>
      </c>
      <c r="AJ1436">
        <v>94.490211548390107</v>
      </c>
      <c r="AK1436">
        <v>170.08986553228999</v>
      </c>
      <c r="AL1436">
        <v>77.358150321169603</v>
      </c>
      <c r="AM1436">
        <v>87.773512433059494</v>
      </c>
      <c r="AN1436">
        <v>0.99999996765656596</v>
      </c>
    </row>
    <row r="1437" spans="1:40" x14ac:dyDescent="0.25">
      <c r="A1437" t="str">
        <f>"20190303170749163"</f>
        <v>20190303170749163</v>
      </c>
      <c r="B1437" t="str">
        <f>"1551604069153665"</f>
        <v>1551604069153665</v>
      </c>
      <c r="C1437" t="s">
        <v>40</v>
      </c>
      <c r="D1437">
        <v>4.683249</v>
      </c>
      <c r="E1437">
        <v>0.45940029999999998</v>
      </c>
      <c r="F1437" t="s">
        <v>69</v>
      </c>
      <c r="G1437">
        <v>-456.08100000000002</v>
      </c>
      <c r="H1437">
        <v>2.0044719999999998</v>
      </c>
      <c r="I1437">
        <v>270.14460000000003</v>
      </c>
      <c r="J1437">
        <v>-287.01150000000001</v>
      </c>
      <c r="K1437">
        <v>1.1213409999999999</v>
      </c>
      <c r="L1437">
        <v>285.32810000000001</v>
      </c>
      <c r="M1437">
        <v>-0.99983010000000005</v>
      </c>
      <c r="N1437">
        <v>-1.464741E-2</v>
      </c>
      <c r="O1437">
        <v>-1.1199850000000001E-2</v>
      </c>
      <c r="P1437">
        <v>-0.97842079999999998</v>
      </c>
      <c r="Q1437">
        <v>0.20492079999999999</v>
      </c>
      <c r="R1437">
        <v>2.646459E-2</v>
      </c>
      <c r="S1437">
        <v>-3.0701900000000002</v>
      </c>
      <c r="T1437">
        <v>1.60048E-2</v>
      </c>
      <c r="U1437">
        <v>-0.27523799999999998</v>
      </c>
      <c r="V1437">
        <v>3.7421639999999999E-2</v>
      </c>
      <c r="W1437">
        <v>0.2192249</v>
      </c>
      <c r="X1437">
        <v>0.9749565</v>
      </c>
      <c r="Y1437">
        <v>-7.8132629999999995E-2</v>
      </c>
      <c r="Z1437">
        <v>-5.9215389999999998E-4</v>
      </c>
      <c r="AA1437">
        <v>0.99694280000000002</v>
      </c>
      <c r="AB1437">
        <v>35</v>
      </c>
      <c r="AC1437">
        <v>-169.06949999999901</v>
      </c>
      <c r="AD1437">
        <v>0.883131</v>
      </c>
      <c r="AE1437">
        <v>-15.183499999999899</v>
      </c>
      <c r="AF1437">
        <v>-13.2884318127676</v>
      </c>
      <c r="AG1437">
        <v>0.883131</v>
      </c>
      <c r="AH1437">
        <v>169.22438448715801</v>
      </c>
      <c r="AI1437">
        <v>89.701910947597099</v>
      </c>
      <c r="AJ1437">
        <v>94.489966913669406</v>
      </c>
      <c r="AK1437">
        <v>169.74762044124</v>
      </c>
      <c r="AL1437">
        <v>77.336488993578797</v>
      </c>
      <c r="AM1437">
        <v>87.801901895541704</v>
      </c>
      <c r="AN1437">
        <v>1.0000000564062701</v>
      </c>
    </row>
    <row r="1438" spans="1:40" x14ac:dyDescent="0.25">
      <c r="A1438" t="str">
        <f>"20190303170749186"</f>
        <v>20190303170749186</v>
      </c>
      <c r="B1438" t="str">
        <f>"1551604069174161"</f>
        <v>1551604069174161</v>
      </c>
      <c r="C1438" t="s">
        <v>40</v>
      </c>
      <c r="D1438">
        <v>4.6757549999999997</v>
      </c>
      <c r="E1438">
        <v>0.4593313</v>
      </c>
      <c r="F1438" t="s">
        <v>69</v>
      </c>
      <c r="G1438">
        <v>-456.08100000000002</v>
      </c>
      <c r="H1438">
        <v>1.97695</v>
      </c>
      <c r="I1438">
        <v>270.1001</v>
      </c>
      <c r="J1438">
        <v>-287.3553</v>
      </c>
      <c r="K1438">
        <v>1.1213340000000001</v>
      </c>
      <c r="L1438">
        <v>285.32420000000002</v>
      </c>
      <c r="M1438">
        <v>-0.99983029999999995</v>
      </c>
      <c r="N1438">
        <v>-1.4625890000000001E-2</v>
      </c>
      <c r="O1438">
        <v>-1.120115E-2</v>
      </c>
      <c r="P1438">
        <v>-0.97850269999999995</v>
      </c>
      <c r="Q1438">
        <v>0.2046153</v>
      </c>
      <c r="R1438">
        <v>2.5794569999999999E-2</v>
      </c>
      <c r="S1438">
        <v>-3.0704039999999999</v>
      </c>
      <c r="T1438">
        <v>1.5538690000000001E-2</v>
      </c>
      <c r="U1438">
        <v>-0.27655030000000003</v>
      </c>
      <c r="V1438">
        <v>3.6756560000000001E-2</v>
      </c>
      <c r="W1438">
        <v>0.21889980000000001</v>
      </c>
      <c r="X1438">
        <v>0.9750548</v>
      </c>
      <c r="Y1438">
        <v>-7.8547779999999998E-2</v>
      </c>
      <c r="Z1438">
        <v>-5.9733300000000002E-4</v>
      </c>
      <c r="AA1438">
        <v>0.99691019999999997</v>
      </c>
      <c r="AB1438">
        <v>35</v>
      </c>
      <c r="AC1438">
        <v>-168.72569999999899</v>
      </c>
      <c r="AD1438">
        <v>0.85561599999999904</v>
      </c>
      <c r="AE1438">
        <v>-15.2241</v>
      </c>
      <c r="AF1438">
        <v>-13.3326805867553</v>
      </c>
      <c r="AG1438">
        <v>0.85561599999999904</v>
      </c>
      <c r="AH1438">
        <v>168.88135062289101</v>
      </c>
      <c r="AI1438">
        <v>89.710621044715396</v>
      </c>
      <c r="AJ1438">
        <v>94.513969030445693</v>
      </c>
      <c r="AK1438">
        <v>169.40898157588899</v>
      </c>
      <c r="AL1438">
        <v>77.355579012201801</v>
      </c>
      <c r="AM1438">
        <v>87.841147977806102</v>
      </c>
      <c r="AN1438">
        <v>1.0000000150730499</v>
      </c>
    </row>
    <row r="1439" spans="1:40" x14ac:dyDescent="0.25">
      <c r="A1439" t="str">
        <f>"20190303170749210"</f>
        <v>20190303170749210</v>
      </c>
      <c r="B1439" t="str">
        <f>"1551604069203948"</f>
        <v>1551604069203948</v>
      </c>
      <c r="C1439" t="s">
        <v>40</v>
      </c>
      <c r="D1439">
        <v>4.6716639999999998</v>
      </c>
      <c r="E1439">
        <v>0.45932709999999999</v>
      </c>
      <c r="F1439" t="s">
        <v>69</v>
      </c>
      <c r="G1439">
        <v>-455.35309999999998</v>
      </c>
      <c r="H1439">
        <v>1.8538479999999999</v>
      </c>
      <c r="I1439">
        <v>270.08629999999999</v>
      </c>
      <c r="J1439">
        <v>-287.7294</v>
      </c>
      <c r="K1439">
        <v>1.1213169999999999</v>
      </c>
      <c r="L1439">
        <v>285.32</v>
      </c>
      <c r="M1439">
        <v>-0.99983100000000003</v>
      </c>
      <c r="N1439">
        <v>-1.457701E-2</v>
      </c>
      <c r="O1439">
        <v>-1.120026E-2</v>
      </c>
      <c r="P1439">
        <v>-0.97853040000000002</v>
      </c>
      <c r="Q1439">
        <v>0.20455490000000001</v>
      </c>
      <c r="R1439">
        <v>2.5213949999999999E-2</v>
      </c>
      <c r="S1439">
        <v>-3.0704959999999999</v>
      </c>
      <c r="T1439">
        <v>1.3388399999999899E-2</v>
      </c>
      <c r="U1439">
        <v>-0.27850340000000001</v>
      </c>
      <c r="V1439">
        <v>3.6177149999999998E-2</v>
      </c>
      <c r="W1439">
        <v>0.2187914</v>
      </c>
      <c r="X1439">
        <v>0.97510079999999999</v>
      </c>
      <c r="Y1439">
        <v>-7.9174670000000003E-2</v>
      </c>
      <c r="Z1439">
        <v>-6.1770209999999996E-4</v>
      </c>
      <c r="AA1439">
        <v>0.99686059999999999</v>
      </c>
      <c r="AB1439">
        <v>35</v>
      </c>
      <c r="AC1439">
        <v>-167.62370000000001</v>
      </c>
      <c r="AD1439">
        <v>0.73253100000000004</v>
      </c>
      <c r="AE1439">
        <v>-15.233700000000001</v>
      </c>
      <c r="AF1439">
        <v>-13.3548627520533</v>
      </c>
      <c r="AG1439">
        <v>0.73253100000000004</v>
      </c>
      <c r="AH1439">
        <v>167.78064514541799</v>
      </c>
      <c r="AI1439">
        <v>89.750636665266896</v>
      </c>
      <c r="AJ1439">
        <v>94.550986238635602</v>
      </c>
      <c r="AK1439">
        <v>168.312904574203</v>
      </c>
      <c r="AL1439">
        <v>77.361944187885797</v>
      </c>
      <c r="AM1439">
        <v>87.875247625674902</v>
      </c>
      <c r="AN1439">
        <v>1.00000001652836</v>
      </c>
    </row>
    <row r="1440" spans="1:40" x14ac:dyDescent="0.25">
      <c r="A1440" t="str">
        <f>"20190303170749233"</f>
        <v>20190303170749233</v>
      </c>
      <c r="B1440" t="str">
        <f>"1551604069223467"</f>
        <v>1551604069223467</v>
      </c>
      <c r="C1440" t="s">
        <v>40</v>
      </c>
      <c r="D1440">
        <v>4.6806390000000002</v>
      </c>
      <c r="E1440">
        <v>0.45930270000000001</v>
      </c>
      <c r="F1440" t="s">
        <v>69</v>
      </c>
      <c r="G1440">
        <v>-455.01249999999999</v>
      </c>
      <c r="H1440">
        <v>1.7448169999999901</v>
      </c>
      <c r="I1440">
        <v>270.08629999999999</v>
      </c>
      <c r="J1440">
        <v>-288.08429999999998</v>
      </c>
      <c r="K1440">
        <v>1.121299</v>
      </c>
      <c r="L1440">
        <v>285.31599999999997</v>
      </c>
      <c r="M1440">
        <v>-0.99983219999999995</v>
      </c>
      <c r="N1440">
        <v>-1.4503500000000001E-2</v>
      </c>
      <c r="O1440">
        <v>-1.11985E-2</v>
      </c>
      <c r="P1440">
        <v>-0.97846529999999998</v>
      </c>
      <c r="Q1440">
        <v>0.20488490000000001</v>
      </c>
      <c r="R1440">
        <v>2.5059410000000001E-2</v>
      </c>
      <c r="S1440">
        <v>-3.0706790000000002</v>
      </c>
      <c r="T1440">
        <v>1.144528E-2</v>
      </c>
      <c r="U1440">
        <v>-0.27963259999999901</v>
      </c>
      <c r="V1440">
        <v>3.6021339999999999E-2</v>
      </c>
      <c r="W1440">
        <v>0.21904870000000001</v>
      </c>
      <c r="X1440">
        <v>0.97504880000000005</v>
      </c>
      <c r="Y1440">
        <v>-7.9534339999999995E-2</v>
      </c>
      <c r="Z1440">
        <v>-6.3382059999999999E-4</v>
      </c>
      <c r="AA1440">
        <v>0.99683200000000005</v>
      </c>
      <c r="AB1440">
        <v>35</v>
      </c>
      <c r="AC1440">
        <v>-166.9282</v>
      </c>
      <c r="AD1440">
        <v>0.62351799999999902</v>
      </c>
      <c r="AE1440">
        <v>-15.2296999999999</v>
      </c>
      <c r="AF1440">
        <v>-13.359018056506001</v>
      </c>
      <c r="AG1440">
        <v>0.62351799999999902</v>
      </c>
      <c r="AH1440">
        <v>167.08598630837099</v>
      </c>
      <c r="AI1440">
        <v>89.786869350865899</v>
      </c>
      <c r="AJ1440">
        <v>94.571242813196207</v>
      </c>
      <c r="AK1440">
        <v>167.620341721318</v>
      </c>
      <c r="AL1440">
        <v>77.346835484359502</v>
      </c>
      <c r="AM1440">
        <v>87.884277583630904</v>
      </c>
      <c r="AN1440">
        <v>1.0000000161442599</v>
      </c>
    </row>
    <row r="1441" spans="1:40" x14ac:dyDescent="0.25">
      <c r="A1441" t="str">
        <f>"20190303170749253"</f>
        <v>20190303170749253</v>
      </c>
      <c r="B1441" t="str">
        <f>"1551604069243963"</f>
        <v>1551604069243963</v>
      </c>
      <c r="C1441" t="s">
        <v>40</v>
      </c>
      <c r="D1441">
        <v>4.6847019999999997</v>
      </c>
      <c r="E1441">
        <v>0.4593506</v>
      </c>
      <c r="F1441" t="s">
        <v>69</v>
      </c>
      <c r="G1441">
        <v>-454.9015</v>
      </c>
      <c r="H1441">
        <v>1.7826880000000001</v>
      </c>
      <c r="I1441">
        <v>270.08629999999999</v>
      </c>
      <c r="J1441">
        <v>-288.41329999999999</v>
      </c>
      <c r="K1441">
        <v>1.1212850000000001</v>
      </c>
      <c r="L1441">
        <v>285.31229999999999</v>
      </c>
      <c r="M1441">
        <v>-0.99983319999999998</v>
      </c>
      <c r="N1441">
        <v>-1.442482E-2</v>
      </c>
      <c r="O1441">
        <v>-1.119684E-2</v>
      </c>
      <c r="P1441">
        <v>-0.97846520000000003</v>
      </c>
      <c r="Q1441">
        <v>0.2048884</v>
      </c>
      <c r="R1441">
        <v>2.5032970000000002E-2</v>
      </c>
      <c r="S1441">
        <v>-3.0706180000000001</v>
      </c>
      <c r="T1441">
        <v>1.217449E-2</v>
      </c>
      <c r="U1441">
        <v>-0.28033449999999999</v>
      </c>
      <c r="V1441">
        <v>3.5994110000000003E-2</v>
      </c>
      <c r="W1441">
        <v>0.21897559999999999</v>
      </c>
      <c r="X1441">
        <v>0.97506619999999999</v>
      </c>
      <c r="Y1441">
        <v>-7.9763870000000001E-2</v>
      </c>
      <c r="Z1441">
        <v>-6.2421190000000004E-4</v>
      </c>
      <c r="AA1441">
        <v>0.99681359999999997</v>
      </c>
      <c r="AB1441">
        <v>35</v>
      </c>
      <c r="AC1441">
        <v>-166.48820000000001</v>
      </c>
      <c r="AD1441">
        <v>0.66140299999999996</v>
      </c>
      <c r="AE1441">
        <v>-15.226000000000001</v>
      </c>
      <c r="AF1441">
        <v>-13.360500399785201</v>
      </c>
      <c r="AG1441">
        <v>0.66140299999999996</v>
      </c>
      <c r="AH1441">
        <v>166.64565387969199</v>
      </c>
      <c r="AI1441">
        <v>89.773326245200806</v>
      </c>
      <c r="AJ1441">
        <v>94.583776542621806</v>
      </c>
      <c r="AK1441">
        <v>167.18168076033601</v>
      </c>
      <c r="AL1441">
        <v>77.351127707194493</v>
      </c>
      <c r="AM1441">
        <v>87.885913184856605</v>
      </c>
      <c r="AN1441">
        <v>0.999999991866246</v>
      </c>
    </row>
    <row r="1442" spans="1:40" x14ac:dyDescent="0.25">
      <c r="A1442" t="str">
        <f>"20190303170749275"</f>
        <v>20190303170749275</v>
      </c>
      <c r="B1442" t="str">
        <f>"1551604069263483"</f>
        <v>1551604069263483</v>
      </c>
      <c r="C1442" t="s">
        <v>40</v>
      </c>
      <c r="D1442">
        <v>4.6621379999999997</v>
      </c>
      <c r="E1442">
        <v>0.45939990000000003</v>
      </c>
      <c r="F1442" t="s">
        <v>69</v>
      </c>
      <c r="G1442">
        <v>-455.28730000000002</v>
      </c>
      <c r="H1442">
        <v>1.7602910000000001</v>
      </c>
      <c r="I1442">
        <v>270.08629999999999</v>
      </c>
      <c r="J1442">
        <v>-288.73790000000002</v>
      </c>
      <c r="K1442">
        <v>1.121264</v>
      </c>
      <c r="L1442">
        <v>285.30860000000001</v>
      </c>
      <c r="M1442">
        <v>-0.99983469999999997</v>
      </c>
      <c r="N1442">
        <v>-1.4333159999999999E-2</v>
      </c>
      <c r="O1442">
        <v>-1.119617E-2</v>
      </c>
      <c r="P1442">
        <v>-0.97855700000000001</v>
      </c>
      <c r="Q1442">
        <v>0.20444190000000001</v>
      </c>
      <c r="R1442">
        <v>2.510068E-2</v>
      </c>
      <c r="S1442">
        <v>-3.0707399999999998</v>
      </c>
      <c r="T1442">
        <v>1.1758920000000001E-2</v>
      </c>
      <c r="U1442">
        <v>-0.28018189999999998</v>
      </c>
      <c r="V1442">
        <v>3.6062860000000002E-2</v>
      </c>
      <c r="W1442">
        <v>0.21844050000000001</v>
      </c>
      <c r="X1442">
        <v>0.97518369999999999</v>
      </c>
      <c r="Y1442">
        <v>-7.9711760000000006E-2</v>
      </c>
      <c r="Z1442">
        <v>-6.2311430000000002E-4</v>
      </c>
      <c r="AA1442">
        <v>0.99681779999999998</v>
      </c>
      <c r="AB1442">
        <v>35</v>
      </c>
      <c r="AC1442">
        <v>-166.54939999999999</v>
      </c>
      <c r="AD1442">
        <v>0.63902700000000001</v>
      </c>
      <c r="AE1442">
        <v>-15.222300000000001</v>
      </c>
      <c r="AF1442">
        <v>-13.3562439270748</v>
      </c>
      <c r="AG1442">
        <v>0.63902700000000001</v>
      </c>
      <c r="AH1442">
        <v>166.70697379738499</v>
      </c>
      <c r="AI1442">
        <v>89.781074391505797</v>
      </c>
      <c r="AJ1442">
        <v>94.580644090253401</v>
      </c>
      <c r="AK1442">
        <v>167.242377165682</v>
      </c>
      <c r="AL1442">
        <v>77.382547638993103</v>
      </c>
      <c r="AM1442">
        <v>87.882133860363496</v>
      </c>
      <c r="AN1442">
        <v>1.0000000153286499</v>
      </c>
    </row>
    <row r="1443" spans="1:40" x14ac:dyDescent="0.25">
      <c r="A1443" t="str">
        <f>"20190303170749297"</f>
        <v>20190303170749297</v>
      </c>
      <c r="B1443" t="str">
        <f>"1551604069283980"</f>
        <v>1551604069283980</v>
      </c>
      <c r="C1443" t="s">
        <v>40</v>
      </c>
      <c r="D1443">
        <v>4.5382579999999999</v>
      </c>
      <c r="E1443">
        <v>0.45950940000000001</v>
      </c>
      <c r="F1443" t="s">
        <v>69</v>
      </c>
      <c r="G1443">
        <v>-456.08100000000002</v>
      </c>
      <c r="H1443">
        <v>1.6516980000000001</v>
      </c>
      <c r="I1443">
        <v>270.09210000000002</v>
      </c>
      <c r="J1443">
        <v>-289.08089999999999</v>
      </c>
      <c r="K1443">
        <v>1.12124</v>
      </c>
      <c r="L1443">
        <v>285.30470000000003</v>
      </c>
      <c r="M1443">
        <v>-0.99983630000000001</v>
      </c>
      <c r="N1443">
        <v>-1.4218440000000001E-2</v>
      </c>
      <c r="O1443">
        <v>-1.119594E-2</v>
      </c>
      <c r="P1443">
        <v>-0.97858579999999995</v>
      </c>
      <c r="Q1443">
        <v>0.20431740000000001</v>
      </c>
      <c r="R1443">
        <v>2.4990579999999998E-2</v>
      </c>
      <c r="S1443">
        <v>-3.0708920000000002</v>
      </c>
      <c r="T1443">
        <v>9.7340350000000003E-3</v>
      </c>
      <c r="U1443">
        <v>-0.27923579999999998</v>
      </c>
      <c r="V1443">
        <v>3.5953270000000002E-2</v>
      </c>
      <c r="W1443">
        <v>0.2182046</v>
      </c>
      <c r="X1443">
        <v>0.97524049999999995</v>
      </c>
      <c r="Y1443">
        <v>-7.9402600000000004E-2</v>
      </c>
      <c r="Z1443">
        <v>-6.3439140000000002E-4</v>
      </c>
      <c r="AA1443">
        <v>0.99684240000000002</v>
      </c>
      <c r="AB1443">
        <v>35</v>
      </c>
      <c r="AC1443">
        <v>-167.00009999999901</v>
      </c>
      <c r="AD1443">
        <v>0.53045799999999899</v>
      </c>
      <c r="AE1443">
        <v>-15.2126</v>
      </c>
      <c r="AF1443">
        <v>-13.341600840052401</v>
      </c>
      <c r="AG1443">
        <v>0.53045799999999899</v>
      </c>
      <c r="AH1443">
        <v>167.15829480723301</v>
      </c>
      <c r="AI1443">
        <v>89.818755286108299</v>
      </c>
      <c r="AJ1443">
        <v>94.563341634093405</v>
      </c>
      <c r="AK1443">
        <v>167.690712985326</v>
      </c>
      <c r="AL1443">
        <v>77.396397103806294</v>
      </c>
      <c r="AM1443">
        <v>87.888686789068402</v>
      </c>
      <c r="AN1443">
        <v>0.99999995896255001</v>
      </c>
    </row>
    <row r="1444" spans="1:40" x14ac:dyDescent="0.25">
      <c r="A1444" t="str">
        <f>"20190303170749320"</f>
        <v>20190303170749320</v>
      </c>
      <c r="B1444" t="str">
        <f>"1551604069314235"</f>
        <v>1551604069314235</v>
      </c>
      <c r="C1444" t="s">
        <v>40</v>
      </c>
      <c r="D1444">
        <v>4.5957559999999997</v>
      </c>
      <c r="E1444">
        <v>0.48706630000000001</v>
      </c>
      <c r="F1444" t="s">
        <v>69</v>
      </c>
      <c r="G1444">
        <v>-456.08100000000002</v>
      </c>
      <c r="H1444">
        <v>1.5931979999999999</v>
      </c>
      <c r="I1444">
        <v>270.15289999999999</v>
      </c>
      <c r="J1444">
        <v>-289.43970000000002</v>
      </c>
      <c r="K1444">
        <v>1.121213</v>
      </c>
      <c r="L1444">
        <v>285.30079999999998</v>
      </c>
      <c r="M1444">
        <v>-0.99983829999999996</v>
      </c>
      <c r="N1444">
        <v>-1.408147E-2</v>
      </c>
      <c r="O1444">
        <v>-1.1196279999999999E-2</v>
      </c>
      <c r="P1444">
        <v>-0.97860720000000001</v>
      </c>
      <c r="Q1444">
        <v>0.20418239999999999</v>
      </c>
      <c r="R1444">
        <v>2.5251630000000001E-2</v>
      </c>
      <c r="S1444">
        <v>-3.0709529999999998</v>
      </c>
      <c r="T1444">
        <v>8.6789129999999999E-3</v>
      </c>
      <c r="U1444">
        <v>-0.27862550000000003</v>
      </c>
      <c r="V1444">
        <v>3.6215299999999999E-2</v>
      </c>
      <c r="W1444">
        <v>0.21793650000000001</v>
      </c>
      <c r="X1444">
        <v>0.97529080000000001</v>
      </c>
      <c r="Y1444">
        <v>-7.9203759999999998E-2</v>
      </c>
      <c r="Z1444">
        <v>-6.3606669999999896E-4</v>
      </c>
      <c r="AA1444">
        <v>0.99685820000000003</v>
      </c>
      <c r="AB1444">
        <v>35</v>
      </c>
      <c r="AC1444">
        <v>-166.64129999999901</v>
      </c>
      <c r="AD1444">
        <v>0.47198499999999899</v>
      </c>
      <c r="AE1444">
        <v>-15.1478999999999</v>
      </c>
      <c r="AF1444">
        <v>-13.2808972603074</v>
      </c>
      <c r="AG1444">
        <v>0.47198499999999899</v>
      </c>
      <c r="AH1444">
        <v>166.79914260480399</v>
      </c>
      <c r="AI1444">
        <v>89.838384293475102</v>
      </c>
      <c r="AJ1444">
        <v>94.552405974864001</v>
      </c>
      <c r="AK1444">
        <v>167.32769936737</v>
      </c>
      <c r="AL1444">
        <v>77.412137505422706</v>
      </c>
      <c r="AM1444">
        <v>87.873423047474603</v>
      </c>
      <c r="AN1444">
        <v>1.00000000527549</v>
      </c>
    </row>
    <row r="1445" spans="1:40" x14ac:dyDescent="0.25">
      <c r="A1445" t="str">
        <f>"20190303170749344"</f>
        <v>20190303170749344</v>
      </c>
      <c r="B1445" t="str">
        <f>"1551604069333756"</f>
        <v>1551604069333756</v>
      </c>
      <c r="C1445" t="s">
        <v>40</v>
      </c>
      <c r="D1445">
        <v>4.606115</v>
      </c>
      <c r="E1445">
        <v>0.49265039999999999</v>
      </c>
      <c r="F1445" t="s">
        <v>49</v>
      </c>
      <c r="G1445">
        <v>-715.45939999999996</v>
      </c>
      <c r="H1445">
        <v>-0.1</v>
      </c>
      <c r="I1445">
        <v>277.19209999999998</v>
      </c>
      <c r="J1445">
        <v>-289.81259999999997</v>
      </c>
      <c r="K1445">
        <v>1.1211799999999901</v>
      </c>
      <c r="L1445">
        <v>285.29649999999998</v>
      </c>
      <c r="M1445">
        <v>-0.99984039999999996</v>
      </c>
      <c r="N1445">
        <v>-1.392699E-2</v>
      </c>
      <c r="O1445">
        <v>-1.119652E-2</v>
      </c>
      <c r="P1445">
        <v>-0.97867550000000003</v>
      </c>
      <c r="Q1445">
        <v>0.203844</v>
      </c>
      <c r="R1445">
        <v>2.533769E-2</v>
      </c>
      <c r="S1445">
        <v>-3.068848</v>
      </c>
      <c r="T1445">
        <v>-8.7970500000000007E-3</v>
      </c>
      <c r="U1445">
        <v>-5.841064E-2</v>
      </c>
      <c r="V1445">
        <v>3.6302630000000002E-2</v>
      </c>
      <c r="W1445">
        <v>0.21744839999999999</v>
      </c>
      <c r="X1445">
        <v>0.9753965</v>
      </c>
      <c r="Y1445">
        <v>-7.8336959999999994E-3</v>
      </c>
      <c r="Z1445">
        <v>-1.8962880000000001E-4</v>
      </c>
      <c r="AA1445">
        <v>0.99996929999999995</v>
      </c>
      <c r="AB1445">
        <v>35</v>
      </c>
      <c r="AC1445">
        <v>-425.64679999999998</v>
      </c>
      <c r="AD1445">
        <v>-1.2211799999999999</v>
      </c>
      <c r="AE1445">
        <v>-8.1043999999999894</v>
      </c>
      <c r="AF1445">
        <v>-3.33763962238136</v>
      </c>
      <c r="AG1445">
        <v>-1.2211799999999999</v>
      </c>
      <c r="AH1445">
        <v>425.70736109089898</v>
      </c>
      <c r="AI1445">
        <v>90.164352614428594</v>
      </c>
      <c r="AJ1445">
        <v>90.449202347018996</v>
      </c>
      <c r="AK1445">
        <v>425.72219628041302</v>
      </c>
      <c r="AL1445">
        <v>77.440790813678106</v>
      </c>
      <c r="AM1445">
        <v>87.868530511236202</v>
      </c>
      <c r="AN1445">
        <v>1.00000000990986</v>
      </c>
    </row>
    <row r="1446" spans="1:40" x14ac:dyDescent="0.25">
      <c r="A1446" t="str">
        <f>"20190303170749365"</f>
        <v>20190303170749365</v>
      </c>
      <c r="B1446" t="str">
        <f>"1551604069354252"</f>
        <v>1551604069354252</v>
      </c>
      <c r="C1446" t="s">
        <v>40</v>
      </c>
      <c r="D1446">
        <v>4.603478</v>
      </c>
      <c r="E1446">
        <v>0.49504920000000002</v>
      </c>
      <c r="F1446" t="s">
        <v>49</v>
      </c>
      <c r="G1446">
        <v>-855.91300000000001</v>
      </c>
      <c r="H1446">
        <v>-0.1</v>
      </c>
      <c r="I1446">
        <v>282.88569999999999</v>
      </c>
      <c r="J1446">
        <v>-290.14490000000001</v>
      </c>
      <c r="K1446">
        <v>1.1211580000000001</v>
      </c>
      <c r="L1446">
        <v>285.2928</v>
      </c>
      <c r="M1446">
        <v>-0.99984229999999996</v>
      </c>
      <c r="N1446">
        <v>-1.377805E-2</v>
      </c>
      <c r="O1446">
        <v>-1.119645E-2</v>
      </c>
      <c r="P1446">
        <v>-0.97875760000000001</v>
      </c>
      <c r="Q1446">
        <v>0.20350599999999999</v>
      </c>
      <c r="R1446">
        <v>2.487926E-2</v>
      </c>
      <c r="S1446">
        <v>-3.067078</v>
      </c>
      <c r="T1446">
        <v>-6.6162349999999998E-3</v>
      </c>
      <c r="U1446">
        <v>-1.306152E-2</v>
      </c>
      <c r="V1446">
        <v>3.5845050000000003E-2</v>
      </c>
      <c r="W1446">
        <v>0.21696560000000001</v>
      </c>
      <c r="X1446">
        <v>0.97552090000000002</v>
      </c>
      <c r="Y1446">
        <v>6.9382189999999998E-3</v>
      </c>
      <c r="Z1446" s="1">
        <v>-7.4840169999999993E-5</v>
      </c>
      <c r="AA1446">
        <v>0.99997590000000003</v>
      </c>
      <c r="AB1446">
        <v>35</v>
      </c>
      <c r="AC1446">
        <v>-565.7681</v>
      </c>
      <c r="AD1446">
        <v>-1.221158</v>
      </c>
      <c r="AE1446">
        <v>-2.40710000000001</v>
      </c>
      <c r="AF1446">
        <v>3.9282287726736702</v>
      </c>
      <c r="AG1446">
        <v>-1.221158</v>
      </c>
      <c r="AH1446">
        <v>565.75694754359699</v>
      </c>
      <c r="AI1446">
        <v>90.123666893863899</v>
      </c>
      <c r="AJ1446">
        <v>89.602183740109297</v>
      </c>
      <c r="AK1446">
        <v>565.77190271521897</v>
      </c>
      <c r="AL1446">
        <v>77.469129447499995</v>
      </c>
      <c r="AM1446">
        <v>87.895640653678001</v>
      </c>
      <c r="AN1446">
        <v>0.99999998276483604</v>
      </c>
    </row>
    <row r="1447" spans="1:40" x14ac:dyDescent="0.25">
      <c r="A1447" t="str">
        <f>"20190303170749388"</f>
        <v>20190303170749388</v>
      </c>
      <c r="B1447" t="str">
        <f>"1551604069373773"</f>
        <v>1551604069373773</v>
      </c>
      <c r="C1447" t="s">
        <v>40</v>
      </c>
      <c r="D1447">
        <v>4.6006030000000004</v>
      </c>
      <c r="E1447">
        <v>0.49647049999999998</v>
      </c>
      <c r="F1447" t="s">
        <v>49</v>
      </c>
      <c r="G1447">
        <v>-1108.76</v>
      </c>
      <c r="H1447">
        <v>-0.1</v>
      </c>
      <c r="I1447">
        <v>286.70249999999999</v>
      </c>
      <c r="J1447">
        <v>-290.48630000000003</v>
      </c>
      <c r="K1447">
        <v>1.121129</v>
      </c>
      <c r="L1447">
        <v>285.28890000000001</v>
      </c>
      <c r="M1447">
        <v>-0.99984479999999998</v>
      </c>
      <c r="N1447">
        <v>-1.361246E-2</v>
      </c>
      <c r="O1447">
        <v>-1.119676E-2</v>
      </c>
      <c r="P1447">
        <v>-0.97878350000000003</v>
      </c>
      <c r="Q1447">
        <v>0.2034173</v>
      </c>
      <c r="R1447">
        <v>2.458867E-2</v>
      </c>
      <c r="S1447">
        <v>-3.0659480000000001</v>
      </c>
      <c r="T1447">
        <v>-4.5735840000000003E-3</v>
      </c>
      <c r="U1447">
        <v>5.2795409999999996E-3</v>
      </c>
      <c r="V1447">
        <v>3.5555240000000002E-2</v>
      </c>
      <c r="W1447">
        <v>0.2167162</v>
      </c>
      <c r="X1447">
        <v>0.97558699999999998</v>
      </c>
      <c r="Y1447">
        <v>1.291869E-2</v>
      </c>
      <c r="Z1447" s="1">
        <v>-3.8154870000000001E-5</v>
      </c>
      <c r="AA1447">
        <v>0.99991660000000004</v>
      </c>
      <c r="AB1447">
        <v>35</v>
      </c>
      <c r="AC1447">
        <v>-818.27369999999996</v>
      </c>
      <c r="AD1447">
        <v>-1.2211289999999999</v>
      </c>
      <c r="AE1447">
        <v>1.41359999999997</v>
      </c>
      <c r="AF1447">
        <v>10.576349693339401</v>
      </c>
      <c r="AG1447">
        <v>-1.2211289999999999</v>
      </c>
      <c r="AH1447">
        <v>818.20474509850305</v>
      </c>
      <c r="AI1447">
        <v>90.085503832537995</v>
      </c>
      <c r="AJ1447">
        <v>89.259419532531695</v>
      </c>
      <c r="AK1447">
        <v>818.27400987112901</v>
      </c>
      <c r="AL1447">
        <v>77.483768028482203</v>
      </c>
      <c r="AM1447">
        <v>87.912780752136101</v>
      </c>
      <c r="AN1447">
        <v>1.00000004050144</v>
      </c>
    </row>
    <row r="1448" spans="1:40" x14ac:dyDescent="0.25">
      <c r="A1448" t="str">
        <f>"20190303170749411"</f>
        <v>20190303170749411</v>
      </c>
      <c r="B1448" t="str">
        <f>"1551604069404028"</f>
        <v>1551604069404028</v>
      </c>
      <c r="C1448" t="s">
        <v>40</v>
      </c>
      <c r="D1448">
        <v>4.5954069999999998</v>
      </c>
      <c r="E1448">
        <v>0.49774930000000001</v>
      </c>
      <c r="F1448" t="s">
        <v>45</v>
      </c>
      <c r="G1448">
        <v>0</v>
      </c>
      <c r="H1448">
        <v>0</v>
      </c>
      <c r="I1448">
        <v>0</v>
      </c>
      <c r="J1448">
        <v>-290.83510000000001</v>
      </c>
      <c r="K1448">
        <v>1.1211120000000001</v>
      </c>
      <c r="L1448">
        <v>285.28500000000003</v>
      </c>
      <c r="M1448">
        <v>-0.99984709999999999</v>
      </c>
      <c r="N1448">
        <v>-1.343135E-2</v>
      </c>
      <c r="O1448">
        <v>-1.119698E-2</v>
      </c>
      <c r="P1448">
        <v>-0.97875199999999996</v>
      </c>
      <c r="Q1448">
        <v>0.20364260000000001</v>
      </c>
      <c r="R1448">
        <v>2.3965710000000001E-2</v>
      </c>
      <c r="S1448">
        <v>-3.0652469999999998</v>
      </c>
      <c r="T1448">
        <v>-3.0215979999999999E-3</v>
      </c>
      <c r="U1448">
        <v>1.6052250000000001E-2</v>
      </c>
      <c r="V1448">
        <v>3.4932049999999999E-2</v>
      </c>
      <c r="W1448">
        <v>0.2167646</v>
      </c>
      <c r="X1448">
        <v>0.97559879999999999</v>
      </c>
      <c r="Y1448">
        <v>1.643331E-2</v>
      </c>
      <c r="Z1448" s="1">
        <v>-2.0894200000000001E-5</v>
      </c>
      <c r="AA1448">
        <v>0.99986489999999995</v>
      </c>
      <c r="AB1448">
        <v>35</v>
      </c>
      <c r="AC1448">
        <v>-3.0652469999999998</v>
      </c>
      <c r="AD1448">
        <v>-3.0215979999999999E-3</v>
      </c>
      <c r="AE1448">
        <v>1.6052250000000001E-2</v>
      </c>
      <c r="AF1448">
        <v>5.03758002289275E-2</v>
      </c>
      <c r="AG1448">
        <v>-3.0215979999999999E-3</v>
      </c>
      <c r="AH1448">
        <v>3.0648720796157201</v>
      </c>
      <c r="AI1448">
        <v>90.056479151937694</v>
      </c>
      <c r="AJ1448">
        <v>89.058342146699601</v>
      </c>
      <c r="AK1448">
        <v>3.0652875420930998</v>
      </c>
      <c r="AL1448">
        <v>77.480927881723005</v>
      </c>
      <c r="AM1448">
        <v>87.949357494857594</v>
      </c>
      <c r="AN1448">
        <v>1.0000000792458901</v>
      </c>
    </row>
    <row r="1449" spans="1:40" x14ac:dyDescent="0.25">
      <c r="A1449" t="str">
        <f>"20190303170749436"</f>
        <v>20190303170749436</v>
      </c>
      <c r="B1449" t="str">
        <f>"1551604069423548"</f>
        <v>1551604069423548</v>
      </c>
      <c r="C1449" t="s">
        <v>40</v>
      </c>
      <c r="D1449">
        <v>4.5030469999999996</v>
      </c>
      <c r="E1449">
        <v>0.49820880000000001</v>
      </c>
      <c r="F1449" t="s">
        <v>45</v>
      </c>
      <c r="G1449">
        <v>0</v>
      </c>
      <c r="H1449">
        <v>0</v>
      </c>
      <c r="I1449">
        <v>0</v>
      </c>
      <c r="J1449">
        <v>-291.23050000000001</v>
      </c>
      <c r="K1449">
        <v>1.121086</v>
      </c>
      <c r="L1449">
        <v>285.28059999999999</v>
      </c>
      <c r="M1449">
        <v>-0.99985000000000002</v>
      </c>
      <c r="N1449">
        <v>-1.321224E-2</v>
      </c>
      <c r="O1449">
        <v>-1.119733E-2</v>
      </c>
      <c r="P1449">
        <v>-0.9786724</v>
      </c>
      <c r="Q1449">
        <v>0.2040479</v>
      </c>
      <c r="R1449">
        <v>2.376938E-2</v>
      </c>
      <c r="S1449">
        <v>-3.0643009999999999</v>
      </c>
      <c r="T1449">
        <v>1.1919739999999999E-3</v>
      </c>
      <c r="U1449">
        <v>2.4291989999999999E-2</v>
      </c>
      <c r="V1449">
        <v>3.47354E-2</v>
      </c>
      <c r="W1449">
        <v>0.21695500000000001</v>
      </c>
      <c r="X1449">
        <v>0.97556339999999997</v>
      </c>
      <c r="Y1449">
        <v>1.9123640000000001E-2</v>
      </c>
      <c r="Z1449" s="1">
        <v>-2.968091E-5</v>
      </c>
      <c r="AA1449">
        <v>0.99981710000000001</v>
      </c>
      <c r="AB1449">
        <v>35</v>
      </c>
      <c r="AC1449">
        <v>-3.0643009999999999</v>
      </c>
      <c r="AD1449">
        <v>1.1919739999999999E-3</v>
      </c>
      <c r="AE1449">
        <v>2.4291989999999999E-2</v>
      </c>
      <c r="AF1449">
        <v>5.8605443250949803E-2</v>
      </c>
      <c r="AG1449">
        <v>1.1919739999999999E-3</v>
      </c>
      <c r="AH1449">
        <v>3.0638363663546202</v>
      </c>
      <c r="AI1449">
        <v>89.977713370679496</v>
      </c>
      <c r="AJ1449">
        <v>88.904172836041894</v>
      </c>
      <c r="AK1449">
        <v>3.06439705302328</v>
      </c>
      <c r="AL1449">
        <v>77.469751614508993</v>
      </c>
      <c r="AM1449">
        <v>87.960817885372805</v>
      </c>
      <c r="AN1449">
        <v>0.99999998372885901</v>
      </c>
    </row>
    <row r="1450" spans="1:40" x14ac:dyDescent="0.25">
      <c r="A1450" t="str">
        <f>"20190303170749458"</f>
        <v>20190303170749458</v>
      </c>
      <c r="B1450" t="str">
        <f>"1551604069453804"</f>
        <v>1551604069453804</v>
      </c>
      <c r="C1450" t="s">
        <v>40</v>
      </c>
      <c r="D1450">
        <v>4.5358070000000001</v>
      </c>
      <c r="E1450">
        <v>0.49891000000000002</v>
      </c>
      <c r="F1450" t="s">
        <v>45</v>
      </c>
      <c r="G1450">
        <v>0</v>
      </c>
      <c r="H1450">
        <v>0</v>
      </c>
      <c r="I1450">
        <v>0</v>
      </c>
      <c r="J1450">
        <v>-291.56180000000001</v>
      </c>
      <c r="K1450">
        <v>1.121065</v>
      </c>
      <c r="L1450">
        <v>285.27690000000001</v>
      </c>
      <c r="M1450">
        <v>-0.99985259999999998</v>
      </c>
      <c r="N1450">
        <v>-1.3028420000000001E-2</v>
      </c>
      <c r="O1450">
        <v>-1.119769E-2</v>
      </c>
      <c r="P1450">
        <v>-0.9786456</v>
      </c>
      <c r="Q1450">
        <v>0.20421639999999999</v>
      </c>
      <c r="R1450">
        <v>2.3427529999999998E-2</v>
      </c>
      <c r="S1450">
        <v>-3.063965</v>
      </c>
      <c r="T1450">
        <v>3.4716130000000001E-3</v>
      </c>
      <c r="U1450">
        <v>2.676392E-2</v>
      </c>
      <c r="V1450">
        <v>3.439362E-2</v>
      </c>
      <c r="W1450">
        <v>0.21694430000000001</v>
      </c>
      <c r="X1450">
        <v>0.9755779</v>
      </c>
      <c r="Y1450">
        <v>1.9931399999999998E-2</v>
      </c>
      <c r="Z1450" s="1">
        <v>-4.0025199999999998E-5</v>
      </c>
      <c r="AA1450">
        <v>0.9998013</v>
      </c>
      <c r="AB1450">
        <v>35</v>
      </c>
      <c r="AC1450">
        <v>-3.063965</v>
      </c>
      <c r="AD1450">
        <v>3.4716130000000001E-3</v>
      </c>
      <c r="AE1450">
        <v>2.676392E-2</v>
      </c>
      <c r="AF1450">
        <v>6.1074399760496598E-2</v>
      </c>
      <c r="AG1450">
        <v>3.4716130000000001E-3</v>
      </c>
      <c r="AH1450">
        <v>3.0634692167843598</v>
      </c>
      <c r="AI1450">
        <v>89.935083672575104</v>
      </c>
      <c r="AJ1450">
        <v>88.857882486684602</v>
      </c>
      <c r="AK1450">
        <v>3.0640799233356</v>
      </c>
      <c r="AL1450">
        <v>77.470379776595095</v>
      </c>
      <c r="AM1450">
        <v>87.980895773508607</v>
      </c>
      <c r="AN1450">
        <v>0.99999999468380196</v>
      </c>
    </row>
    <row r="1451" spans="1:40" x14ac:dyDescent="0.25">
      <c r="A1451" t="str">
        <f>"20190303170749476"</f>
        <v>20190303170749476</v>
      </c>
      <c r="B1451" t="str">
        <f>"1551604069463564"</f>
        <v>1551604069463564</v>
      </c>
      <c r="C1451" t="s">
        <v>40</v>
      </c>
      <c r="D1451">
        <v>4.5367240000000004</v>
      </c>
      <c r="E1451">
        <v>0.4991893</v>
      </c>
      <c r="F1451" t="s">
        <v>45</v>
      </c>
      <c r="G1451">
        <v>0</v>
      </c>
      <c r="H1451">
        <v>0</v>
      </c>
      <c r="I1451">
        <v>0</v>
      </c>
      <c r="J1451">
        <v>-291.8519</v>
      </c>
      <c r="K1451">
        <v>1.121043</v>
      </c>
      <c r="L1451">
        <v>285.27359999999999</v>
      </c>
      <c r="M1451">
        <v>-0.99985469999999999</v>
      </c>
      <c r="N1451">
        <v>-1.2867109999999999E-2</v>
      </c>
      <c r="O1451">
        <v>-1.1197850000000001E-2</v>
      </c>
      <c r="P1451">
        <v>-0.97861949999999998</v>
      </c>
      <c r="Q1451">
        <v>0.20434569999999999</v>
      </c>
      <c r="R1451">
        <v>2.338585E-2</v>
      </c>
      <c r="S1451">
        <v>-3.0634769999999998</v>
      </c>
      <c r="T1451">
        <v>5.576134E-3</v>
      </c>
      <c r="U1451">
        <v>3.1097409999999999E-2</v>
      </c>
      <c r="V1451">
        <v>3.4351670000000001E-2</v>
      </c>
      <c r="W1451">
        <v>0.21691540000000001</v>
      </c>
      <c r="X1451">
        <v>0.97558579999999995</v>
      </c>
      <c r="Y1451">
        <v>2.1347069999999999E-2</v>
      </c>
      <c r="Z1451" s="1">
        <v>-4.6548549999999898E-5</v>
      </c>
      <c r="AA1451">
        <v>0.99977210000000005</v>
      </c>
      <c r="AB1451">
        <v>35</v>
      </c>
      <c r="AC1451">
        <v>-3.0634769999999998</v>
      </c>
      <c r="AD1451">
        <v>5.576134E-3</v>
      </c>
      <c r="AE1451">
        <v>3.1097409999999999E-2</v>
      </c>
      <c r="AF1451">
        <v>6.5402432865245899E-2</v>
      </c>
      <c r="AG1451">
        <v>5.576134E-3</v>
      </c>
      <c r="AH1451">
        <v>3.0629264950339898</v>
      </c>
      <c r="AI1451">
        <v>89.895715492411497</v>
      </c>
      <c r="AJ1451">
        <v>88.776753535014606</v>
      </c>
      <c r="AK1451">
        <v>3.0636297565920598</v>
      </c>
      <c r="AL1451">
        <v>77.472075964563501</v>
      </c>
      <c r="AM1451">
        <v>87.983372762932504</v>
      </c>
      <c r="AN1451">
        <v>0.99999999057529398</v>
      </c>
    </row>
    <row r="1452" spans="1:40" x14ac:dyDescent="0.25">
      <c r="A1452" t="str">
        <f>"20190303170749498"</f>
        <v>20190303170749498</v>
      </c>
      <c r="B1452" t="str">
        <f>"1551604069493820"</f>
        <v>1551604069493820</v>
      </c>
      <c r="C1452" t="s">
        <v>40</v>
      </c>
      <c r="D1452">
        <v>4.4692179999999997</v>
      </c>
      <c r="E1452">
        <v>0.49985309999999999</v>
      </c>
      <c r="F1452" t="s">
        <v>45</v>
      </c>
      <c r="G1452">
        <v>0</v>
      </c>
      <c r="H1452">
        <v>0</v>
      </c>
      <c r="I1452">
        <v>0</v>
      </c>
      <c r="J1452">
        <v>-292.20060000000001</v>
      </c>
      <c r="K1452">
        <v>1.121016</v>
      </c>
      <c r="L1452">
        <v>285.2697</v>
      </c>
      <c r="M1452">
        <v>-0.999857</v>
      </c>
      <c r="N1452">
        <v>-1.266987E-2</v>
      </c>
      <c r="O1452">
        <v>-1.1198039999999999E-2</v>
      </c>
      <c r="P1452">
        <v>-0.97860400000000003</v>
      </c>
      <c r="Q1452">
        <v>0.2043923</v>
      </c>
      <c r="R1452">
        <v>2.3620120000000001E-2</v>
      </c>
      <c r="S1452">
        <v>-3.0633539999999999</v>
      </c>
      <c r="T1452">
        <v>6.5132380000000002E-3</v>
      </c>
      <c r="U1452">
        <v>3.4027099999999998E-2</v>
      </c>
      <c r="V1452">
        <v>3.4585829999999998E-2</v>
      </c>
      <c r="W1452">
        <v>0.2167692</v>
      </c>
      <c r="X1452">
        <v>0.97560999999999998</v>
      </c>
      <c r="Y1452">
        <v>2.2303679999999999E-2</v>
      </c>
      <c r="Z1452" s="1">
        <v>-4.8094589999999998E-5</v>
      </c>
      <c r="AA1452">
        <v>0.99975130000000001</v>
      </c>
      <c r="AB1452">
        <v>35</v>
      </c>
      <c r="AC1452">
        <v>-3.0633539999999999</v>
      </c>
      <c r="AD1452">
        <v>6.5132380000000002E-3</v>
      </c>
      <c r="AE1452">
        <v>3.4027099999999998E-2</v>
      </c>
      <c r="AF1452">
        <v>6.8330972546296095E-2</v>
      </c>
      <c r="AG1452">
        <v>6.5132380000000002E-3</v>
      </c>
      <c r="AH1452">
        <v>3.0627669854362098</v>
      </c>
      <c r="AI1452">
        <v>89.878186082036393</v>
      </c>
      <c r="AJ1452">
        <v>88.721931188693205</v>
      </c>
      <c r="AK1452">
        <v>3.0635360535101199</v>
      </c>
      <c r="AL1452">
        <v>77.480656498118904</v>
      </c>
      <c r="AM1452">
        <v>87.969688102485804</v>
      </c>
      <c r="AN1452">
        <v>0.99999996890271303</v>
      </c>
    </row>
    <row r="1453" spans="1:40" x14ac:dyDescent="0.25">
      <c r="A1453" t="str">
        <f>"20190303170749523"</f>
        <v>20190303170749523</v>
      </c>
      <c r="B1453" t="str">
        <f>"1551604069514316"</f>
        <v>1551604069514316</v>
      </c>
      <c r="C1453" t="s">
        <v>40</v>
      </c>
      <c r="D1453">
        <v>4.5346760000000002</v>
      </c>
      <c r="E1453">
        <v>0.5002202</v>
      </c>
      <c r="F1453" t="s">
        <v>45</v>
      </c>
      <c r="G1453">
        <v>0</v>
      </c>
      <c r="H1453">
        <v>0</v>
      </c>
      <c r="I1453">
        <v>0</v>
      </c>
      <c r="J1453">
        <v>-292.57659999999998</v>
      </c>
      <c r="K1453">
        <v>1.120981</v>
      </c>
      <c r="L1453">
        <v>285.26549999999997</v>
      </c>
      <c r="M1453">
        <v>-0.99985979999999997</v>
      </c>
      <c r="N1453">
        <v>-1.2454979999999999E-2</v>
      </c>
      <c r="O1453">
        <v>-1.1198380000000001E-2</v>
      </c>
      <c r="P1453">
        <v>-0.9787496</v>
      </c>
      <c r="Q1453">
        <v>0.2035981</v>
      </c>
      <c r="R1453">
        <v>2.4437859999999999E-2</v>
      </c>
      <c r="S1453">
        <v>-3.0630489999999999</v>
      </c>
      <c r="T1453">
        <v>7.53426599999999E-3</v>
      </c>
      <c r="U1453">
        <v>3.9794919999999998E-2</v>
      </c>
      <c r="V1453">
        <v>3.5405499999999999E-2</v>
      </c>
      <c r="W1453">
        <v>0.2157674</v>
      </c>
      <c r="X1453">
        <v>0.97580270000000002</v>
      </c>
      <c r="Y1453">
        <v>2.418737E-2</v>
      </c>
      <c r="Z1453" s="1">
        <v>-4.6125229999999999E-5</v>
      </c>
      <c r="AA1453">
        <v>0.99970749999999997</v>
      </c>
      <c r="AB1453">
        <v>35</v>
      </c>
      <c r="AC1453">
        <v>-3.0630489999999999</v>
      </c>
      <c r="AD1453">
        <v>7.53426599999999E-3</v>
      </c>
      <c r="AE1453">
        <v>3.9794919999999998E-2</v>
      </c>
      <c r="AF1453">
        <v>7.40958210070356E-2</v>
      </c>
      <c r="AG1453">
        <v>7.53426599999999E-3</v>
      </c>
      <c r="AH1453">
        <v>3.0623927070299</v>
      </c>
      <c r="AI1453">
        <v>89.859079317030506</v>
      </c>
      <c r="AJ1453">
        <v>88.613976037442399</v>
      </c>
      <c r="AK1453">
        <v>3.0632982303270402</v>
      </c>
      <c r="AL1453">
        <v>77.539447328013296</v>
      </c>
      <c r="AM1453">
        <v>87.922022330893199</v>
      </c>
      <c r="AN1453">
        <v>1.00000001483015</v>
      </c>
    </row>
    <row r="1454" spans="1:40" x14ac:dyDescent="0.25">
      <c r="A1454" t="str">
        <f>"20190303170749555"</f>
        <v>20190303170749555</v>
      </c>
      <c r="B1454" t="str">
        <f>"1551604069543595"</f>
        <v>1551604069543595</v>
      </c>
      <c r="C1454" t="s">
        <v>40</v>
      </c>
      <c r="D1454">
        <v>4.5364339999999999</v>
      </c>
      <c r="E1454">
        <v>0.5006699</v>
      </c>
      <c r="F1454" t="s">
        <v>45</v>
      </c>
      <c r="G1454">
        <v>0</v>
      </c>
      <c r="H1454">
        <v>0</v>
      </c>
      <c r="I1454">
        <v>0</v>
      </c>
      <c r="J1454">
        <v>-293.06920000000002</v>
      </c>
      <c r="K1454">
        <v>1.120954</v>
      </c>
      <c r="L1454">
        <v>285.25990000000002</v>
      </c>
      <c r="M1454">
        <v>-0.99986319999999995</v>
      </c>
      <c r="N1454">
        <v>-1.2173420000000001E-2</v>
      </c>
      <c r="O1454">
        <v>-1.119845E-2</v>
      </c>
      <c r="P1454">
        <v>-0.97877990000000004</v>
      </c>
      <c r="Q1454">
        <v>0.20336460000000001</v>
      </c>
      <c r="R1454">
        <v>2.516171E-2</v>
      </c>
      <c r="S1454">
        <v>-3.0629270000000002</v>
      </c>
      <c r="T1454">
        <v>5.0108430000000001E-3</v>
      </c>
      <c r="U1454">
        <v>4.5074459999999997E-2</v>
      </c>
      <c r="V1454">
        <v>3.612982E-2</v>
      </c>
      <c r="W1454">
        <v>0.2152589</v>
      </c>
      <c r="X1454">
        <v>0.97588839999999999</v>
      </c>
      <c r="Y1454">
        <v>2.5910849999999999E-2</v>
      </c>
      <c r="Z1454" s="1">
        <v>-1.8107009999999999E-5</v>
      </c>
      <c r="AA1454">
        <v>0.9996642</v>
      </c>
      <c r="AB1454">
        <v>35</v>
      </c>
      <c r="AC1454">
        <v>-3.0629270000000002</v>
      </c>
      <c r="AD1454">
        <v>5.0108430000000001E-3</v>
      </c>
      <c r="AE1454">
        <v>4.5074459999999997E-2</v>
      </c>
      <c r="AF1454">
        <v>7.9373997182215494E-2</v>
      </c>
      <c r="AG1454">
        <v>5.0108430000000001E-3</v>
      </c>
      <c r="AH1454">
        <v>3.0622219165094799</v>
      </c>
      <c r="AI1454">
        <v>89.906276060462304</v>
      </c>
      <c r="AJ1454">
        <v>88.515203315826199</v>
      </c>
      <c r="AK1454">
        <v>3.0632545447493</v>
      </c>
      <c r="AL1454">
        <v>77.569282703198297</v>
      </c>
      <c r="AM1454">
        <v>87.879735859673403</v>
      </c>
      <c r="AN1454">
        <v>0.99999996358849996</v>
      </c>
    </row>
    <row r="1455" spans="1:40" x14ac:dyDescent="0.25">
      <c r="A1455" t="str">
        <f>"20190303170749577"</f>
        <v>20190303170749577</v>
      </c>
      <c r="B1455" t="str">
        <f>"1551604069564092"</f>
        <v>1551604069564092</v>
      </c>
      <c r="C1455" t="s">
        <v>40</v>
      </c>
      <c r="D1455">
        <v>4.598071</v>
      </c>
      <c r="E1455">
        <v>0.50087020000000004</v>
      </c>
      <c r="F1455" t="s">
        <v>45</v>
      </c>
      <c r="G1455">
        <v>0</v>
      </c>
      <c r="H1455">
        <v>0</v>
      </c>
      <c r="I1455">
        <v>0</v>
      </c>
      <c r="J1455">
        <v>-293.41059999999999</v>
      </c>
      <c r="K1455">
        <v>1.12093</v>
      </c>
      <c r="L1455">
        <v>285.25619999999998</v>
      </c>
      <c r="M1455">
        <v>-0.99986569999999997</v>
      </c>
      <c r="N1455">
        <v>-1.1979109999999999E-2</v>
      </c>
      <c r="O1455">
        <v>-1.119909E-2</v>
      </c>
      <c r="P1455">
        <v>-0.97855639999999999</v>
      </c>
      <c r="Q1455">
        <v>0.2044503</v>
      </c>
      <c r="R1455">
        <v>2.505578E-2</v>
      </c>
      <c r="S1455">
        <v>-3.062592</v>
      </c>
      <c r="T1455">
        <v>5.6800840000000002E-3</v>
      </c>
      <c r="U1455">
        <v>5.0689699999999997E-2</v>
      </c>
      <c r="V1455">
        <v>3.6021860000000003E-2</v>
      </c>
      <c r="W1455">
        <v>0.21615239999999999</v>
      </c>
      <c r="X1455">
        <v>0.97569490000000003</v>
      </c>
      <c r="Y1455">
        <v>2.7745479999999999E-2</v>
      </c>
      <c r="Z1455" s="1">
        <v>-1.4446009999999999E-5</v>
      </c>
      <c r="AA1455">
        <v>0.99961500000000003</v>
      </c>
      <c r="AB1455">
        <v>35</v>
      </c>
      <c r="AC1455">
        <v>-3.062592</v>
      </c>
      <c r="AD1455">
        <v>5.6800840000000002E-3</v>
      </c>
      <c r="AE1455">
        <v>5.0689699999999997E-2</v>
      </c>
      <c r="AF1455">
        <v>8.4986927260559897E-2</v>
      </c>
      <c r="AG1455">
        <v>5.6800840000000002E-3</v>
      </c>
      <c r="AH1455">
        <v>3.0618216636455502</v>
      </c>
      <c r="AI1455">
        <v>89.893749797926603</v>
      </c>
      <c r="AJ1455">
        <v>88.410050350003601</v>
      </c>
      <c r="AK1455">
        <v>3.0630061934525501</v>
      </c>
      <c r="AL1455">
        <v>77.516854968712096</v>
      </c>
      <c r="AM1455">
        <v>87.885646837431594</v>
      </c>
      <c r="AN1455">
        <v>0.999999986154814</v>
      </c>
    </row>
    <row r="1456" spans="1:40" x14ac:dyDescent="0.25">
      <c r="A1456" t="str">
        <f>"20190303170749599"</f>
        <v>20190303170749599</v>
      </c>
      <c r="B1456" t="str">
        <f>"1551604069594347"</f>
        <v>1551604069594347</v>
      </c>
      <c r="C1456" t="s">
        <v>40</v>
      </c>
      <c r="D1456">
        <v>4.5101829999999996</v>
      </c>
      <c r="E1456">
        <v>0.48869609999999902</v>
      </c>
      <c r="F1456" t="s">
        <v>45</v>
      </c>
      <c r="G1456">
        <v>0</v>
      </c>
      <c r="H1456">
        <v>0</v>
      </c>
      <c r="I1456">
        <v>0</v>
      </c>
      <c r="J1456">
        <v>-293.76620000000003</v>
      </c>
      <c r="K1456">
        <v>1.1209119999999999</v>
      </c>
      <c r="L1456">
        <v>285.25220000000002</v>
      </c>
      <c r="M1456">
        <v>-0.99986810000000004</v>
      </c>
      <c r="N1456">
        <v>-1.1782829999999999E-2</v>
      </c>
      <c r="O1456">
        <v>-1.119937E-2</v>
      </c>
      <c r="P1456">
        <v>-0.978352</v>
      </c>
      <c r="Q1456">
        <v>0.20545920000000001</v>
      </c>
      <c r="R1456">
        <v>2.4786490000000001E-2</v>
      </c>
      <c r="S1456">
        <v>-3.0625309999999999</v>
      </c>
      <c r="T1456">
        <v>9.0358260000000003E-3</v>
      </c>
      <c r="U1456">
        <v>5.2185059999999998E-2</v>
      </c>
      <c r="V1456">
        <v>3.5750700000000003E-2</v>
      </c>
      <c r="W1456">
        <v>0.21696750000000001</v>
      </c>
      <c r="X1456">
        <v>0.9755239</v>
      </c>
      <c r="Y1456">
        <v>2.8233979999999999E-2</v>
      </c>
      <c r="Z1456" s="1">
        <v>-4.0287039999999998E-5</v>
      </c>
      <c r="AA1456">
        <v>0.99960139999999997</v>
      </c>
      <c r="AB1456">
        <v>35</v>
      </c>
      <c r="AC1456">
        <v>-3.0625309999999999</v>
      </c>
      <c r="AD1456">
        <v>9.0358260000000003E-3</v>
      </c>
      <c r="AE1456">
        <v>5.2185059999999998E-2</v>
      </c>
      <c r="AF1456">
        <v>8.6481824909546201E-2</v>
      </c>
      <c r="AG1456">
        <v>9.0358260000000003E-3</v>
      </c>
      <c r="AH1456">
        <v>3.06172778186387</v>
      </c>
      <c r="AI1456">
        <v>89.8309755712297</v>
      </c>
      <c r="AJ1456">
        <v>88.382048707214494</v>
      </c>
      <c r="AK1456">
        <v>3.06296225285723</v>
      </c>
      <c r="AL1456">
        <v>77.469017435878698</v>
      </c>
      <c r="AM1456">
        <v>87.901181158074493</v>
      </c>
      <c r="AN1456">
        <v>0.99999994403897297</v>
      </c>
    </row>
    <row r="1457" spans="1:40" x14ac:dyDescent="0.25">
      <c r="A1457" t="str">
        <f>"20190303170749623"</f>
        <v>20190303170749623</v>
      </c>
      <c r="B1457" t="str">
        <f>"1551604069613868"</f>
        <v>1551604069613868</v>
      </c>
      <c r="C1457" t="s">
        <v>40</v>
      </c>
      <c r="D1457">
        <v>4.5633739999999996</v>
      </c>
      <c r="E1457">
        <v>0.48607289999999997</v>
      </c>
      <c r="F1457" t="s">
        <v>45</v>
      </c>
      <c r="G1457">
        <v>0</v>
      </c>
      <c r="H1457">
        <v>0</v>
      </c>
      <c r="I1457">
        <v>0</v>
      </c>
      <c r="J1457">
        <v>-294.13619999999997</v>
      </c>
      <c r="K1457">
        <v>1.1208959999999999</v>
      </c>
      <c r="L1457">
        <v>285.24799999999999</v>
      </c>
      <c r="M1457">
        <v>-0.99987029999999999</v>
      </c>
      <c r="N1457">
        <v>-1.158121E-2</v>
      </c>
      <c r="O1457">
        <v>-1.119844E-2</v>
      </c>
      <c r="P1457">
        <v>-0.97839719999999997</v>
      </c>
      <c r="Q1457">
        <v>0.2051732</v>
      </c>
      <c r="R1457">
        <v>2.5355590000000001E-2</v>
      </c>
      <c r="S1457">
        <v>-3.0502009999999999</v>
      </c>
      <c r="T1457">
        <v>8.2185510000000003E-2</v>
      </c>
      <c r="U1457">
        <v>-4.2877199999999997E-2</v>
      </c>
      <c r="V1457">
        <v>3.6319379999999998E-2</v>
      </c>
      <c r="W1457">
        <v>0.21648529999999999</v>
      </c>
      <c r="X1457">
        <v>0.97561010000000004</v>
      </c>
      <c r="Y1457">
        <v>-2.8645319999999999E-3</v>
      </c>
      <c r="Z1457">
        <v>-4.0932190000000002E-4</v>
      </c>
      <c r="AA1457">
        <v>0.99999579999999999</v>
      </c>
      <c r="AB1457">
        <v>35</v>
      </c>
      <c r="AC1457">
        <v>-3.0502009999999999</v>
      </c>
      <c r="AD1457">
        <v>8.2185510000000003E-2</v>
      </c>
      <c r="AE1457">
        <v>-4.2877199999999997E-2</v>
      </c>
      <c r="AF1457">
        <v>-8.7084087402480095E-3</v>
      </c>
      <c r="AG1457">
        <v>8.2185510000000003E-2</v>
      </c>
      <c r="AH1457">
        <v>3.0482773063107298</v>
      </c>
      <c r="AI1457">
        <v>88.455611907193799</v>
      </c>
      <c r="AJ1457">
        <v>90.163683831737202</v>
      </c>
      <c r="AK1457">
        <v>3.0493974536956898</v>
      </c>
      <c r="AL1457">
        <v>77.497319128784895</v>
      </c>
      <c r="AM1457">
        <v>87.868014408909602</v>
      </c>
      <c r="AN1457">
        <v>1.0000000248508401</v>
      </c>
    </row>
    <row r="1458" spans="1:40" x14ac:dyDescent="0.25">
      <c r="A1458" t="str">
        <f>"20190303170749646"</f>
        <v>20190303170749646</v>
      </c>
      <c r="B1458" t="str">
        <f>"1551604069634364"</f>
        <v>1551604069634364</v>
      </c>
      <c r="C1458" t="s">
        <v>40</v>
      </c>
      <c r="D1458">
        <v>4.5015739999999997</v>
      </c>
      <c r="E1458">
        <v>0.48485519999999999</v>
      </c>
      <c r="F1458" t="s">
        <v>45</v>
      </c>
      <c r="G1458">
        <v>0</v>
      </c>
      <c r="H1458">
        <v>0</v>
      </c>
      <c r="I1458">
        <v>0</v>
      </c>
      <c r="J1458">
        <v>-294.48509999999999</v>
      </c>
      <c r="K1458">
        <v>1.1208610000000001</v>
      </c>
      <c r="L1458">
        <v>285.24419999999998</v>
      </c>
      <c r="M1458">
        <v>-0.9998726</v>
      </c>
      <c r="N1458">
        <v>-1.1392090000000001E-2</v>
      </c>
      <c r="O1458">
        <v>-1.11898E-2</v>
      </c>
      <c r="P1458">
        <v>-0.97858339999999999</v>
      </c>
      <c r="Q1458">
        <v>0.20431289999999999</v>
      </c>
      <c r="R1458">
        <v>2.5119519999999999E-2</v>
      </c>
      <c r="S1458">
        <v>-3.0473940000000002</v>
      </c>
      <c r="T1458">
        <v>9.7572800000000001E-2</v>
      </c>
      <c r="U1458">
        <v>-6.1279300000000002E-2</v>
      </c>
      <c r="V1458">
        <v>3.6079140000000003E-2</v>
      </c>
      <c r="W1458">
        <v>0.21544240000000001</v>
      </c>
      <c r="X1458">
        <v>0.97584979999999999</v>
      </c>
      <c r="Y1458">
        <v>-8.9227590000000006E-3</v>
      </c>
      <c r="Z1458">
        <v>-3.936085E-4</v>
      </c>
      <c r="AA1458">
        <v>0.99996010000000002</v>
      </c>
      <c r="AB1458">
        <v>35</v>
      </c>
      <c r="AC1458">
        <v>-3.0473940000000002</v>
      </c>
      <c r="AD1458">
        <v>9.7572800000000001E-2</v>
      </c>
      <c r="AE1458">
        <v>-6.1279300000000002E-2</v>
      </c>
      <c r="AF1458">
        <v>-2.7145706159957001E-2</v>
      </c>
      <c r="AG1458">
        <v>9.7572800000000001E-2</v>
      </c>
      <c r="AH1458">
        <v>3.0447687565147401</v>
      </c>
      <c r="AI1458">
        <v>88.164597841878901</v>
      </c>
      <c r="AJ1458">
        <v>90.510808311506693</v>
      </c>
      <c r="AK1458">
        <v>3.0464527111562201</v>
      </c>
      <c r="AL1458">
        <v>77.558516547274195</v>
      </c>
      <c r="AM1458">
        <v>87.882623612729404</v>
      </c>
      <c r="AN1458">
        <v>0.99999998211046903</v>
      </c>
    </row>
    <row r="1459" spans="1:40" x14ac:dyDescent="0.25">
      <c r="A1459" t="str">
        <f>"20190303170749665"</f>
        <v>20190303170749665</v>
      </c>
      <c r="B1459" t="str">
        <f>"1551604069653884"</f>
        <v>1551604069653884</v>
      </c>
      <c r="C1459" t="s">
        <v>40</v>
      </c>
      <c r="D1459">
        <v>4.6952199999999999</v>
      </c>
      <c r="E1459">
        <v>0.48450149999999997</v>
      </c>
      <c r="F1459" t="s">
        <v>70</v>
      </c>
      <c r="G1459">
        <v>-551.06510000000003</v>
      </c>
      <c r="H1459">
        <v>9.5862990000000003</v>
      </c>
      <c r="I1459">
        <v>279.26830000000001</v>
      </c>
      <c r="J1459">
        <v>-294.80180000000001</v>
      </c>
      <c r="K1459">
        <v>1.1208309999999999</v>
      </c>
      <c r="L1459">
        <v>285.2407</v>
      </c>
      <c r="M1459">
        <v>-0.99987479999999995</v>
      </c>
      <c r="N1459">
        <v>-1.1221480000000001E-2</v>
      </c>
      <c r="O1459">
        <v>-1.1166199999999999E-2</v>
      </c>
      <c r="P1459">
        <v>-0.97849419999999998</v>
      </c>
      <c r="Q1459">
        <v>0.20467170000000001</v>
      </c>
      <c r="R1459">
        <v>2.5669709999999998E-2</v>
      </c>
      <c r="S1459">
        <v>-3.0464479999999998</v>
      </c>
      <c r="T1459">
        <v>0.10051350000000001</v>
      </c>
      <c r="U1459">
        <v>-7.0953370000000002E-2</v>
      </c>
      <c r="V1459">
        <v>3.661006E-2</v>
      </c>
      <c r="W1459">
        <v>0.2156323</v>
      </c>
      <c r="X1459">
        <v>0.97578810000000005</v>
      </c>
      <c r="Y1459">
        <v>-1.2125449999999999E-2</v>
      </c>
      <c r="Z1459">
        <v>-3.6160069999999998E-4</v>
      </c>
      <c r="AA1459">
        <v>0.99992639999999999</v>
      </c>
      <c r="AB1459">
        <v>35</v>
      </c>
      <c r="AC1459">
        <v>-256.26330000000002</v>
      </c>
      <c r="AD1459">
        <v>8.4654679999999995</v>
      </c>
      <c r="AE1459">
        <v>-5.9723999999999897</v>
      </c>
      <c r="AF1459">
        <v>-3.1069718074937702</v>
      </c>
      <c r="AG1459">
        <v>8.4654679999999995</v>
      </c>
      <c r="AH1459">
        <v>256.034765340874</v>
      </c>
      <c r="AI1459">
        <v>88.106416193708</v>
      </c>
      <c r="AJ1459">
        <v>90.695247905502796</v>
      </c>
      <c r="AK1459">
        <v>256.19351764911602</v>
      </c>
      <c r="AL1459">
        <v>77.5473744191127</v>
      </c>
      <c r="AM1459">
        <v>87.851358776235003</v>
      </c>
      <c r="AN1459">
        <v>1.0000000006990499</v>
      </c>
    </row>
    <row r="1460" spans="1:40" x14ac:dyDescent="0.25">
      <c r="A1460" t="str">
        <f>"20190303170749689"</f>
        <v>20190303170749689</v>
      </c>
      <c r="B1460" t="str">
        <f>"1551604069674380"</f>
        <v>1551604069674380</v>
      </c>
      <c r="C1460" t="s">
        <v>40</v>
      </c>
      <c r="D1460">
        <v>4.5605029999999998</v>
      </c>
      <c r="E1460">
        <v>0.4841202</v>
      </c>
      <c r="F1460" t="s">
        <v>70</v>
      </c>
      <c r="G1460">
        <v>-551.0652</v>
      </c>
      <c r="H1460">
        <v>9.9656920000000007</v>
      </c>
      <c r="I1460">
        <v>279.17849999999999</v>
      </c>
      <c r="J1460">
        <v>-295.15620000000001</v>
      </c>
      <c r="K1460">
        <v>1.120797</v>
      </c>
      <c r="L1460">
        <v>285.23680000000002</v>
      </c>
      <c r="M1460">
        <v>-0.99987740000000003</v>
      </c>
      <c r="N1460">
        <v>-1.1033100000000001E-2</v>
      </c>
      <c r="O1460">
        <v>-1.111702E-2</v>
      </c>
      <c r="P1460">
        <v>-0.97823230000000005</v>
      </c>
      <c r="Q1460">
        <v>0.20572360000000001</v>
      </c>
      <c r="R1460">
        <v>2.7190349999999999E-2</v>
      </c>
      <c r="S1460">
        <v>-3.0458370000000001</v>
      </c>
      <c r="T1460">
        <v>0.1051271</v>
      </c>
      <c r="U1460">
        <v>-7.2052000000000005E-2</v>
      </c>
      <c r="V1460">
        <v>3.8088370000000003E-2</v>
      </c>
      <c r="W1460">
        <v>0.21649599999999999</v>
      </c>
      <c r="X1460">
        <v>0.97554019999999997</v>
      </c>
      <c r="Y1460">
        <v>-1.2539669999999999E-2</v>
      </c>
      <c r="Z1460">
        <v>-3.5901019999999898E-4</v>
      </c>
      <c r="AA1460">
        <v>0.99992130000000001</v>
      </c>
      <c r="AB1460">
        <v>35</v>
      </c>
      <c r="AC1460">
        <v>-255.90899999999999</v>
      </c>
      <c r="AD1460">
        <v>8.8448949999999993</v>
      </c>
      <c r="AE1460">
        <v>-6.0583000000000302</v>
      </c>
      <c r="AF1460">
        <v>-3.2089758983037702</v>
      </c>
      <c r="AG1460">
        <v>8.8448949999999993</v>
      </c>
      <c r="AH1460">
        <v>255.65530931144201</v>
      </c>
      <c r="AI1460">
        <v>88.018686816048699</v>
      </c>
      <c r="AJ1460">
        <v>90.719136719970706</v>
      </c>
      <c r="AK1460">
        <v>255.828393406608</v>
      </c>
      <c r="AL1460">
        <v>77.496690371688899</v>
      </c>
      <c r="AM1460">
        <v>87.764115744959895</v>
      </c>
      <c r="AN1460">
        <v>0.99999996188064699</v>
      </c>
    </row>
    <row r="1461" spans="1:40" x14ac:dyDescent="0.25">
      <c r="A1461" t="str">
        <f>"20190303170749711"</f>
        <v>20190303170749711</v>
      </c>
      <c r="B1461" t="str">
        <f>"1551604069703660"</f>
        <v>1551604069703660</v>
      </c>
      <c r="C1461" t="s">
        <v>40</v>
      </c>
      <c r="D1461">
        <v>4.4987389999999996</v>
      </c>
      <c r="E1461">
        <v>0.48374679999999998</v>
      </c>
      <c r="F1461" t="s">
        <v>70</v>
      </c>
      <c r="G1461">
        <v>-551.56460000000004</v>
      </c>
      <c r="H1461">
        <v>10.514419999999999</v>
      </c>
      <c r="I1461">
        <v>279.27539999999999</v>
      </c>
      <c r="J1461">
        <v>-295.51990000000001</v>
      </c>
      <c r="K1461">
        <v>1.1207590000000001</v>
      </c>
      <c r="L1461">
        <v>285.2328</v>
      </c>
      <c r="M1461">
        <v>-0.9998802</v>
      </c>
      <c r="N1461">
        <v>-1.0851029999999999E-2</v>
      </c>
      <c r="O1461">
        <v>-1.1038040000000001E-2</v>
      </c>
      <c r="P1461">
        <v>-0.97801260000000001</v>
      </c>
      <c r="Q1461">
        <v>0.2065401</v>
      </c>
      <c r="R1461">
        <v>2.8851700000000001E-2</v>
      </c>
      <c r="S1461">
        <v>-3.0452880000000002</v>
      </c>
      <c r="T1461">
        <v>0.1115662</v>
      </c>
      <c r="U1461">
        <v>-7.0800779999999994E-2</v>
      </c>
      <c r="V1461">
        <v>3.9681660000000001E-2</v>
      </c>
      <c r="W1461">
        <v>0.2171295</v>
      </c>
      <c r="X1461">
        <v>0.97533590000000003</v>
      </c>
      <c r="Y1461">
        <v>-1.2212560000000001E-2</v>
      </c>
      <c r="Z1461">
        <v>-3.6657520000000002E-4</v>
      </c>
      <c r="AA1461">
        <v>0.99992539999999996</v>
      </c>
      <c r="AB1461">
        <v>35</v>
      </c>
      <c r="AC1461">
        <v>-256.04469999999998</v>
      </c>
      <c r="AD1461">
        <v>9.3936609999999998</v>
      </c>
      <c r="AE1461">
        <v>-5.9573999999999998</v>
      </c>
      <c r="AF1461">
        <v>-3.1264331451418301</v>
      </c>
      <c r="AG1461">
        <v>9.3936609999999998</v>
      </c>
      <c r="AH1461">
        <v>255.75081265791101</v>
      </c>
      <c r="AI1461">
        <v>87.896643489054298</v>
      </c>
      <c r="AJ1461">
        <v>90.700379013482603</v>
      </c>
      <c r="AK1461">
        <v>255.94236387588501</v>
      </c>
      <c r="AL1461">
        <v>77.459509375087194</v>
      </c>
      <c r="AM1461">
        <v>87.670199148590399</v>
      </c>
      <c r="AN1461">
        <v>0.99999998586970695</v>
      </c>
    </row>
    <row r="1462" spans="1:40" x14ac:dyDescent="0.25">
      <c r="A1462" t="str">
        <f>"20190303170749732"</f>
        <v>20190303170749732</v>
      </c>
      <c r="B1462" t="str">
        <f>"1551604069724156"</f>
        <v>1551604069724156</v>
      </c>
      <c r="C1462" t="s">
        <v>40</v>
      </c>
      <c r="D1462">
        <v>4.3847269999999998</v>
      </c>
      <c r="E1462">
        <v>0.48371609999999998</v>
      </c>
      <c r="F1462" t="s">
        <v>45</v>
      </c>
      <c r="G1462">
        <v>0</v>
      </c>
      <c r="H1462">
        <v>0</v>
      </c>
      <c r="I1462">
        <v>0</v>
      </c>
      <c r="J1462">
        <v>-295.85910000000001</v>
      </c>
      <c r="K1462">
        <v>1.1207210000000001</v>
      </c>
      <c r="L1462">
        <v>285.22919999999999</v>
      </c>
      <c r="M1462">
        <v>-0.99988310000000002</v>
      </c>
      <c r="N1462">
        <v>-1.069209E-2</v>
      </c>
      <c r="O1462">
        <v>-1.0939300000000001E-2</v>
      </c>
      <c r="P1462">
        <v>-0.97811599999999999</v>
      </c>
      <c r="Q1462">
        <v>0.20592189999999999</v>
      </c>
      <c r="R1462">
        <v>2.9757019999999999E-2</v>
      </c>
      <c r="S1462">
        <v>-3.0448</v>
      </c>
      <c r="T1462">
        <v>0.1170065</v>
      </c>
      <c r="U1462">
        <v>-6.8725590000000003E-2</v>
      </c>
      <c r="V1462">
        <v>4.0502789999999997E-2</v>
      </c>
      <c r="W1462">
        <v>0.2163554</v>
      </c>
      <c r="X1462">
        <v>0.97547419999999996</v>
      </c>
      <c r="Y1462">
        <v>-1.1634220000000001E-2</v>
      </c>
      <c r="Z1462">
        <v>-3.7584620000000001E-4</v>
      </c>
      <c r="AA1462">
        <v>0.99993220000000005</v>
      </c>
      <c r="AB1462">
        <v>35</v>
      </c>
      <c r="AC1462">
        <v>-3.0448</v>
      </c>
      <c r="AD1462">
        <v>0.1170065</v>
      </c>
      <c r="AE1462">
        <v>-6.8725590000000003E-2</v>
      </c>
      <c r="AF1462">
        <v>-3.5359406079985597E-2</v>
      </c>
      <c r="AG1462">
        <v>0.1170065</v>
      </c>
      <c r="AH1462">
        <v>3.0408813556054399</v>
      </c>
      <c r="AI1462">
        <v>87.796618887884406</v>
      </c>
      <c r="AJ1462">
        <v>90.666206009110397</v>
      </c>
      <c r="AK1462">
        <v>3.04333702167692</v>
      </c>
      <c r="AL1462">
        <v>77.504942524394394</v>
      </c>
      <c r="AM1462">
        <v>87.622380267728403</v>
      </c>
      <c r="AN1462">
        <v>1.0000000249862899</v>
      </c>
    </row>
    <row r="1463" spans="1:40" x14ac:dyDescent="0.25">
      <c r="A1463" t="str">
        <f>"20190303170749755"</f>
        <v>20190303170749755</v>
      </c>
      <c r="B1463" t="str">
        <f>"1551604069743676"</f>
        <v>1551604069743676</v>
      </c>
      <c r="C1463" t="s">
        <v>40</v>
      </c>
      <c r="D1463">
        <v>4.495463</v>
      </c>
      <c r="E1463">
        <v>0.48373290000000002</v>
      </c>
      <c r="F1463" t="s">
        <v>45</v>
      </c>
      <c r="G1463">
        <v>0</v>
      </c>
      <c r="H1463">
        <v>0</v>
      </c>
      <c r="I1463">
        <v>0</v>
      </c>
      <c r="J1463">
        <v>-296.20569999999998</v>
      </c>
      <c r="K1463">
        <v>1.120679</v>
      </c>
      <c r="L1463">
        <v>285.22559999999999</v>
      </c>
      <c r="M1463">
        <v>-0.99988600000000005</v>
      </c>
      <c r="N1463">
        <v>-1.054251E-2</v>
      </c>
      <c r="O1463">
        <v>-1.08161E-2</v>
      </c>
      <c r="P1463">
        <v>-0.97810189999999997</v>
      </c>
      <c r="Q1463">
        <v>0.20593939999999999</v>
      </c>
      <c r="R1463">
        <v>3.00939E-2</v>
      </c>
      <c r="S1463">
        <v>-3.0447690000000001</v>
      </c>
      <c r="T1463">
        <v>0.1159626</v>
      </c>
      <c r="U1463">
        <v>-6.640625E-2</v>
      </c>
      <c r="V1463">
        <v>4.072924E-2</v>
      </c>
      <c r="W1463">
        <v>0.216225</v>
      </c>
      <c r="X1463">
        <v>0.97549370000000002</v>
      </c>
      <c r="Y1463">
        <v>-1.099637E-2</v>
      </c>
      <c r="Z1463">
        <v>-3.7438070000000003E-4</v>
      </c>
      <c r="AA1463">
        <v>0.99993940000000003</v>
      </c>
      <c r="AB1463">
        <v>35</v>
      </c>
      <c r="AC1463">
        <v>-3.0447690000000001</v>
      </c>
      <c r="AD1463">
        <v>0.1159626</v>
      </c>
      <c r="AE1463">
        <v>-6.640625E-2</v>
      </c>
      <c r="AF1463">
        <v>-3.3419558139018597E-2</v>
      </c>
      <c r="AG1463">
        <v>0.1159626</v>
      </c>
      <c r="AH1463">
        <v>3.0409003459434101</v>
      </c>
      <c r="AI1463">
        <v>87.816255620116493</v>
      </c>
      <c r="AJ1463">
        <v>90.6296564609586</v>
      </c>
      <c r="AK1463">
        <v>3.0432941207552999</v>
      </c>
      <c r="AL1463">
        <v>77.512595228295595</v>
      </c>
      <c r="AM1463">
        <v>87.609150182173593</v>
      </c>
      <c r="AN1463">
        <v>1.00000004017783</v>
      </c>
    </row>
    <row r="1464" spans="1:40" x14ac:dyDescent="0.25">
      <c r="A1464" t="str">
        <f>"20190303170749776"</f>
        <v>20190303170749776</v>
      </c>
      <c r="B1464" t="str">
        <f>"1551604069764172"</f>
        <v>1551604069764172</v>
      </c>
      <c r="C1464" t="s">
        <v>40</v>
      </c>
      <c r="D1464">
        <v>4.3684979999999998</v>
      </c>
      <c r="E1464">
        <v>0.48367179999999999</v>
      </c>
      <c r="F1464" t="s">
        <v>45</v>
      </c>
      <c r="G1464">
        <v>0</v>
      </c>
      <c r="H1464">
        <v>0</v>
      </c>
      <c r="I1464">
        <v>0</v>
      </c>
      <c r="J1464">
        <v>-296.53800000000001</v>
      </c>
      <c r="K1464">
        <v>1.1206510000000001</v>
      </c>
      <c r="L1464">
        <v>285.22210000000001</v>
      </c>
      <c r="M1464">
        <v>-0.99988880000000002</v>
      </c>
      <c r="N1464">
        <v>-1.041154E-2</v>
      </c>
      <c r="O1464">
        <v>-1.0678150000000001E-2</v>
      </c>
      <c r="P1464">
        <v>-0.97799069999999999</v>
      </c>
      <c r="Q1464">
        <v>0.20634430000000001</v>
      </c>
      <c r="R1464">
        <v>3.0923450000000002E-2</v>
      </c>
      <c r="S1464">
        <v>-3.0444339999999999</v>
      </c>
      <c r="T1464">
        <v>0.1172513</v>
      </c>
      <c r="U1464">
        <v>-6.4971920000000002E-2</v>
      </c>
      <c r="V1464">
        <v>4.1431349999999999E-2</v>
      </c>
      <c r="W1464">
        <v>0.21649879999999999</v>
      </c>
      <c r="X1464">
        <v>0.97540340000000003</v>
      </c>
      <c r="Y1464">
        <v>-1.0665849999999999E-2</v>
      </c>
      <c r="Z1464">
        <v>-3.724108E-4</v>
      </c>
      <c r="AA1464">
        <v>0.99994309999999997</v>
      </c>
      <c r="AB1464">
        <v>35</v>
      </c>
      <c r="AC1464">
        <v>-3.0444339999999999</v>
      </c>
      <c r="AD1464">
        <v>0.1172513</v>
      </c>
      <c r="AE1464">
        <v>-6.4971920000000002E-2</v>
      </c>
      <c r="AF1464">
        <v>-3.2409480532689897E-2</v>
      </c>
      <c r="AG1464">
        <v>0.1172513</v>
      </c>
      <c r="AH1464">
        <v>3.0404464555041799</v>
      </c>
      <c r="AI1464">
        <v>87.791674228112697</v>
      </c>
      <c r="AJ1464">
        <v>90.610718245605895</v>
      </c>
      <c r="AK1464">
        <v>3.0428790463256998</v>
      </c>
      <c r="AL1464">
        <v>77.496527038132697</v>
      </c>
      <c r="AM1464">
        <v>87.567759766440503</v>
      </c>
      <c r="AN1464">
        <v>1.0000000399479101</v>
      </c>
    </row>
    <row r="1465" spans="1:40" x14ac:dyDescent="0.25">
      <c r="A1465" t="str">
        <f>"20190303170749801"</f>
        <v>20190303170749801</v>
      </c>
      <c r="B1465" t="str">
        <f>"1551604069793452"</f>
        <v>1551604069793452</v>
      </c>
      <c r="C1465" t="s">
        <v>40</v>
      </c>
      <c r="D1465">
        <v>4.2622980000000004</v>
      </c>
      <c r="E1465">
        <v>0.48366049999999999</v>
      </c>
      <c r="F1465" t="s">
        <v>45</v>
      </c>
      <c r="G1465">
        <v>0</v>
      </c>
      <c r="H1465">
        <v>0</v>
      </c>
      <c r="I1465">
        <v>0</v>
      </c>
      <c r="J1465">
        <v>-296.92829999999998</v>
      </c>
      <c r="K1465">
        <v>1.120617</v>
      </c>
      <c r="L1465">
        <v>285.21800000000002</v>
      </c>
      <c r="M1465">
        <v>-0.99989240000000001</v>
      </c>
      <c r="N1465">
        <v>-1.026797E-2</v>
      </c>
      <c r="O1465">
        <v>-1.0493880000000001E-2</v>
      </c>
      <c r="P1465">
        <v>-0.97782919999999995</v>
      </c>
      <c r="Q1465">
        <v>0.2070419</v>
      </c>
      <c r="R1465">
        <v>3.1370049999999997E-2</v>
      </c>
      <c r="S1465">
        <v>-3.0440670000000001</v>
      </c>
      <c r="T1465">
        <v>0.12078709999999999</v>
      </c>
      <c r="U1465">
        <v>-6.3354489999999999E-2</v>
      </c>
      <c r="V1465">
        <v>4.1705520000000003E-2</v>
      </c>
      <c r="W1465">
        <v>0.21705269999999999</v>
      </c>
      <c r="X1465">
        <v>0.97526849999999998</v>
      </c>
      <c r="Y1465">
        <v>-1.032169E-2</v>
      </c>
      <c r="Z1465">
        <v>-3.7219629999999998E-4</v>
      </c>
      <c r="AA1465">
        <v>0.99994669999999997</v>
      </c>
      <c r="AB1465">
        <v>35</v>
      </c>
      <c r="AC1465">
        <v>-3.0440670000000001</v>
      </c>
      <c r="AD1465">
        <v>0.12078709999999999</v>
      </c>
      <c r="AE1465">
        <v>-6.3354489999999999E-2</v>
      </c>
      <c r="AF1465">
        <v>-3.1355901757703697E-2</v>
      </c>
      <c r="AG1465">
        <v>0.12078709999999999</v>
      </c>
      <c r="AH1465">
        <v>3.0397802865014301</v>
      </c>
      <c r="AI1465">
        <v>87.724643249395797</v>
      </c>
      <c r="AJ1465">
        <v>90.590995712986</v>
      </c>
      <c r="AK1465">
        <v>3.0423406953042198</v>
      </c>
      <c r="AL1465">
        <v>77.464016561580706</v>
      </c>
      <c r="AM1465">
        <v>87.551345811988895</v>
      </c>
      <c r="AN1465">
        <v>0.99999993603400295</v>
      </c>
    </row>
    <row r="1466" spans="1:40" x14ac:dyDescent="0.25">
      <c r="A1466" t="str">
        <f>"20190303170749827"</f>
        <v>20190303170749827</v>
      </c>
      <c r="B1466" t="str">
        <f>"1551604069813948"</f>
        <v>1551604069813948</v>
      </c>
      <c r="C1466" t="s">
        <v>40</v>
      </c>
      <c r="D1466">
        <v>4.2689190000000004</v>
      </c>
      <c r="E1466">
        <v>0.48352299999999998</v>
      </c>
      <c r="F1466" t="s">
        <v>45</v>
      </c>
      <c r="G1466">
        <v>0</v>
      </c>
      <c r="H1466">
        <v>0</v>
      </c>
      <c r="I1466">
        <v>0</v>
      </c>
      <c r="J1466">
        <v>-297.33920000000001</v>
      </c>
      <c r="K1466">
        <v>1.1205889999999901</v>
      </c>
      <c r="L1466">
        <v>285.214</v>
      </c>
      <c r="M1466">
        <v>-0.99989589999999995</v>
      </c>
      <c r="N1466">
        <v>-1.012334E-2</v>
      </c>
      <c r="O1466">
        <v>-1.0277919999999999E-2</v>
      </c>
      <c r="P1466">
        <v>-0.97805410000000004</v>
      </c>
      <c r="Q1466">
        <v>0.20594319999999999</v>
      </c>
      <c r="R1466">
        <v>3.1584269999999998E-2</v>
      </c>
      <c r="S1466">
        <v>-3.0436100000000001</v>
      </c>
      <c r="T1466">
        <v>0.1247901</v>
      </c>
      <c r="U1466">
        <v>-6.2286380000000002E-2</v>
      </c>
      <c r="V1466">
        <v>4.1720069999999998E-2</v>
      </c>
      <c r="W1466">
        <v>0.21581349999999999</v>
      </c>
      <c r="X1466">
        <v>0.97554289999999999</v>
      </c>
      <c r="Y1466">
        <v>-1.018996E-2</v>
      </c>
      <c r="Z1466">
        <v>-3.6796540000000002E-4</v>
      </c>
      <c r="AA1466">
        <v>0.99994799999999995</v>
      </c>
      <c r="AB1466">
        <v>35</v>
      </c>
      <c r="AC1466">
        <v>-3.0436100000000001</v>
      </c>
      <c r="AD1466">
        <v>0.1247901</v>
      </c>
      <c r="AE1466">
        <v>-6.2286380000000002E-2</v>
      </c>
      <c r="AF1466">
        <v>-3.0947502775693799E-2</v>
      </c>
      <c r="AG1466">
        <v>0.1247901</v>
      </c>
      <c r="AH1466">
        <v>3.0389828669960801</v>
      </c>
      <c r="AI1466">
        <v>87.648699697887594</v>
      </c>
      <c r="AJ1466">
        <v>90.583451793709699</v>
      </c>
      <c r="AK1466">
        <v>3.0417013631982002</v>
      </c>
      <c r="AL1466">
        <v>77.536741950800206</v>
      </c>
      <c r="AM1466">
        <v>87.551180735699504</v>
      </c>
      <c r="AN1466">
        <v>0.99999999038173204</v>
      </c>
    </row>
    <row r="1467" spans="1:40" x14ac:dyDescent="0.25">
      <c r="A1467" t="str">
        <f>"20190303170749846"</f>
        <v>20190303170749846</v>
      </c>
      <c r="B1467" t="str">
        <f>"1551604069833468"</f>
        <v>1551604069833468</v>
      </c>
      <c r="C1467" t="s">
        <v>40</v>
      </c>
      <c r="D1467">
        <v>4.2438859999999998</v>
      </c>
      <c r="E1467">
        <v>0.48331109999999999</v>
      </c>
      <c r="F1467" t="s">
        <v>45</v>
      </c>
      <c r="G1467">
        <v>0</v>
      </c>
      <c r="H1467">
        <v>0</v>
      </c>
      <c r="I1467">
        <v>0</v>
      </c>
      <c r="J1467">
        <v>-297.6361</v>
      </c>
      <c r="K1467">
        <v>1.12056</v>
      </c>
      <c r="L1467">
        <v>285.21109999999999</v>
      </c>
      <c r="M1467">
        <v>-0.99989879999999998</v>
      </c>
      <c r="N1467">
        <v>-1.0025030000000001E-2</v>
      </c>
      <c r="O1467">
        <v>-1.0108020000000001E-2</v>
      </c>
      <c r="P1467">
        <v>-0.97820379999999996</v>
      </c>
      <c r="Q1467">
        <v>0.20535880000000001</v>
      </c>
      <c r="R1467">
        <v>3.075046E-2</v>
      </c>
      <c r="S1467">
        <v>-3.0434269999999999</v>
      </c>
      <c r="T1467">
        <v>0.122963</v>
      </c>
      <c r="U1467">
        <v>-6.25E-2</v>
      </c>
      <c r="V1467">
        <v>4.0728220000000002E-2</v>
      </c>
      <c r="W1467">
        <v>0.21513409999999999</v>
      </c>
      <c r="X1467">
        <v>0.97573489999999996</v>
      </c>
      <c r="Y1467">
        <v>-1.0430740000000001E-2</v>
      </c>
      <c r="Z1467">
        <v>-3.5114409999999999E-4</v>
      </c>
      <c r="AA1467">
        <v>0.99994550000000004</v>
      </c>
      <c r="AB1467">
        <v>35</v>
      </c>
      <c r="AC1467">
        <v>-3.0434269999999999</v>
      </c>
      <c r="AD1467">
        <v>0.122963</v>
      </c>
      <c r="AE1467">
        <v>-6.25E-2</v>
      </c>
      <c r="AF1467">
        <v>-3.1680551002932399E-2</v>
      </c>
      <c r="AG1467">
        <v>0.122963</v>
      </c>
      <c r="AH1467">
        <v>3.0389446442721799</v>
      </c>
      <c r="AI1467">
        <v>87.683064842849603</v>
      </c>
      <c r="AJ1467">
        <v>90.597278439091895</v>
      </c>
      <c r="AK1467">
        <v>3.0415963091165499</v>
      </c>
      <c r="AL1467">
        <v>77.576605630346293</v>
      </c>
      <c r="AM1467">
        <v>87.609800301467402</v>
      </c>
      <c r="AN1467">
        <v>1.0000000319825899</v>
      </c>
    </row>
    <row r="1468" spans="1:40" x14ac:dyDescent="0.25">
      <c r="A1468" t="str">
        <f>"20190303170749867"</f>
        <v>20190303170749867</v>
      </c>
      <c r="B1468" t="str">
        <f>"1551604069853966"</f>
        <v>1551604069853966</v>
      </c>
      <c r="C1468" t="s">
        <v>40</v>
      </c>
      <c r="D1468">
        <v>4.184501</v>
      </c>
      <c r="E1468">
        <v>0.4830875</v>
      </c>
      <c r="F1468" t="s">
        <v>45</v>
      </c>
      <c r="G1468">
        <v>0</v>
      </c>
      <c r="H1468">
        <v>0</v>
      </c>
      <c r="I1468">
        <v>0</v>
      </c>
      <c r="J1468">
        <v>-297.97840000000002</v>
      </c>
      <c r="K1468">
        <v>1.1205309999999999</v>
      </c>
      <c r="L1468">
        <v>285.20780000000002</v>
      </c>
      <c r="M1468">
        <v>-0.99990190000000001</v>
      </c>
      <c r="N1468">
        <v>-9.9174569999999993E-3</v>
      </c>
      <c r="O1468">
        <v>-9.9021960000000003E-3</v>
      </c>
      <c r="P1468">
        <v>-0.97824290000000003</v>
      </c>
      <c r="Q1468">
        <v>0.20517199999999999</v>
      </c>
      <c r="R1468">
        <v>3.0752140000000001E-2</v>
      </c>
      <c r="S1468">
        <v>-3.0431819999999998</v>
      </c>
      <c r="T1468">
        <v>0.122695899999999</v>
      </c>
      <c r="U1468">
        <v>-6.658936E-2</v>
      </c>
      <c r="V1468">
        <v>4.0536280000000001E-2</v>
      </c>
      <c r="W1468">
        <v>0.21484210000000001</v>
      </c>
      <c r="X1468">
        <v>0.97580719999999999</v>
      </c>
      <c r="Y1468">
        <v>-1.1980019999999999E-2</v>
      </c>
      <c r="Z1468">
        <v>-3.15216E-4</v>
      </c>
      <c r="AA1468">
        <v>0.99992820000000004</v>
      </c>
      <c r="AB1468">
        <v>35</v>
      </c>
      <c r="AC1468">
        <v>-3.0431819999999998</v>
      </c>
      <c r="AD1468">
        <v>0.122695899999999</v>
      </c>
      <c r="AE1468">
        <v>-6.658936E-2</v>
      </c>
      <c r="AF1468">
        <v>-3.6391303459798303E-2</v>
      </c>
      <c r="AG1468">
        <v>0.122695899999999</v>
      </c>
      <c r="AH1468">
        <v>3.0387548691235802</v>
      </c>
      <c r="AI1468">
        <v>87.687988104363896</v>
      </c>
      <c r="AJ1468">
        <v>90.686125903135704</v>
      </c>
      <c r="AK1468">
        <v>3.0414486294308101</v>
      </c>
      <c r="AL1468">
        <v>77.593736232827197</v>
      </c>
      <c r="AM1468">
        <v>87.621227690062895</v>
      </c>
      <c r="AN1468">
        <v>1.00000000475024</v>
      </c>
    </row>
    <row r="1469" spans="1:40" x14ac:dyDescent="0.25">
      <c r="A1469" t="str">
        <f>"20190303170749891"</f>
        <v>20190303170749891</v>
      </c>
      <c r="B1469" t="str">
        <f>"1551604069884221"</f>
        <v>1551604069884221</v>
      </c>
      <c r="C1469" t="s">
        <v>40</v>
      </c>
      <c r="D1469">
        <v>4.1979480000000002</v>
      </c>
      <c r="E1469">
        <v>0.47652850000000002</v>
      </c>
      <c r="F1469" t="s">
        <v>45</v>
      </c>
      <c r="G1469">
        <v>0</v>
      </c>
      <c r="H1469">
        <v>0</v>
      </c>
      <c r="I1469">
        <v>0</v>
      </c>
      <c r="J1469">
        <v>-298.35559999999998</v>
      </c>
      <c r="K1469">
        <v>1.1204989999999999</v>
      </c>
      <c r="L1469">
        <v>285.20429999999999</v>
      </c>
      <c r="M1469">
        <v>-0.9999053</v>
      </c>
      <c r="N1469">
        <v>-9.8078209999999996E-3</v>
      </c>
      <c r="O1469">
        <v>-9.6634660000000008E-3</v>
      </c>
      <c r="P1469">
        <v>-0.97815700000000005</v>
      </c>
      <c r="Q1469">
        <v>0.2055507</v>
      </c>
      <c r="R1469">
        <v>3.0956899999999999E-2</v>
      </c>
      <c r="S1469">
        <v>-3.0429379999999999</v>
      </c>
      <c r="T1469">
        <v>0.1236124</v>
      </c>
      <c r="U1469">
        <v>-6.8298339999999999E-2</v>
      </c>
      <c r="V1469">
        <v>4.0514380000000003E-2</v>
      </c>
      <c r="W1469">
        <v>0.21511130000000001</v>
      </c>
      <c r="X1469">
        <v>0.97574879999999997</v>
      </c>
      <c r="Y1469">
        <v>-1.2780959999999999E-2</v>
      </c>
      <c r="Z1469">
        <v>-2.9029970000000002E-4</v>
      </c>
      <c r="AA1469">
        <v>0.99991830000000004</v>
      </c>
      <c r="AB1469">
        <v>35</v>
      </c>
      <c r="AC1469">
        <v>-3.0429379999999999</v>
      </c>
      <c r="AD1469">
        <v>0.1236124</v>
      </c>
      <c r="AE1469">
        <v>-6.8298339999999999E-2</v>
      </c>
      <c r="AF1469">
        <v>-3.8824375182790298E-2</v>
      </c>
      <c r="AG1469">
        <v>0.1236124</v>
      </c>
      <c r="AH1469">
        <v>3.0384444035744602</v>
      </c>
      <c r="AI1469">
        <v>87.6705224034541</v>
      </c>
      <c r="AJ1469">
        <v>90.732069274076395</v>
      </c>
      <c r="AK1469">
        <v>3.04120564105011</v>
      </c>
      <c r="AL1469">
        <v>77.5779429337436</v>
      </c>
      <c r="AM1469">
        <v>87.6223692299356</v>
      </c>
      <c r="AN1469">
        <v>1.0000000035379499</v>
      </c>
    </row>
    <row r="1470" spans="1:40" x14ac:dyDescent="0.25">
      <c r="A1470" t="str">
        <f>"20190303170749912"</f>
        <v>20190303170749912</v>
      </c>
      <c r="B1470" t="str">
        <f>"1551604069903740"</f>
        <v>1551604069903740</v>
      </c>
      <c r="C1470" t="s">
        <v>40</v>
      </c>
      <c r="D1470">
        <v>4.1380410000000003</v>
      </c>
      <c r="E1470">
        <v>0.47714519999999999</v>
      </c>
      <c r="F1470" t="s">
        <v>70</v>
      </c>
      <c r="G1470">
        <v>-511.9631</v>
      </c>
      <c r="H1470">
        <v>13.58675</v>
      </c>
      <c r="I1470">
        <v>276.91149999999999</v>
      </c>
      <c r="J1470">
        <v>-298.702</v>
      </c>
      <c r="K1470">
        <v>1.1204750000000001</v>
      </c>
      <c r="L1470">
        <v>285.2011</v>
      </c>
      <c r="M1470">
        <v>-0.99990829999999997</v>
      </c>
      <c r="N1470">
        <v>-9.7129529999999999E-3</v>
      </c>
      <c r="O1470">
        <v>-9.4352169999999992E-3</v>
      </c>
      <c r="P1470">
        <v>-0.97806729999999997</v>
      </c>
      <c r="Q1470">
        <v>0.2059079</v>
      </c>
      <c r="R1470">
        <v>3.1408510000000001E-2</v>
      </c>
      <c r="S1470">
        <v>-3.0335079999999999</v>
      </c>
      <c r="T1470">
        <v>0.17703820000000001</v>
      </c>
      <c r="U1470">
        <v>-0.11776730000000001</v>
      </c>
      <c r="V1470">
        <v>4.074825E-2</v>
      </c>
      <c r="W1470">
        <v>0.21537339999999999</v>
      </c>
      <c r="X1470">
        <v>0.97568120000000003</v>
      </c>
      <c r="Y1470">
        <v>-2.934293E-2</v>
      </c>
      <c r="Z1470" s="1">
        <v>7.1061659999999995E-5</v>
      </c>
      <c r="AA1470">
        <v>0.99956940000000005</v>
      </c>
      <c r="AB1470">
        <v>36</v>
      </c>
      <c r="AC1470">
        <v>-213.2611</v>
      </c>
      <c r="AD1470">
        <v>12.466275</v>
      </c>
      <c r="AE1470">
        <v>-8.2896000000000001</v>
      </c>
      <c r="AF1470">
        <v>-6.2556277834608496</v>
      </c>
      <c r="AG1470">
        <v>12.466275</v>
      </c>
      <c r="AH1470">
        <v>212.60444218062901</v>
      </c>
      <c r="AI1470">
        <v>86.645695177356203</v>
      </c>
      <c r="AJ1470">
        <v>91.685372538639399</v>
      </c>
      <c r="AK1470">
        <v>213.06146936102101</v>
      </c>
      <c r="AL1470">
        <v>77.562564751221601</v>
      </c>
      <c r="AM1470">
        <v>87.608494708978299</v>
      </c>
      <c r="AN1470">
        <v>0.99999996266952995</v>
      </c>
    </row>
    <row r="1471" spans="1:40" x14ac:dyDescent="0.25">
      <c r="A1471" t="str">
        <f>"20190303170749933"</f>
        <v>20190303170749933</v>
      </c>
      <c r="B1471" t="str">
        <f>"1551604069924246"</f>
        <v>1551604069924246</v>
      </c>
      <c r="C1471" t="s">
        <v>40</v>
      </c>
      <c r="D1471">
        <v>4.1259370000000004</v>
      </c>
      <c r="E1471">
        <v>0.47823329999999997</v>
      </c>
      <c r="F1471" t="s">
        <v>70</v>
      </c>
      <c r="G1471">
        <v>-511.9631</v>
      </c>
      <c r="H1471">
        <v>13.449949999999999</v>
      </c>
      <c r="I1471">
        <v>277.35199999999998</v>
      </c>
      <c r="J1471">
        <v>-299.03039999999999</v>
      </c>
      <c r="K1471">
        <v>1.1204529999999999</v>
      </c>
      <c r="L1471">
        <v>285.19819999999999</v>
      </c>
      <c r="M1471">
        <v>-0.9999112</v>
      </c>
      <c r="N1471">
        <v>-9.628536E-3</v>
      </c>
      <c r="O1471">
        <v>-9.2137239999999995E-3</v>
      </c>
      <c r="P1471">
        <v>-0.97821239999999998</v>
      </c>
      <c r="Q1471">
        <v>0.20511570000000001</v>
      </c>
      <c r="R1471">
        <v>3.2064519999999999E-2</v>
      </c>
      <c r="S1471">
        <v>-3.0339360000000002</v>
      </c>
      <c r="T1471">
        <v>0.1754049</v>
      </c>
      <c r="U1471">
        <v>-0.11166379999999999</v>
      </c>
      <c r="V1471">
        <v>4.1193239999999999E-2</v>
      </c>
      <c r="W1471">
        <v>0.21449979999999999</v>
      </c>
      <c r="X1471">
        <v>0.97585500000000003</v>
      </c>
      <c r="Y1471">
        <v>-2.75532E-2</v>
      </c>
      <c r="Z1471" s="1">
        <v>4.2125120000000002E-5</v>
      </c>
      <c r="AA1471">
        <v>0.99962030000000002</v>
      </c>
      <c r="AB1471">
        <v>36</v>
      </c>
      <c r="AC1471">
        <v>-212.93270000000001</v>
      </c>
      <c r="AD1471">
        <v>12.329497</v>
      </c>
      <c r="AE1471">
        <v>-7.8461999999999499</v>
      </c>
      <c r="AF1471">
        <v>-5.8642379689705804</v>
      </c>
      <c r="AG1471">
        <v>12.329497</v>
      </c>
      <c r="AH1471">
        <v>212.28517489310599</v>
      </c>
      <c r="AI1471">
        <v>86.677267070907803</v>
      </c>
      <c r="AJ1471">
        <v>91.582355707544707</v>
      </c>
      <c r="AK1471">
        <v>212.72376750759801</v>
      </c>
      <c r="AL1471">
        <v>77.613816844091801</v>
      </c>
      <c r="AM1471">
        <v>87.582839232855093</v>
      </c>
      <c r="AN1471">
        <v>1.00000001412336</v>
      </c>
    </row>
    <row r="1472" spans="1:40" x14ac:dyDescent="0.25">
      <c r="A1472" t="str">
        <f>"20190303170749956"</f>
        <v>20190303170749956</v>
      </c>
      <c r="B1472" t="str">
        <f>"1551604069943756"</f>
        <v>1551604069943756</v>
      </c>
      <c r="C1472" t="s">
        <v>40</v>
      </c>
      <c r="D1472">
        <v>4.1177400000000004</v>
      </c>
      <c r="E1472">
        <v>0.478626</v>
      </c>
      <c r="F1472" t="s">
        <v>70</v>
      </c>
      <c r="G1472">
        <v>-511.96289999999999</v>
      </c>
      <c r="H1472">
        <v>12.85073</v>
      </c>
      <c r="I1472">
        <v>278.1028</v>
      </c>
      <c r="J1472">
        <v>-299.39269999999999</v>
      </c>
      <c r="K1472">
        <v>1.120422</v>
      </c>
      <c r="L1472">
        <v>285.19510000000002</v>
      </c>
      <c r="M1472">
        <v>-0.99991439999999998</v>
      </c>
      <c r="N1472">
        <v>-9.5388480000000008E-3</v>
      </c>
      <c r="O1472">
        <v>-8.9636170000000001E-3</v>
      </c>
      <c r="P1472">
        <v>-0.97833289999999995</v>
      </c>
      <c r="Q1472">
        <v>0.2043624</v>
      </c>
      <c r="R1472">
        <v>3.3180580000000001E-2</v>
      </c>
      <c r="S1472">
        <v>-3.0350649999999999</v>
      </c>
      <c r="T1472">
        <v>0.16720019999999999</v>
      </c>
      <c r="U1472">
        <v>-0.1011353</v>
      </c>
      <c r="V1472">
        <v>4.2069349999999998E-2</v>
      </c>
      <c r="W1472">
        <v>0.21365809999999999</v>
      </c>
      <c r="X1472">
        <v>0.97600220000000004</v>
      </c>
      <c r="Y1472">
        <v>-2.433163E-2</v>
      </c>
      <c r="Z1472" s="1">
        <v>-2.5315789999999998E-5</v>
      </c>
      <c r="AA1472">
        <v>0.99970389999999998</v>
      </c>
      <c r="AB1472">
        <v>36</v>
      </c>
      <c r="AC1472">
        <v>-212.5702</v>
      </c>
      <c r="AD1472">
        <v>11.730308000000001</v>
      </c>
      <c r="AE1472">
        <v>-7.0923000000000203</v>
      </c>
      <c r="AF1472">
        <v>-5.1708020803897696</v>
      </c>
      <c r="AG1472">
        <v>11.730308000000001</v>
      </c>
      <c r="AH1472">
        <v>211.98043255253</v>
      </c>
      <c r="AI1472">
        <v>86.833608106139295</v>
      </c>
      <c r="AJ1472">
        <v>91.397328956565104</v>
      </c>
      <c r="AK1472">
        <v>212.36770259407899</v>
      </c>
      <c r="AL1472">
        <v>77.663186537809693</v>
      </c>
      <c r="AM1472">
        <v>87.531865113625699</v>
      </c>
      <c r="AN1472">
        <v>0.99999995415493503</v>
      </c>
    </row>
    <row r="1473" spans="1:40" x14ac:dyDescent="0.25">
      <c r="A1473" t="str">
        <f>"20190303170749978"</f>
        <v>20190303170749978</v>
      </c>
      <c r="B1473" t="str">
        <f>"1551604069964252"</f>
        <v>1551604069964252</v>
      </c>
      <c r="C1473" t="s">
        <v>40</v>
      </c>
      <c r="D1473">
        <v>3.9885269999999999</v>
      </c>
      <c r="E1473">
        <v>0.47928739999999997</v>
      </c>
      <c r="F1473" t="s">
        <v>70</v>
      </c>
      <c r="G1473">
        <v>-511.96280000000002</v>
      </c>
      <c r="H1473">
        <v>12.464259999999999</v>
      </c>
      <c r="I1473">
        <v>278.58569999999997</v>
      </c>
      <c r="J1473">
        <v>-299.7518</v>
      </c>
      <c r="K1473">
        <v>1.120398</v>
      </c>
      <c r="L1473">
        <v>285.19209999999998</v>
      </c>
      <c r="M1473">
        <v>-0.99991739999999996</v>
      </c>
      <c r="N1473">
        <v>-9.4526320000000007E-3</v>
      </c>
      <c r="O1473">
        <v>-8.7104399999999998E-3</v>
      </c>
      <c r="P1473">
        <v>-0.97838369999999997</v>
      </c>
      <c r="Q1473">
        <v>0.2038942</v>
      </c>
      <c r="R1473">
        <v>3.4532920000000002E-2</v>
      </c>
      <c r="S1473">
        <v>-3.0357970000000001</v>
      </c>
      <c r="T1473">
        <v>0.16200690000000001</v>
      </c>
      <c r="U1473">
        <v>-9.4390870000000002E-2</v>
      </c>
      <c r="V1473">
        <v>4.3177519999999997E-2</v>
      </c>
      <c r="W1473">
        <v>0.21310519999999999</v>
      </c>
      <c r="X1473">
        <v>0.97607480000000002</v>
      </c>
      <c r="Y1473">
        <v>-2.2360809999999998E-2</v>
      </c>
      <c r="Z1473" s="1">
        <v>-5.6321559999999997E-5</v>
      </c>
      <c r="AA1473">
        <v>0.99975000000000003</v>
      </c>
      <c r="AB1473">
        <v>36</v>
      </c>
      <c r="AC1473">
        <v>-212.21099999999899</v>
      </c>
      <c r="AD1473">
        <v>11.343862</v>
      </c>
      <c r="AE1473">
        <v>-6.6063999999999998</v>
      </c>
      <c r="AF1473">
        <v>-4.7440725545516402</v>
      </c>
      <c r="AG1473">
        <v>11.343862</v>
      </c>
      <c r="AH1473">
        <v>211.65627393446101</v>
      </c>
      <c r="AI1473">
        <v>86.9328978245033</v>
      </c>
      <c r="AJ1473">
        <v>91.284014996145402</v>
      </c>
      <c r="AK1473">
        <v>212.01313102092899</v>
      </c>
      <c r="AL1473">
        <v>77.695613619532296</v>
      </c>
      <c r="AM1473">
        <v>87.467122487144593</v>
      </c>
      <c r="AN1473">
        <v>1.0000000698477101</v>
      </c>
    </row>
    <row r="1474" spans="1:40" x14ac:dyDescent="0.25">
      <c r="A1474" t="str">
        <f>"20190303170750002"</f>
        <v>20190303170750002</v>
      </c>
      <c r="B1474" t="str">
        <f>"1551604069994508"</f>
        <v>1551604069994508</v>
      </c>
      <c r="C1474" t="s">
        <v>40</v>
      </c>
      <c r="D1474">
        <v>4.0025930000000001</v>
      </c>
      <c r="E1474">
        <v>0.4793056</v>
      </c>
      <c r="F1474" t="s">
        <v>70</v>
      </c>
      <c r="G1474">
        <v>-511.96269999999998</v>
      </c>
      <c r="H1474">
        <v>12.38406</v>
      </c>
      <c r="I1474">
        <v>279.25080000000003</v>
      </c>
      <c r="J1474">
        <v>-300.12569999999999</v>
      </c>
      <c r="K1474">
        <v>1.120376</v>
      </c>
      <c r="L1474">
        <v>285.1891</v>
      </c>
      <c r="M1474">
        <v>-0.99992049999999999</v>
      </c>
      <c r="N1474">
        <v>-9.3690720000000009E-3</v>
      </c>
      <c r="O1474">
        <v>-8.4424979999999997E-3</v>
      </c>
      <c r="P1474">
        <v>-0.97832070000000004</v>
      </c>
      <c r="Q1474">
        <v>0.20393910000000001</v>
      </c>
      <c r="R1474">
        <v>3.6022940000000003E-2</v>
      </c>
      <c r="S1474">
        <v>-3.0357059999999998</v>
      </c>
      <c r="T1474">
        <v>0.1611292</v>
      </c>
      <c r="U1474">
        <v>-8.4991460000000005E-2</v>
      </c>
      <c r="V1474">
        <v>4.4408860000000001E-2</v>
      </c>
      <c r="W1474">
        <v>0.21306649999999999</v>
      </c>
      <c r="X1474">
        <v>0.97602789999999995</v>
      </c>
      <c r="Y1474">
        <v>-1.9539560000000001E-2</v>
      </c>
      <c r="Z1474">
        <v>-1.002254E-4</v>
      </c>
      <c r="AA1474">
        <v>0.99980910000000001</v>
      </c>
      <c r="AB1474">
        <v>36</v>
      </c>
      <c r="AC1474">
        <v>-211.83699999999999</v>
      </c>
      <c r="AD1474">
        <v>11.263684</v>
      </c>
      <c r="AE1474">
        <v>-5.9382999999999697</v>
      </c>
      <c r="AF1474">
        <v>-4.1378869878970903</v>
      </c>
      <c r="AG1474">
        <v>11.263684</v>
      </c>
      <c r="AH1474">
        <v>211.28271557169299</v>
      </c>
      <c r="AI1474">
        <v>86.948979813599394</v>
      </c>
      <c r="AJ1474">
        <v>91.121971360551001</v>
      </c>
      <c r="AK1474">
        <v>211.62319954420201</v>
      </c>
      <c r="AL1474">
        <v>77.697881851797803</v>
      </c>
      <c r="AM1474">
        <v>87.394862805339599</v>
      </c>
      <c r="AN1474">
        <v>0.99999997092357895</v>
      </c>
    </row>
    <row r="1475" spans="1:40" x14ac:dyDescent="0.25">
      <c r="A1475" t="str">
        <f>"20190303170750023"</f>
        <v>20190303170750023</v>
      </c>
      <c r="B1475" t="str">
        <f>"1551604070014031"</f>
        <v>1551604070014031</v>
      </c>
      <c r="C1475" t="s">
        <v>40</v>
      </c>
      <c r="D1475">
        <v>3.9973179999999999</v>
      </c>
      <c r="E1475">
        <v>0.47932659999999999</v>
      </c>
      <c r="F1475" t="s">
        <v>70</v>
      </c>
      <c r="G1475">
        <v>-551.06669999999997</v>
      </c>
      <c r="H1475">
        <v>14.5171799999999</v>
      </c>
      <c r="I1475">
        <v>278.53919999999999</v>
      </c>
      <c r="J1475">
        <v>-300.47539999999998</v>
      </c>
      <c r="K1475">
        <v>1.1203590000000001</v>
      </c>
      <c r="L1475">
        <v>285.18639999999999</v>
      </c>
      <c r="M1475">
        <v>-0.99992329999999996</v>
      </c>
      <c r="N1475">
        <v>-9.2960730000000002E-3</v>
      </c>
      <c r="O1475">
        <v>-8.1888029999999997E-3</v>
      </c>
      <c r="P1475">
        <v>-0.97840970000000005</v>
      </c>
      <c r="Q1475">
        <v>0.20338719999999999</v>
      </c>
      <c r="R1475">
        <v>3.6718470000000003E-2</v>
      </c>
      <c r="S1475">
        <v>-3.0356450000000001</v>
      </c>
      <c r="T1475">
        <v>0.1620625</v>
      </c>
      <c r="U1475">
        <v>-8.0444340000000003E-2</v>
      </c>
      <c r="V1475">
        <v>4.4859879999999998E-2</v>
      </c>
      <c r="W1475">
        <v>0.2124431</v>
      </c>
      <c r="X1475">
        <v>0.97614319999999999</v>
      </c>
      <c r="Y1475">
        <v>-1.8298020000000002E-2</v>
      </c>
      <c r="Z1475">
        <v>-1.099355E-4</v>
      </c>
      <c r="AA1475">
        <v>0.99983259999999996</v>
      </c>
      <c r="AB1475">
        <v>36</v>
      </c>
      <c r="AC1475">
        <v>-250.59129999999999</v>
      </c>
      <c r="AD1475">
        <v>13.3968209999999</v>
      </c>
      <c r="AE1475">
        <v>-6.64719999999999</v>
      </c>
      <c r="AF1475">
        <v>-4.5817599857522202</v>
      </c>
      <c r="AG1475">
        <v>13.3968209999999</v>
      </c>
      <c r="AH1475">
        <v>249.92353767914301</v>
      </c>
      <c r="AI1475">
        <v>86.932186492936793</v>
      </c>
      <c r="AJ1475">
        <v>91.050265649383405</v>
      </c>
      <c r="AK1475">
        <v>250.324273740145</v>
      </c>
      <c r="AL1475">
        <v>77.734437475856893</v>
      </c>
      <c r="AM1475">
        <v>87.368752223646396</v>
      </c>
      <c r="AN1475">
        <v>1.0000000132387299</v>
      </c>
    </row>
    <row r="1476" spans="1:40" x14ac:dyDescent="0.25">
      <c r="A1476" t="str">
        <f>"20190303170750046"</f>
        <v>20190303170750046</v>
      </c>
      <c r="B1476" t="str">
        <f>"1551604070033548"</f>
        <v>1551604070033548</v>
      </c>
      <c r="C1476" t="s">
        <v>40</v>
      </c>
      <c r="D1476">
        <v>4.0292130000000004</v>
      </c>
      <c r="E1476">
        <v>0.47931269999999998</v>
      </c>
      <c r="F1476" t="s">
        <v>70</v>
      </c>
      <c r="G1476">
        <v>-551.06669999999997</v>
      </c>
      <c r="H1476">
        <v>14.43033</v>
      </c>
      <c r="I1476">
        <v>278.7371</v>
      </c>
      <c r="J1476">
        <v>-300.82920000000001</v>
      </c>
      <c r="K1476">
        <v>1.1203399999999999</v>
      </c>
      <c r="L1476">
        <v>285.18369999999999</v>
      </c>
      <c r="M1476">
        <v>-0.99992599999999998</v>
      </c>
      <c r="N1476">
        <v>-9.2267630000000007E-3</v>
      </c>
      <c r="O1476">
        <v>-7.929653E-3</v>
      </c>
      <c r="P1476">
        <v>-0.97850599999999999</v>
      </c>
      <c r="Q1476">
        <v>0.20288490000000001</v>
      </c>
      <c r="R1476">
        <v>3.692488E-2</v>
      </c>
      <c r="S1476">
        <v>-3.0355829999999999</v>
      </c>
      <c r="T1476">
        <v>0.16123370000000001</v>
      </c>
      <c r="U1476">
        <v>-7.8125E-2</v>
      </c>
      <c r="V1476">
        <v>4.4815609999999999E-2</v>
      </c>
      <c r="W1476">
        <v>0.2118737</v>
      </c>
      <c r="X1476">
        <v>0.9762689</v>
      </c>
      <c r="Y1476">
        <v>-1.779439E-2</v>
      </c>
      <c r="Z1476">
        <v>-1.0389189999999999E-4</v>
      </c>
      <c r="AA1476">
        <v>0.99984170000000006</v>
      </c>
      <c r="AB1476">
        <v>36</v>
      </c>
      <c r="AC1476">
        <v>-250.23749999999899</v>
      </c>
      <c r="AD1476">
        <v>13.309990000000001</v>
      </c>
      <c r="AE1476">
        <v>-6.4465999999999797</v>
      </c>
      <c r="AF1476">
        <v>-4.4494366842517099</v>
      </c>
      <c r="AG1476">
        <v>13.309990000000001</v>
      </c>
      <c r="AH1476">
        <v>249.57514468557301</v>
      </c>
      <c r="AI1476">
        <v>86.947758260793904</v>
      </c>
      <c r="AJ1476">
        <v>91.021363482967203</v>
      </c>
      <c r="AK1476">
        <v>249.96941045942401</v>
      </c>
      <c r="AL1476">
        <v>77.767820694811107</v>
      </c>
      <c r="AM1476">
        <v>87.371683207298602</v>
      </c>
      <c r="AN1476">
        <v>0.99999993437928303</v>
      </c>
    </row>
    <row r="1477" spans="1:40" x14ac:dyDescent="0.25">
      <c r="A1477" t="str">
        <f>"20190303170750069"</f>
        <v>20190303170750069</v>
      </c>
      <c r="B1477" t="str">
        <f>"1551604070054044"</f>
        <v>1551604070054044</v>
      </c>
      <c r="C1477" t="s">
        <v>40</v>
      </c>
      <c r="D1477">
        <v>3.9601419999999998</v>
      </c>
      <c r="E1477">
        <v>0.4805297</v>
      </c>
      <c r="F1477" t="s">
        <v>70</v>
      </c>
      <c r="G1477">
        <v>-551.06659999999999</v>
      </c>
      <c r="H1477">
        <v>14.30495</v>
      </c>
      <c r="I1477">
        <v>278.82920000000001</v>
      </c>
      <c r="J1477">
        <v>-301.202</v>
      </c>
      <c r="K1477">
        <v>1.120322</v>
      </c>
      <c r="L1477">
        <v>285.18099999999998</v>
      </c>
      <c r="M1477">
        <v>-0.99992879999999995</v>
      </c>
      <c r="N1477">
        <v>-9.1599699999999999E-3</v>
      </c>
      <c r="O1477">
        <v>-7.654788E-3</v>
      </c>
      <c r="P1477">
        <v>-0.97856679999999996</v>
      </c>
      <c r="Q1477">
        <v>0.20251659999999999</v>
      </c>
      <c r="R1477">
        <v>3.7337530000000001E-2</v>
      </c>
      <c r="S1477">
        <v>-3.0356749999999999</v>
      </c>
      <c r="T1477">
        <v>0.1599457</v>
      </c>
      <c r="U1477">
        <v>-7.7087399999999903E-2</v>
      </c>
      <c r="V1477">
        <v>4.4962130000000003E-2</v>
      </c>
      <c r="W1477">
        <v>0.2114403</v>
      </c>
      <c r="X1477">
        <v>0.97635620000000001</v>
      </c>
      <c r="Y1477">
        <v>-1.772659E-2</v>
      </c>
      <c r="Z1477" s="1">
        <v>-8.7668829999999897E-5</v>
      </c>
      <c r="AA1477">
        <v>0.99984289999999998</v>
      </c>
      <c r="AB1477">
        <v>36</v>
      </c>
      <c r="AC1477">
        <v>-249.8646</v>
      </c>
      <c r="AD1477">
        <v>13.184628</v>
      </c>
      <c r="AE1477">
        <v>-6.3517999999999599</v>
      </c>
      <c r="AF1477">
        <v>-4.4265560092066698</v>
      </c>
      <c r="AG1477">
        <v>13.184628</v>
      </c>
      <c r="AH1477">
        <v>249.21245197676001</v>
      </c>
      <c r="AI1477">
        <v>86.972056936968997</v>
      </c>
      <c r="AJ1477">
        <v>91.017590846217999</v>
      </c>
      <c r="AK1477">
        <v>249.600230436331</v>
      </c>
      <c r="AL1477">
        <v>77.793229277681107</v>
      </c>
      <c r="AM1477">
        <v>87.363337749451404</v>
      </c>
      <c r="AN1477">
        <v>1.0000000114383301</v>
      </c>
    </row>
    <row r="1478" spans="1:40" x14ac:dyDescent="0.25">
      <c r="A1478" t="str">
        <f>"20190303170750091"</f>
        <v>20190303170750091</v>
      </c>
      <c r="B1478" t="str">
        <f>"1551604070084301"</f>
        <v>1551604070084301</v>
      </c>
      <c r="C1478" t="s">
        <v>40</v>
      </c>
      <c r="D1478">
        <v>3.926898</v>
      </c>
      <c r="E1478">
        <v>0.48969699999999999</v>
      </c>
      <c r="F1478" t="s">
        <v>45</v>
      </c>
      <c r="G1478">
        <v>0</v>
      </c>
      <c r="H1478">
        <v>0</v>
      </c>
      <c r="I1478">
        <v>0</v>
      </c>
      <c r="J1478">
        <v>-301.55869999999999</v>
      </c>
      <c r="K1478">
        <v>1.120309</v>
      </c>
      <c r="L1478">
        <v>285.17849999999999</v>
      </c>
      <c r="M1478">
        <v>-0.99993120000000002</v>
      </c>
      <c r="N1478">
        <v>-9.1041349999999993E-3</v>
      </c>
      <c r="O1478">
        <v>-7.3904729999999998E-3</v>
      </c>
      <c r="P1478">
        <v>-0.97861200000000004</v>
      </c>
      <c r="Q1478">
        <v>0.20228399999999999</v>
      </c>
      <c r="R1478">
        <v>3.7410840000000001E-2</v>
      </c>
      <c r="S1478">
        <v>-3.0386959999999998</v>
      </c>
      <c r="T1478">
        <v>0.14273849999999999</v>
      </c>
      <c r="U1478">
        <v>-6.6986080000000003E-2</v>
      </c>
      <c r="V1478">
        <v>4.4778829999999999E-2</v>
      </c>
      <c r="W1478">
        <v>0.21115310000000001</v>
      </c>
      <c r="X1478">
        <v>0.97642680000000004</v>
      </c>
      <c r="Y1478">
        <v>-1.464801E-2</v>
      </c>
      <c r="Z1478">
        <v>-1.370632E-4</v>
      </c>
      <c r="AA1478">
        <v>0.99989269999999997</v>
      </c>
      <c r="AB1478">
        <v>36</v>
      </c>
      <c r="AC1478">
        <v>-3.0386959999999998</v>
      </c>
      <c r="AD1478">
        <v>0.14273849999999999</v>
      </c>
      <c r="AE1478">
        <v>-6.6986080000000003E-2</v>
      </c>
      <c r="AF1478">
        <v>-4.4427934464419498E-2</v>
      </c>
      <c r="AG1478">
        <v>0.14273849999999999</v>
      </c>
      <c r="AH1478">
        <v>3.03242024183854</v>
      </c>
      <c r="AI1478">
        <v>87.305318787623307</v>
      </c>
      <c r="AJ1478">
        <v>90.839379381410495</v>
      </c>
      <c r="AK1478">
        <v>3.0361028710923401</v>
      </c>
      <c r="AL1478">
        <v>77.810065034861097</v>
      </c>
      <c r="AM1478">
        <v>87.374261323587007</v>
      </c>
      <c r="AN1478">
        <v>1.000000035507</v>
      </c>
    </row>
    <row r="1479" spans="1:40" x14ac:dyDescent="0.25">
      <c r="A1479" t="str">
        <f>"20190303170750113"</f>
        <v>20190303170750113</v>
      </c>
      <c r="B1479" t="str">
        <f>"1551604070103820"</f>
        <v>1551604070103820</v>
      </c>
      <c r="C1479" t="s">
        <v>40</v>
      </c>
      <c r="D1479">
        <v>3.9036309999999999</v>
      </c>
      <c r="E1479">
        <v>0.4890929</v>
      </c>
      <c r="F1479" t="s">
        <v>63</v>
      </c>
      <c r="G1479">
        <v>-362.06799999999998</v>
      </c>
      <c r="H1479" s="1">
        <v>-4.3628879999999999E-7</v>
      </c>
      <c r="I1479">
        <v>285.1053</v>
      </c>
      <c r="J1479">
        <v>-301.91559999999998</v>
      </c>
      <c r="K1479">
        <v>1.120295</v>
      </c>
      <c r="L1479">
        <v>285.17610000000002</v>
      </c>
      <c r="M1479">
        <v>-0.99993370000000004</v>
      </c>
      <c r="N1479">
        <v>-9.0552719999999996E-3</v>
      </c>
      <c r="O1479">
        <v>-7.125719E-3</v>
      </c>
      <c r="P1479">
        <v>-0.97852950000000005</v>
      </c>
      <c r="Q1479">
        <v>0.20272019999999999</v>
      </c>
      <c r="R1479">
        <v>3.7214259999999999E-2</v>
      </c>
      <c r="S1479">
        <v>-3.0774840000000001</v>
      </c>
      <c r="T1479">
        <v>-5.6978580000000001E-2</v>
      </c>
      <c r="U1479">
        <v>-3.7231450000000002E-3</v>
      </c>
      <c r="V1479">
        <v>4.432432E-2</v>
      </c>
      <c r="W1479">
        <v>0.2115409</v>
      </c>
      <c r="X1479">
        <v>0.97636350000000005</v>
      </c>
      <c r="Y1479">
        <v>5.9144089999999998E-3</v>
      </c>
      <c r="Z1479">
        <v>1.4892289999999999E-4</v>
      </c>
      <c r="AA1479">
        <v>0.9999825</v>
      </c>
      <c r="AB1479">
        <v>36</v>
      </c>
      <c r="AC1479">
        <v>-60.1524</v>
      </c>
      <c r="AD1479">
        <v>-1.1202954362888</v>
      </c>
      <c r="AE1479">
        <v>-7.0800000000019694E-2</v>
      </c>
      <c r="AF1479">
        <v>0.35772435192298002</v>
      </c>
      <c r="AG1479">
        <v>-1.1202954362888</v>
      </c>
      <c r="AH1479">
        <v>60.130520148761697</v>
      </c>
      <c r="AI1479">
        <v>91.067338837456006</v>
      </c>
      <c r="AJ1479">
        <v>89.659143913136106</v>
      </c>
      <c r="AK1479">
        <v>60.142019270533098</v>
      </c>
      <c r="AL1479">
        <v>77.787331049934394</v>
      </c>
      <c r="AM1479">
        <v>87.400707845934093</v>
      </c>
      <c r="AN1479">
        <v>0.99999994092425903</v>
      </c>
    </row>
    <row r="1480" spans="1:40" x14ac:dyDescent="0.25">
      <c r="A1480" t="str">
        <f>"20190303170750135"</f>
        <v>20190303170750135</v>
      </c>
      <c r="B1480" t="str">
        <f>"1551604070124316"</f>
        <v>1551604070124316</v>
      </c>
      <c r="C1480" t="s">
        <v>40</v>
      </c>
      <c r="D1480">
        <v>3.8985349999999999</v>
      </c>
      <c r="E1480">
        <v>0.48897639999999998</v>
      </c>
      <c r="F1480" t="s">
        <v>63</v>
      </c>
      <c r="G1480">
        <v>-365.74029999999999</v>
      </c>
      <c r="H1480" s="1">
        <v>1.517928E-6</v>
      </c>
      <c r="I1480">
        <v>284.98239999999998</v>
      </c>
      <c r="J1480">
        <v>-302.2672</v>
      </c>
      <c r="K1480">
        <v>1.120288</v>
      </c>
      <c r="L1480">
        <v>285.17380000000003</v>
      </c>
      <c r="M1480">
        <v>-0.99993589999999999</v>
      </c>
      <c r="N1480">
        <v>-9.0156790000000004E-3</v>
      </c>
      <c r="O1480">
        <v>-6.8647059999999999E-3</v>
      </c>
      <c r="P1480">
        <v>-0.97854289999999999</v>
      </c>
      <c r="Q1480">
        <v>0.2026375</v>
      </c>
      <c r="R1480">
        <v>3.7309450000000001E-2</v>
      </c>
      <c r="S1480">
        <v>-3.0773619999999999</v>
      </c>
      <c r="T1480">
        <v>-5.4015870000000001E-2</v>
      </c>
      <c r="U1480">
        <v>-9.3383790000000008E-3</v>
      </c>
      <c r="V1480">
        <v>4.4165339999999997E-2</v>
      </c>
      <c r="W1480">
        <v>0.21141979999999999</v>
      </c>
      <c r="X1480">
        <v>0.97639699999999996</v>
      </c>
      <c r="Y1480">
        <v>3.829355E-3</v>
      </c>
      <c r="Z1480">
        <v>1.094635E-4</v>
      </c>
      <c r="AA1480">
        <v>0.99999269999999996</v>
      </c>
      <c r="AB1480">
        <v>36</v>
      </c>
      <c r="AC1480">
        <v>-63.473099999999903</v>
      </c>
      <c r="AD1480">
        <v>-1.120286482072</v>
      </c>
      <c r="AE1480">
        <v>-0.19140000000004401</v>
      </c>
      <c r="AF1480">
        <v>0.24427025101462799</v>
      </c>
      <c r="AG1480">
        <v>-1.120286482072</v>
      </c>
      <c r="AH1480">
        <v>63.453151839806402</v>
      </c>
      <c r="AI1480">
        <v>91.011463447614403</v>
      </c>
      <c r="AJ1480">
        <v>89.779434355864694</v>
      </c>
      <c r="AK1480">
        <v>63.463510682619599</v>
      </c>
      <c r="AL1480">
        <v>77.794430933051103</v>
      </c>
      <c r="AM1480">
        <v>87.410106865064904</v>
      </c>
      <c r="AN1480">
        <v>1.00000000534917</v>
      </c>
    </row>
    <row r="1481" spans="1:40" x14ac:dyDescent="0.25">
      <c r="A1481" t="str">
        <f>"20190303170750157"</f>
        <v>20190303170750157</v>
      </c>
      <c r="B1481" t="str">
        <f>"1551604070143837"</f>
        <v>1551604070143837</v>
      </c>
      <c r="C1481" t="s">
        <v>40</v>
      </c>
      <c r="D1481">
        <v>3.8802180000000002</v>
      </c>
      <c r="E1481">
        <v>0.48905270000000001</v>
      </c>
      <c r="F1481" t="s">
        <v>63</v>
      </c>
      <c r="G1481">
        <v>-366.48559999999998</v>
      </c>
      <c r="H1481" s="1">
        <v>1.9145449999999998E-6</v>
      </c>
      <c r="I1481">
        <v>284.94959999999998</v>
      </c>
      <c r="J1481">
        <v>-302.62979999999999</v>
      </c>
      <c r="K1481">
        <v>1.12029</v>
      </c>
      <c r="L1481">
        <v>285.17160000000001</v>
      </c>
      <c r="M1481">
        <v>-0.99993790000000005</v>
      </c>
      <c r="N1481">
        <v>-8.9910069999999901E-3</v>
      </c>
      <c r="O1481">
        <v>-6.5952939999999998E-3</v>
      </c>
      <c r="P1481">
        <v>-0.97856100000000001</v>
      </c>
      <c r="Q1481">
        <v>0.20246749999999999</v>
      </c>
      <c r="R1481">
        <v>3.775212E-2</v>
      </c>
      <c r="S1481">
        <v>-3.0773009999999998</v>
      </c>
      <c r="T1481">
        <v>-5.368328E-2</v>
      </c>
      <c r="U1481">
        <v>-1.074219E-2</v>
      </c>
      <c r="V1481">
        <v>4.4345429999999998E-2</v>
      </c>
      <c r="W1481">
        <v>0.21122540000000001</v>
      </c>
      <c r="X1481">
        <v>0.97643089999999999</v>
      </c>
      <c r="Y1481">
        <v>3.1038839999999999E-3</v>
      </c>
      <c r="Z1481" s="1">
        <v>9.6773499999999998E-5</v>
      </c>
      <c r="AA1481">
        <v>0.99999519999999997</v>
      </c>
      <c r="AB1481">
        <v>36</v>
      </c>
      <c r="AC1481">
        <v>-63.855799999999903</v>
      </c>
      <c r="AD1481">
        <v>-1.1202880854549999</v>
      </c>
      <c r="AE1481">
        <v>-0.222000000000036</v>
      </c>
      <c r="AF1481">
        <v>0.19910831388146499</v>
      </c>
      <c r="AG1481">
        <v>-1.1202880854549999</v>
      </c>
      <c r="AH1481">
        <v>63.836227184285001</v>
      </c>
      <c r="AI1481">
        <v>91.005398995249195</v>
      </c>
      <c r="AJ1481">
        <v>89.821292241718297</v>
      </c>
      <c r="AK1481">
        <v>63.846367090373398</v>
      </c>
      <c r="AL1481">
        <v>77.8058264549732</v>
      </c>
      <c r="AM1481">
        <v>87.399650860292695</v>
      </c>
      <c r="AN1481">
        <v>0.99999999462092704</v>
      </c>
    </row>
    <row r="1482" spans="1:40" x14ac:dyDescent="0.25">
      <c r="A1482" t="str">
        <f>"20190303170750179"</f>
        <v>20190303170750179</v>
      </c>
      <c r="B1482" t="str">
        <f>"1551604070174092"</f>
        <v>1551604070174092</v>
      </c>
      <c r="C1482" t="s">
        <v>40</v>
      </c>
      <c r="D1482">
        <v>3.9013070000000001</v>
      </c>
      <c r="E1482">
        <v>0.48893039999999999</v>
      </c>
      <c r="F1482" t="s">
        <v>63</v>
      </c>
      <c r="G1482">
        <v>-368.42180000000002</v>
      </c>
      <c r="H1482" s="1">
        <v>2.9448979999999999E-6</v>
      </c>
      <c r="I1482">
        <v>284.98689999999999</v>
      </c>
      <c r="J1482">
        <v>-303.00259999999997</v>
      </c>
      <c r="K1482">
        <v>1.1202920000000001</v>
      </c>
      <c r="L1482">
        <v>285.1694</v>
      </c>
      <c r="M1482">
        <v>-0.99993989999999999</v>
      </c>
      <c r="N1482">
        <v>-8.9820190000000008E-3</v>
      </c>
      <c r="O1482">
        <v>-6.3185580000000002E-3</v>
      </c>
      <c r="P1482">
        <v>-0.9785625</v>
      </c>
      <c r="Q1482">
        <v>0.20239380000000001</v>
      </c>
      <c r="R1482">
        <v>3.8111350000000002E-2</v>
      </c>
      <c r="S1482">
        <v>-3.0769039999999999</v>
      </c>
      <c r="T1482">
        <v>-5.23925999999999E-2</v>
      </c>
      <c r="U1482">
        <v>-8.6364749999999994E-3</v>
      </c>
      <c r="V1482">
        <v>4.4434929999999997E-2</v>
      </c>
      <c r="W1482">
        <v>0.21114340000000001</v>
      </c>
      <c r="X1482">
        <v>0.9764446</v>
      </c>
      <c r="Y1482">
        <v>3.5110010000000001E-3</v>
      </c>
      <c r="Z1482" s="1">
        <v>9.6488739999999999E-5</v>
      </c>
      <c r="AA1482">
        <v>0.99999389999999999</v>
      </c>
      <c r="AB1482">
        <v>36</v>
      </c>
      <c r="AC1482">
        <v>-65.419200000000004</v>
      </c>
      <c r="AD1482">
        <v>-1.1202890551019999</v>
      </c>
      <c r="AE1482">
        <v>-0.18250000000000399</v>
      </c>
      <c r="AF1482">
        <v>0.23080755876845599</v>
      </c>
      <c r="AG1482">
        <v>-1.1202890551019999</v>
      </c>
      <c r="AH1482">
        <v>65.399868282317996</v>
      </c>
      <c r="AI1482">
        <v>90.981365247847705</v>
      </c>
      <c r="AJ1482">
        <v>89.797794025558701</v>
      </c>
      <c r="AK1482">
        <v>65.409869981836195</v>
      </c>
      <c r="AL1482">
        <v>77.810633525634003</v>
      </c>
      <c r="AM1482">
        <v>87.394446448053699</v>
      </c>
      <c r="AN1482">
        <v>1.00000002761841</v>
      </c>
    </row>
    <row r="1483" spans="1:40" x14ac:dyDescent="0.25">
      <c r="A1483" t="str">
        <f>"20190303170750202"</f>
        <v>20190303170750202</v>
      </c>
      <c r="B1483" t="str">
        <f>"1551604070193612"</f>
        <v>1551604070193612</v>
      </c>
      <c r="C1483" t="s">
        <v>40</v>
      </c>
      <c r="D1483">
        <v>3.8457590000000001</v>
      </c>
      <c r="E1483">
        <v>0.48907430000000002</v>
      </c>
      <c r="F1483" t="s">
        <v>63</v>
      </c>
      <c r="G1483">
        <v>-369.01769999999999</v>
      </c>
      <c r="H1483" s="1">
        <v>3.261997E-6</v>
      </c>
      <c r="I1483">
        <v>284.99059999999997</v>
      </c>
      <c r="J1483">
        <v>-303.3741</v>
      </c>
      <c r="K1483">
        <v>1.1202909999999999</v>
      </c>
      <c r="L1483">
        <v>285.16730000000001</v>
      </c>
      <c r="M1483">
        <v>-0.99994150000000004</v>
      </c>
      <c r="N1483">
        <v>-8.9848569999999902E-3</v>
      </c>
      <c r="O1483">
        <v>-6.0428259999999899E-3</v>
      </c>
      <c r="P1483">
        <v>-0.97851460000000001</v>
      </c>
      <c r="Q1483">
        <v>0.2025603</v>
      </c>
      <c r="R1483">
        <v>3.8453609999999999E-2</v>
      </c>
      <c r="S1483">
        <v>-3.076813</v>
      </c>
      <c r="T1483">
        <v>-5.2214030000000002E-2</v>
      </c>
      <c r="U1483">
        <v>-8.3312990000000003E-3</v>
      </c>
      <c r="V1483">
        <v>4.4508199999999998E-2</v>
      </c>
      <c r="W1483">
        <v>0.211312</v>
      </c>
      <c r="X1483">
        <v>0.97640470000000001</v>
      </c>
      <c r="Y1483">
        <v>3.3344099999999999E-3</v>
      </c>
      <c r="Z1483" s="1">
        <v>9.1518309999999995E-5</v>
      </c>
      <c r="AA1483">
        <v>0.99999450000000001</v>
      </c>
      <c r="AB1483">
        <v>36</v>
      </c>
      <c r="AC1483">
        <v>-65.643599999999907</v>
      </c>
      <c r="AD1483">
        <v>-1.1202877380030001</v>
      </c>
      <c r="AE1483">
        <v>-0.17670000000003899</v>
      </c>
      <c r="AF1483">
        <v>0.21992798770436101</v>
      </c>
      <c r="AG1483">
        <v>-1.1202877380030001</v>
      </c>
      <c r="AH1483">
        <v>65.624355863362993</v>
      </c>
      <c r="AI1483">
        <v>90.978008298696395</v>
      </c>
      <c r="AJ1483">
        <v>89.807984426639905</v>
      </c>
      <c r="AK1483">
        <v>65.634285974763202</v>
      </c>
      <c r="AL1483">
        <v>77.800749375721594</v>
      </c>
      <c r="AM1483">
        <v>87.390049511632796</v>
      </c>
      <c r="AN1483">
        <v>0.99999993969666301</v>
      </c>
    </row>
    <row r="1484" spans="1:40" x14ac:dyDescent="0.25">
      <c r="A1484" t="str">
        <f>"20190303170750223"</f>
        <v>20190303170750223</v>
      </c>
      <c r="B1484" t="str">
        <f>"1551604070214111"</f>
        <v>1551604070214111</v>
      </c>
      <c r="C1484" t="s">
        <v>40</v>
      </c>
      <c r="D1484">
        <v>3.8663470000000002</v>
      </c>
      <c r="E1484">
        <v>0.48919079999999898</v>
      </c>
      <c r="F1484" t="s">
        <v>63</v>
      </c>
      <c r="G1484">
        <v>-370.50830000000002</v>
      </c>
      <c r="H1484" s="1">
        <v>-1.2663010000000001E-6</v>
      </c>
      <c r="I1484">
        <v>285.0428</v>
      </c>
      <c r="J1484">
        <v>-303.7217</v>
      </c>
      <c r="K1484">
        <v>1.1202909999999999</v>
      </c>
      <c r="L1484">
        <v>285.16539999999998</v>
      </c>
      <c r="M1484">
        <v>-0.99994280000000002</v>
      </c>
      <c r="N1484">
        <v>-9.0011810000000005E-3</v>
      </c>
      <c r="O1484">
        <v>-5.7852709999999998E-3</v>
      </c>
      <c r="P1484">
        <v>-0.97861799999999999</v>
      </c>
      <c r="Q1484">
        <v>0.2019782</v>
      </c>
      <c r="R1484">
        <v>3.8881159999999998E-2</v>
      </c>
      <c r="S1484">
        <v>-3.076721</v>
      </c>
      <c r="T1484">
        <v>-5.1342369999999998E-2</v>
      </c>
      <c r="U1484">
        <v>-5.7067869999999996E-3</v>
      </c>
      <c r="V1484">
        <v>4.4684790000000002E-2</v>
      </c>
      <c r="W1484">
        <v>0.21074670000000001</v>
      </c>
      <c r="X1484">
        <v>0.97651889999999997</v>
      </c>
      <c r="Y1484">
        <v>3.9296879999999998E-3</v>
      </c>
      <c r="Z1484" s="1">
        <v>9.4933629999999997E-5</v>
      </c>
      <c r="AA1484">
        <v>0.99999229999999995</v>
      </c>
      <c r="AB1484">
        <v>36</v>
      </c>
      <c r="AC1484">
        <v>-66.786600000000007</v>
      </c>
      <c r="AD1484">
        <v>-1.120292266301</v>
      </c>
      <c r="AE1484">
        <v>-0.12259999999997701</v>
      </c>
      <c r="AF1484">
        <v>0.26372206298450801</v>
      </c>
      <c r="AG1484">
        <v>-1.120292266301</v>
      </c>
      <c r="AH1484">
        <v>66.767405000405503</v>
      </c>
      <c r="AI1484">
        <v>90.961269879959303</v>
      </c>
      <c r="AJ1484">
        <v>89.773690731365306</v>
      </c>
      <c r="AK1484">
        <v>66.777323805140696</v>
      </c>
      <c r="AL1484">
        <v>77.833886044255195</v>
      </c>
      <c r="AM1484">
        <v>87.380014724733599</v>
      </c>
      <c r="AN1484">
        <v>1.00000003203772</v>
      </c>
    </row>
    <row r="1485" spans="1:40" x14ac:dyDescent="0.25">
      <c r="A1485" t="str">
        <f>"20190303170750246"</f>
        <v>20190303170750246</v>
      </c>
      <c r="B1485" t="str">
        <f>"1551604070233628"</f>
        <v>1551604070233628</v>
      </c>
      <c r="C1485" t="s">
        <v>40</v>
      </c>
      <c r="D1485">
        <v>3.845567</v>
      </c>
      <c r="E1485">
        <v>0.48930439999999997</v>
      </c>
      <c r="F1485" t="s">
        <v>63</v>
      </c>
      <c r="G1485">
        <v>-368.44990000000001</v>
      </c>
      <c r="H1485" s="1">
        <v>2.959839E-6</v>
      </c>
      <c r="I1485">
        <v>285.08580000000001</v>
      </c>
      <c r="J1485">
        <v>-304.08580000000001</v>
      </c>
      <c r="K1485">
        <v>1.120295</v>
      </c>
      <c r="L1485">
        <v>285.1635</v>
      </c>
      <c r="M1485">
        <v>-0.9999441</v>
      </c>
      <c r="N1485">
        <v>-9.0339979999999997E-3</v>
      </c>
      <c r="O1485">
        <v>-5.515865E-3</v>
      </c>
      <c r="P1485">
        <v>-0.9786184</v>
      </c>
      <c r="Q1485">
        <v>0.20190350000000001</v>
      </c>
      <c r="R1485">
        <v>3.9261940000000002E-2</v>
      </c>
      <c r="S1485">
        <v>-3.0766909999999998</v>
      </c>
      <c r="T1485">
        <v>-5.3250069999999997E-2</v>
      </c>
      <c r="U1485">
        <v>-3.7841799999999998E-3</v>
      </c>
      <c r="V1485">
        <v>4.4802950000000001E-2</v>
      </c>
      <c r="W1485">
        <v>0.21070340000000001</v>
      </c>
      <c r="X1485">
        <v>0.97652280000000002</v>
      </c>
      <c r="Y1485">
        <v>4.284988E-3</v>
      </c>
      <c r="Z1485">
        <v>1.0206539999999999E-4</v>
      </c>
      <c r="AA1485">
        <v>0.99999079999999996</v>
      </c>
      <c r="AB1485">
        <v>36</v>
      </c>
      <c r="AC1485">
        <v>-64.364099999999993</v>
      </c>
      <c r="AD1485">
        <v>-1.1202920401609999</v>
      </c>
      <c r="AE1485">
        <v>-7.7699999999992997E-2</v>
      </c>
      <c r="AF1485">
        <v>0.27725531877096399</v>
      </c>
      <c r="AG1485">
        <v>-1.1202920401609999</v>
      </c>
      <c r="AH1485">
        <v>64.344056192335302</v>
      </c>
      <c r="AI1485">
        <v>90.997464707372998</v>
      </c>
      <c r="AJ1485">
        <v>89.753116880745694</v>
      </c>
      <c r="AK1485">
        <v>64.354405381834098</v>
      </c>
      <c r="AL1485">
        <v>77.836423580424807</v>
      </c>
      <c r="AM1485">
        <v>87.373106865485298</v>
      </c>
      <c r="AN1485">
        <v>1.00000000301005</v>
      </c>
    </row>
    <row r="1486" spans="1:40" x14ac:dyDescent="0.25">
      <c r="A1486" t="str">
        <f>"20190303170750270"</f>
        <v>20190303170750270</v>
      </c>
      <c r="B1486" t="str">
        <f>"1551604070263884"</f>
        <v>1551604070263884</v>
      </c>
      <c r="C1486" t="s">
        <v>40</v>
      </c>
      <c r="D1486">
        <v>3.8518880000000002</v>
      </c>
      <c r="E1486">
        <v>0.48928240000000001</v>
      </c>
      <c r="F1486" t="s">
        <v>63</v>
      </c>
      <c r="G1486">
        <v>-368.52080000000001</v>
      </c>
      <c r="H1486" s="1">
        <v>2.9975239999999999E-6</v>
      </c>
      <c r="I1486">
        <v>285.13099999999997</v>
      </c>
      <c r="J1486">
        <v>-304.4753</v>
      </c>
      <c r="K1486">
        <v>1.120296</v>
      </c>
      <c r="L1486">
        <v>285.1617</v>
      </c>
      <c r="M1486">
        <v>-0.99994519999999998</v>
      </c>
      <c r="N1486">
        <v>-9.0844480000000002E-3</v>
      </c>
      <c r="O1486">
        <v>-5.2276989999999997E-3</v>
      </c>
      <c r="P1486">
        <v>-0.97858650000000003</v>
      </c>
      <c r="Q1486">
        <v>0.20204849999999999</v>
      </c>
      <c r="R1486">
        <v>3.9313229999999998E-2</v>
      </c>
      <c r="S1486">
        <v>-3.07666</v>
      </c>
      <c r="T1486">
        <v>-5.3492070000000003E-2</v>
      </c>
      <c r="U1486">
        <v>-1.556396E-3</v>
      </c>
      <c r="V1486">
        <v>4.4572870000000001E-2</v>
      </c>
      <c r="W1486">
        <v>0.21089769999999999</v>
      </c>
      <c r="X1486">
        <v>0.97649140000000001</v>
      </c>
      <c r="Y1486">
        <v>4.7207830000000001E-3</v>
      </c>
      <c r="Z1486">
        <v>1.0587490000000001E-4</v>
      </c>
      <c r="AA1486">
        <v>0.99998889999999996</v>
      </c>
      <c r="AB1486">
        <v>36</v>
      </c>
      <c r="AC1486">
        <v>-64.045500000000004</v>
      </c>
      <c r="AD1486">
        <v>-1.1202930024760001</v>
      </c>
      <c r="AE1486">
        <v>-3.0700000000024302E-2</v>
      </c>
      <c r="AF1486">
        <v>0.30403176270466198</v>
      </c>
      <c r="AG1486">
        <v>-1.1202930024760001</v>
      </c>
      <c r="AH1486">
        <v>64.025195167076305</v>
      </c>
      <c r="AI1486">
        <v>91.002430178073595</v>
      </c>
      <c r="AJ1486">
        <v>89.727925766379698</v>
      </c>
      <c r="AK1486">
        <v>64.035717438835206</v>
      </c>
      <c r="AL1486">
        <v>77.825035279393305</v>
      </c>
      <c r="AM1486">
        <v>87.386494277878697</v>
      </c>
      <c r="AN1486">
        <v>1.00000001743964</v>
      </c>
    </row>
    <row r="1487" spans="1:40" x14ac:dyDescent="0.25">
      <c r="A1487" t="str">
        <f>"20190303170750292"</f>
        <v>20190303170750292</v>
      </c>
      <c r="B1487" t="str">
        <f>"1551604070284381"</f>
        <v>1551604070284381</v>
      </c>
      <c r="C1487" t="s">
        <v>40</v>
      </c>
      <c r="D1487">
        <v>3.85182</v>
      </c>
      <c r="E1487">
        <v>0.48924810000000002</v>
      </c>
      <c r="F1487" t="s">
        <v>63</v>
      </c>
      <c r="G1487">
        <v>-371.1241</v>
      </c>
      <c r="H1487" s="1">
        <v>-9.3862100000000005E-7</v>
      </c>
      <c r="I1487">
        <v>285.14049999999997</v>
      </c>
      <c r="J1487">
        <v>-304.83499999999998</v>
      </c>
      <c r="K1487">
        <v>1.1203000000000001</v>
      </c>
      <c r="L1487">
        <v>285.16000000000003</v>
      </c>
      <c r="M1487">
        <v>-0.99994590000000005</v>
      </c>
      <c r="N1487">
        <v>-9.1458479999999998E-3</v>
      </c>
      <c r="O1487">
        <v>-4.961282E-3</v>
      </c>
      <c r="P1487">
        <v>-0.97858639999999997</v>
      </c>
      <c r="Q1487">
        <v>0.20196739999999999</v>
      </c>
      <c r="R1487">
        <v>3.9724919999999997E-2</v>
      </c>
      <c r="S1487">
        <v>-3.076355</v>
      </c>
      <c r="T1487">
        <v>-5.1710369999999999E-2</v>
      </c>
      <c r="U1487">
        <v>-9.765625E-4</v>
      </c>
      <c r="V1487">
        <v>4.4724350000000003E-2</v>
      </c>
      <c r="W1487">
        <v>0.21087629999999999</v>
      </c>
      <c r="X1487">
        <v>0.9764891</v>
      </c>
      <c r="Y1487">
        <v>4.6428939999999998E-3</v>
      </c>
      <c r="Z1487" s="1">
        <v>9.8265870000000002E-5</v>
      </c>
      <c r="AA1487">
        <v>0.99998920000000002</v>
      </c>
      <c r="AB1487">
        <v>37</v>
      </c>
      <c r="AC1487">
        <v>-66.289100000000005</v>
      </c>
      <c r="AD1487">
        <v>-1.1203009386210001</v>
      </c>
      <c r="AE1487">
        <v>-1.9500000000050401E-2</v>
      </c>
      <c r="AF1487">
        <v>0.30930456094471998</v>
      </c>
      <c r="AG1487">
        <v>-1.1203009386210001</v>
      </c>
      <c r="AH1487">
        <v>66.269453116554701</v>
      </c>
      <c r="AI1487">
        <v>90.968496040091694</v>
      </c>
      <c r="AJ1487">
        <v>89.732580904053606</v>
      </c>
      <c r="AK1487">
        <v>66.2796436311462</v>
      </c>
      <c r="AL1487">
        <v>77.826289673733001</v>
      </c>
      <c r="AM1487">
        <v>87.377618541157702</v>
      </c>
      <c r="AN1487">
        <v>1.00000002190171</v>
      </c>
    </row>
    <row r="1488" spans="1:40" x14ac:dyDescent="0.25">
      <c r="A1488" t="str">
        <f>"20190303170750313"</f>
        <v>20190303170750313</v>
      </c>
      <c r="B1488" t="str">
        <f>"1551604070303904"</f>
        <v>1551604070303904</v>
      </c>
      <c r="C1488" t="s">
        <v>40</v>
      </c>
      <c r="D1488">
        <v>3.8710629999999999</v>
      </c>
      <c r="E1488">
        <v>0.48911310000000002</v>
      </c>
      <c r="F1488" t="s">
        <v>63</v>
      </c>
      <c r="G1488">
        <v>-372.84739999999999</v>
      </c>
      <c r="H1488" s="1">
        <v>-2.1530179999999999E-8</v>
      </c>
      <c r="I1488">
        <v>285.16140000000001</v>
      </c>
      <c r="J1488">
        <v>-305.18150000000003</v>
      </c>
      <c r="K1488">
        <v>1.1203069999999999</v>
      </c>
      <c r="L1488">
        <v>285.1585</v>
      </c>
      <c r="M1488">
        <v>-0.99994660000000002</v>
      </c>
      <c r="N1488">
        <v>-9.2120889999999997E-3</v>
      </c>
      <c r="O1488">
        <v>-4.7048990000000002E-3</v>
      </c>
      <c r="P1488">
        <v>-0.97865329999999995</v>
      </c>
      <c r="Q1488">
        <v>0.20163809999999999</v>
      </c>
      <c r="R1488">
        <v>3.9753040000000003E-2</v>
      </c>
      <c r="S1488">
        <v>-3.076111</v>
      </c>
      <c r="T1488">
        <v>-5.066967E-2</v>
      </c>
      <c r="U1488" s="1">
        <v>6.1035159999999999E-5</v>
      </c>
      <c r="V1488">
        <v>4.4502260000000002E-2</v>
      </c>
      <c r="W1488">
        <v>0.21061289999999999</v>
      </c>
      <c r="X1488">
        <v>0.97655610000000004</v>
      </c>
      <c r="Y1488">
        <v>4.7238180000000003E-3</v>
      </c>
      <c r="Z1488" s="1">
        <v>9.4815479999999999E-5</v>
      </c>
      <c r="AA1488">
        <v>0.99998889999999996</v>
      </c>
      <c r="AB1488">
        <v>37</v>
      </c>
      <c r="AC1488">
        <v>-67.665899999999894</v>
      </c>
      <c r="AD1488">
        <v>-1.12030702153018</v>
      </c>
      <c r="AE1488">
        <v>2.9000000000110001E-3</v>
      </c>
      <c r="AF1488">
        <v>0.32118662800671499</v>
      </c>
      <c r="AG1488">
        <v>-1.12030702153018</v>
      </c>
      <c r="AH1488">
        <v>67.646594344925205</v>
      </c>
      <c r="AI1488">
        <v>90.948787946436696</v>
      </c>
      <c r="AJ1488">
        <v>89.727961176556803</v>
      </c>
      <c r="AK1488">
        <v>67.656632898329903</v>
      </c>
      <c r="AL1488">
        <v>77.841728218818403</v>
      </c>
      <c r="AM1488">
        <v>87.390801369889303</v>
      </c>
      <c r="AN1488">
        <v>1.0000000306193599</v>
      </c>
    </row>
    <row r="1489" spans="1:40" x14ac:dyDescent="0.25">
      <c r="A1489" t="str">
        <f>"20190303170750335"</f>
        <v>20190303170750335</v>
      </c>
      <c r="B1489" t="str">
        <f>"1551604070324397"</f>
        <v>1551604070324397</v>
      </c>
      <c r="C1489" t="s">
        <v>40</v>
      </c>
      <c r="D1489">
        <v>3.9004910000000002</v>
      </c>
      <c r="E1489">
        <v>0.4889829</v>
      </c>
      <c r="F1489" t="s">
        <v>63</v>
      </c>
      <c r="G1489">
        <v>-373.29430000000002</v>
      </c>
      <c r="H1489" s="1">
        <v>2.1627550000000001E-7</v>
      </c>
      <c r="I1489">
        <v>285.13560000000001</v>
      </c>
      <c r="J1489">
        <v>-305.53680000000003</v>
      </c>
      <c r="K1489">
        <v>1.120317</v>
      </c>
      <c r="L1489">
        <v>285.15710000000001</v>
      </c>
      <c r="M1489">
        <v>-0.99994709999999998</v>
      </c>
      <c r="N1489">
        <v>-9.2852079999999997E-3</v>
      </c>
      <c r="O1489">
        <v>-4.4421119999999998E-3</v>
      </c>
      <c r="P1489">
        <v>-0.97866839999999999</v>
      </c>
      <c r="Q1489">
        <v>0.20162179999999999</v>
      </c>
      <c r="R1489">
        <v>3.9457569999999997E-2</v>
      </c>
      <c r="S1489">
        <v>-3.0758969999999999</v>
      </c>
      <c r="T1489">
        <v>-5.0591829999999997E-2</v>
      </c>
      <c r="U1489">
        <v>-1.037598E-3</v>
      </c>
      <c r="V1489">
        <v>4.3950129999999997E-2</v>
      </c>
      <c r="W1489">
        <v>0.21066789999999999</v>
      </c>
      <c r="X1489">
        <v>0.97656920000000003</v>
      </c>
      <c r="Y1489">
        <v>4.1039930000000002E-3</v>
      </c>
      <c r="Z1489" s="1">
        <v>8.4616479999999997E-5</v>
      </c>
      <c r="AA1489">
        <v>0.99999159999999998</v>
      </c>
      <c r="AB1489">
        <v>37</v>
      </c>
      <c r="AC1489">
        <v>-67.757499999999993</v>
      </c>
      <c r="AD1489">
        <v>-1.1203167837244901</v>
      </c>
      <c r="AE1489">
        <v>-2.15000000000031E-2</v>
      </c>
      <c r="AF1489">
        <v>0.27942318025586599</v>
      </c>
      <c r="AG1489">
        <v>-1.1203167837244901</v>
      </c>
      <c r="AH1489">
        <v>67.738408608303502</v>
      </c>
      <c r="AI1489">
        <v>90.947513044247003</v>
      </c>
      <c r="AJ1489">
        <v>89.763654351352997</v>
      </c>
      <c r="AK1489">
        <v>67.748248595775806</v>
      </c>
      <c r="AL1489">
        <v>77.838504126220201</v>
      </c>
      <c r="AM1489">
        <v>87.423163749369195</v>
      </c>
      <c r="AN1489">
        <v>0.99999999020303298</v>
      </c>
    </row>
    <row r="1490" spans="1:40" x14ac:dyDescent="0.25">
      <c r="A1490" t="str">
        <f>"20190303170750358"</f>
        <v>20190303170750358</v>
      </c>
      <c r="B1490" t="str">
        <f>"1551604070343916"</f>
        <v>1551604070343916</v>
      </c>
      <c r="C1490" t="s">
        <v>40</v>
      </c>
      <c r="D1490">
        <v>3.8981629999999998</v>
      </c>
      <c r="E1490">
        <v>0.48894159999999998</v>
      </c>
      <c r="F1490" t="s">
        <v>63</v>
      </c>
      <c r="G1490">
        <v>-373.54309999999998</v>
      </c>
      <c r="H1490" s="1">
        <v>3.4867709999999898E-7</v>
      </c>
      <c r="I1490">
        <v>285.10180000000003</v>
      </c>
      <c r="J1490">
        <v>-305.91340000000002</v>
      </c>
      <c r="K1490">
        <v>1.120328</v>
      </c>
      <c r="L1490">
        <v>285.15570000000002</v>
      </c>
      <c r="M1490">
        <v>-0.99994749999999999</v>
      </c>
      <c r="N1490">
        <v>-9.3683970000000005E-3</v>
      </c>
      <c r="O1490">
        <v>-4.1639939999999999E-3</v>
      </c>
      <c r="P1490">
        <v>-0.97858670000000003</v>
      </c>
      <c r="Q1490">
        <v>0.20202680000000001</v>
      </c>
      <c r="R1490">
        <v>3.9414499999999998E-2</v>
      </c>
      <c r="S1490">
        <v>-3.0759280000000002</v>
      </c>
      <c r="T1490">
        <v>-5.0671939999999999E-2</v>
      </c>
      <c r="U1490">
        <v>-2.5024410000000002E-3</v>
      </c>
      <c r="V1490">
        <v>4.3635449999999999E-2</v>
      </c>
      <c r="W1490">
        <v>0.21115410000000001</v>
      </c>
      <c r="X1490">
        <v>0.97647830000000002</v>
      </c>
      <c r="Y1490">
        <v>3.3498080000000001E-3</v>
      </c>
      <c r="Z1490" s="1">
        <v>7.2865000000000001E-5</v>
      </c>
      <c r="AA1490">
        <v>0.99999439999999995</v>
      </c>
      <c r="AB1490">
        <v>37</v>
      </c>
      <c r="AC1490">
        <v>-67.6296999999999</v>
      </c>
      <c r="AD1490">
        <v>-1.1203276513228999</v>
      </c>
      <c r="AE1490">
        <v>-5.3899999999998699E-2</v>
      </c>
      <c r="AF1490">
        <v>0.22766000154850399</v>
      </c>
      <c r="AG1490">
        <v>-1.1203276513228999</v>
      </c>
      <c r="AH1490">
        <v>67.610784369453498</v>
      </c>
      <c r="AI1490">
        <v>90.949313174052804</v>
      </c>
      <c r="AJ1490">
        <v>89.807073559689897</v>
      </c>
      <c r="AK1490">
        <v>67.6204490237632</v>
      </c>
      <c r="AL1490">
        <v>77.810005834461094</v>
      </c>
      <c r="AM1490">
        <v>87.441351277157196</v>
      </c>
      <c r="AN1490">
        <v>0.99999998840720095</v>
      </c>
    </row>
    <row r="1491" spans="1:40" x14ac:dyDescent="0.25">
      <c r="A1491" t="str">
        <f>"20190303170750381"</f>
        <v>20190303170750381</v>
      </c>
      <c r="B1491" t="str">
        <f>"1551604070374173"</f>
        <v>1551604070374173</v>
      </c>
      <c r="C1491" t="s">
        <v>40</v>
      </c>
      <c r="D1491">
        <v>3.8842910000000002</v>
      </c>
      <c r="E1491">
        <v>0.48880509999999999</v>
      </c>
      <c r="F1491" t="s">
        <v>63</v>
      </c>
      <c r="G1491">
        <v>-375.9117</v>
      </c>
      <c r="H1491" s="1">
        <v>1.6091260000000001E-6</v>
      </c>
      <c r="I1491">
        <v>285.08280000000002</v>
      </c>
      <c r="J1491">
        <v>-306.2867</v>
      </c>
      <c r="K1491">
        <v>1.1203379999999901</v>
      </c>
      <c r="L1491">
        <v>285.15440000000001</v>
      </c>
      <c r="M1491">
        <v>-0.99994769999999999</v>
      </c>
      <c r="N1491">
        <v>-9.4587430000000004E-3</v>
      </c>
      <c r="O1491">
        <v>-3.8884140000000002E-3</v>
      </c>
      <c r="P1491">
        <v>-0.97842059999999997</v>
      </c>
      <c r="Q1491">
        <v>0.2028345</v>
      </c>
      <c r="R1491">
        <v>3.9386020000000001E-2</v>
      </c>
      <c r="S1491">
        <v>-3.0758969999999999</v>
      </c>
      <c r="T1491">
        <v>-4.922986E-2</v>
      </c>
      <c r="U1491">
        <v>-3.2043459999999998E-3</v>
      </c>
      <c r="V1491">
        <v>4.3337340000000002E-2</v>
      </c>
      <c r="W1491">
        <v>0.2120484</v>
      </c>
      <c r="X1491">
        <v>0.97629779999999999</v>
      </c>
      <c r="Y1491">
        <v>2.8461720000000001E-3</v>
      </c>
      <c r="Z1491" s="1">
        <v>6.1687989999999996E-5</v>
      </c>
      <c r="AA1491">
        <v>0.99999590000000005</v>
      </c>
      <c r="AB1491">
        <v>37</v>
      </c>
      <c r="AC1491">
        <v>-69.625</v>
      </c>
      <c r="AD1491">
        <v>-1.1203363908739901</v>
      </c>
      <c r="AE1491">
        <v>-7.1599999999989394E-2</v>
      </c>
      <c r="AF1491">
        <v>0.199091930128316</v>
      </c>
      <c r="AG1491">
        <v>-1.1203363908739901</v>
      </c>
      <c r="AH1491">
        <v>69.606729425562804</v>
      </c>
      <c r="AI1491">
        <v>90.922105416103193</v>
      </c>
      <c r="AJ1491">
        <v>89.836120784317401</v>
      </c>
      <c r="AK1491">
        <v>69.616029566105396</v>
      </c>
      <c r="AL1491">
        <v>77.757579481866202</v>
      </c>
      <c r="AM1491">
        <v>87.458339333458198</v>
      </c>
      <c r="AN1491">
        <v>1.00000002163283</v>
      </c>
    </row>
    <row r="1492" spans="1:40" x14ac:dyDescent="0.25">
      <c r="A1492" t="str">
        <f>"20190303170750404"</f>
        <v>20190303170750404</v>
      </c>
      <c r="B1492" t="str">
        <f>"1551604070393693"</f>
        <v>1551604070393693</v>
      </c>
      <c r="C1492" t="s">
        <v>40</v>
      </c>
      <c r="D1492">
        <v>3.92476</v>
      </c>
      <c r="E1492">
        <v>0.48876439999999999</v>
      </c>
      <c r="F1492" t="s">
        <v>63</v>
      </c>
      <c r="G1492">
        <v>-380.30739999999997</v>
      </c>
      <c r="H1492" s="1">
        <v>-1.37319799999999E-6</v>
      </c>
      <c r="I1492">
        <v>285.04570000000001</v>
      </c>
      <c r="J1492">
        <v>-306.66660000000002</v>
      </c>
      <c r="K1492">
        <v>1.1203449999999999</v>
      </c>
      <c r="L1492">
        <v>285.15320000000003</v>
      </c>
      <c r="M1492">
        <v>-0.99994769999999999</v>
      </c>
      <c r="N1492">
        <v>-9.5657499999999996E-3</v>
      </c>
      <c r="O1492">
        <v>-3.6079060000000001E-3</v>
      </c>
      <c r="P1492">
        <v>-0.97835119999999998</v>
      </c>
      <c r="Q1492">
        <v>0.20297699999999999</v>
      </c>
      <c r="R1492">
        <v>4.0363709999999997E-2</v>
      </c>
      <c r="S1492">
        <v>-3.0759889999999999</v>
      </c>
      <c r="T1492">
        <v>-4.6556590000000002E-2</v>
      </c>
      <c r="U1492">
        <v>-4.5166019999999998E-3</v>
      </c>
      <c r="V1492">
        <v>4.4041129999999998E-2</v>
      </c>
      <c r="W1492">
        <v>0.2122945</v>
      </c>
      <c r="X1492">
        <v>0.97621279999999999</v>
      </c>
      <c r="Y1492">
        <v>2.1392820000000002E-3</v>
      </c>
      <c r="Z1492" s="1">
        <v>4.6513420000000002E-5</v>
      </c>
      <c r="AA1492">
        <v>0.99999769999999999</v>
      </c>
      <c r="AB1492">
        <v>37</v>
      </c>
      <c r="AC1492">
        <v>-73.640799999999899</v>
      </c>
      <c r="AD1492">
        <v>-1.1203463731979999</v>
      </c>
      <c r="AE1492">
        <v>-0.107500000000015</v>
      </c>
      <c r="AF1492">
        <v>0.15816534249913999</v>
      </c>
      <c r="AG1492">
        <v>-1.1203463731979999</v>
      </c>
      <c r="AH1492">
        <v>73.623667960134995</v>
      </c>
      <c r="AI1492">
        <v>90.871812263406497</v>
      </c>
      <c r="AJ1492">
        <v>89.876911964584806</v>
      </c>
      <c r="AK1492">
        <v>73.632361609388298</v>
      </c>
      <c r="AL1492">
        <v>77.743150250553896</v>
      </c>
      <c r="AM1492">
        <v>87.416894119115994</v>
      </c>
      <c r="AN1492">
        <v>1.00000000337288</v>
      </c>
    </row>
    <row r="1493" spans="1:40" x14ac:dyDescent="0.25">
      <c r="A1493" t="str">
        <f>"20190303170750425"</f>
        <v>20190303170750425</v>
      </c>
      <c r="B1493" t="str">
        <f>"1551604070414188"</f>
        <v>1551604070414188</v>
      </c>
      <c r="C1493" t="s">
        <v>40</v>
      </c>
      <c r="D1493">
        <v>3.906736</v>
      </c>
      <c r="E1493">
        <v>0.48880220000000002</v>
      </c>
      <c r="F1493" t="s">
        <v>63</v>
      </c>
      <c r="G1493">
        <v>-381.2894</v>
      </c>
      <c r="H1493" s="1">
        <v>-8.5063440000000001E-7</v>
      </c>
      <c r="I1493">
        <v>285.10579999999999</v>
      </c>
      <c r="J1493">
        <v>-307.02030000000002</v>
      </c>
      <c r="K1493">
        <v>1.1203639999999999</v>
      </c>
      <c r="L1493">
        <v>285.15210000000002</v>
      </c>
      <c r="M1493">
        <v>-0.99994749999999999</v>
      </c>
      <c r="N1493">
        <v>-9.6861650000000001E-3</v>
      </c>
      <c r="O1493">
        <v>-3.3472530000000001E-3</v>
      </c>
      <c r="P1493">
        <v>-0.9783442</v>
      </c>
      <c r="Q1493">
        <v>0.20288229999999999</v>
      </c>
      <c r="R1493">
        <v>4.1007599999999998E-2</v>
      </c>
      <c r="S1493">
        <v>-3.0760190000000001</v>
      </c>
      <c r="T1493">
        <v>-4.6181680000000003E-2</v>
      </c>
      <c r="U1493">
        <v>-1.953125E-3</v>
      </c>
      <c r="V1493">
        <v>4.4430490000000003E-2</v>
      </c>
      <c r="W1493">
        <v>0.2123168</v>
      </c>
      <c r="X1493">
        <v>0.97619029999999996</v>
      </c>
      <c r="Y1493">
        <v>2.711911E-3</v>
      </c>
      <c r="Z1493" s="1">
        <v>5.1320670000000003E-5</v>
      </c>
      <c r="AA1493">
        <v>0.99999629999999995</v>
      </c>
      <c r="AB1493">
        <v>37</v>
      </c>
      <c r="AC1493">
        <v>-74.269099999999895</v>
      </c>
      <c r="AD1493">
        <v>-1.1203648506343999</v>
      </c>
      <c r="AE1493">
        <v>-4.6300000000030601E-2</v>
      </c>
      <c r="AF1493">
        <v>0.20226335862875799</v>
      </c>
      <c r="AG1493">
        <v>-1.1203648506343999</v>
      </c>
      <c r="AH1493">
        <v>74.251941859465504</v>
      </c>
      <c r="AI1493">
        <v>90.864449695079301</v>
      </c>
      <c r="AJ1493">
        <v>89.843925857756105</v>
      </c>
      <c r="AK1493">
        <v>74.260669252075999</v>
      </c>
      <c r="AL1493">
        <v>77.741842667477897</v>
      </c>
      <c r="AM1493">
        <v>87.394028689882205</v>
      </c>
      <c r="AN1493">
        <v>0.999999996908985</v>
      </c>
    </row>
    <row r="1494" spans="1:40" x14ac:dyDescent="0.25">
      <c r="A1494" t="str">
        <f>"20190303170750448"</f>
        <v>20190303170750448</v>
      </c>
      <c r="B1494" t="str">
        <f>"1551604070433709"</f>
        <v>1551604070433709</v>
      </c>
      <c r="C1494" t="s">
        <v>40</v>
      </c>
      <c r="D1494">
        <v>3.90117</v>
      </c>
      <c r="E1494">
        <v>0.4888287</v>
      </c>
      <c r="F1494" t="s">
        <v>63</v>
      </c>
      <c r="G1494">
        <v>-379.8365</v>
      </c>
      <c r="H1494" s="1">
        <v>3.6977059999999999E-6</v>
      </c>
      <c r="I1494">
        <v>285.15719999999999</v>
      </c>
      <c r="J1494">
        <v>-307.39420000000001</v>
      </c>
      <c r="K1494">
        <v>1.1203909999999999</v>
      </c>
      <c r="L1494">
        <v>285.15120000000002</v>
      </c>
      <c r="M1494">
        <v>-0.99994709999999998</v>
      </c>
      <c r="N1494">
        <v>-9.8365759999999997E-3</v>
      </c>
      <c r="O1494">
        <v>-3.0718389999999998E-3</v>
      </c>
      <c r="P1494">
        <v>-0.97825640000000003</v>
      </c>
      <c r="Q1494">
        <v>0.20306260000000001</v>
      </c>
      <c r="R1494">
        <v>4.2196419999999998E-2</v>
      </c>
      <c r="S1494">
        <v>-3.0762019999999999</v>
      </c>
      <c r="T1494">
        <v>-4.7330860000000002E-2</v>
      </c>
      <c r="U1494">
        <v>2.13623E-4</v>
      </c>
      <c r="V1494">
        <v>4.5350309999999998E-2</v>
      </c>
      <c r="W1494">
        <v>0.21264250000000001</v>
      </c>
      <c r="X1494">
        <v>0.97607710000000003</v>
      </c>
      <c r="Y1494">
        <v>3.1407739999999998E-3</v>
      </c>
      <c r="Z1494" s="1">
        <v>5.6654229999999999E-5</v>
      </c>
      <c r="AA1494">
        <v>0.99999510000000003</v>
      </c>
      <c r="AB1494">
        <v>37</v>
      </c>
      <c r="AC1494">
        <v>-72.442299999999904</v>
      </c>
      <c r="AD1494">
        <v>-1.1203873022940001</v>
      </c>
      <c r="AE1494">
        <v>5.9999999999717996E-3</v>
      </c>
      <c r="AF1494">
        <v>0.22848712356101999</v>
      </c>
      <c r="AG1494">
        <v>-1.1203873022940001</v>
      </c>
      <c r="AH1494">
        <v>72.424616146609495</v>
      </c>
      <c r="AI1494">
        <v>90.886273588522499</v>
      </c>
      <c r="AJ1494">
        <v>89.819242336135304</v>
      </c>
      <c r="AK1494">
        <v>72.433642032252607</v>
      </c>
      <c r="AL1494">
        <v>77.722745321442304</v>
      </c>
      <c r="AM1494">
        <v>87.339847362435293</v>
      </c>
      <c r="AN1494">
        <v>0.99999999428387798</v>
      </c>
    </row>
    <row r="1495" spans="1:40" x14ac:dyDescent="0.25">
      <c r="A1495" t="str">
        <f>"20190303170750471"</f>
        <v>20190303170750471</v>
      </c>
      <c r="B1495" t="str">
        <f>"1551604070463965"</f>
        <v>1551604070463965</v>
      </c>
      <c r="C1495" t="s">
        <v>40</v>
      </c>
      <c r="D1495">
        <v>3.9055529999999998</v>
      </c>
      <c r="E1495">
        <v>0.48886649999999998</v>
      </c>
      <c r="F1495" t="s">
        <v>63</v>
      </c>
      <c r="G1495">
        <v>-380.08569999999997</v>
      </c>
      <c r="H1495" s="1">
        <v>-1.4911669999999999E-6</v>
      </c>
      <c r="I1495">
        <v>285.25069999999999</v>
      </c>
      <c r="J1495">
        <v>-307.77010000000001</v>
      </c>
      <c r="K1495">
        <v>1.1204160000000001</v>
      </c>
      <c r="L1495">
        <v>285.15030000000002</v>
      </c>
      <c r="M1495">
        <v>-0.99994609999999995</v>
      </c>
      <c r="N1495">
        <v>-1.000813E-2</v>
      </c>
      <c r="O1495">
        <v>-2.7952160000000001E-3</v>
      </c>
      <c r="P1495">
        <v>-0.97825240000000002</v>
      </c>
      <c r="Q1495">
        <v>0.20285739999999999</v>
      </c>
      <c r="R1495">
        <v>4.3255399999999999E-2</v>
      </c>
      <c r="S1495">
        <v>-3.076355</v>
      </c>
      <c r="T1495">
        <v>-4.7415730000000003E-2</v>
      </c>
      <c r="U1495">
        <v>4.2114259999999999E-3</v>
      </c>
      <c r="V1495">
        <v>4.6139430000000002E-2</v>
      </c>
      <c r="W1495">
        <v>0.21260380000000001</v>
      </c>
      <c r="X1495">
        <v>0.97604849999999999</v>
      </c>
      <c r="Y1495">
        <v>4.1634569999999997E-3</v>
      </c>
      <c r="Z1495" s="1">
        <v>6.8025400000000001E-5</v>
      </c>
      <c r="AA1495">
        <v>0.99999139999999997</v>
      </c>
      <c r="AB1495">
        <v>37</v>
      </c>
      <c r="AC1495">
        <v>-72.315599999999904</v>
      </c>
      <c r="AD1495">
        <v>-1.120417491167</v>
      </c>
      <c r="AE1495">
        <v>0.10039999999997901</v>
      </c>
      <c r="AF1495">
        <v>0.30247482796848302</v>
      </c>
      <c r="AG1495">
        <v>-1.120417491167</v>
      </c>
      <c r="AH1495">
        <v>72.297682020351203</v>
      </c>
      <c r="AI1495">
        <v>90.887849950888196</v>
      </c>
      <c r="AJ1495">
        <v>89.760290655907596</v>
      </c>
      <c r="AK1495">
        <v>72.306995871021201</v>
      </c>
      <c r="AL1495">
        <v>77.725013985844996</v>
      </c>
      <c r="AM1495">
        <v>87.293548312253094</v>
      </c>
      <c r="AN1495">
        <v>0.999999948563706</v>
      </c>
    </row>
    <row r="1496" spans="1:40" x14ac:dyDescent="0.25">
      <c r="A1496" t="str">
        <f>"20190303170750493"</f>
        <v>20190303170750493</v>
      </c>
      <c r="B1496" t="str">
        <f>"1551604070484461"</f>
        <v>1551604070484461</v>
      </c>
      <c r="C1496" t="s">
        <v>40</v>
      </c>
      <c r="D1496">
        <v>3.9494729999999998</v>
      </c>
      <c r="E1496">
        <v>0.4888131</v>
      </c>
      <c r="F1496" t="s">
        <v>63</v>
      </c>
      <c r="G1496">
        <v>-378.32709999999997</v>
      </c>
      <c r="H1496" s="1">
        <v>2.8945040000000001E-6</v>
      </c>
      <c r="I1496">
        <v>285.32729999999998</v>
      </c>
      <c r="J1496">
        <v>-308.13490000000002</v>
      </c>
      <c r="K1496">
        <v>1.1204400000000001</v>
      </c>
      <c r="L1496">
        <v>285.14949999999999</v>
      </c>
      <c r="M1496">
        <v>-0.99994499999999997</v>
      </c>
      <c r="N1496">
        <v>-1.018545E-2</v>
      </c>
      <c r="O1496">
        <v>-2.5275720000000001E-3</v>
      </c>
      <c r="P1496">
        <v>-0.97815359999999996</v>
      </c>
      <c r="Q1496">
        <v>0.20326060000000001</v>
      </c>
      <c r="R1496">
        <v>4.3602050000000003E-2</v>
      </c>
      <c r="S1496">
        <v>-3.0764770000000001</v>
      </c>
      <c r="T1496">
        <v>-4.885304E-2</v>
      </c>
      <c r="U1496">
        <v>7.7209469999999997E-3</v>
      </c>
      <c r="V1496">
        <v>4.6225570000000001E-2</v>
      </c>
      <c r="W1496">
        <v>0.21317920000000001</v>
      </c>
      <c r="X1496">
        <v>0.97591890000000003</v>
      </c>
      <c r="Y1496">
        <v>5.036268E-3</v>
      </c>
      <c r="Z1496" s="1">
        <v>8.0025490000000001E-5</v>
      </c>
      <c r="AA1496">
        <v>0.99998730000000002</v>
      </c>
      <c r="AB1496">
        <v>37</v>
      </c>
      <c r="AC1496">
        <v>-70.1921999999999</v>
      </c>
      <c r="AD1496">
        <v>-1.1204371054959901</v>
      </c>
      <c r="AE1496">
        <v>0.17779999999998999</v>
      </c>
      <c r="AF1496">
        <v>0.35513397582119099</v>
      </c>
      <c r="AG1496">
        <v>-1.1204371054959901</v>
      </c>
      <c r="AH1496">
        <v>70.173646294029496</v>
      </c>
      <c r="AI1496">
        <v>90.914731447718793</v>
      </c>
      <c r="AJ1496">
        <v>89.710040658545594</v>
      </c>
      <c r="AK1496">
        <v>70.183489038716999</v>
      </c>
      <c r="AL1496">
        <v>77.691272352418494</v>
      </c>
      <c r="AM1496">
        <v>87.288143492968004</v>
      </c>
      <c r="AN1496">
        <v>0.999999937005835</v>
      </c>
    </row>
    <row r="1497" spans="1:40" x14ac:dyDescent="0.25">
      <c r="A1497" t="str">
        <f>"20190303170750514"</f>
        <v>20190303170750514</v>
      </c>
      <c r="B1497" t="str">
        <f>"1551604070503981"</f>
        <v>1551604070503981</v>
      </c>
      <c r="C1497" t="s">
        <v>40</v>
      </c>
      <c r="D1497">
        <v>3.9479679999999999</v>
      </c>
      <c r="E1497">
        <v>0.48872890000000002</v>
      </c>
      <c r="F1497" t="s">
        <v>63</v>
      </c>
      <c r="G1497">
        <v>-380.35989999999998</v>
      </c>
      <c r="H1497" s="1">
        <v>-1.3452930000000001E-6</v>
      </c>
      <c r="I1497">
        <v>285.3501</v>
      </c>
      <c r="J1497">
        <v>-308.48689999999999</v>
      </c>
      <c r="K1497">
        <v>1.1204670000000001</v>
      </c>
      <c r="L1497">
        <v>285.14890000000003</v>
      </c>
      <c r="M1497">
        <v>-0.99994369999999999</v>
      </c>
      <c r="N1497">
        <v>-1.0358569999999999E-2</v>
      </c>
      <c r="O1497">
        <v>-2.2693409999999998E-3</v>
      </c>
      <c r="P1497">
        <v>-0.97800450000000005</v>
      </c>
      <c r="Q1497">
        <v>0.20400180000000001</v>
      </c>
      <c r="R1497">
        <v>4.3481539999999999E-2</v>
      </c>
      <c r="S1497">
        <v>-3.0765380000000002</v>
      </c>
      <c r="T1497">
        <v>-4.7726989999999997E-2</v>
      </c>
      <c r="U1497">
        <v>8.5449219999999999E-3</v>
      </c>
      <c r="V1497">
        <v>4.5853650000000003E-2</v>
      </c>
      <c r="W1497">
        <v>0.2140881</v>
      </c>
      <c r="X1497">
        <v>0.97573750000000004</v>
      </c>
      <c r="Y1497">
        <v>5.0458409999999997E-3</v>
      </c>
      <c r="Z1497" s="1">
        <v>7.6968749999999997E-5</v>
      </c>
      <c r="AA1497">
        <v>0.99998719999999996</v>
      </c>
      <c r="AB1497">
        <v>37</v>
      </c>
      <c r="AC1497">
        <v>-71.872999999999905</v>
      </c>
      <c r="AD1497">
        <v>-1.120468345293</v>
      </c>
      <c r="AE1497">
        <v>0.20119999999997101</v>
      </c>
      <c r="AF1497">
        <v>0.364224072529516</v>
      </c>
      <c r="AG1497">
        <v>-1.120468345293</v>
      </c>
      <c r="AH1497">
        <v>71.854895224247301</v>
      </c>
      <c r="AI1497">
        <v>90.893357089955003</v>
      </c>
      <c r="AJ1497">
        <v>89.709576872086203</v>
      </c>
      <c r="AK1497">
        <v>71.864553683824994</v>
      </c>
      <c r="AL1497">
        <v>77.637965982772698</v>
      </c>
      <c r="AM1497">
        <v>87.309430890999195</v>
      </c>
      <c r="AN1497">
        <v>0.99999997034308996</v>
      </c>
    </row>
    <row r="1498" spans="1:40" x14ac:dyDescent="0.25">
      <c r="A1498" t="str">
        <f>"20190303170750537"</f>
        <v>20190303170750537</v>
      </c>
      <c r="B1498" t="str">
        <f>"1551604070524477"</f>
        <v>1551604070524477</v>
      </c>
      <c r="C1498" t="s">
        <v>40</v>
      </c>
      <c r="D1498">
        <v>3.9176730000000002</v>
      </c>
      <c r="E1498">
        <v>0.48864560000000001</v>
      </c>
      <c r="F1498" t="s">
        <v>63</v>
      </c>
      <c r="G1498">
        <v>-383.87169999999998</v>
      </c>
      <c r="H1498" s="1">
        <v>5.2353910000000001E-7</v>
      </c>
      <c r="I1498">
        <v>285.31790000000001</v>
      </c>
      <c r="J1498">
        <v>-308.85160000000002</v>
      </c>
      <c r="K1498">
        <v>1.1204889999999901</v>
      </c>
      <c r="L1498">
        <v>285.14830000000001</v>
      </c>
      <c r="M1498">
        <v>-0.99994240000000001</v>
      </c>
      <c r="N1498">
        <v>-1.054915E-2</v>
      </c>
      <c r="O1498">
        <v>-1.9991599999999998E-3</v>
      </c>
      <c r="P1498">
        <v>-0.97787959999999996</v>
      </c>
      <c r="Q1498">
        <v>0.20461380000000001</v>
      </c>
      <c r="R1498">
        <v>4.341068E-2</v>
      </c>
      <c r="S1498">
        <v>-3.0766909999999998</v>
      </c>
      <c r="T1498">
        <v>-4.5729760000000001E-2</v>
      </c>
      <c r="U1498">
        <v>6.8969729999999998E-3</v>
      </c>
      <c r="V1498">
        <v>4.5520350000000001E-2</v>
      </c>
      <c r="W1498">
        <v>0.21488450000000001</v>
      </c>
      <c r="X1498">
        <v>0.9755781</v>
      </c>
      <c r="Y1498">
        <v>4.2401230000000002E-3</v>
      </c>
      <c r="Z1498" s="1">
        <v>6.2499690000000007E-5</v>
      </c>
      <c r="AA1498">
        <v>0.99999099999999996</v>
      </c>
      <c r="AB1498">
        <v>37</v>
      </c>
      <c r="AC1498">
        <v>-75.0200999999999</v>
      </c>
      <c r="AD1498">
        <v>-1.12048847646089</v>
      </c>
      <c r="AE1498">
        <v>0.169600000000002</v>
      </c>
      <c r="AF1498">
        <v>0.31951390697930299</v>
      </c>
      <c r="AG1498">
        <v>-1.12048847646089</v>
      </c>
      <c r="AH1498">
        <v>75.002879479072305</v>
      </c>
      <c r="AI1498">
        <v>90.855885845225998</v>
      </c>
      <c r="AJ1498">
        <v>89.755920202645797</v>
      </c>
      <c r="AK1498">
        <v>75.011929142736307</v>
      </c>
      <c r="AL1498">
        <v>77.591249238672205</v>
      </c>
      <c r="AM1498">
        <v>87.328523823932102</v>
      </c>
      <c r="AN1498">
        <v>1.0000000399019899</v>
      </c>
    </row>
    <row r="1499" spans="1:40" x14ac:dyDescent="0.25">
      <c r="A1499" t="str">
        <f>"20190303170750560"</f>
        <v>20190303170750560</v>
      </c>
      <c r="B1499" t="str">
        <f>"1551604070553757"</f>
        <v>1551604070553757</v>
      </c>
      <c r="C1499" t="s">
        <v>40</v>
      </c>
      <c r="D1499">
        <v>3.9770370000000002</v>
      </c>
      <c r="E1499">
        <v>0.48852590000000001</v>
      </c>
      <c r="F1499" t="s">
        <v>63</v>
      </c>
      <c r="G1499">
        <v>-386.90100000000001</v>
      </c>
      <c r="H1499" s="1">
        <v>2.1355839999999999E-6</v>
      </c>
      <c r="I1499">
        <v>285.28919999999999</v>
      </c>
      <c r="J1499">
        <v>-309.23180000000002</v>
      </c>
      <c r="K1499">
        <v>1.1205149999999999</v>
      </c>
      <c r="L1499">
        <v>285.14789999999999</v>
      </c>
      <c r="M1499">
        <v>-0.99994070000000002</v>
      </c>
      <c r="N1499">
        <v>-1.0766019999999999E-2</v>
      </c>
      <c r="O1499">
        <v>-1.716357E-3</v>
      </c>
      <c r="P1499">
        <v>-0.97791139999999999</v>
      </c>
      <c r="Q1499">
        <v>0.2044581</v>
      </c>
      <c r="R1499">
        <v>4.3435389999999997E-2</v>
      </c>
      <c r="S1499">
        <v>-3.076813</v>
      </c>
      <c r="T1499">
        <v>-4.4171090000000003E-2</v>
      </c>
      <c r="U1499">
        <v>5.5541990000000001E-3</v>
      </c>
      <c r="V1499">
        <v>4.5270730000000002E-2</v>
      </c>
      <c r="W1499">
        <v>0.21494079999999999</v>
      </c>
      <c r="X1499">
        <v>0.97557729999999998</v>
      </c>
      <c r="Y1499">
        <v>3.5209809999999999E-3</v>
      </c>
      <c r="Z1499" s="1">
        <v>5.0388559999999998E-5</v>
      </c>
      <c r="AA1499">
        <v>0.99999380000000004</v>
      </c>
      <c r="AB1499">
        <v>37</v>
      </c>
      <c r="AC1499">
        <v>-77.669199999999904</v>
      </c>
      <c r="AD1499">
        <v>-1.1205128644159901</v>
      </c>
      <c r="AE1499">
        <v>0.14130000000000101</v>
      </c>
      <c r="AF1499">
        <v>0.27455843236743599</v>
      </c>
      <c r="AG1499">
        <v>-1.1205128644159901</v>
      </c>
      <c r="AH1499">
        <v>77.652681200156806</v>
      </c>
      <c r="AI1499">
        <v>90.826704248185905</v>
      </c>
      <c r="AJ1499">
        <v>89.797418793418203</v>
      </c>
      <c r="AK1499">
        <v>77.661250498464796</v>
      </c>
      <c r="AL1499">
        <v>77.587946149930602</v>
      </c>
      <c r="AM1499">
        <v>87.343150176767097</v>
      </c>
      <c r="AN1499">
        <v>1.00000002738733</v>
      </c>
    </row>
    <row r="1500" spans="1:40" x14ac:dyDescent="0.25">
      <c r="A1500" t="str">
        <f>"20190303170750593"</f>
        <v>20190303170750593</v>
      </c>
      <c r="B1500" t="str">
        <f>"1551604070584013"</f>
        <v>1551604070584013</v>
      </c>
      <c r="C1500" t="s">
        <v>40</v>
      </c>
      <c r="D1500">
        <v>3.9882369999999998</v>
      </c>
      <c r="E1500">
        <v>0.48841610000000002</v>
      </c>
      <c r="F1500" t="s">
        <v>63</v>
      </c>
      <c r="G1500">
        <v>-385.24439999999998</v>
      </c>
      <c r="H1500" s="1">
        <v>1.253992E-6</v>
      </c>
      <c r="I1500">
        <v>285.24740000000003</v>
      </c>
      <c r="J1500">
        <v>-309.79059999999998</v>
      </c>
      <c r="K1500">
        <v>1.120552</v>
      </c>
      <c r="L1500">
        <v>285.1474</v>
      </c>
      <c r="M1500">
        <v>-0.99993750000000003</v>
      </c>
      <c r="N1500">
        <v>-1.111063E-2</v>
      </c>
      <c r="O1500">
        <v>-1.3157570000000001E-3</v>
      </c>
      <c r="P1500">
        <v>-0.97795259999999995</v>
      </c>
      <c r="Q1500">
        <v>0.20405899999999999</v>
      </c>
      <c r="R1500">
        <v>4.4375030000000003E-2</v>
      </c>
      <c r="S1500">
        <v>-3.0770870000000001</v>
      </c>
      <c r="T1500">
        <v>-4.535985E-2</v>
      </c>
      <c r="U1500">
        <v>4.0283200000000002E-3</v>
      </c>
      <c r="V1500">
        <v>4.5820189999999997E-2</v>
      </c>
      <c r="W1500">
        <v>0.21487800000000001</v>
      </c>
      <c r="X1500">
        <v>0.97556540000000003</v>
      </c>
      <c r="Y1500">
        <v>2.6244599999999999E-3</v>
      </c>
      <c r="Z1500" s="1">
        <v>3.8699879999999997E-5</v>
      </c>
      <c r="AA1500">
        <v>0.99999649999999995</v>
      </c>
      <c r="AB1500">
        <v>37</v>
      </c>
      <c r="AC1500">
        <v>-75.453800000000001</v>
      </c>
      <c r="AD1500">
        <v>-1.120550746008</v>
      </c>
      <c r="AE1500">
        <v>0.100000000000022</v>
      </c>
      <c r="AF1500">
        <v>0.199240956434728</v>
      </c>
      <c r="AG1500">
        <v>-1.120550746008</v>
      </c>
      <c r="AH1500">
        <v>75.436965740047597</v>
      </c>
      <c r="AI1500">
        <v>90.851013592275294</v>
      </c>
      <c r="AJ1500">
        <v>89.848673137183695</v>
      </c>
      <c r="AK1500">
        <v>75.445550770063406</v>
      </c>
      <c r="AL1500">
        <v>77.591629400251406</v>
      </c>
      <c r="AM1500">
        <v>87.3109177493576</v>
      </c>
      <c r="AN1500">
        <v>0.99999994718639595</v>
      </c>
    </row>
    <row r="1501" spans="1:40" x14ac:dyDescent="0.25">
      <c r="A1501" t="str">
        <f>"20190303170750615"</f>
        <v>20190303170750615</v>
      </c>
      <c r="B1501" t="str">
        <f>"1551604070604509"</f>
        <v>1551604070604509</v>
      </c>
      <c r="C1501" t="s">
        <v>40</v>
      </c>
      <c r="D1501">
        <v>4.0250570000000003</v>
      </c>
      <c r="E1501">
        <v>0.48838910000000002</v>
      </c>
      <c r="F1501" t="s">
        <v>63</v>
      </c>
      <c r="G1501">
        <v>-382.37990000000002</v>
      </c>
      <c r="H1501" s="1">
        <v>-2.7034579999999999E-7</v>
      </c>
      <c r="I1501">
        <v>285.29140000000001</v>
      </c>
      <c r="J1501">
        <v>-310.1377</v>
      </c>
      <c r="K1501">
        <v>1.12059</v>
      </c>
      <c r="L1501">
        <v>285.1472</v>
      </c>
      <c r="M1501">
        <v>-0.99993540000000003</v>
      </c>
      <c r="N1501">
        <v>-1.132998E-2</v>
      </c>
      <c r="O1501">
        <v>-1.068299E-3</v>
      </c>
      <c r="P1501">
        <v>-0.9779369</v>
      </c>
      <c r="Q1501">
        <v>0.204097</v>
      </c>
      <c r="R1501">
        <v>4.4543180000000002E-2</v>
      </c>
      <c r="S1501">
        <v>-3.0773009999999998</v>
      </c>
      <c r="T1501">
        <v>-4.7503950000000003E-2</v>
      </c>
      <c r="U1501">
        <v>6.1035159999999998E-3</v>
      </c>
      <c r="V1501">
        <v>4.5744359999999998E-2</v>
      </c>
      <c r="W1501">
        <v>0.21512990000000001</v>
      </c>
      <c r="X1501">
        <v>0.97551350000000003</v>
      </c>
      <c r="Y1501">
        <v>3.05112E-3</v>
      </c>
      <c r="Z1501" s="1">
        <v>4.5221620000000002E-5</v>
      </c>
      <c r="AA1501">
        <v>0.99999539999999998</v>
      </c>
      <c r="AB1501">
        <v>37</v>
      </c>
      <c r="AC1501">
        <v>-72.242199999999997</v>
      </c>
      <c r="AD1501">
        <v>-1.1205902703457999</v>
      </c>
      <c r="AE1501">
        <v>0.14420000000001201</v>
      </c>
      <c r="AF1501">
        <v>0.22132787632904499</v>
      </c>
      <c r="AG1501">
        <v>-1.1205902703457999</v>
      </c>
      <c r="AH1501">
        <v>72.224626890438799</v>
      </c>
      <c r="AI1501">
        <v>90.888888502758704</v>
      </c>
      <c r="AJ1501">
        <v>89.824421197406707</v>
      </c>
      <c r="AK1501">
        <v>72.233658622874202</v>
      </c>
      <c r="AL1501">
        <v>77.576851695658206</v>
      </c>
      <c r="AM1501">
        <v>87.315218901455296</v>
      </c>
      <c r="AN1501">
        <v>1.00000000451403</v>
      </c>
    </row>
    <row r="1502" spans="1:40" x14ac:dyDescent="0.25">
      <c r="A1502" t="str">
        <f>"20190303170750636"</f>
        <v>20190303170750636</v>
      </c>
      <c r="B1502" t="str">
        <f>"1551604070624029"</f>
        <v>1551604070624029</v>
      </c>
      <c r="C1502" t="s">
        <v>40</v>
      </c>
      <c r="D1502">
        <v>4.0642779999999998</v>
      </c>
      <c r="E1502">
        <v>0.49270140000000001</v>
      </c>
      <c r="F1502" t="s">
        <v>63</v>
      </c>
      <c r="G1502">
        <v>-383.64080000000001</v>
      </c>
      <c r="H1502" s="1">
        <v>4.0067660000000001E-7</v>
      </c>
      <c r="I1502">
        <v>285.3098</v>
      </c>
      <c r="J1502">
        <v>-310.49939999999998</v>
      </c>
      <c r="K1502">
        <v>1.120627</v>
      </c>
      <c r="L1502">
        <v>285.1472</v>
      </c>
      <c r="M1502">
        <v>-0.99993290000000001</v>
      </c>
      <c r="N1502">
        <v>-1.1555289999999999E-2</v>
      </c>
      <c r="O1502">
        <v>-8.0366179999999995E-4</v>
      </c>
      <c r="P1502">
        <v>-0.9777787</v>
      </c>
      <c r="Q1502">
        <v>0.20470089999999999</v>
      </c>
      <c r="R1502">
        <v>4.5237670000000001E-2</v>
      </c>
      <c r="S1502">
        <v>-3.0771790000000001</v>
      </c>
      <c r="T1502">
        <v>-4.6913030000000001E-2</v>
      </c>
      <c r="U1502">
        <v>6.8054200000000004E-3</v>
      </c>
      <c r="V1502">
        <v>4.6176040000000002E-2</v>
      </c>
      <c r="W1502">
        <v>0.21595310000000001</v>
      </c>
      <c r="X1502">
        <v>0.97531120000000004</v>
      </c>
      <c r="Y1502">
        <v>3.0146639999999998E-3</v>
      </c>
      <c r="Z1502" s="1">
        <v>4.336342E-5</v>
      </c>
      <c r="AA1502">
        <v>0.99999550000000004</v>
      </c>
      <c r="AB1502">
        <v>37</v>
      </c>
      <c r="AC1502">
        <v>-73.141400000000004</v>
      </c>
      <c r="AD1502">
        <v>-1.1206265993233999</v>
      </c>
      <c r="AE1502">
        <v>0.162599999999997</v>
      </c>
      <c r="AF1502">
        <v>0.22133286573917599</v>
      </c>
      <c r="AG1502">
        <v>-1.1206265993233999</v>
      </c>
      <c r="AH1502">
        <v>73.124080306218104</v>
      </c>
      <c r="AI1502">
        <v>90.877985124313199</v>
      </c>
      <c r="AJ1502">
        <v>89.826576959407802</v>
      </c>
      <c r="AK1502">
        <v>73.133001530381605</v>
      </c>
      <c r="AL1502">
        <v>77.528549813260199</v>
      </c>
      <c r="AM1502">
        <v>87.289359487857894</v>
      </c>
      <c r="AN1502">
        <v>0.99999995245756401</v>
      </c>
    </row>
    <row r="1503" spans="1:40" x14ac:dyDescent="0.25">
      <c r="A1503" t="str">
        <f>"20190303170750661"</f>
        <v>20190303170750661</v>
      </c>
      <c r="B1503" t="str">
        <f>"1551604070654286"</f>
        <v>1551604070654286</v>
      </c>
      <c r="C1503" t="s">
        <v>40</v>
      </c>
      <c r="D1503">
        <v>4.0791750000000002</v>
      </c>
      <c r="E1503">
        <v>0.49236600000000003</v>
      </c>
      <c r="F1503" t="s">
        <v>45</v>
      </c>
      <c r="G1503">
        <v>0</v>
      </c>
      <c r="H1503">
        <v>0</v>
      </c>
      <c r="I1503">
        <v>0</v>
      </c>
      <c r="J1503">
        <v>-310.89589999999998</v>
      </c>
      <c r="K1503">
        <v>1.120665</v>
      </c>
      <c r="L1503">
        <v>285.1472</v>
      </c>
      <c r="M1503">
        <v>-0.99993010000000004</v>
      </c>
      <c r="N1503">
        <v>-1.1807659999999999E-2</v>
      </c>
      <c r="O1503">
        <v>-5.1036279999999896E-4</v>
      </c>
      <c r="P1503">
        <v>-0.97775860000000003</v>
      </c>
      <c r="Q1503">
        <v>0.20474919999999999</v>
      </c>
      <c r="R1503">
        <v>4.5452069999999997E-2</v>
      </c>
      <c r="S1503">
        <v>-3.0640869999999998</v>
      </c>
      <c r="T1503">
        <v>9.2450380000000006E-3</v>
      </c>
      <c r="U1503">
        <v>4.6173100000000002E-2</v>
      </c>
      <c r="V1503">
        <v>4.609949E-2</v>
      </c>
      <c r="W1503">
        <v>0.2162483</v>
      </c>
      <c r="X1503">
        <v>0.97524949999999999</v>
      </c>
      <c r="Y1503">
        <v>1.55779E-2</v>
      </c>
      <c r="Z1503" s="1">
        <v>6.0911700000000002E-5</v>
      </c>
      <c r="AA1503">
        <v>0.99987859999999995</v>
      </c>
      <c r="AB1503">
        <v>37</v>
      </c>
      <c r="AC1503">
        <v>-3.0640869999999998</v>
      </c>
      <c r="AD1503">
        <v>9.2450380000000006E-3</v>
      </c>
      <c r="AE1503">
        <v>4.6173100000000002E-2</v>
      </c>
      <c r="AF1503">
        <v>4.7736564641865202E-2</v>
      </c>
      <c r="AG1503">
        <v>9.2450380000000006E-3</v>
      </c>
      <c r="AH1503">
        <v>3.0640351466664399</v>
      </c>
      <c r="AI1503">
        <v>89.827144353000193</v>
      </c>
      <c r="AJ1503">
        <v>89.107424591789496</v>
      </c>
      <c r="AK1503">
        <v>3.0644209290400499</v>
      </c>
      <c r="AL1503">
        <v>77.511227868491304</v>
      </c>
      <c r="AM1503">
        <v>87.293675512064695</v>
      </c>
      <c r="AN1503">
        <v>1.00000003874069</v>
      </c>
    </row>
    <row r="1504" spans="1:40" x14ac:dyDescent="0.25">
      <c r="A1504" t="str">
        <f>"20190303170750685"</f>
        <v>20190303170750685</v>
      </c>
      <c r="B1504" t="str">
        <f>"1551604070673805"</f>
        <v>1551604070673805</v>
      </c>
      <c r="C1504" t="s">
        <v>40</v>
      </c>
      <c r="D1504">
        <v>4.0952760000000001</v>
      </c>
      <c r="E1504">
        <v>0.49212460000000002</v>
      </c>
      <c r="F1504" t="s">
        <v>45</v>
      </c>
      <c r="G1504">
        <v>0</v>
      </c>
      <c r="H1504">
        <v>0</v>
      </c>
      <c r="I1504">
        <v>0</v>
      </c>
      <c r="J1504">
        <v>-311.28730000000002</v>
      </c>
      <c r="K1504">
        <v>1.1207039999999999</v>
      </c>
      <c r="L1504">
        <v>285.14729999999997</v>
      </c>
      <c r="M1504">
        <v>-0.99992740000000002</v>
      </c>
      <c r="N1504">
        <v>-1.2063040000000001E-2</v>
      </c>
      <c r="O1504">
        <v>-2.2173089999999999E-4</v>
      </c>
      <c r="P1504">
        <v>-0.97783880000000001</v>
      </c>
      <c r="Q1504">
        <v>0.2043807</v>
      </c>
      <c r="R1504">
        <v>4.5390430000000002E-2</v>
      </c>
      <c r="S1504">
        <v>-3.0637509999999999</v>
      </c>
      <c r="T1504">
        <v>1.171708E-2</v>
      </c>
      <c r="U1504">
        <v>4.4036869999999999E-2</v>
      </c>
      <c r="V1504">
        <v>4.5752790000000002E-2</v>
      </c>
      <c r="W1504">
        <v>0.21613099999999999</v>
      </c>
      <c r="X1504">
        <v>0.97529180000000004</v>
      </c>
      <c r="Y1504">
        <v>1.459396E-2</v>
      </c>
      <c r="Z1504" s="1">
        <v>5.6602959999999902E-5</v>
      </c>
      <c r="AA1504">
        <v>0.99989349999999999</v>
      </c>
      <c r="AB1504">
        <v>37</v>
      </c>
      <c r="AC1504">
        <v>-3.0637509999999999</v>
      </c>
      <c r="AD1504">
        <v>1.171708E-2</v>
      </c>
      <c r="AE1504">
        <v>4.4036869999999999E-2</v>
      </c>
      <c r="AF1504">
        <v>4.4715592605393997E-2</v>
      </c>
      <c r="AG1504">
        <v>1.171708E-2</v>
      </c>
      <c r="AH1504">
        <v>3.0636963586154602</v>
      </c>
      <c r="AI1504">
        <v>89.780897194885696</v>
      </c>
      <c r="AJ1504">
        <v>89.163809811617497</v>
      </c>
      <c r="AK1504">
        <v>3.06404506363392</v>
      </c>
      <c r="AL1504">
        <v>77.5181110991075</v>
      </c>
      <c r="AM1504">
        <v>87.314115346835493</v>
      </c>
      <c r="AN1504">
        <v>1.0000000110505101</v>
      </c>
    </row>
    <row r="1505" spans="1:40" x14ac:dyDescent="0.25">
      <c r="A1505" t="str">
        <f>"20190303170750704"</f>
        <v>20190303170750704</v>
      </c>
      <c r="B1505" t="str">
        <f>"1551604070694301"</f>
        <v>1551604070694301</v>
      </c>
      <c r="C1505" t="s">
        <v>40</v>
      </c>
      <c r="D1505">
        <v>4.1450250000000004</v>
      </c>
      <c r="E1505">
        <v>0.49184699999999998</v>
      </c>
      <c r="F1505" t="s">
        <v>45</v>
      </c>
      <c r="G1505">
        <v>0</v>
      </c>
      <c r="H1505">
        <v>0</v>
      </c>
      <c r="I1505">
        <v>0</v>
      </c>
      <c r="J1505">
        <v>-311.60419999999999</v>
      </c>
      <c r="K1505">
        <v>1.1207320000000001</v>
      </c>
      <c r="L1505">
        <v>285.1474</v>
      </c>
      <c r="M1505">
        <v>-0.9999247</v>
      </c>
      <c r="N1505">
        <v>-1.227207E-2</v>
      </c>
      <c r="O1505" s="1">
        <v>9.843734E-6</v>
      </c>
      <c r="P1505">
        <v>-0.9779137</v>
      </c>
      <c r="Q1505">
        <v>0.2040324</v>
      </c>
      <c r="R1505">
        <v>4.5338429999999999E-2</v>
      </c>
      <c r="S1505">
        <v>-3.0636290000000002</v>
      </c>
      <c r="T1505">
        <v>1.1401649999999999E-2</v>
      </c>
      <c r="U1505">
        <v>4.2175289999999997E-2</v>
      </c>
      <c r="V1505">
        <v>4.5472970000000001E-2</v>
      </c>
      <c r="W1505">
        <v>0.2159876</v>
      </c>
      <c r="X1505">
        <v>0.97533669999999995</v>
      </c>
      <c r="Y1505">
        <v>1.375552E-2</v>
      </c>
      <c r="Z1505" s="1">
        <v>5.8973230000000002E-5</v>
      </c>
      <c r="AA1505">
        <v>0.99990540000000006</v>
      </c>
      <c r="AB1505">
        <v>37</v>
      </c>
      <c r="AC1505">
        <v>-3.0636290000000002</v>
      </c>
      <c r="AD1505">
        <v>1.1401649999999999E-2</v>
      </c>
      <c r="AE1505">
        <v>4.2175289999999997E-2</v>
      </c>
      <c r="AF1505">
        <v>4.2144546568738603E-2</v>
      </c>
      <c r="AG1505">
        <v>1.1401649999999999E-2</v>
      </c>
      <c r="AH1505">
        <v>3.0635869911065199</v>
      </c>
      <c r="AI1505">
        <v>89.786785357641406</v>
      </c>
      <c r="AJ1505">
        <v>89.211854486483105</v>
      </c>
      <c r="AK1505">
        <v>3.0638980747579199</v>
      </c>
      <c r="AL1505">
        <v>77.526526647728204</v>
      </c>
      <c r="AM1505">
        <v>87.330640857058299</v>
      </c>
      <c r="AN1505">
        <v>1.0000000563606299</v>
      </c>
    </row>
    <row r="1506" spans="1:40" x14ac:dyDescent="0.25">
      <c r="A1506" t="str">
        <f>"20190303170750726"</f>
        <v>20190303170750726</v>
      </c>
      <c r="B1506" t="str">
        <f>"1551604070713821"</f>
        <v>1551604070713821</v>
      </c>
      <c r="C1506" t="s">
        <v>40</v>
      </c>
      <c r="D1506">
        <v>4.1064530000000001</v>
      </c>
      <c r="E1506">
        <v>0.49212349999999999</v>
      </c>
      <c r="F1506" t="s">
        <v>45</v>
      </c>
      <c r="G1506">
        <v>0</v>
      </c>
      <c r="H1506">
        <v>0</v>
      </c>
      <c r="I1506">
        <v>0</v>
      </c>
      <c r="J1506">
        <v>-311.96620000000001</v>
      </c>
      <c r="K1506">
        <v>1.120762</v>
      </c>
      <c r="L1506">
        <v>285.14769999999999</v>
      </c>
      <c r="M1506">
        <v>-0.99992179999999997</v>
      </c>
      <c r="N1506">
        <v>-1.2514559999999999E-2</v>
      </c>
      <c r="O1506">
        <v>2.7155540000000001E-4</v>
      </c>
      <c r="P1506">
        <v>-0.97792179999999995</v>
      </c>
      <c r="Q1506">
        <v>0.2039474</v>
      </c>
      <c r="R1506">
        <v>4.5547129999999998E-2</v>
      </c>
      <c r="S1506">
        <v>-3.0635680000000001</v>
      </c>
      <c r="T1506">
        <v>1.1279819999999999E-2</v>
      </c>
      <c r="U1506">
        <v>3.9337160000000003E-2</v>
      </c>
      <c r="V1506">
        <v>4.5425439999999997E-2</v>
      </c>
      <c r="W1506">
        <v>0.21613979999999999</v>
      </c>
      <c r="X1506">
        <v>0.97530510000000004</v>
      </c>
      <c r="Y1506">
        <v>1.256794E-2</v>
      </c>
      <c r="Z1506" s="1">
        <v>5.9908870000000003E-5</v>
      </c>
      <c r="AA1506">
        <v>0.99992099999999995</v>
      </c>
      <c r="AB1506">
        <v>37</v>
      </c>
      <c r="AC1506">
        <v>-3.0635680000000001</v>
      </c>
      <c r="AD1506">
        <v>1.1279819999999999E-2</v>
      </c>
      <c r="AE1506">
        <v>3.9337160000000003E-2</v>
      </c>
      <c r="AF1506">
        <v>3.8504643180285097E-2</v>
      </c>
      <c r="AG1506">
        <v>1.1279819999999999E-2</v>
      </c>
      <c r="AH1506">
        <v>3.06353704592087</v>
      </c>
      <c r="AI1506">
        <v>89.789056861828897</v>
      </c>
      <c r="AJ1506">
        <v>89.279905105204705</v>
      </c>
      <c r="AK1506">
        <v>3.06379977701142</v>
      </c>
      <c r="AL1506">
        <v>77.517594054191406</v>
      </c>
      <c r="AM1506">
        <v>87.333340666317994</v>
      </c>
      <c r="AN1506">
        <v>0.99999996091462096</v>
      </c>
    </row>
    <row r="1507" spans="1:40" x14ac:dyDescent="0.25">
      <c r="A1507" t="str">
        <f>"20190303170750748"</f>
        <v>20190303170750748</v>
      </c>
      <c r="B1507" t="str">
        <f>"1551604070734318"</f>
        <v>1551604070734318</v>
      </c>
      <c r="C1507" t="s">
        <v>40</v>
      </c>
      <c r="D1507">
        <v>4.1095360000000003</v>
      </c>
      <c r="E1507">
        <v>0.49234290000000003</v>
      </c>
      <c r="F1507" t="s">
        <v>45</v>
      </c>
      <c r="G1507">
        <v>0</v>
      </c>
      <c r="H1507">
        <v>0</v>
      </c>
      <c r="I1507">
        <v>0</v>
      </c>
      <c r="J1507">
        <v>-312.33969999999999</v>
      </c>
      <c r="K1507">
        <v>1.1207830000000001</v>
      </c>
      <c r="L1507">
        <v>285.1481</v>
      </c>
      <c r="M1507">
        <v>-0.99991850000000004</v>
      </c>
      <c r="N1507">
        <v>-1.276163E-2</v>
      </c>
      <c r="O1507">
        <v>5.398992E-4</v>
      </c>
      <c r="P1507">
        <v>-0.97792369999999995</v>
      </c>
      <c r="Q1507">
        <v>0.20380770000000001</v>
      </c>
      <c r="R1507">
        <v>4.6128820000000001E-2</v>
      </c>
      <c r="S1507">
        <v>-3.0639340000000002</v>
      </c>
      <c r="T1507">
        <v>8.9547629999999993E-3</v>
      </c>
      <c r="U1507">
        <v>4.1564940000000002E-2</v>
      </c>
      <c r="V1507">
        <v>4.5744989999999999E-2</v>
      </c>
      <c r="W1507">
        <v>0.21624090000000001</v>
      </c>
      <c r="X1507">
        <v>0.97526780000000002</v>
      </c>
      <c r="Y1507">
        <v>1.302498E-2</v>
      </c>
      <c r="Z1507" s="1">
        <v>7.2551610000000006E-5</v>
      </c>
      <c r="AA1507">
        <v>0.9999152</v>
      </c>
      <c r="AB1507">
        <v>37</v>
      </c>
      <c r="AC1507">
        <v>-3.0639340000000002</v>
      </c>
      <c r="AD1507">
        <v>8.9547629999999993E-3</v>
      </c>
      <c r="AE1507">
        <v>4.1564940000000002E-2</v>
      </c>
      <c r="AF1507">
        <v>3.9910242994682203E-2</v>
      </c>
      <c r="AG1507">
        <v>8.9547629999999993E-3</v>
      </c>
      <c r="AH1507">
        <v>3.0639298294169501</v>
      </c>
      <c r="AI1507">
        <v>89.832559760452199</v>
      </c>
      <c r="AJ1507">
        <v>89.253716862290105</v>
      </c>
      <c r="AK1507">
        <v>3.06420283513792</v>
      </c>
      <c r="AL1507">
        <v>77.511661720970693</v>
      </c>
      <c r="AM1507">
        <v>87.314506581945096</v>
      </c>
      <c r="AN1507">
        <v>1.00000000632987</v>
      </c>
    </row>
    <row r="1508" spans="1:40" x14ac:dyDescent="0.25">
      <c r="A1508" t="str">
        <f>"20190303170750772"</f>
        <v>20190303170750772</v>
      </c>
      <c r="B1508" t="str">
        <f>"1551604070763597"</f>
        <v>1551604070763597</v>
      </c>
      <c r="C1508" t="s">
        <v>40</v>
      </c>
      <c r="D1508">
        <v>4.1584570000000003</v>
      </c>
      <c r="E1508">
        <v>0.49211450000000001</v>
      </c>
      <c r="F1508" t="s">
        <v>45</v>
      </c>
      <c r="G1508">
        <v>0</v>
      </c>
      <c r="H1508">
        <v>0</v>
      </c>
      <c r="I1508">
        <v>0</v>
      </c>
      <c r="J1508">
        <v>-312.72469999999998</v>
      </c>
      <c r="K1508">
        <v>1.1208049999999901</v>
      </c>
      <c r="L1508">
        <v>285.14859999999999</v>
      </c>
      <c r="M1508">
        <v>-0.9999152</v>
      </c>
      <c r="N1508">
        <v>-1.300258E-2</v>
      </c>
      <c r="O1508">
        <v>8.1665830000000005E-4</v>
      </c>
      <c r="P1508">
        <v>-0.97783509999999996</v>
      </c>
      <c r="Q1508">
        <v>0.20399990000000001</v>
      </c>
      <c r="R1508">
        <v>4.7147090000000003E-2</v>
      </c>
      <c r="S1508">
        <v>-3.0640260000000001</v>
      </c>
      <c r="T1508">
        <v>7.5877899999999996E-3</v>
      </c>
      <c r="U1508">
        <v>4.4799800000000001E-2</v>
      </c>
      <c r="V1508">
        <v>4.6493239999999998E-2</v>
      </c>
      <c r="W1508">
        <v>0.21666640000000001</v>
      </c>
      <c r="X1508">
        <v>0.9751379</v>
      </c>
      <c r="Y1508">
        <v>1.3803289999999999E-2</v>
      </c>
      <c r="Z1508" s="1">
        <v>8.5297520000000003E-5</v>
      </c>
      <c r="AA1508">
        <v>0.99990480000000004</v>
      </c>
      <c r="AB1508">
        <v>37</v>
      </c>
      <c r="AC1508">
        <v>-3.0640260000000001</v>
      </c>
      <c r="AD1508">
        <v>7.5877899999999996E-3</v>
      </c>
      <c r="AE1508">
        <v>4.4799800000000001E-2</v>
      </c>
      <c r="AF1508">
        <v>4.2297052082666702E-2</v>
      </c>
      <c r="AG1508">
        <v>7.5877899999999996E-3</v>
      </c>
      <c r="AH1508">
        <v>3.0640427807205901</v>
      </c>
      <c r="AI1508">
        <v>89.858126642248607</v>
      </c>
      <c r="AJ1508">
        <v>89.209120490621501</v>
      </c>
      <c r="AK1508">
        <v>3.0643441022930098</v>
      </c>
      <c r="AL1508">
        <v>77.486689488370402</v>
      </c>
      <c r="AM1508">
        <v>87.270282869528302</v>
      </c>
      <c r="AN1508">
        <v>0.99999993713553104</v>
      </c>
    </row>
    <row r="1509" spans="1:40" x14ac:dyDescent="0.25">
      <c r="A1509" t="str">
        <f>"20190303170750793"</f>
        <v>20190303170750793</v>
      </c>
      <c r="B1509" t="str">
        <f>"1551604070784093"</f>
        <v>1551604070784093</v>
      </c>
      <c r="C1509" t="s">
        <v>40</v>
      </c>
      <c r="D1509">
        <v>4.1494580000000001</v>
      </c>
      <c r="E1509">
        <v>0.49214439999999998</v>
      </c>
      <c r="F1509" t="s">
        <v>45</v>
      </c>
      <c r="G1509">
        <v>0</v>
      </c>
      <c r="H1509">
        <v>0</v>
      </c>
      <c r="I1509">
        <v>0</v>
      </c>
      <c r="J1509">
        <v>-313.07190000000003</v>
      </c>
      <c r="K1509">
        <v>1.1208260000000001</v>
      </c>
      <c r="L1509">
        <v>285.14909999999998</v>
      </c>
      <c r="M1509">
        <v>-0.99991229999999998</v>
      </c>
      <c r="N1509">
        <v>-1.3205120000000001E-2</v>
      </c>
      <c r="O1509">
        <v>1.066801E-3</v>
      </c>
      <c r="P1509">
        <v>-0.97790909999999998</v>
      </c>
      <c r="Q1509">
        <v>0.2034569</v>
      </c>
      <c r="R1509">
        <v>4.7951250000000001E-2</v>
      </c>
      <c r="S1509">
        <v>-3.0641479999999999</v>
      </c>
      <c r="T1509">
        <v>7.6417919999999997E-3</v>
      </c>
      <c r="U1509">
        <v>4.6081539999999997E-2</v>
      </c>
      <c r="V1509">
        <v>4.7052539999999997E-2</v>
      </c>
      <c r="W1509">
        <v>0.2163223</v>
      </c>
      <c r="X1509">
        <v>0.97518749999999998</v>
      </c>
      <c r="Y1509">
        <v>1.397078E-2</v>
      </c>
      <c r="Z1509" s="1">
        <v>9.1578779999999997E-5</v>
      </c>
      <c r="AA1509">
        <v>0.99990239999999997</v>
      </c>
      <c r="AB1509">
        <v>37</v>
      </c>
      <c r="AC1509">
        <v>-3.0641479999999999</v>
      </c>
      <c r="AD1509">
        <v>7.6417919999999997E-3</v>
      </c>
      <c r="AE1509">
        <v>4.6081539999999997E-2</v>
      </c>
      <c r="AF1509">
        <v>4.2812126562182098E-2</v>
      </c>
      <c r="AG1509">
        <v>7.6417919999999997E-3</v>
      </c>
      <c r="AH1509">
        <v>3.0641763661988199</v>
      </c>
      <c r="AI1509">
        <v>89.8571235007458</v>
      </c>
      <c r="AJ1509">
        <v>89.199525655723704</v>
      </c>
      <c r="AK1509">
        <v>3.0644849613494798</v>
      </c>
      <c r="AL1509">
        <v>77.506884312655203</v>
      </c>
      <c r="AM1509">
        <v>87.237636030244303</v>
      </c>
      <c r="AN1509">
        <v>0.999999969576995</v>
      </c>
    </row>
    <row r="1510" spans="1:40" x14ac:dyDescent="0.25">
      <c r="A1510" t="str">
        <f>"20190303170750816"</f>
        <v>20190303170750816</v>
      </c>
      <c r="B1510" t="str">
        <f>"1551604070803613"</f>
        <v>1551604070803613</v>
      </c>
      <c r="C1510" t="s">
        <v>40</v>
      </c>
      <c r="D1510">
        <v>4.1530250000000004</v>
      </c>
      <c r="E1510">
        <v>0.4923265</v>
      </c>
      <c r="F1510" t="s">
        <v>45</v>
      </c>
      <c r="G1510">
        <v>0</v>
      </c>
      <c r="H1510">
        <v>0</v>
      </c>
      <c r="I1510">
        <v>0</v>
      </c>
      <c r="J1510">
        <v>-313.44240000000002</v>
      </c>
      <c r="K1510">
        <v>1.1208499999999999</v>
      </c>
      <c r="L1510">
        <v>285.14980000000003</v>
      </c>
      <c r="M1510">
        <v>-0.9999093</v>
      </c>
      <c r="N1510">
        <v>-1.340211E-2</v>
      </c>
      <c r="O1510">
        <v>1.3329240000000001E-3</v>
      </c>
      <c r="P1510">
        <v>-0.97783399999999998</v>
      </c>
      <c r="Q1510">
        <v>0.20359569999999999</v>
      </c>
      <c r="R1510">
        <v>4.8882210000000002E-2</v>
      </c>
      <c r="S1510">
        <v>-3.0643009999999999</v>
      </c>
      <c r="T1510">
        <v>5.4008959999999996E-3</v>
      </c>
      <c r="U1510">
        <v>4.8797609999999998E-2</v>
      </c>
      <c r="V1510">
        <v>4.7723260000000003E-2</v>
      </c>
      <c r="W1510">
        <v>0.2166515</v>
      </c>
      <c r="X1510">
        <v>0.97508189999999995</v>
      </c>
      <c r="Y1510">
        <v>1.4589950000000001E-2</v>
      </c>
      <c r="Z1510">
        <v>1.051342E-4</v>
      </c>
      <c r="AA1510">
        <v>0.99989349999999999</v>
      </c>
      <c r="AB1510">
        <v>36</v>
      </c>
      <c r="AC1510">
        <v>-3.0643009999999999</v>
      </c>
      <c r="AD1510">
        <v>5.4008959999999996E-3</v>
      </c>
      <c r="AE1510">
        <v>4.8797609999999998E-2</v>
      </c>
      <c r="AF1510">
        <v>4.4712580566882501E-2</v>
      </c>
      <c r="AG1510">
        <v>5.4008959999999996E-3</v>
      </c>
      <c r="AH1510">
        <v>3.0643538097612502</v>
      </c>
      <c r="AI1510">
        <v>89.899027557101306</v>
      </c>
      <c r="AJ1510">
        <v>89.1640454947552</v>
      </c>
      <c r="AK1510">
        <v>3.0646847563716699</v>
      </c>
      <c r="AL1510">
        <v>77.487565361788697</v>
      </c>
      <c r="AM1510">
        <v>87.198018715307995</v>
      </c>
      <c r="AN1510">
        <v>1.0000000468524399</v>
      </c>
    </row>
    <row r="1511" spans="1:40" x14ac:dyDescent="0.25">
      <c r="A1511" t="str">
        <f>"20190303170750838"</f>
        <v>20190303170750838</v>
      </c>
      <c r="B1511" t="str">
        <f>"1551604070824109"</f>
        <v>1551604070824109</v>
      </c>
      <c r="C1511" t="s">
        <v>40</v>
      </c>
      <c r="D1511">
        <v>4.181514</v>
      </c>
      <c r="E1511">
        <v>0.49239270000000002</v>
      </c>
      <c r="F1511" t="s">
        <v>45</v>
      </c>
      <c r="G1511">
        <v>0</v>
      </c>
      <c r="H1511">
        <v>0</v>
      </c>
      <c r="I1511">
        <v>0</v>
      </c>
      <c r="J1511">
        <v>-313.79829999999998</v>
      </c>
      <c r="K1511">
        <v>1.120868</v>
      </c>
      <c r="L1511">
        <v>285.15050000000002</v>
      </c>
      <c r="M1511">
        <v>-0.99990679999999998</v>
      </c>
      <c r="N1511">
        <v>-1.357187E-2</v>
      </c>
      <c r="O1511">
        <v>1.5841539999999999E-3</v>
      </c>
      <c r="P1511">
        <v>-0.9778251</v>
      </c>
      <c r="Q1511">
        <v>0.2034685</v>
      </c>
      <c r="R1511">
        <v>4.9590290000000002E-2</v>
      </c>
      <c r="S1511">
        <v>-3.064209</v>
      </c>
      <c r="T1511">
        <v>5.3254369999999997E-3</v>
      </c>
      <c r="U1511">
        <v>5.2917480000000003E-2</v>
      </c>
      <c r="V1511">
        <v>4.8184640000000001E-2</v>
      </c>
      <c r="W1511">
        <v>0.21668960000000001</v>
      </c>
      <c r="X1511">
        <v>0.97505070000000005</v>
      </c>
      <c r="Y1511">
        <v>1.5683229999999999E-2</v>
      </c>
      <c r="Z1511">
        <v>1.1706250000000001E-4</v>
      </c>
      <c r="AA1511">
        <v>0.99987700000000002</v>
      </c>
      <c r="AB1511">
        <v>36</v>
      </c>
      <c r="AC1511">
        <v>-3.064209</v>
      </c>
      <c r="AD1511">
        <v>5.3254369999999997E-3</v>
      </c>
      <c r="AE1511">
        <v>5.2917480000000003E-2</v>
      </c>
      <c r="AF1511">
        <v>4.8062643156899697E-2</v>
      </c>
      <c r="AG1511">
        <v>5.3254369999999997E-3</v>
      </c>
      <c r="AH1511">
        <v>3.0642797387643501</v>
      </c>
      <c r="AI1511">
        <v>89.900437539123502</v>
      </c>
      <c r="AJ1511">
        <v>89.101400312454601</v>
      </c>
      <c r="AK1511">
        <v>3.0646612692674799</v>
      </c>
      <c r="AL1511">
        <v>77.485328740729102</v>
      </c>
      <c r="AM1511">
        <v>87.170883077562195</v>
      </c>
      <c r="AN1511">
        <v>1.00000000492529</v>
      </c>
    </row>
    <row r="1512" spans="1:40" x14ac:dyDescent="0.25">
      <c r="A1512" t="str">
        <f>"20190303170750862"</f>
        <v>20190303170750862</v>
      </c>
      <c r="B1512" t="str">
        <f>"1551604070854365"</f>
        <v>1551604070854365</v>
      </c>
      <c r="C1512" t="s">
        <v>40</v>
      </c>
      <c r="D1512">
        <v>4.159033</v>
      </c>
      <c r="E1512">
        <v>0.49248649999999999</v>
      </c>
      <c r="F1512" t="s">
        <v>45</v>
      </c>
      <c r="G1512">
        <v>0</v>
      </c>
      <c r="H1512">
        <v>0</v>
      </c>
      <c r="I1512">
        <v>0</v>
      </c>
      <c r="J1512">
        <v>-314.17739999999998</v>
      </c>
      <c r="K1512">
        <v>1.120887</v>
      </c>
      <c r="L1512">
        <v>285.15140000000002</v>
      </c>
      <c r="M1512">
        <v>-0.99990400000000002</v>
      </c>
      <c r="N1512">
        <v>-1.3732400000000001E-2</v>
      </c>
      <c r="O1512">
        <v>1.840541E-3</v>
      </c>
      <c r="P1512">
        <v>-0.977773</v>
      </c>
      <c r="Q1512">
        <v>0.20352899999999999</v>
      </c>
      <c r="R1512">
        <v>5.0359889999999997E-2</v>
      </c>
      <c r="S1512">
        <v>-3.0643009999999999</v>
      </c>
      <c r="T1512">
        <v>4.7819610000000004E-3</v>
      </c>
      <c r="U1512">
        <v>5.4443360000000003E-2</v>
      </c>
      <c r="V1512">
        <v>4.8700060000000003E-2</v>
      </c>
      <c r="W1512">
        <v>0.21690699999999999</v>
      </c>
      <c r="X1512">
        <v>0.97497670000000003</v>
      </c>
      <c r="Y1512">
        <v>1.5924089999999998E-2</v>
      </c>
      <c r="Z1512">
        <v>1.2507330000000001E-4</v>
      </c>
      <c r="AA1512">
        <v>0.99987320000000002</v>
      </c>
      <c r="AB1512">
        <v>36</v>
      </c>
      <c r="AC1512">
        <v>-3.0643009999999999</v>
      </c>
      <c r="AD1512">
        <v>4.7819610000000004E-3</v>
      </c>
      <c r="AE1512">
        <v>5.4443360000000003E-2</v>
      </c>
      <c r="AF1512">
        <v>4.8802645395502699E-2</v>
      </c>
      <c r="AG1512">
        <v>4.7819610000000004E-3</v>
      </c>
      <c r="AH1512">
        <v>3.0643885631095298</v>
      </c>
      <c r="AI1512">
        <v>89.910601669365505</v>
      </c>
      <c r="AJ1512">
        <v>89.087599633460499</v>
      </c>
      <c r="AK1512">
        <v>3.0647808781485599</v>
      </c>
      <c r="AL1512">
        <v>77.472568521917907</v>
      </c>
      <c r="AM1512">
        <v>87.140453959669202</v>
      </c>
      <c r="AN1512">
        <v>0.99999995401794495</v>
      </c>
    </row>
    <row r="1513" spans="1:40" x14ac:dyDescent="0.25">
      <c r="A1513" t="str">
        <f>"20190303170750885"</f>
        <v>20190303170750885</v>
      </c>
      <c r="B1513" t="str">
        <f>"1551604070873885"</f>
        <v>1551604070873885</v>
      </c>
      <c r="C1513" t="s">
        <v>40</v>
      </c>
      <c r="D1513">
        <v>4.1836279999999997</v>
      </c>
      <c r="E1513">
        <v>0.49253710000000001</v>
      </c>
      <c r="F1513" t="s">
        <v>45</v>
      </c>
      <c r="G1513">
        <v>0</v>
      </c>
      <c r="H1513">
        <v>0</v>
      </c>
      <c r="I1513">
        <v>0</v>
      </c>
      <c r="J1513">
        <v>-314.55200000000002</v>
      </c>
      <c r="K1513">
        <v>1.120911</v>
      </c>
      <c r="L1513">
        <v>285.15230000000003</v>
      </c>
      <c r="M1513">
        <v>-0.9999017</v>
      </c>
      <c r="N1513">
        <v>-1.387203E-2</v>
      </c>
      <c r="O1513">
        <v>2.0729749999999999E-3</v>
      </c>
      <c r="P1513">
        <v>-0.97788629999999999</v>
      </c>
      <c r="Q1513">
        <v>0.20302229999999999</v>
      </c>
      <c r="R1513">
        <v>5.0205100000000003E-2</v>
      </c>
      <c r="S1513">
        <v>-3.064362</v>
      </c>
      <c r="T1513">
        <v>4.2961839999999998E-3</v>
      </c>
      <c r="U1513">
        <v>5.7373050000000002E-2</v>
      </c>
      <c r="V1513">
        <v>4.8310150000000003E-2</v>
      </c>
      <c r="W1513">
        <v>0.21654019999999999</v>
      </c>
      <c r="X1513">
        <v>0.97507770000000005</v>
      </c>
      <c r="Y1513">
        <v>1.6646930000000001E-2</v>
      </c>
      <c r="Z1513">
        <v>1.3547139999999999E-4</v>
      </c>
      <c r="AA1513">
        <v>0.99986140000000001</v>
      </c>
      <c r="AB1513">
        <v>36</v>
      </c>
      <c r="AC1513">
        <v>-3.064362</v>
      </c>
      <c r="AD1513">
        <v>4.2961839999999998E-3</v>
      </c>
      <c r="AE1513">
        <v>5.7373050000000002E-2</v>
      </c>
      <c r="AF1513">
        <v>5.1019869795162501E-2</v>
      </c>
      <c r="AG1513">
        <v>4.2961839999999998E-3</v>
      </c>
      <c r="AH1513">
        <v>3.0644683376584698</v>
      </c>
      <c r="AI1513">
        <v>89.919686250566201</v>
      </c>
      <c r="AJ1513">
        <v>89.046179355431207</v>
      </c>
      <c r="AK1513">
        <v>3.0648960303445998</v>
      </c>
      <c r="AL1513">
        <v>77.494097165831903</v>
      </c>
      <c r="AM1513">
        <v>87.163604306006405</v>
      </c>
      <c r="AN1513">
        <v>1.00000002492317</v>
      </c>
    </row>
    <row r="1514" spans="1:40" x14ac:dyDescent="0.25">
      <c r="A1514" t="str">
        <f>"20190303170750904"</f>
        <v>20190303170750904</v>
      </c>
      <c r="B1514" t="str">
        <f>"1551604070893911"</f>
        <v>1551604070893911</v>
      </c>
      <c r="C1514" t="s">
        <v>40</v>
      </c>
      <c r="D1514">
        <v>4.1717870000000001</v>
      </c>
      <c r="E1514">
        <v>0.4925718</v>
      </c>
      <c r="F1514" t="s">
        <v>45</v>
      </c>
      <c r="G1514">
        <v>0</v>
      </c>
      <c r="H1514">
        <v>0</v>
      </c>
      <c r="I1514">
        <v>0</v>
      </c>
      <c r="J1514">
        <v>-314.87729999999999</v>
      </c>
      <c r="K1514">
        <v>1.120933</v>
      </c>
      <c r="L1514">
        <v>285.15320000000003</v>
      </c>
      <c r="M1514">
        <v>-0.99989989999999995</v>
      </c>
      <c r="N1514">
        <v>-1.397836E-2</v>
      </c>
      <c r="O1514">
        <v>2.2470559999999999E-3</v>
      </c>
      <c r="P1514">
        <v>-0.97804720000000001</v>
      </c>
      <c r="Q1514">
        <v>0.202185</v>
      </c>
      <c r="R1514">
        <v>5.0451250000000003E-2</v>
      </c>
      <c r="S1514">
        <v>-3.0643310000000001</v>
      </c>
      <c r="T1514">
        <v>2.9187200000000001E-3</v>
      </c>
      <c r="U1514">
        <v>5.6671140000000002E-2</v>
      </c>
      <c r="V1514">
        <v>4.8375019999999998E-2</v>
      </c>
      <c r="W1514">
        <v>0.21581110000000001</v>
      </c>
      <c r="X1514">
        <v>0.97523610000000005</v>
      </c>
      <c r="Y1514">
        <v>1.6244060000000001E-2</v>
      </c>
      <c r="Z1514">
        <v>1.393613E-4</v>
      </c>
      <c r="AA1514">
        <v>0.99986799999999998</v>
      </c>
      <c r="AB1514">
        <v>36</v>
      </c>
      <c r="AC1514">
        <v>-3.0643310000000001</v>
      </c>
      <c r="AD1514">
        <v>2.9187200000000001E-3</v>
      </c>
      <c r="AE1514">
        <v>5.6671140000000002E-2</v>
      </c>
      <c r="AF1514">
        <v>4.9784556447633799E-2</v>
      </c>
      <c r="AG1514">
        <v>2.9187200000000001E-3</v>
      </c>
      <c r="AH1514">
        <v>3.0644478386455698</v>
      </c>
      <c r="AI1514">
        <v>89.945436100774799</v>
      </c>
      <c r="AJ1514">
        <v>89.069263301917005</v>
      </c>
      <c r="AK1514">
        <v>3.06485359793361</v>
      </c>
      <c r="AL1514">
        <v>77.536883054257899</v>
      </c>
      <c r="AM1514">
        <v>87.160262433032003</v>
      </c>
      <c r="AN1514">
        <v>1.00000001209321</v>
      </c>
    </row>
    <row r="1515" spans="1:40" x14ac:dyDescent="0.25">
      <c r="A1515" t="str">
        <f>"20190303170750929"</f>
        <v>20190303170750929</v>
      </c>
      <c r="B1515" t="str">
        <f>"1551604070914407"</f>
        <v>1551604070914407</v>
      </c>
      <c r="C1515" t="s">
        <v>40</v>
      </c>
      <c r="D1515">
        <v>4.1411179999999996</v>
      </c>
      <c r="E1515">
        <v>0.49253980000000003</v>
      </c>
      <c r="F1515" t="s">
        <v>45</v>
      </c>
      <c r="G1515">
        <v>0</v>
      </c>
      <c r="H1515">
        <v>0</v>
      </c>
      <c r="I1515">
        <v>0</v>
      </c>
      <c r="J1515">
        <v>-315.25650000000002</v>
      </c>
      <c r="K1515">
        <v>1.1209690000000001</v>
      </c>
      <c r="L1515">
        <v>285.1542</v>
      </c>
      <c r="M1515">
        <v>-0.99989799999999995</v>
      </c>
      <c r="N1515">
        <v>-1.408771E-2</v>
      </c>
      <c r="O1515">
        <v>2.4113049999999999E-3</v>
      </c>
      <c r="P1515">
        <v>-0.97812929999999998</v>
      </c>
      <c r="Q1515">
        <v>0.20161509999999999</v>
      </c>
      <c r="R1515">
        <v>5.1134939999999997E-2</v>
      </c>
      <c r="S1515">
        <v>-3.0642399999999999</v>
      </c>
      <c r="T1515">
        <v>5.9616569999999998E-4</v>
      </c>
      <c r="U1515">
        <v>5.7525630000000001E-2</v>
      </c>
      <c r="V1515">
        <v>4.8880729999999997E-2</v>
      </c>
      <c r="W1515">
        <v>0.21535299999999999</v>
      </c>
      <c r="X1515">
        <v>0.97531219999999996</v>
      </c>
      <c r="Y1515">
        <v>1.635901E-2</v>
      </c>
      <c r="Z1515">
        <v>1.480927E-4</v>
      </c>
      <c r="AA1515">
        <v>0.99986620000000004</v>
      </c>
      <c r="AB1515">
        <v>36</v>
      </c>
      <c r="AC1515">
        <v>-3.0642399999999999</v>
      </c>
      <c r="AD1515">
        <v>5.9616569999999998E-4</v>
      </c>
      <c r="AE1515">
        <v>5.7525630000000001E-2</v>
      </c>
      <c r="AF1515">
        <v>5.0135911349038803E-2</v>
      </c>
      <c r="AG1515">
        <v>5.9616569999999998E-4</v>
      </c>
      <c r="AH1515">
        <v>3.0643696995096801</v>
      </c>
      <c r="AI1515">
        <v>89.988854736646104</v>
      </c>
      <c r="AJ1515">
        <v>89.062671891772098</v>
      </c>
      <c r="AK1515">
        <v>3.0647798648994899</v>
      </c>
      <c r="AL1515">
        <v>77.5637629514396</v>
      </c>
      <c r="AM1515">
        <v>87.130848828568901</v>
      </c>
      <c r="AN1515">
        <v>1.00000006392158</v>
      </c>
    </row>
    <row r="1516" spans="1:40" x14ac:dyDescent="0.25">
      <c r="A1516" t="str">
        <f>"20190303170750950"</f>
        <v>20190303170750950</v>
      </c>
      <c r="B1516" t="str">
        <f>"1551604070943687"</f>
        <v>1551604070943687</v>
      </c>
      <c r="C1516" t="s">
        <v>40</v>
      </c>
      <c r="D1516">
        <v>4.1824839999999996</v>
      </c>
      <c r="E1516">
        <v>0.4924753</v>
      </c>
      <c r="F1516" t="s">
        <v>45</v>
      </c>
      <c r="G1516">
        <v>0</v>
      </c>
      <c r="H1516">
        <v>0</v>
      </c>
      <c r="I1516">
        <v>0</v>
      </c>
      <c r="J1516">
        <v>-315.6096</v>
      </c>
      <c r="K1516">
        <v>1.1210150000000001</v>
      </c>
      <c r="L1516">
        <v>285.15519999999998</v>
      </c>
      <c r="M1516">
        <v>-0.99989649999999997</v>
      </c>
      <c r="N1516">
        <v>-1.4175109999999999E-2</v>
      </c>
      <c r="O1516">
        <v>2.518396E-3</v>
      </c>
      <c r="P1516">
        <v>-0.978047</v>
      </c>
      <c r="Q1516">
        <v>0.2019011</v>
      </c>
      <c r="R1516">
        <v>5.1576440000000001E-2</v>
      </c>
      <c r="S1516">
        <v>-3.0640869999999998</v>
      </c>
      <c r="T1516">
        <v>-7.6389310000000001E-4</v>
      </c>
      <c r="U1516">
        <v>5.9295649999999998E-2</v>
      </c>
      <c r="V1516">
        <v>4.9198539999999999E-2</v>
      </c>
      <c r="W1516">
        <v>0.21572730000000001</v>
      </c>
      <c r="X1516">
        <v>0.97521340000000001</v>
      </c>
      <c r="Y1516">
        <v>1.683018E-2</v>
      </c>
      <c r="Z1516">
        <v>1.564692E-4</v>
      </c>
      <c r="AA1516">
        <v>0.99985840000000004</v>
      </c>
      <c r="AB1516">
        <v>36</v>
      </c>
      <c r="AC1516">
        <v>-3.0640869999999998</v>
      </c>
      <c r="AD1516">
        <v>-7.6389310000000001E-4</v>
      </c>
      <c r="AE1516">
        <v>5.9295649999999998E-2</v>
      </c>
      <c r="AF1516">
        <v>5.1578100005867197E-2</v>
      </c>
      <c r="AG1516">
        <v>-7.6389310000000001E-4</v>
      </c>
      <c r="AH1516">
        <v>3.0642264358582301</v>
      </c>
      <c r="AI1516">
        <v>90.014281467650903</v>
      </c>
      <c r="AJ1516">
        <v>89.0356690480954</v>
      </c>
      <c r="AK1516">
        <v>3.0646605903664699</v>
      </c>
      <c r="AL1516">
        <v>77.541799734665304</v>
      </c>
      <c r="AM1516">
        <v>87.111933747239405</v>
      </c>
      <c r="AN1516">
        <v>0.99999996992148998</v>
      </c>
    </row>
    <row r="1517" spans="1:40" x14ac:dyDescent="0.25">
      <c r="A1517" t="str">
        <f>"20190303170750973"</f>
        <v>20190303170750973</v>
      </c>
      <c r="B1517" t="str">
        <f>"1551604070964183"</f>
        <v>1551604070964183</v>
      </c>
      <c r="C1517" t="s">
        <v>40</v>
      </c>
      <c r="D1517">
        <v>4.20303</v>
      </c>
      <c r="E1517">
        <v>0.47102300000000003</v>
      </c>
      <c r="F1517" t="s">
        <v>45</v>
      </c>
      <c r="G1517">
        <v>0</v>
      </c>
      <c r="H1517">
        <v>0</v>
      </c>
      <c r="I1517">
        <v>0</v>
      </c>
      <c r="J1517">
        <v>-315.99149999999997</v>
      </c>
      <c r="K1517">
        <v>1.121059</v>
      </c>
      <c r="L1517">
        <v>285.15629999999999</v>
      </c>
      <c r="M1517">
        <v>-0.99989510000000004</v>
      </c>
      <c r="N1517">
        <v>-1.4256400000000001E-2</v>
      </c>
      <c r="O1517">
        <v>2.5909219999999998E-3</v>
      </c>
      <c r="P1517">
        <v>-0.97797480000000003</v>
      </c>
      <c r="Q1517">
        <v>0.20229240000000001</v>
      </c>
      <c r="R1517">
        <v>5.1409879999999998E-2</v>
      </c>
      <c r="S1517">
        <v>-3.064117</v>
      </c>
      <c r="T1517">
        <v>2.3448469999999999E-4</v>
      </c>
      <c r="U1517">
        <v>6.0333249999999998E-2</v>
      </c>
      <c r="V1517">
        <v>4.8941640000000002E-2</v>
      </c>
      <c r="W1517">
        <v>0.21620130000000001</v>
      </c>
      <c r="X1517">
        <v>0.97512140000000003</v>
      </c>
      <c r="Y1517">
        <v>1.7095969999999999E-2</v>
      </c>
      <c r="Z1517">
        <v>1.5836139999999901E-4</v>
      </c>
      <c r="AA1517">
        <v>0.99985380000000001</v>
      </c>
      <c r="AB1517">
        <v>36</v>
      </c>
      <c r="AC1517">
        <v>-3.064117</v>
      </c>
      <c r="AD1517">
        <v>2.3448469999999999E-4</v>
      </c>
      <c r="AE1517">
        <v>6.0333249999999998E-2</v>
      </c>
      <c r="AF1517">
        <v>5.2393352779014503E-2</v>
      </c>
      <c r="AG1517">
        <v>2.3448469999999999E-4</v>
      </c>
      <c r="AH1517">
        <v>3.0642630300551801</v>
      </c>
      <c r="AI1517">
        <v>89.995616231342794</v>
      </c>
      <c r="AJ1517">
        <v>89.020441301671198</v>
      </c>
      <c r="AK1517">
        <v>3.0647109220547102</v>
      </c>
      <c r="AL1517">
        <v>77.513985722931693</v>
      </c>
      <c r="AM1517">
        <v>87.126718423154401</v>
      </c>
      <c r="AN1517">
        <v>1.00000001549276</v>
      </c>
    </row>
    <row r="1518" spans="1:40" x14ac:dyDescent="0.25">
      <c r="A1518" t="str">
        <f>"20190303170750993"</f>
        <v>20190303170750993</v>
      </c>
      <c r="B1518" t="str">
        <f>"1551604070983703"</f>
        <v>1551604070983703</v>
      </c>
      <c r="C1518" t="s">
        <v>40</v>
      </c>
      <c r="D1518">
        <v>4.2186170000000001</v>
      </c>
      <c r="E1518">
        <v>0.456903</v>
      </c>
      <c r="F1518" t="s">
        <v>70</v>
      </c>
      <c r="G1518">
        <v>-511.95940000000002</v>
      </c>
      <c r="H1518">
        <v>2.3156430000000001</v>
      </c>
      <c r="I1518">
        <v>278.11880000000002</v>
      </c>
      <c r="J1518">
        <v>-316.31880000000001</v>
      </c>
      <c r="K1518">
        <v>1.121094</v>
      </c>
      <c r="L1518">
        <v>285.15710000000001</v>
      </c>
      <c r="M1518">
        <v>-0.99989410000000001</v>
      </c>
      <c r="N1518">
        <v>-1.4316999999999899E-2</v>
      </c>
      <c r="O1518">
        <v>2.626092E-3</v>
      </c>
      <c r="P1518">
        <v>-0.97791459999999997</v>
      </c>
      <c r="Q1518">
        <v>0.20270579999999999</v>
      </c>
      <c r="R1518">
        <v>5.0929420000000003E-2</v>
      </c>
      <c r="S1518">
        <v>-3.0694889999999999</v>
      </c>
      <c r="T1518">
        <v>1.8712280000000001E-2</v>
      </c>
      <c r="U1518">
        <v>-0.11022949999999999</v>
      </c>
      <c r="V1518">
        <v>4.841293E-2</v>
      </c>
      <c r="W1518">
        <v>0.21667610000000001</v>
      </c>
      <c r="X1518">
        <v>0.97504239999999998</v>
      </c>
      <c r="Y1518">
        <v>-3.8513190000000003E-2</v>
      </c>
      <c r="Z1518">
        <v>-1.048525E-4</v>
      </c>
      <c r="AA1518">
        <v>0.99925810000000004</v>
      </c>
      <c r="AB1518">
        <v>36</v>
      </c>
      <c r="AC1518">
        <v>-195.64060000000001</v>
      </c>
      <c r="AD1518">
        <v>1.1945490000000001</v>
      </c>
      <c r="AE1518">
        <v>-7.0382999999999898</v>
      </c>
      <c r="AF1518">
        <v>-7.5518174051435301</v>
      </c>
      <c r="AG1518">
        <v>1.1945490000000001</v>
      </c>
      <c r="AH1518">
        <v>195.614156834016</v>
      </c>
      <c r="AI1518">
        <v>89.6503789811009</v>
      </c>
      <c r="AJ1518">
        <v>92.210844578810907</v>
      </c>
      <c r="AK1518">
        <v>195.763518683429</v>
      </c>
      <c r="AL1518">
        <v>77.486121159620595</v>
      </c>
      <c r="AM1518">
        <v>87.157477013674693</v>
      </c>
      <c r="AN1518">
        <v>1.0000000129500699</v>
      </c>
    </row>
    <row r="1519" spans="1:40" x14ac:dyDescent="0.25">
      <c r="A1519" t="str">
        <f>"20190303170751016"</f>
        <v>20190303170751016</v>
      </c>
      <c r="B1519" t="str">
        <f>"1551604071003730"</f>
        <v>1551604071003730</v>
      </c>
      <c r="C1519" t="s">
        <v>40</v>
      </c>
      <c r="D1519">
        <v>4.2374549999999997</v>
      </c>
      <c r="E1519">
        <v>0.4476561</v>
      </c>
      <c r="F1519" t="s">
        <v>70</v>
      </c>
      <c r="G1519">
        <v>-512.82629999999995</v>
      </c>
      <c r="H1519">
        <v>3.4975170000000002</v>
      </c>
      <c r="I1519">
        <v>270.82909999999998</v>
      </c>
      <c r="J1519">
        <v>-316.67689999999999</v>
      </c>
      <c r="K1519">
        <v>1.121127</v>
      </c>
      <c r="L1519">
        <v>285.15809999999999</v>
      </c>
      <c r="M1519">
        <v>-0.99989340000000004</v>
      </c>
      <c r="N1519">
        <v>-1.437426E-2</v>
      </c>
      <c r="O1519">
        <v>2.6348349999999999E-3</v>
      </c>
      <c r="P1519">
        <v>-0.9778829</v>
      </c>
      <c r="Q1519">
        <v>0.20298630000000001</v>
      </c>
      <c r="R1519">
        <v>5.0419529999999997E-2</v>
      </c>
      <c r="S1519">
        <v>-3.0717159999999999</v>
      </c>
      <c r="T1519">
        <v>3.7148359999999998E-2</v>
      </c>
      <c r="U1519">
        <v>-0.22396849999999999</v>
      </c>
      <c r="V1519">
        <v>4.7880989999999998E-2</v>
      </c>
      <c r="W1519">
        <v>0.2170155</v>
      </c>
      <c r="X1519">
        <v>0.9749932</v>
      </c>
      <c r="Y1519">
        <v>-7.5348120000000005E-2</v>
      </c>
      <c r="Z1519" s="1">
        <v>-1.7637149999999899E-5</v>
      </c>
      <c r="AA1519">
        <v>0.99715730000000002</v>
      </c>
      <c r="AB1519">
        <v>36</v>
      </c>
      <c r="AC1519">
        <v>-196.14940000000001</v>
      </c>
      <c r="AD1519">
        <v>2.3763899999999998</v>
      </c>
      <c r="AE1519">
        <v>-14.329000000000001</v>
      </c>
      <c r="AF1519">
        <v>-14.843657700168899</v>
      </c>
      <c r="AG1519">
        <v>2.3763899999999998</v>
      </c>
      <c r="AH1519">
        <v>196.08233271145201</v>
      </c>
      <c r="AI1519">
        <v>89.3076273604824</v>
      </c>
      <c r="AJ1519">
        <v>94.3290993498793</v>
      </c>
      <c r="AK1519">
        <v>196.657729583448</v>
      </c>
      <c r="AL1519">
        <v>77.466201183881793</v>
      </c>
      <c r="AM1519">
        <v>87.188517385892993</v>
      </c>
      <c r="AN1519">
        <v>1.00000002824493</v>
      </c>
    </row>
    <row r="1520" spans="1:40" x14ac:dyDescent="0.25">
      <c r="A1520" t="str">
        <f>"20190303170751038"</f>
        <v>20190303170751038</v>
      </c>
      <c r="B1520" t="str">
        <f>"1551604071033987"</f>
        <v>1551604071033987</v>
      </c>
      <c r="C1520" t="s">
        <v>40</v>
      </c>
      <c r="D1520">
        <v>4.2036170000000004</v>
      </c>
      <c r="E1520">
        <v>0.44131039999999999</v>
      </c>
      <c r="F1520" t="s">
        <v>70</v>
      </c>
      <c r="G1520">
        <v>-512.82650000000001</v>
      </c>
      <c r="H1520">
        <v>4.0667960000000001</v>
      </c>
      <c r="I1520">
        <v>266.07069999999999</v>
      </c>
      <c r="J1520">
        <v>-317.04050000000001</v>
      </c>
      <c r="K1520">
        <v>1.121165</v>
      </c>
      <c r="L1520">
        <v>285.15899999999999</v>
      </c>
      <c r="M1520">
        <v>-0.99989260000000002</v>
      </c>
      <c r="N1520">
        <v>-1.442426E-2</v>
      </c>
      <c r="O1520">
        <v>2.6071829999999999E-3</v>
      </c>
      <c r="P1520">
        <v>-0.97796620000000001</v>
      </c>
      <c r="Q1520">
        <v>0.20273469999999999</v>
      </c>
      <c r="R1520">
        <v>4.9808239999999997E-2</v>
      </c>
      <c r="S1520">
        <v>-3.0737000000000001</v>
      </c>
      <c r="T1520">
        <v>4.6160340000000001E-2</v>
      </c>
      <c r="U1520">
        <v>-0.2991028</v>
      </c>
      <c r="V1520">
        <v>4.7281900000000002E-2</v>
      </c>
      <c r="W1520">
        <v>0.2168167</v>
      </c>
      <c r="X1520">
        <v>0.97506660000000001</v>
      </c>
      <c r="Y1520">
        <v>-9.9446229999999997E-2</v>
      </c>
      <c r="Z1520">
        <v>1.025607E-4</v>
      </c>
      <c r="AA1520">
        <v>0.99504289999999995</v>
      </c>
      <c r="AB1520">
        <v>36</v>
      </c>
      <c r="AC1520">
        <v>-195.78599999999901</v>
      </c>
      <c r="AD1520">
        <v>2.9456310000000001</v>
      </c>
      <c r="AE1520">
        <v>-19.0883</v>
      </c>
      <c r="AF1520">
        <v>-19.594344585298</v>
      </c>
      <c r="AG1520">
        <v>2.9456310000000001</v>
      </c>
      <c r="AH1520">
        <v>195.69168353325301</v>
      </c>
      <c r="AI1520">
        <v>89.141915788944303</v>
      </c>
      <c r="AJ1520">
        <v>95.717891309363907</v>
      </c>
      <c r="AK1520">
        <v>196.69227256248399</v>
      </c>
      <c r="AL1520">
        <v>77.477868621890494</v>
      </c>
      <c r="AM1520">
        <v>87.223848117059902</v>
      </c>
      <c r="AN1520">
        <v>0.999999966951029</v>
      </c>
    </row>
    <row r="1521" spans="1:40" x14ac:dyDescent="0.25">
      <c r="A1521" t="str">
        <f>"20190303170751063"</f>
        <v>20190303170751063</v>
      </c>
      <c r="B1521" t="str">
        <f>"1551604071054483"</f>
        <v>1551604071054483</v>
      </c>
      <c r="C1521" t="s">
        <v>40</v>
      </c>
      <c r="D1521">
        <v>4.2302499999999998</v>
      </c>
      <c r="E1521">
        <v>0.43911850000000002</v>
      </c>
      <c r="F1521" t="s">
        <v>69</v>
      </c>
      <c r="G1521">
        <v>-445.25940000000003</v>
      </c>
      <c r="H1521">
        <v>3.2357230000000001</v>
      </c>
      <c r="I1521">
        <v>270.49590000000001</v>
      </c>
      <c r="J1521">
        <v>-317.43189999999998</v>
      </c>
      <c r="K1521">
        <v>1.1212120000000001</v>
      </c>
      <c r="L1521">
        <v>285.16000000000003</v>
      </c>
      <c r="M1521">
        <v>-0.99989220000000001</v>
      </c>
      <c r="N1521">
        <v>-1.4470129999999999E-2</v>
      </c>
      <c r="O1521">
        <v>2.5380810000000002E-3</v>
      </c>
      <c r="P1521">
        <v>-0.97782500000000006</v>
      </c>
      <c r="Q1521">
        <v>0.20354549999999999</v>
      </c>
      <c r="R1521">
        <v>4.9271769999999999E-2</v>
      </c>
      <c r="S1521">
        <v>-3.0749819999999999</v>
      </c>
      <c r="T1521">
        <v>5.0712229999999997E-2</v>
      </c>
      <c r="U1521">
        <v>-0.35165410000000002</v>
      </c>
      <c r="V1521">
        <v>4.679577E-2</v>
      </c>
      <c r="W1521">
        <v>0.21767410000000001</v>
      </c>
      <c r="X1521">
        <v>0.97489910000000002</v>
      </c>
      <c r="Y1521">
        <v>-0.1161377</v>
      </c>
      <c r="Z1521">
        <v>1.8976870000000001E-4</v>
      </c>
      <c r="AA1521">
        <v>0.99323309999999998</v>
      </c>
      <c r="AB1521">
        <v>36</v>
      </c>
      <c r="AC1521">
        <v>-127.8275</v>
      </c>
      <c r="AD1521">
        <v>2.1145109999999998</v>
      </c>
      <c r="AE1521">
        <v>-14.664099999999999</v>
      </c>
      <c r="AF1521">
        <v>-14.9844762253166</v>
      </c>
      <c r="AG1521">
        <v>2.1145109999999998</v>
      </c>
      <c r="AH1521">
        <v>127.755361395078</v>
      </c>
      <c r="AI1521">
        <v>89.058224494041895</v>
      </c>
      <c r="AJ1521">
        <v>96.689679368321805</v>
      </c>
      <c r="AK1521">
        <v>128.64850581994</v>
      </c>
      <c r="AL1521">
        <v>77.427542394168697</v>
      </c>
      <c r="AM1521">
        <v>87.251875864421393</v>
      </c>
      <c r="AN1521">
        <v>1.0000000565407501</v>
      </c>
    </row>
    <row r="1522" spans="1:40" x14ac:dyDescent="0.25">
      <c r="A1522" t="str">
        <f>"20190303170751084"</f>
        <v>20190303170751084</v>
      </c>
      <c r="B1522" t="str">
        <f>"1551604071074002"</f>
        <v>1551604071074002</v>
      </c>
      <c r="C1522" t="s">
        <v>40</v>
      </c>
      <c r="D1522">
        <v>4.1944839999999903</v>
      </c>
      <c r="E1522">
        <v>0.43764609999999898</v>
      </c>
      <c r="F1522" t="s">
        <v>69</v>
      </c>
      <c r="G1522">
        <v>-440.28820000000002</v>
      </c>
      <c r="H1522">
        <v>3.237527</v>
      </c>
      <c r="I1522">
        <v>270.34429999999998</v>
      </c>
      <c r="J1522">
        <v>-317.77890000000002</v>
      </c>
      <c r="K1522">
        <v>1.121256</v>
      </c>
      <c r="L1522">
        <v>285.16079999999999</v>
      </c>
      <c r="M1522">
        <v>-0.99989189999999994</v>
      </c>
      <c r="N1522">
        <v>-1.4504690000000001E-2</v>
      </c>
      <c r="O1522">
        <v>2.4472080000000002E-3</v>
      </c>
      <c r="P1522">
        <v>-0.97768500000000003</v>
      </c>
      <c r="Q1522">
        <v>0.20423179999999999</v>
      </c>
      <c r="R1522">
        <v>4.9208479999999999E-2</v>
      </c>
      <c r="S1522">
        <v>-3.0757140000000001</v>
      </c>
      <c r="T1522">
        <v>5.2982330000000001E-2</v>
      </c>
      <c r="U1522">
        <v>-0.37091059999999998</v>
      </c>
      <c r="V1522">
        <v>4.6804640000000002E-2</v>
      </c>
      <c r="W1522">
        <v>0.21839539999999999</v>
      </c>
      <c r="X1522">
        <v>0.97473730000000003</v>
      </c>
      <c r="Y1522">
        <v>-0.1221515</v>
      </c>
      <c r="Z1522">
        <v>2.3644510000000001E-4</v>
      </c>
      <c r="AA1522">
        <v>0.99251149999999999</v>
      </c>
      <c r="AB1522">
        <v>36</v>
      </c>
      <c r="AC1522">
        <v>-122.5093</v>
      </c>
      <c r="AD1522">
        <v>2.1162709999999998</v>
      </c>
      <c r="AE1522">
        <v>-14.8165</v>
      </c>
      <c r="AF1522">
        <v>-15.1118484516908</v>
      </c>
      <c r="AG1522">
        <v>2.1162709999999998</v>
      </c>
      <c r="AH1522">
        <v>122.436661336269</v>
      </c>
      <c r="AI1522">
        <v>89.017218946392006</v>
      </c>
      <c r="AJ1522">
        <v>97.036194380656099</v>
      </c>
      <c r="AK1522">
        <v>123.383883087478</v>
      </c>
      <c r="AL1522">
        <v>77.385195602978399</v>
      </c>
      <c r="AM1522">
        <v>87.250900207313506</v>
      </c>
      <c r="AN1522">
        <v>1.00000001453898</v>
      </c>
    </row>
    <row r="1523" spans="1:40" x14ac:dyDescent="0.25">
      <c r="A1523" t="str">
        <f>"20190303170751105"</f>
        <v>20190303170751105</v>
      </c>
      <c r="B1523" t="str">
        <f>"1551604071094031"</f>
        <v>1551604071094031</v>
      </c>
      <c r="C1523" t="s">
        <v>40</v>
      </c>
      <c r="D1523">
        <v>4.2212509999999996</v>
      </c>
      <c r="E1523">
        <v>0.4364362</v>
      </c>
      <c r="F1523" t="s">
        <v>69</v>
      </c>
      <c r="G1523">
        <v>-440.28820000000002</v>
      </c>
      <c r="H1523">
        <v>3.2845300000000002</v>
      </c>
      <c r="I1523">
        <v>269.91140000000001</v>
      </c>
      <c r="J1523">
        <v>-318.11149999999998</v>
      </c>
      <c r="K1523">
        <v>1.121294</v>
      </c>
      <c r="L1523">
        <v>285.16149999999999</v>
      </c>
      <c r="M1523">
        <v>-0.99989170000000005</v>
      </c>
      <c r="N1523">
        <v>-1.453287E-2</v>
      </c>
      <c r="O1523">
        <v>2.3385509999999999E-3</v>
      </c>
      <c r="P1523">
        <v>-0.97749269999999999</v>
      </c>
      <c r="Q1523">
        <v>0.20528469999999999</v>
      </c>
      <c r="R1523">
        <v>4.8643350000000002E-2</v>
      </c>
      <c r="S1523">
        <v>-3.0763850000000001</v>
      </c>
      <c r="T1523">
        <v>5.4323200000000002E-2</v>
      </c>
      <c r="U1523">
        <v>-0.38293460000000001</v>
      </c>
      <c r="V1523">
        <v>4.6330709999999997E-2</v>
      </c>
      <c r="W1523">
        <v>0.21947620000000001</v>
      </c>
      <c r="X1523">
        <v>0.97451719999999997</v>
      </c>
      <c r="Y1523">
        <v>-0.12583829999999999</v>
      </c>
      <c r="Z1523">
        <v>2.6369330000000001E-4</v>
      </c>
      <c r="AA1523">
        <v>0.99205069999999995</v>
      </c>
      <c r="AB1523">
        <v>36</v>
      </c>
      <c r="AC1523">
        <v>-122.1767</v>
      </c>
      <c r="AD1523">
        <v>2.1632359999999999</v>
      </c>
      <c r="AE1523">
        <v>-15.2500999999999</v>
      </c>
      <c r="AF1523">
        <v>-15.531010695178299</v>
      </c>
      <c r="AG1523">
        <v>2.1632359999999999</v>
      </c>
      <c r="AH1523">
        <v>122.103007462924</v>
      </c>
      <c r="AI1523">
        <v>88.993136966300696</v>
      </c>
      <c r="AJ1523">
        <v>97.248866908054197</v>
      </c>
      <c r="AK1523">
        <v>123.105793180891</v>
      </c>
      <c r="AL1523">
        <v>77.321731137080306</v>
      </c>
      <c r="AM1523">
        <v>87.278081026869003</v>
      </c>
      <c r="AN1523">
        <v>1.00000005507569</v>
      </c>
    </row>
    <row r="1524" spans="1:40" x14ac:dyDescent="0.25">
      <c r="A1524" t="str">
        <f>"20190303170751129"</f>
        <v>20190303170751129</v>
      </c>
      <c r="B1524" t="str">
        <f>"1551604071124287"</f>
        <v>1551604071124287</v>
      </c>
      <c r="C1524" t="s">
        <v>40</v>
      </c>
      <c r="D1524">
        <v>4.2520340000000001</v>
      </c>
      <c r="E1524">
        <v>0.43534650000000003</v>
      </c>
      <c r="F1524" t="s">
        <v>69</v>
      </c>
      <c r="G1524">
        <v>-440.28820000000002</v>
      </c>
      <c r="H1524">
        <v>3.4449209999999999</v>
      </c>
      <c r="I1524">
        <v>269.5052</v>
      </c>
      <c r="J1524">
        <v>-318.48540000000003</v>
      </c>
      <c r="K1524">
        <v>1.1213310000000001</v>
      </c>
      <c r="L1524">
        <v>285.16230000000002</v>
      </c>
      <c r="M1524">
        <v>-0.99989159999999999</v>
      </c>
      <c r="N1524">
        <v>-1.4559920000000001E-2</v>
      </c>
      <c r="O1524">
        <v>2.1966260000000001E-3</v>
      </c>
      <c r="P1524">
        <v>-0.97728060000000005</v>
      </c>
      <c r="Q1524">
        <v>0.20630309999999999</v>
      </c>
      <c r="R1524">
        <v>4.8599490000000002E-2</v>
      </c>
      <c r="S1524">
        <v>-3.076416</v>
      </c>
      <c r="T1524">
        <v>5.8509350000000002E-2</v>
      </c>
      <c r="U1524">
        <v>-0.39422610000000002</v>
      </c>
      <c r="V1524">
        <v>4.6411910000000001E-2</v>
      </c>
      <c r="W1524">
        <v>0.22052050000000001</v>
      </c>
      <c r="X1524">
        <v>0.97427750000000002</v>
      </c>
      <c r="Y1524">
        <v>-0.12927749999999999</v>
      </c>
      <c r="Z1524">
        <v>3.5264440000000002E-4</v>
      </c>
      <c r="AA1524">
        <v>0.99160839999999995</v>
      </c>
      <c r="AB1524">
        <v>36</v>
      </c>
      <c r="AC1524">
        <v>-121.8028</v>
      </c>
      <c r="AD1524">
        <v>2.3235899999999998</v>
      </c>
      <c r="AE1524">
        <v>-15.6571</v>
      </c>
      <c r="AF1524">
        <v>-15.918946741488099</v>
      </c>
      <c r="AG1524">
        <v>2.3235899999999998</v>
      </c>
      <c r="AH1524">
        <v>121.724531865202</v>
      </c>
      <c r="AI1524">
        <v>88.9156494751265</v>
      </c>
      <c r="AJ1524">
        <v>97.450768936269995</v>
      </c>
      <c r="AK1524">
        <v>122.783034632839</v>
      </c>
      <c r="AL1524">
        <v>77.260393728144393</v>
      </c>
      <c r="AM1524">
        <v>87.272647909285297</v>
      </c>
      <c r="AN1524">
        <v>1.00000000165817</v>
      </c>
    </row>
    <row r="1525" spans="1:40" x14ac:dyDescent="0.25">
      <c r="A1525" t="str">
        <f>"20190303170751151"</f>
        <v>20190303170751151</v>
      </c>
      <c r="B1525" t="str">
        <f>"1551604071143806"</f>
        <v>1551604071143806</v>
      </c>
      <c r="C1525" t="s">
        <v>40</v>
      </c>
      <c r="D1525">
        <v>4.2473380000000001</v>
      </c>
      <c r="E1525">
        <v>0.43481560000000002</v>
      </c>
      <c r="F1525" t="s">
        <v>69</v>
      </c>
      <c r="G1525">
        <v>-440.6841</v>
      </c>
      <c r="H1525">
        <v>3.56237</v>
      </c>
      <c r="I1525">
        <v>269.17680000000001</v>
      </c>
      <c r="J1525">
        <v>-318.83879999999999</v>
      </c>
      <c r="K1525">
        <v>1.1213519999999999</v>
      </c>
      <c r="L1525">
        <v>285.16289999999998</v>
      </c>
      <c r="M1525">
        <v>-0.99989150000000004</v>
      </c>
      <c r="N1525">
        <v>-1.458102E-2</v>
      </c>
      <c r="O1525">
        <v>2.0471450000000002E-3</v>
      </c>
      <c r="P1525">
        <v>-0.97723700000000002</v>
      </c>
      <c r="Q1525">
        <v>0.20656930000000001</v>
      </c>
      <c r="R1525">
        <v>4.8341919999999997E-2</v>
      </c>
      <c r="S1525">
        <v>-3.076813</v>
      </c>
      <c r="T1525">
        <v>6.1462639999999999E-2</v>
      </c>
      <c r="U1525">
        <v>-0.40249629999999997</v>
      </c>
      <c r="V1525">
        <v>4.6290980000000002E-2</v>
      </c>
      <c r="W1525">
        <v>0.2208088</v>
      </c>
      <c r="X1525">
        <v>0.97421800000000003</v>
      </c>
      <c r="Y1525">
        <v>-0.13173270000000001</v>
      </c>
      <c r="Z1525">
        <v>4.159287E-4</v>
      </c>
      <c r="AA1525">
        <v>0.99128519999999998</v>
      </c>
      <c r="AB1525">
        <v>36</v>
      </c>
      <c r="AC1525">
        <v>-121.84529999999999</v>
      </c>
      <c r="AD1525">
        <v>2.4410180000000001</v>
      </c>
      <c r="AE1525">
        <v>-15.986099999999899</v>
      </c>
      <c r="AF1525">
        <v>-16.229124683496</v>
      </c>
      <c r="AG1525">
        <v>2.4410180000000001</v>
      </c>
      <c r="AH1525">
        <v>121.764272054133</v>
      </c>
      <c r="AI1525">
        <v>88.861605059337407</v>
      </c>
      <c r="AJ1525">
        <v>97.591817793288399</v>
      </c>
      <c r="AK1525">
        <v>122.865296181394</v>
      </c>
      <c r="AL1525">
        <v>77.2434584603253</v>
      </c>
      <c r="AM1525">
        <v>87.279577669481597</v>
      </c>
      <c r="AN1525">
        <v>1.00000004625539</v>
      </c>
    </row>
    <row r="1526" spans="1:40" x14ac:dyDescent="0.25">
      <c r="A1526" t="str">
        <f>"20190303170751173"</f>
        <v>20190303170751173</v>
      </c>
      <c r="B1526" t="str">
        <f>"1551604071164303"</f>
        <v>1551604071164303</v>
      </c>
      <c r="C1526" t="s">
        <v>40</v>
      </c>
      <c r="D1526">
        <v>4.2472110000000001</v>
      </c>
      <c r="E1526">
        <v>0.4342702</v>
      </c>
      <c r="F1526" t="s">
        <v>69</v>
      </c>
      <c r="G1526">
        <v>-440.6841</v>
      </c>
      <c r="H1526">
        <v>3.5396640000000001</v>
      </c>
      <c r="I1526">
        <v>269.0401</v>
      </c>
      <c r="J1526">
        <v>-319.19409999999999</v>
      </c>
      <c r="K1526">
        <v>1.1213630000000001</v>
      </c>
      <c r="L1526">
        <v>285.1635</v>
      </c>
      <c r="M1526">
        <v>-0.9998918</v>
      </c>
      <c r="N1526">
        <v>-1.4598450000000001E-2</v>
      </c>
      <c r="O1526">
        <v>1.885933E-3</v>
      </c>
      <c r="P1526">
        <v>-0.97753710000000005</v>
      </c>
      <c r="Q1526">
        <v>0.2052678</v>
      </c>
      <c r="R1526">
        <v>4.782016E-2</v>
      </c>
      <c r="S1526">
        <v>-3.0770870000000001</v>
      </c>
      <c r="T1526">
        <v>6.1072469999999997E-2</v>
      </c>
      <c r="U1526">
        <v>-0.40716550000000001</v>
      </c>
      <c r="V1526">
        <v>4.5920049999999997E-2</v>
      </c>
      <c r="W1526">
        <v>0.21952969999999999</v>
      </c>
      <c r="X1526">
        <v>0.97452459999999996</v>
      </c>
      <c r="Y1526">
        <v>-0.1330402</v>
      </c>
      <c r="Z1526">
        <v>4.0369560000000002E-4</v>
      </c>
      <c r="AA1526">
        <v>0.99111059999999995</v>
      </c>
      <c r="AB1526">
        <v>36</v>
      </c>
      <c r="AC1526">
        <v>-121.49</v>
      </c>
      <c r="AD1526">
        <v>2.418301</v>
      </c>
      <c r="AE1526">
        <v>-16.1234</v>
      </c>
      <c r="AF1526">
        <v>-16.3461530852246</v>
      </c>
      <c r="AG1526">
        <v>2.418301</v>
      </c>
      <c r="AH1526">
        <v>121.412099376905</v>
      </c>
      <c r="AI1526">
        <v>88.869127071181893</v>
      </c>
      <c r="AJ1526">
        <v>97.667831694607898</v>
      </c>
      <c r="AK1526">
        <v>122.531395060694</v>
      </c>
      <c r="AL1526">
        <v>77.318589354435403</v>
      </c>
      <c r="AM1526">
        <v>87.3021918635107</v>
      </c>
      <c r="AN1526">
        <v>1.0000000680896199</v>
      </c>
    </row>
    <row r="1527" spans="1:40" x14ac:dyDescent="0.25">
      <c r="A1527" t="str">
        <f>"20190303170751195"</f>
        <v>20190303170751195</v>
      </c>
      <c r="B1527" t="str">
        <f>"1551604071183825"</f>
        <v>1551604071183825</v>
      </c>
      <c r="C1527" t="s">
        <v>40</v>
      </c>
      <c r="D1527">
        <v>4.2804310000000001</v>
      </c>
      <c r="E1527">
        <v>0.43387599999999998</v>
      </c>
      <c r="F1527" t="s">
        <v>69</v>
      </c>
      <c r="G1527">
        <v>-440.28820000000002</v>
      </c>
      <c r="H1527">
        <v>3.3214760000000001</v>
      </c>
      <c r="I1527">
        <v>268.91469999999998</v>
      </c>
      <c r="J1527">
        <v>-319.53649999999999</v>
      </c>
      <c r="K1527">
        <v>1.1213759999999999</v>
      </c>
      <c r="L1527">
        <v>285.16390000000001</v>
      </c>
      <c r="M1527">
        <v>-0.9998918</v>
      </c>
      <c r="N1527">
        <v>-1.461281E-2</v>
      </c>
      <c r="O1527">
        <v>1.726006E-3</v>
      </c>
      <c r="P1527">
        <v>-0.97762380000000004</v>
      </c>
      <c r="Q1527">
        <v>0.20492560000000001</v>
      </c>
      <c r="R1527">
        <v>4.7514090000000002E-2</v>
      </c>
      <c r="S1527">
        <v>-3.0773929999999998</v>
      </c>
      <c r="T1527">
        <v>5.5912259999999998E-2</v>
      </c>
      <c r="U1527">
        <v>-0.4129333</v>
      </c>
      <c r="V1527">
        <v>4.576595E-2</v>
      </c>
      <c r="W1527">
        <v>0.2192036</v>
      </c>
      <c r="X1527">
        <v>0.97460519999999995</v>
      </c>
      <c r="Y1527">
        <v>-0.1346966</v>
      </c>
      <c r="Z1527">
        <v>2.8579160000000002E-4</v>
      </c>
      <c r="AA1527">
        <v>0.99088690000000001</v>
      </c>
      <c r="AB1527">
        <v>36</v>
      </c>
      <c r="AC1527">
        <v>-120.7517</v>
      </c>
      <c r="AD1527">
        <v>2.2000999999999999</v>
      </c>
      <c r="AE1527">
        <v>-16.249199999999998</v>
      </c>
      <c r="AF1527">
        <v>-16.4522516866631</v>
      </c>
      <c r="AG1527">
        <v>2.2000999999999999</v>
      </c>
      <c r="AH1527">
        <v>120.68412000253799</v>
      </c>
      <c r="AI1527">
        <v>88.965169617511407</v>
      </c>
      <c r="AJ1527">
        <v>97.762987604672304</v>
      </c>
      <c r="AK1527">
        <v>121.820252201177</v>
      </c>
      <c r="AL1527">
        <v>77.337739325265403</v>
      </c>
      <c r="AM1527">
        <v>87.311453983021906</v>
      </c>
      <c r="AN1527">
        <v>1.0000000181497</v>
      </c>
    </row>
    <row r="1528" spans="1:40" x14ac:dyDescent="0.25">
      <c r="A1528" t="str">
        <f>"20190303170751217"</f>
        <v>20190303170751217</v>
      </c>
      <c r="B1528" t="str">
        <f>"1551604071213610"</f>
        <v>1551604071213610</v>
      </c>
      <c r="C1528" t="s">
        <v>40</v>
      </c>
      <c r="D1528">
        <v>4.2454179999999999</v>
      </c>
      <c r="E1528">
        <v>0.4464072</v>
      </c>
      <c r="F1528" t="s">
        <v>69</v>
      </c>
      <c r="G1528">
        <v>-440.28820000000002</v>
      </c>
      <c r="H1528">
        <v>3.2198229999999999</v>
      </c>
      <c r="I1528">
        <v>268.82029999999997</v>
      </c>
      <c r="J1528">
        <v>-319.89210000000003</v>
      </c>
      <c r="K1528">
        <v>1.1213930000000001</v>
      </c>
      <c r="L1528">
        <v>285.1644</v>
      </c>
      <c r="M1528">
        <v>-0.99989189999999994</v>
      </c>
      <c r="N1528">
        <v>-1.4625579999999999E-2</v>
      </c>
      <c r="O1528">
        <v>1.559384E-3</v>
      </c>
      <c r="P1528">
        <v>-0.97759200000000002</v>
      </c>
      <c r="Q1528">
        <v>0.2051393</v>
      </c>
      <c r="R1528">
        <v>4.7241720000000001E-2</v>
      </c>
      <c r="S1528">
        <v>-3.0776979999999998</v>
      </c>
      <c r="T1528">
        <v>5.3485159999999997E-2</v>
      </c>
      <c r="U1528">
        <v>-0.41656490000000002</v>
      </c>
      <c r="V1528">
        <v>4.5652890000000002E-2</v>
      </c>
      <c r="W1528">
        <v>0.21942970000000001</v>
      </c>
      <c r="X1528">
        <v>0.97455959999999997</v>
      </c>
      <c r="Y1528">
        <v>-0.13566800000000001</v>
      </c>
      <c r="Z1528">
        <v>2.264004E-4</v>
      </c>
      <c r="AA1528">
        <v>0.99075429999999998</v>
      </c>
      <c r="AB1528">
        <v>36</v>
      </c>
      <c r="AC1528">
        <v>-120.3961</v>
      </c>
      <c r="AD1528">
        <v>2.09843</v>
      </c>
      <c r="AE1528">
        <v>-16.344100000000001</v>
      </c>
      <c r="AF1528">
        <v>-16.526914191072301</v>
      </c>
      <c r="AG1528">
        <v>2.09843</v>
      </c>
      <c r="AH1528">
        <v>120.33456996755</v>
      </c>
      <c r="AI1528">
        <v>89.010249600087306</v>
      </c>
      <c r="AJ1528">
        <v>97.8201559001063</v>
      </c>
      <c r="AK1528">
        <v>121.482307478987</v>
      </c>
      <c r="AL1528">
        <v>77.324461208478894</v>
      </c>
      <c r="AM1528">
        <v>87.317960741488704</v>
      </c>
      <c r="AN1528">
        <v>0.999999996779801</v>
      </c>
    </row>
    <row r="1529" spans="1:40" x14ac:dyDescent="0.25">
      <c r="A1529" t="str">
        <f>"20190303170751240"</f>
        <v>20190303170751240</v>
      </c>
      <c r="B1529" t="str">
        <f>"1551604071234105"</f>
        <v>1551604071234105</v>
      </c>
      <c r="C1529" t="s">
        <v>40</v>
      </c>
      <c r="D1529">
        <v>4.2401470000000003</v>
      </c>
      <c r="E1529">
        <v>0.44784000000000002</v>
      </c>
      <c r="F1529" t="s">
        <v>70</v>
      </c>
      <c r="G1529">
        <v>-512.82619999999997</v>
      </c>
      <c r="H1529">
        <v>3.271461</v>
      </c>
      <c r="I1529">
        <v>265.14319999999998</v>
      </c>
      <c r="J1529">
        <v>-320.2681</v>
      </c>
      <c r="K1529">
        <v>1.1214059999999999</v>
      </c>
      <c r="L1529">
        <v>285.16480000000001</v>
      </c>
      <c r="M1529">
        <v>-0.999892</v>
      </c>
      <c r="N1529">
        <v>-1.463681E-2</v>
      </c>
      <c r="O1529">
        <v>1.3838570000000001E-3</v>
      </c>
      <c r="P1529">
        <v>-0.97750369999999998</v>
      </c>
      <c r="Q1529">
        <v>0.2056857</v>
      </c>
      <c r="R1529">
        <v>4.6690870000000002E-2</v>
      </c>
      <c r="S1529">
        <v>-3.0769959999999998</v>
      </c>
      <c r="T1529">
        <v>3.4291389999999998E-2</v>
      </c>
      <c r="U1529">
        <v>-0.31930540000000002</v>
      </c>
      <c r="V1529">
        <v>4.5270869999999998E-2</v>
      </c>
      <c r="W1529">
        <v>0.2199856</v>
      </c>
      <c r="X1529">
        <v>0.97445210000000004</v>
      </c>
      <c r="Y1529">
        <v>-0.1045957</v>
      </c>
      <c r="Z1529">
        <v>-1.5072379999999999E-4</v>
      </c>
      <c r="AA1529">
        <v>0.99451480000000003</v>
      </c>
      <c r="AB1529">
        <v>36</v>
      </c>
      <c r="AC1529">
        <v>-192.5581</v>
      </c>
      <c r="AD1529">
        <v>2.150055</v>
      </c>
      <c r="AE1529">
        <v>-20.021599999999999</v>
      </c>
      <c r="AF1529">
        <v>-20.285580193656799</v>
      </c>
      <c r="AG1529">
        <v>2.150055</v>
      </c>
      <c r="AH1529">
        <v>192.50646175025</v>
      </c>
      <c r="AI1529">
        <v>89.363627958680198</v>
      </c>
      <c r="AJ1529">
        <v>96.015406080662203</v>
      </c>
      <c r="AK1529">
        <v>193.58425895691201</v>
      </c>
      <c r="AL1529">
        <v>77.291812856695202</v>
      </c>
      <c r="AM1529">
        <v>87.340078501351101</v>
      </c>
      <c r="AN1529">
        <v>1.00000000553616</v>
      </c>
    </row>
    <row r="1530" spans="1:40" x14ac:dyDescent="0.25">
      <c r="A1530" t="str">
        <f>"20190303170751263"</f>
        <v>20190303170751263</v>
      </c>
      <c r="B1530" t="str">
        <f>"1551604071253624"</f>
        <v>1551604071253624</v>
      </c>
      <c r="C1530" t="s">
        <v>40</v>
      </c>
      <c r="D1530">
        <v>4.261774</v>
      </c>
      <c r="E1530">
        <v>0.44855840000000002</v>
      </c>
      <c r="F1530" t="s">
        <v>70</v>
      </c>
      <c r="G1530">
        <v>-512.82619999999997</v>
      </c>
      <c r="H1530">
        <v>3.2901359999999999</v>
      </c>
      <c r="I1530">
        <v>265.77010000000001</v>
      </c>
      <c r="J1530">
        <v>-320.62639999999999</v>
      </c>
      <c r="K1530">
        <v>1.1214090000000001</v>
      </c>
      <c r="L1530">
        <v>285.1651</v>
      </c>
      <c r="M1530">
        <v>-0.99989209999999995</v>
      </c>
      <c r="N1530">
        <v>-1.464551E-2</v>
      </c>
      <c r="O1530">
        <v>1.218444E-3</v>
      </c>
      <c r="P1530">
        <v>-0.97757430000000001</v>
      </c>
      <c r="Q1530">
        <v>0.2055042</v>
      </c>
      <c r="R1530">
        <v>4.6006900000000003E-2</v>
      </c>
      <c r="S1530">
        <v>-3.0765690000000001</v>
      </c>
      <c r="T1530">
        <v>3.4651759999999997E-2</v>
      </c>
      <c r="U1530">
        <v>-0.30987550000000003</v>
      </c>
      <c r="V1530">
        <v>4.4746349999999997E-2</v>
      </c>
      <c r="W1530">
        <v>0.21981439999999999</v>
      </c>
      <c r="X1530">
        <v>0.97451500000000002</v>
      </c>
      <c r="Y1530">
        <v>-0.101428</v>
      </c>
      <c r="Z1530">
        <v>-1.434134E-4</v>
      </c>
      <c r="AA1530">
        <v>0.99484289999999997</v>
      </c>
      <c r="AB1530">
        <v>36</v>
      </c>
      <c r="AC1530">
        <v>-192.19980000000001</v>
      </c>
      <c r="AD1530">
        <v>2.1687270000000001</v>
      </c>
      <c r="AE1530">
        <v>-19.3949999999999</v>
      </c>
      <c r="AF1530">
        <v>-19.6267216641643</v>
      </c>
      <c r="AG1530">
        <v>2.1687270000000001</v>
      </c>
      <c r="AH1530">
        <v>192.151804483538</v>
      </c>
      <c r="AI1530">
        <v>89.356703698284093</v>
      </c>
      <c r="AJ1530">
        <v>95.832065476091401</v>
      </c>
      <c r="AK1530">
        <v>193.16373248196101</v>
      </c>
      <c r="AL1530">
        <v>77.301868539421505</v>
      </c>
      <c r="AM1530">
        <v>87.371023002752096</v>
      </c>
      <c r="AN1530">
        <v>1.00000004575534</v>
      </c>
    </row>
    <row r="1531" spans="1:40" x14ac:dyDescent="0.25">
      <c r="A1531" t="str">
        <f>"20190303170751285"</f>
        <v>20190303170751285</v>
      </c>
      <c r="B1531" t="str">
        <f>"1551604071274120"</f>
        <v>1551604071274120</v>
      </c>
      <c r="C1531" t="s">
        <v>40</v>
      </c>
      <c r="D1531">
        <v>4.2775179999999997</v>
      </c>
      <c r="E1531">
        <v>0.44853959999999998</v>
      </c>
      <c r="F1531" t="s">
        <v>70</v>
      </c>
      <c r="G1531">
        <v>-512.82619999999997</v>
      </c>
      <c r="H1531">
        <v>3.2229000000000001</v>
      </c>
      <c r="I1531">
        <v>266.06119999999999</v>
      </c>
      <c r="J1531">
        <v>-320.98250000000002</v>
      </c>
      <c r="K1531">
        <v>1.1214170000000001</v>
      </c>
      <c r="L1531">
        <v>285.16539999999998</v>
      </c>
      <c r="M1531">
        <v>-0.99989220000000001</v>
      </c>
      <c r="N1531">
        <v>-1.465262E-2</v>
      </c>
      <c r="O1531">
        <v>1.0554449999999999E-3</v>
      </c>
      <c r="P1531">
        <v>-0.97782139999999995</v>
      </c>
      <c r="Q1531">
        <v>0.204434</v>
      </c>
      <c r="R1531">
        <v>4.5523170000000002E-2</v>
      </c>
      <c r="S1531">
        <v>-3.0761409999999998</v>
      </c>
      <c r="T1531">
        <v>3.3635379999999999E-2</v>
      </c>
      <c r="U1531">
        <v>-0.30575560000000002</v>
      </c>
      <c r="V1531">
        <v>4.4420559999999998E-2</v>
      </c>
      <c r="W1531">
        <v>0.21875459999999999</v>
      </c>
      <c r="X1531">
        <v>0.97476830000000003</v>
      </c>
      <c r="Y1531">
        <v>-9.9960480000000004E-2</v>
      </c>
      <c r="Z1531">
        <v>-1.620963E-4</v>
      </c>
      <c r="AA1531">
        <v>0.99499139999999997</v>
      </c>
      <c r="AB1531">
        <v>36</v>
      </c>
      <c r="AC1531">
        <v>-191.84370000000001</v>
      </c>
      <c r="AD1531">
        <v>2.101483</v>
      </c>
      <c r="AE1531">
        <v>-19.104199999999899</v>
      </c>
      <c r="AF1531">
        <v>-19.3043978964056</v>
      </c>
      <c r="AG1531">
        <v>2.101483</v>
      </c>
      <c r="AH1531">
        <v>191.80063874106901</v>
      </c>
      <c r="AI1531">
        <v>89.375413473728798</v>
      </c>
      <c r="AJ1531">
        <v>95.747364799555797</v>
      </c>
      <c r="AK1531">
        <v>192.78112208000101</v>
      </c>
      <c r="AL1531">
        <v>77.364104803708102</v>
      </c>
      <c r="AM1531">
        <v>87.390814794042498</v>
      </c>
      <c r="AN1531">
        <v>0.99999999992838096</v>
      </c>
    </row>
    <row r="1532" spans="1:40" x14ac:dyDescent="0.25">
      <c r="A1532" t="str">
        <f>"20190303170751306"</f>
        <v>20190303170751306</v>
      </c>
      <c r="B1532" t="str">
        <f>"1551604071294148"</f>
        <v>1551604071294148</v>
      </c>
      <c r="C1532" t="s">
        <v>40</v>
      </c>
      <c r="D1532">
        <v>4.2856550000000002</v>
      </c>
      <c r="E1532">
        <v>0.44841350000000002</v>
      </c>
      <c r="F1532" t="s">
        <v>70</v>
      </c>
      <c r="G1532">
        <v>-512.82619999999997</v>
      </c>
      <c r="H1532">
        <v>2.9781399999999998</v>
      </c>
      <c r="I1532">
        <v>266.0206</v>
      </c>
      <c r="J1532">
        <v>-321.3064</v>
      </c>
      <c r="K1532">
        <v>1.121418</v>
      </c>
      <c r="L1532">
        <v>285.16559999999998</v>
      </c>
      <c r="M1532">
        <v>-0.99989220000000001</v>
      </c>
      <c r="N1532">
        <v>-1.4657689999999999E-2</v>
      </c>
      <c r="O1532">
        <v>9.0762160000000004E-4</v>
      </c>
      <c r="P1532">
        <v>-0.97799040000000004</v>
      </c>
      <c r="Q1532">
        <v>0.20372999999999999</v>
      </c>
      <c r="R1532">
        <v>4.5048070000000003E-2</v>
      </c>
      <c r="S1532">
        <v>-3.076111</v>
      </c>
      <c r="T1532">
        <v>2.9772759999999999E-2</v>
      </c>
      <c r="U1532">
        <v>-0.30697629999999998</v>
      </c>
      <c r="V1532">
        <v>4.4089219999999998E-2</v>
      </c>
      <c r="W1532">
        <v>0.218058</v>
      </c>
      <c r="X1532">
        <v>0.97493940000000001</v>
      </c>
      <c r="Y1532">
        <v>-0.1002058</v>
      </c>
      <c r="Z1532">
        <v>-2.3049130000000001E-4</v>
      </c>
      <c r="AA1532">
        <v>0.99496669999999998</v>
      </c>
      <c r="AB1532">
        <v>36</v>
      </c>
      <c r="AC1532">
        <v>-191.5198</v>
      </c>
      <c r="AD1532">
        <v>1.856722</v>
      </c>
      <c r="AE1532">
        <v>-19.1449999999999</v>
      </c>
      <c r="AF1532">
        <v>-19.3170407067973</v>
      </c>
      <c r="AG1532">
        <v>1.856722</v>
      </c>
      <c r="AH1532">
        <v>191.48452387725399</v>
      </c>
      <c r="AI1532">
        <v>89.447256486210705</v>
      </c>
      <c r="AJ1532">
        <v>95.760534121326401</v>
      </c>
      <c r="AK1532">
        <v>192.46536925574901</v>
      </c>
      <c r="AL1532">
        <v>77.405004347769307</v>
      </c>
      <c r="AM1532">
        <v>87.410704401333206</v>
      </c>
      <c r="AN1532">
        <v>0.99999999217828395</v>
      </c>
    </row>
    <row r="1533" spans="1:40" x14ac:dyDescent="0.25">
      <c r="A1533" t="str">
        <f>"20190303170751330"</f>
        <v>20190303170751330</v>
      </c>
      <c r="B1533" t="str">
        <f>"1551604071324406"</f>
        <v>1551604071324406</v>
      </c>
      <c r="C1533" t="s">
        <v>40</v>
      </c>
      <c r="D1533">
        <v>4.311725</v>
      </c>
      <c r="E1533">
        <v>0.44838739999999999</v>
      </c>
      <c r="F1533" t="s">
        <v>70</v>
      </c>
      <c r="G1533">
        <v>-512.8261</v>
      </c>
      <c r="H1533">
        <v>2.881831</v>
      </c>
      <c r="I1533">
        <v>265.96210000000002</v>
      </c>
      <c r="J1533">
        <v>-321.68560000000002</v>
      </c>
      <c r="K1533">
        <v>1.1214230000000001</v>
      </c>
      <c r="L1533">
        <v>285.16570000000002</v>
      </c>
      <c r="M1533">
        <v>-0.99989220000000001</v>
      </c>
      <c r="N1533">
        <v>-1.4662E-2</v>
      </c>
      <c r="O1533">
        <v>7.3513249999999995E-4</v>
      </c>
      <c r="P1533">
        <v>-0.97802230000000001</v>
      </c>
      <c r="Q1533">
        <v>0.2037776</v>
      </c>
      <c r="R1533">
        <v>4.4125150000000002E-2</v>
      </c>
      <c r="S1533">
        <v>-3.0758359999999998</v>
      </c>
      <c r="T1533">
        <v>2.8273699999999999E-2</v>
      </c>
      <c r="U1533">
        <v>-0.30841059999999998</v>
      </c>
      <c r="V1533">
        <v>4.3333829999999997E-2</v>
      </c>
      <c r="W1533">
        <v>0.2181101</v>
      </c>
      <c r="X1533">
        <v>0.97496159999999998</v>
      </c>
      <c r="Y1533">
        <v>-0.10050240000000001</v>
      </c>
      <c r="Z1533">
        <v>-2.6041010000000002E-4</v>
      </c>
      <c r="AA1533">
        <v>0.99493679999999995</v>
      </c>
      <c r="AB1533">
        <v>35</v>
      </c>
      <c r="AC1533">
        <v>-191.1405</v>
      </c>
      <c r="AD1533">
        <v>1.760408</v>
      </c>
      <c r="AE1533">
        <v>-19.203599999999899</v>
      </c>
      <c r="AF1533">
        <v>-19.3424991927563</v>
      </c>
      <c r="AG1533">
        <v>1.760408</v>
      </c>
      <c r="AH1533">
        <v>191.11028079668901</v>
      </c>
      <c r="AI1533">
        <v>89.4749185446518</v>
      </c>
      <c r="AJ1533">
        <v>95.779293926141605</v>
      </c>
      <c r="AK1533">
        <v>192.09469211182699</v>
      </c>
      <c r="AL1533">
        <v>77.401945445251997</v>
      </c>
      <c r="AM1533">
        <v>87.455066391698793</v>
      </c>
      <c r="AN1533">
        <v>0.99999997900951898</v>
      </c>
    </row>
    <row r="1534" spans="1:40" x14ac:dyDescent="0.25">
      <c r="A1534" t="str">
        <f>"20190303170751352"</f>
        <v>20190303170751352</v>
      </c>
      <c r="B1534" t="str">
        <f>"1551604071343928"</f>
        <v>1551604071343928</v>
      </c>
      <c r="C1534" t="s">
        <v>40</v>
      </c>
      <c r="D1534">
        <v>4.3000350000000003</v>
      </c>
      <c r="E1534">
        <v>0.44834010000000002</v>
      </c>
      <c r="F1534" t="s">
        <v>70</v>
      </c>
      <c r="G1534">
        <v>-512.8261</v>
      </c>
      <c r="H1534">
        <v>2.871362</v>
      </c>
      <c r="I1534">
        <v>265.85840000000002</v>
      </c>
      <c r="J1534">
        <v>-322.03919999999999</v>
      </c>
      <c r="K1534">
        <v>1.1214249999999999</v>
      </c>
      <c r="L1534">
        <v>285.16579999999999</v>
      </c>
      <c r="M1534">
        <v>-0.99989240000000001</v>
      </c>
      <c r="N1534">
        <v>-1.466487E-2</v>
      </c>
      <c r="O1534">
        <v>5.7369650000000001E-4</v>
      </c>
      <c r="P1534">
        <v>-0.97797670000000003</v>
      </c>
      <c r="Q1534">
        <v>0.20421139999999999</v>
      </c>
      <c r="R1534">
        <v>4.3123469999999997E-2</v>
      </c>
      <c r="S1534">
        <v>-3.0755919999999999</v>
      </c>
      <c r="T1534">
        <v>2.815902E-2</v>
      </c>
      <c r="U1534">
        <v>-0.31066890000000003</v>
      </c>
      <c r="V1534">
        <v>4.2489760000000001E-2</v>
      </c>
      <c r="W1534">
        <v>0.21854570000000001</v>
      </c>
      <c r="X1534">
        <v>0.97490120000000002</v>
      </c>
      <c r="Y1534">
        <v>-0.10107289999999999</v>
      </c>
      <c r="Z1534">
        <v>-2.6788069999999998E-4</v>
      </c>
      <c r="AA1534">
        <v>0.99487899999999996</v>
      </c>
      <c r="AB1534">
        <v>35</v>
      </c>
      <c r="AC1534">
        <v>-190.7869</v>
      </c>
      <c r="AD1534">
        <v>1.7499369999999901</v>
      </c>
      <c r="AE1534">
        <v>-19.307399999999902</v>
      </c>
      <c r="AF1534">
        <v>-19.4152455248738</v>
      </c>
      <c r="AG1534">
        <v>1.7499369999999901</v>
      </c>
      <c r="AH1534">
        <v>190.759904994561</v>
      </c>
      <c r="AI1534">
        <v>89.477112732744104</v>
      </c>
      <c r="AJ1534">
        <v>95.811463489622099</v>
      </c>
      <c r="AK1534">
        <v>191.75337126587601</v>
      </c>
      <c r="AL1534">
        <v>77.376370381615203</v>
      </c>
      <c r="AM1534">
        <v>87.504419717252901</v>
      </c>
      <c r="AN1534">
        <v>0.99999997622739301</v>
      </c>
    </row>
    <row r="1535" spans="1:40" x14ac:dyDescent="0.25">
      <c r="A1535" t="str">
        <f>"20190303170751375"</f>
        <v>20190303170751375</v>
      </c>
      <c r="B1535" t="str">
        <f>"1551604071364420"</f>
        <v>1551604071364420</v>
      </c>
      <c r="C1535" t="s">
        <v>40</v>
      </c>
      <c r="D1535">
        <v>4.2891919999999999</v>
      </c>
      <c r="E1535">
        <v>0.44821499999999997</v>
      </c>
      <c r="F1535" t="s">
        <v>70</v>
      </c>
      <c r="G1535">
        <v>-512.8261</v>
      </c>
      <c r="H1535">
        <v>2.8916629999999999</v>
      </c>
      <c r="I1535">
        <v>265.68689999999998</v>
      </c>
      <c r="J1535">
        <v>-322.38600000000002</v>
      </c>
      <c r="K1535">
        <v>1.1214390000000001</v>
      </c>
      <c r="L1535">
        <v>285.16590000000002</v>
      </c>
      <c r="M1535">
        <v>-0.99989240000000001</v>
      </c>
      <c r="N1535">
        <v>-1.466691E-2</v>
      </c>
      <c r="O1535">
        <v>4.155478E-4</v>
      </c>
      <c r="P1535">
        <v>-0.97794800000000004</v>
      </c>
      <c r="Q1535">
        <v>0.20456279999999999</v>
      </c>
      <c r="R1535">
        <v>4.2092709999999998E-2</v>
      </c>
      <c r="S1535">
        <v>-3.0754389999999998</v>
      </c>
      <c r="T1535">
        <v>2.8537030000000001E-2</v>
      </c>
      <c r="U1535">
        <v>-0.31399539999999998</v>
      </c>
      <c r="V1535">
        <v>4.1613070000000002E-2</v>
      </c>
      <c r="W1535">
        <v>0.2188988</v>
      </c>
      <c r="X1535">
        <v>0.97485980000000005</v>
      </c>
      <c r="Y1535">
        <v>-0.1019856</v>
      </c>
      <c r="Z1535">
        <v>-2.6802580000000002E-4</v>
      </c>
      <c r="AA1535">
        <v>0.99478580000000005</v>
      </c>
      <c r="AB1535">
        <v>35</v>
      </c>
      <c r="AC1535">
        <v>-190.4401</v>
      </c>
      <c r="AD1535">
        <v>1.770224</v>
      </c>
      <c r="AE1535">
        <v>-19.478999999999999</v>
      </c>
      <c r="AF1535">
        <v>-19.556471507212301</v>
      </c>
      <c r="AG1535">
        <v>1.770224</v>
      </c>
      <c r="AH1535">
        <v>190.41570567833099</v>
      </c>
      <c r="AI1535">
        <v>89.4701447908365</v>
      </c>
      <c r="AJ1535">
        <v>95.863950588120403</v>
      </c>
      <c r="AK1535">
        <v>191.42552139095599</v>
      </c>
      <c r="AL1535">
        <v>77.355637293429695</v>
      </c>
      <c r="AM1535">
        <v>87.555744181059694</v>
      </c>
      <c r="AN1535">
        <v>0.99999998094615195</v>
      </c>
    </row>
    <row r="1536" spans="1:40" x14ac:dyDescent="0.25">
      <c r="A1536" t="str">
        <f>"20190303170751397"</f>
        <v>20190303170751397</v>
      </c>
      <c r="B1536" t="str">
        <f>"1551604071394208"</f>
        <v>1551604071394208</v>
      </c>
      <c r="C1536" t="s">
        <v>40</v>
      </c>
      <c r="D1536">
        <v>4.3165879999999897</v>
      </c>
      <c r="E1536">
        <v>0.44830439999999999</v>
      </c>
      <c r="F1536" t="s">
        <v>70</v>
      </c>
      <c r="G1536">
        <v>-512.8261</v>
      </c>
      <c r="H1536">
        <v>2.9126349999999999</v>
      </c>
      <c r="I1536">
        <v>265.45679999999999</v>
      </c>
      <c r="J1536">
        <v>-322.7353</v>
      </c>
      <c r="K1536">
        <v>1.12144</v>
      </c>
      <c r="L1536">
        <v>285.16590000000002</v>
      </c>
      <c r="M1536">
        <v>-0.99989249999999996</v>
      </c>
      <c r="N1536">
        <v>-1.4668199999999999E-2</v>
      </c>
      <c r="O1536">
        <v>2.5580420000000001E-4</v>
      </c>
      <c r="P1536">
        <v>-0.97794009999999998</v>
      </c>
      <c r="Q1536">
        <v>0.20482159999999999</v>
      </c>
      <c r="R1536">
        <v>4.1006800000000003E-2</v>
      </c>
      <c r="S1536">
        <v>-3.0752869999999999</v>
      </c>
      <c r="T1536">
        <v>2.8926009999999999E-2</v>
      </c>
      <c r="U1536">
        <v>-0.31826779999999999</v>
      </c>
      <c r="V1536">
        <v>4.0683329999999997E-2</v>
      </c>
      <c r="W1536">
        <v>0.21915799999999999</v>
      </c>
      <c r="X1536">
        <v>0.97484079999999995</v>
      </c>
      <c r="Y1536">
        <v>-0.1031992</v>
      </c>
      <c r="Z1536">
        <v>-2.6873830000000002E-4</v>
      </c>
      <c r="AA1536">
        <v>0.99466069999999995</v>
      </c>
      <c r="AB1536">
        <v>35</v>
      </c>
      <c r="AC1536">
        <v>-190.0908</v>
      </c>
      <c r="AD1536">
        <v>1.7911950000000001</v>
      </c>
      <c r="AE1536">
        <v>-19.709099999999999</v>
      </c>
      <c r="AF1536">
        <v>-19.755995130083502</v>
      </c>
      <c r="AG1536">
        <v>1.7911950000000001</v>
      </c>
      <c r="AH1536">
        <v>190.06905484649599</v>
      </c>
      <c r="AI1536">
        <v>89.462958382567194</v>
      </c>
      <c r="AJ1536">
        <v>95.934080001195795</v>
      </c>
      <c r="AK1536">
        <v>191.10142158903</v>
      </c>
      <c r="AL1536">
        <v>77.340416554997404</v>
      </c>
      <c r="AM1536">
        <v>87.610244410128402</v>
      </c>
      <c r="AN1536">
        <v>0.99999997382426398</v>
      </c>
    </row>
    <row r="1537" spans="1:40" x14ac:dyDescent="0.25">
      <c r="A1537" t="str">
        <f>"20190303170751507"</f>
        <v>20190303170751507</v>
      </c>
      <c r="B1537" t="str">
        <f>"1551604071504029"</f>
        <v>1551604071504029</v>
      </c>
      <c r="C1537" t="s">
        <v>40</v>
      </c>
      <c r="D1537">
        <v>4.8381030000000003</v>
      </c>
      <c r="E1537">
        <v>0.45230019999999999</v>
      </c>
      <c r="F1537" t="s">
        <v>70</v>
      </c>
      <c r="G1537">
        <v>-512.8261</v>
      </c>
      <c r="H1537">
        <v>2.8625280000000002</v>
      </c>
      <c r="I1537">
        <v>265.33600000000001</v>
      </c>
      <c r="J1537">
        <v>-324.4753</v>
      </c>
      <c r="K1537">
        <v>1.121445</v>
      </c>
      <c r="L1537">
        <v>285.16489999999999</v>
      </c>
      <c r="M1537">
        <v>-0.99989240000000001</v>
      </c>
      <c r="N1537">
        <v>-1.4665579999999999E-2</v>
      </c>
      <c r="O1537">
        <v>-5.4044740000000003E-4</v>
      </c>
      <c r="P1537">
        <v>-0.97829630000000001</v>
      </c>
      <c r="Q1537">
        <v>0.2032659</v>
      </c>
      <c r="R1537">
        <v>4.0244080000000002E-2</v>
      </c>
      <c r="S1537">
        <v>-3.0752259999999998</v>
      </c>
      <c r="T1537">
        <v>2.8167959999999999E-2</v>
      </c>
      <c r="U1537">
        <v>-0.3208008</v>
      </c>
      <c r="V1537">
        <v>4.0700220000000002E-2</v>
      </c>
      <c r="W1537">
        <v>0.21760470000000001</v>
      </c>
      <c r="X1537">
        <v>0.97518800000000005</v>
      </c>
      <c r="Y1537">
        <v>-0.1032199</v>
      </c>
      <c r="Z1537">
        <v>-3.0037070000000002E-4</v>
      </c>
      <c r="AA1537">
        <v>0.9946585</v>
      </c>
      <c r="AB1537">
        <v>35</v>
      </c>
      <c r="AC1537">
        <v>-188.35079999999999</v>
      </c>
      <c r="AD1537">
        <v>1.7410829999999899</v>
      </c>
      <c r="AE1537">
        <v>-19.828899999999901</v>
      </c>
      <c r="AF1537">
        <v>-19.725425433642702</v>
      </c>
      <c r="AG1537">
        <v>1.7410829999999899</v>
      </c>
      <c r="AH1537">
        <v>188.34557270017899</v>
      </c>
      <c r="AI1537">
        <v>89.473248631763099</v>
      </c>
      <c r="AJ1537">
        <v>95.978789430916507</v>
      </c>
      <c r="AK1537">
        <v>189.38368074971399</v>
      </c>
      <c r="AL1537">
        <v>77.431615327669405</v>
      </c>
      <c r="AM1537">
        <v>87.610103635238005</v>
      </c>
      <c r="AN1537">
        <v>0.999999974357068</v>
      </c>
    </row>
    <row r="1538" spans="1:40" x14ac:dyDescent="0.25">
      <c r="A1538" t="str">
        <f>"20190303170751530"</f>
        <v>20190303170751530</v>
      </c>
      <c r="B1538" t="str">
        <f>"1551604071524523"</f>
        <v>1551604071524523</v>
      </c>
      <c r="C1538" t="s">
        <v>40</v>
      </c>
      <c r="D1538">
        <v>4.1188979999999997</v>
      </c>
      <c r="E1538">
        <v>0.47132299999999999</v>
      </c>
      <c r="F1538" t="s">
        <v>63</v>
      </c>
      <c r="G1538">
        <v>-351.5797</v>
      </c>
      <c r="H1538" s="1">
        <v>-6.9614009999999998E-7</v>
      </c>
      <c r="I1538">
        <v>282.57029999999997</v>
      </c>
      <c r="J1538">
        <v>-324.8304</v>
      </c>
      <c r="K1538">
        <v>1.1214440000000001</v>
      </c>
      <c r="L1538">
        <v>285.16460000000001</v>
      </c>
      <c r="M1538">
        <v>-0.99989229999999996</v>
      </c>
      <c r="N1538">
        <v>-1.466374E-2</v>
      </c>
      <c r="O1538">
        <v>-7.0325809999999896E-4</v>
      </c>
      <c r="P1538">
        <v>-0.97848749999999995</v>
      </c>
      <c r="Q1538">
        <v>0.20253930000000001</v>
      </c>
      <c r="R1538">
        <v>3.9244510000000003E-2</v>
      </c>
      <c r="S1538">
        <v>-3.1054689999999998</v>
      </c>
      <c r="T1538">
        <v>-0.12848869999999901</v>
      </c>
      <c r="U1538">
        <v>-0.29727170000000003</v>
      </c>
      <c r="V1538">
        <v>3.986054E-2</v>
      </c>
      <c r="W1538">
        <v>0.2168786</v>
      </c>
      <c r="X1538">
        <v>0.97538440000000004</v>
      </c>
      <c r="Y1538">
        <v>-9.4481010000000004E-2</v>
      </c>
      <c r="Z1538">
        <v>-2.6252950000000001E-3</v>
      </c>
      <c r="AA1538">
        <v>0.99552320000000005</v>
      </c>
      <c r="AB1538">
        <v>35</v>
      </c>
      <c r="AC1538">
        <v>-26.749300000000002</v>
      </c>
      <c r="AD1538">
        <v>-1.1214446961400999</v>
      </c>
      <c r="AE1538">
        <v>-2.5943000000000298</v>
      </c>
      <c r="AF1538">
        <v>-2.57100886680445</v>
      </c>
      <c r="AG1538">
        <v>-1.1214446961400999</v>
      </c>
      <c r="AH1538">
        <v>26.704618222301701</v>
      </c>
      <c r="AI1538">
        <v>92.393634770841999</v>
      </c>
      <c r="AJ1538">
        <v>95.499248722137906</v>
      </c>
      <c r="AK1538">
        <v>26.851524336591702</v>
      </c>
      <c r="AL1538">
        <v>77.474235462045897</v>
      </c>
      <c r="AM1538">
        <v>87.659824585987806</v>
      </c>
      <c r="AN1538">
        <v>0.99999995877520498</v>
      </c>
    </row>
    <row r="1539" spans="1:40" x14ac:dyDescent="0.25">
      <c r="A1539" t="str">
        <f>"20190303170751553"</f>
        <v>20190303170751553</v>
      </c>
      <c r="B1539" t="str">
        <f>"1551604071544046"</f>
        <v>1551604071544046</v>
      </c>
      <c r="C1539" t="s">
        <v>40</v>
      </c>
      <c r="D1539">
        <v>4.2530640000000002</v>
      </c>
      <c r="E1539">
        <v>0.4771069</v>
      </c>
      <c r="F1539" t="s">
        <v>63</v>
      </c>
      <c r="G1539">
        <v>-397.26409999999998</v>
      </c>
      <c r="H1539" s="1">
        <v>2.3288149999999998E-6</v>
      </c>
      <c r="I1539">
        <v>281.78230000000002</v>
      </c>
      <c r="J1539">
        <v>-325.19240000000002</v>
      </c>
      <c r="K1539">
        <v>1.1214379999999999</v>
      </c>
      <c r="L1539">
        <v>285.16410000000002</v>
      </c>
      <c r="M1539">
        <v>-0.99989229999999996</v>
      </c>
      <c r="N1539">
        <v>-1.4661560000000001E-2</v>
      </c>
      <c r="O1539">
        <v>-8.6952250000000002E-4</v>
      </c>
      <c r="P1539">
        <v>-0.9785722</v>
      </c>
      <c r="Q1539">
        <v>0.20224600000000001</v>
      </c>
      <c r="R1539">
        <v>3.8642669999999997E-2</v>
      </c>
      <c r="S1539">
        <v>-3.0815429999999999</v>
      </c>
      <c r="T1539">
        <v>-4.7709469999999997E-2</v>
      </c>
      <c r="U1539">
        <v>-0.1438904</v>
      </c>
      <c r="V1539">
        <v>3.9421749999999998E-2</v>
      </c>
      <c r="W1539">
        <v>0.21658440000000001</v>
      </c>
      <c r="X1539">
        <v>0.97546759999999999</v>
      </c>
      <c r="Y1539">
        <v>-4.576409E-2</v>
      </c>
      <c r="Z1539">
        <v>-6.8906789999999903E-4</v>
      </c>
      <c r="AA1539">
        <v>0.99895199999999995</v>
      </c>
      <c r="AB1539">
        <v>35</v>
      </c>
      <c r="AC1539">
        <v>-72.071699999999893</v>
      </c>
      <c r="AD1539">
        <v>-1.121435671185</v>
      </c>
      <c r="AE1539">
        <v>-3.3817999999999899</v>
      </c>
      <c r="AF1539">
        <v>-3.3183223841671299</v>
      </c>
      <c r="AG1539">
        <v>-1.121435671185</v>
      </c>
      <c r="AH1539">
        <v>72.057205912486594</v>
      </c>
      <c r="AI1539">
        <v>90.890685895632004</v>
      </c>
      <c r="AJ1539">
        <v>92.636677832540101</v>
      </c>
      <c r="AK1539">
        <v>72.142288606089906</v>
      </c>
      <c r="AL1539">
        <v>77.491502278108797</v>
      </c>
      <c r="AM1539">
        <v>87.685754560868403</v>
      </c>
      <c r="AN1539">
        <v>0.99999995767309002</v>
      </c>
    </row>
    <row r="1540" spans="1:40" x14ac:dyDescent="0.25">
      <c r="A1540" t="str">
        <f>"20190303170751574"</f>
        <v>20190303170751574</v>
      </c>
      <c r="B1540" t="str">
        <f>"1551604071563562"</f>
        <v>1551604071563562</v>
      </c>
      <c r="C1540" t="s">
        <v>40</v>
      </c>
      <c r="D1540">
        <v>4.2330909999999999</v>
      </c>
      <c r="E1540">
        <v>0.48015560000000002</v>
      </c>
      <c r="F1540" t="s">
        <v>63</v>
      </c>
      <c r="G1540">
        <v>-467.12869999999998</v>
      </c>
      <c r="H1540" s="1">
        <v>2.4313490000000002E-6</v>
      </c>
      <c r="I1540">
        <v>280.62200000000001</v>
      </c>
      <c r="J1540">
        <v>-325.51650000000001</v>
      </c>
      <c r="K1540">
        <v>1.1214379999999999</v>
      </c>
      <c r="L1540">
        <v>285.16370000000001</v>
      </c>
      <c r="M1540">
        <v>-0.99989209999999995</v>
      </c>
      <c r="N1540">
        <v>-1.465938E-2</v>
      </c>
      <c r="O1540">
        <v>-1.0181470000000001E-3</v>
      </c>
      <c r="P1540">
        <v>-0.97859750000000001</v>
      </c>
      <c r="Q1540">
        <v>0.20218639999999999</v>
      </c>
      <c r="R1540">
        <v>3.8310230000000001E-2</v>
      </c>
      <c r="S1540">
        <v>-3.0745849999999999</v>
      </c>
      <c r="T1540">
        <v>-2.4292230000000001E-2</v>
      </c>
      <c r="U1540">
        <v>-9.8388669999999998E-2</v>
      </c>
      <c r="V1540">
        <v>3.9234980000000003E-2</v>
      </c>
      <c r="W1540">
        <v>0.21652299999999999</v>
      </c>
      <c r="X1540">
        <v>0.97548880000000004</v>
      </c>
      <c r="Y1540">
        <v>-3.0963770000000002E-2</v>
      </c>
      <c r="Z1540">
        <v>-3.5620459999999998E-4</v>
      </c>
      <c r="AA1540">
        <v>0.99952039999999998</v>
      </c>
      <c r="AB1540">
        <v>35</v>
      </c>
      <c r="AC1540">
        <v>-141.61219999999901</v>
      </c>
      <c r="AD1540">
        <v>-1.121435568651</v>
      </c>
      <c r="AE1540">
        <v>-4.5416999999999899</v>
      </c>
      <c r="AF1540">
        <v>-4.3972246514308502</v>
      </c>
      <c r="AG1540">
        <v>-1.121435568651</v>
      </c>
      <c r="AH1540">
        <v>141.60787987949001</v>
      </c>
      <c r="AI1540">
        <v>90.453514511787901</v>
      </c>
      <c r="AJ1540">
        <v>91.778583818757198</v>
      </c>
      <c r="AK1540">
        <v>141.68057328488501</v>
      </c>
      <c r="AL1540">
        <v>77.495106234622099</v>
      </c>
      <c r="AM1540">
        <v>87.696757020041005</v>
      </c>
      <c r="AN1540">
        <v>0.99999999605501999</v>
      </c>
    </row>
    <row r="1541" spans="1:40" x14ac:dyDescent="0.25">
      <c r="A1541" t="str">
        <f>"20190303170751596"</f>
        <v>20190303170751596</v>
      </c>
      <c r="B1541" t="str">
        <f>"1551604071584059"</f>
        <v>1551604071584059</v>
      </c>
      <c r="C1541" t="s">
        <v>40</v>
      </c>
      <c r="D1541">
        <v>4.3172449999999998</v>
      </c>
      <c r="E1541">
        <v>0.48193540000000001</v>
      </c>
      <c r="F1541" t="s">
        <v>49</v>
      </c>
      <c r="G1541">
        <v>-691.45889999999997</v>
      </c>
      <c r="H1541">
        <v>-0.1</v>
      </c>
      <c r="I1541">
        <v>276.20979999999997</v>
      </c>
      <c r="J1541">
        <v>-325.86329999999998</v>
      </c>
      <c r="K1541">
        <v>1.121435</v>
      </c>
      <c r="L1541">
        <v>285.16320000000002</v>
      </c>
      <c r="M1541">
        <v>-0.999892</v>
      </c>
      <c r="N1541">
        <v>-1.4656850000000001E-2</v>
      </c>
      <c r="O1541">
        <v>-1.1774960000000001E-3</v>
      </c>
      <c r="P1541">
        <v>-0.97868829999999996</v>
      </c>
      <c r="Q1541">
        <v>0.201768</v>
      </c>
      <c r="R1541">
        <v>3.8200650000000003E-2</v>
      </c>
      <c r="S1541">
        <v>-3.0707089999999999</v>
      </c>
      <c r="T1541">
        <v>-1.0249380000000001E-2</v>
      </c>
      <c r="U1541">
        <v>-7.5134279999999998E-2</v>
      </c>
      <c r="V1541">
        <v>3.928181E-2</v>
      </c>
      <c r="W1541">
        <v>0.21610299999999999</v>
      </c>
      <c r="X1541">
        <v>0.97558</v>
      </c>
      <c r="Y1541">
        <v>-2.3282819999999999E-2</v>
      </c>
      <c r="Z1541">
        <v>-2.2284170000000001E-4</v>
      </c>
      <c r="AA1541">
        <v>0.99972890000000003</v>
      </c>
      <c r="AB1541">
        <v>35</v>
      </c>
      <c r="AC1541">
        <v>-365.59559999999999</v>
      </c>
      <c r="AD1541">
        <v>-1.221435</v>
      </c>
      <c r="AE1541">
        <v>-8.9534000000000393</v>
      </c>
      <c r="AF1541">
        <v>-8.5227651626133092</v>
      </c>
      <c r="AG1541">
        <v>-1.221435</v>
      </c>
      <c r="AH1541">
        <v>365.60181184987499</v>
      </c>
      <c r="AI1541">
        <v>90.191366126442603</v>
      </c>
      <c r="AJ1541">
        <v>91.335414734870099</v>
      </c>
      <c r="AK1541">
        <v>365.70317780597298</v>
      </c>
      <c r="AL1541">
        <v>77.519753460475997</v>
      </c>
      <c r="AM1541">
        <v>87.694226224158101</v>
      </c>
      <c r="AN1541">
        <v>0.99999995180293599</v>
      </c>
    </row>
    <row r="1542" spans="1:40" x14ac:dyDescent="0.25">
      <c r="A1542" t="str">
        <f>"20190303170751632"</f>
        <v>20190303170751632</v>
      </c>
      <c r="B1542" t="str">
        <f>"1551604071624078"</f>
        <v>1551604071624078</v>
      </c>
      <c r="C1542" t="s">
        <v>40</v>
      </c>
      <c r="D1542">
        <v>4.1680070000000002</v>
      </c>
      <c r="E1542">
        <v>0.48449589999999998</v>
      </c>
      <c r="F1542" t="s">
        <v>45</v>
      </c>
      <c r="G1542">
        <v>0</v>
      </c>
      <c r="H1542">
        <v>0</v>
      </c>
      <c r="I1542">
        <v>0</v>
      </c>
      <c r="J1542">
        <v>-326.41809999999998</v>
      </c>
      <c r="K1542">
        <v>1.1214329999999999</v>
      </c>
      <c r="L1542">
        <v>285.16219999999998</v>
      </c>
      <c r="M1542">
        <v>-0.99989170000000005</v>
      </c>
      <c r="N1542">
        <v>-1.4652510000000001E-2</v>
      </c>
      <c r="O1542">
        <v>-1.4330199999999999E-3</v>
      </c>
      <c r="P1542">
        <v>-0.97888710000000001</v>
      </c>
      <c r="Q1542">
        <v>0.2006722</v>
      </c>
      <c r="R1542">
        <v>3.8868569999999998E-2</v>
      </c>
      <c r="S1542">
        <v>-3.0681759999999998</v>
      </c>
      <c r="T1542">
        <v>-2.451539E-3</v>
      </c>
      <c r="U1542">
        <v>-6.0913090000000003E-2</v>
      </c>
      <c r="V1542">
        <v>4.0200779999999998E-2</v>
      </c>
      <c r="W1542">
        <v>0.21500649999999999</v>
      </c>
      <c r="X1542">
        <v>0.97578480000000001</v>
      </c>
      <c r="Y1542">
        <v>-1.8416390000000001E-2</v>
      </c>
      <c r="Z1542">
        <v>-1.621525E-4</v>
      </c>
      <c r="AA1542">
        <v>0.99983040000000001</v>
      </c>
      <c r="AB1542">
        <v>35</v>
      </c>
      <c r="AC1542">
        <v>-3.0681759999999998</v>
      </c>
      <c r="AD1542">
        <v>-2.451539E-3</v>
      </c>
      <c r="AE1542">
        <v>-6.0913090000000003E-2</v>
      </c>
      <c r="AF1542">
        <v>-5.6515762099157402E-2</v>
      </c>
      <c r="AG1542">
        <v>-2.451539E-3</v>
      </c>
      <c r="AH1542">
        <v>3.0682581899293</v>
      </c>
      <c r="AI1542">
        <v>90.045771567301998</v>
      </c>
      <c r="AJ1542">
        <v>91.055239915160698</v>
      </c>
      <c r="AK1542">
        <v>3.06877962087168</v>
      </c>
      <c r="AL1542">
        <v>77.584090557445506</v>
      </c>
      <c r="AM1542">
        <v>87.640839255018705</v>
      </c>
      <c r="AN1542">
        <v>0.99999993683294697</v>
      </c>
    </row>
    <row r="1543" spans="1:40" x14ac:dyDescent="0.25">
      <c r="A1543" t="str">
        <f>"20190303170751652"</f>
        <v>20190303170751652</v>
      </c>
      <c r="B1543" t="str">
        <f>"1551604071643594"</f>
        <v>1551604071643594</v>
      </c>
      <c r="C1543" t="s">
        <v>40</v>
      </c>
      <c r="D1543">
        <v>4.135796</v>
      </c>
      <c r="E1543">
        <v>0.48538540000000002</v>
      </c>
      <c r="F1543" t="s">
        <v>45</v>
      </c>
      <c r="G1543">
        <v>0</v>
      </c>
      <c r="H1543">
        <v>0</v>
      </c>
      <c r="I1543">
        <v>0</v>
      </c>
      <c r="J1543">
        <v>-326.73770000000002</v>
      </c>
      <c r="K1543">
        <v>1.1214299999999999</v>
      </c>
      <c r="L1543">
        <v>285.16160000000002</v>
      </c>
      <c r="M1543">
        <v>-0.99989139999999999</v>
      </c>
      <c r="N1543">
        <v>-1.4649840000000001E-2</v>
      </c>
      <c r="O1543">
        <v>-1.5796180000000001E-3</v>
      </c>
      <c r="P1543">
        <v>-0.97896530000000004</v>
      </c>
      <c r="Q1543">
        <v>0.19995930000000001</v>
      </c>
      <c r="R1543">
        <v>4.0538810000000002E-2</v>
      </c>
      <c r="S1543">
        <v>-3.0644840000000002</v>
      </c>
      <c r="T1543">
        <v>8.3143709999999992E-3</v>
      </c>
      <c r="U1543">
        <v>-3.8116459999999998E-2</v>
      </c>
      <c r="V1543">
        <v>4.2014959999999997E-2</v>
      </c>
      <c r="W1543">
        <v>0.2142925</v>
      </c>
      <c r="X1543">
        <v>0.97586550000000005</v>
      </c>
      <c r="Y1543">
        <v>-1.08579E-2</v>
      </c>
      <c r="Z1543" s="1">
        <v>-9.2237930000000002E-5</v>
      </c>
      <c r="AA1543">
        <v>0.99994110000000003</v>
      </c>
      <c r="AB1543">
        <v>35</v>
      </c>
      <c r="AC1543">
        <v>-3.0644840000000002</v>
      </c>
      <c r="AD1543">
        <v>8.3143709999999992E-3</v>
      </c>
      <c r="AE1543">
        <v>-3.8116459999999998E-2</v>
      </c>
      <c r="AF1543">
        <v>-3.3274933728255199E-2</v>
      </c>
      <c r="AG1543">
        <v>8.3143709999999992E-3</v>
      </c>
      <c r="AH1543">
        <v>3.0645178370439301</v>
      </c>
      <c r="AI1543">
        <v>89.844559847748101</v>
      </c>
      <c r="AJ1543">
        <v>90.622100587286695</v>
      </c>
      <c r="AK1543">
        <v>3.06470976171319</v>
      </c>
      <c r="AL1543">
        <v>77.625976885601503</v>
      </c>
      <c r="AM1543">
        <v>87.534707275170902</v>
      </c>
      <c r="AN1543">
        <v>1.0000000032551499</v>
      </c>
    </row>
    <row r="1544" spans="1:40" x14ac:dyDescent="0.25">
      <c r="A1544" t="str">
        <f>"20190303170751675"</f>
        <v>20190303170751675</v>
      </c>
      <c r="B1544" t="str">
        <f>"1551604071664090"</f>
        <v>1551604071664090</v>
      </c>
      <c r="C1544" t="s">
        <v>40</v>
      </c>
      <c r="D1544">
        <v>4.0970129999999996</v>
      </c>
      <c r="E1544">
        <v>0.48609289999999999</v>
      </c>
      <c r="F1544" t="s">
        <v>45</v>
      </c>
      <c r="G1544">
        <v>0</v>
      </c>
      <c r="H1544">
        <v>0</v>
      </c>
      <c r="I1544">
        <v>0</v>
      </c>
      <c r="J1544">
        <v>-327.08839999999998</v>
      </c>
      <c r="K1544">
        <v>1.1214379999999999</v>
      </c>
      <c r="L1544">
        <v>285.16090000000003</v>
      </c>
      <c r="M1544">
        <v>-0.99989130000000004</v>
      </c>
      <c r="N1544">
        <v>-1.464675E-2</v>
      </c>
      <c r="O1544">
        <v>-1.7413420000000001E-3</v>
      </c>
      <c r="P1544">
        <v>-0.9788985</v>
      </c>
      <c r="Q1544">
        <v>0.20005129999999999</v>
      </c>
      <c r="R1544">
        <v>4.1679269999999997E-2</v>
      </c>
      <c r="S1544">
        <v>-3.0631710000000001</v>
      </c>
      <c r="T1544">
        <v>1.1479970000000001E-2</v>
      </c>
      <c r="U1544">
        <v>-2.5939940000000002E-2</v>
      </c>
      <c r="V1544">
        <v>4.3313949999999997E-2</v>
      </c>
      <c r="W1544">
        <v>0.2143806</v>
      </c>
      <c r="X1544">
        <v>0.97578940000000003</v>
      </c>
      <c r="Y1544">
        <v>-6.7269779999999998E-3</v>
      </c>
      <c r="Z1544" s="1">
        <v>-6.8693440000000005E-5</v>
      </c>
      <c r="AA1544">
        <v>0.99997740000000002</v>
      </c>
      <c r="AB1544">
        <v>35</v>
      </c>
      <c r="AC1544">
        <v>-3.0631710000000001</v>
      </c>
      <c r="AD1544">
        <v>1.1479970000000001E-2</v>
      </c>
      <c r="AE1544">
        <v>-2.5939940000000002E-2</v>
      </c>
      <c r="AF1544">
        <v>-2.0605011177257701E-2</v>
      </c>
      <c r="AG1544">
        <v>1.1479970000000001E-2</v>
      </c>
      <c r="AH1544">
        <v>3.0631685091376899</v>
      </c>
      <c r="AI1544">
        <v>89.785275975505499</v>
      </c>
      <c r="AJ1544">
        <v>90.385405624194206</v>
      </c>
      <c r="AK1544">
        <v>3.0632593216327</v>
      </c>
      <c r="AL1544">
        <v>77.620809569990897</v>
      </c>
      <c r="AM1544">
        <v>87.458387527329904</v>
      </c>
      <c r="AN1544">
        <v>1.0000000465366601</v>
      </c>
    </row>
    <row r="1545" spans="1:40" x14ac:dyDescent="0.25">
      <c r="A1545" t="str">
        <f>"20190303170751698"</f>
        <v>20190303170751698</v>
      </c>
      <c r="B1545" t="str">
        <f>"1551604071684587"</f>
        <v>1551604071684587</v>
      </c>
      <c r="C1545" t="s">
        <v>40</v>
      </c>
      <c r="D1545">
        <v>4.2427989999999998</v>
      </c>
      <c r="E1545">
        <v>0.48669709999999999</v>
      </c>
      <c r="F1545" t="s">
        <v>45</v>
      </c>
      <c r="G1545">
        <v>0</v>
      </c>
      <c r="H1545">
        <v>0</v>
      </c>
      <c r="I1545">
        <v>0</v>
      </c>
      <c r="J1545">
        <v>-327.44240000000002</v>
      </c>
      <c r="K1545">
        <v>1.1214360000000001</v>
      </c>
      <c r="L1545">
        <v>285.16019999999997</v>
      </c>
      <c r="M1545">
        <v>-0.99989110000000003</v>
      </c>
      <c r="N1545">
        <v>-1.464349E-2</v>
      </c>
      <c r="O1545">
        <v>-1.9042620000000001E-3</v>
      </c>
      <c r="P1545">
        <v>-0.97873900000000003</v>
      </c>
      <c r="Q1545">
        <v>0.20072780000000001</v>
      </c>
      <c r="R1545">
        <v>4.2171519999999997E-2</v>
      </c>
      <c r="S1545">
        <v>-3.062103</v>
      </c>
      <c r="T1545">
        <v>1.6375899999999999E-2</v>
      </c>
      <c r="U1545">
        <v>-1.721191E-2</v>
      </c>
      <c r="V1545">
        <v>4.3965310000000001E-2</v>
      </c>
      <c r="W1545">
        <v>0.21505170000000001</v>
      </c>
      <c r="X1545">
        <v>0.97561249999999999</v>
      </c>
      <c r="Y1545">
        <v>-3.7168840000000002E-3</v>
      </c>
      <c r="Z1545" s="1">
        <v>-5.5346039999999998E-5</v>
      </c>
      <c r="AA1545">
        <v>0.99999309999999997</v>
      </c>
      <c r="AB1545">
        <v>35</v>
      </c>
      <c r="AC1545">
        <v>-3.062103</v>
      </c>
      <c r="AD1545">
        <v>1.6375899999999999E-2</v>
      </c>
      <c r="AE1545">
        <v>-1.721191E-2</v>
      </c>
      <c r="AF1545">
        <v>-1.13798824509928E-2</v>
      </c>
      <c r="AG1545">
        <v>1.6375899999999999E-2</v>
      </c>
      <c r="AH1545">
        <v>3.0620426537748</v>
      </c>
      <c r="AI1545">
        <v>89.693585414283106</v>
      </c>
      <c r="AJ1545">
        <v>90.2129350592636</v>
      </c>
      <c r="AK1545">
        <v>3.0621075887959299</v>
      </c>
      <c r="AL1545">
        <v>77.581439126119307</v>
      </c>
      <c r="AM1545">
        <v>87.419750591741405</v>
      </c>
      <c r="AN1545">
        <v>0.99999996615626696</v>
      </c>
    </row>
    <row r="1546" spans="1:40" x14ac:dyDescent="0.25">
      <c r="A1546" t="str">
        <f>"20190303170751721"</f>
        <v>20190303170751721</v>
      </c>
      <c r="B1546" t="str">
        <f>"1551604071713867"</f>
        <v>1551604071713867</v>
      </c>
      <c r="C1546" t="s">
        <v>40</v>
      </c>
      <c r="D1546">
        <v>4.181883</v>
      </c>
      <c r="E1546">
        <v>0.48721560000000003</v>
      </c>
      <c r="F1546" t="s">
        <v>45</v>
      </c>
      <c r="G1546">
        <v>0</v>
      </c>
      <c r="H1546">
        <v>0</v>
      </c>
      <c r="I1546">
        <v>0</v>
      </c>
      <c r="J1546">
        <v>-327.79840000000002</v>
      </c>
      <c r="K1546">
        <v>1.1214390000000001</v>
      </c>
      <c r="L1546">
        <v>285.15929999999997</v>
      </c>
      <c r="M1546">
        <v>-0.99989070000000002</v>
      </c>
      <c r="N1546">
        <v>-1.4640129999999999E-2</v>
      </c>
      <c r="O1546">
        <v>-2.0678960000000001E-3</v>
      </c>
      <c r="P1546">
        <v>-0.97873109999999997</v>
      </c>
      <c r="Q1546">
        <v>0.20072129999999999</v>
      </c>
      <c r="R1546">
        <v>4.2383339999999999E-2</v>
      </c>
      <c r="S1546">
        <v>-3.0610659999999998</v>
      </c>
      <c r="T1546">
        <v>2.2086499999999998E-2</v>
      </c>
      <c r="U1546">
        <v>-1.0162350000000001E-2</v>
      </c>
      <c r="V1546">
        <v>4.4337479999999999E-2</v>
      </c>
      <c r="W1546">
        <v>0.21504190000000001</v>
      </c>
      <c r="X1546">
        <v>0.97559790000000002</v>
      </c>
      <c r="Y1546">
        <v>-1.25227E-3</v>
      </c>
      <c r="Z1546" s="1">
        <v>-4.98443E-5</v>
      </c>
      <c r="AA1546">
        <v>0.99999919999999998</v>
      </c>
      <c r="AB1546">
        <v>35</v>
      </c>
      <c r="AC1546">
        <v>-3.0610659999999998</v>
      </c>
      <c r="AD1546">
        <v>2.2086499999999998E-2</v>
      </c>
      <c r="AE1546">
        <v>-1.0162350000000001E-2</v>
      </c>
      <c r="AF1546">
        <v>-3.83148426081902E-3</v>
      </c>
      <c r="AG1546">
        <v>2.2086499999999998E-2</v>
      </c>
      <c r="AH1546">
        <v>3.0609211193133801</v>
      </c>
      <c r="AI1546">
        <v>89.586581871296801</v>
      </c>
      <c r="AJ1546">
        <v>90.071719509978294</v>
      </c>
      <c r="AK1546">
        <v>3.06100320032707</v>
      </c>
      <c r="AL1546">
        <v>77.582015092443697</v>
      </c>
      <c r="AM1546">
        <v>87.397899573831594</v>
      </c>
      <c r="AN1546">
        <v>1.0000000466863801</v>
      </c>
    </row>
    <row r="1547" spans="1:40" x14ac:dyDescent="0.25">
      <c r="A1547" t="str">
        <f>"20190303170751743"</f>
        <v>20190303170751743</v>
      </c>
      <c r="B1547" t="str">
        <f>"1551604071734363"</f>
        <v>1551604071734363</v>
      </c>
      <c r="C1547" t="s">
        <v>40</v>
      </c>
      <c r="D1547">
        <v>4.1104500000000002</v>
      </c>
      <c r="E1547">
        <v>0.48751549999999999</v>
      </c>
      <c r="F1547" t="s">
        <v>45</v>
      </c>
      <c r="G1547">
        <v>0</v>
      </c>
      <c r="H1547">
        <v>0</v>
      </c>
      <c r="I1547">
        <v>0</v>
      </c>
      <c r="J1547">
        <v>-328.1336</v>
      </c>
      <c r="K1547">
        <v>1.121443</v>
      </c>
      <c r="L1547">
        <v>285.15839999999997</v>
      </c>
      <c r="M1547">
        <v>-0.99989050000000002</v>
      </c>
      <c r="N1547">
        <v>-1.463688E-2</v>
      </c>
      <c r="O1547">
        <v>-2.2224720000000001E-3</v>
      </c>
      <c r="P1547">
        <v>-0.97880270000000003</v>
      </c>
      <c r="Q1547">
        <v>0.2003212</v>
      </c>
      <c r="R1547">
        <v>4.2625349999999999E-2</v>
      </c>
      <c r="S1547">
        <v>-3.0599370000000001</v>
      </c>
      <c r="T1547">
        <v>2.672279E-2</v>
      </c>
      <c r="U1547">
        <v>-5.2795409999999996E-3</v>
      </c>
      <c r="V1547">
        <v>4.473129E-2</v>
      </c>
      <c r="W1547">
        <v>0.21463950000000001</v>
      </c>
      <c r="X1547">
        <v>0.97566850000000005</v>
      </c>
      <c r="Y1547">
        <v>4.9674339999999895E-4</v>
      </c>
      <c r="Z1547" s="1">
        <v>-5.0472330000000003E-5</v>
      </c>
      <c r="AA1547">
        <v>0.99999990000000005</v>
      </c>
      <c r="AB1547">
        <v>35</v>
      </c>
      <c r="AC1547">
        <v>-3.0599370000000001</v>
      </c>
      <c r="AD1547">
        <v>2.672279E-2</v>
      </c>
      <c r="AE1547">
        <v>-5.2795409999999996E-3</v>
      </c>
      <c r="AF1547">
        <v>1.52170823861965E-3</v>
      </c>
      <c r="AG1547">
        <v>2.672279E-2</v>
      </c>
      <c r="AH1547">
        <v>3.0597078210651998</v>
      </c>
      <c r="AI1547">
        <v>89.499604519263499</v>
      </c>
      <c r="AJ1547">
        <v>89.971504647621998</v>
      </c>
      <c r="AK1547">
        <v>3.0598248926023399</v>
      </c>
      <c r="AL1547">
        <v>77.605621729863699</v>
      </c>
      <c r="AM1547">
        <v>87.375009338101904</v>
      </c>
      <c r="AN1547">
        <v>1.00000001257878</v>
      </c>
    </row>
    <row r="1548" spans="1:40" x14ac:dyDescent="0.25">
      <c r="A1548" t="str">
        <f>"20190303170751764"</f>
        <v>20190303170751764</v>
      </c>
      <c r="B1548" t="str">
        <f>"1551604071753886"</f>
        <v>1551604071753886</v>
      </c>
      <c r="C1548" t="s">
        <v>40</v>
      </c>
      <c r="D1548">
        <v>4.1294129999999996</v>
      </c>
      <c r="E1548">
        <v>0.48778500000000002</v>
      </c>
      <c r="F1548" t="s">
        <v>45</v>
      </c>
      <c r="G1548">
        <v>0</v>
      </c>
      <c r="H1548">
        <v>0</v>
      </c>
      <c r="I1548">
        <v>0</v>
      </c>
      <c r="J1548">
        <v>-328.46089999999998</v>
      </c>
      <c r="K1548">
        <v>1.121443</v>
      </c>
      <c r="L1548">
        <v>285.15750000000003</v>
      </c>
      <c r="M1548">
        <v>-0.9998901</v>
      </c>
      <c r="N1548">
        <v>-1.463364E-2</v>
      </c>
      <c r="O1548">
        <v>-2.3731160000000002E-3</v>
      </c>
      <c r="P1548">
        <v>-0.97875639999999997</v>
      </c>
      <c r="Q1548">
        <v>0.20060700000000001</v>
      </c>
      <c r="R1548">
        <v>4.2339099999999998E-2</v>
      </c>
      <c r="S1548">
        <v>-3.059326</v>
      </c>
      <c r="T1548">
        <v>2.806258E-2</v>
      </c>
      <c r="U1548">
        <v>-2.3498540000000002E-3</v>
      </c>
      <c r="V1548">
        <v>4.4592329999999999E-2</v>
      </c>
      <c r="W1548">
        <v>0.21492169999999999</v>
      </c>
      <c r="X1548">
        <v>0.9756127</v>
      </c>
      <c r="Y1548">
        <v>1.6046439999999999E-3</v>
      </c>
      <c r="Z1548" s="1">
        <v>-5.2112949999999997E-5</v>
      </c>
      <c r="AA1548">
        <v>0.99999870000000002</v>
      </c>
      <c r="AB1548">
        <v>35</v>
      </c>
      <c r="AC1548">
        <v>-3.059326</v>
      </c>
      <c r="AD1548">
        <v>2.806258E-2</v>
      </c>
      <c r="AE1548">
        <v>-2.3498540000000002E-3</v>
      </c>
      <c r="AF1548">
        <v>4.9106524414426296E-3</v>
      </c>
      <c r="AG1548">
        <v>2.806258E-2</v>
      </c>
      <c r="AH1548">
        <v>3.0590655703255001</v>
      </c>
      <c r="AI1548">
        <v>89.474408054698998</v>
      </c>
      <c r="AJ1548">
        <v>89.908024391304394</v>
      </c>
      <c r="AK1548">
        <v>3.0591982260805701</v>
      </c>
      <c r="AL1548">
        <v>77.5890660482264</v>
      </c>
      <c r="AM1548">
        <v>87.383003188188496</v>
      </c>
      <c r="AN1548">
        <v>0.99999997671350405</v>
      </c>
    </row>
    <row r="1549" spans="1:40" x14ac:dyDescent="0.25">
      <c r="A1549" t="str">
        <f>"20190303170751787"</f>
        <v>20190303170751787</v>
      </c>
      <c r="B1549" t="str">
        <f>"1551604071774379"</f>
        <v>1551604071774379</v>
      </c>
      <c r="C1549" t="s">
        <v>40</v>
      </c>
      <c r="D1549">
        <v>4.1290050000000003</v>
      </c>
      <c r="E1549">
        <v>0.48792279999999999</v>
      </c>
      <c r="F1549" t="s">
        <v>45</v>
      </c>
      <c r="G1549">
        <v>0</v>
      </c>
      <c r="H1549">
        <v>0</v>
      </c>
      <c r="I1549">
        <v>0</v>
      </c>
      <c r="J1549">
        <v>-328.80599999999998</v>
      </c>
      <c r="K1549">
        <v>1.1214440000000001</v>
      </c>
      <c r="L1549">
        <v>285.15660000000003</v>
      </c>
      <c r="M1549">
        <v>-0.9998899</v>
      </c>
      <c r="N1549">
        <v>-1.463018E-2</v>
      </c>
      <c r="O1549">
        <v>-2.5321010000000001E-3</v>
      </c>
      <c r="P1549">
        <v>-0.9786707</v>
      </c>
      <c r="Q1549">
        <v>0.201099</v>
      </c>
      <c r="R1549">
        <v>4.1991849999999997E-2</v>
      </c>
      <c r="S1549">
        <v>-3.0587770000000001</v>
      </c>
      <c r="T1549">
        <v>3.1081439999999998E-2</v>
      </c>
      <c r="U1549">
        <v>-7.6293949999999998E-4</v>
      </c>
      <c r="V1549">
        <v>4.440061E-2</v>
      </c>
      <c r="W1549">
        <v>0.2154084</v>
      </c>
      <c r="X1549">
        <v>0.97551410000000005</v>
      </c>
      <c r="Y1549">
        <v>2.2822200000000002E-3</v>
      </c>
      <c r="Z1549" s="1">
        <v>-5.7673390000000002E-5</v>
      </c>
      <c r="AA1549">
        <v>0.99999740000000004</v>
      </c>
      <c r="AB1549">
        <v>35</v>
      </c>
      <c r="AC1549">
        <v>-3.0587770000000001</v>
      </c>
      <c r="AD1549">
        <v>3.1081439999999998E-2</v>
      </c>
      <c r="AE1549">
        <v>-7.6293949999999998E-4</v>
      </c>
      <c r="AF1549">
        <v>6.9823022924208403E-3</v>
      </c>
      <c r="AG1549">
        <v>3.1081439999999998E-2</v>
      </c>
      <c r="AH1549">
        <v>3.0584533268698801</v>
      </c>
      <c r="AI1549">
        <v>89.417754923584894</v>
      </c>
      <c r="AJ1549">
        <v>89.869196709946905</v>
      </c>
      <c r="AK1549">
        <v>3.0586192246010602</v>
      </c>
      <c r="AL1549">
        <v>77.560511367776002</v>
      </c>
      <c r="AM1549">
        <v>87.393976133163406</v>
      </c>
      <c r="AN1549">
        <v>0.99999997612887004</v>
      </c>
    </row>
    <row r="1550" spans="1:40" x14ac:dyDescent="0.25">
      <c r="A1550" t="str">
        <f>"20190303170751810"</f>
        <v>20190303170751810</v>
      </c>
      <c r="B1550" t="str">
        <f>"1551604071803658"</f>
        <v>1551604071803658</v>
      </c>
      <c r="C1550" t="s">
        <v>40</v>
      </c>
      <c r="D1550">
        <v>4.0935110000000003</v>
      </c>
      <c r="E1550">
        <v>0.48814229999999997</v>
      </c>
      <c r="F1550" t="s">
        <v>45</v>
      </c>
      <c r="G1550">
        <v>0</v>
      </c>
      <c r="H1550">
        <v>0</v>
      </c>
      <c r="I1550">
        <v>0</v>
      </c>
      <c r="J1550">
        <v>-329.16460000000001</v>
      </c>
      <c r="K1550">
        <v>1.1214470000000001</v>
      </c>
      <c r="L1550">
        <v>285.15550000000002</v>
      </c>
      <c r="M1550">
        <v>-0.99988940000000004</v>
      </c>
      <c r="N1550">
        <v>-1.4626210000000001E-2</v>
      </c>
      <c r="O1550">
        <v>-2.6971619999999999E-3</v>
      </c>
      <c r="P1550">
        <v>-0.97847110000000004</v>
      </c>
      <c r="Q1550">
        <v>0.20211209999999999</v>
      </c>
      <c r="R1550">
        <v>4.177583E-2</v>
      </c>
      <c r="S1550">
        <v>-3.058319</v>
      </c>
      <c r="T1550">
        <v>3.4420489999999998E-2</v>
      </c>
      <c r="U1550">
        <v>-1.5258789999999999E-4</v>
      </c>
      <c r="V1550">
        <v>4.434548E-2</v>
      </c>
      <c r="W1550">
        <v>0.21641450000000001</v>
      </c>
      <c r="X1550">
        <v>0.97529390000000005</v>
      </c>
      <c r="Y1550">
        <v>2.646706E-3</v>
      </c>
      <c r="Z1550" s="1">
        <v>-6.5340340000000005E-5</v>
      </c>
      <c r="AA1550">
        <v>0.99999649999999995</v>
      </c>
      <c r="AB1550">
        <v>35</v>
      </c>
      <c r="AC1550">
        <v>-3.058319</v>
      </c>
      <c r="AD1550">
        <v>3.4420489999999998E-2</v>
      </c>
      <c r="AE1550">
        <v>-1.5258789999999999E-4</v>
      </c>
      <c r="AF1550">
        <v>8.09605133411344E-3</v>
      </c>
      <c r="AG1550">
        <v>3.4420489999999998E-2</v>
      </c>
      <c r="AH1550">
        <v>3.0579209428754401</v>
      </c>
      <c r="AI1550">
        <v>89.355098236192504</v>
      </c>
      <c r="AJ1550">
        <v>89.848305925173506</v>
      </c>
      <c r="AK1550">
        <v>3.05812537497324</v>
      </c>
      <c r="AL1550">
        <v>77.501473529562901</v>
      </c>
      <c r="AM1550">
        <v>87.396620603975904</v>
      </c>
      <c r="AN1550">
        <v>0.99999997439194499</v>
      </c>
    </row>
    <row r="1551" spans="1:40" x14ac:dyDescent="0.25">
      <c r="A1551" t="str">
        <f>"20190303170751832"</f>
        <v>20190303170751832</v>
      </c>
      <c r="B1551" t="str">
        <f>"1551604071824155"</f>
        <v>1551604071824155</v>
      </c>
      <c r="C1551" t="s">
        <v>40</v>
      </c>
      <c r="D1551">
        <v>4.1802159999999997</v>
      </c>
      <c r="E1551">
        <v>0.4882262</v>
      </c>
      <c r="F1551" t="s">
        <v>45</v>
      </c>
      <c r="G1551">
        <v>0</v>
      </c>
      <c r="H1551">
        <v>0</v>
      </c>
      <c r="I1551">
        <v>0</v>
      </c>
      <c r="J1551">
        <v>-329.51580000000001</v>
      </c>
      <c r="K1551">
        <v>1.1214519999999999</v>
      </c>
      <c r="L1551">
        <v>285.15440000000001</v>
      </c>
      <c r="M1551">
        <v>-0.99988900000000003</v>
      </c>
      <c r="N1551">
        <v>-1.462251E-2</v>
      </c>
      <c r="O1551">
        <v>-2.859487E-3</v>
      </c>
      <c r="P1551">
        <v>-0.9784216</v>
      </c>
      <c r="Q1551">
        <v>0.2022911</v>
      </c>
      <c r="R1551">
        <v>4.2068969999999997E-2</v>
      </c>
      <c r="S1551">
        <v>-3.057617</v>
      </c>
      <c r="T1551">
        <v>4.0328500000000003E-2</v>
      </c>
      <c r="U1551">
        <v>1.2207030000000001E-3</v>
      </c>
      <c r="V1551">
        <v>4.4797259999999998E-2</v>
      </c>
      <c r="W1551">
        <v>0.21658910000000001</v>
      </c>
      <c r="X1551">
        <v>0.9752345</v>
      </c>
      <c r="Y1551">
        <v>3.257949E-3</v>
      </c>
      <c r="Z1551" s="1">
        <v>-7.7188500000000001E-5</v>
      </c>
      <c r="AA1551">
        <v>0.99999470000000001</v>
      </c>
      <c r="AB1551">
        <v>34</v>
      </c>
      <c r="AC1551">
        <v>-3.057617</v>
      </c>
      <c r="AD1551">
        <v>4.0328500000000003E-2</v>
      </c>
      <c r="AE1551">
        <v>1.2207030000000001E-3</v>
      </c>
      <c r="AF1551">
        <v>9.9631157010831896E-3</v>
      </c>
      <c r="AG1551">
        <v>4.0328500000000003E-2</v>
      </c>
      <c r="AH1551">
        <v>3.0570691876215199</v>
      </c>
      <c r="AI1551">
        <v>89.244208616271493</v>
      </c>
      <c r="AJ1551">
        <v>89.813271331329304</v>
      </c>
      <c r="AK1551">
        <v>3.0573514141314599</v>
      </c>
      <c r="AL1551">
        <v>77.491226741652198</v>
      </c>
      <c r="AM1551">
        <v>87.369975157083701</v>
      </c>
      <c r="AN1551">
        <v>0.99999998136628299</v>
      </c>
    </row>
    <row r="1552" spans="1:40" x14ac:dyDescent="0.25">
      <c r="A1552" t="str">
        <f>"20190303170751854"</f>
        <v>20190303170751854</v>
      </c>
      <c r="B1552" t="str">
        <f>"1551604071843675"</f>
        <v>1551604071843675</v>
      </c>
      <c r="C1552" t="s">
        <v>40</v>
      </c>
      <c r="D1552">
        <v>4.1118009999999998</v>
      </c>
      <c r="E1552">
        <v>0.48825020000000002</v>
      </c>
      <c r="F1552" t="s">
        <v>45</v>
      </c>
      <c r="G1552">
        <v>0</v>
      </c>
      <c r="H1552">
        <v>0</v>
      </c>
      <c r="I1552">
        <v>0</v>
      </c>
      <c r="J1552">
        <v>-329.83940000000001</v>
      </c>
      <c r="K1552">
        <v>1.1214569999999999</v>
      </c>
      <c r="L1552">
        <v>285.1533</v>
      </c>
      <c r="M1552">
        <v>-0.99988869999999996</v>
      </c>
      <c r="N1552">
        <v>-1.461933E-2</v>
      </c>
      <c r="O1552">
        <v>-3.0098989999999999E-3</v>
      </c>
      <c r="P1552">
        <v>-0.97843409999999997</v>
      </c>
      <c r="Q1552">
        <v>0.2021857</v>
      </c>
      <c r="R1552">
        <v>4.2282090000000001E-2</v>
      </c>
      <c r="S1552">
        <v>-3.0572810000000001</v>
      </c>
      <c r="T1552">
        <v>4.2405129999999999E-2</v>
      </c>
      <c r="U1552">
        <v>2.7770999999999998E-3</v>
      </c>
      <c r="V1552">
        <v>4.5157469999999998E-2</v>
      </c>
      <c r="W1552">
        <v>0.2164806</v>
      </c>
      <c r="X1552">
        <v>0.97524200000000005</v>
      </c>
      <c r="Y1552">
        <v>3.9173699999999999E-3</v>
      </c>
      <c r="Z1552" s="1">
        <v>-8.4276540000000001E-5</v>
      </c>
      <c r="AA1552">
        <v>0.99999229999999995</v>
      </c>
      <c r="AB1552">
        <v>34</v>
      </c>
      <c r="AC1552">
        <v>-3.0572810000000001</v>
      </c>
      <c r="AD1552">
        <v>4.2405129999999999E-2</v>
      </c>
      <c r="AE1552">
        <v>2.7770999999999998E-3</v>
      </c>
      <c r="AF1552">
        <v>1.1977872720066399E-2</v>
      </c>
      <c r="AG1552">
        <v>4.2405129999999999E-2</v>
      </c>
      <c r="AH1552">
        <v>3.05667073844532</v>
      </c>
      <c r="AI1552">
        <v>89.205193923219596</v>
      </c>
      <c r="AJ1552">
        <v>89.7754818557692</v>
      </c>
      <c r="AK1552">
        <v>3.0569883329435701</v>
      </c>
      <c r="AL1552">
        <v>77.497594681247804</v>
      </c>
      <c r="AM1552">
        <v>87.348877818677195</v>
      </c>
      <c r="AN1552">
        <v>1.00000000291858</v>
      </c>
    </row>
    <row r="1553" spans="1:40" x14ac:dyDescent="0.25">
      <c r="A1553" t="str">
        <f>"20190303170751877"</f>
        <v>20190303170751877</v>
      </c>
      <c r="B1553" t="str">
        <f>"1551604071864171"</f>
        <v>1551604071864171</v>
      </c>
      <c r="C1553" t="s">
        <v>40</v>
      </c>
      <c r="D1553">
        <v>4.1114949999999997</v>
      </c>
      <c r="E1553">
        <v>0.48834949999999999</v>
      </c>
      <c r="F1553" t="s">
        <v>45</v>
      </c>
      <c r="G1553">
        <v>0</v>
      </c>
      <c r="H1553">
        <v>0</v>
      </c>
      <c r="I1553">
        <v>0</v>
      </c>
      <c r="J1553">
        <v>-330.19740000000002</v>
      </c>
      <c r="K1553">
        <v>1.1214569999999999</v>
      </c>
      <c r="L1553">
        <v>285.15199999999999</v>
      </c>
      <c r="M1553">
        <v>-0.99988809999999995</v>
      </c>
      <c r="N1553">
        <v>-1.461586E-2</v>
      </c>
      <c r="O1553">
        <v>-3.179762E-3</v>
      </c>
      <c r="P1553">
        <v>-0.97836829999999997</v>
      </c>
      <c r="Q1553">
        <v>0.20256669999999999</v>
      </c>
      <c r="R1553">
        <v>4.1978590000000003E-2</v>
      </c>
      <c r="S1553">
        <v>-3.057007</v>
      </c>
      <c r="T1553">
        <v>4.3399100000000003E-2</v>
      </c>
      <c r="U1553">
        <v>3.8146970000000001E-3</v>
      </c>
      <c r="V1553">
        <v>4.5019160000000003E-2</v>
      </c>
      <c r="W1553">
        <v>0.2168572</v>
      </c>
      <c r="X1553">
        <v>0.9751647</v>
      </c>
      <c r="Y1553">
        <v>4.4266389999999996E-3</v>
      </c>
      <c r="Z1553" s="1">
        <v>-9.0680920000000003E-5</v>
      </c>
      <c r="AA1553">
        <v>0.99999020000000005</v>
      </c>
      <c r="AB1553">
        <v>34</v>
      </c>
      <c r="AC1553">
        <v>-3.057007</v>
      </c>
      <c r="AD1553">
        <v>4.3399100000000003E-2</v>
      </c>
      <c r="AE1553">
        <v>3.8146970000000001E-3</v>
      </c>
      <c r="AF1553">
        <v>1.35335435050189E-2</v>
      </c>
      <c r="AG1553">
        <v>4.3399100000000003E-2</v>
      </c>
      <c r="AH1553">
        <v>3.0563634220921898</v>
      </c>
      <c r="AI1553">
        <v>89.186486210095296</v>
      </c>
      <c r="AJ1553">
        <v>89.746296578713995</v>
      </c>
      <c r="AK1553">
        <v>3.0567014912457</v>
      </c>
      <c r="AL1553">
        <v>77.4754917673108</v>
      </c>
      <c r="AM1553">
        <v>87.356777032728402</v>
      </c>
      <c r="AN1553">
        <v>0.99999998104251697</v>
      </c>
    </row>
    <row r="1554" spans="1:40" x14ac:dyDescent="0.25">
      <c r="A1554" t="str">
        <f>"20190303170751902"</f>
        <v>20190303170751902</v>
      </c>
      <c r="B1554" t="str">
        <f>"1551604071894427"</f>
        <v>1551604071894427</v>
      </c>
      <c r="C1554" t="s">
        <v>40</v>
      </c>
      <c r="D1554">
        <v>4.115907</v>
      </c>
      <c r="E1554">
        <v>0.4883555</v>
      </c>
      <c r="F1554" t="s">
        <v>45</v>
      </c>
      <c r="G1554">
        <v>0</v>
      </c>
      <c r="H1554">
        <v>0</v>
      </c>
      <c r="I1554">
        <v>0</v>
      </c>
      <c r="J1554">
        <v>-330.57089999999999</v>
      </c>
      <c r="K1554">
        <v>1.121459</v>
      </c>
      <c r="L1554">
        <v>285.15069999999997</v>
      </c>
      <c r="M1554">
        <v>-0.99988779999999999</v>
      </c>
      <c r="N1554">
        <v>-1.4612180000000001E-2</v>
      </c>
      <c r="O1554">
        <v>-3.3650529999999998E-3</v>
      </c>
      <c r="P1554">
        <v>-0.97823890000000002</v>
      </c>
      <c r="Q1554">
        <v>0.20314769999999999</v>
      </c>
      <c r="R1554">
        <v>4.2191920000000001E-2</v>
      </c>
      <c r="S1554">
        <v>-3.0567630000000001</v>
      </c>
      <c r="T1554">
        <v>4.5462130000000003E-2</v>
      </c>
      <c r="U1554">
        <v>3.5705569999999998E-3</v>
      </c>
      <c r="V1554">
        <v>4.5410930000000002E-2</v>
      </c>
      <c r="W1554">
        <v>0.2174334</v>
      </c>
      <c r="X1554">
        <v>0.97501819999999895</v>
      </c>
      <c r="Y1554">
        <v>4.5320150000000003E-3</v>
      </c>
      <c r="Z1554" s="1">
        <v>-9.9798930000000006E-5</v>
      </c>
      <c r="AA1554">
        <v>0.99998969999999998</v>
      </c>
      <c r="AB1554">
        <v>34</v>
      </c>
      <c r="AC1554">
        <v>-3.0567630000000001</v>
      </c>
      <c r="AD1554">
        <v>4.5462130000000003E-2</v>
      </c>
      <c r="AE1554">
        <v>3.5705569999999998E-3</v>
      </c>
      <c r="AF1554">
        <v>1.38547376642181E-2</v>
      </c>
      <c r="AG1554">
        <v>4.5462130000000003E-2</v>
      </c>
      <c r="AH1554">
        <v>3.0560576882413799</v>
      </c>
      <c r="AI1554">
        <v>89.147735559381402</v>
      </c>
      <c r="AJ1554">
        <v>89.740249485761893</v>
      </c>
      <c r="AK1554">
        <v>3.05642722028173</v>
      </c>
      <c r="AL1554">
        <v>77.441670721132098</v>
      </c>
      <c r="AM1554">
        <v>87.333407949160801</v>
      </c>
      <c r="AN1554">
        <v>0.99999996316513096</v>
      </c>
    </row>
    <row r="1555" spans="1:40" x14ac:dyDescent="0.25">
      <c r="A1555" t="str">
        <f>"20190303170751923"</f>
        <v>20190303170751923</v>
      </c>
      <c r="B1555" t="str">
        <f>"1551604071913947"</f>
        <v>1551604071913947</v>
      </c>
      <c r="C1555" t="s">
        <v>40</v>
      </c>
      <c r="D1555">
        <v>4.0908810000000004</v>
      </c>
      <c r="E1555">
        <v>0.48836030000000002</v>
      </c>
      <c r="F1555" t="s">
        <v>45</v>
      </c>
      <c r="G1555">
        <v>0</v>
      </c>
      <c r="H1555">
        <v>0</v>
      </c>
      <c r="I1555">
        <v>0</v>
      </c>
      <c r="J1555">
        <v>-330.89659999999998</v>
      </c>
      <c r="K1555">
        <v>1.1214679999999999</v>
      </c>
      <c r="L1555">
        <v>285.14940000000001</v>
      </c>
      <c r="M1555">
        <v>-0.99988699999999997</v>
      </c>
      <c r="N1555">
        <v>-1.4608929999999999E-2</v>
      </c>
      <c r="O1555">
        <v>-3.5363289999999999E-3</v>
      </c>
      <c r="P1555">
        <v>-0.97837940000000001</v>
      </c>
      <c r="Q1555">
        <v>0.2023972</v>
      </c>
      <c r="R1555">
        <v>4.2534799999999998E-2</v>
      </c>
      <c r="S1555">
        <v>-3.0563660000000001</v>
      </c>
      <c r="T1555">
        <v>4.9099209999999997E-2</v>
      </c>
      <c r="U1555">
        <v>4.1198729999999996E-3</v>
      </c>
      <c r="V1555">
        <v>4.5918420000000001E-2</v>
      </c>
      <c r="W1555">
        <v>0.21668270000000001</v>
      </c>
      <c r="X1555">
        <v>0.97516159999999996</v>
      </c>
      <c r="Y1555">
        <v>4.8829379999999999E-3</v>
      </c>
      <c r="Z1555">
        <v>-1.1201349999999999E-4</v>
      </c>
      <c r="AA1555">
        <v>0.99998810000000005</v>
      </c>
      <c r="AB1555">
        <v>34</v>
      </c>
      <c r="AC1555">
        <v>-3.0563660000000001</v>
      </c>
      <c r="AD1555">
        <v>4.9099209999999997E-2</v>
      </c>
      <c r="AE1555">
        <v>4.1198729999999996E-3</v>
      </c>
      <c r="AF1555">
        <v>1.49254650125426E-2</v>
      </c>
      <c r="AG1555">
        <v>4.9099209999999997E-2</v>
      </c>
      <c r="AH1555">
        <v>3.05554377005623</v>
      </c>
      <c r="AI1555">
        <v>89.079410384062996</v>
      </c>
      <c r="AJ1555">
        <v>89.720128587449594</v>
      </c>
      <c r="AK1555">
        <v>3.05597467801321</v>
      </c>
      <c r="AL1555">
        <v>77.485733893976899</v>
      </c>
      <c r="AM1555">
        <v>87.304047097425496</v>
      </c>
      <c r="AN1555">
        <v>1.00000001994457</v>
      </c>
    </row>
    <row r="1556" spans="1:40" x14ac:dyDescent="0.25">
      <c r="A1556" t="str">
        <f>"20190303170751943"</f>
        <v>20190303170751943</v>
      </c>
      <c r="B1556" t="str">
        <f>"1551604071934443"</f>
        <v>1551604071934443</v>
      </c>
      <c r="C1556" t="s">
        <v>40</v>
      </c>
      <c r="D1556">
        <v>4.048934</v>
      </c>
      <c r="E1556">
        <v>0.48835200000000001</v>
      </c>
      <c r="F1556" t="s">
        <v>45</v>
      </c>
      <c r="G1556">
        <v>0</v>
      </c>
      <c r="H1556">
        <v>0</v>
      </c>
      <c r="I1556">
        <v>0</v>
      </c>
      <c r="J1556">
        <v>-331.214</v>
      </c>
      <c r="K1556">
        <v>1.121481</v>
      </c>
      <c r="L1556">
        <v>285.1481</v>
      </c>
      <c r="M1556">
        <v>-0.99988650000000001</v>
      </c>
      <c r="N1556">
        <v>-1.460578E-2</v>
      </c>
      <c r="O1556">
        <v>-3.717555E-3</v>
      </c>
      <c r="P1556">
        <v>-0.97839640000000005</v>
      </c>
      <c r="Q1556">
        <v>0.202294</v>
      </c>
      <c r="R1556">
        <v>4.2635119999999999E-2</v>
      </c>
      <c r="S1556">
        <v>-3.0561829999999999</v>
      </c>
      <c r="T1556">
        <v>4.7732950000000003E-2</v>
      </c>
      <c r="U1556">
        <v>4.9438479999999998E-3</v>
      </c>
      <c r="V1556">
        <v>4.6190920000000003E-2</v>
      </c>
      <c r="W1556">
        <v>0.21657750000000001</v>
      </c>
      <c r="X1556">
        <v>0.97517209999999999</v>
      </c>
      <c r="Y1556">
        <v>5.3338480000000004E-3</v>
      </c>
      <c r="Z1556">
        <v>-1.150492E-4</v>
      </c>
      <c r="AA1556">
        <v>0.99998580000000004</v>
      </c>
      <c r="AB1556">
        <v>34</v>
      </c>
      <c r="AC1556">
        <v>-3.0561829999999999</v>
      </c>
      <c r="AD1556">
        <v>4.7732950000000003E-2</v>
      </c>
      <c r="AE1556">
        <v>4.9438479999999998E-3</v>
      </c>
      <c r="AF1556">
        <v>1.6302576574491801E-2</v>
      </c>
      <c r="AG1556">
        <v>4.7732950000000003E-2</v>
      </c>
      <c r="AH1556">
        <v>3.0553981728942001</v>
      </c>
      <c r="AI1556">
        <v>89.104982381540694</v>
      </c>
      <c r="AJ1556">
        <v>89.694291900398397</v>
      </c>
      <c r="AK1556">
        <v>3.0558144910062599</v>
      </c>
      <c r="AL1556">
        <v>77.491908017918902</v>
      </c>
      <c r="AM1556">
        <v>87.288101103944399</v>
      </c>
      <c r="AN1556">
        <v>1.00000001960755</v>
      </c>
    </row>
    <row r="1557" spans="1:40" x14ac:dyDescent="0.25">
      <c r="A1557" t="str">
        <f>"20190303170751965"</f>
        <v>20190303170751965</v>
      </c>
      <c r="B1557" t="str">
        <f>"1551604071953963"</f>
        <v>1551604071953963</v>
      </c>
      <c r="C1557" t="s">
        <v>40</v>
      </c>
      <c r="D1557">
        <v>4.1292989999999996</v>
      </c>
      <c r="E1557">
        <v>0.48830970000000001</v>
      </c>
      <c r="F1557" t="s">
        <v>45</v>
      </c>
      <c r="G1557">
        <v>0</v>
      </c>
      <c r="H1557">
        <v>0</v>
      </c>
      <c r="I1557">
        <v>0</v>
      </c>
      <c r="J1557">
        <v>-331.54939999999999</v>
      </c>
      <c r="K1557">
        <v>1.1215010000000001</v>
      </c>
      <c r="L1557">
        <v>285.14670000000001</v>
      </c>
      <c r="M1557">
        <v>-0.99988569999999999</v>
      </c>
      <c r="N1557">
        <v>-1.46023E-2</v>
      </c>
      <c r="O1557">
        <v>-3.927224E-3</v>
      </c>
      <c r="P1557">
        <v>-0.97836679999999998</v>
      </c>
      <c r="Q1557">
        <v>0.2024436</v>
      </c>
      <c r="R1557">
        <v>4.260166E-2</v>
      </c>
      <c r="S1557">
        <v>-3.056</v>
      </c>
      <c r="T1557">
        <v>4.8497319999999997E-2</v>
      </c>
      <c r="U1557">
        <v>5.065918E-3</v>
      </c>
      <c r="V1557">
        <v>4.6354880000000001E-2</v>
      </c>
      <c r="W1557">
        <v>0.216725</v>
      </c>
      <c r="X1557">
        <v>0.97513150000000004</v>
      </c>
      <c r="Y1557">
        <v>5.5834389999999999E-3</v>
      </c>
      <c r="Z1557">
        <v>-1.231944E-4</v>
      </c>
      <c r="AA1557">
        <v>0.9999844</v>
      </c>
      <c r="AB1557">
        <v>34</v>
      </c>
      <c r="AC1557">
        <v>-3.056</v>
      </c>
      <c r="AD1557">
        <v>4.8497319999999997E-2</v>
      </c>
      <c r="AE1557">
        <v>5.065918E-3</v>
      </c>
      <c r="AF1557">
        <v>1.7064457285874201E-2</v>
      </c>
      <c r="AG1557">
        <v>4.8497319999999997E-2</v>
      </c>
      <c r="AH1557">
        <v>3.0551871078739401</v>
      </c>
      <c r="AI1557">
        <v>89.090590863508794</v>
      </c>
      <c r="AJ1557">
        <v>89.679983195598794</v>
      </c>
      <c r="AK1557">
        <v>3.0556196507204199</v>
      </c>
      <c r="AL1557">
        <v>77.483250672023203</v>
      </c>
      <c r="AM1557">
        <v>87.278376211999301</v>
      </c>
      <c r="AN1557">
        <v>0.99999997140853103</v>
      </c>
    </row>
    <row r="1558" spans="1:40" x14ac:dyDescent="0.25">
      <c r="A1558" t="str">
        <f>"20190303170751988"</f>
        <v>20190303170751988</v>
      </c>
      <c r="B1558" t="str">
        <f>"1551604071974459"</f>
        <v>1551604071974459</v>
      </c>
      <c r="C1558" t="s">
        <v>40</v>
      </c>
      <c r="D1558">
        <v>4.0765469999999997</v>
      </c>
      <c r="E1558">
        <v>0.48830180000000001</v>
      </c>
      <c r="F1558" t="s">
        <v>45</v>
      </c>
      <c r="G1558">
        <v>0</v>
      </c>
      <c r="H1558">
        <v>0</v>
      </c>
      <c r="I1558">
        <v>0</v>
      </c>
      <c r="J1558">
        <v>-331.88959999999997</v>
      </c>
      <c r="K1558">
        <v>1.1215189999999999</v>
      </c>
      <c r="L1558">
        <v>285.14510000000001</v>
      </c>
      <c r="M1558">
        <v>-0.99988480000000002</v>
      </c>
      <c r="N1558">
        <v>-1.459854E-2</v>
      </c>
      <c r="O1558">
        <v>-4.1619819999999998E-3</v>
      </c>
      <c r="P1558">
        <v>-0.97831279999999998</v>
      </c>
      <c r="Q1558">
        <v>0.20276</v>
      </c>
      <c r="R1558">
        <v>4.2338870000000001E-2</v>
      </c>
      <c r="S1558">
        <v>-3.055847</v>
      </c>
      <c r="T1558">
        <v>4.9600360000000003E-2</v>
      </c>
      <c r="U1558">
        <v>5.065918E-3</v>
      </c>
      <c r="V1558">
        <v>4.6312449999999998E-2</v>
      </c>
      <c r="W1558">
        <v>0.2170387</v>
      </c>
      <c r="X1558">
        <v>0.97506369999999998</v>
      </c>
      <c r="Y1558">
        <v>5.8181269999999898E-3</v>
      </c>
      <c r="Z1558">
        <v>-1.3304840000000001E-4</v>
      </c>
      <c r="AA1558">
        <v>0.99998310000000001</v>
      </c>
      <c r="AB1558">
        <v>34</v>
      </c>
      <c r="AC1558">
        <v>-3.055847</v>
      </c>
      <c r="AD1558">
        <v>4.9600360000000003E-2</v>
      </c>
      <c r="AE1558">
        <v>5.065918E-3</v>
      </c>
      <c r="AF1558">
        <v>1.77809249974125E-2</v>
      </c>
      <c r="AG1558">
        <v>4.9600360000000003E-2</v>
      </c>
      <c r="AH1558">
        <v>3.0549945895174</v>
      </c>
      <c r="AI1558">
        <v>89.069853181229405</v>
      </c>
      <c r="AJ1558">
        <v>89.666526265525505</v>
      </c>
      <c r="AK1558">
        <v>3.0554489521159498</v>
      </c>
      <c r="AL1558">
        <v>77.464838210586095</v>
      </c>
      <c r="AM1558">
        <v>87.2806748662301</v>
      </c>
      <c r="AN1558">
        <v>0.99999992969018803</v>
      </c>
    </row>
    <row r="1559" spans="1:40" x14ac:dyDescent="0.25">
      <c r="A1559" t="str">
        <f>"20190303170752011"</f>
        <v>20190303170752011</v>
      </c>
      <c r="B1559" t="str">
        <f>"1551604072003739"</f>
        <v>1551604072003739</v>
      </c>
      <c r="C1559" t="s">
        <v>40</v>
      </c>
      <c r="D1559">
        <v>4.0286999999999997</v>
      </c>
      <c r="E1559">
        <v>0.48829939999999999</v>
      </c>
      <c r="F1559" t="s">
        <v>45</v>
      </c>
      <c r="G1559">
        <v>0</v>
      </c>
      <c r="H1559">
        <v>0</v>
      </c>
      <c r="I1559">
        <v>0</v>
      </c>
      <c r="J1559">
        <v>-332.24650000000003</v>
      </c>
      <c r="K1559">
        <v>1.12154</v>
      </c>
      <c r="L1559">
        <v>285.14330000000001</v>
      </c>
      <c r="M1559">
        <v>-0.99988359999999998</v>
      </c>
      <c r="N1559">
        <v>-1.4594799999999899E-2</v>
      </c>
      <c r="O1559">
        <v>-4.4340899999999999E-3</v>
      </c>
      <c r="P1559">
        <v>-0.9783193</v>
      </c>
      <c r="Q1559">
        <v>0.20280670000000001</v>
      </c>
      <c r="R1559">
        <v>4.1959379999999998E-2</v>
      </c>
      <c r="S1559">
        <v>-3.0557249999999998</v>
      </c>
      <c r="T1559">
        <v>5.1129580000000001E-2</v>
      </c>
      <c r="U1559">
        <v>3.9978030000000003E-3</v>
      </c>
      <c r="V1559">
        <v>4.6188930000000003E-2</v>
      </c>
      <c r="W1559">
        <v>0.2170839</v>
      </c>
      <c r="X1559">
        <v>0.97505960000000003</v>
      </c>
      <c r="Y1559">
        <v>5.7405669999999898E-3</v>
      </c>
      <c r="Z1559">
        <v>-1.4502680000000001E-4</v>
      </c>
      <c r="AA1559">
        <v>0.99998350000000003</v>
      </c>
      <c r="AB1559">
        <v>34</v>
      </c>
      <c r="AC1559">
        <v>-3.0557249999999998</v>
      </c>
      <c r="AD1559">
        <v>5.1129580000000001E-2</v>
      </c>
      <c r="AE1559">
        <v>3.9978030000000003E-3</v>
      </c>
      <c r="AF1559">
        <v>1.7543655703599101E-2</v>
      </c>
      <c r="AG1559">
        <v>5.1129580000000001E-2</v>
      </c>
      <c r="AH1559">
        <v>3.0548219596593298</v>
      </c>
      <c r="AI1559">
        <v>89.0411266594013</v>
      </c>
      <c r="AJ1559">
        <v>89.670957459440302</v>
      </c>
      <c r="AK1559">
        <v>3.0553001847647101</v>
      </c>
      <c r="AL1559">
        <v>77.462186468696402</v>
      </c>
      <c r="AM1559">
        <v>87.287905352028403</v>
      </c>
      <c r="AN1559">
        <v>1.0000000302229499</v>
      </c>
    </row>
    <row r="1560" spans="1:40" x14ac:dyDescent="0.25">
      <c r="A1560" t="str">
        <f>"20190303170752033"</f>
        <v>20190303170752033</v>
      </c>
      <c r="B1560" t="str">
        <f>"1551604072024235"</f>
        <v>1551604072024235</v>
      </c>
      <c r="C1560" t="s">
        <v>40</v>
      </c>
      <c r="D1560">
        <v>4.1997280000000003</v>
      </c>
      <c r="E1560">
        <v>0.48835279999999998</v>
      </c>
      <c r="F1560" t="s">
        <v>45</v>
      </c>
      <c r="G1560">
        <v>0</v>
      </c>
      <c r="H1560">
        <v>0</v>
      </c>
      <c r="I1560">
        <v>0</v>
      </c>
      <c r="J1560">
        <v>-332.58580000000001</v>
      </c>
      <c r="K1560">
        <v>1.1215569999999999</v>
      </c>
      <c r="L1560">
        <v>285.14150000000001</v>
      </c>
      <c r="M1560">
        <v>-0.99988250000000001</v>
      </c>
      <c r="N1560">
        <v>-1.459125E-2</v>
      </c>
      <c r="O1560">
        <v>-4.7123470000000004E-3</v>
      </c>
      <c r="P1560">
        <v>-0.97840300000000002</v>
      </c>
      <c r="Q1560">
        <v>0.20246510000000001</v>
      </c>
      <c r="R1560">
        <v>4.1662669999999999E-2</v>
      </c>
      <c r="S1560">
        <v>-3.055542</v>
      </c>
      <c r="T1560">
        <v>5.213976E-2</v>
      </c>
      <c r="U1560">
        <v>2.0751950000000002E-3</v>
      </c>
      <c r="V1560">
        <v>4.6156530000000001E-2</v>
      </c>
      <c r="W1560">
        <v>0.21674180000000001</v>
      </c>
      <c r="X1560">
        <v>0.97513720000000004</v>
      </c>
      <c r="Y1560">
        <v>5.3895230000000002E-3</v>
      </c>
      <c r="Z1560">
        <v>-1.5581659999999999E-4</v>
      </c>
      <c r="AA1560">
        <v>0.99998549999999997</v>
      </c>
      <c r="AB1560">
        <v>34</v>
      </c>
      <c r="AC1560">
        <v>-3.055542</v>
      </c>
      <c r="AD1560">
        <v>5.213976E-2</v>
      </c>
      <c r="AE1560">
        <v>2.0751950000000002E-3</v>
      </c>
      <c r="AF1560">
        <v>1.6470682329824699E-2</v>
      </c>
      <c r="AG1560">
        <v>5.213976E-2</v>
      </c>
      <c r="AH1560">
        <v>3.0546088459113001</v>
      </c>
      <c r="AI1560">
        <v>89.022115483078593</v>
      </c>
      <c r="AJ1560">
        <v>89.691059809915004</v>
      </c>
      <c r="AK1560">
        <v>3.0550982045539601</v>
      </c>
      <c r="AL1560">
        <v>77.482264978884103</v>
      </c>
      <c r="AM1560">
        <v>87.290020310693095</v>
      </c>
      <c r="AN1560">
        <v>0.99999999597636002</v>
      </c>
    </row>
    <row r="1561" spans="1:40" x14ac:dyDescent="0.25">
      <c r="A1561" t="str">
        <f>"20190303170752054"</f>
        <v>20190303170752054</v>
      </c>
      <c r="B1561" t="str">
        <f>"1551604072043755"</f>
        <v>1551604072043755</v>
      </c>
      <c r="C1561" t="s">
        <v>40</v>
      </c>
      <c r="D1561">
        <v>3.9985590000000002</v>
      </c>
      <c r="E1561">
        <v>0.50078829999999996</v>
      </c>
      <c r="F1561" t="s">
        <v>45</v>
      </c>
      <c r="G1561">
        <v>0</v>
      </c>
      <c r="H1561">
        <v>0</v>
      </c>
      <c r="I1561">
        <v>0</v>
      </c>
      <c r="J1561">
        <v>-332.89729999999997</v>
      </c>
      <c r="K1561">
        <v>1.1215660000000001</v>
      </c>
      <c r="L1561">
        <v>285.13979999999998</v>
      </c>
      <c r="M1561">
        <v>-0.99988129999999997</v>
      </c>
      <c r="N1561">
        <v>-1.4587960000000001E-2</v>
      </c>
      <c r="O1561">
        <v>-4.9800309999999898E-3</v>
      </c>
      <c r="P1561">
        <v>-0.97841639999999996</v>
      </c>
      <c r="Q1561">
        <v>0.2024851</v>
      </c>
      <c r="R1561">
        <v>4.1248119999999999E-2</v>
      </c>
      <c r="S1561">
        <v>-3.055542</v>
      </c>
      <c r="T1561">
        <v>5.1285980000000002E-2</v>
      </c>
      <c r="U1561">
        <v>1.34277299999999E-3</v>
      </c>
      <c r="V1561">
        <v>4.59976E-2</v>
      </c>
      <c r="W1561">
        <v>0.21675939999999999</v>
      </c>
      <c r="X1561">
        <v>0.97514080000000003</v>
      </c>
      <c r="Y1561">
        <v>5.4174599999999998E-3</v>
      </c>
      <c r="Z1561">
        <v>-1.6216900000000001E-4</v>
      </c>
      <c r="AA1561">
        <v>0.99998529999999997</v>
      </c>
      <c r="AB1561">
        <v>34</v>
      </c>
      <c r="AC1561">
        <v>-3.055542</v>
      </c>
      <c r="AD1561">
        <v>5.1285980000000002E-2</v>
      </c>
      <c r="AE1561">
        <v>1.34277299999999E-3</v>
      </c>
      <c r="AF1561">
        <v>1.65564036045357E-2</v>
      </c>
      <c r="AG1561">
        <v>5.1285980000000002E-2</v>
      </c>
      <c r="AH1561">
        <v>3.0546368558272601</v>
      </c>
      <c r="AI1561">
        <v>89.038134111866199</v>
      </c>
      <c r="AJ1561">
        <v>89.689454817004304</v>
      </c>
      <c r="AK1561">
        <v>3.0551122217069402</v>
      </c>
      <c r="AL1561">
        <v>77.481232045602894</v>
      </c>
      <c r="AM1561">
        <v>87.299347654675401</v>
      </c>
      <c r="AN1561">
        <v>0.99999999825937902</v>
      </c>
    </row>
    <row r="1562" spans="1:40" x14ac:dyDescent="0.25">
      <c r="A1562" t="str">
        <f>"20190303170752077"</f>
        <v>20190303170752077</v>
      </c>
      <c r="B1562" t="str">
        <f>"1551604072064252"</f>
        <v>1551604072064252</v>
      </c>
      <c r="C1562" t="s">
        <v>40</v>
      </c>
      <c r="D1562">
        <v>3.991676</v>
      </c>
      <c r="E1562">
        <v>0.50194839999999996</v>
      </c>
      <c r="F1562" t="s">
        <v>45</v>
      </c>
      <c r="G1562">
        <v>0</v>
      </c>
      <c r="H1562">
        <v>0</v>
      </c>
      <c r="I1562">
        <v>0</v>
      </c>
      <c r="J1562">
        <v>-333.2543</v>
      </c>
      <c r="K1562">
        <v>1.1215839999999999</v>
      </c>
      <c r="L1562">
        <v>285.1377</v>
      </c>
      <c r="M1562">
        <v>-0.99987969999999904</v>
      </c>
      <c r="N1562">
        <v>-1.4584150000000001E-2</v>
      </c>
      <c r="O1562">
        <v>-5.2972540000000004E-3</v>
      </c>
      <c r="P1562">
        <v>-0.97833570000000003</v>
      </c>
      <c r="Q1562">
        <v>0.2029029</v>
      </c>
      <c r="R1562">
        <v>4.1107739999999997E-2</v>
      </c>
      <c r="S1562">
        <v>-3.0364689999999999</v>
      </c>
      <c r="T1562">
        <v>0.1226122</v>
      </c>
      <c r="U1562">
        <v>0.1031494</v>
      </c>
      <c r="V1562">
        <v>4.6161889999999997E-2</v>
      </c>
      <c r="W1562">
        <v>0.21717320000000001</v>
      </c>
      <c r="X1562">
        <v>0.97504100000000005</v>
      </c>
      <c r="Y1562">
        <v>3.9216529999999999E-2</v>
      </c>
      <c r="Z1562">
        <v>-7.9603839999999905E-4</v>
      </c>
      <c r="AA1562">
        <v>0.99923039999999996</v>
      </c>
      <c r="AB1562">
        <v>34</v>
      </c>
      <c r="AC1562">
        <v>-3.0364689999999999</v>
      </c>
      <c r="AD1562">
        <v>0.1226122</v>
      </c>
      <c r="AE1562">
        <v>0.1031494</v>
      </c>
      <c r="AF1562">
        <v>0.11904073335292099</v>
      </c>
      <c r="AG1562">
        <v>0.1226122</v>
      </c>
      <c r="AH1562">
        <v>3.03094356305987</v>
      </c>
      <c r="AI1562">
        <v>87.685232399372595</v>
      </c>
      <c r="AJ1562">
        <v>87.750856214131105</v>
      </c>
      <c r="AK1562">
        <v>3.0357574557662002</v>
      </c>
      <c r="AL1562">
        <v>77.456944972440795</v>
      </c>
      <c r="AM1562">
        <v>87.289439073595105</v>
      </c>
      <c r="AN1562">
        <v>1.0000000352838001</v>
      </c>
    </row>
    <row r="1563" spans="1:40" x14ac:dyDescent="0.25">
      <c r="A1563" t="str">
        <f>"20190303170752101"</f>
        <v>20190303170752101</v>
      </c>
      <c r="B1563" t="str">
        <f>"1551604072094508"</f>
        <v>1551604072094508</v>
      </c>
      <c r="C1563" t="s">
        <v>40</v>
      </c>
      <c r="D1563">
        <v>4.0080030000000004</v>
      </c>
      <c r="E1563">
        <v>0.50250550000000005</v>
      </c>
      <c r="F1563" t="s">
        <v>45</v>
      </c>
      <c r="G1563">
        <v>0</v>
      </c>
      <c r="H1563">
        <v>0</v>
      </c>
      <c r="I1563">
        <v>0</v>
      </c>
      <c r="J1563">
        <v>-333.59859999999998</v>
      </c>
      <c r="K1563">
        <v>1.1215949999999999</v>
      </c>
      <c r="L1563">
        <v>285.13560000000001</v>
      </c>
      <c r="M1563">
        <v>-0.99987800000000004</v>
      </c>
      <c r="N1563">
        <v>-1.458042E-2</v>
      </c>
      <c r="O1563">
        <v>-5.6091709999999996E-3</v>
      </c>
      <c r="P1563">
        <v>-0.97810830000000004</v>
      </c>
      <c r="Q1563">
        <v>0.20402239999999999</v>
      </c>
      <c r="R1563">
        <v>4.0982940000000002E-2</v>
      </c>
      <c r="S1563">
        <v>-3.0344850000000001</v>
      </c>
      <c r="T1563">
        <v>0.13143859999999999</v>
      </c>
      <c r="U1563">
        <v>0.1122131</v>
      </c>
      <c r="V1563">
        <v>4.6337280000000002E-2</v>
      </c>
      <c r="W1563">
        <v>0.21828649999999999</v>
      </c>
      <c r="X1563">
        <v>0.97478399999999998</v>
      </c>
      <c r="Y1563">
        <v>4.2523619999999998E-2</v>
      </c>
      <c r="Z1563">
        <v>-9.3446160000000003E-4</v>
      </c>
      <c r="AA1563">
        <v>0.99909499999999996</v>
      </c>
      <c r="AB1563">
        <v>34</v>
      </c>
      <c r="AC1563">
        <v>-3.0344850000000001</v>
      </c>
      <c r="AD1563">
        <v>0.13143859999999999</v>
      </c>
      <c r="AE1563">
        <v>0.1122131</v>
      </c>
      <c r="AF1563">
        <v>0.12899240532417</v>
      </c>
      <c r="AG1563">
        <v>0.13143859999999999</v>
      </c>
      <c r="AH1563">
        <v>3.0281341793269698</v>
      </c>
      <c r="AI1563">
        <v>87.516839818490794</v>
      </c>
      <c r="AJ1563">
        <v>87.560790088320601</v>
      </c>
      <c r="AK1563">
        <v>3.0337290179265302</v>
      </c>
      <c r="AL1563">
        <v>77.391589104394299</v>
      </c>
      <c r="AM1563">
        <v>87.278439600247793</v>
      </c>
      <c r="AN1563">
        <v>0.99999999312802401</v>
      </c>
    </row>
    <row r="1564" spans="1:40" x14ac:dyDescent="0.25">
      <c r="A1564" t="str">
        <f>"20190303170752122"</f>
        <v>20190303170752122</v>
      </c>
      <c r="B1564" t="str">
        <f>"1551604072114027"</f>
        <v>1551604072114027</v>
      </c>
      <c r="C1564" t="s">
        <v>40</v>
      </c>
      <c r="D1564">
        <v>4.0286939999999998</v>
      </c>
      <c r="E1564">
        <v>0.5027952</v>
      </c>
      <c r="F1564" t="s">
        <v>45</v>
      </c>
      <c r="G1564">
        <v>0</v>
      </c>
      <c r="H1564">
        <v>0</v>
      </c>
      <c r="I1564">
        <v>0</v>
      </c>
      <c r="J1564">
        <v>-333.93490000000003</v>
      </c>
      <c r="K1564">
        <v>1.1216109999999999</v>
      </c>
      <c r="L1564">
        <v>285.13330000000002</v>
      </c>
      <c r="M1564">
        <v>-0.99987630000000005</v>
      </c>
      <c r="N1564">
        <v>-1.4576739999999999E-2</v>
      </c>
      <c r="O1564">
        <v>-5.9165149999999998E-3</v>
      </c>
      <c r="P1564">
        <v>-0.9778656</v>
      </c>
      <c r="Q1564">
        <v>0.20521610000000001</v>
      </c>
      <c r="R1564">
        <v>4.0812500000000002E-2</v>
      </c>
      <c r="S1564">
        <v>-3.0321959999999999</v>
      </c>
      <c r="T1564">
        <v>0.1440929</v>
      </c>
      <c r="U1564">
        <v>0.1169434</v>
      </c>
      <c r="V1564">
        <v>4.646351E-2</v>
      </c>
      <c r="W1564">
        <v>0.21947340000000001</v>
      </c>
      <c r="X1564">
        <v>0.97451140000000003</v>
      </c>
      <c r="Y1564">
        <v>4.4404600000000002E-2</v>
      </c>
      <c r="Z1564">
        <v>-1.0972410000000001E-3</v>
      </c>
      <c r="AA1564">
        <v>0.99901300000000004</v>
      </c>
      <c r="AB1564">
        <v>34</v>
      </c>
      <c r="AC1564">
        <v>-3.0321959999999999</v>
      </c>
      <c r="AD1564">
        <v>0.1440929</v>
      </c>
      <c r="AE1564">
        <v>0.1169434</v>
      </c>
      <c r="AF1564">
        <v>0.13457982866356899</v>
      </c>
      <c r="AG1564">
        <v>0.1440929</v>
      </c>
      <c r="AH1564">
        <v>3.02463074033101</v>
      </c>
      <c r="AI1564">
        <v>87.275192696659204</v>
      </c>
      <c r="AJ1564">
        <v>87.452325818246806</v>
      </c>
      <c r="AK1564">
        <v>3.0310502485885702</v>
      </c>
      <c r="AL1564">
        <v>77.321894218907801</v>
      </c>
      <c r="AM1564">
        <v>87.270274618137904</v>
      </c>
      <c r="AN1564">
        <v>0.99999994989951801</v>
      </c>
    </row>
    <row r="1565" spans="1:40" x14ac:dyDescent="0.25">
      <c r="A1565" t="str">
        <f>"20190303170752144"</f>
        <v>20190303170752144</v>
      </c>
      <c r="B1565" t="str">
        <f>"1551604072134523"</f>
        <v>1551604072134523</v>
      </c>
      <c r="C1565" t="s">
        <v>40</v>
      </c>
      <c r="D1565">
        <v>4.0016030000000002</v>
      </c>
      <c r="E1565">
        <v>0.50317500000000004</v>
      </c>
      <c r="F1565" t="s">
        <v>72</v>
      </c>
      <c r="G1565">
        <v>-551.22910000000002</v>
      </c>
      <c r="H1565">
        <v>11.89658</v>
      </c>
      <c r="I1565">
        <v>293.69319999999999</v>
      </c>
      <c r="J1565">
        <v>-334.25639999999999</v>
      </c>
      <c r="K1565">
        <v>1.1216079999999999</v>
      </c>
      <c r="L1565">
        <v>285.1311</v>
      </c>
      <c r="M1565">
        <v>-0.99987459999999995</v>
      </c>
      <c r="N1565">
        <v>-1.45731E-2</v>
      </c>
      <c r="O1565">
        <v>-6.2101329999999996E-3</v>
      </c>
      <c r="P1565">
        <v>-0.97790650000000001</v>
      </c>
      <c r="Q1565">
        <v>0.2051164</v>
      </c>
      <c r="R1565">
        <v>4.0328349999999999E-2</v>
      </c>
      <c r="S1565">
        <v>-3.0313720000000002</v>
      </c>
      <c r="T1565">
        <v>0.1503178</v>
      </c>
      <c r="U1565">
        <v>0.1194153</v>
      </c>
      <c r="V1565">
        <v>4.6265069999999998E-2</v>
      </c>
      <c r="W1565">
        <v>0.2193706</v>
      </c>
      <c r="X1565">
        <v>0.97454399999999997</v>
      </c>
      <c r="Y1565">
        <v>4.5515689999999998E-2</v>
      </c>
      <c r="Z1565">
        <v>-1.193471E-3</v>
      </c>
      <c r="AA1565">
        <v>0.99896289999999999</v>
      </c>
      <c r="AB1565">
        <v>34</v>
      </c>
      <c r="AC1565">
        <v>-216.9727</v>
      </c>
      <c r="AD1565">
        <v>10.774972</v>
      </c>
      <c r="AE1565">
        <v>8.5620999999999796</v>
      </c>
      <c r="AF1565">
        <v>9.8851666358629497</v>
      </c>
      <c r="AG1565">
        <v>10.774972</v>
      </c>
      <c r="AH1565">
        <v>216.382532478727</v>
      </c>
      <c r="AI1565">
        <v>87.152222625991797</v>
      </c>
      <c r="AJ1565">
        <v>87.384332262757098</v>
      </c>
      <c r="AK1565">
        <v>216.87604040771001</v>
      </c>
      <c r="AL1565">
        <v>77.327931510891702</v>
      </c>
      <c r="AM1565">
        <v>87.282006210034993</v>
      </c>
      <c r="AN1565">
        <v>0.99999996239123101</v>
      </c>
    </row>
    <row r="1566" spans="1:40" x14ac:dyDescent="0.25">
      <c r="A1566" t="str">
        <f>"20190303170752166"</f>
        <v>20190303170752166</v>
      </c>
      <c r="B1566" t="str">
        <f>"1551604072154043"</f>
        <v>1551604072154043</v>
      </c>
      <c r="C1566" t="s">
        <v>40</v>
      </c>
      <c r="D1566">
        <v>4.0026400000000004</v>
      </c>
      <c r="E1566">
        <v>0.50337589999999999</v>
      </c>
      <c r="F1566" t="s">
        <v>72</v>
      </c>
      <c r="G1566">
        <v>-550.0607</v>
      </c>
      <c r="H1566">
        <v>11.75919</v>
      </c>
      <c r="I1566">
        <v>293.74090000000001</v>
      </c>
      <c r="J1566">
        <v>-334.58949999999999</v>
      </c>
      <c r="K1566">
        <v>1.121602</v>
      </c>
      <c r="L1566">
        <v>285.12880000000001</v>
      </c>
      <c r="M1566">
        <v>-0.99987269999999995</v>
      </c>
      <c r="N1566">
        <v>-1.4569399999999901E-2</v>
      </c>
      <c r="O1566">
        <v>-6.5132740000000003E-3</v>
      </c>
      <c r="P1566">
        <v>-0.97811809999999999</v>
      </c>
      <c r="Q1566">
        <v>0.2041</v>
      </c>
      <c r="R1566">
        <v>4.0351499999999998E-2</v>
      </c>
      <c r="S1566">
        <v>-3.0314030000000001</v>
      </c>
      <c r="T1566">
        <v>0.14942720000000001</v>
      </c>
      <c r="U1566">
        <v>0.1209412</v>
      </c>
      <c r="V1566">
        <v>4.6585580000000001E-2</v>
      </c>
      <c r="W1566">
        <v>0.21835399999999999</v>
      </c>
      <c r="X1566">
        <v>0.97475710000000004</v>
      </c>
      <c r="Y1566">
        <v>4.6319560000000003E-2</v>
      </c>
      <c r="Z1566">
        <v>-1.218282E-3</v>
      </c>
      <c r="AA1566">
        <v>0.99892590000000003</v>
      </c>
      <c r="AB1566">
        <v>34</v>
      </c>
      <c r="AC1566">
        <v>-215.47120000000001</v>
      </c>
      <c r="AD1566">
        <v>10.637587999999999</v>
      </c>
      <c r="AE1566">
        <v>8.6120999999999892</v>
      </c>
      <c r="AF1566">
        <v>9.9911765564151107</v>
      </c>
      <c r="AG1566">
        <v>10.637587999999999</v>
      </c>
      <c r="AH1566">
        <v>214.88762071849999</v>
      </c>
      <c r="AI1566">
        <v>87.169052141115799</v>
      </c>
      <c r="AJ1566">
        <v>87.337956104420897</v>
      </c>
      <c r="AK1566">
        <v>215.38261634936299</v>
      </c>
      <c r="AL1566">
        <v>77.387626701244201</v>
      </c>
      <c r="AM1566">
        <v>87.263802729556105</v>
      </c>
      <c r="AN1566">
        <v>1.00000004479017</v>
      </c>
    </row>
    <row r="1567" spans="1:40" x14ac:dyDescent="0.25">
      <c r="A1567" t="str">
        <f>"20190303170752190"</f>
        <v>20190303170752190</v>
      </c>
      <c r="B1567" t="str">
        <f>"1551604072184299"</f>
        <v>1551604072184299</v>
      </c>
      <c r="C1567" t="s">
        <v>40</v>
      </c>
      <c r="D1567">
        <v>4.0865010000000002</v>
      </c>
      <c r="E1567">
        <v>0.50346289999999905</v>
      </c>
      <c r="F1567" t="s">
        <v>72</v>
      </c>
      <c r="G1567">
        <v>-550.0607</v>
      </c>
      <c r="H1567">
        <v>11.51341</v>
      </c>
      <c r="I1567">
        <v>293.82240000000002</v>
      </c>
      <c r="J1567">
        <v>-334.93729999999999</v>
      </c>
      <c r="K1567">
        <v>1.121607</v>
      </c>
      <c r="L1567">
        <v>285.12619999999998</v>
      </c>
      <c r="M1567">
        <v>-0.9998707</v>
      </c>
      <c r="N1567">
        <v>-1.456551E-2</v>
      </c>
      <c r="O1567">
        <v>-6.8291569999999998E-3</v>
      </c>
      <c r="P1567">
        <v>-0.97834180000000004</v>
      </c>
      <c r="Q1567">
        <v>0.20305219999999999</v>
      </c>
      <c r="R1567">
        <v>4.021475E-2</v>
      </c>
      <c r="S1567">
        <v>-3.0315249999999998</v>
      </c>
      <c r="T1567">
        <v>0.14620629999999901</v>
      </c>
      <c r="U1567">
        <v>0.12231450000000001</v>
      </c>
      <c r="V1567">
        <v>4.6759139999999998E-2</v>
      </c>
      <c r="W1567">
        <v>0.2173059</v>
      </c>
      <c r="X1567">
        <v>0.97498289999999999</v>
      </c>
      <c r="Y1567">
        <v>4.7086549999999998E-2</v>
      </c>
      <c r="Z1567">
        <v>-1.2195260000000001E-3</v>
      </c>
      <c r="AA1567">
        <v>0.99888999999999994</v>
      </c>
      <c r="AB1567">
        <v>34</v>
      </c>
      <c r="AC1567">
        <v>-215.1234</v>
      </c>
      <c r="AD1567">
        <v>10.391802999999999</v>
      </c>
      <c r="AE1567">
        <v>8.6962000000000295</v>
      </c>
      <c r="AF1567">
        <v>10.141637523248599</v>
      </c>
      <c r="AG1567">
        <v>10.391802999999999</v>
      </c>
      <c r="AH1567">
        <v>214.55913305874299</v>
      </c>
      <c r="AI1567">
        <v>87.230231729635904</v>
      </c>
      <c r="AJ1567">
        <v>87.293795636787294</v>
      </c>
      <c r="AK1567">
        <v>215.049910393293</v>
      </c>
      <c r="AL1567">
        <v>77.449154886436801</v>
      </c>
      <c r="AM1567">
        <v>87.254259356781205</v>
      </c>
      <c r="AN1567">
        <v>0.99999996332037899</v>
      </c>
    </row>
    <row r="1568" spans="1:40" x14ac:dyDescent="0.25">
      <c r="A1568" t="str">
        <f>"20190303170752212"</f>
        <v>20190303170752212</v>
      </c>
      <c r="B1568" t="str">
        <f>"1551604072203819"</f>
        <v>1551604072203819</v>
      </c>
      <c r="C1568" t="s">
        <v>40</v>
      </c>
      <c r="D1568">
        <v>4.0497800000000002</v>
      </c>
      <c r="E1568">
        <v>0.50354869999999996</v>
      </c>
      <c r="F1568" t="s">
        <v>72</v>
      </c>
      <c r="G1568">
        <v>-550.06060000000002</v>
      </c>
      <c r="H1568">
        <v>11.25243</v>
      </c>
      <c r="I1568">
        <v>293.80079999999998</v>
      </c>
      <c r="J1568">
        <v>-335.28710000000001</v>
      </c>
      <c r="K1568">
        <v>1.1216060000000001</v>
      </c>
      <c r="L1568">
        <v>285.1234</v>
      </c>
      <c r="M1568">
        <v>-0.9998686</v>
      </c>
      <c r="N1568">
        <v>-1.455968E-2</v>
      </c>
      <c r="O1568">
        <v>-7.1457300000000003E-3</v>
      </c>
      <c r="P1568">
        <v>-0.97839109999999996</v>
      </c>
      <c r="Q1568">
        <v>0.20287250000000001</v>
      </c>
      <c r="R1568">
        <v>3.9923189999999997E-2</v>
      </c>
      <c r="S1568">
        <v>-3.0317690000000002</v>
      </c>
      <c r="T1568">
        <v>0.1427765</v>
      </c>
      <c r="U1568">
        <v>0.122253399999999</v>
      </c>
      <c r="V1568">
        <v>4.6777430000000002E-2</v>
      </c>
      <c r="W1568">
        <v>0.2171207</v>
      </c>
      <c r="X1568">
        <v>0.97502330000000004</v>
      </c>
      <c r="Y1568">
        <v>4.738129E-2</v>
      </c>
      <c r="Z1568">
        <v>-1.209515E-3</v>
      </c>
      <c r="AA1568">
        <v>0.99887619999999999</v>
      </c>
      <c r="AB1568">
        <v>34</v>
      </c>
      <c r="AC1568">
        <v>-214.77350000000001</v>
      </c>
      <c r="AD1568">
        <v>10.130824</v>
      </c>
      <c r="AE1568">
        <v>8.6773999999999702</v>
      </c>
      <c r="AF1568">
        <v>10.189419929218101</v>
      </c>
      <c r="AG1568">
        <v>10.130824</v>
      </c>
      <c r="AH1568">
        <v>214.230119367832</v>
      </c>
      <c r="AI1568">
        <v>87.295584004644695</v>
      </c>
      <c r="AJ1568">
        <v>87.276894972783595</v>
      </c>
      <c r="AK1568">
        <v>214.71143872129599</v>
      </c>
      <c r="AL1568">
        <v>77.460025837393999</v>
      </c>
      <c r="AM1568">
        <v>87.253300634976199</v>
      </c>
      <c r="AN1568">
        <v>0.99999998093439202</v>
      </c>
    </row>
    <row r="1569" spans="1:40" x14ac:dyDescent="0.25">
      <c r="A1569" t="str">
        <f>"20190303170752235"</f>
        <v>20190303170752235</v>
      </c>
      <c r="B1569" t="str">
        <f>"1551604072224315"</f>
        <v>1551604072224315</v>
      </c>
      <c r="C1569" t="s">
        <v>40</v>
      </c>
      <c r="D1569">
        <v>4.0718239999999897</v>
      </c>
      <c r="E1569">
        <v>0.50353029999999999</v>
      </c>
      <c r="F1569" t="s">
        <v>72</v>
      </c>
      <c r="G1569">
        <v>-550.06060000000002</v>
      </c>
      <c r="H1569">
        <v>11.2798</v>
      </c>
      <c r="I1569">
        <v>293.76729999999998</v>
      </c>
      <c r="J1569">
        <v>-335.61419999999998</v>
      </c>
      <c r="K1569">
        <v>1.1216090000000001</v>
      </c>
      <c r="L1569">
        <v>285.12079999999997</v>
      </c>
      <c r="M1569">
        <v>-0.99986649999999999</v>
      </c>
      <c r="N1569">
        <v>-1.4552829999999999E-2</v>
      </c>
      <c r="O1569">
        <v>-7.4413099999999996E-3</v>
      </c>
      <c r="P1569">
        <v>-0.97823590000000005</v>
      </c>
      <c r="Q1569">
        <v>0.2036714</v>
      </c>
      <c r="R1569">
        <v>3.9658489999999998E-2</v>
      </c>
      <c r="S1569">
        <v>-3.031555</v>
      </c>
      <c r="T1569">
        <v>0.14338529999999999</v>
      </c>
      <c r="U1569">
        <v>0.1220093</v>
      </c>
      <c r="V1569">
        <v>4.6799970000000003E-2</v>
      </c>
      <c r="W1569">
        <v>0.21791099999999999</v>
      </c>
      <c r="X1569">
        <v>0.97484590000000004</v>
      </c>
      <c r="Y1569">
        <v>4.7597899999999999E-2</v>
      </c>
      <c r="Z1569">
        <v>-1.237716E-3</v>
      </c>
      <c r="AA1569">
        <v>0.99886580000000003</v>
      </c>
      <c r="AB1569">
        <v>34</v>
      </c>
      <c r="AC1569">
        <v>-214.44640000000001</v>
      </c>
      <c r="AD1569">
        <v>10.158191</v>
      </c>
      <c r="AE1569">
        <v>8.6464999999999996</v>
      </c>
      <c r="AF1569">
        <v>10.219298132395499</v>
      </c>
      <c r="AG1569">
        <v>10.158191</v>
      </c>
      <c r="AH1569">
        <v>213.89693808501599</v>
      </c>
      <c r="AI1569">
        <v>87.284099230198393</v>
      </c>
      <c r="AJ1569">
        <v>87.264674478137593</v>
      </c>
      <c r="AK1569">
        <v>214.38172268375999</v>
      </c>
      <c r="AL1569">
        <v>77.413634267246294</v>
      </c>
      <c r="AM1569">
        <v>87.251479837676797</v>
      </c>
      <c r="AN1569">
        <v>0.99999998492990505</v>
      </c>
    </row>
    <row r="1570" spans="1:40" x14ac:dyDescent="0.25">
      <c r="A1570" t="str">
        <f>"20190303170752257"</f>
        <v>20190303170752257</v>
      </c>
      <c r="B1570" t="str">
        <f>"1551604072243835"</f>
        <v>1551604072243835</v>
      </c>
      <c r="C1570" t="s">
        <v>40</v>
      </c>
      <c r="D1570">
        <v>4.1987110000000003</v>
      </c>
      <c r="E1570">
        <v>0.50357089999999904</v>
      </c>
      <c r="F1570" t="s">
        <v>72</v>
      </c>
      <c r="G1570">
        <v>-550.0607</v>
      </c>
      <c r="H1570">
        <v>11.48718</v>
      </c>
      <c r="I1570">
        <v>293.72629999999998</v>
      </c>
      <c r="J1570">
        <v>-335.94670000000002</v>
      </c>
      <c r="K1570">
        <v>1.1216109999999999</v>
      </c>
      <c r="L1570">
        <v>285.11799999999999</v>
      </c>
      <c r="M1570">
        <v>-0.99986430000000004</v>
      </c>
      <c r="N1570">
        <v>-1.454563E-2</v>
      </c>
      <c r="O1570">
        <v>-7.7403189999999998E-3</v>
      </c>
      <c r="P1570">
        <v>-0.97817520000000002</v>
      </c>
      <c r="Q1570">
        <v>0.20420679999999999</v>
      </c>
      <c r="R1570">
        <v>3.8383109999999998E-2</v>
      </c>
      <c r="S1570">
        <v>-3.0312809999999999</v>
      </c>
      <c r="T1570">
        <v>0.14652229999999999</v>
      </c>
      <c r="U1570">
        <v>0.1216431</v>
      </c>
      <c r="V1570">
        <v>4.581698E-2</v>
      </c>
      <c r="W1570">
        <v>0.21843770000000001</v>
      </c>
      <c r="X1570">
        <v>0.97477469999999999</v>
      </c>
      <c r="Y1570">
        <v>4.7776529999999998E-2</v>
      </c>
      <c r="Z1570">
        <v>-1.2920200000000001E-3</v>
      </c>
      <c r="AA1570">
        <v>0.9988572</v>
      </c>
      <c r="AB1570">
        <v>34</v>
      </c>
      <c r="AC1570">
        <v>-214.114</v>
      </c>
      <c r="AD1570">
        <v>10.365569000000001</v>
      </c>
      <c r="AE1570">
        <v>8.6082999999999803</v>
      </c>
      <c r="AF1570">
        <v>10.2415638996863</v>
      </c>
      <c r="AG1570">
        <v>10.365569000000001</v>
      </c>
      <c r="AH1570">
        <v>213.541284143269</v>
      </c>
      <c r="AI1570">
        <v>87.224156080220098</v>
      </c>
      <c r="AJ1570">
        <v>87.254165216387904</v>
      </c>
      <c r="AK1570">
        <v>214.037881426072</v>
      </c>
      <c r="AL1570">
        <v>77.382711457211499</v>
      </c>
      <c r="AM1570">
        <v>87.308927937218698</v>
      </c>
      <c r="AN1570">
        <v>0.999999970098849</v>
      </c>
    </row>
    <row r="1571" spans="1:40" x14ac:dyDescent="0.25">
      <c r="A1571" t="str">
        <f>"20190303170752278"</f>
        <v>20190303170752278</v>
      </c>
      <c r="B1571" t="str">
        <f>"1551604072274091"</f>
        <v>1551604072274091</v>
      </c>
      <c r="C1571" t="s">
        <v>40</v>
      </c>
      <c r="D1571">
        <v>4.1186199999999999</v>
      </c>
      <c r="E1571">
        <v>0.50359679999999996</v>
      </c>
      <c r="F1571" t="s">
        <v>45</v>
      </c>
      <c r="G1571">
        <v>0</v>
      </c>
      <c r="H1571">
        <v>0</v>
      </c>
      <c r="I1571">
        <v>0</v>
      </c>
      <c r="J1571">
        <v>-336.27859999999998</v>
      </c>
      <c r="K1571">
        <v>1.121604</v>
      </c>
      <c r="L1571">
        <v>285.11509999999998</v>
      </c>
      <c r="M1571">
        <v>-0.99986229999999998</v>
      </c>
      <c r="N1571">
        <v>-1.4536479999999999E-2</v>
      </c>
      <c r="O1571">
        <v>-8.0299469999999904E-3</v>
      </c>
      <c r="P1571">
        <v>-0.97826990000000003</v>
      </c>
      <c r="Q1571">
        <v>0.2040063</v>
      </c>
      <c r="R1571">
        <v>3.7010229999999998E-2</v>
      </c>
      <c r="S1571">
        <v>-3.031342</v>
      </c>
      <c r="T1571">
        <v>0.1481121</v>
      </c>
      <c r="U1571">
        <v>0.1185913</v>
      </c>
      <c r="V1571">
        <v>4.4730569999999997E-2</v>
      </c>
      <c r="W1571">
        <v>0.21822829999999999</v>
      </c>
      <c r="X1571">
        <v>0.97487210000000002</v>
      </c>
      <c r="Y1571">
        <v>4.7059770000000001E-2</v>
      </c>
      <c r="Z1571">
        <v>-1.3147879999999999E-3</v>
      </c>
      <c r="AA1571">
        <v>0.99889119999999998</v>
      </c>
      <c r="AB1571">
        <v>34</v>
      </c>
      <c r="AC1571">
        <v>-3.031342</v>
      </c>
      <c r="AD1571">
        <v>0.1481121</v>
      </c>
      <c r="AE1571">
        <v>0.1185913</v>
      </c>
      <c r="AF1571">
        <v>0.14259166639995899</v>
      </c>
      <c r="AG1571">
        <v>0.1481121</v>
      </c>
      <c r="AH1571">
        <v>3.0230858112296599</v>
      </c>
      <c r="AI1571">
        <v>87.198221692117102</v>
      </c>
      <c r="AJ1571">
        <v>87.299497759763597</v>
      </c>
      <c r="AK1571">
        <v>3.0300688770308901</v>
      </c>
      <c r="AL1571">
        <v>77.395006353988606</v>
      </c>
      <c r="AM1571">
        <v>87.372910141121096</v>
      </c>
      <c r="AN1571">
        <v>1.0000000130859099</v>
      </c>
    </row>
    <row r="1572" spans="1:40" x14ac:dyDescent="0.25">
      <c r="A1572" t="str">
        <f>"20190303170752303"</f>
        <v>20190303170752303</v>
      </c>
      <c r="B1572" t="str">
        <f>"1551604072294587"</f>
        <v>1551604072294587</v>
      </c>
      <c r="C1572" t="s">
        <v>40</v>
      </c>
      <c r="D1572">
        <v>4.1205930000000004</v>
      </c>
      <c r="E1572">
        <v>0.50359019999999999</v>
      </c>
      <c r="F1572" t="s">
        <v>45</v>
      </c>
      <c r="G1572">
        <v>0</v>
      </c>
      <c r="H1572">
        <v>0</v>
      </c>
      <c r="I1572">
        <v>0</v>
      </c>
      <c r="J1572">
        <v>-336.63990000000001</v>
      </c>
      <c r="K1572">
        <v>1.12159599999999</v>
      </c>
      <c r="L1572">
        <v>285.11180000000002</v>
      </c>
      <c r="M1572">
        <v>-0.99985999999999997</v>
      </c>
      <c r="N1572">
        <v>-1.4521350000000001E-2</v>
      </c>
      <c r="O1572">
        <v>-8.3271390000000008E-3</v>
      </c>
      <c r="P1572">
        <v>-0.97829270000000002</v>
      </c>
      <c r="Q1572">
        <v>0.20396359999999999</v>
      </c>
      <c r="R1572">
        <v>3.6638570000000002E-2</v>
      </c>
      <c r="S1572">
        <v>-3.0315859999999999</v>
      </c>
      <c r="T1572">
        <v>0.14731140000000001</v>
      </c>
      <c r="U1572">
        <v>0.1149902</v>
      </c>
      <c r="V1572">
        <v>4.465628E-2</v>
      </c>
      <c r="W1572">
        <v>0.21816920000000001</v>
      </c>
      <c r="X1572">
        <v>0.97488869999999905</v>
      </c>
      <c r="Y1572">
        <v>4.6169519999999999E-2</v>
      </c>
      <c r="Z1572">
        <v>-1.3102280000000001E-3</v>
      </c>
      <c r="AA1572">
        <v>0.99893279999999995</v>
      </c>
      <c r="AB1572">
        <v>34</v>
      </c>
      <c r="AC1572">
        <v>-3.0315859999999999</v>
      </c>
      <c r="AD1572">
        <v>0.14731140000000001</v>
      </c>
      <c r="AE1572">
        <v>0.1149902</v>
      </c>
      <c r="AF1572">
        <v>0.13990344393679599</v>
      </c>
      <c r="AG1572">
        <v>0.14731140000000001</v>
      </c>
      <c r="AH1572">
        <v>3.0233946430315499</v>
      </c>
      <c r="AI1572">
        <v>87.213512538144997</v>
      </c>
      <c r="AJ1572">
        <v>87.350606244631905</v>
      </c>
      <c r="AK1572">
        <v>3.0302126641057998</v>
      </c>
      <c r="AL1572">
        <v>77.398475721079606</v>
      </c>
      <c r="AM1572">
        <v>87.377311797218894</v>
      </c>
      <c r="AN1572">
        <v>0.99999998027988302</v>
      </c>
    </row>
    <row r="1573" spans="1:40" x14ac:dyDescent="0.25">
      <c r="A1573" t="str">
        <f>"20190303170752325"</f>
        <v>20190303170752325</v>
      </c>
      <c r="B1573" t="str">
        <f>"1551604072314107"</f>
        <v>1551604072314107</v>
      </c>
      <c r="C1573" t="s">
        <v>40</v>
      </c>
      <c r="D1573">
        <v>4.2619660000000001</v>
      </c>
      <c r="E1573">
        <v>0.50366440000000001</v>
      </c>
      <c r="F1573" t="s">
        <v>45</v>
      </c>
      <c r="G1573">
        <v>0</v>
      </c>
      <c r="H1573">
        <v>0</v>
      </c>
      <c r="I1573">
        <v>0</v>
      </c>
      <c r="J1573">
        <v>-336.96440000000001</v>
      </c>
      <c r="K1573">
        <v>1.12158</v>
      </c>
      <c r="L1573">
        <v>285.10890000000001</v>
      </c>
      <c r="M1573">
        <v>-0.99985809999999997</v>
      </c>
      <c r="N1573">
        <v>-1.450563E-2</v>
      </c>
      <c r="O1573">
        <v>-8.5721600000000005E-3</v>
      </c>
      <c r="P1573">
        <v>-0.97840240000000001</v>
      </c>
      <c r="Q1573">
        <v>0.2035373</v>
      </c>
      <c r="R1573">
        <v>3.6080510000000003E-2</v>
      </c>
      <c r="S1573">
        <v>-3.0317989999999999</v>
      </c>
      <c r="T1573">
        <v>0.14642079999999999</v>
      </c>
      <c r="U1573">
        <v>0.1131287</v>
      </c>
      <c r="V1573">
        <v>4.4347860000000003E-2</v>
      </c>
      <c r="W1573">
        <v>0.21772759999999999</v>
      </c>
      <c r="X1573">
        <v>0.97500149999999997</v>
      </c>
      <c r="Y1573">
        <v>4.5799680000000002E-2</v>
      </c>
      <c r="Z1573">
        <v>-1.3103069999999999E-3</v>
      </c>
      <c r="AA1573">
        <v>0.9989498</v>
      </c>
      <c r="AB1573">
        <v>33</v>
      </c>
      <c r="AC1573">
        <v>-3.0317989999999999</v>
      </c>
      <c r="AD1573">
        <v>0.14642079999999999</v>
      </c>
      <c r="AE1573">
        <v>0.1131287</v>
      </c>
      <c r="AF1573">
        <v>0.138793069738047</v>
      </c>
      <c r="AG1573">
        <v>0.14642079999999999</v>
      </c>
      <c r="AH1573">
        <v>3.0236750822582601</v>
      </c>
      <c r="AI1573">
        <v>87.230541719708796</v>
      </c>
      <c r="AJ1573">
        <v>87.371847566202007</v>
      </c>
      <c r="AK1573">
        <v>3.0303982526970699</v>
      </c>
      <c r="AL1573">
        <v>77.424400800123905</v>
      </c>
      <c r="AM1573">
        <v>87.395701361502205</v>
      </c>
      <c r="AN1573">
        <v>0.999999982745294</v>
      </c>
    </row>
    <row r="1574" spans="1:40" x14ac:dyDescent="0.25">
      <c r="A1574" t="str">
        <f>"20190303170752345"</f>
        <v>20190303170752345</v>
      </c>
      <c r="B1574" t="str">
        <f>"1551604072334603"</f>
        <v>1551604072334603</v>
      </c>
      <c r="C1574" t="s">
        <v>40</v>
      </c>
      <c r="D1574">
        <v>4.2620189999999996</v>
      </c>
      <c r="E1574">
        <v>0.5037585</v>
      </c>
      <c r="F1574" t="s">
        <v>45</v>
      </c>
      <c r="G1574">
        <v>0</v>
      </c>
      <c r="H1574">
        <v>0</v>
      </c>
      <c r="I1574">
        <v>0</v>
      </c>
      <c r="J1574">
        <v>-337.27510000000001</v>
      </c>
      <c r="K1574">
        <v>1.121564</v>
      </c>
      <c r="L1574">
        <v>285.10590000000002</v>
      </c>
      <c r="M1574">
        <v>-0.99985659999999998</v>
      </c>
      <c r="N1574">
        <v>-1.448721E-2</v>
      </c>
      <c r="O1574">
        <v>-8.7872179999999994E-3</v>
      </c>
      <c r="P1574">
        <v>-0.97833110000000001</v>
      </c>
      <c r="Q1574">
        <v>0.20398659999999999</v>
      </c>
      <c r="R1574">
        <v>3.5468699999999999E-2</v>
      </c>
      <c r="S1574">
        <v>-3.0321039999999999</v>
      </c>
      <c r="T1574">
        <v>0.14422389999999999</v>
      </c>
      <c r="U1574">
        <v>0.1118774</v>
      </c>
      <c r="V1574">
        <v>4.3955000000000001E-2</v>
      </c>
      <c r="W1574">
        <v>0.21815570000000001</v>
      </c>
      <c r="X1574">
        <v>0.9749236</v>
      </c>
      <c r="Y1574">
        <v>4.560061E-2</v>
      </c>
      <c r="Z1574">
        <v>-1.2977310000000001E-3</v>
      </c>
      <c r="AA1574">
        <v>0.99895889999999998</v>
      </c>
      <c r="AB1574">
        <v>33</v>
      </c>
      <c r="AC1574">
        <v>-3.0321039999999999</v>
      </c>
      <c r="AD1574">
        <v>0.14422389999999999</v>
      </c>
      <c r="AE1574">
        <v>0.1118774</v>
      </c>
      <c r="AF1574">
        <v>0.13820736339892301</v>
      </c>
      <c r="AG1574">
        <v>0.14422389999999999</v>
      </c>
      <c r="AH1574">
        <v>3.0241708689923601</v>
      </c>
      <c r="AI1574">
        <v>87.272452976338101</v>
      </c>
      <c r="AJ1574">
        <v>87.383351360090103</v>
      </c>
      <c r="AK1574">
        <v>3.0307608373956101</v>
      </c>
      <c r="AL1574">
        <v>77.399268412754097</v>
      </c>
      <c r="AM1574">
        <v>87.418534488154904</v>
      </c>
      <c r="AN1574">
        <v>0.99999998865222395</v>
      </c>
    </row>
    <row r="1575" spans="1:40" x14ac:dyDescent="0.25">
      <c r="A1575" t="str">
        <f>"20190303170752368"</f>
        <v>20190303170752368</v>
      </c>
      <c r="B1575" t="str">
        <f>"1551604072354123"</f>
        <v>1551604072354123</v>
      </c>
      <c r="C1575" t="s">
        <v>40</v>
      </c>
      <c r="D1575">
        <v>4.3216299999999999</v>
      </c>
      <c r="E1575">
        <v>0.50389659999999903</v>
      </c>
      <c r="F1575" t="s">
        <v>45</v>
      </c>
      <c r="G1575">
        <v>0</v>
      </c>
      <c r="H1575">
        <v>0</v>
      </c>
      <c r="I1575">
        <v>0</v>
      </c>
      <c r="J1575">
        <v>-337.61750000000001</v>
      </c>
      <c r="K1575">
        <v>1.121542</v>
      </c>
      <c r="L1575">
        <v>285.10270000000003</v>
      </c>
      <c r="M1575">
        <v>-0.99985500000000005</v>
      </c>
      <c r="N1575">
        <v>-1.4459100000000001E-2</v>
      </c>
      <c r="O1575">
        <v>-9.0052999999999904E-3</v>
      </c>
      <c r="P1575">
        <v>-0.97828899999999996</v>
      </c>
      <c r="Q1575">
        <v>0.2042051</v>
      </c>
      <c r="R1575">
        <v>3.5374240000000001E-2</v>
      </c>
      <c r="S1575">
        <v>-3.0323790000000002</v>
      </c>
      <c r="T1575">
        <v>0.14422679999999999</v>
      </c>
      <c r="U1575">
        <v>0.1112366</v>
      </c>
      <c r="V1575">
        <v>4.4082959999999997E-2</v>
      </c>
      <c r="W1575">
        <v>0.21834419999999999</v>
      </c>
      <c r="X1575">
        <v>0.97487559999999995</v>
      </c>
      <c r="Y1575">
        <v>4.5603890000000001E-2</v>
      </c>
      <c r="Z1575">
        <v>-1.3115939999999999E-3</v>
      </c>
      <c r="AA1575">
        <v>0.99895880000000004</v>
      </c>
      <c r="AB1575">
        <v>33</v>
      </c>
      <c r="AC1575">
        <v>-3.0323790000000002</v>
      </c>
      <c r="AD1575">
        <v>0.14422679999999999</v>
      </c>
      <c r="AE1575">
        <v>0.1112366</v>
      </c>
      <c r="AF1575">
        <v>0.138230143994518</v>
      </c>
      <c r="AG1575">
        <v>0.14422679999999999</v>
      </c>
      <c r="AH1575">
        <v>3.0244216346089399</v>
      </c>
      <c r="AI1575">
        <v>87.272624493283104</v>
      </c>
      <c r="AJ1575">
        <v>87.383137349600801</v>
      </c>
      <c r="AK1575">
        <v>3.0310122346235402</v>
      </c>
      <c r="AL1575">
        <v>77.388201076638097</v>
      </c>
      <c r="AM1575">
        <v>87.410902341835097</v>
      </c>
      <c r="AN1575">
        <v>0.99999996625568</v>
      </c>
    </row>
    <row r="1576" spans="1:40" x14ac:dyDescent="0.25">
      <c r="A1576" t="str">
        <f>"20190303170752392"</f>
        <v>20190303170752392</v>
      </c>
      <c r="B1576" t="str">
        <f>"1551604072384380"</f>
        <v>1551604072384380</v>
      </c>
      <c r="C1576" t="s">
        <v>40</v>
      </c>
      <c r="D1576">
        <v>4.2036340000000001</v>
      </c>
      <c r="E1576">
        <v>0.50406430000000002</v>
      </c>
      <c r="F1576" t="s">
        <v>45</v>
      </c>
      <c r="G1576">
        <v>0</v>
      </c>
      <c r="H1576">
        <v>0</v>
      </c>
      <c r="I1576">
        <v>0</v>
      </c>
      <c r="J1576">
        <v>-337.95510000000002</v>
      </c>
      <c r="K1576">
        <v>1.121515</v>
      </c>
      <c r="L1576">
        <v>285.09949999999998</v>
      </c>
      <c r="M1576">
        <v>-0.99985369999999996</v>
      </c>
      <c r="N1576">
        <v>-1.442046E-2</v>
      </c>
      <c r="O1576">
        <v>-9.2026539999999993E-3</v>
      </c>
      <c r="P1576">
        <v>-0.9783326</v>
      </c>
      <c r="Q1576">
        <v>0.2039337</v>
      </c>
      <c r="R1576">
        <v>3.5727660000000001E-2</v>
      </c>
      <c r="S1576">
        <v>-3.032349</v>
      </c>
      <c r="T1576">
        <v>0.14438049999999999</v>
      </c>
      <c r="U1576">
        <v>0.11203</v>
      </c>
      <c r="V1576">
        <v>4.4636639999999998E-2</v>
      </c>
      <c r="W1576">
        <v>0.21803429999999999</v>
      </c>
      <c r="X1576">
        <v>0.9749198</v>
      </c>
      <c r="Y1576">
        <v>4.6061579999999998E-2</v>
      </c>
      <c r="Z1576">
        <v>-1.333557E-3</v>
      </c>
      <c r="AA1576">
        <v>0.99893770000000004</v>
      </c>
      <c r="AB1576">
        <v>33</v>
      </c>
      <c r="AC1576">
        <v>-3.032349</v>
      </c>
      <c r="AD1576">
        <v>0.14438049999999999</v>
      </c>
      <c r="AE1576">
        <v>0.11203</v>
      </c>
      <c r="AF1576">
        <v>0.13961772762892299</v>
      </c>
      <c r="AG1576">
        <v>0.14438049999999999</v>
      </c>
      <c r="AH1576">
        <v>3.02434253450317</v>
      </c>
      <c r="AI1576">
        <v>87.269708554168602</v>
      </c>
      <c r="AJ1576">
        <v>87.356836760682597</v>
      </c>
      <c r="AK1576">
        <v>3.03100422379342</v>
      </c>
      <c r="AL1576">
        <v>77.4063958498879</v>
      </c>
      <c r="AM1576">
        <v>87.378547166355006</v>
      </c>
      <c r="AN1576">
        <v>1.0000000010195</v>
      </c>
    </row>
    <row r="1577" spans="1:40" x14ac:dyDescent="0.25">
      <c r="A1577" t="str">
        <f>"20190303170752413"</f>
        <v>20190303170752413</v>
      </c>
      <c r="B1577" t="str">
        <f>"1551604072403899"</f>
        <v>1551604072403899</v>
      </c>
      <c r="C1577" t="s">
        <v>40</v>
      </c>
      <c r="D1577">
        <v>4.3196209999999997</v>
      </c>
      <c r="E1577">
        <v>0.5041909</v>
      </c>
      <c r="F1577" t="s">
        <v>45</v>
      </c>
      <c r="G1577">
        <v>0</v>
      </c>
      <c r="H1577">
        <v>0</v>
      </c>
      <c r="I1577">
        <v>0</v>
      </c>
      <c r="J1577">
        <v>-338.2912</v>
      </c>
      <c r="K1577">
        <v>1.1215029999999999</v>
      </c>
      <c r="L1577">
        <v>285.09620000000001</v>
      </c>
      <c r="M1577">
        <v>-0.99985270000000004</v>
      </c>
      <c r="N1577">
        <v>-1.437332E-2</v>
      </c>
      <c r="O1577">
        <v>-9.3877519999999992E-3</v>
      </c>
      <c r="P1577">
        <v>-0.97846979999999995</v>
      </c>
      <c r="Q1577">
        <v>0.2032389</v>
      </c>
      <c r="R1577">
        <v>3.593495E-2</v>
      </c>
      <c r="S1577">
        <v>-3.0325319999999998</v>
      </c>
      <c r="T1577">
        <v>0.14274239999999999</v>
      </c>
      <c r="U1577">
        <v>0.1146851</v>
      </c>
      <c r="V1577">
        <v>4.5031340000000003E-2</v>
      </c>
      <c r="W1577">
        <v>0.2172943</v>
      </c>
      <c r="X1577">
        <v>0.97506680000000001</v>
      </c>
      <c r="Y1577">
        <v>4.711775E-2</v>
      </c>
      <c r="Z1577">
        <v>-1.345317E-3</v>
      </c>
      <c r="AA1577">
        <v>0.99888840000000001</v>
      </c>
      <c r="AB1577">
        <v>33</v>
      </c>
      <c r="AC1577">
        <v>-3.0325319999999998</v>
      </c>
      <c r="AD1577">
        <v>0.14274239999999999</v>
      </c>
      <c r="AE1577">
        <v>0.1146851</v>
      </c>
      <c r="AF1577">
        <v>0.14283562527004801</v>
      </c>
      <c r="AG1577">
        <v>0.14274239999999999</v>
      </c>
      <c r="AH1577">
        <v>3.0246297364994401</v>
      </c>
      <c r="AI1577">
        <v>87.301028562919498</v>
      </c>
      <c r="AJ1577">
        <v>87.296263129978399</v>
      </c>
      <c r="AK1577">
        <v>3.0313631342220799</v>
      </c>
      <c r="AL1577">
        <v>77.449835610559006</v>
      </c>
      <c r="AM1577">
        <v>87.3557978360204</v>
      </c>
      <c r="AN1577">
        <v>0.99999994942846104</v>
      </c>
    </row>
    <row r="1578" spans="1:40" x14ac:dyDescent="0.25">
      <c r="A1578" t="str">
        <f>"20190303170752435"</f>
        <v>20190303170752435</v>
      </c>
      <c r="B1578" t="str">
        <f>"1551604072424396"</f>
        <v>1551604072424396</v>
      </c>
      <c r="C1578" t="s">
        <v>40</v>
      </c>
      <c r="D1578">
        <v>4.2024059999999999</v>
      </c>
      <c r="E1578">
        <v>0.50429820000000003</v>
      </c>
      <c r="F1578" t="s">
        <v>45</v>
      </c>
      <c r="G1578">
        <v>0</v>
      </c>
      <c r="H1578">
        <v>0</v>
      </c>
      <c r="I1578">
        <v>0</v>
      </c>
      <c r="J1578">
        <v>-338.60289999999998</v>
      </c>
      <c r="K1578">
        <v>1.1214869999999999</v>
      </c>
      <c r="L1578">
        <v>285.09300000000002</v>
      </c>
      <c r="M1578">
        <v>-0.99985179999999996</v>
      </c>
      <c r="N1578">
        <v>-1.4323900000000001E-2</v>
      </c>
      <c r="O1578">
        <v>-9.553466E-3</v>
      </c>
      <c r="P1578">
        <v>-0.97843020000000003</v>
      </c>
      <c r="Q1578">
        <v>0.2034764</v>
      </c>
      <c r="R1578">
        <v>3.5664710000000002E-2</v>
      </c>
      <c r="S1578">
        <v>-3.0326840000000002</v>
      </c>
      <c r="T1578">
        <v>0.140093</v>
      </c>
      <c r="U1578">
        <v>0.11584469999999999</v>
      </c>
      <c r="V1578">
        <v>4.4925470000000002E-2</v>
      </c>
      <c r="W1578">
        <v>0.2174828</v>
      </c>
      <c r="X1578">
        <v>0.9750297</v>
      </c>
      <c r="Y1578">
        <v>4.7664199999999997E-2</v>
      </c>
      <c r="Z1578">
        <v>-1.335922E-3</v>
      </c>
      <c r="AA1578">
        <v>0.99886249999999999</v>
      </c>
      <c r="AB1578">
        <v>33</v>
      </c>
      <c r="AC1578">
        <v>-3.0326840000000002</v>
      </c>
      <c r="AD1578">
        <v>0.140093</v>
      </c>
      <c r="AE1578">
        <v>0.11584469999999999</v>
      </c>
      <c r="AF1578">
        <v>0.14450710990382301</v>
      </c>
      <c r="AG1578">
        <v>0.140093</v>
      </c>
      <c r="AH1578">
        <v>3.0249930477746401</v>
      </c>
      <c r="AI1578">
        <v>87.351437597372097</v>
      </c>
      <c r="AJ1578">
        <v>87.264999379847296</v>
      </c>
      <c r="AK1578">
        <v>3.0316812649991198</v>
      </c>
      <c r="AL1578">
        <v>77.438771271746603</v>
      </c>
      <c r="AM1578">
        <v>87.361905406541496</v>
      </c>
      <c r="AN1578">
        <v>0.99999999101632497</v>
      </c>
    </row>
    <row r="1579" spans="1:40" x14ac:dyDescent="0.25">
      <c r="A1579" t="str">
        <f>"20190303170752456"</f>
        <v>20190303170752456</v>
      </c>
      <c r="B1579" t="str">
        <f>"1551604072443916"</f>
        <v>1551604072443916</v>
      </c>
      <c r="C1579" t="s">
        <v>40</v>
      </c>
      <c r="D1579">
        <v>4.1169699999999896</v>
      </c>
      <c r="E1579">
        <v>0.50440419999999997</v>
      </c>
      <c r="F1579" t="s">
        <v>45</v>
      </c>
      <c r="G1579">
        <v>0</v>
      </c>
      <c r="H1579">
        <v>0</v>
      </c>
      <c r="I1579">
        <v>0</v>
      </c>
      <c r="J1579">
        <v>-338.9316</v>
      </c>
      <c r="K1579">
        <v>1.1214740000000001</v>
      </c>
      <c r="L1579">
        <v>285.08969999999999</v>
      </c>
      <c r="M1579">
        <v>-0.99985109999999999</v>
      </c>
      <c r="N1579">
        <v>-1.425534E-2</v>
      </c>
      <c r="O1579">
        <v>-9.7268170000000004E-3</v>
      </c>
      <c r="P1579">
        <v>-0.97840640000000001</v>
      </c>
      <c r="Q1579">
        <v>0.20371249999999999</v>
      </c>
      <c r="R1579">
        <v>3.4960480000000002E-2</v>
      </c>
      <c r="S1579">
        <v>-3.032654</v>
      </c>
      <c r="T1579">
        <v>0.14053489999999999</v>
      </c>
      <c r="U1579">
        <v>0.11584469999999999</v>
      </c>
      <c r="V1579">
        <v>4.4392510000000003E-2</v>
      </c>
      <c r="W1579">
        <v>0.21765129999999999</v>
      </c>
      <c r="X1579">
        <v>0.97501649999999995</v>
      </c>
      <c r="Y1579">
        <v>4.7836910000000003E-2</v>
      </c>
      <c r="Z1579">
        <v>-1.3550329999999901E-3</v>
      </c>
      <c r="AA1579">
        <v>0.99885420000000003</v>
      </c>
      <c r="AB1579">
        <v>33</v>
      </c>
      <c r="AC1579">
        <v>-3.032654</v>
      </c>
      <c r="AD1579">
        <v>0.14053489999999999</v>
      </c>
      <c r="AE1579">
        <v>0.11584469999999999</v>
      </c>
      <c r="AF1579">
        <v>0.14502929703835701</v>
      </c>
      <c r="AG1579">
        <v>0.14053489999999999</v>
      </c>
      <c r="AH1579">
        <v>3.02489724684912</v>
      </c>
      <c r="AI1579">
        <v>87.343033137373794</v>
      </c>
      <c r="AJ1579">
        <v>87.255044541118195</v>
      </c>
      <c r="AK1579">
        <v>3.0316310641489399</v>
      </c>
      <c r="AL1579">
        <v>77.428879841248204</v>
      </c>
      <c r="AM1579">
        <v>87.393122985731495</v>
      </c>
      <c r="AN1579">
        <v>0.99999997930401896</v>
      </c>
    </row>
    <row r="1580" spans="1:40" x14ac:dyDescent="0.25">
      <c r="A1580" t="str">
        <f>"20190303170752480"</f>
        <v>20190303170752480</v>
      </c>
      <c r="B1580" t="str">
        <f>"1551604072464412"</f>
        <v>1551604072464412</v>
      </c>
      <c r="C1580" t="s">
        <v>40</v>
      </c>
      <c r="D1580">
        <v>4.2645720000000003</v>
      </c>
      <c r="E1580">
        <v>0.50452370000000002</v>
      </c>
      <c r="F1580" t="s">
        <v>45</v>
      </c>
      <c r="G1580">
        <v>0</v>
      </c>
      <c r="H1580">
        <v>0</v>
      </c>
      <c r="I1580">
        <v>0</v>
      </c>
      <c r="J1580">
        <v>-339.26990000000001</v>
      </c>
      <c r="K1580">
        <v>1.1214569999999999</v>
      </c>
      <c r="L1580">
        <v>285.08620000000002</v>
      </c>
      <c r="M1580">
        <v>-0.99985060000000003</v>
      </c>
      <c r="N1580">
        <v>-1.4164110000000001E-2</v>
      </c>
      <c r="O1580">
        <v>-9.9058730000000008E-3</v>
      </c>
      <c r="P1580">
        <v>-0.9783174</v>
      </c>
      <c r="Q1580">
        <v>0.20434330000000001</v>
      </c>
      <c r="R1580">
        <v>3.3748300000000002E-2</v>
      </c>
      <c r="S1580">
        <v>-3.0327760000000001</v>
      </c>
      <c r="T1580">
        <v>0.14103260000000001</v>
      </c>
      <c r="U1580">
        <v>0.11437990000000001</v>
      </c>
      <c r="V1580">
        <v>4.3355709999999999E-2</v>
      </c>
      <c r="W1580">
        <v>0.21819060000000001</v>
      </c>
      <c r="X1580">
        <v>0.97494259999999999</v>
      </c>
      <c r="Y1580">
        <v>4.7531940000000002E-2</v>
      </c>
      <c r="Z1580">
        <v>-1.367725E-3</v>
      </c>
      <c r="AA1580">
        <v>0.9988688</v>
      </c>
      <c r="AB1580">
        <v>33</v>
      </c>
      <c r="AC1580">
        <v>-3.0327760000000001</v>
      </c>
      <c r="AD1580">
        <v>0.14103260000000001</v>
      </c>
      <c r="AE1580">
        <v>0.11437990000000001</v>
      </c>
      <c r="AF1580">
        <v>0.144108401869811</v>
      </c>
      <c r="AG1580">
        <v>0.14103260000000001</v>
      </c>
      <c r="AH1580">
        <v>3.0249618002044598</v>
      </c>
      <c r="AI1580">
        <v>87.333655166198795</v>
      </c>
      <c r="AJ1580">
        <v>87.272505948552407</v>
      </c>
      <c r="AK1580">
        <v>3.0316746722642298</v>
      </c>
      <c r="AL1580">
        <v>77.397219119600607</v>
      </c>
      <c r="AM1580">
        <v>87.453733545233007</v>
      </c>
      <c r="AN1580">
        <v>0.99999996440636096</v>
      </c>
    </row>
    <row r="1581" spans="1:40" x14ac:dyDescent="0.25">
      <c r="A1581" t="str">
        <f>"20190303170752504"</f>
        <v>20190303170752504</v>
      </c>
      <c r="B1581" t="str">
        <f>"1551604072493691"</f>
        <v>1551604072493691</v>
      </c>
      <c r="C1581" t="s">
        <v>40</v>
      </c>
      <c r="D1581">
        <v>4.0750789999999997</v>
      </c>
      <c r="E1581">
        <v>0.50472550000000005</v>
      </c>
      <c r="F1581" t="s">
        <v>45</v>
      </c>
      <c r="G1581">
        <v>0</v>
      </c>
      <c r="H1581">
        <v>0</v>
      </c>
      <c r="I1581">
        <v>0</v>
      </c>
      <c r="J1581">
        <v>-339.6336</v>
      </c>
      <c r="K1581">
        <v>1.1214390000000001</v>
      </c>
      <c r="L1581">
        <v>285.08229999999998</v>
      </c>
      <c r="M1581">
        <v>-0.99985049999999998</v>
      </c>
      <c r="N1581">
        <v>-1.404598E-2</v>
      </c>
      <c r="O1581">
        <v>-1.0097770000000001E-2</v>
      </c>
      <c r="P1581">
        <v>-0.97821429999999998</v>
      </c>
      <c r="Q1581">
        <v>0.2049745</v>
      </c>
      <c r="R1581">
        <v>3.2900310000000002E-2</v>
      </c>
      <c r="S1581">
        <v>-3.0327449999999998</v>
      </c>
      <c r="T1581">
        <v>0.14319960000000001</v>
      </c>
      <c r="U1581">
        <v>0.1116028</v>
      </c>
      <c r="V1581">
        <v>4.2694360000000001E-2</v>
      </c>
      <c r="W1581">
        <v>0.21870529999999999</v>
      </c>
      <c r="X1581">
        <v>0.97485650000000001</v>
      </c>
      <c r="Y1581">
        <v>4.6808950000000002E-2</v>
      </c>
      <c r="Z1581">
        <v>-1.3931939999999999E-3</v>
      </c>
      <c r="AA1581">
        <v>0.99890290000000004</v>
      </c>
      <c r="AB1581">
        <v>33</v>
      </c>
      <c r="AC1581">
        <v>-3.0327449999999998</v>
      </c>
      <c r="AD1581">
        <v>0.14319960000000001</v>
      </c>
      <c r="AE1581">
        <v>0.1116028</v>
      </c>
      <c r="AF1581">
        <v>0.14190812805834499</v>
      </c>
      <c r="AG1581">
        <v>0.14319960000000001</v>
      </c>
      <c r="AH1581">
        <v>3.0247287180698099</v>
      </c>
      <c r="AI1581">
        <v>87.292446016366398</v>
      </c>
      <c r="AJ1581">
        <v>87.313881709090097</v>
      </c>
      <c r="AK1581">
        <v>3.0314398988212501</v>
      </c>
      <c r="AL1581">
        <v>77.366999660789403</v>
      </c>
      <c r="AM1581">
        <v>87.492303274108295</v>
      </c>
      <c r="AN1581">
        <v>1.00000000610807</v>
      </c>
    </row>
    <row r="1582" spans="1:40" x14ac:dyDescent="0.25">
      <c r="A1582" t="str">
        <f>"20190303170752524"</f>
        <v>20190303170752524</v>
      </c>
      <c r="B1582" t="str">
        <f>"1551604072514187"</f>
        <v>1551604072514187</v>
      </c>
      <c r="C1582" t="s">
        <v>40</v>
      </c>
      <c r="D1582">
        <v>4.0749329999999997</v>
      </c>
      <c r="E1582">
        <v>0.50477039999999995</v>
      </c>
      <c r="F1582" t="s">
        <v>45</v>
      </c>
      <c r="G1582">
        <v>0</v>
      </c>
      <c r="H1582">
        <v>0</v>
      </c>
      <c r="I1582">
        <v>0</v>
      </c>
      <c r="J1582">
        <v>-339.93799999999999</v>
      </c>
      <c r="K1582">
        <v>1.1214299999999999</v>
      </c>
      <c r="L1582">
        <v>285.07909999999998</v>
      </c>
      <c r="M1582">
        <v>-0.99985040000000003</v>
      </c>
      <c r="N1582">
        <v>-1.393586E-2</v>
      </c>
      <c r="O1582">
        <v>-1.0254269999999999E-2</v>
      </c>
      <c r="P1582">
        <v>-0.97820790000000002</v>
      </c>
      <c r="Q1582">
        <v>0.20508019999999999</v>
      </c>
      <c r="R1582">
        <v>3.2430689999999998E-2</v>
      </c>
      <c r="S1582">
        <v>-3.0325319999999998</v>
      </c>
      <c r="T1582">
        <v>0.14571539999999999</v>
      </c>
      <c r="U1582">
        <v>0.1109924</v>
      </c>
      <c r="V1582">
        <v>4.237631E-2</v>
      </c>
      <c r="W1582">
        <v>0.21870390000000001</v>
      </c>
      <c r="X1582">
        <v>0.97487069999999998</v>
      </c>
      <c r="Y1582">
        <v>4.6764680000000003E-2</v>
      </c>
      <c r="Z1582">
        <v>-1.4314480000000001E-3</v>
      </c>
      <c r="AA1582">
        <v>0.99890489999999998</v>
      </c>
      <c r="AB1582">
        <v>33</v>
      </c>
      <c r="AC1582">
        <v>-3.0325319999999998</v>
      </c>
      <c r="AD1582">
        <v>0.14571539999999999</v>
      </c>
      <c r="AE1582">
        <v>0.1109924</v>
      </c>
      <c r="AF1582">
        <v>0.141759116432671</v>
      </c>
      <c r="AG1582">
        <v>0.14571539999999999</v>
      </c>
      <c r="AH1582">
        <v>3.02426097864564</v>
      </c>
      <c r="AI1582">
        <v>87.244520197374598</v>
      </c>
      <c r="AJ1582">
        <v>87.316283762710597</v>
      </c>
      <c r="AK1582">
        <v>3.0310861241224401</v>
      </c>
      <c r="AL1582">
        <v>77.367081974277696</v>
      </c>
      <c r="AM1582">
        <v>87.5109968923677</v>
      </c>
      <c r="AN1582">
        <v>1.0000000146214501</v>
      </c>
    </row>
    <row r="1583" spans="1:40" x14ac:dyDescent="0.25">
      <c r="A1583" t="str">
        <f>"20190303170752546"</f>
        <v>20190303170752546</v>
      </c>
      <c r="B1583" t="str">
        <f>"1551604072533708"</f>
        <v>1551604072533708</v>
      </c>
      <c r="C1583" t="s">
        <v>40</v>
      </c>
      <c r="D1583">
        <v>4.0621749999999999</v>
      </c>
      <c r="E1583">
        <v>0.50482130000000003</v>
      </c>
      <c r="F1583" t="s">
        <v>45</v>
      </c>
      <c r="G1583">
        <v>0</v>
      </c>
      <c r="H1583">
        <v>0</v>
      </c>
      <c r="I1583">
        <v>0</v>
      </c>
      <c r="J1583">
        <v>-340.25760000000002</v>
      </c>
      <c r="K1583">
        <v>1.1214219999999999</v>
      </c>
      <c r="L1583">
        <v>285.07560000000001</v>
      </c>
      <c r="M1583">
        <v>-0.99985040000000003</v>
      </c>
      <c r="N1583">
        <v>-1.3814760000000001E-2</v>
      </c>
      <c r="O1583">
        <v>-1.0419609999999999E-2</v>
      </c>
      <c r="P1583">
        <v>-0.97811119999999996</v>
      </c>
      <c r="Q1583">
        <v>0.20555180000000001</v>
      </c>
      <c r="R1583">
        <v>3.2360100000000003E-2</v>
      </c>
      <c r="S1583">
        <v>-3.03241</v>
      </c>
      <c r="T1583">
        <v>0.14671909999999999</v>
      </c>
      <c r="U1583">
        <v>0.1101379</v>
      </c>
      <c r="V1583">
        <v>4.2465370000000002E-2</v>
      </c>
      <c r="W1583">
        <v>0.21905559999999999</v>
      </c>
      <c r="X1583">
        <v>0.97478779999999998</v>
      </c>
      <c r="Y1583">
        <v>4.6649080000000002E-2</v>
      </c>
      <c r="Z1583">
        <v>-1.4525040000000001E-3</v>
      </c>
      <c r="AA1583">
        <v>0.99891030000000003</v>
      </c>
      <c r="AB1583">
        <v>33</v>
      </c>
      <c r="AC1583">
        <v>-3.03241</v>
      </c>
      <c r="AD1583">
        <v>0.14671909999999999</v>
      </c>
      <c r="AE1583">
        <v>0.1101379</v>
      </c>
      <c r="AF1583">
        <v>0.14140088087834801</v>
      </c>
      <c r="AG1583">
        <v>0.14671909999999999</v>
      </c>
      <c r="AH1583">
        <v>3.0240277905734199</v>
      </c>
      <c r="AI1583">
        <v>87.225341303862905</v>
      </c>
      <c r="AJ1583">
        <v>87.322849706784197</v>
      </c>
      <c r="AK1583">
        <v>3.03088514819984</v>
      </c>
      <c r="AL1583">
        <v>77.346429571501304</v>
      </c>
      <c r="AM1583">
        <v>87.505560636897599</v>
      </c>
      <c r="AN1583">
        <v>0.99999995928471697</v>
      </c>
    </row>
    <row r="1584" spans="1:40" x14ac:dyDescent="0.25">
      <c r="A1584" t="str">
        <f>"20190303170752570"</f>
        <v>20190303170752570</v>
      </c>
      <c r="B1584" t="str">
        <f>"1551604072563964"</f>
        <v>1551604072563964</v>
      </c>
      <c r="C1584" t="s">
        <v>40</v>
      </c>
      <c r="D1584">
        <v>4.1522560000000004</v>
      </c>
      <c r="E1584">
        <v>0.50819970000000003</v>
      </c>
      <c r="F1584" t="s">
        <v>45</v>
      </c>
      <c r="G1584">
        <v>0</v>
      </c>
      <c r="H1584">
        <v>0</v>
      </c>
      <c r="I1584">
        <v>0</v>
      </c>
      <c r="J1584">
        <v>-340.60379999999998</v>
      </c>
      <c r="K1584">
        <v>1.12141</v>
      </c>
      <c r="L1584">
        <v>285.0718</v>
      </c>
      <c r="M1584">
        <v>-0.99985020000000002</v>
      </c>
      <c r="N1584">
        <v>-1.367616E-2</v>
      </c>
      <c r="O1584">
        <v>-1.0612689999999999E-2</v>
      </c>
      <c r="P1584">
        <v>-0.97789510000000002</v>
      </c>
      <c r="Q1584">
        <v>0.2064994</v>
      </c>
      <c r="R1584">
        <v>3.285706E-2</v>
      </c>
      <c r="S1584">
        <v>-3.032349</v>
      </c>
      <c r="T1584">
        <v>0.14838180000000001</v>
      </c>
      <c r="U1584">
        <v>0.1101685</v>
      </c>
      <c r="V1584">
        <v>4.3149010000000002E-2</v>
      </c>
      <c r="W1584">
        <v>0.21986510000000001</v>
      </c>
      <c r="X1584">
        <v>0.97457550000000004</v>
      </c>
      <c r="Y1584">
        <v>4.6850679999999999E-2</v>
      </c>
      <c r="Z1584">
        <v>-1.4884129999999901E-3</v>
      </c>
      <c r="AA1584">
        <v>0.99890080000000003</v>
      </c>
      <c r="AB1584">
        <v>33</v>
      </c>
      <c r="AC1584">
        <v>-3.032349</v>
      </c>
      <c r="AD1584">
        <v>0.14838180000000001</v>
      </c>
      <c r="AE1584">
        <v>0.1101685</v>
      </c>
      <c r="AF1584">
        <v>0.142007104590684</v>
      </c>
      <c r="AG1584">
        <v>0.14838180000000001</v>
      </c>
      <c r="AH1584">
        <v>3.0237782105556699</v>
      </c>
      <c r="AI1584">
        <v>87.193742880969495</v>
      </c>
      <c r="AJ1584">
        <v>87.311167257163703</v>
      </c>
      <c r="AK1584">
        <v>3.0307454269464298</v>
      </c>
      <c r="AL1584">
        <v>77.298889588311397</v>
      </c>
      <c r="AM1584">
        <v>87.464903796622394</v>
      </c>
      <c r="AN1584">
        <v>0.99999995223111804</v>
      </c>
    </row>
    <row r="1585" spans="1:40" x14ac:dyDescent="0.25">
      <c r="A1585" t="str">
        <f>"20190303170752592"</f>
        <v>20190303170752592</v>
      </c>
      <c r="B1585" t="str">
        <f>"1551604072584459"</f>
        <v>1551604072584459</v>
      </c>
      <c r="C1585" t="s">
        <v>40</v>
      </c>
      <c r="D1585">
        <v>4.0251739999999998</v>
      </c>
      <c r="E1585">
        <v>0.50420419999999999</v>
      </c>
      <c r="F1585" t="s">
        <v>72</v>
      </c>
      <c r="G1585">
        <v>-547.02099999999996</v>
      </c>
      <c r="H1585">
        <v>11.833970000000001</v>
      </c>
      <c r="I1585">
        <v>294.55</v>
      </c>
      <c r="J1585">
        <v>-340.93900000000002</v>
      </c>
      <c r="K1585">
        <v>1.121391</v>
      </c>
      <c r="L1585">
        <v>285.06799999999998</v>
      </c>
      <c r="M1585">
        <v>-0.99985020000000002</v>
      </c>
      <c r="N1585">
        <v>-1.3536080000000001E-2</v>
      </c>
      <c r="O1585">
        <v>-1.0810470000000001E-2</v>
      </c>
      <c r="P1585">
        <v>-0.97766390000000003</v>
      </c>
      <c r="Q1585">
        <v>0.2076008</v>
      </c>
      <c r="R1585">
        <v>3.2801219999999999E-2</v>
      </c>
      <c r="S1585">
        <v>-3.0299680000000002</v>
      </c>
      <c r="T1585">
        <v>0.15724920000000001</v>
      </c>
      <c r="U1585">
        <v>0.13912959999999999</v>
      </c>
      <c r="V1585">
        <v>4.3286140000000001E-2</v>
      </c>
      <c r="W1585">
        <v>0.22082650000000001</v>
      </c>
      <c r="X1585">
        <v>0.97435210000000005</v>
      </c>
      <c r="Y1585">
        <v>5.6587720000000001E-2</v>
      </c>
      <c r="Z1585">
        <v>-1.789765E-3</v>
      </c>
      <c r="AA1585">
        <v>0.99839599999999995</v>
      </c>
      <c r="AB1585">
        <v>33</v>
      </c>
      <c r="AC1585">
        <v>-206.08199999999999</v>
      </c>
      <c r="AD1585">
        <v>10.7125789999999</v>
      </c>
      <c r="AE1585">
        <v>9.4820000000000206</v>
      </c>
      <c r="AF1585">
        <v>11.6780037052696</v>
      </c>
      <c r="AG1585">
        <v>10.7125789999999</v>
      </c>
      <c r="AH1585">
        <v>205.413557429696</v>
      </c>
      <c r="AI1585">
        <v>87.019460584754697</v>
      </c>
      <c r="AJ1585">
        <v>86.746169670052595</v>
      </c>
      <c r="AK1585">
        <v>206.02394204386701</v>
      </c>
      <c r="AL1585">
        <v>77.2424183676073</v>
      </c>
      <c r="AM1585">
        <v>87.456275350812405</v>
      </c>
      <c r="AN1585">
        <v>1.00000002389637</v>
      </c>
    </row>
    <row r="1586" spans="1:40" x14ac:dyDescent="0.25">
      <c r="A1586" t="str">
        <f>"20190303170752612"</f>
        <v>20190303170752612</v>
      </c>
      <c r="B1586" t="str">
        <f>"1551604072604170"</f>
        <v>1551604072604170</v>
      </c>
      <c r="C1586" t="s">
        <v>40</v>
      </c>
      <c r="D1586">
        <v>4.0169930000000003</v>
      </c>
      <c r="E1586">
        <v>0.48161680000000001</v>
      </c>
      <c r="F1586" t="s">
        <v>45</v>
      </c>
      <c r="G1586">
        <v>0</v>
      </c>
      <c r="H1586">
        <v>0</v>
      </c>
      <c r="I1586">
        <v>0</v>
      </c>
      <c r="J1586">
        <v>-341.25130000000001</v>
      </c>
      <c r="K1586">
        <v>1.1213679999999999</v>
      </c>
      <c r="L1586">
        <v>285.06439999999998</v>
      </c>
      <c r="M1586">
        <v>-0.99984960000000001</v>
      </c>
      <c r="N1586">
        <v>-1.3408990000000001E-2</v>
      </c>
      <c r="O1586">
        <v>-1.099608E-2</v>
      </c>
      <c r="P1586">
        <v>-0.97753230000000002</v>
      </c>
      <c r="Q1586">
        <v>0.20818970000000001</v>
      </c>
      <c r="R1586">
        <v>3.2980139999999998E-2</v>
      </c>
      <c r="S1586">
        <v>-3.0361020000000001</v>
      </c>
      <c r="T1586">
        <v>0.1359571</v>
      </c>
      <c r="U1586">
        <v>0.10592650000000001</v>
      </c>
      <c r="V1586">
        <v>4.3647129999999999E-2</v>
      </c>
      <c r="W1586">
        <v>0.22128919999999999</v>
      </c>
      <c r="X1586">
        <v>0.97423099999999996</v>
      </c>
      <c r="Y1586">
        <v>4.5805360000000003E-2</v>
      </c>
      <c r="Z1586">
        <v>-1.3567780000000001E-3</v>
      </c>
      <c r="AA1586">
        <v>0.99894950000000005</v>
      </c>
      <c r="AB1586">
        <v>33</v>
      </c>
      <c r="AC1586">
        <v>-3.0361020000000001</v>
      </c>
      <c r="AD1586">
        <v>0.1359571</v>
      </c>
      <c r="AE1586">
        <v>0.10592650000000001</v>
      </c>
      <c r="AF1586">
        <v>0.13902986561849801</v>
      </c>
      <c r="AG1586">
        <v>0.1359571</v>
      </c>
      <c r="AH1586">
        <v>3.0286875994290199</v>
      </c>
      <c r="AI1586">
        <v>87.432431109760998</v>
      </c>
      <c r="AJ1586">
        <v>87.371720881047906</v>
      </c>
      <c r="AK1586">
        <v>3.0349237571163798</v>
      </c>
      <c r="AL1586">
        <v>77.215234957246494</v>
      </c>
      <c r="AM1586">
        <v>87.434771464167298</v>
      </c>
      <c r="AN1586">
        <v>1.0000000116774299</v>
      </c>
    </row>
    <row r="1587" spans="1:40" x14ac:dyDescent="0.25">
      <c r="A1587" t="str">
        <f>"20190303170752635"</f>
        <v>20190303170752635</v>
      </c>
      <c r="B1587" t="str">
        <f>"1551604072623692"</f>
        <v>1551604072623692</v>
      </c>
      <c r="C1587" t="s">
        <v>40</v>
      </c>
      <c r="D1587">
        <v>3.9736440000000002</v>
      </c>
      <c r="E1587">
        <v>0.48276530000000001</v>
      </c>
      <c r="F1587" t="s">
        <v>63</v>
      </c>
      <c r="G1587">
        <v>-463.37119999999999</v>
      </c>
      <c r="H1587" s="1">
        <v>3.8137770000000001E-7</v>
      </c>
      <c r="I1587">
        <v>281.7756</v>
      </c>
      <c r="J1587">
        <v>-341.57600000000002</v>
      </c>
      <c r="K1587">
        <v>1.1213500000000001</v>
      </c>
      <c r="L1587">
        <v>285.06060000000002</v>
      </c>
      <c r="M1587">
        <v>-0.99984930000000005</v>
      </c>
      <c r="N1587">
        <v>-1.3279900000000001E-2</v>
      </c>
      <c r="O1587">
        <v>-1.1186120000000001E-2</v>
      </c>
      <c r="P1587">
        <v>-0.97751549999999998</v>
      </c>
      <c r="Q1587">
        <v>0.20826069999999999</v>
      </c>
      <c r="R1587">
        <v>3.3036389999999999E-2</v>
      </c>
      <c r="S1587">
        <v>-3.0777589999999999</v>
      </c>
      <c r="T1587">
        <v>-2.8261540000000002E-2</v>
      </c>
      <c r="U1587">
        <v>-8.2885739999999999E-2</v>
      </c>
      <c r="V1587">
        <v>4.3890810000000002E-2</v>
      </c>
      <c r="W1587">
        <v>0.2212334</v>
      </c>
      <c r="X1587">
        <v>0.97423269999999995</v>
      </c>
      <c r="Y1587">
        <v>-1.573453E-2</v>
      </c>
      <c r="Z1587">
        <v>-2.225812E-4</v>
      </c>
      <c r="AA1587">
        <v>0.99987619999999999</v>
      </c>
      <c r="AB1587">
        <v>33</v>
      </c>
      <c r="AC1587">
        <v>-121.79519999999999</v>
      </c>
      <c r="AD1587">
        <v>-1.1213496186223</v>
      </c>
      <c r="AE1587">
        <v>-3.2850000000000201</v>
      </c>
      <c r="AF1587">
        <v>-1.92209582251608</v>
      </c>
      <c r="AG1587">
        <v>-1.1213496186223</v>
      </c>
      <c r="AH1587">
        <v>121.814009806946</v>
      </c>
      <c r="AI1587">
        <v>90.527351409910196</v>
      </c>
      <c r="AJ1587">
        <v>90.903991587570104</v>
      </c>
      <c r="AK1587">
        <v>121.83433367719</v>
      </c>
      <c r="AL1587">
        <v>77.218512998027094</v>
      </c>
      <c r="AM1587">
        <v>87.420473692585503</v>
      </c>
      <c r="AN1587">
        <v>0.99999998711365201</v>
      </c>
    </row>
    <row r="1588" spans="1:40" x14ac:dyDescent="0.25">
      <c r="A1588" t="str">
        <f>"20190303170752658"</f>
        <v>20190303170752658</v>
      </c>
      <c r="B1588" t="str">
        <f>"1551604072653947"</f>
        <v>1551604072653947</v>
      </c>
      <c r="C1588" t="s">
        <v>40</v>
      </c>
      <c r="D1588">
        <v>3.9486669999999999</v>
      </c>
      <c r="E1588">
        <v>0.48330919999999999</v>
      </c>
      <c r="F1588" t="s">
        <v>71</v>
      </c>
      <c r="G1588">
        <v>-430.61099999999999</v>
      </c>
      <c r="H1588" s="1">
        <v>2.6361259999999999E-6</v>
      </c>
      <c r="I1588">
        <v>282.92110000000002</v>
      </c>
      <c r="J1588">
        <v>-341.92849999999999</v>
      </c>
      <c r="K1588">
        <v>1.121332</v>
      </c>
      <c r="L1588">
        <v>285.05650000000003</v>
      </c>
      <c r="M1588">
        <v>-0.99984890000000004</v>
      </c>
      <c r="N1588">
        <v>-1.314161E-2</v>
      </c>
      <c r="O1588">
        <v>-1.138578E-2</v>
      </c>
      <c r="P1588">
        <v>-0.97759289999999999</v>
      </c>
      <c r="Q1588">
        <v>0.2079135</v>
      </c>
      <c r="R1588">
        <v>3.2926860000000002E-2</v>
      </c>
      <c r="S1588">
        <v>-3.0797729999999999</v>
      </c>
      <c r="T1588">
        <v>-3.8788080000000003E-2</v>
      </c>
      <c r="U1588">
        <v>-7.4005130000000002E-2</v>
      </c>
      <c r="V1588">
        <v>4.3978360000000001E-2</v>
      </c>
      <c r="W1588">
        <v>0.22075259999999999</v>
      </c>
      <c r="X1588">
        <v>0.97433780000000003</v>
      </c>
      <c r="Y1588">
        <v>-1.26354E-2</v>
      </c>
      <c r="Z1588">
        <v>-1.6885650000000001E-4</v>
      </c>
      <c r="AA1588">
        <v>0.99992009999999998</v>
      </c>
      <c r="AB1588">
        <v>33</v>
      </c>
      <c r="AC1588">
        <v>-88.682500000000005</v>
      </c>
      <c r="AD1588">
        <v>-1.1213293638740001</v>
      </c>
      <c r="AE1588">
        <v>-2.1354000000000002</v>
      </c>
      <c r="AF1588">
        <v>-1.1252752008123299</v>
      </c>
      <c r="AG1588">
        <v>-1.1213293638740001</v>
      </c>
      <c r="AH1588">
        <v>88.686894965685397</v>
      </c>
      <c r="AI1588">
        <v>90.724333021372999</v>
      </c>
      <c r="AJ1588">
        <v>90.726940099716302</v>
      </c>
      <c r="AK1588">
        <v>88.701121540115693</v>
      </c>
      <c r="AL1588">
        <v>77.246759061111106</v>
      </c>
      <c r="AM1588">
        <v>87.4156136484076</v>
      </c>
      <c r="AN1588">
        <v>0.99999997753194403</v>
      </c>
    </row>
    <row r="1589" spans="1:40" x14ac:dyDescent="0.25">
      <c r="A1589" t="str">
        <f>"20190303170752681"</f>
        <v>20190303170752681</v>
      </c>
      <c r="B1589" t="str">
        <f>"1551604072674443"</f>
        <v>1551604072674443</v>
      </c>
      <c r="C1589" t="s">
        <v>40</v>
      </c>
      <c r="D1589">
        <v>3.959927</v>
      </c>
      <c r="E1589">
        <v>0.48374850000000003</v>
      </c>
      <c r="F1589" t="s">
        <v>71</v>
      </c>
      <c r="G1589">
        <v>-416.99450000000002</v>
      </c>
      <c r="H1589" s="1">
        <v>3.5582009999999999E-6</v>
      </c>
      <c r="I1589">
        <v>283.3381</v>
      </c>
      <c r="J1589">
        <v>-342.25940000000003</v>
      </c>
      <c r="K1589">
        <v>1.1213120000000001</v>
      </c>
      <c r="L1589">
        <v>285.05250000000001</v>
      </c>
      <c r="M1589">
        <v>-0.99984850000000003</v>
      </c>
      <c r="N1589">
        <v>-1.301249E-2</v>
      </c>
      <c r="O1589">
        <v>-1.156943E-2</v>
      </c>
      <c r="P1589">
        <v>-0.9774659</v>
      </c>
      <c r="Q1589">
        <v>0.20845720000000001</v>
      </c>
      <c r="R1589">
        <v>3.3259339999999998E-2</v>
      </c>
      <c r="S1589">
        <v>-3.0809329999999999</v>
      </c>
      <c r="T1589">
        <v>-4.6022649999999998E-2</v>
      </c>
      <c r="U1589">
        <v>-7.0526119999999998E-2</v>
      </c>
      <c r="V1589">
        <v>4.448916E-2</v>
      </c>
      <c r="W1589">
        <v>0.2211688</v>
      </c>
      <c r="X1589">
        <v>0.97422030000000004</v>
      </c>
      <c r="Y1589">
        <v>-1.131392E-2</v>
      </c>
      <c r="Z1589">
        <v>-1.3587690000000001E-4</v>
      </c>
      <c r="AA1589">
        <v>0.99993600000000005</v>
      </c>
      <c r="AB1589">
        <v>33</v>
      </c>
      <c r="AC1589">
        <v>-74.735099999999903</v>
      </c>
      <c r="AD1589">
        <v>-1.121308441799</v>
      </c>
      <c r="AE1589">
        <v>-1.7144000000000099</v>
      </c>
      <c r="AF1589">
        <v>-0.84937849957914302</v>
      </c>
      <c r="AG1589">
        <v>-1.121308441799</v>
      </c>
      <c r="AH1589">
        <v>74.733119021732904</v>
      </c>
      <c r="AI1589">
        <v>90.859555621979098</v>
      </c>
      <c r="AJ1589">
        <v>90.651166558769205</v>
      </c>
      <c r="AK1589">
        <v>74.746356802012002</v>
      </c>
      <c r="AL1589">
        <v>77.222309245962904</v>
      </c>
      <c r="AM1589">
        <v>87.3853230389998</v>
      </c>
      <c r="AN1589">
        <v>1.0000000581915101</v>
      </c>
    </row>
    <row r="1590" spans="1:40" x14ac:dyDescent="0.25">
      <c r="A1590" t="str">
        <f>"20190303170752703"</f>
        <v>20190303170752703</v>
      </c>
      <c r="B1590" t="str">
        <f>"1551604072693963"</f>
        <v>1551604072693963</v>
      </c>
      <c r="C1590" t="s">
        <v>40</v>
      </c>
      <c r="D1590">
        <v>3.95194</v>
      </c>
      <c r="E1590">
        <v>0.48416209999999998</v>
      </c>
      <c r="F1590" t="s">
        <v>71</v>
      </c>
      <c r="G1590">
        <v>-415.49329999999998</v>
      </c>
      <c r="H1590" s="1">
        <v>3.2792450000000001E-6</v>
      </c>
      <c r="I1590">
        <v>283.483</v>
      </c>
      <c r="J1590">
        <v>-342.59300000000002</v>
      </c>
      <c r="K1590">
        <v>1.1212899999999999</v>
      </c>
      <c r="L1590">
        <v>285.04849999999999</v>
      </c>
      <c r="M1590">
        <v>-0.99984799999999996</v>
      </c>
      <c r="N1590">
        <v>-1.287981E-2</v>
      </c>
      <c r="O1590">
        <v>-1.1752840000000001E-2</v>
      </c>
      <c r="P1590">
        <v>-0.97740830000000001</v>
      </c>
      <c r="Q1590">
        <v>0.20869190000000001</v>
      </c>
      <c r="R1590">
        <v>3.3480139999999999E-2</v>
      </c>
      <c r="S1590">
        <v>-3.0814819999999998</v>
      </c>
      <c r="T1590">
        <v>-4.7181609999999999E-2</v>
      </c>
      <c r="U1590">
        <v>-6.6040039999999994E-2</v>
      </c>
      <c r="V1590">
        <v>4.4888829999999998E-2</v>
      </c>
      <c r="W1590">
        <v>0.22127289999999999</v>
      </c>
      <c r="X1590">
        <v>0.97417830000000005</v>
      </c>
      <c r="Y1590">
        <v>-9.6716949999999993E-3</v>
      </c>
      <c r="Z1590">
        <v>-1.0778919999999999E-4</v>
      </c>
      <c r="AA1590">
        <v>0.99995319999999999</v>
      </c>
      <c r="AB1590">
        <v>33</v>
      </c>
      <c r="AC1590">
        <v>-72.900299999999902</v>
      </c>
      <c r="AD1590">
        <v>-1.1212867207549999</v>
      </c>
      <c r="AE1590">
        <v>-1.5654999999999799</v>
      </c>
      <c r="AF1590">
        <v>-0.70836773191821401</v>
      </c>
      <c r="AG1590">
        <v>-1.1212867207549999</v>
      </c>
      <c r="AH1590">
        <v>72.896426999692693</v>
      </c>
      <c r="AI1590">
        <v>90.8812077747193</v>
      </c>
      <c r="AJ1590">
        <v>90.5567516216135</v>
      </c>
      <c r="AK1590">
        <v>72.908491536139294</v>
      </c>
      <c r="AL1590">
        <v>77.216192879900703</v>
      </c>
      <c r="AM1590">
        <v>87.361753452161395</v>
      </c>
      <c r="AN1590">
        <v>1.0000000317620299</v>
      </c>
    </row>
    <row r="1591" spans="1:40" x14ac:dyDescent="0.25">
      <c r="A1591" t="str">
        <f>"20190303170752726"</f>
        <v>20190303170752726</v>
      </c>
      <c r="B1591" t="str">
        <f>"1551604072714459"</f>
        <v>1551604072714459</v>
      </c>
      <c r="C1591" t="s">
        <v>40</v>
      </c>
      <c r="D1591">
        <v>3.9222480000000002</v>
      </c>
      <c r="E1591">
        <v>0.48465069999999999</v>
      </c>
      <c r="F1591" t="s">
        <v>71</v>
      </c>
      <c r="G1591">
        <v>-415.32600000000002</v>
      </c>
      <c r="H1591" s="1">
        <v>3.2423050000000002E-6</v>
      </c>
      <c r="I1591">
        <v>283.56610000000001</v>
      </c>
      <c r="J1591">
        <v>-342.91969999999998</v>
      </c>
      <c r="K1591">
        <v>1.121267</v>
      </c>
      <c r="L1591">
        <v>285.0444</v>
      </c>
      <c r="M1591">
        <v>-0.99984779999999995</v>
      </c>
      <c r="N1591">
        <v>-1.274278E-2</v>
      </c>
      <c r="O1591">
        <v>-1.1932180000000001E-2</v>
      </c>
      <c r="P1591">
        <v>-0.97764549999999995</v>
      </c>
      <c r="Q1591">
        <v>0.20752319999999999</v>
      </c>
      <c r="R1591">
        <v>3.3821110000000001E-2</v>
      </c>
      <c r="S1591">
        <v>-3.0816349999999999</v>
      </c>
      <c r="T1591">
        <v>-4.7508000000000002E-2</v>
      </c>
      <c r="U1591">
        <v>-6.2805180000000002E-2</v>
      </c>
      <c r="V1591">
        <v>4.5408619999999997E-2</v>
      </c>
      <c r="W1591">
        <v>0.2199739</v>
      </c>
      <c r="X1591">
        <v>0.97444830000000004</v>
      </c>
      <c r="Y1591">
        <v>-8.4423390000000001E-3</v>
      </c>
      <c r="Z1591" s="1">
        <v>-8.69998E-5</v>
      </c>
      <c r="AA1591">
        <v>0.99996439999999998</v>
      </c>
      <c r="AB1591">
        <v>33</v>
      </c>
      <c r="AC1591">
        <v>-72.406299999999902</v>
      </c>
      <c r="AD1591">
        <v>-1.121263757695</v>
      </c>
      <c r="AE1591">
        <v>-1.47829999999999</v>
      </c>
      <c r="AF1591">
        <v>-0.614012563436102</v>
      </c>
      <c r="AG1591">
        <v>-1.121263757695</v>
      </c>
      <c r="AH1591">
        <v>72.401430083521404</v>
      </c>
      <c r="AI1591">
        <v>90.887223305633896</v>
      </c>
      <c r="AJ1591">
        <v>90.485894892386497</v>
      </c>
      <c r="AK1591">
        <v>72.4127151954781</v>
      </c>
      <c r="AL1591">
        <v>77.292499648386993</v>
      </c>
      <c r="AM1591">
        <v>87.331986191943599</v>
      </c>
      <c r="AN1591">
        <v>0.99999997441220101</v>
      </c>
    </row>
    <row r="1592" spans="1:40" x14ac:dyDescent="0.25">
      <c r="A1592" t="str">
        <f>"20190303170752747"</f>
        <v>20190303170752747</v>
      </c>
      <c r="B1592" t="str">
        <f>"1551604072733979"</f>
        <v>1551604072733979</v>
      </c>
      <c r="C1592" t="s">
        <v>40</v>
      </c>
      <c r="D1592">
        <v>3.9215580000000001</v>
      </c>
      <c r="E1592">
        <v>0.48480109999999899</v>
      </c>
      <c r="F1592" t="s">
        <v>71</v>
      </c>
      <c r="G1592">
        <v>-409.10050000000001</v>
      </c>
      <c r="H1592" s="1">
        <v>4.5375549999999998E-6</v>
      </c>
      <c r="I1592">
        <v>283.78870000000001</v>
      </c>
      <c r="J1592">
        <v>-343.2364</v>
      </c>
      <c r="K1592">
        <v>1.121238</v>
      </c>
      <c r="L1592">
        <v>285.04050000000001</v>
      </c>
      <c r="M1592">
        <v>-0.99984740000000005</v>
      </c>
      <c r="N1592">
        <v>-1.2597290000000001E-2</v>
      </c>
      <c r="O1592">
        <v>-1.21061E-2</v>
      </c>
      <c r="P1592">
        <v>-0.9778249</v>
      </c>
      <c r="Q1592">
        <v>0.20667099999999999</v>
      </c>
      <c r="R1592">
        <v>3.3846800000000003E-2</v>
      </c>
      <c r="S1592">
        <v>-3.0816650000000001</v>
      </c>
      <c r="T1592">
        <v>-5.2210810000000003E-2</v>
      </c>
      <c r="U1592">
        <v>-5.8471679999999998E-2</v>
      </c>
      <c r="V1592">
        <v>4.5607010000000003E-2</v>
      </c>
      <c r="W1592">
        <v>0.21898210000000001</v>
      </c>
      <c r="X1592">
        <v>0.97466240000000004</v>
      </c>
      <c r="Y1592">
        <v>-6.8627599999999999E-3</v>
      </c>
      <c r="Z1592" s="1">
        <v>-4.8800739999999998E-5</v>
      </c>
      <c r="AA1592">
        <v>0.99997650000000005</v>
      </c>
      <c r="AB1592">
        <v>33</v>
      </c>
      <c r="AC1592">
        <v>-65.864099999999993</v>
      </c>
      <c r="AD1592">
        <v>-1.121233462445</v>
      </c>
      <c r="AE1592">
        <v>-1.2518</v>
      </c>
      <c r="AF1592">
        <v>-0.45415605932694703</v>
      </c>
      <c r="AG1592">
        <v>-1.121233462445</v>
      </c>
      <c r="AH1592">
        <v>65.855350409225395</v>
      </c>
      <c r="AI1592">
        <v>90.975383342926193</v>
      </c>
      <c r="AJ1592">
        <v>90.395120711980098</v>
      </c>
      <c r="AK1592">
        <v>65.8664603552172</v>
      </c>
      <c r="AL1592">
        <v>77.350745826283898</v>
      </c>
      <c r="AM1592">
        <v>87.320934378870604</v>
      </c>
      <c r="AN1592">
        <v>0.99999997672765395</v>
      </c>
    </row>
    <row r="1593" spans="1:40" x14ac:dyDescent="0.25">
      <c r="A1593" t="str">
        <f>"20190303170752771"</f>
        <v>20190303170752771</v>
      </c>
      <c r="B1593" t="str">
        <f>"1551604072764235"</f>
        <v>1551604072764235</v>
      </c>
      <c r="C1593" t="s">
        <v>40</v>
      </c>
      <c r="D1593">
        <v>3.923527</v>
      </c>
      <c r="E1593">
        <v>0.48523260000000001</v>
      </c>
      <c r="F1593" t="s">
        <v>71</v>
      </c>
      <c r="G1593">
        <v>-406.05410000000001</v>
      </c>
      <c r="H1593" s="1">
        <v>5.8708730000000003E-6</v>
      </c>
      <c r="I1593">
        <v>283.8741</v>
      </c>
      <c r="J1593">
        <v>-343.58699999999999</v>
      </c>
      <c r="K1593">
        <v>1.1212150000000001</v>
      </c>
      <c r="L1593">
        <v>285.03609999999998</v>
      </c>
      <c r="M1593">
        <v>-0.99984729999999999</v>
      </c>
      <c r="N1593">
        <v>-1.2422310000000001E-2</v>
      </c>
      <c r="O1593">
        <v>-1.2299060000000001E-2</v>
      </c>
      <c r="P1593">
        <v>-0.97780160000000005</v>
      </c>
      <c r="Q1593">
        <v>0.20675979999999999</v>
      </c>
      <c r="R1593">
        <v>3.3981440000000002E-2</v>
      </c>
      <c r="S1593">
        <v>-3.0816349999999999</v>
      </c>
      <c r="T1593">
        <v>-5.5003999999999997E-2</v>
      </c>
      <c r="U1593">
        <v>-5.7220460000000001E-2</v>
      </c>
      <c r="V1593">
        <v>4.5929909999999997E-2</v>
      </c>
      <c r="W1593">
        <v>0.21890019999999999</v>
      </c>
      <c r="X1593">
        <v>0.97466560000000002</v>
      </c>
      <c r="Y1593">
        <v>-6.2642150000000001E-3</v>
      </c>
      <c r="Z1593" s="1">
        <v>-2.8114080000000001E-5</v>
      </c>
      <c r="AA1593">
        <v>0.99998039999999999</v>
      </c>
      <c r="AB1593">
        <v>33</v>
      </c>
      <c r="AC1593">
        <v>-62.467100000000002</v>
      </c>
      <c r="AD1593">
        <v>-1.1212091291269899</v>
      </c>
      <c r="AE1593">
        <v>-1.1619999999999699</v>
      </c>
      <c r="AF1593">
        <v>-0.39343957271287999</v>
      </c>
      <c r="AG1593">
        <v>-1.1212091291269899</v>
      </c>
      <c r="AH1593">
        <v>62.456553106276999</v>
      </c>
      <c r="AI1593">
        <v>91.028432952679907</v>
      </c>
      <c r="AJ1593">
        <v>90.360924958474001</v>
      </c>
      <c r="AK1593">
        <v>62.467855177889803</v>
      </c>
      <c r="AL1593">
        <v>77.355554597934301</v>
      </c>
      <c r="AM1593">
        <v>87.302003228739494</v>
      </c>
      <c r="AN1593">
        <v>0.99999994300800199</v>
      </c>
    </row>
    <row r="1594" spans="1:40" x14ac:dyDescent="0.25">
      <c r="A1594" t="str">
        <f>"20190303170752792"</f>
        <v>20190303170752792</v>
      </c>
      <c r="B1594" t="str">
        <f>"1551604072783755"</f>
        <v>1551604072783755</v>
      </c>
      <c r="C1594" t="s">
        <v>40</v>
      </c>
      <c r="D1594">
        <v>3.9220959999999998</v>
      </c>
      <c r="E1594">
        <v>0.48541529999999999</v>
      </c>
      <c r="F1594" t="s">
        <v>71</v>
      </c>
      <c r="G1594">
        <v>-406.83870000000002</v>
      </c>
      <c r="H1594" s="1">
        <v>5.5076609999999998E-6</v>
      </c>
      <c r="I1594">
        <v>283.94799999999998</v>
      </c>
      <c r="J1594">
        <v>-343.91129999999998</v>
      </c>
      <c r="K1594">
        <v>1.1211979999999999</v>
      </c>
      <c r="L1594">
        <v>285.03190000000001</v>
      </c>
      <c r="M1594">
        <v>-0.99984709999999999</v>
      </c>
      <c r="N1594">
        <v>-1.2256700000000001E-2</v>
      </c>
      <c r="O1594">
        <v>-1.24785E-2</v>
      </c>
      <c r="P1594">
        <v>-0.97764130000000005</v>
      </c>
      <c r="Q1594">
        <v>0.20742150000000001</v>
      </c>
      <c r="R1594">
        <v>3.4556490000000002E-2</v>
      </c>
      <c r="S1594">
        <v>-3.081512</v>
      </c>
      <c r="T1594">
        <v>-5.4623369999999997E-2</v>
      </c>
      <c r="U1594">
        <v>-5.3009029999999999E-2</v>
      </c>
      <c r="V1594">
        <v>4.6678160000000003E-2</v>
      </c>
      <c r="W1594">
        <v>0.2193985</v>
      </c>
      <c r="X1594">
        <v>0.97451810000000005</v>
      </c>
      <c r="Y1594">
        <v>-4.7197410000000004E-3</v>
      </c>
      <c r="Z1594" s="1">
        <v>-2.5475289999999999E-6</v>
      </c>
      <c r="AA1594">
        <v>0.99998889999999996</v>
      </c>
      <c r="AB1594">
        <v>33</v>
      </c>
      <c r="AC1594">
        <v>-62.927399999999999</v>
      </c>
      <c r="AD1594">
        <v>-1.121192492339</v>
      </c>
      <c r="AE1594">
        <v>-1.0839000000000201</v>
      </c>
      <c r="AF1594">
        <v>-0.29842240263229303</v>
      </c>
      <c r="AG1594">
        <v>-1.121192492339</v>
      </c>
      <c r="AH1594">
        <v>62.916059199195402</v>
      </c>
      <c r="AI1594">
        <v>91.020917034642693</v>
      </c>
      <c r="AJ1594">
        <v>90.271762347759307</v>
      </c>
      <c r="AK1594">
        <v>62.926756103361399</v>
      </c>
      <c r="AL1594">
        <v>77.326294040694606</v>
      </c>
      <c r="AM1594">
        <v>87.257701988901303</v>
      </c>
      <c r="AN1594">
        <v>1.0000000398254201</v>
      </c>
    </row>
    <row r="1595" spans="1:40" x14ac:dyDescent="0.25">
      <c r="A1595" t="str">
        <f>"20190303170752825"</f>
        <v>20190303170752825</v>
      </c>
      <c r="B1595" t="str">
        <f>"1551604072814011"</f>
        <v>1551604072814011</v>
      </c>
      <c r="C1595" t="s">
        <v>40</v>
      </c>
      <c r="D1595">
        <v>3.9148489999999998</v>
      </c>
      <c r="E1595">
        <v>0.48524699999999998</v>
      </c>
      <c r="F1595" t="s">
        <v>71</v>
      </c>
      <c r="G1595">
        <v>-409.8888</v>
      </c>
      <c r="H1595" s="1">
        <v>4.1503830000000003E-6</v>
      </c>
      <c r="I1595">
        <v>283.97070000000002</v>
      </c>
      <c r="J1595">
        <v>-344.4015</v>
      </c>
      <c r="K1595">
        <v>1.1211690000000001</v>
      </c>
      <c r="L1595">
        <v>285.02550000000002</v>
      </c>
      <c r="M1595">
        <v>-0.99984649999999997</v>
      </c>
      <c r="N1595">
        <v>-1.2018940000000001E-2</v>
      </c>
      <c r="O1595">
        <v>-1.274895E-2</v>
      </c>
      <c r="P1595">
        <v>-0.97751399999999999</v>
      </c>
      <c r="Q1595">
        <v>0.20794650000000001</v>
      </c>
      <c r="R1595">
        <v>3.4999189999999999E-2</v>
      </c>
      <c r="S1595">
        <v>-3.0814819999999998</v>
      </c>
      <c r="T1595">
        <v>-5.2365420000000003E-2</v>
      </c>
      <c r="U1595">
        <v>-4.9560550000000002E-2</v>
      </c>
      <c r="V1595">
        <v>4.7382849999999997E-2</v>
      </c>
      <c r="W1595">
        <v>0.21969069999999999</v>
      </c>
      <c r="X1595">
        <v>0.97441820000000001</v>
      </c>
      <c r="Y1595">
        <v>-3.3310739999999998E-3</v>
      </c>
      <c r="Z1595" s="1">
        <v>1.506037E-5</v>
      </c>
      <c r="AA1595">
        <v>0.99999450000000001</v>
      </c>
      <c r="AB1595">
        <v>33</v>
      </c>
      <c r="AC1595">
        <v>-65.487300000000005</v>
      </c>
      <c r="AD1595">
        <v>-1.1211648496169999</v>
      </c>
      <c r="AE1595">
        <v>-1.0548</v>
      </c>
      <c r="AF1595">
        <v>-0.21969526924798699</v>
      </c>
      <c r="AG1595">
        <v>-1.1211648496169999</v>
      </c>
      <c r="AH1595">
        <v>65.476239061758903</v>
      </c>
      <c r="AI1595">
        <v>90.980987549754403</v>
      </c>
      <c r="AJ1595">
        <v>90.192246296505402</v>
      </c>
      <c r="AK1595">
        <v>65.486205862791806</v>
      </c>
      <c r="AL1595">
        <v>77.309132811521494</v>
      </c>
      <c r="AM1595">
        <v>87.216081809341304</v>
      </c>
      <c r="AN1595">
        <v>0.99999998331592599</v>
      </c>
    </row>
    <row r="1596" spans="1:40" x14ac:dyDescent="0.25">
      <c r="A1596" t="str">
        <f>"20190303170752848"</f>
        <v>20190303170752848</v>
      </c>
      <c r="B1596" t="str">
        <f>"1551604072834507"</f>
        <v>1551604072834507</v>
      </c>
      <c r="C1596" t="s">
        <v>40</v>
      </c>
      <c r="D1596">
        <v>3.9219539999999999</v>
      </c>
      <c r="E1596">
        <v>0.48521760000000003</v>
      </c>
      <c r="F1596" t="s">
        <v>71</v>
      </c>
      <c r="G1596">
        <v>-412.19659999999999</v>
      </c>
      <c r="H1596" s="1">
        <v>2.6562340000000002E-6</v>
      </c>
      <c r="I1596">
        <v>283.92039999999997</v>
      </c>
      <c r="J1596">
        <v>-344.72809999999998</v>
      </c>
      <c r="K1596">
        <v>1.1211549999999999</v>
      </c>
      <c r="L1596">
        <v>285.02109999999999</v>
      </c>
      <c r="M1596">
        <v>-0.99984600000000001</v>
      </c>
      <c r="N1596">
        <v>-1.186711E-2</v>
      </c>
      <c r="O1596">
        <v>-1.2929349999999999E-2</v>
      </c>
      <c r="P1596">
        <v>-0.97741210000000001</v>
      </c>
      <c r="Q1596">
        <v>0.20827799999999999</v>
      </c>
      <c r="R1596">
        <v>3.586077E-2</v>
      </c>
      <c r="S1596">
        <v>-3.0816650000000001</v>
      </c>
      <c r="T1596">
        <v>-5.096328E-2</v>
      </c>
      <c r="U1596">
        <v>-5.0231930000000001E-2</v>
      </c>
      <c r="V1596">
        <v>4.8418849999999999E-2</v>
      </c>
      <c r="W1596">
        <v>0.21987300000000001</v>
      </c>
      <c r="X1596">
        <v>0.97432620000000003</v>
      </c>
      <c r="Y1596">
        <v>-3.3675350000000001E-3</v>
      </c>
      <c r="Z1596" s="1">
        <v>1.2520249999999999E-5</v>
      </c>
      <c r="AA1596">
        <v>0.9999943</v>
      </c>
      <c r="AB1596">
        <v>33</v>
      </c>
      <c r="AC1596">
        <v>-67.468500000000006</v>
      </c>
      <c r="AD1596">
        <v>-1.12115234376599</v>
      </c>
      <c r="AE1596">
        <v>-1.10070000000001</v>
      </c>
      <c r="AF1596">
        <v>-0.22815972315777699</v>
      </c>
      <c r="AG1596">
        <v>-1.12115234376599</v>
      </c>
      <c r="AH1596">
        <v>67.458469085571593</v>
      </c>
      <c r="AI1596">
        <v>90.952156452209096</v>
      </c>
      <c r="AJ1596">
        <v>90.193786481099096</v>
      </c>
      <c r="AK1596">
        <v>67.468170946055906</v>
      </c>
      <c r="AL1596">
        <v>77.298426635174707</v>
      </c>
      <c r="AM1596">
        <v>87.155043713645</v>
      </c>
      <c r="AN1596">
        <v>1.0000000325853799</v>
      </c>
    </row>
    <row r="1597" spans="1:40" x14ac:dyDescent="0.25">
      <c r="A1597" t="str">
        <f>"20190303170752871"</f>
        <v>20190303170752871</v>
      </c>
      <c r="B1597" t="str">
        <f>"1551604072863787"</f>
        <v>1551604072863787</v>
      </c>
      <c r="C1597" t="s">
        <v>40</v>
      </c>
      <c r="D1597">
        <v>3.918774</v>
      </c>
      <c r="E1597">
        <v>0.4850621</v>
      </c>
      <c r="F1597" t="s">
        <v>71</v>
      </c>
      <c r="G1597">
        <v>-415.65440000000001</v>
      </c>
      <c r="H1597" s="1">
        <v>3.2718550000000002E-6</v>
      </c>
      <c r="I1597">
        <v>283.89440000000002</v>
      </c>
      <c r="J1597">
        <v>-345.08249999999998</v>
      </c>
      <c r="K1597">
        <v>1.121138</v>
      </c>
      <c r="L1597">
        <v>285.01639999999998</v>
      </c>
      <c r="M1597">
        <v>-0.99984530000000005</v>
      </c>
      <c r="N1597">
        <v>-1.170681E-2</v>
      </c>
      <c r="O1597">
        <v>-1.3125100000000001E-2</v>
      </c>
      <c r="P1597">
        <v>-0.9773328</v>
      </c>
      <c r="Q1597">
        <v>0.20847299999999999</v>
      </c>
      <c r="R1597">
        <v>3.6874459999999998E-2</v>
      </c>
      <c r="S1597">
        <v>-3.081512</v>
      </c>
      <c r="T1597">
        <v>-4.8710349999999999E-2</v>
      </c>
      <c r="U1597">
        <v>-4.8950199999999902E-2</v>
      </c>
      <c r="V1597">
        <v>4.9621909999999998E-2</v>
      </c>
      <c r="W1597">
        <v>0.21991069999999999</v>
      </c>
      <c r="X1597">
        <v>0.97425709999999999</v>
      </c>
      <c r="Y1597">
        <v>-2.7569180000000001E-3</v>
      </c>
      <c r="Z1597" s="1">
        <v>1.585519E-5</v>
      </c>
      <c r="AA1597">
        <v>0.9999962</v>
      </c>
      <c r="AB1597">
        <v>33</v>
      </c>
      <c r="AC1597">
        <v>-70.571899999999999</v>
      </c>
      <c r="AD1597">
        <v>-1.1211347281449999</v>
      </c>
      <c r="AE1597">
        <v>-1.1219999999999499</v>
      </c>
      <c r="AF1597">
        <v>-0.195527255545346</v>
      </c>
      <c r="AG1597">
        <v>-1.1211347281449999</v>
      </c>
      <c r="AH1597">
        <v>70.562743623388002</v>
      </c>
      <c r="AI1597">
        <v>90.910262750703794</v>
      </c>
      <c r="AJ1597">
        <v>90.158764487808099</v>
      </c>
      <c r="AK1597">
        <v>70.571920489995904</v>
      </c>
      <c r="AL1597">
        <v>77.296211624766897</v>
      </c>
      <c r="AM1597">
        <v>87.084269327984302</v>
      </c>
      <c r="AN1597">
        <v>0.99999997341347302</v>
      </c>
    </row>
    <row r="1598" spans="1:40" x14ac:dyDescent="0.25">
      <c r="A1598" t="str">
        <f>"20190303170752894"</f>
        <v>20190303170752894</v>
      </c>
      <c r="B1598" t="str">
        <f>"1551604072884283"</f>
        <v>1551604072884283</v>
      </c>
      <c r="C1598" t="s">
        <v>40</v>
      </c>
      <c r="D1598">
        <v>3.9222869999999999</v>
      </c>
      <c r="E1598">
        <v>0.48503960000000002</v>
      </c>
      <c r="F1598" t="s">
        <v>71</v>
      </c>
      <c r="G1598">
        <v>-418.07740000000001</v>
      </c>
      <c r="H1598" s="1">
        <v>3.70153E-6</v>
      </c>
      <c r="I1598">
        <v>283.89580000000001</v>
      </c>
      <c r="J1598">
        <v>-345.41730000000001</v>
      </c>
      <c r="K1598">
        <v>1.1211230000000001</v>
      </c>
      <c r="L1598">
        <v>285.01179999999999</v>
      </c>
      <c r="M1598">
        <v>-0.99984459999999997</v>
      </c>
      <c r="N1598">
        <v>-1.1565509999999999E-2</v>
      </c>
      <c r="O1598">
        <v>-1.330952E-2</v>
      </c>
      <c r="P1598">
        <v>-0.97757850000000002</v>
      </c>
      <c r="Q1598">
        <v>0.20714460000000001</v>
      </c>
      <c r="R1598">
        <v>3.7833119999999998E-2</v>
      </c>
      <c r="S1598">
        <v>-3.0814819999999998</v>
      </c>
      <c r="T1598">
        <v>-4.7328710000000003E-2</v>
      </c>
      <c r="U1598">
        <v>-4.7302249999999997E-2</v>
      </c>
      <c r="V1598">
        <v>5.0763839999999998E-2</v>
      </c>
      <c r="W1598">
        <v>0.21844839999999999</v>
      </c>
      <c r="X1598">
        <v>0.97452720000000004</v>
      </c>
      <c r="Y1598">
        <v>-2.038148E-3</v>
      </c>
      <c r="Z1598" s="1">
        <v>2.301695E-5</v>
      </c>
      <c r="AA1598">
        <v>0.9999979</v>
      </c>
      <c r="AB1598">
        <v>33</v>
      </c>
      <c r="AC1598">
        <v>-72.6601</v>
      </c>
      <c r="AD1598">
        <v>-1.12111929846999</v>
      </c>
      <c r="AE1598">
        <v>-1.1159999999999799</v>
      </c>
      <c r="AF1598">
        <v>-0.14873005934730399</v>
      </c>
      <c r="AG1598">
        <v>-1.12111929846999</v>
      </c>
      <c r="AH1598">
        <v>72.651225369096494</v>
      </c>
      <c r="AI1598">
        <v>90.884089306531607</v>
      </c>
      <c r="AJ1598">
        <v>90.117294549947999</v>
      </c>
      <c r="AK1598">
        <v>72.660027365417406</v>
      </c>
      <c r="AL1598">
        <v>77.382083183404603</v>
      </c>
      <c r="AM1598">
        <v>87.018115733298501</v>
      </c>
      <c r="AN1598">
        <v>0.99999996722697204</v>
      </c>
    </row>
    <row r="1599" spans="1:40" x14ac:dyDescent="0.25">
      <c r="A1599" t="str">
        <f>"20190303170752916"</f>
        <v>20190303170752916</v>
      </c>
      <c r="B1599" t="str">
        <f>"1551604072903803"</f>
        <v>1551604072903803</v>
      </c>
      <c r="C1599" t="s">
        <v>40</v>
      </c>
      <c r="D1599">
        <v>3.9205489999999998</v>
      </c>
      <c r="E1599">
        <v>0.4849617</v>
      </c>
      <c r="F1599" t="s">
        <v>71</v>
      </c>
      <c r="G1599">
        <v>-413.08269999999999</v>
      </c>
      <c r="H1599" s="1">
        <v>2.8038900000000001E-6</v>
      </c>
      <c r="I1599">
        <v>284.02929999999998</v>
      </c>
      <c r="J1599">
        <v>-345.74310000000003</v>
      </c>
      <c r="K1599">
        <v>1.121097</v>
      </c>
      <c r="L1599">
        <v>285.00729999999999</v>
      </c>
      <c r="M1599">
        <v>-0.9998437</v>
      </c>
      <c r="N1599">
        <v>-1.1440560000000001E-2</v>
      </c>
      <c r="O1599">
        <v>-1.348952E-2</v>
      </c>
      <c r="P1599">
        <v>-0.97790089999999996</v>
      </c>
      <c r="Q1599">
        <v>0.20550769999999999</v>
      </c>
      <c r="R1599">
        <v>3.8432309999999997E-2</v>
      </c>
      <c r="S1599">
        <v>-3.0813600000000001</v>
      </c>
      <c r="T1599">
        <v>-5.1053759999999997E-2</v>
      </c>
      <c r="U1599">
        <v>-4.4738769999999997E-2</v>
      </c>
      <c r="V1599">
        <v>5.154359E-2</v>
      </c>
      <c r="W1599">
        <v>0.21669340000000001</v>
      </c>
      <c r="X1599">
        <v>0.97487809999999997</v>
      </c>
      <c r="Y1599">
        <v>-1.0272759999999999E-3</v>
      </c>
      <c r="Z1599" s="1">
        <v>5.474928E-5</v>
      </c>
      <c r="AA1599">
        <v>0.99999950000000004</v>
      </c>
      <c r="AB1599">
        <v>33</v>
      </c>
      <c r="AC1599">
        <v>-67.339599999999905</v>
      </c>
      <c r="AD1599">
        <v>-1.1210941961100001</v>
      </c>
      <c r="AE1599">
        <v>-0.97800000000000797</v>
      </c>
      <c r="AF1599">
        <v>-6.9453548378168306E-2</v>
      </c>
      <c r="AG1599">
        <v>-1.1210941961100001</v>
      </c>
      <c r="AH1599">
        <v>67.328008499011403</v>
      </c>
      <c r="AI1599">
        <v>90.953956570942495</v>
      </c>
      <c r="AJ1599">
        <v>90.059104581755093</v>
      </c>
      <c r="AK1599">
        <v>67.337377469239897</v>
      </c>
      <c r="AL1599">
        <v>77.4851061710512</v>
      </c>
      <c r="AM1599">
        <v>86.973485275310296</v>
      </c>
      <c r="AN1599">
        <v>1.0000000405666201</v>
      </c>
    </row>
    <row r="1600" spans="1:40" x14ac:dyDescent="0.25">
      <c r="A1600" t="str">
        <f>"20190303170752938"</f>
        <v>20190303170752938</v>
      </c>
      <c r="B1600" t="str">
        <f>"1551604072924300"</f>
        <v>1551604072924300</v>
      </c>
      <c r="C1600" t="s">
        <v>40</v>
      </c>
      <c r="D1600">
        <v>3.9632809999999998</v>
      </c>
      <c r="E1600">
        <v>0.48486980000000002</v>
      </c>
      <c r="F1600" t="s">
        <v>71</v>
      </c>
      <c r="G1600">
        <v>-407.77690000000001</v>
      </c>
      <c r="H1600" s="1">
        <v>5.0545209999999996E-6</v>
      </c>
      <c r="I1600">
        <v>284.12740000000002</v>
      </c>
      <c r="J1600">
        <v>-346.08199999999999</v>
      </c>
      <c r="K1600">
        <v>1.1210830000000001</v>
      </c>
      <c r="L1600">
        <v>285.0025</v>
      </c>
      <c r="M1600">
        <v>-0.99984240000000002</v>
      </c>
      <c r="N1600">
        <v>-1.1324290000000001E-2</v>
      </c>
      <c r="O1600">
        <v>-1.3676839999999999E-2</v>
      </c>
      <c r="P1600">
        <v>-0.97812359999999998</v>
      </c>
      <c r="Q1600">
        <v>0.20444519999999999</v>
      </c>
      <c r="R1600">
        <v>3.8427900000000001E-2</v>
      </c>
      <c r="S1600">
        <v>-3.0811769999999998</v>
      </c>
      <c r="T1600">
        <v>-5.568385E-2</v>
      </c>
      <c r="U1600">
        <v>-4.3701169999999998E-2</v>
      </c>
      <c r="V1600">
        <v>5.1725149999999998E-2</v>
      </c>
      <c r="W1600">
        <v>0.21552009999999999</v>
      </c>
      <c r="X1600">
        <v>0.97512849999999995</v>
      </c>
      <c r="Y1600">
        <v>-5.043561E-4</v>
      </c>
      <c r="Z1600" s="1">
        <v>8.4833679999999999E-5</v>
      </c>
      <c r="AA1600">
        <v>0.99999990000000005</v>
      </c>
      <c r="AB1600">
        <v>33</v>
      </c>
      <c r="AC1600">
        <v>-61.694899999999997</v>
      </c>
      <c r="AD1600">
        <v>-1.1210779454790001</v>
      </c>
      <c r="AE1600">
        <v>-0.87509999999997401</v>
      </c>
      <c r="AF1600">
        <v>-3.11625174064088E-2</v>
      </c>
      <c r="AG1600">
        <v>-1.1210779454790001</v>
      </c>
      <c r="AH1600">
        <v>61.680735465702703</v>
      </c>
      <c r="AI1600">
        <v>91.041264414312195</v>
      </c>
      <c r="AJ1600">
        <v>90.028947134968305</v>
      </c>
      <c r="AK1600">
        <v>61.690930568863401</v>
      </c>
      <c r="AL1600">
        <v>77.553957767354802</v>
      </c>
      <c r="AM1600">
        <v>86.963622877697006</v>
      </c>
      <c r="AN1600">
        <v>0.99999999807939099</v>
      </c>
    </row>
    <row r="1601" spans="1:40" x14ac:dyDescent="0.25">
      <c r="A1601" t="str">
        <f>"20190303170752960"</f>
        <v>20190303170752960</v>
      </c>
      <c r="B1601" t="str">
        <f>"1551604072954556"</f>
        <v>1551604072954556</v>
      </c>
      <c r="C1601" t="s">
        <v>40</v>
      </c>
      <c r="D1601">
        <v>3.9168810000000001</v>
      </c>
      <c r="E1601">
        <v>0.4847303</v>
      </c>
      <c r="F1601" t="s">
        <v>71</v>
      </c>
      <c r="G1601">
        <v>-404.7878</v>
      </c>
      <c r="H1601" s="1">
        <v>6.3727809999999999E-6</v>
      </c>
      <c r="I1601">
        <v>284.16289999999998</v>
      </c>
      <c r="J1601">
        <v>-346.41539999999998</v>
      </c>
      <c r="K1601">
        <v>1.121086</v>
      </c>
      <c r="L1601">
        <v>284.99779999999998</v>
      </c>
      <c r="M1601">
        <v>-0.99984099999999998</v>
      </c>
      <c r="N1601">
        <v>-1.122273E-2</v>
      </c>
      <c r="O1601">
        <v>-1.3860559999999999E-2</v>
      </c>
      <c r="P1601">
        <v>-0.97761290000000001</v>
      </c>
      <c r="Q1601">
        <v>0.2068921</v>
      </c>
      <c r="R1601">
        <v>3.8329269999999999E-2</v>
      </c>
      <c r="S1601">
        <v>-3.0811459999999999</v>
      </c>
      <c r="T1601">
        <v>-5.8839200000000001E-2</v>
      </c>
      <c r="U1601">
        <v>-4.4067380000000003E-2</v>
      </c>
      <c r="V1601">
        <v>5.179802E-2</v>
      </c>
      <c r="W1601">
        <v>0.2178621</v>
      </c>
      <c r="X1601">
        <v>0.97460409999999997</v>
      </c>
      <c r="Y1601">
        <v>-4.3972020000000001E-4</v>
      </c>
      <c r="Z1601">
        <v>1.0242E-4</v>
      </c>
      <c r="AA1601">
        <v>0.99999990000000005</v>
      </c>
      <c r="AB1601">
        <v>33</v>
      </c>
      <c r="AC1601">
        <v>-58.372399999999999</v>
      </c>
      <c r="AD1601">
        <v>-1.121079627219</v>
      </c>
      <c r="AE1601">
        <v>-0.83490000000000397</v>
      </c>
      <c r="AF1601">
        <v>-2.56852431307385E-2</v>
      </c>
      <c r="AG1601">
        <v>-1.121079627219</v>
      </c>
      <c r="AH1601">
        <v>58.3568439068519</v>
      </c>
      <c r="AI1601">
        <v>91.100560286458105</v>
      </c>
      <c r="AJ1601">
        <v>90.025218223495301</v>
      </c>
      <c r="AK1601">
        <v>58.367616963783597</v>
      </c>
      <c r="AL1601">
        <v>77.416505715101593</v>
      </c>
      <c r="AM1601">
        <v>86.957720282043894</v>
      </c>
      <c r="AN1601">
        <v>1.0000000406145599</v>
      </c>
    </row>
    <row r="1602" spans="1:40" x14ac:dyDescent="0.25">
      <c r="A1602" t="str">
        <f>"20190303170752982"</f>
        <v>20190303170752982</v>
      </c>
      <c r="B1602" t="str">
        <f>"1551604072974078"</f>
        <v>1551604072974078</v>
      </c>
      <c r="C1602" t="s">
        <v>40</v>
      </c>
      <c r="D1602">
        <v>3.9401359999999999</v>
      </c>
      <c r="E1602">
        <v>0.46155689999999999</v>
      </c>
      <c r="F1602" t="s">
        <v>71</v>
      </c>
      <c r="G1602">
        <v>-414.38049999999998</v>
      </c>
      <c r="H1602" s="1">
        <v>3.036696E-6</v>
      </c>
      <c r="I1602">
        <v>283.99950000000001</v>
      </c>
      <c r="J1602">
        <v>-346.74689999999998</v>
      </c>
      <c r="K1602">
        <v>1.121081</v>
      </c>
      <c r="L1602">
        <v>284.99299999999999</v>
      </c>
      <c r="M1602">
        <v>-0.99983940000000004</v>
      </c>
      <c r="N1602">
        <v>-1.1133519999999999E-2</v>
      </c>
      <c r="O1602">
        <v>-1.404148E-2</v>
      </c>
      <c r="P1602">
        <v>-0.97729650000000001</v>
      </c>
      <c r="Q1602">
        <v>0.2084085</v>
      </c>
      <c r="R1602">
        <v>3.8178320000000002E-2</v>
      </c>
      <c r="S1602">
        <v>-3.0812680000000001</v>
      </c>
      <c r="T1602">
        <v>-5.0825479999999999E-2</v>
      </c>
      <c r="U1602">
        <v>-4.5257569999999997E-2</v>
      </c>
      <c r="V1602">
        <v>5.1818999999999997E-2</v>
      </c>
      <c r="W1602">
        <v>0.2192878</v>
      </c>
      <c r="X1602">
        <v>0.97428320000000002</v>
      </c>
      <c r="Y1602">
        <v>-6.4415849999999999E-4</v>
      </c>
      <c r="Z1602" s="1">
        <v>6.6343579999999998E-5</v>
      </c>
      <c r="AA1602">
        <v>0.99999979999999999</v>
      </c>
      <c r="AB1602">
        <v>33</v>
      </c>
      <c r="AC1602">
        <v>-67.633600000000001</v>
      </c>
      <c r="AD1602">
        <v>-1.121077963304</v>
      </c>
      <c r="AE1602">
        <v>-0.99349999999998295</v>
      </c>
      <c r="AF1602">
        <v>-4.3655317912976499E-2</v>
      </c>
      <c r="AG1602">
        <v>-1.121077963304</v>
      </c>
      <c r="AH1602">
        <v>67.622306890349407</v>
      </c>
      <c r="AI1602">
        <v>90.949792185202497</v>
      </c>
      <c r="AJ1602">
        <v>90.036988757663707</v>
      </c>
      <c r="AK1602">
        <v>67.631613249716196</v>
      </c>
      <c r="AL1602">
        <v>77.3327951385087</v>
      </c>
      <c r="AM1602">
        <v>86.955489812828105</v>
      </c>
      <c r="AN1602">
        <v>1.0000000508960301</v>
      </c>
    </row>
    <row r="1603" spans="1:40" x14ac:dyDescent="0.25">
      <c r="A1603" t="str">
        <f>"20190303170753003"</f>
        <v>20190303170753003</v>
      </c>
      <c r="B1603" t="str">
        <f>"1551604072994571"</f>
        <v>1551604072994571</v>
      </c>
      <c r="C1603" t="s">
        <v>40</v>
      </c>
      <c r="D1603">
        <v>3.9531520000000002</v>
      </c>
      <c r="E1603">
        <v>0.45486749999999998</v>
      </c>
      <c r="F1603" t="s">
        <v>41</v>
      </c>
      <c r="G1603">
        <v>-455.1961</v>
      </c>
      <c r="H1603">
        <v>0.89131990000000005</v>
      </c>
      <c r="I1603">
        <v>276.90190000000001</v>
      </c>
      <c r="J1603">
        <v>-347.06599999999997</v>
      </c>
      <c r="K1603">
        <v>1.1210500000000001</v>
      </c>
      <c r="L1603">
        <v>284.98829999999998</v>
      </c>
      <c r="M1603">
        <v>-0.99983789999999995</v>
      </c>
      <c r="N1603">
        <v>-1.105804E-2</v>
      </c>
      <c r="O1603">
        <v>-1.4210399999999899E-2</v>
      </c>
      <c r="P1603">
        <v>-0.97816599999999998</v>
      </c>
      <c r="Q1603">
        <v>0.204347</v>
      </c>
      <c r="R1603">
        <v>3.7861649999999997E-2</v>
      </c>
      <c r="S1603">
        <v>-3.0800779999999999</v>
      </c>
      <c r="T1603">
        <v>-6.5236089999999997E-3</v>
      </c>
      <c r="U1603">
        <v>-0.22979740000000001</v>
      </c>
      <c r="V1603">
        <v>5.1682640000000002E-2</v>
      </c>
      <c r="W1603">
        <v>0.21516250000000001</v>
      </c>
      <c r="X1603">
        <v>0.97520969999999996</v>
      </c>
      <c r="Y1603">
        <v>-6.0221190000000001E-2</v>
      </c>
      <c r="Z1603">
        <v>-5.2402480000000005E-4</v>
      </c>
      <c r="AA1603">
        <v>0.99818490000000004</v>
      </c>
      <c r="AB1603">
        <v>34</v>
      </c>
      <c r="AC1603">
        <v>-108.1301</v>
      </c>
      <c r="AD1603">
        <v>-0.22973009999999999</v>
      </c>
      <c r="AE1603">
        <v>-8.0863999999999692</v>
      </c>
      <c r="AF1603">
        <v>-6.5488881018885898</v>
      </c>
      <c r="AG1603">
        <v>-0.22973009999999999</v>
      </c>
      <c r="AH1603">
        <v>108.233612637072</v>
      </c>
      <c r="AI1603">
        <v>90.121390355968202</v>
      </c>
      <c r="AJ1603">
        <v>93.462572607774106</v>
      </c>
      <c r="AK1603">
        <v>108.43180168088</v>
      </c>
      <c r="AL1603">
        <v>77.574938726075402</v>
      </c>
      <c r="AM1603">
        <v>86.966365784031396</v>
      </c>
      <c r="AN1603">
        <v>0.99999997782885397</v>
      </c>
    </row>
    <row r="1604" spans="1:40" x14ac:dyDescent="0.25">
      <c r="A1604" t="str">
        <f>"20190303170753026"</f>
        <v>20190303170753026</v>
      </c>
      <c r="B1604" t="str">
        <f>"1551604073014091"</f>
        <v>1551604073014091</v>
      </c>
      <c r="C1604" t="s">
        <v>40</v>
      </c>
      <c r="D1604">
        <v>3.91919</v>
      </c>
      <c r="E1604">
        <v>0.45213239999999999</v>
      </c>
      <c r="F1604" t="s">
        <v>70</v>
      </c>
      <c r="G1604">
        <v>-512.82560000000001</v>
      </c>
      <c r="H1604">
        <v>1.2347859999999999</v>
      </c>
      <c r="I1604">
        <v>269.70330000000001</v>
      </c>
      <c r="J1604">
        <v>-347.40300000000002</v>
      </c>
      <c r="K1604">
        <v>1.121035</v>
      </c>
      <c r="L1604">
        <v>284.98340000000002</v>
      </c>
      <c r="M1604">
        <v>-0.99983630000000001</v>
      </c>
      <c r="N1604">
        <v>-1.09882E-2</v>
      </c>
      <c r="O1604">
        <v>-1.4380759999999999E-2</v>
      </c>
      <c r="P1604">
        <v>-0.9787884</v>
      </c>
      <c r="Q1604">
        <v>0.20145070000000001</v>
      </c>
      <c r="R1604">
        <v>3.7295639999999998E-2</v>
      </c>
      <c r="S1604">
        <v>-3.077515</v>
      </c>
      <c r="T1604">
        <v>2.1131040000000002E-3</v>
      </c>
      <c r="U1604">
        <v>-0.28378300000000001</v>
      </c>
      <c r="V1604">
        <v>5.1295729999999998E-2</v>
      </c>
      <c r="W1604">
        <v>0.21220410000000001</v>
      </c>
      <c r="X1604">
        <v>0.97587820000000003</v>
      </c>
      <c r="Y1604">
        <v>-7.7493030000000004E-2</v>
      </c>
      <c r="Z1604">
        <v>-5.6769039999999995E-4</v>
      </c>
      <c r="AA1604">
        <v>0.99699269999999995</v>
      </c>
      <c r="AB1604">
        <v>34</v>
      </c>
      <c r="AC1604">
        <v>-165.42259999999999</v>
      </c>
      <c r="AD1604">
        <v>0.113751</v>
      </c>
      <c r="AE1604">
        <v>-15.280099999999999</v>
      </c>
      <c r="AF1604">
        <v>-12.8994675390756</v>
      </c>
      <c r="AG1604">
        <v>0.113751</v>
      </c>
      <c r="AH1604">
        <v>165.625166884192</v>
      </c>
      <c r="AI1604">
        <v>89.960768197926598</v>
      </c>
      <c r="AJ1604">
        <v>94.453405764389501</v>
      </c>
      <c r="AK1604">
        <v>166.126774204214</v>
      </c>
      <c r="AL1604">
        <v>77.748451091356003</v>
      </c>
      <c r="AM1604">
        <v>86.991093223272202</v>
      </c>
      <c r="AN1604">
        <v>1.0000000466041401</v>
      </c>
    </row>
    <row r="1605" spans="1:40" x14ac:dyDescent="0.25">
      <c r="A1605" t="str">
        <f>"20190303170753049"</f>
        <v>20190303170753049</v>
      </c>
      <c r="B1605" t="str">
        <f>"1551604073044348"</f>
        <v>1551604073044348</v>
      </c>
      <c r="C1605" t="s">
        <v>40</v>
      </c>
      <c r="D1605">
        <v>3.9646089999999998</v>
      </c>
      <c r="E1605">
        <v>0.4503974</v>
      </c>
      <c r="F1605" t="s">
        <v>70</v>
      </c>
      <c r="G1605">
        <v>-512.82550000000003</v>
      </c>
      <c r="H1605">
        <v>1.0766009999999999</v>
      </c>
      <c r="I1605">
        <v>268.42410000000001</v>
      </c>
      <c r="J1605">
        <v>-347.74189999999999</v>
      </c>
      <c r="K1605">
        <v>1.1210100000000001</v>
      </c>
      <c r="L1605">
        <v>284.97840000000002</v>
      </c>
      <c r="M1605">
        <v>-0.99983469999999997</v>
      </c>
      <c r="N1605">
        <v>-1.0927610000000001E-2</v>
      </c>
      <c r="O1605">
        <v>-1.4541490000000001E-2</v>
      </c>
      <c r="P1605">
        <v>-0.97845269999999995</v>
      </c>
      <c r="Q1605">
        <v>0.20283770000000001</v>
      </c>
      <c r="R1605">
        <v>3.8564859999999999E-2</v>
      </c>
      <c r="S1605">
        <v>-3.076965</v>
      </c>
      <c r="T1605">
        <v>-8.2504750000000004E-4</v>
      </c>
      <c r="U1605">
        <v>-0.30801390000000001</v>
      </c>
      <c r="V1605">
        <v>5.2720620000000003E-2</v>
      </c>
      <c r="W1605">
        <v>0.21352769999999999</v>
      </c>
      <c r="X1605">
        <v>0.97551350000000003</v>
      </c>
      <c r="Y1605">
        <v>-8.5125450000000005E-2</v>
      </c>
      <c r="Z1605">
        <v>-6.3232350000000002E-4</v>
      </c>
      <c r="AA1605">
        <v>0.99636999999999998</v>
      </c>
      <c r="AB1605">
        <v>34</v>
      </c>
      <c r="AC1605">
        <v>-165.08359999999999</v>
      </c>
      <c r="AD1605">
        <v>-4.4409000000000101E-2</v>
      </c>
      <c r="AE1605">
        <v>-16.554300000000001</v>
      </c>
      <c r="AF1605">
        <v>-14.1518439347573</v>
      </c>
      <c r="AG1605">
        <v>-4.4409000000000101E-2</v>
      </c>
      <c r="AH1605">
        <v>165.306869809993</v>
      </c>
      <c r="AI1605">
        <v>90.015336174687306</v>
      </c>
      <c r="AJ1605">
        <v>94.893134289153707</v>
      </c>
      <c r="AK1605">
        <v>165.91153626342901</v>
      </c>
      <c r="AL1605">
        <v>77.670835794532493</v>
      </c>
      <c r="AM1605">
        <v>86.906518168258302</v>
      </c>
      <c r="AN1605">
        <v>1.0000000655613599</v>
      </c>
    </row>
    <row r="1606" spans="1:40" x14ac:dyDescent="0.25">
      <c r="A1606" t="str">
        <f>"20190303170753072"</f>
        <v>20190303170753072</v>
      </c>
      <c r="B1606" t="str">
        <f>"1551604073063867"</f>
        <v>1551604073063867</v>
      </c>
      <c r="C1606" t="s">
        <v>40</v>
      </c>
      <c r="D1606">
        <v>3.9828450000000002</v>
      </c>
      <c r="E1606">
        <v>0.44973269999999999</v>
      </c>
      <c r="F1606" t="s">
        <v>70</v>
      </c>
      <c r="G1606">
        <v>-512.82569999999998</v>
      </c>
      <c r="H1606">
        <v>1.5915840000000001</v>
      </c>
      <c r="I1606">
        <v>267.93770000000001</v>
      </c>
      <c r="J1606">
        <v>-348.08920000000001</v>
      </c>
      <c r="K1606">
        <v>1.1209929999999999</v>
      </c>
      <c r="L1606">
        <v>284.97320000000002</v>
      </c>
      <c r="M1606">
        <v>-0.99983290000000002</v>
      </c>
      <c r="N1606">
        <v>-1.0885250000000001E-2</v>
      </c>
      <c r="O1606">
        <v>-1.46888E-2</v>
      </c>
      <c r="P1606">
        <v>-0.97828630000000005</v>
      </c>
      <c r="Q1606">
        <v>0.20344670000000001</v>
      </c>
      <c r="R1606">
        <v>3.9571580000000002E-2</v>
      </c>
      <c r="S1606">
        <v>-3.0767519999999999</v>
      </c>
      <c r="T1606">
        <v>8.7717769999999997E-3</v>
      </c>
      <c r="U1606">
        <v>-0.3175964</v>
      </c>
      <c r="V1606">
        <v>5.387459E-2</v>
      </c>
      <c r="W1606">
        <v>0.21409230000000001</v>
      </c>
      <c r="X1606">
        <v>0.97532669999999999</v>
      </c>
      <c r="Y1606">
        <v>-8.8058259999999999E-2</v>
      </c>
      <c r="Z1606">
        <v>-5.5661879999999999E-4</v>
      </c>
      <c r="AA1606">
        <v>0.99611510000000003</v>
      </c>
      <c r="AB1606">
        <v>34</v>
      </c>
      <c r="AC1606">
        <v>-164.73649999999901</v>
      </c>
      <c r="AD1606">
        <v>0.47059099999999998</v>
      </c>
      <c r="AE1606">
        <v>-17.035499999999999</v>
      </c>
      <c r="AF1606">
        <v>-14.613619117518899</v>
      </c>
      <c r="AG1606">
        <v>0.47059099999999998</v>
      </c>
      <c r="AH1606">
        <v>164.967639015576</v>
      </c>
      <c r="AI1606">
        <v>89.837194541396002</v>
      </c>
      <c r="AJ1606">
        <v>95.062318837572704</v>
      </c>
      <c r="AK1606">
        <v>165.614314725432</v>
      </c>
      <c r="AL1606">
        <v>77.637720981051203</v>
      </c>
      <c r="AM1606">
        <v>86.838338457852302</v>
      </c>
      <c r="AN1606">
        <v>1.0000000780499201</v>
      </c>
    </row>
    <row r="1607" spans="1:40" x14ac:dyDescent="0.25">
      <c r="A1607" t="str">
        <f>"20190303170753094"</f>
        <v>20190303170753094</v>
      </c>
      <c r="B1607" t="str">
        <f>"1551604073084364"</f>
        <v>1551604073084364</v>
      </c>
      <c r="C1607" t="s">
        <v>40</v>
      </c>
      <c r="D1607">
        <v>3.964626</v>
      </c>
      <c r="E1607">
        <v>0.44931379999999999</v>
      </c>
      <c r="F1607" t="s">
        <v>70</v>
      </c>
      <c r="G1607">
        <v>-512.82569999999998</v>
      </c>
      <c r="H1607">
        <v>1.6916329999999999</v>
      </c>
      <c r="I1607">
        <v>267.96440000000001</v>
      </c>
      <c r="J1607">
        <v>-348.41660000000002</v>
      </c>
      <c r="K1607">
        <v>1.120978</v>
      </c>
      <c r="L1607">
        <v>284.96820000000002</v>
      </c>
      <c r="M1607">
        <v>-0.99983129999999998</v>
      </c>
      <c r="N1607">
        <v>-1.0858939999999999E-2</v>
      </c>
      <c r="O1607">
        <v>-1.4810439999999999E-2</v>
      </c>
      <c r="P1607">
        <v>-0.97858710000000004</v>
      </c>
      <c r="Q1607">
        <v>0.2019976</v>
      </c>
      <c r="R1607">
        <v>3.9549239999999999E-2</v>
      </c>
      <c r="S1607">
        <v>-3.0772400000000002</v>
      </c>
      <c r="T1607">
        <v>1.0660889999999999E-2</v>
      </c>
      <c r="U1607">
        <v>-0.31771850000000001</v>
      </c>
      <c r="V1607">
        <v>5.3982130000000003E-2</v>
      </c>
      <c r="W1607">
        <v>0.21261920000000001</v>
      </c>
      <c r="X1607">
        <v>0.97564289999999998</v>
      </c>
      <c r="Y1607">
        <v>-8.7960280000000002E-2</v>
      </c>
      <c r="Z1607">
        <v>-5.3849239999999895E-4</v>
      </c>
      <c r="AA1607">
        <v>0.99612389999999995</v>
      </c>
      <c r="AB1607">
        <v>34</v>
      </c>
      <c r="AC1607">
        <v>-164.409099999999</v>
      </c>
      <c r="AD1607">
        <v>0.57065500000000002</v>
      </c>
      <c r="AE1607">
        <v>-17.003799999999998</v>
      </c>
      <c r="AF1607">
        <v>-14.5666463450373</v>
      </c>
      <c r="AG1607">
        <v>0.57065500000000002</v>
      </c>
      <c r="AH1607">
        <v>164.64095149413899</v>
      </c>
      <c r="AI1607">
        <v>89.802183057481699</v>
      </c>
      <c r="AJ1607">
        <v>95.056091994927002</v>
      </c>
      <c r="AK1607">
        <v>165.28507416510899</v>
      </c>
      <c r="AL1607">
        <v>77.724112018613894</v>
      </c>
      <c r="AM1607">
        <v>86.833064878926905</v>
      </c>
      <c r="AN1607">
        <v>1.0000000314441899</v>
      </c>
    </row>
    <row r="1608" spans="1:40" x14ac:dyDescent="0.25">
      <c r="A1608" t="str">
        <f>"20190303170753116"</f>
        <v>20190303170753116</v>
      </c>
      <c r="B1608" t="str">
        <f>"1551604073103884"</f>
        <v>1551604073103884</v>
      </c>
      <c r="C1608" t="s">
        <v>40</v>
      </c>
      <c r="D1608">
        <v>4.019946</v>
      </c>
      <c r="E1608">
        <v>0.4489165</v>
      </c>
      <c r="F1608" t="s">
        <v>70</v>
      </c>
      <c r="G1608">
        <v>-512.82560000000001</v>
      </c>
      <c r="H1608">
        <v>1.4452659999999999</v>
      </c>
      <c r="I1608">
        <v>267.86829999999998</v>
      </c>
      <c r="J1608">
        <v>-348.75439999999998</v>
      </c>
      <c r="K1608">
        <v>1.120962</v>
      </c>
      <c r="L1608">
        <v>284.9631</v>
      </c>
      <c r="M1608">
        <v>-0.99983010000000005</v>
      </c>
      <c r="N1608">
        <v>-1.084078E-2</v>
      </c>
      <c r="O1608">
        <v>-1.4920910000000001E-2</v>
      </c>
      <c r="P1608">
        <v>-0.97917639999999995</v>
      </c>
      <c r="Q1608">
        <v>0.19900889999999999</v>
      </c>
      <c r="R1608">
        <v>4.0119120000000001E-2</v>
      </c>
      <c r="S1608">
        <v>-3.0773320000000002</v>
      </c>
      <c r="T1608">
        <v>6.0713290000000003E-3</v>
      </c>
      <c r="U1608">
        <v>-0.32006839999999998</v>
      </c>
      <c r="V1608">
        <v>5.4676179999999998E-2</v>
      </c>
      <c r="W1608">
        <v>0.20961759999999999</v>
      </c>
      <c r="X1608">
        <v>0.97625360000000005</v>
      </c>
      <c r="Y1608">
        <v>-8.8599090000000005E-2</v>
      </c>
      <c r="Z1608">
        <v>-5.8509220000000002E-4</v>
      </c>
      <c r="AA1608">
        <v>0.99606719999999904</v>
      </c>
      <c r="AB1608">
        <v>34</v>
      </c>
      <c r="AC1608">
        <v>-164.0712</v>
      </c>
      <c r="AD1608">
        <v>0.32430399999999898</v>
      </c>
      <c r="AE1608">
        <v>-17.094799999999999</v>
      </c>
      <c r="AF1608">
        <v>-14.6446051283631</v>
      </c>
      <c r="AG1608">
        <v>0.32430399999999898</v>
      </c>
      <c r="AH1608">
        <v>164.30738282914999</v>
      </c>
      <c r="AI1608">
        <v>89.887358327417303</v>
      </c>
      <c r="AJ1608">
        <v>95.093275205946895</v>
      </c>
      <c r="AK1608">
        <v>164.95904244573799</v>
      </c>
      <c r="AL1608">
        <v>77.900057126480803</v>
      </c>
      <c r="AM1608">
        <v>86.794434297028303</v>
      </c>
      <c r="AN1608">
        <v>1.0000000572010499</v>
      </c>
    </row>
    <row r="1609" spans="1:40" x14ac:dyDescent="0.25">
      <c r="A1609" t="str">
        <f>"20190303170753140"</f>
        <v>20190303170753140</v>
      </c>
      <c r="B1609" t="str">
        <f>"1551604073134139"</f>
        <v>1551604073134139</v>
      </c>
      <c r="C1609" t="s">
        <v>40</v>
      </c>
      <c r="D1609">
        <v>4.0484879999999999</v>
      </c>
      <c r="E1609">
        <v>0.44835560000000002</v>
      </c>
      <c r="F1609" t="s">
        <v>70</v>
      </c>
      <c r="G1609">
        <v>-512.82550000000003</v>
      </c>
      <c r="H1609">
        <v>1.0091129999999999</v>
      </c>
      <c r="I1609">
        <v>267.82709999999997</v>
      </c>
      <c r="J1609">
        <v>-349.1139</v>
      </c>
      <c r="K1609">
        <v>1.1209629999999999</v>
      </c>
      <c r="L1609">
        <v>284.95769999999999</v>
      </c>
      <c r="M1609">
        <v>-0.99982850000000001</v>
      </c>
      <c r="N1609">
        <v>-1.0836439999999999E-2</v>
      </c>
      <c r="O1609">
        <v>-1.5020240000000001E-2</v>
      </c>
      <c r="P1609">
        <v>-0.97936350000000005</v>
      </c>
      <c r="Q1609">
        <v>0.1983394</v>
      </c>
      <c r="R1609">
        <v>3.8840880000000001E-2</v>
      </c>
      <c r="S1609">
        <v>-3.0773929999999998</v>
      </c>
      <c r="T1609">
        <v>-2.0964149999999999E-3</v>
      </c>
      <c r="U1609">
        <v>-0.32141110000000001</v>
      </c>
      <c r="V1609">
        <v>5.3504950000000003E-2</v>
      </c>
      <c r="W1609">
        <v>0.2089443</v>
      </c>
      <c r="X1609">
        <v>0.97646279999999996</v>
      </c>
      <c r="Y1609">
        <v>-8.8926489999999997E-2</v>
      </c>
      <c r="Z1609">
        <v>-6.6551689999999998E-4</v>
      </c>
      <c r="AA1609">
        <v>0.99603799999999998</v>
      </c>
      <c r="AB1609">
        <v>34</v>
      </c>
      <c r="AC1609">
        <v>-163.7116</v>
      </c>
      <c r="AD1609">
        <v>-0.11185</v>
      </c>
      <c r="AE1609">
        <v>-17.130600000000001</v>
      </c>
      <c r="AF1609">
        <v>-14.6695286614649</v>
      </c>
      <c r="AG1609">
        <v>-0.11185</v>
      </c>
      <c r="AH1609">
        <v>163.95037462275801</v>
      </c>
      <c r="AI1609">
        <v>90.038932708149304</v>
      </c>
      <c r="AJ1609">
        <v>95.112948454841998</v>
      </c>
      <c r="AK1609">
        <v>164.605385454166</v>
      </c>
      <c r="AL1609">
        <v>77.9395079025402</v>
      </c>
      <c r="AM1609">
        <v>86.863633497593398</v>
      </c>
      <c r="AN1609">
        <v>1.00000004998041</v>
      </c>
    </row>
    <row r="1610" spans="1:40" x14ac:dyDescent="0.25">
      <c r="A1610" t="str">
        <f>"20190303170753162"</f>
        <v>20190303170753162</v>
      </c>
      <c r="B1610" t="str">
        <f>"1551604073154636"</f>
        <v>1551604073154636</v>
      </c>
      <c r="C1610" t="s">
        <v>40</v>
      </c>
      <c r="D1610">
        <v>4.0693489999999999</v>
      </c>
      <c r="E1610">
        <v>0.44834790000000002</v>
      </c>
      <c r="F1610" t="s">
        <v>70</v>
      </c>
      <c r="G1610">
        <v>-512.82550000000003</v>
      </c>
      <c r="H1610">
        <v>1.0447090000000001</v>
      </c>
      <c r="I1610">
        <v>267.3304</v>
      </c>
      <c r="J1610">
        <v>-349.44290000000001</v>
      </c>
      <c r="K1610">
        <v>1.120978</v>
      </c>
      <c r="L1610">
        <v>284.95269999999999</v>
      </c>
      <c r="M1610">
        <v>-0.99982720000000003</v>
      </c>
      <c r="N1610">
        <v>-1.085359E-2</v>
      </c>
      <c r="O1610">
        <v>-1.5096480000000001E-2</v>
      </c>
      <c r="P1610">
        <v>-0.97917089999999996</v>
      </c>
      <c r="Q1610">
        <v>0.19955990000000001</v>
      </c>
      <c r="R1610">
        <v>3.7420719999999998E-2</v>
      </c>
      <c r="S1610">
        <v>-3.0766300000000002</v>
      </c>
      <c r="T1610">
        <v>-1.4315840000000001E-3</v>
      </c>
      <c r="U1610">
        <v>-0.33126830000000002</v>
      </c>
      <c r="V1610">
        <v>5.2162029999999998E-2</v>
      </c>
      <c r="W1610">
        <v>0.21017749999999999</v>
      </c>
      <c r="X1610">
        <v>0.97627070000000005</v>
      </c>
      <c r="Y1610">
        <v>-9.2031429999999997E-2</v>
      </c>
      <c r="Z1610">
        <v>-6.786594E-4</v>
      </c>
      <c r="AA1610">
        <v>0.99575590000000003</v>
      </c>
      <c r="AB1610">
        <v>34</v>
      </c>
      <c r="AC1610">
        <v>-163.3826</v>
      </c>
      <c r="AD1610">
        <v>-7.6268999999999906E-2</v>
      </c>
      <c r="AE1610">
        <v>-17.6222999999999</v>
      </c>
      <c r="AF1610">
        <v>-15.1536410129535</v>
      </c>
      <c r="AG1610">
        <v>-7.6268999999999906E-2</v>
      </c>
      <c r="AH1610">
        <v>163.629994103109</v>
      </c>
      <c r="AI1610">
        <v>90.0265921422003</v>
      </c>
      <c r="AJ1610">
        <v>95.2910240120152</v>
      </c>
      <c r="AK1610">
        <v>164.330196930124</v>
      </c>
      <c r="AL1610">
        <v>77.867245224004094</v>
      </c>
      <c r="AM1610">
        <v>86.941601273361798</v>
      </c>
      <c r="AN1610">
        <v>0.99999996927922996</v>
      </c>
    </row>
    <row r="1611" spans="1:40" x14ac:dyDescent="0.25">
      <c r="A1611" t="str">
        <f>"20190303170753182"</f>
        <v>20190303170753182</v>
      </c>
      <c r="B1611" t="str">
        <f>"1551604073174159"</f>
        <v>1551604073174159</v>
      </c>
      <c r="C1611" t="s">
        <v>40</v>
      </c>
      <c r="D1611">
        <v>4.0907869999999997</v>
      </c>
      <c r="E1611">
        <v>0.4483318</v>
      </c>
      <c r="F1611" t="s">
        <v>70</v>
      </c>
      <c r="G1611">
        <v>-512.82560000000001</v>
      </c>
      <c r="H1611">
        <v>1.323507</v>
      </c>
      <c r="I1611">
        <v>267.12479999999999</v>
      </c>
      <c r="J1611">
        <v>-349.75720000000001</v>
      </c>
      <c r="K1611">
        <v>1.1210209999999901</v>
      </c>
      <c r="L1611">
        <v>284.9479</v>
      </c>
      <c r="M1611">
        <v>-0.99982590000000005</v>
      </c>
      <c r="N1611">
        <v>-1.088802E-2</v>
      </c>
      <c r="O1611">
        <v>-1.5156970000000001E-2</v>
      </c>
      <c r="P1611">
        <v>-0.97765679999999999</v>
      </c>
      <c r="Q1611">
        <v>0.2068893</v>
      </c>
      <c r="R1611">
        <v>3.720387E-2</v>
      </c>
      <c r="S1611">
        <v>-3.0758969999999999</v>
      </c>
      <c r="T1611">
        <v>3.8143399999999998E-3</v>
      </c>
      <c r="U1611">
        <v>-0.33563229999999999</v>
      </c>
      <c r="V1611">
        <v>5.1985490000000002E-2</v>
      </c>
      <c r="W1611">
        <v>0.2175224</v>
      </c>
      <c r="X1611">
        <v>0.97467000000000004</v>
      </c>
      <c r="Y1611">
        <v>-9.3393779999999996E-2</v>
      </c>
      <c r="Z1611">
        <v>-6.3553850000000001E-4</v>
      </c>
      <c r="AA1611">
        <v>0.99562910000000004</v>
      </c>
      <c r="AB1611">
        <v>34</v>
      </c>
      <c r="AC1611">
        <v>-163.0684</v>
      </c>
      <c r="AD1611">
        <v>0.202486</v>
      </c>
      <c r="AE1611">
        <v>-17.8231</v>
      </c>
      <c r="AF1611">
        <v>-15.349259744600101</v>
      </c>
      <c r="AG1611">
        <v>0.202486</v>
      </c>
      <c r="AH1611">
        <v>163.319576892942</v>
      </c>
      <c r="AI1611">
        <v>89.929275551426201</v>
      </c>
      <c r="AJ1611">
        <v>95.369056953147293</v>
      </c>
      <c r="AK1611">
        <v>164.039400668794</v>
      </c>
      <c r="AL1611">
        <v>77.436447426705797</v>
      </c>
      <c r="AM1611">
        <v>86.946936355424498</v>
      </c>
      <c r="AN1611">
        <v>1.0000000472861399</v>
      </c>
    </row>
    <row r="1612" spans="1:40" x14ac:dyDescent="0.25">
      <c r="A1612" t="str">
        <f>"20190303170753205"</f>
        <v>20190303170753205</v>
      </c>
      <c r="B1612" t="str">
        <f>"1551604073194652"</f>
        <v>1551604073194652</v>
      </c>
      <c r="C1612" t="s">
        <v>40</v>
      </c>
      <c r="D1612">
        <v>4.1052269999999904</v>
      </c>
      <c r="E1612">
        <v>0.44832300000000003</v>
      </c>
      <c r="F1612" t="s">
        <v>70</v>
      </c>
      <c r="G1612">
        <v>-512.82600000000002</v>
      </c>
      <c r="H1612">
        <v>2.634293</v>
      </c>
      <c r="I1612">
        <v>267.09589999999997</v>
      </c>
      <c r="J1612">
        <v>-350.09289999999999</v>
      </c>
      <c r="K1612">
        <v>1.1210279999999999</v>
      </c>
      <c r="L1612">
        <v>284.9427</v>
      </c>
      <c r="M1612">
        <v>-0.99982459999999995</v>
      </c>
      <c r="N1612">
        <v>-1.093852E-2</v>
      </c>
      <c r="O1612">
        <v>-1.5210390000000001E-2</v>
      </c>
      <c r="P1612">
        <v>-0.97686640000000002</v>
      </c>
      <c r="Q1612">
        <v>0.21039250000000001</v>
      </c>
      <c r="R1612">
        <v>3.8307649999999999E-2</v>
      </c>
      <c r="S1612">
        <v>-3.0753170000000001</v>
      </c>
      <c r="T1612">
        <v>2.854025E-2</v>
      </c>
      <c r="U1612">
        <v>-0.33666990000000002</v>
      </c>
      <c r="V1612">
        <v>5.3134430000000003E-2</v>
      </c>
      <c r="W1612">
        <v>0.2210646</v>
      </c>
      <c r="X1612">
        <v>0.97381070000000003</v>
      </c>
      <c r="Y1612">
        <v>-9.3694959999999994E-2</v>
      </c>
      <c r="Z1612">
        <v>-3.8714350000000001E-4</v>
      </c>
      <c r="AA1612">
        <v>0.99560090000000001</v>
      </c>
      <c r="AB1612">
        <v>34</v>
      </c>
      <c r="AC1612">
        <v>-162.73310000000001</v>
      </c>
      <c r="AD1612">
        <v>1.5132650000000001</v>
      </c>
      <c r="AE1612">
        <v>-17.846800000000002</v>
      </c>
      <c r="AF1612">
        <v>-15.3680403140972</v>
      </c>
      <c r="AG1612">
        <v>1.5132650000000001</v>
      </c>
      <c r="AH1612">
        <v>162.97181991916801</v>
      </c>
      <c r="AI1612">
        <v>89.4703483382211</v>
      </c>
      <c r="AJ1612">
        <v>95.386991071106095</v>
      </c>
      <c r="AK1612">
        <v>163.701804271735</v>
      </c>
      <c r="AL1612">
        <v>77.228430917879095</v>
      </c>
      <c r="AM1612">
        <v>86.876843964712705</v>
      </c>
      <c r="AN1612">
        <v>1.00000005222953</v>
      </c>
    </row>
    <row r="1613" spans="1:40" x14ac:dyDescent="0.25">
      <c r="A1613" t="str">
        <f>"20190303170753239"</f>
        <v>20190303170753239</v>
      </c>
      <c r="B1613" t="str">
        <f>"1551604073233691"</f>
        <v>1551604073233691</v>
      </c>
      <c r="C1613" t="s">
        <v>40</v>
      </c>
      <c r="D1613">
        <v>4.1583839999999999</v>
      </c>
      <c r="E1613">
        <v>0.44825510000000002</v>
      </c>
      <c r="F1613" t="s">
        <v>70</v>
      </c>
      <c r="G1613">
        <v>-512.82619999999997</v>
      </c>
      <c r="H1613">
        <v>3.3067259999999998</v>
      </c>
      <c r="I1613">
        <v>267.25310000000002</v>
      </c>
      <c r="J1613">
        <v>-350.61320000000001</v>
      </c>
      <c r="K1613">
        <v>1.1210009999999999</v>
      </c>
      <c r="L1613">
        <v>284.9348</v>
      </c>
      <c r="M1613">
        <v>-0.99982260000000001</v>
      </c>
      <c r="N1613">
        <v>-1.1029580000000001E-2</v>
      </c>
      <c r="O1613">
        <v>-1.527123E-2</v>
      </c>
      <c r="P1613">
        <v>-0.97724339999999998</v>
      </c>
      <c r="Q1613">
        <v>0.20864540000000001</v>
      </c>
      <c r="R1613">
        <v>3.8244670000000001E-2</v>
      </c>
      <c r="S1613">
        <v>-3.075256</v>
      </c>
      <c r="T1613">
        <v>4.1305660000000001E-2</v>
      </c>
      <c r="U1613">
        <v>-0.33428960000000002</v>
      </c>
      <c r="V1613">
        <v>5.314555E-2</v>
      </c>
      <c r="W1613">
        <v>0.2194083</v>
      </c>
      <c r="X1613">
        <v>0.97418459999999996</v>
      </c>
      <c r="Y1613">
        <v>-9.2874170000000006E-2</v>
      </c>
      <c r="Z1613">
        <v>-2.6426869999999998E-4</v>
      </c>
      <c r="AA1613">
        <v>0.99567779999999995</v>
      </c>
      <c r="AB1613">
        <v>34</v>
      </c>
      <c r="AC1613">
        <v>-162.212999999999</v>
      </c>
      <c r="AD1613">
        <v>2.1857250000000001</v>
      </c>
      <c r="AE1613">
        <v>-17.6816999999999</v>
      </c>
      <c r="AF1613">
        <v>-15.1995680165211</v>
      </c>
      <c r="AG1613">
        <v>2.1857250000000001</v>
      </c>
      <c r="AH1613">
        <v>162.43497406478701</v>
      </c>
      <c r="AI1613">
        <v>89.232427209256102</v>
      </c>
      <c r="AJ1613">
        <v>95.3457859336512</v>
      </c>
      <c r="AK1613">
        <v>163.159201582664</v>
      </c>
      <c r="AL1613">
        <v>77.325718562988399</v>
      </c>
      <c r="AM1613">
        <v>86.877388213411393</v>
      </c>
      <c r="AN1613">
        <v>1.0000000432354199</v>
      </c>
    </row>
    <row r="1614" spans="1:40" x14ac:dyDescent="0.25">
      <c r="A1614" t="str">
        <f>"20190303170753261"</f>
        <v>20190303170753261</v>
      </c>
      <c r="B1614" t="str">
        <f>"1551604073254191"</f>
        <v>1551604073254191</v>
      </c>
      <c r="C1614" t="s">
        <v>40</v>
      </c>
      <c r="D1614">
        <v>4.5275030000000003</v>
      </c>
      <c r="E1614">
        <v>0.44821450000000002</v>
      </c>
      <c r="F1614" t="s">
        <v>70</v>
      </c>
      <c r="G1614">
        <v>-512.82619999999997</v>
      </c>
      <c r="H1614">
        <v>2.9962240000000002</v>
      </c>
      <c r="I1614">
        <v>267.2876</v>
      </c>
      <c r="J1614">
        <v>-350.95420000000001</v>
      </c>
      <c r="K1614">
        <v>1.120997</v>
      </c>
      <c r="L1614">
        <v>284.92950000000002</v>
      </c>
      <c r="M1614">
        <v>-0.99982159999999998</v>
      </c>
      <c r="N1614">
        <v>-1.1093540000000001E-2</v>
      </c>
      <c r="O1614">
        <v>-1.5298610000000001E-2</v>
      </c>
      <c r="P1614">
        <v>-0.97705580000000003</v>
      </c>
      <c r="Q1614">
        <v>0.2095369</v>
      </c>
      <c r="R1614">
        <v>3.8165079999999997E-2</v>
      </c>
      <c r="S1614">
        <v>-3.0753170000000001</v>
      </c>
      <c r="T1614">
        <v>3.5552859999999999E-2</v>
      </c>
      <c r="U1614">
        <v>-0.33456419999999998</v>
      </c>
      <c r="V1614">
        <v>5.3095499999999997E-2</v>
      </c>
      <c r="W1614">
        <v>0.22035859999999999</v>
      </c>
      <c r="X1614">
        <v>0.97397279999999997</v>
      </c>
      <c r="Y1614">
        <v>-9.293324E-2</v>
      </c>
      <c r="Z1614">
        <v>-3.2696869999999999E-4</v>
      </c>
      <c r="AA1614">
        <v>0.99567229999999995</v>
      </c>
      <c r="AB1614">
        <v>34</v>
      </c>
      <c r="AC1614">
        <v>-161.87199999999899</v>
      </c>
      <c r="AD1614">
        <v>1.875227</v>
      </c>
      <c r="AE1614">
        <v>-17.6419</v>
      </c>
      <c r="AF1614">
        <v>-15.1612557282794</v>
      </c>
      <c r="AG1614">
        <v>1.875227</v>
      </c>
      <c r="AH1614">
        <v>162.101467577112</v>
      </c>
      <c r="AI1614">
        <v>89.340098615787298</v>
      </c>
      <c r="AJ1614">
        <v>95.343296413672505</v>
      </c>
      <c r="AK1614">
        <v>162.819734498657</v>
      </c>
      <c r="AL1614">
        <v>77.269904223875002</v>
      </c>
      <c r="AM1614">
        <v>86.879646068022097</v>
      </c>
      <c r="AN1614">
        <v>1.00000002992702</v>
      </c>
    </row>
    <row r="1615" spans="1:40" x14ac:dyDescent="0.25">
      <c r="A1615" t="str">
        <f>"20190303170753283"</f>
        <v>20190303170753283</v>
      </c>
      <c r="B1615" t="str">
        <f>"1551604073273708"</f>
        <v>1551604073273708</v>
      </c>
      <c r="C1615" t="s">
        <v>40</v>
      </c>
      <c r="D1615">
        <v>4.232297</v>
      </c>
      <c r="E1615">
        <v>0.44812859999999999</v>
      </c>
      <c r="F1615" t="s">
        <v>70</v>
      </c>
      <c r="G1615">
        <v>-512.82619999999997</v>
      </c>
      <c r="H1615">
        <v>3.1164749999999999</v>
      </c>
      <c r="I1615">
        <v>267.27179999999998</v>
      </c>
      <c r="J1615">
        <v>-351.28089999999997</v>
      </c>
      <c r="K1615">
        <v>1.1210009999999999</v>
      </c>
      <c r="L1615">
        <v>284.92450000000002</v>
      </c>
      <c r="M1615">
        <v>-0.9998205</v>
      </c>
      <c r="N1615">
        <v>-1.1160059999999999E-2</v>
      </c>
      <c r="O1615">
        <v>-1.5316130000000001E-2</v>
      </c>
      <c r="P1615">
        <v>-0.97704690000000005</v>
      </c>
      <c r="Q1615">
        <v>0.20944750000000001</v>
      </c>
      <c r="R1615">
        <v>3.8877979999999999E-2</v>
      </c>
      <c r="S1615">
        <v>-3.0754090000000001</v>
      </c>
      <c r="T1615">
        <v>3.7913559999999999E-2</v>
      </c>
      <c r="U1615">
        <v>-0.33547969999999999</v>
      </c>
      <c r="V1615">
        <v>5.3830679999999999E-2</v>
      </c>
      <c r="W1615">
        <v>0.2203321</v>
      </c>
      <c r="X1615">
        <v>0.97393839999999998</v>
      </c>
      <c r="Y1615">
        <v>-9.3205380000000004E-2</v>
      </c>
      <c r="Z1615">
        <v>-3.075121E-4</v>
      </c>
      <c r="AA1615">
        <v>0.99564680000000005</v>
      </c>
      <c r="AB1615">
        <v>34</v>
      </c>
      <c r="AC1615">
        <v>-161.5453</v>
      </c>
      <c r="AD1615">
        <v>1.995474</v>
      </c>
      <c r="AE1615">
        <v>-17.652699999999999</v>
      </c>
      <c r="AF1615">
        <v>-15.173938442532201</v>
      </c>
      <c r="AG1615">
        <v>1.995474</v>
      </c>
      <c r="AH1615">
        <v>161.77234414259499</v>
      </c>
      <c r="AI1615">
        <v>89.296376282583495</v>
      </c>
      <c r="AJ1615">
        <v>95.358556921872307</v>
      </c>
      <c r="AK1615">
        <v>162.49468192446301</v>
      </c>
      <c r="AL1615">
        <v>77.271460325350503</v>
      </c>
      <c r="AM1615">
        <v>86.836416137441901</v>
      </c>
      <c r="AN1615">
        <v>0.99999999169711595</v>
      </c>
    </row>
    <row r="1616" spans="1:40" x14ac:dyDescent="0.25">
      <c r="A1616" t="str">
        <f>"20190303170753306"</f>
        <v>20190303170753306</v>
      </c>
      <c r="B1616" t="str">
        <f>"1551604073294204"</f>
        <v>1551604073294204</v>
      </c>
      <c r="C1616" t="s">
        <v>40</v>
      </c>
      <c r="D1616">
        <v>4.2589920000000001</v>
      </c>
      <c r="E1616">
        <v>0.447986</v>
      </c>
      <c r="F1616" t="s">
        <v>70</v>
      </c>
      <c r="G1616">
        <v>-512.82619999999997</v>
      </c>
      <c r="H1616">
        <v>3.083828</v>
      </c>
      <c r="I1616">
        <v>267.346</v>
      </c>
      <c r="J1616">
        <v>-351.61540000000002</v>
      </c>
      <c r="K1616">
        <v>1.121019</v>
      </c>
      <c r="L1616">
        <v>284.9194</v>
      </c>
      <c r="M1616">
        <v>-0.99981949999999997</v>
      </c>
      <c r="N1616">
        <v>-1.124029E-2</v>
      </c>
      <c r="O1616">
        <v>-1.532611E-2</v>
      </c>
      <c r="P1616">
        <v>-0.97647700000000004</v>
      </c>
      <c r="Q1616">
        <v>0.21202860000000001</v>
      </c>
      <c r="R1616">
        <v>3.9202099999999997E-2</v>
      </c>
      <c r="S1616">
        <v>-3.075745</v>
      </c>
      <c r="T1616">
        <v>3.7372710000000003E-2</v>
      </c>
      <c r="U1616">
        <v>-0.33468629999999999</v>
      </c>
      <c r="V1616">
        <v>5.4160409999999999E-2</v>
      </c>
      <c r="W1616">
        <v>0.2229843</v>
      </c>
      <c r="X1616">
        <v>0.97331630000000002</v>
      </c>
      <c r="Y1616">
        <v>-9.2930009999999993E-2</v>
      </c>
      <c r="Z1616">
        <v>-3.1835320000000002E-4</v>
      </c>
      <c r="AA1616">
        <v>0.99567260000000002</v>
      </c>
      <c r="AB1616">
        <v>34</v>
      </c>
      <c r="AC1616">
        <v>-161.21079999999901</v>
      </c>
      <c r="AD1616">
        <v>1.962809</v>
      </c>
      <c r="AE1616">
        <v>-17.5733999999999</v>
      </c>
      <c r="AF1616">
        <v>-15.0982336017479</v>
      </c>
      <c r="AG1616">
        <v>1.962809</v>
      </c>
      <c r="AH1616">
        <v>161.437561369283</v>
      </c>
      <c r="AI1616">
        <v>89.306440359286995</v>
      </c>
      <c r="AJ1616">
        <v>95.342970136337399</v>
      </c>
      <c r="AK1616">
        <v>162.15392532382501</v>
      </c>
      <c r="AL1616">
        <v>77.115623780710905</v>
      </c>
      <c r="AM1616">
        <v>86.815047710917099</v>
      </c>
      <c r="AN1616">
        <v>0.99999998395177303</v>
      </c>
    </row>
    <row r="1617" spans="1:40" x14ac:dyDescent="0.25">
      <c r="A1617" t="str">
        <f>"20190303170753329"</f>
        <v>20190303170753329</v>
      </c>
      <c r="B1617" t="str">
        <f>"1551604073323990"</f>
        <v>1551604073323990</v>
      </c>
      <c r="C1617" t="s">
        <v>40</v>
      </c>
      <c r="D1617">
        <v>4.2542949999999999</v>
      </c>
      <c r="E1617">
        <v>0.44772099999999998</v>
      </c>
      <c r="F1617" t="s">
        <v>70</v>
      </c>
      <c r="G1617">
        <v>-512.82629999999995</v>
      </c>
      <c r="H1617">
        <v>3.4391519999999902</v>
      </c>
      <c r="I1617">
        <v>267.36970000000002</v>
      </c>
      <c r="J1617">
        <v>-351.97379999999998</v>
      </c>
      <c r="K1617">
        <v>1.12103</v>
      </c>
      <c r="L1617">
        <v>284.91390000000001</v>
      </c>
      <c r="M1617">
        <v>-0.99981819999999999</v>
      </c>
      <c r="N1617">
        <v>-1.1338930000000001E-2</v>
      </c>
      <c r="O1617">
        <v>-1.5330359999999999E-2</v>
      </c>
      <c r="P1617">
        <v>-0.97604630000000003</v>
      </c>
      <c r="Q1617">
        <v>0.2138381</v>
      </c>
      <c r="R1617">
        <v>4.0086759999999999E-2</v>
      </c>
      <c r="S1617">
        <v>-3.076111</v>
      </c>
      <c r="T1617">
        <v>4.42344E-2</v>
      </c>
      <c r="U1617">
        <v>-0.33486939999999998</v>
      </c>
      <c r="V1617">
        <v>5.5046520000000002E-2</v>
      </c>
      <c r="W1617">
        <v>0.22488369999999999</v>
      </c>
      <c r="X1617">
        <v>0.97282950000000001</v>
      </c>
      <c r="Y1617">
        <v>-9.2970960000000005E-2</v>
      </c>
      <c r="Z1617">
        <v>-2.552996E-4</v>
      </c>
      <c r="AA1617">
        <v>0.99566880000000002</v>
      </c>
      <c r="AB1617">
        <v>34</v>
      </c>
      <c r="AC1617">
        <v>-160.852499999999</v>
      </c>
      <c r="AD1617">
        <v>2.3181219999999998</v>
      </c>
      <c r="AE1617">
        <v>-17.544199999999901</v>
      </c>
      <c r="AF1617">
        <v>-15.072959045427201</v>
      </c>
      <c r="AG1617">
        <v>2.3181219999999998</v>
      </c>
      <c r="AH1617">
        <v>161.06951152908499</v>
      </c>
      <c r="AI1617">
        <v>89.179039028566095</v>
      </c>
      <c r="AJ1617">
        <v>95.346195619999406</v>
      </c>
      <c r="AK1617">
        <v>161.78984927432899</v>
      </c>
      <c r="AL1617">
        <v>77.0039608232711</v>
      </c>
      <c r="AM1617">
        <v>86.761432812218899</v>
      </c>
      <c r="AN1617">
        <v>1.0000000169800201</v>
      </c>
    </row>
    <row r="1618" spans="1:40" x14ac:dyDescent="0.25">
      <c r="A1618" t="str">
        <f>"20190303170753352"</f>
        <v>20190303170753352</v>
      </c>
      <c r="B1618" t="str">
        <f>"1551604073344486"</f>
        <v>1551604073344486</v>
      </c>
      <c r="C1618" t="s">
        <v>40</v>
      </c>
      <c r="D1618">
        <v>4.3143250000000002</v>
      </c>
      <c r="E1618">
        <v>0.44762220000000003</v>
      </c>
      <c r="F1618" t="s">
        <v>70</v>
      </c>
      <c r="G1618">
        <v>-512.82640000000004</v>
      </c>
      <c r="H1618">
        <v>3.673921</v>
      </c>
      <c r="I1618">
        <v>267.37299999999999</v>
      </c>
      <c r="J1618">
        <v>-352.3177</v>
      </c>
      <c r="K1618">
        <v>1.1210290000000001</v>
      </c>
      <c r="L1618">
        <v>284.90859999999998</v>
      </c>
      <c r="M1618">
        <v>-0.99981710000000001</v>
      </c>
      <c r="N1618">
        <v>-1.1445469999999999E-2</v>
      </c>
      <c r="O1618">
        <v>-1.5324900000000001E-2</v>
      </c>
      <c r="P1618">
        <v>-0.97634989999999999</v>
      </c>
      <c r="Q1618">
        <v>0.21239469999999999</v>
      </c>
      <c r="R1618">
        <v>4.036696E-2</v>
      </c>
      <c r="S1618">
        <v>-3.0766909999999998</v>
      </c>
      <c r="T1618">
        <v>4.8831579999999999E-2</v>
      </c>
      <c r="U1618">
        <v>-0.33551029999999998</v>
      </c>
      <c r="V1618">
        <v>5.5329950000000003E-2</v>
      </c>
      <c r="W1618">
        <v>0.22354579999999999</v>
      </c>
      <c r="X1618">
        <v>0.97312169999999998</v>
      </c>
      <c r="Y1618">
        <v>-9.3160580000000007E-2</v>
      </c>
      <c r="Z1618">
        <v>-2.1501699999999999E-4</v>
      </c>
      <c r="AA1618">
        <v>0.99565110000000001</v>
      </c>
      <c r="AB1618">
        <v>34</v>
      </c>
      <c r="AC1618">
        <v>-160.5087</v>
      </c>
      <c r="AD1618">
        <v>2.5528919999999999</v>
      </c>
      <c r="AE1618">
        <v>-17.535599999999899</v>
      </c>
      <c r="AF1618">
        <v>-15.0698324270172</v>
      </c>
      <c r="AG1618">
        <v>2.5528919999999999</v>
      </c>
      <c r="AH1618">
        <v>160.71842011597701</v>
      </c>
      <c r="AI1618">
        <v>89.093949485106606</v>
      </c>
      <c r="AJ1618">
        <v>95.356701644790206</v>
      </c>
      <c r="AK1618">
        <v>161.443574265183</v>
      </c>
      <c r="AL1618">
        <v>77.0826191083639</v>
      </c>
      <c r="AM1618">
        <v>86.745768807051505</v>
      </c>
      <c r="AN1618">
        <v>0.99999998553776603</v>
      </c>
    </row>
    <row r="1619" spans="1:40" x14ac:dyDescent="0.25">
      <c r="A1619" t="str">
        <f>"20190303170753373"</f>
        <v>20190303170753373</v>
      </c>
      <c r="B1619" t="str">
        <f>"1551604073364006"</f>
        <v>1551604073364006</v>
      </c>
      <c r="C1619" t="s">
        <v>40</v>
      </c>
      <c r="D1619">
        <v>4.3530610000000003</v>
      </c>
      <c r="E1619">
        <v>0.44255319999999998</v>
      </c>
      <c r="F1619" t="s">
        <v>70</v>
      </c>
      <c r="G1619">
        <v>-512.82629999999995</v>
      </c>
      <c r="H1619">
        <v>3.4065310000000002</v>
      </c>
      <c r="I1619">
        <v>267.39280000000002</v>
      </c>
      <c r="J1619">
        <v>-352.64089999999999</v>
      </c>
      <c r="K1619">
        <v>1.1210279999999999</v>
      </c>
      <c r="L1619">
        <v>284.90370000000001</v>
      </c>
      <c r="M1619">
        <v>-0.99981609999999999</v>
      </c>
      <c r="N1619">
        <v>-1.1548940000000001E-2</v>
      </c>
      <c r="O1619">
        <v>-1.531827E-2</v>
      </c>
      <c r="P1619">
        <v>-0.97677650000000005</v>
      </c>
      <c r="Q1619">
        <v>0.2103672</v>
      </c>
      <c r="R1619">
        <v>4.0665380000000001E-2</v>
      </c>
      <c r="S1619">
        <v>-3.077026</v>
      </c>
      <c r="T1619">
        <v>4.3815609999999998E-2</v>
      </c>
      <c r="U1619">
        <v>-0.3357849</v>
      </c>
      <c r="V1619">
        <v>5.5630859999999997E-2</v>
      </c>
      <c r="W1619">
        <v>0.2216235</v>
      </c>
      <c r="X1619">
        <v>0.97354419999999997</v>
      </c>
      <c r="Y1619">
        <v>-9.3244129999999995E-2</v>
      </c>
      <c r="Z1619">
        <v>-2.7200599999999998E-4</v>
      </c>
      <c r="AA1619">
        <v>0.99564330000000001</v>
      </c>
      <c r="AB1619">
        <v>34</v>
      </c>
      <c r="AC1619">
        <v>-160.18539999999899</v>
      </c>
      <c r="AD1619">
        <v>2.2855029999999901</v>
      </c>
      <c r="AE1619">
        <v>-17.5108999999999</v>
      </c>
      <c r="AF1619">
        <v>-15.051890645831399</v>
      </c>
      <c r="AG1619">
        <v>2.2855029999999901</v>
      </c>
      <c r="AH1619">
        <v>160.402589391818</v>
      </c>
      <c r="AI1619">
        <v>89.187244011605699</v>
      </c>
      <c r="AJ1619">
        <v>95.360834596330406</v>
      </c>
      <c r="AK1619">
        <v>161.12347321100401</v>
      </c>
      <c r="AL1619">
        <v>77.195593634838602</v>
      </c>
      <c r="AM1619">
        <v>86.729525987908303</v>
      </c>
      <c r="AN1619">
        <v>1.00000003884511</v>
      </c>
    </row>
    <row r="1620" spans="1:40" x14ac:dyDescent="0.25">
      <c r="A1620" t="str">
        <f>"20190303170753395"</f>
        <v>20190303170753395</v>
      </c>
      <c r="B1620" t="str">
        <f>"1551604073384503"</f>
        <v>1551604073384503</v>
      </c>
      <c r="C1620" t="s">
        <v>40</v>
      </c>
      <c r="D1620">
        <v>4.3816360000000003</v>
      </c>
      <c r="E1620">
        <v>0.44185550000000001</v>
      </c>
      <c r="F1620" t="s">
        <v>70</v>
      </c>
      <c r="G1620">
        <v>-512.82550000000003</v>
      </c>
      <c r="H1620">
        <v>1.0344469999999999</v>
      </c>
      <c r="I1620">
        <v>265.29520000000002</v>
      </c>
      <c r="J1620">
        <v>-352.96870000000001</v>
      </c>
      <c r="K1620">
        <v>1.121041</v>
      </c>
      <c r="L1620">
        <v>284.89870000000002</v>
      </c>
      <c r="M1620">
        <v>-0.99981469999999995</v>
      </c>
      <c r="N1620">
        <v>-1.166303E-2</v>
      </c>
      <c r="O1620">
        <v>-1.531449E-2</v>
      </c>
      <c r="P1620">
        <v>-0.97676149999999995</v>
      </c>
      <c r="Q1620">
        <v>0.21030660000000001</v>
      </c>
      <c r="R1620">
        <v>4.1328410000000003E-2</v>
      </c>
      <c r="S1620">
        <v>-3.0873719999999998</v>
      </c>
      <c r="T1620">
        <v>-1.667261E-3</v>
      </c>
      <c r="U1620">
        <v>-0.37792969999999998</v>
      </c>
      <c r="V1620">
        <v>5.6290659999999999E-2</v>
      </c>
      <c r="W1620">
        <v>0.22167329999999999</v>
      </c>
      <c r="X1620">
        <v>0.97349490000000005</v>
      </c>
      <c r="Y1620">
        <v>-0.1062887</v>
      </c>
      <c r="Z1620">
        <v>-8.2050959999999996E-4</v>
      </c>
      <c r="AA1620">
        <v>0.99433499999999997</v>
      </c>
      <c r="AB1620">
        <v>34</v>
      </c>
      <c r="AC1620">
        <v>-159.85679999999999</v>
      </c>
      <c r="AD1620">
        <v>-8.6594000000000004E-2</v>
      </c>
      <c r="AE1620">
        <v>-19.6035</v>
      </c>
      <c r="AF1620">
        <v>-17.1529038601496</v>
      </c>
      <c r="AG1620">
        <v>-8.6594000000000004E-2</v>
      </c>
      <c r="AH1620">
        <v>160.138242186616</v>
      </c>
      <c r="AI1620">
        <v>90.030806200748799</v>
      </c>
      <c r="AJ1620">
        <v>96.113818062382293</v>
      </c>
      <c r="AK1620">
        <v>161.05429587557001</v>
      </c>
      <c r="AL1620">
        <v>77.192667086414204</v>
      </c>
      <c r="AM1620">
        <v>86.690655595388293</v>
      </c>
      <c r="AN1620">
        <v>1.00000000533106</v>
      </c>
    </row>
    <row r="1621" spans="1:40" x14ac:dyDescent="0.25">
      <c r="A1621" t="str">
        <f>"20190303170753419"</f>
        <v>20190303170753419</v>
      </c>
      <c r="B1621" t="str">
        <f>"1551604073414290"</f>
        <v>1551604073414290</v>
      </c>
      <c r="C1621" t="s">
        <v>40</v>
      </c>
      <c r="D1621">
        <v>4.399216</v>
      </c>
      <c r="E1621">
        <v>0.44090669999999998</v>
      </c>
      <c r="F1621" t="s">
        <v>70</v>
      </c>
      <c r="G1621">
        <v>-512.82550000000003</v>
      </c>
      <c r="H1621">
        <v>1.0097940000000001</v>
      </c>
      <c r="I1621">
        <v>265.1508</v>
      </c>
      <c r="J1621">
        <v>-353.31509999999997</v>
      </c>
      <c r="K1621">
        <v>1.1210739999999999</v>
      </c>
      <c r="L1621">
        <v>284.89339999999999</v>
      </c>
      <c r="M1621">
        <v>-0.99981299999999995</v>
      </c>
      <c r="N1621">
        <v>-1.181186E-2</v>
      </c>
      <c r="O1621">
        <v>-1.531213E-2</v>
      </c>
      <c r="P1621">
        <v>-0.97574550000000004</v>
      </c>
      <c r="Q1621">
        <v>0.21462310000000001</v>
      </c>
      <c r="R1621">
        <v>4.3100630000000001E-2</v>
      </c>
      <c r="S1621">
        <v>-3.087952</v>
      </c>
      <c r="T1621">
        <v>-2.147436E-3</v>
      </c>
      <c r="U1621">
        <v>-0.38146970000000002</v>
      </c>
      <c r="V1621">
        <v>5.8045029999999997E-2</v>
      </c>
      <c r="W1621">
        <v>0.2261222</v>
      </c>
      <c r="X1621">
        <v>0.97236800000000001</v>
      </c>
      <c r="Y1621">
        <v>-0.1073913</v>
      </c>
      <c r="Z1621">
        <v>-8.4349960000000004E-4</v>
      </c>
      <c r="AA1621">
        <v>0.99421649999999995</v>
      </c>
      <c r="AB1621">
        <v>34</v>
      </c>
      <c r="AC1621">
        <v>-159.5104</v>
      </c>
      <c r="AD1621">
        <v>-0.111279999999999</v>
      </c>
      <c r="AE1621">
        <v>-19.7425999999999</v>
      </c>
      <c r="AF1621">
        <v>-17.297662447662599</v>
      </c>
      <c r="AG1621">
        <v>-0.111279999999999</v>
      </c>
      <c r="AH1621">
        <v>159.793942533212</v>
      </c>
      <c r="AI1621">
        <v>90.039668851361995</v>
      </c>
      <c r="AJ1621">
        <v>96.178199580003906</v>
      </c>
      <c r="AK1621">
        <v>160.72748856278201</v>
      </c>
      <c r="AL1621">
        <v>76.931123687086796</v>
      </c>
      <c r="AM1621">
        <v>86.583810533730897</v>
      </c>
      <c r="AN1621">
        <v>1.0000000011322701</v>
      </c>
    </row>
    <row r="1622" spans="1:40" x14ac:dyDescent="0.25">
      <c r="A1622" t="str">
        <f>"20190303170753440"</f>
        <v>20190303170753440</v>
      </c>
      <c r="B1622" t="str">
        <f>"1551604073434786"</f>
        <v>1551604073434786</v>
      </c>
      <c r="C1622" t="s">
        <v>40</v>
      </c>
      <c r="D1622">
        <v>4.3952660000000003</v>
      </c>
      <c r="E1622">
        <v>0.44035429999999998</v>
      </c>
      <c r="F1622" t="s">
        <v>70</v>
      </c>
      <c r="G1622">
        <v>-512.82569999999998</v>
      </c>
      <c r="H1622">
        <v>1.8045310000000001</v>
      </c>
      <c r="I1622">
        <v>265.05540000000002</v>
      </c>
      <c r="J1622">
        <v>-353.65609999999998</v>
      </c>
      <c r="K1622">
        <v>1.121102</v>
      </c>
      <c r="L1622">
        <v>284.88819999999998</v>
      </c>
      <c r="M1622">
        <v>-0.99981089999999995</v>
      </c>
      <c r="N1622">
        <v>-1.199447E-2</v>
      </c>
      <c r="O1622">
        <v>-1.53101E-2</v>
      </c>
      <c r="P1622">
        <v>-0.97577720000000001</v>
      </c>
      <c r="Q1622">
        <v>0.21407119999999999</v>
      </c>
      <c r="R1622">
        <v>4.508355E-2</v>
      </c>
      <c r="S1622">
        <v>-3.0886230000000001</v>
      </c>
      <c r="T1622">
        <v>1.323533E-2</v>
      </c>
      <c r="U1622">
        <v>-0.38412479999999999</v>
      </c>
      <c r="V1622">
        <v>6.0026240000000002E-2</v>
      </c>
      <c r="W1622">
        <v>0.22574820000000001</v>
      </c>
      <c r="X1622">
        <v>0.97233460000000005</v>
      </c>
      <c r="Y1622">
        <v>-0.108212</v>
      </c>
      <c r="Z1622">
        <v>-6.6883869999999996E-4</v>
      </c>
      <c r="AA1622">
        <v>0.9941276</v>
      </c>
      <c r="AB1622">
        <v>34</v>
      </c>
      <c r="AC1622">
        <v>-159.1696</v>
      </c>
      <c r="AD1622">
        <v>0.68342899999999995</v>
      </c>
      <c r="AE1622">
        <v>-19.832799999999899</v>
      </c>
      <c r="AF1622">
        <v>-17.3930816946337</v>
      </c>
      <c r="AG1622">
        <v>0.68342899999999995</v>
      </c>
      <c r="AH1622">
        <v>159.45171088516099</v>
      </c>
      <c r="AI1622">
        <v>89.755873045475198</v>
      </c>
      <c r="AJ1622">
        <v>96.225242999534203</v>
      </c>
      <c r="AK1622">
        <v>160.398985253147</v>
      </c>
      <c r="AL1622">
        <v>76.953120920837193</v>
      </c>
      <c r="AM1622">
        <v>86.467377523954895</v>
      </c>
      <c r="AN1622">
        <v>0.999999986824468</v>
      </c>
    </row>
    <row r="1623" spans="1:40" x14ac:dyDescent="0.25">
      <c r="A1623" t="str">
        <f>"20190303170753463"</f>
        <v>20190303170753463</v>
      </c>
      <c r="B1623" t="str">
        <f>"1551604073454306"</f>
        <v>1551604073454306</v>
      </c>
      <c r="C1623" t="s">
        <v>40</v>
      </c>
      <c r="D1623">
        <v>4.442113</v>
      </c>
      <c r="E1623">
        <v>0.43994290000000003</v>
      </c>
      <c r="F1623" t="s">
        <v>70</v>
      </c>
      <c r="G1623">
        <v>-512.82569999999998</v>
      </c>
      <c r="H1623">
        <v>1.733147</v>
      </c>
      <c r="I1623">
        <v>265.13990000000001</v>
      </c>
      <c r="J1623">
        <v>-353.9853</v>
      </c>
      <c r="K1623">
        <v>1.1211169999999999</v>
      </c>
      <c r="L1623">
        <v>284.88319999999999</v>
      </c>
      <c r="M1623">
        <v>-0.99980849999999999</v>
      </c>
      <c r="N1623">
        <v>-1.2200809999999999E-2</v>
      </c>
      <c r="O1623">
        <v>-1.530918E-2</v>
      </c>
      <c r="P1623">
        <v>-0.97630320000000004</v>
      </c>
      <c r="Q1623">
        <v>0.2113266</v>
      </c>
      <c r="R1623">
        <v>4.6624430000000001E-2</v>
      </c>
      <c r="S1623">
        <v>-3.0896300000000001</v>
      </c>
      <c r="T1623">
        <v>1.1881829999999999E-2</v>
      </c>
      <c r="U1623">
        <v>-0.38333129999999999</v>
      </c>
      <c r="V1623">
        <v>6.157427E-2</v>
      </c>
      <c r="W1623">
        <v>0.2232102</v>
      </c>
      <c r="X1623">
        <v>0.97282360000000001</v>
      </c>
      <c r="Y1623">
        <v>-0.10792160000000001</v>
      </c>
      <c r="Z1623">
        <v>-6.9893380000000005E-4</v>
      </c>
      <c r="AA1623">
        <v>0.99415920000000002</v>
      </c>
      <c r="AB1623">
        <v>34</v>
      </c>
      <c r="AC1623">
        <v>-158.84039999999999</v>
      </c>
      <c r="AD1623">
        <v>0.61202999999999996</v>
      </c>
      <c r="AE1623">
        <v>-19.743299999999898</v>
      </c>
      <c r="AF1623">
        <v>-17.3088358644187</v>
      </c>
      <c r="AG1623">
        <v>0.61202999999999996</v>
      </c>
      <c r="AH1623">
        <v>159.12173208916499</v>
      </c>
      <c r="AI1623">
        <v>89.780916628775401</v>
      </c>
      <c r="AJ1623">
        <v>96.208072549216993</v>
      </c>
      <c r="AK1623">
        <v>160.061538174411</v>
      </c>
      <c r="AL1623">
        <v>77.102345835958701</v>
      </c>
      <c r="AM1623">
        <v>86.378330156128101</v>
      </c>
      <c r="AN1623">
        <v>0.99999997041351596</v>
      </c>
    </row>
    <row r="1624" spans="1:40" x14ac:dyDescent="0.25">
      <c r="A1624" t="str">
        <f>"20190303170753484"</f>
        <v>20190303170753484</v>
      </c>
      <c r="B1624" t="str">
        <f>"1551604073473826"</f>
        <v>1551604073473826</v>
      </c>
      <c r="C1624" t="s">
        <v>40</v>
      </c>
      <c r="D1624">
        <v>4.4778560000000001</v>
      </c>
      <c r="E1624">
        <v>0.43946410000000002</v>
      </c>
      <c r="F1624" t="s">
        <v>70</v>
      </c>
      <c r="G1624">
        <v>-512.82560000000001</v>
      </c>
      <c r="H1624">
        <v>1.350803</v>
      </c>
      <c r="I1624">
        <v>265.26319999999998</v>
      </c>
      <c r="J1624">
        <v>-354.30700000000002</v>
      </c>
      <c r="K1624">
        <v>1.1211409999999999</v>
      </c>
      <c r="L1624">
        <v>284.87830000000002</v>
      </c>
      <c r="M1624">
        <v>-0.99980579999999997</v>
      </c>
      <c r="N1624">
        <v>-1.241972E-2</v>
      </c>
      <c r="O1624">
        <v>-1.5309059999999999E-2</v>
      </c>
      <c r="P1624">
        <v>-0.97715289999999999</v>
      </c>
      <c r="Q1624">
        <v>0.20711679999999999</v>
      </c>
      <c r="R1624">
        <v>4.7696839999999997E-2</v>
      </c>
      <c r="S1624">
        <v>-3.0900569999999998</v>
      </c>
      <c r="T1624">
        <v>4.4697519999999996E-3</v>
      </c>
      <c r="U1624">
        <v>-0.3816833</v>
      </c>
      <c r="V1624">
        <v>6.2659350000000003E-2</v>
      </c>
      <c r="W1624">
        <v>0.21922410000000001</v>
      </c>
      <c r="X1624">
        <v>0.97366039999999998</v>
      </c>
      <c r="Y1624">
        <v>-0.1073813</v>
      </c>
      <c r="Z1624">
        <v>-8.0352720000000002E-4</v>
      </c>
      <c r="AA1624">
        <v>0.99421760000000003</v>
      </c>
      <c r="AB1624">
        <v>34</v>
      </c>
      <c r="AC1624">
        <v>-158.51859999999999</v>
      </c>
      <c r="AD1624">
        <v>0.22966200000000001</v>
      </c>
      <c r="AE1624">
        <v>-19.615100000000002</v>
      </c>
      <c r="AF1624">
        <v>-17.1858077772639</v>
      </c>
      <c r="AG1624">
        <v>0.22966200000000001</v>
      </c>
      <c r="AH1624">
        <v>158.80000382893999</v>
      </c>
      <c r="AI1624">
        <v>89.917617973434005</v>
      </c>
      <c r="AJ1624">
        <v>96.176679992223896</v>
      </c>
      <c r="AK1624">
        <v>159.72741139097801</v>
      </c>
      <c r="AL1624">
        <v>77.336535083929903</v>
      </c>
      <c r="AM1624">
        <v>86.317840967922194</v>
      </c>
      <c r="AN1624">
        <v>0.99999998734569595</v>
      </c>
    </row>
    <row r="1625" spans="1:40" x14ac:dyDescent="0.25">
      <c r="A1625" t="str">
        <f>"20190303170753507"</f>
        <v>20190303170753507</v>
      </c>
      <c r="B1625" t="str">
        <f>"1551604073494322"</f>
        <v>1551604073494322</v>
      </c>
      <c r="C1625" t="s">
        <v>40</v>
      </c>
      <c r="D1625">
        <v>4.3520629999999896</v>
      </c>
      <c r="E1625">
        <v>0.45859630000000001</v>
      </c>
      <c r="F1625" t="s">
        <v>70</v>
      </c>
      <c r="G1625">
        <v>-512.82539999999995</v>
      </c>
      <c r="H1625">
        <v>0.69682549999999999</v>
      </c>
      <c r="I1625">
        <v>265.25909999999999</v>
      </c>
      <c r="J1625">
        <v>-354.6386</v>
      </c>
      <c r="K1625">
        <v>1.1211690000000001</v>
      </c>
      <c r="L1625">
        <v>284.8732</v>
      </c>
      <c r="M1625">
        <v>-0.99980290000000005</v>
      </c>
      <c r="N1625">
        <v>-1.2646050000000001E-2</v>
      </c>
      <c r="O1625">
        <v>-1.5309619999999999E-2</v>
      </c>
      <c r="P1625">
        <v>-0.97702180000000005</v>
      </c>
      <c r="Q1625">
        <v>0.2073014</v>
      </c>
      <c r="R1625">
        <v>4.9546E-2</v>
      </c>
      <c r="S1625">
        <v>-3.090576</v>
      </c>
      <c r="T1625">
        <v>-8.2712169999999904E-3</v>
      </c>
      <c r="U1625">
        <v>-0.38250729999999999</v>
      </c>
      <c r="V1625">
        <v>6.4507099999999998E-2</v>
      </c>
      <c r="W1625">
        <v>0.2196265</v>
      </c>
      <c r="X1625">
        <v>0.97344909999999996</v>
      </c>
      <c r="Y1625">
        <v>-0.1076178</v>
      </c>
      <c r="Z1625">
        <v>-9.7867450000000008E-4</v>
      </c>
      <c r="AA1625">
        <v>0.99419190000000002</v>
      </c>
      <c r="AB1625">
        <v>34</v>
      </c>
      <c r="AC1625">
        <v>-158.18679999999901</v>
      </c>
      <c r="AD1625">
        <v>-0.42434349999999998</v>
      </c>
      <c r="AE1625">
        <v>-19.614100000000001</v>
      </c>
      <c r="AF1625">
        <v>-17.1897057604521</v>
      </c>
      <c r="AG1625">
        <v>-0.42434349999999998</v>
      </c>
      <c r="AH1625">
        <v>158.46744302201401</v>
      </c>
      <c r="AI1625">
        <v>90.152531277361007</v>
      </c>
      <c r="AJ1625">
        <v>96.190934879241496</v>
      </c>
      <c r="AK1625">
        <v>159.39760521874899</v>
      </c>
      <c r="AL1625">
        <v>77.312904249378207</v>
      </c>
      <c r="AM1625">
        <v>86.208750117538102</v>
      </c>
      <c r="AN1625">
        <v>1.0000000578717301</v>
      </c>
    </row>
    <row r="1626" spans="1:40" x14ac:dyDescent="0.25">
      <c r="A1626" t="str">
        <f>"20190303170753530"</f>
        <v>20190303170753530</v>
      </c>
      <c r="B1626" t="str">
        <f>"1551604073524578"</f>
        <v>1551604073524578</v>
      </c>
      <c r="C1626" t="s">
        <v>40</v>
      </c>
      <c r="D1626">
        <v>4.5355210000000001</v>
      </c>
      <c r="E1626">
        <v>0.47891810000000001</v>
      </c>
      <c r="F1626" t="s">
        <v>41</v>
      </c>
      <c r="G1626">
        <v>-455.05070000000001</v>
      </c>
      <c r="H1626">
        <v>8.3663150000000006E-2</v>
      </c>
      <c r="I1626">
        <v>277.5376</v>
      </c>
      <c r="J1626">
        <v>-354.99290000000002</v>
      </c>
      <c r="K1626">
        <v>1.1211990000000001</v>
      </c>
      <c r="L1626">
        <v>284.86779999999999</v>
      </c>
      <c r="M1626">
        <v>-0.99980000000000002</v>
      </c>
      <c r="N1626">
        <v>-1.287482E-2</v>
      </c>
      <c r="O1626">
        <v>-1.5310570000000001E-2</v>
      </c>
      <c r="P1626">
        <v>-0.97689490000000001</v>
      </c>
      <c r="Q1626">
        <v>0.20746880000000001</v>
      </c>
      <c r="R1626">
        <v>5.131608E-2</v>
      </c>
      <c r="S1626">
        <v>-3.0887449999999999</v>
      </c>
      <c r="T1626">
        <v>-3.1912330000000003E-2</v>
      </c>
      <c r="U1626">
        <v>-0.22564699999999999</v>
      </c>
      <c r="V1626">
        <v>6.6276100000000004E-2</v>
      </c>
      <c r="W1626">
        <v>0.22001490000000001</v>
      </c>
      <c r="X1626">
        <v>0.97324250000000001</v>
      </c>
      <c r="Y1626">
        <v>-5.7573899999999997E-2</v>
      </c>
      <c r="Z1626">
        <v>-7.0713199999999996E-4</v>
      </c>
      <c r="AA1626">
        <v>0.99834100000000003</v>
      </c>
      <c r="AB1626">
        <v>34</v>
      </c>
      <c r="AC1626">
        <v>-100.0578</v>
      </c>
      <c r="AD1626">
        <v>-1.03753585</v>
      </c>
      <c r="AE1626">
        <v>-7.3301999999999898</v>
      </c>
      <c r="AF1626">
        <v>-5.7966519374128902</v>
      </c>
      <c r="AG1626">
        <v>-1.03753585</v>
      </c>
      <c r="AH1626">
        <v>100.147597990441</v>
      </c>
      <c r="AI1626">
        <v>90.592575165604003</v>
      </c>
      <c r="AJ1626">
        <v>93.312645993483898</v>
      </c>
      <c r="AK1626">
        <v>100.32058132596001</v>
      </c>
      <c r="AL1626">
        <v>77.290092123616901</v>
      </c>
      <c r="AM1626">
        <v>86.104272882028795</v>
      </c>
      <c r="AN1626">
        <v>1.0000000207297299</v>
      </c>
    </row>
    <row r="1627" spans="1:40" x14ac:dyDescent="0.25">
      <c r="A1627" t="str">
        <f>"20190303170753554"</f>
        <v>20190303170753554</v>
      </c>
      <c r="B1627" t="str">
        <f>"1551604073544098"</f>
        <v>1551604073544098</v>
      </c>
      <c r="C1627" t="s">
        <v>40</v>
      </c>
      <c r="D1627">
        <v>4.4430759999999996</v>
      </c>
      <c r="E1627">
        <v>0.48349910000000001</v>
      </c>
      <c r="F1627" t="s">
        <v>63</v>
      </c>
      <c r="G1627">
        <v>-442.36239999999998</v>
      </c>
      <c r="H1627" s="1">
        <v>-2.174548E-7</v>
      </c>
      <c r="I1627">
        <v>283.19409999999999</v>
      </c>
      <c r="J1627">
        <v>-355.35570000000001</v>
      </c>
      <c r="K1627">
        <v>1.121221</v>
      </c>
      <c r="L1627">
        <v>284.86219999999997</v>
      </c>
      <c r="M1627">
        <v>-0.99979720000000005</v>
      </c>
      <c r="N1627">
        <v>-1.308731E-2</v>
      </c>
      <c r="O1627">
        <v>-1.531121E-2</v>
      </c>
      <c r="P1627">
        <v>-0.97683640000000005</v>
      </c>
      <c r="Q1627">
        <v>0.20750389999999999</v>
      </c>
      <c r="R1627">
        <v>5.2280550000000002E-2</v>
      </c>
      <c r="S1627">
        <v>-3.0824889999999998</v>
      </c>
      <c r="T1627">
        <v>-3.9557099999999998E-2</v>
      </c>
      <c r="U1627">
        <v>-5.9051510000000001E-2</v>
      </c>
      <c r="V1627">
        <v>6.724041E-2</v>
      </c>
      <c r="W1627">
        <v>0.2202558</v>
      </c>
      <c r="X1627">
        <v>0.97312180000000004</v>
      </c>
      <c r="Y1627">
        <v>-3.8409849999999999E-3</v>
      </c>
      <c r="Z1627" s="1">
        <v>-5.3720529999999997E-5</v>
      </c>
      <c r="AA1627">
        <v>0.99999260000000001</v>
      </c>
      <c r="AB1627">
        <v>34</v>
      </c>
      <c r="AC1627">
        <v>-87.006699999999896</v>
      </c>
      <c r="AD1627">
        <v>-1.1212212174548</v>
      </c>
      <c r="AE1627">
        <v>-1.6680999999999799</v>
      </c>
      <c r="AF1627">
        <v>-0.33555686775086602</v>
      </c>
      <c r="AG1627">
        <v>-1.1212212174548</v>
      </c>
      <c r="AH1627">
        <v>87.007598265789298</v>
      </c>
      <c r="AI1627">
        <v>90.738294259758305</v>
      </c>
      <c r="AJ1627">
        <v>90.220968023167003</v>
      </c>
      <c r="AK1627">
        <v>87.015469265015994</v>
      </c>
      <c r="AL1627">
        <v>77.275941735021505</v>
      </c>
      <c r="AM1627">
        <v>86.047280172567696</v>
      </c>
      <c r="AN1627">
        <v>0.99999996390292301</v>
      </c>
    </row>
    <row r="1628" spans="1:40" x14ac:dyDescent="0.25">
      <c r="A1628" t="str">
        <f>"20190303170753573"</f>
        <v>20190303170753573</v>
      </c>
      <c r="B1628" t="str">
        <f>"1551604073564594"</f>
        <v>1551604073564594</v>
      </c>
      <c r="C1628" t="s">
        <v>40</v>
      </c>
      <c r="D1628">
        <v>4.3975749999999998</v>
      </c>
      <c r="E1628">
        <v>0.4859214</v>
      </c>
      <c r="F1628" t="s">
        <v>63</v>
      </c>
      <c r="G1628">
        <v>-452.5437</v>
      </c>
      <c r="H1628" s="1">
        <v>-1.671698E-7</v>
      </c>
      <c r="I1628">
        <v>284.25069999999999</v>
      </c>
      <c r="J1628">
        <v>-355.64760000000001</v>
      </c>
      <c r="K1628">
        <v>1.12124</v>
      </c>
      <c r="L1628">
        <v>284.8578</v>
      </c>
      <c r="M1628">
        <v>-0.99979510000000005</v>
      </c>
      <c r="N1628">
        <v>-1.324354E-2</v>
      </c>
      <c r="O1628">
        <v>-1.5311379999999999E-2</v>
      </c>
      <c r="P1628">
        <v>-0.97655840000000005</v>
      </c>
      <c r="Q1628">
        <v>0.2086616</v>
      </c>
      <c r="R1628">
        <v>5.2862600000000003E-2</v>
      </c>
      <c r="S1628">
        <v>-3.0796809999999999</v>
      </c>
      <c r="T1628">
        <v>-3.5529140000000001E-2</v>
      </c>
      <c r="U1628">
        <v>-1.9378659999999999E-2</v>
      </c>
      <c r="V1628">
        <v>6.7818320000000001E-2</v>
      </c>
      <c r="W1628">
        <v>0.2215617</v>
      </c>
      <c r="X1628">
        <v>0.97278520000000002</v>
      </c>
      <c r="Y1628">
        <v>9.0195480000000005E-3</v>
      </c>
      <c r="Z1628" s="1">
        <v>8.5591739999999999E-5</v>
      </c>
      <c r="AA1628">
        <v>0.9999593</v>
      </c>
      <c r="AB1628">
        <v>33</v>
      </c>
      <c r="AC1628">
        <v>-96.896100000000004</v>
      </c>
      <c r="AD1628">
        <v>-1.1212401671698</v>
      </c>
      <c r="AE1628">
        <v>-0.60710000000000197</v>
      </c>
      <c r="AF1628">
        <v>0.87659688556916304</v>
      </c>
      <c r="AG1628">
        <v>-1.1212401671698</v>
      </c>
      <c r="AH1628">
        <v>96.8810636264853</v>
      </c>
      <c r="AI1628">
        <v>90.663048378384005</v>
      </c>
      <c r="AJ1628">
        <v>89.481591867131598</v>
      </c>
      <c r="AK1628">
        <v>96.891517126172403</v>
      </c>
      <c r="AL1628">
        <v>77.199223999672299</v>
      </c>
      <c r="AM1628">
        <v>86.012041899707498</v>
      </c>
      <c r="AN1628">
        <v>0.99999997838677501</v>
      </c>
    </row>
    <row r="1629" spans="1:40" x14ac:dyDescent="0.25">
      <c r="A1629" t="str">
        <f>"20190303170753595"</f>
        <v>20190303170753595</v>
      </c>
      <c r="B1629" t="str">
        <f>"1551604073584114"</f>
        <v>1551604073584114</v>
      </c>
      <c r="C1629" t="s">
        <v>40</v>
      </c>
      <c r="D1629">
        <v>4.4685560000000004</v>
      </c>
      <c r="E1629">
        <v>0.48755959999999998</v>
      </c>
      <c r="F1629" t="s">
        <v>57</v>
      </c>
      <c r="G1629">
        <v>-477.4042</v>
      </c>
      <c r="H1629" s="1">
        <v>3.3564300000000002E-6</v>
      </c>
      <c r="I1629">
        <v>284.91090000000003</v>
      </c>
      <c r="J1629">
        <v>-355.97829999999999</v>
      </c>
      <c r="K1629">
        <v>1.1212489999999999</v>
      </c>
      <c r="L1629">
        <v>284.85270000000003</v>
      </c>
      <c r="M1629">
        <v>-0.99979309999999999</v>
      </c>
      <c r="N1629">
        <v>-1.340121E-2</v>
      </c>
      <c r="O1629">
        <v>-1.531158E-2</v>
      </c>
      <c r="P1629">
        <v>-0.97667800000000005</v>
      </c>
      <c r="Q1629">
        <v>0.2080196</v>
      </c>
      <c r="R1629">
        <v>5.3180030000000003E-2</v>
      </c>
      <c r="S1629">
        <v>-3.078033</v>
      </c>
      <c r="T1629">
        <v>-2.834511E-2</v>
      </c>
      <c r="U1629">
        <v>1.34277299999999E-3</v>
      </c>
      <c r="V1629">
        <v>6.8137649999999994E-2</v>
      </c>
      <c r="W1629">
        <v>0.22107479999999999</v>
      </c>
      <c r="X1629">
        <v>0.97287369999999995</v>
      </c>
      <c r="Y1629">
        <v>1.574737E-2</v>
      </c>
      <c r="Z1629">
        <v>1.1381730000000001E-4</v>
      </c>
      <c r="AA1629">
        <v>0.99987599999999999</v>
      </c>
      <c r="AB1629">
        <v>33</v>
      </c>
      <c r="AC1629">
        <v>-121.4259</v>
      </c>
      <c r="AD1629">
        <v>-1.12124564357</v>
      </c>
      <c r="AE1629">
        <v>5.8199999999999301E-2</v>
      </c>
      <c r="AF1629">
        <v>1.9174187797709199</v>
      </c>
      <c r="AG1629">
        <v>-1.12124564357</v>
      </c>
      <c r="AH1629">
        <v>121.400420185595</v>
      </c>
      <c r="AI1629">
        <v>90.529098711672304</v>
      </c>
      <c r="AJ1629">
        <v>89.095135998968701</v>
      </c>
      <c r="AK1629">
        <v>121.42073837615</v>
      </c>
      <c r="AL1629">
        <v>77.227831273385405</v>
      </c>
      <c r="AM1629">
        <v>85.993688467215804</v>
      </c>
      <c r="AN1629">
        <v>1.0000000213471201</v>
      </c>
    </row>
    <row r="1630" spans="1:40" x14ac:dyDescent="0.25">
      <c r="A1630" t="str">
        <f>"20190303170753619"</f>
        <v>20190303170753619</v>
      </c>
      <c r="B1630" t="str">
        <f>"1551604073614370"</f>
        <v>1551604073614370</v>
      </c>
      <c r="C1630" t="s">
        <v>40</v>
      </c>
      <c r="D1630">
        <v>4.5381299999999998</v>
      </c>
      <c r="E1630">
        <v>0.48874980000000001</v>
      </c>
      <c r="F1630" t="s">
        <v>57</v>
      </c>
      <c r="G1630">
        <v>-476.83659999999998</v>
      </c>
      <c r="H1630" s="1">
        <v>3.6543840000000001E-6</v>
      </c>
      <c r="I1630">
        <v>285.44009999999997</v>
      </c>
      <c r="J1630">
        <v>-356.32510000000002</v>
      </c>
      <c r="K1630">
        <v>1.121243</v>
      </c>
      <c r="L1630">
        <v>284.84739999999999</v>
      </c>
      <c r="M1630">
        <v>-0.99979130000000005</v>
      </c>
      <c r="N1630">
        <v>-1.3536110000000001E-2</v>
      </c>
      <c r="O1630">
        <v>-1.5311989999999999E-2</v>
      </c>
      <c r="P1630">
        <v>-0.97709469999999998</v>
      </c>
      <c r="Q1630">
        <v>0.2060871</v>
      </c>
      <c r="R1630">
        <v>5.3051939999999999E-2</v>
      </c>
      <c r="S1630">
        <v>-3.0768740000000001</v>
      </c>
      <c r="T1630">
        <v>-2.8545259999999999E-2</v>
      </c>
      <c r="U1630">
        <v>1.4953610000000001E-2</v>
      </c>
      <c r="V1630">
        <v>6.8016480000000004E-2</v>
      </c>
      <c r="W1630">
        <v>0.2192789</v>
      </c>
      <c r="X1630">
        <v>0.9732885</v>
      </c>
      <c r="Y1630">
        <v>2.0170319999999999E-2</v>
      </c>
      <c r="Z1630">
        <v>1.6485800000000001E-4</v>
      </c>
      <c r="AA1630">
        <v>0.99979660000000004</v>
      </c>
      <c r="AB1630">
        <v>33</v>
      </c>
      <c r="AC1630">
        <v>-120.511499999999</v>
      </c>
      <c r="AD1630">
        <v>-1.1212393456159999</v>
      </c>
      <c r="AE1630">
        <v>0.59269999999997902</v>
      </c>
      <c r="AF1630">
        <v>2.4378591305041502</v>
      </c>
      <c r="AG1630">
        <v>-1.1212393456159999</v>
      </c>
      <c r="AH1630">
        <v>120.477864105796</v>
      </c>
      <c r="AI1630">
        <v>90.533104411217494</v>
      </c>
      <c r="AJ1630">
        <v>88.840783068298194</v>
      </c>
      <c r="AK1630">
        <v>120.507742798149</v>
      </c>
      <c r="AL1630">
        <v>77.333317018882596</v>
      </c>
      <c r="AM1630">
        <v>86.002488673569601</v>
      </c>
      <c r="AN1630">
        <v>0.99999999088452496</v>
      </c>
    </row>
    <row r="1631" spans="1:40" x14ac:dyDescent="0.25">
      <c r="A1631" t="str">
        <f>"20190303170753641"</f>
        <v>20190303170753641</v>
      </c>
      <c r="B1631" t="str">
        <f>"1551604073633894"</f>
        <v>1551604073633894</v>
      </c>
      <c r="C1631" t="s">
        <v>40</v>
      </c>
      <c r="D1631">
        <v>4.5411400000000004</v>
      </c>
      <c r="E1631">
        <v>0.48931380000000002</v>
      </c>
      <c r="F1631" t="s">
        <v>63</v>
      </c>
      <c r="G1631">
        <v>-451.81599999999997</v>
      </c>
      <c r="H1631" s="1">
        <v>-6.1294940000000004E-7</v>
      </c>
      <c r="I1631">
        <v>285.5899</v>
      </c>
      <c r="J1631">
        <v>-356.66500000000002</v>
      </c>
      <c r="K1631">
        <v>1.1212409999999999</v>
      </c>
      <c r="L1631">
        <v>284.84219999999999</v>
      </c>
      <c r="M1631">
        <v>-0.99978990000000001</v>
      </c>
      <c r="N1631">
        <v>-1.363136E-2</v>
      </c>
      <c r="O1631">
        <v>-1.5312030000000001E-2</v>
      </c>
      <c r="P1631">
        <v>-0.97716619999999998</v>
      </c>
      <c r="Q1631">
        <v>0.20564089999999999</v>
      </c>
      <c r="R1631">
        <v>5.3462490000000001E-2</v>
      </c>
      <c r="S1631">
        <v>-3.07666</v>
      </c>
      <c r="T1631">
        <v>-3.6125780000000003E-2</v>
      </c>
      <c r="U1631">
        <v>2.3925780000000001E-2</v>
      </c>
      <c r="V1631">
        <v>6.8428119999999995E-2</v>
      </c>
      <c r="W1631">
        <v>0.2189268</v>
      </c>
      <c r="X1631">
        <v>0.97333890000000001</v>
      </c>
      <c r="Y1631">
        <v>2.308493E-2</v>
      </c>
      <c r="Z1631">
        <v>2.6393050000000001E-4</v>
      </c>
      <c r="AA1631">
        <v>0.99973339999999999</v>
      </c>
      <c r="AB1631">
        <v>33</v>
      </c>
      <c r="AC1631">
        <v>-95.150999999999897</v>
      </c>
      <c r="AD1631">
        <v>-1.1212416129493901</v>
      </c>
      <c r="AE1631">
        <v>0.74770000000000802</v>
      </c>
      <c r="AF1631">
        <v>2.20439650849766</v>
      </c>
      <c r="AG1631">
        <v>-1.1212416129493901</v>
      </c>
      <c r="AH1631">
        <v>95.115186223838194</v>
      </c>
      <c r="AI1631">
        <v>90.675204405653901</v>
      </c>
      <c r="AJ1631">
        <v>88.672346499522803</v>
      </c>
      <c r="AK1631">
        <v>95.147334156647403</v>
      </c>
      <c r="AL1631">
        <v>77.353993155429194</v>
      </c>
      <c r="AM1631">
        <v>85.978582189379395</v>
      </c>
      <c r="AN1631">
        <v>0.99999998280909197</v>
      </c>
    </row>
    <row r="1632" spans="1:40" x14ac:dyDescent="0.25">
      <c r="A1632" t="str">
        <f>"20190303170753664"</f>
        <v>20190303170753664</v>
      </c>
      <c r="B1632" t="str">
        <f>"1551604073654386"</f>
        <v>1551604073654386</v>
      </c>
      <c r="C1632" t="s">
        <v>40</v>
      </c>
      <c r="D1632">
        <v>4.5144590000000004</v>
      </c>
      <c r="E1632">
        <v>0.48972300000000002</v>
      </c>
      <c r="F1632" t="s">
        <v>63</v>
      </c>
      <c r="G1632">
        <v>-452.51159999999999</v>
      </c>
      <c r="H1632" s="1">
        <v>-2.5071990000000002E-7</v>
      </c>
      <c r="I1632">
        <v>285.77120000000002</v>
      </c>
      <c r="J1632">
        <v>-356.9898</v>
      </c>
      <c r="K1632">
        <v>1.121235</v>
      </c>
      <c r="L1632">
        <v>284.8372</v>
      </c>
      <c r="M1632">
        <v>-0.99978909999999999</v>
      </c>
      <c r="N1632">
        <v>-1.368671E-2</v>
      </c>
      <c r="O1632">
        <v>-1.5312640000000001E-2</v>
      </c>
      <c r="P1632">
        <v>-0.97720410000000002</v>
      </c>
      <c r="Q1632">
        <v>0.20547850000000001</v>
      </c>
      <c r="R1632">
        <v>5.3391609999999999E-2</v>
      </c>
      <c r="S1632">
        <v>-3.076111</v>
      </c>
      <c r="T1632">
        <v>-3.598523E-2</v>
      </c>
      <c r="U1632">
        <v>2.9815669999999999E-2</v>
      </c>
      <c r="V1632">
        <v>6.8358589999999997E-2</v>
      </c>
      <c r="W1632">
        <v>0.2188184</v>
      </c>
      <c r="X1632">
        <v>0.97336820000000002</v>
      </c>
      <c r="Y1632">
        <v>2.5000669999999999E-2</v>
      </c>
      <c r="Z1632">
        <v>2.8686869999999999E-4</v>
      </c>
      <c r="AA1632">
        <v>0.9996874</v>
      </c>
      <c r="AB1632">
        <v>33</v>
      </c>
      <c r="AC1632">
        <v>-95.521799999999899</v>
      </c>
      <c r="AD1632">
        <v>-1.1212352507198999</v>
      </c>
      <c r="AE1632">
        <v>0.93400000000002603</v>
      </c>
      <c r="AF1632">
        <v>2.3963882479007101</v>
      </c>
      <c r="AG1632">
        <v>-1.1212352507198999</v>
      </c>
      <c r="AH1632">
        <v>95.483140591028302</v>
      </c>
      <c r="AI1632">
        <v>90.672567686074302</v>
      </c>
      <c r="AJ1632">
        <v>88.562320904120597</v>
      </c>
      <c r="AK1632">
        <v>95.519788432807005</v>
      </c>
      <c r="AL1632">
        <v>77.360358841408001</v>
      </c>
      <c r="AM1632">
        <v>85.982775509834894</v>
      </c>
      <c r="AN1632">
        <v>1.00000002088829</v>
      </c>
    </row>
    <row r="1633" spans="1:40" x14ac:dyDescent="0.25">
      <c r="A1633" t="str">
        <f>"20190303170753685"</f>
        <v>20190303170753685</v>
      </c>
      <c r="B1633" t="str">
        <f>"1551604073673906"</f>
        <v>1551604073673906</v>
      </c>
      <c r="C1633" t="s">
        <v>40</v>
      </c>
      <c r="D1633">
        <v>4.5340639999999999</v>
      </c>
      <c r="E1633">
        <v>0.49011339999999998</v>
      </c>
      <c r="F1633" t="s">
        <v>63</v>
      </c>
      <c r="G1633">
        <v>-456.89479999999998</v>
      </c>
      <c r="H1633" s="1">
        <v>2.0761560000000002E-6</v>
      </c>
      <c r="I1633">
        <v>285.89999999999998</v>
      </c>
      <c r="J1633">
        <v>-357.30970000000002</v>
      </c>
      <c r="K1633">
        <v>1.1212139999999999</v>
      </c>
      <c r="L1633">
        <v>284.83229999999998</v>
      </c>
      <c r="M1633">
        <v>-0.99978889999999998</v>
      </c>
      <c r="N1633">
        <v>-1.3709209999999999E-2</v>
      </c>
      <c r="O1633">
        <v>-1.531326E-2</v>
      </c>
      <c r="P1633">
        <v>-0.97747660000000003</v>
      </c>
      <c r="Q1633">
        <v>0.20420340000000001</v>
      </c>
      <c r="R1633">
        <v>5.3298180000000001E-2</v>
      </c>
      <c r="S1633">
        <v>-3.0754389999999998</v>
      </c>
      <c r="T1633">
        <v>-3.4515619999999997E-2</v>
      </c>
      <c r="U1633">
        <v>3.2714840000000002E-2</v>
      </c>
      <c r="V1633">
        <v>6.8269789999999997E-2</v>
      </c>
      <c r="W1633">
        <v>0.21756929999999999</v>
      </c>
      <c r="X1633">
        <v>0.97365440000000003</v>
      </c>
      <c r="Y1633">
        <v>2.5945759999999998E-2</v>
      </c>
      <c r="Z1633">
        <v>2.8536829999999998E-4</v>
      </c>
      <c r="AA1633">
        <v>0.99966330000000003</v>
      </c>
      <c r="AB1633">
        <v>33</v>
      </c>
      <c r="AC1633">
        <v>-99.585099999999898</v>
      </c>
      <c r="AD1633">
        <v>-1.1212119238439999</v>
      </c>
      <c r="AE1633">
        <v>1.0677000000000001</v>
      </c>
      <c r="AF1633">
        <v>2.59236184647974</v>
      </c>
      <c r="AG1633">
        <v>-1.1212119238439999</v>
      </c>
      <c r="AH1633">
        <v>99.544452537175005</v>
      </c>
      <c r="AI1633">
        <v>90.645100987148993</v>
      </c>
      <c r="AJ1633">
        <v>88.508225976427099</v>
      </c>
      <c r="AK1633">
        <v>99.584514293373701</v>
      </c>
      <c r="AL1633">
        <v>77.433694066484094</v>
      </c>
      <c r="AM1633">
        <v>85.989152421776694</v>
      </c>
      <c r="AN1633">
        <v>1.00000002758424</v>
      </c>
    </row>
    <row r="1634" spans="1:40" x14ac:dyDescent="0.25">
      <c r="A1634" t="str">
        <f>"20190303170753708"</f>
        <v>20190303170753708</v>
      </c>
      <c r="B1634" t="str">
        <f>"1551604073694402"</f>
        <v>1551604073694402</v>
      </c>
      <c r="C1634" t="s">
        <v>40</v>
      </c>
      <c r="D1634">
        <v>4.5367739999999896</v>
      </c>
      <c r="E1634">
        <v>0.49035780000000001</v>
      </c>
      <c r="F1634" t="s">
        <v>63</v>
      </c>
      <c r="G1634">
        <v>-451.61610000000002</v>
      </c>
      <c r="H1634" s="1">
        <v>-7.3382900000000003E-7</v>
      </c>
      <c r="I1634">
        <v>285.92180000000002</v>
      </c>
      <c r="J1634">
        <v>-357.6499</v>
      </c>
      <c r="K1634">
        <v>1.1211869999999999</v>
      </c>
      <c r="L1634">
        <v>284.82709999999997</v>
      </c>
      <c r="M1634">
        <v>-0.99978889999999998</v>
      </c>
      <c r="N1634">
        <v>-1.3697259999999999E-2</v>
      </c>
      <c r="O1634">
        <v>-1.53132999999999E-2</v>
      </c>
      <c r="P1634">
        <v>-0.97781099999999999</v>
      </c>
      <c r="Q1634">
        <v>0.2025566</v>
      </c>
      <c r="R1634">
        <v>5.3446019999999997E-2</v>
      </c>
      <c r="S1634">
        <v>-3.0748899999999999</v>
      </c>
      <c r="T1634">
        <v>-3.6557560000000003E-2</v>
      </c>
      <c r="U1634">
        <v>3.5522459999999999E-2</v>
      </c>
      <c r="V1634">
        <v>6.8422789999999997E-2</v>
      </c>
      <c r="W1634">
        <v>0.21591540000000001</v>
      </c>
      <c r="X1634">
        <v>0.97401170000000004</v>
      </c>
      <c r="Y1634">
        <v>2.6859910000000001E-2</v>
      </c>
      <c r="Z1634">
        <v>3.1593220000000001E-4</v>
      </c>
      <c r="AA1634">
        <v>0.99963919999999995</v>
      </c>
      <c r="AB1634">
        <v>33</v>
      </c>
      <c r="AC1634">
        <v>-93.966200000000001</v>
      </c>
      <c r="AD1634">
        <v>-1.1211877338289999</v>
      </c>
      <c r="AE1634">
        <v>1.09470000000004</v>
      </c>
      <c r="AF1634">
        <v>2.5332786499645499</v>
      </c>
      <c r="AG1634">
        <v>-1.1211877338289999</v>
      </c>
      <c r="AH1634">
        <v>93.925044704089999</v>
      </c>
      <c r="AI1634">
        <v>90.683661371180506</v>
      </c>
      <c r="AJ1634">
        <v>88.455034061897706</v>
      </c>
      <c r="AK1634">
        <v>93.965890541824507</v>
      </c>
      <c r="AL1634">
        <v>77.530762213871697</v>
      </c>
      <c r="AM1634">
        <v>85.981662880259904</v>
      </c>
      <c r="AN1634">
        <v>0.99999996494271604</v>
      </c>
    </row>
    <row r="1635" spans="1:40" x14ac:dyDescent="0.25">
      <c r="A1635" t="str">
        <f>"20190303170753732"</f>
        <v>20190303170753732</v>
      </c>
      <c r="B1635" t="str">
        <f>"1551604073723682"</f>
        <v>1551604073723682</v>
      </c>
      <c r="C1635" t="s">
        <v>40</v>
      </c>
      <c r="D1635">
        <v>4.5352189999999997</v>
      </c>
      <c r="E1635">
        <v>0.49070469999999999</v>
      </c>
      <c r="F1635" t="s">
        <v>63</v>
      </c>
      <c r="G1635">
        <v>-442.66120000000001</v>
      </c>
      <c r="H1635" s="1">
        <v>-1.76308499999999E-7</v>
      </c>
      <c r="I1635">
        <v>285.8904</v>
      </c>
      <c r="J1635">
        <v>-358.0016</v>
      </c>
      <c r="K1635">
        <v>1.121165</v>
      </c>
      <c r="L1635">
        <v>284.82170000000002</v>
      </c>
      <c r="M1635">
        <v>-0.9997897</v>
      </c>
      <c r="N1635">
        <v>-1.363456E-2</v>
      </c>
      <c r="O1635">
        <v>-1.53136E-2</v>
      </c>
      <c r="P1635">
        <v>-0.97767150000000003</v>
      </c>
      <c r="Q1635">
        <v>0.2030516</v>
      </c>
      <c r="R1635">
        <v>5.411585E-2</v>
      </c>
      <c r="S1635">
        <v>-3.0743710000000002</v>
      </c>
      <c r="T1635">
        <v>-4.0546890000000002E-2</v>
      </c>
      <c r="U1635">
        <v>3.8452149999999997E-2</v>
      </c>
      <c r="V1635">
        <v>6.909071E-2</v>
      </c>
      <c r="W1635">
        <v>0.2163475</v>
      </c>
      <c r="X1635">
        <v>0.97386870000000003</v>
      </c>
      <c r="Y1635">
        <v>2.781378E-2</v>
      </c>
      <c r="Z1635">
        <v>3.6619689999999998E-4</v>
      </c>
      <c r="AA1635">
        <v>0.99961299999999997</v>
      </c>
      <c r="AB1635">
        <v>33</v>
      </c>
      <c r="AC1635">
        <v>-84.659599999999998</v>
      </c>
      <c r="AD1635">
        <v>-1.1211651763085</v>
      </c>
      <c r="AE1635">
        <v>1.06869999999997</v>
      </c>
      <c r="AF1635">
        <v>2.3647238639200201</v>
      </c>
      <c r="AG1635">
        <v>-1.1211651763085</v>
      </c>
      <c r="AH1635">
        <v>84.618465545686206</v>
      </c>
      <c r="AI1635">
        <v>90.758808481892501</v>
      </c>
      <c r="AJ1635">
        <v>88.399244866968004</v>
      </c>
      <c r="AK1635">
        <v>84.658925351150401</v>
      </c>
      <c r="AL1635">
        <v>77.5054058992568</v>
      </c>
      <c r="AM1635">
        <v>85.941973828059204</v>
      </c>
      <c r="AN1635">
        <v>1.0000000059021199</v>
      </c>
    </row>
    <row r="1636" spans="1:40" x14ac:dyDescent="0.25">
      <c r="A1636" t="str">
        <f>"20190303170753753"</f>
        <v>20190303170753753</v>
      </c>
      <c r="B1636" t="str">
        <f>"1551604073744178"</f>
        <v>1551604073744178</v>
      </c>
      <c r="C1636" t="s">
        <v>40</v>
      </c>
      <c r="D1636">
        <v>4.5356709999999998</v>
      </c>
      <c r="E1636">
        <v>0.4909521</v>
      </c>
      <c r="F1636" t="s">
        <v>63</v>
      </c>
      <c r="G1636">
        <v>-450.45920000000001</v>
      </c>
      <c r="H1636" s="1">
        <v>-1.359168E-6</v>
      </c>
      <c r="I1636">
        <v>286.14359999999999</v>
      </c>
      <c r="J1636">
        <v>-358.32929999999999</v>
      </c>
      <c r="K1636">
        <v>1.121148</v>
      </c>
      <c r="L1636">
        <v>284.81670000000003</v>
      </c>
      <c r="M1636">
        <v>-0.99979119999999999</v>
      </c>
      <c r="N1636">
        <v>-1.353877E-2</v>
      </c>
      <c r="O1636">
        <v>-1.531415E-2</v>
      </c>
      <c r="P1636">
        <v>-0.97747490000000004</v>
      </c>
      <c r="Q1636">
        <v>0.203792</v>
      </c>
      <c r="R1636">
        <v>5.488034E-2</v>
      </c>
      <c r="S1636">
        <v>-3.0738219999999998</v>
      </c>
      <c r="T1636">
        <v>-3.7274000000000002E-2</v>
      </c>
      <c r="U1636">
        <v>4.3945310000000001E-2</v>
      </c>
      <c r="V1636">
        <v>6.9852670000000006E-2</v>
      </c>
      <c r="W1636">
        <v>0.21699170000000001</v>
      </c>
      <c r="X1636">
        <v>0.97367099999999995</v>
      </c>
      <c r="Y1636">
        <v>2.960287E-2</v>
      </c>
      <c r="Z1636">
        <v>3.582506E-4</v>
      </c>
      <c r="AA1636">
        <v>0.9995617</v>
      </c>
      <c r="AB1636">
        <v>33</v>
      </c>
      <c r="AC1636">
        <v>-92.129900000000006</v>
      </c>
      <c r="AD1636">
        <v>-1.121149359168</v>
      </c>
      <c r="AE1636">
        <v>1.32689999999996</v>
      </c>
      <c r="AF1636">
        <v>2.7373593222725199</v>
      </c>
      <c r="AG1636">
        <v>-1.121149359168</v>
      </c>
      <c r="AH1636">
        <v>92.085137823648395</v>
      </c>
      <c r="AI1636">
        <v>90.697241654768604</v>
      </c>
      <c r="AJ1636">
        <v>88.297304353981204</v>
      </c>
      <c r="AK1636">
        <v>92.132636562431699</v>
      </c>
      <c r="AL1636">
        <v>77.467597812549101</v>
      </c>
      <c r="AM1636">
        <v>85.896542101929299</v>
      </c>
      <c r="AN1636">
        <v>1.000000004808</v>
      </c>
    </row>
    <row r="1637" spans="1:40" x14ac:dyDescent="0.25">
      <c r="A1637" t="str">
        <f>"20190303170753775"</f>
        <v>20190303170753775</v>
      </c>
      <c r="B1637" t="str">
        <f>"1551604073763698"</f>
        <v>1551604073763698</v>
      </c>
      <c r="C1637" t="s">
        <v>40</v>
      </c>
      <c r="D1637">
        <v>4.4031320000000003</v>
      </c>
      <c r="E1637">
        <v>0.49119420000000003</v>
      </c>
      <c r="F1637" t="s">
        <v>63</v>
      </c>
      <c r="G1637">
        <v>-459.09699999999998</v>
      </c>
      <c r="H1637" s="1">
        <v>3.2260219999999999E-6</v>
      </c>
      <c r="I1637">
        <v>286.40460000000002</v>
      </c>
      <c r="J1637">
        <v>-358.64409999999998</v>
      </c>
      <c r="K1637">
        <v>1.121127</v>
      </c>
      <c r="L1637">
        <v>284.81189999999998</v>
      </c>
      <c r="M1637">
        <v>-0.99979260000000003</v>
      </c>
      <c r="N1637">
        <v>-1.3431449999999999E-2</v>
      </c>
      <c r="O1637">
        <v>-1.531451E-2</v>
      </c>
      <c r="P1637">
        <v>-0.97771520000000001</v>
      </c>
      <c r="Q1637">
        <v>0.20247119999999999</v>
      </c>
      <c r="R1637">
        <v>5.5487849999999998E-2</v>
      </c>
      <c r="S1637">
        <v>-3.073547</v>
      </c>
      <c r="T1637">
        <v>-3.4196379999999998E-2</v>
      </c>
      <c r="U1637">
        <v>4.8431399999999999E-2</v>
      </c>
      <c r="V1637">
        <v>7.0464040000000006E-2</v>
      </c>
      <c r="W1637">
        <v>0.2155695</v>
      </c>
      <c r="X1637">
        <v>0.9739428</v>
      </c>
      <c r="Y1637">
        <v>3.1063400000000001E-2</v>
      </c>
      <c r="Z1637">
        <v>3.4612020000000001E-4</v>
      </c>
      <c r="AA1637">
        <v>0.9995174</v>
      </c>
      <c r="AB1637">
        <v>33</v>
      </c>
      <c r="AC1637">
        <v>-100.4529</v>
      </c>
      <c r="AD1637">
        <v>-1.121123773978</v>
      </c>
      <c r="AE1637">
        <v>1.59270000000003</v>
      </c>
      <c r="AF1637">
        <v>3.1306489117249399</v>
      </c>
      <c r="AG1637">
        <v>-1.121123773978</v>
      </c>
      <c r="AH1637">
        <v>100.404220436949</v>
      </c>
      <c r="AI1637">
        <v>90.639433201427195</v>
      </c>
      <c r="AJ1637">
        <v>88.214070356252293</v>
      </c>
      <c r="AK1637">
        <v>100.459272158803</v>
      </c>
      <c r="AL1637">
        <v>77.5510590440134</v>
      </c>
      <c r="AM1637">
        <v>85.861902924013606</v>
      </c>
      <c r="AN1637">
        <v>0.99999998396760503</v>
      </c>
    </row>
    <row r="1638" spans="1:40" x14ac:dyDescent="0.25">
      <c r="A1638" t="str">
        <f>"20190303170753797"</f>
        <v>20190303170753797</v>
      </c>
      <c r="B1638" t="str">
        <f>"1551604073784195"</f>
        <v>1551604073784195</v>
      </c>
      <c r="C1638" t="s">
        <v>40</v>
      </c>
      <c r="D1638">
        <v>4.3118280000000002</v>
      </c>
      <c r="E1638">
        <v>0.4914019</v>
      </c>
      <c r="F1638" t="s">
        <v>63</v>
      </c>
      <c r="G1638">
        <v>-451.0641</v>
      </c>
      <c r="H1638" s="1">
        <v>-1.0481979999999999E-6</v>
      </c>
      <c r="I1638">
        <v>286.39319999999998</v>
      </c>
      <c r="J1638">
        <v>-358.97089999999997</v>
      </c>
      <c r="K1638">
        <v>1.1211009999999999</v>
      </c>
      <c r="L1638">
        <v>284.80689999999998</v>
      </c>
      <c r="M1638">
        <v>-0.99979419999999997</v>
      </c>
      <c r="N1638">
        <v>-1.3307329999999999E-2</v>
      </c>
      <c r="O1638">
        <v>-1.5314889999999999E-2</v>
      </c>
      <c r="P1638">
        <v>-0.97821630000000004</v>
      </c>
      <c r="Q1638">
        <v>0.2000893</v>
      </c>
      <c r="R1638">
        <v>5.5293309999999998E-2</v>
      </c>
      <c r="S1638">
        <v>-3.0731199999999999</v>
      </c>
      <c r="T1638">
        <v>-3.7279369999999999E-2</v>
      </c>
      <c r="U1638">
        <v>5.2581790000000003E-2</v>
      </c>
      <c r="V1638">
        <v>7.027738E-2</v>
      </c>
      <c r="W1638">
        <v>0.2130735</v>
      </c>
      <c r="X1638">
        <v>0.97450539999999997</v>
      </c>
      <c r="Y1638">
        <v>3.2414720000000001E-2</v>
      </c>
      <c r="Z1638">
        <v>3.9427249999999999E-4</v>
      </c>
      <c r="AA1638">
        <v>0.99947439999999999</v>
      </c>
      <c r="AB1638">
        <v>33</v>
      </c>
      <c r="AC1638">
        <v>-92.093199999999996</v>
      </c>
      <c r="AD1638">
        <v>-1.1211020481980001</v>
      </c>
      <c r="AE1638">
        <v>1.5862999999999901</v>
      </c>
      <c r="AF1638">
        <v>2.9961921082607099</v>
      </c>
      <c r="AG1638">
        <v>-1.1211020481980001</v>
      </c>
      <c r="AH1638">
        <v>92.044464720519301</v>
      </c>
      <c r="AI1638">
        <v>90.697458997761899</v>
      </c>
      <c r="AJ1638">
        <v>88.135590579773094</v>
      </c>
      <c r="AK1638">
        <v>92.100040839507699</v>
      </c>
      <c r="AL1638">
        <v>77.697471725697</v>
      </c>
      <c r="AM1638">
        <v>85.875201325295507</v>
      </c>
      <c r="AN1638">
        <v>1.0000000005855301</v>
      </c>
    </row>
    <row r="1639" spans="1:40" x14ac:dyDescent="0.25">
      <c r="A1639" t="str">
        <f>"20190303170753821"</f>
        <v>20190303170753821</v>
      </c>
      <c r="B1639" t="str">
        <f>"1551604073814450"</f>
        <v>1551604073814450</v>
      </c>
      <c r="C1639" t="s">
        <v>40</v>
      </c>
      <c r="D1639">
        <v>4.4190880000000003</v>
      </c>
      <c r="E1639">
        <v>0.49167169999999999</v>
      </c>
      <c r="F1639" t="s">
        <v>71</v>
      </c>
      <c r="G1639">
        <v>-437.62569999999999</v>
      </c>
      <c r="H1639" s="1">
        <v>5.4615379999999999E-6</v>
      </c>
      <c r="I1639">
        <v>286.18490000000003</v>
      </c>
      <c r="J1639">
        <v>-359.32920000000001</v>
      </c>
      <c r="K1639">
        <v>1.1210800000000001</v>
      </c>
      <c r="L1639">
        <v>284.8014</v>
      </c>
      <c r="M1639">
        <v>-0.99979620000000002</v>
      </c>
      <c r="N1639">
        <v>-1.315728E-2</v>
      </c>
      <c r="O1639">
        <v>-1.531511E-2</v>
      </c>
      <c r="P1639">
        <v>-0.97852030000000001</v>
      </c>
      <c r="Q1639">
        <v>0.19870879999999999</v>
      </c>
      <c r="R1639">
        <v>5.4888680000000002E-2</v>
      </c>
      <c r="S1639">
        <v>-3.0726930000000001</v>
      </c>
      <c r="T1639">
        <v>-4.3796179999999997E-2</v>
      </c>
      <c r="U1639">
        <v>5.3833010000000001E-2</v>
      </c>
      <c r="V1639">
        <v>6.9877499999999995E-2</v>
      </c>
      <c r="W1639">
        <v>0.21155119999999999</v>
      </c>
      <c r="X1639">
        <v>0.97486569999999995</v>
      </c>
      <c r="Y1639">
        <v>3.2822740000000003E-2</v>
      </c>
      <c r="Z1639">
        <v>4.6663109999999999E-4</v>
      </c>
      <c r="AA1639">
        <v>0.99946109999999999</v>
      </c>
      <c r="AB1639">
        <v>33</v>
      </c>
      <c r="AC1639">
        <v>-78.296499999999895</v>
      </c>
      <c r="AD1639">
        <v>-1.12107453846199</v>
      </c>
      <c r="AE1639">
        <v>1.3835000000000199</v>
      </c>
      <c r="AF1639">
        <v>2.5820317732206499</v>
      </c>
      <c r="AG1639">
        <v>-1.12107453846199</v>
      </c>
      <c r="AH1639">
        <v>78.250087876750896</v>
      </c>
      <c r="AI1639">
        <v>90.820363452633302</v>
      </c>
      <c r="AJ1639">
        <v>88.110086909974399</v>
      </c>
      <c r="AK1639">
        <v>78.300702097222299</v>
      </c>
      <c r="AL1639">
        <v>77.786727401713406</v>
      </c>
      <c r="AM1639">
        <v>85.900101874829602</v>
      </c>
      <c r="AN1639">
        <v>0.99999995413208898</v>
      </c>
    </row>
    <row r="1640" spans="1:40" x14ac:dyDescent="0.25">
      <c r="A1640" t="str">
        <f>"20190303170753842"</f>
        <v>20190303170753842</v>
      </c>
      <c r="B1640" t="str">
        <f>"1551604073833973"</f>
        <v>1551604073833973</v>
      </c>
      <c r="C1640" t="s">
        <v>40</v>
      </c>
      <c r="D1640">
        <v>4.2684620000000004</v>
      </c>
      <c r="E1640">
        <v>0.4918476</v>
      </c>
      <c r="F1640" t="s">
        <v>71</v>
      </c>
      <c r="G1640">
        <v>-433.18020000000001</v>
      </c>
      <c r="H1640" s="1">
        <v>3.495322E-6</v>
      </c>
      <c r="I1640">
        <v>286.12549999999999</v>
      </c>
      <c r="J1640">
        <v>-359.65219999999999</v>
      </c>
      <c r="K1640">
        <v>1.1210610000000001</v>
      </c>
      <c r="L1640">
        <v>284.79649999999998</v>
      </c>
      <c r="M1640">
        <v>-0.99979819999999997</v>
      </c>
      <c r="N1640">
        <v>-1.3010020000000001E-2</v>
      </c>
      <c r="O1640">
        <v>-1.531536E-2</v>
      </c>
      <c r="P1640">
        <v>-0.97827470000000005</v>
      </c>
      <c r="Q1640">
        <v>0.1999542</v>
      </c>
      <c r="R1640">
        <v>5.4746759999999998E-2</v>
      </c>
      <c r="S1640">
        <v>-3.072235</v>
      </c>
      <c r="T1640">
        <v>-4.66373E-2</v>
      </c>
      <c r="U1640">
        <v>5.5084229999999998E-2</v>
      </c>
      <c r="V1640">
        <v>6.9732089999999997E-2</v>
      </c>
      <c r="W1640">
        <v>0.21265000000000001</v>
      </c>
      <c r="X1640">
        <v>0.97463710000000003</v>
      </c>
      <c r="Y1640">
        <v>3.3231749999999997E-2</v>
      </c>
      <c r="Z1640">
        <v>5.01638E-4</v>
      </c>
      <c r="AA1640">
        <v>0.99944750000000004</v>
      </c>
      <c r="AB1640">
        <v>33</v>
      </c>
      <c r="AC1640">
        <v>-73.528000000000006</v>
      </c>
      <c r="AD1640">
        <v>-1.121057504678</v>
      </c>
      <c r="AE1640">
        <v>1.329</v>
      </c>
      <c r="AF1640">
        <v>2.45447667293839</v>
      </c>
      <c r="AG1640">
        <v>-1.121057504678</v>
      </c>
      <c r="AH1640">
        <v>73.481942715861194</v>
      </c>
      <c r="AI1640">
        <v>90.873562733106596</v>
      </c>
      <c r="AJ1640">
        <v>88.086892068493995</v>
      </c>
      <c r="AK1640">
        <v>73.531470344090707</v>
      </c>
      <c r="AL1640">
        <v>77.722306012698496</v>
      </c>
      <c r="AM1640">
        <v>85.907648089822104</v>
      </c>
      <c r="AN1640">
        <v>1.00000003178608</v>
      </c>
    </row>
    <row r="1641" spans="1:40" x14ac:dyDescent="0.25">
      <c r="A1641" t="str">
        <f>"20190303170753864"</f>
        <v>20190303170753864</v>
      </c>
      <c r="B1641" t="str">
        <f>"1551604073854466"</f>
        <v>1551604073854466</v>
      </c>
      <c r="C1641" t="s">
        <v>40</v>
      </c>
      <c r="D1641">
        <v>4.2849510000000004</v>
      </c>
      <c r="E1641">
        <v>0.49204439999999999</v>
      </c>
      <c r="F1641" t="s">
        <v>63</v>
      </c>
      <c r="G1641">
        <v>-443.17020000000002</v>
      </c>
      <c r="H1641" s="1">
        <v>7.4693069999999995E-8</v>
      </c>
      <c r="I1641">
        <v>286.34469999999999</v>
      </c>
      <c r="J1641">
        <v>-359.96550000000002</v>
      </c>
      <c r="K1641">
        <v>1.121046</v>
      </c>
      <c r="L1641">
        <v>284.79169999999999</v>
      </c>
      <c r="M1641">
        <v>-0.99980020000000003</v>
      </c>
      <c r="N1641">
        <v>-1.2854239999999999E-2</v>
      </c>
      <c r="O1641">
        <v>-1.531544E-2</v>
      </c>
      <c r="P1641">
        <v>-0.97781439999999997</v>
      </c>
      <c r="Q1641">
        <v>0.20224710000000001</v>
      </c>
      <c r="R1641">
        <v>5.454676E-2</v>
      </c>
      <c r="S1641">
        <v>-3.0718990000000002</v>
      </c>
      <c r="T1641">
        <v>-4.1234020000000003E-2</v>
      </c>
      <c r="U1641">
        <v>5.6945799999999998E-2</v>
      </c>
      <c r="V1641">
        <v>6.9525240000000002E-2</v>
      </c>
      <c r="W1641">
        <v>0.2147848</v>
      </c>
      <c r="X1641">
        <v>0.97418360000000004</v>
      </c>
      <c r="Y1641">
        <v>3.38404E-2</v>
      </c>
      <c r="Z1641">
        <v>4.5332780000000001E-4</v>
      </c>
      <c r="AA1641">
        <v>0.99942710000000001</v>
      </c>
      <c r="AB1641">
        <v>33</v>
      </c>
      <c r="AC1641">
        <v>-83.204700000000003</v>
      </c>
      <c r="AD1641">
        <v>-1.12104592530693</v>
      </c>
      <c r="AE1641">
        <v>1.5529999999999899</v>
      </c>
      <c r="AF1641">
        <v>2.82672659419968</v>
      </c>
      <c r="AG1641">
        <v>-1.12104592530693</v>
      </c>
      <c r="AH1641">
        <v>83.156062460465904</v>
      </c>
      <c r="AI1641">
        <v>90.771924931655704</v>
      </c>
      <c r="AJ1641">
        <v>88.0530924709944</v>
      </c>
      <c r="AK1641">
        <v>83.211644925057897</v>
      </c>
      <c r="AL1641">
        <v>77.597097417175505</v>
      </c>
      <c r="AM1641">
        <v>85.917853377308305</v>
      </c>
      <c r="AN1641">
        <v>0.99999997790852801</v>
      </c>
    </row>
    <row r="1642" spans="1:40" x14ac:dyDescent="0.25">
      <c r="A1642" t="str">
        <f>"20190303170753886"</f>
        <v>20190303170753886</v>
      </c>
      <c r="B1642" t="str">
        <f>"1551604073873987"</f>
        <v>1551604073873987</v>
      </c>
      <c r="C1642" t="s">
        <v>40</v>
      </c>
      <c r="D1642">
        <v>4.4362589999999997</v>
      </c>
      <c r="E1642">
        <v>0.4921024</v>
      </c>
      <c r="F1642" t="s">
        <v>63</v>
      </c>
      <c r="G1642">
        <v>-465.04140000000001</v>
      </c>
      <c r="H1642" s="1">
        <v>1.0520339999999999E-6</v>
      </c>
      <c r="I1642">
        <v>286.76580000000001</v>
      </c>
      <c r="J1642">
        <v>-360.29860000000002</v>
      </c>
      <c r="K1642">
        <v>1.1210329999999999</v>
      </c>
      <c r="L1642">
        <v>284.78660000000002</v>
      </c>
      <c r="M1642">
        <v>-0.99980239999999998</v>
      </c>
      <c r="N1642">
        <v>-1.26771E-2</v>
      </c>
      <c r="O1642">
        <v>-1.5315519999999999E-2</v>
      </c>
      <c r="P1642">
        <v>-0.9774988</v>
      </c>
      <c r="Q1642">
        <v>0.20388709999999999</v>
      </c>
      <c r="R1642">
        <v>5.4095049999999999E-2</v>
      </c>
      <c r="S1642">
        <v>-3.0716549999999998</v>
      </c>
      <c r="T1642">
        <v>-3.2771229999999998E-2</v>
      </c>
      <c r="U1642">
        <v>5.7708740000000001E-2</v>
      </c>
      <c r="V1642">
        <v>6.9068959999999999E-2</v>
      </c>
      <c r="W1642">
        <v>0.2162483</v>
      </c>
      <c r="X1642">
        <v>0.97389230000000004</v>
      </c>
      <c r="Y1642">
        <v>3.4091759999999999E-2</v>
      </c>
      <c r="Z1642">
        <v>3.6720859999999999E-4</v>
      </c>
      <c r="AA1642">
        <v>0.99941860000000005</v>
      </c>
      <c r="AB1642">
        <v>33</v>
      </c>
      <c r="AC1642">
        <v>-104.7428</v>
      </c>
      <c r="AD1642">
        <v>-1.121031947966</v>
      </c>
      <c r="AE1642">
        <v>1.9791999999999901</v>
      </c>
      <c r="AF1642">
        <v>3.5828768353271001</v>
      </c>
      <c r="AG1642">
        <v>-1.121031947966</v>
      </c>
      <c r="AH1642">
        <v>104.688210341222</v>
      </c>
      <c r="AI1642">
        <v>90.613157537140097</v>
      </c>
      <c r="AJ1642">
        <v>88.039859243254497</v>
      </c>
      <c r="AK1642">
        <v>104.755501542847</v>
      </c>
      <c r="AL1642">
        <v>77.511227760662706</v>
      </c>
      <c r="AM1642">
        <v>85.9433450208914</v>
      </c>
      <c r="AN1642">
        <v>1.0000000302438301</v>
      </c>
    </row>
    <row r="1643" spans="1:40" x14ac:dyDescent="0.25">
      <c r="A1643" t="str">
        <f>"20190303170753910"</f>
        <v>20190303170753910</v>
      </c>
      <c r="B1643" t="str">
        <f>"1551604073904243"</f>
        <v>1551604073904243</v>
      </c>
      <c r="C1643" t="s">
        <v>40</v>
      </c>
      <c r="D1643">
        <v>4.21591</v>
      </c>
      <c r="E1643">
        <v>0.49677500000000002</v>
      </c>
      <c r="F1643" t="s">
        <v>57</v>
      </c>
      <c r="G1643">
        <v>-487.89510000000001</v>
      </c>
      <c r="H1643" s="1">
        <v>3.8293540000000001E-6</v>
      </c>
      <c r="I1643">
        <v>287.1687</v>
      </c>
      <c r="J1643">
        <v>-360.65289999999999</v>
      </c>
      <c r="K1643">
        <v>1.1210039999999999</v>
      </c>
      <c r="L1643">
        <v>284.78109999999998</v>
      </c>
      <c r="M1643">
        <v>-0.99980500000000005</v>
      </c>
      <c r="N1643">
        <v>-1.247442E-2</v>
      </c>
      <c r="O1643">
        <v>-1.531618E-2</v>
      </c>
      <c r="P1643">
        <v>-0.97767649999999995</v>
      </c>
      <c r="Q1643">
        <v>0.2031924</v>
      </c>
      <c r="R1643">
        <v>5.3495349999999997E-2</v>
      </c>
      <c r="S1643">
        <v>-3.0715029999999999</v>
      </c>
      <c r="T1643">
        <v>-2.6985410000000001E-2</v>
      </c>
      <c r="U1643">
        <v>5.7342530000000003E-2</v>
      </c>
      <c r="V1643">
        <v>6.8472690000000003E-2</v>
      </c>
      <c r="W1643">
        <v>0.21535850000000001</v>
      </c>
      <c r="X1643">
        <v>0.97413150000000004</v>
      </c>
      <c r="Y1643">
        <v>3.3975199999999997E-2</v>
      </c>
      <c r="Z1643">
        <v>3.0467850000000002E-4</v>
      </c>
      <c r="AA1643">
        <v>0.99942260000000005</v>
      </c>
      <c r="AB1643">
        <v>33</v>
      </c>
      <c r="AC1643">
        <v>-127.2422</v>
      </c>
      <c r="AD1643">
        <v>-1.121000170646</v>
      </c>
      <c r="AE1643">
        <v>2.3876000000000199</v>
      </c>
      <c r="AF1643">
        <v>4.3359993297108899</v>
      </c>
      <c r="AG1643">
        <v>-1.121000170646</v>
      </c>
      <c r="AH1643">
        <v>127.18083273087601</v>
      </c>
      <c r="AI1643">
        <v>90.504711453070996</v>
      </c>
      <c r="AJ1643">
        <v>88.047360850059803</v>
      </c>
      <c r="AK1643">
        <v>127.259662681028</v>
      </c>
      <c r="AL1643">
        <v>77.563439268745597</v>
      </c>
      <c r="AM1643">
        <v>85.979234878651397</v>
      </c>
      <c r="AN1643">
        <v>0.99999998604516704</v>
      </c>
    </row>
    <row r="1644" spans="1:40" x14ac:dyDescent="0.25">
      <c r="A1644" t="str">
        <f>"20190303170753933"</f>
        <v>20190303170753933</v>
      </c>
      <c r="B1644" t="str">
        <f>"1551604073923762"</f>
        <v>1551604073923762</v>
      </c>
      <c r="C1644" t="s">
        <v>40</v>
      </c>
      <c r="D1644">
        <v>4.2363200000000001</v>
      </c>
      <c r="E1644">
        <v>0.49684080000000003</v>
      </c>
      <c r="F1644" t="s">
        <v>45</v>
      </c>
      <c r="G1644">
        <v>0</v>
      </c>
      <c r="H1644">
        <v>0</v>
      </c>
      <c r="I1644">
        <v>0</v>
      </c>
      <c r="J1644">
        <v>-360.99880000000002</v>
      </c>
      <c r="K1644">
        <v>1.120967</v>
      </c>
      <c r="L1644">
        <v>284.7758</v>
      </c>
      <c r="M1644">
        <v>-0.99980749999999996</v>
      </c>
      <c r="N1644">
        <v>-1.226548E-2</v>
      </c>
      <c r="O1644">
        <v>-1.531658E-2</v>
      </c>
      <c r="P1644">
        <v>-0.97809040000000003</v>
      </c>
      <c r="Q1644">
        <v>0.20133390000000001</v>
      </c>
      <c r="R1644">
        <v>5.2953819999999999E-2</v>
      </c>
      <c r="S1644">
        <v>-3.046173</v>
      </c>
      <c r="T1644">
        <v>8.0825209999999995E-2</v>
      </c>
      <c r="U1644">
        <v>0.100769</v>
      </c>
      <c r="V1644">
        <v>6.7937929999999994E-2</v>
      </c>
      <c r="W1644">
        <v>0.2133013</v>
      </c>
      <c r="X1644">
        <v>0.97462150000000003</v>
      </c>
      <c r="Y1644">
        <v>4.8347279999999999E-2</v>
      </c>
      <c r="Z1644">
        <v>-9.3849600000000004E-4</v>
      </c>
      <c r="AA1644">
        <v>0.99883010000000005</v>
      </c>
      <c r="AB1644">
        <v>33</v>
      </c>
      <c r="AC1644">
        <v>-3.046173</v>
      </c>
      <c r="AD1644">
        <v>8.0825209999999995E-2</v>
      </c>
      <c r="AE1644">
        <v>0.100769</v>
      </c>
      <c r="AF1644">
        <v>0.14731403952833799</v>
      </c>
      <c r="AG1644">
        <v>8.0825209999999995E-2</v>
      </c>
      <c r="AH1644">
        <v>3.0421326814229399</v>
      </c>
      <c r="AI1644">
        <v>88.479869744504995</v>
      </c>
      <c r="AJ1644">
        <v>87.227640801011404</v>
      </c>
      <c r="AK1644">
        <v>3.0467696651035499</v>
      </c>
      <c r="AL1644">
        <v>77.684113102301197</v>
      </c>
      <c r="AM1644">
        <v>86.012533842459305</v>
      </c>
      <c r="AN1644">
        <v>1.00000003758831</v>
      </c>
    </row>
    <row r="1645" spans="1:40" x14ac:dyDescent="0.25">
      <c r="A1645" t="str">
        <f>"20190303170753954"</f>
        <v>20190303170753954</v>
      </c>
      <c r="B1645" t="str">
        <f>"1551604073944258"</f>
        <v>1551604073944258</v>
      </c>
      <c r="C1645" t="s">
        <v>40</v>
      </c>
      <c r="D1645">
        <v>4.2093040000000004</v>
      </c>
      <c r="E1645">
        <v>0.49682700000000002</v>
      </c>
      <c r="F1645" t="s">
        <v>45</v>
      </c>
      <c r="G1645">
        <v>0</v>
      </c>
      <c r="H1645">
        <v>0</v>
      </c>
      <c r="I1645">
        <v>0</v>
      </c>
      <c r="J1645">
        <v>-361.31319999999999</v>
      </c>
      <c r="K1645">
        <v>1.1209249999999999</v>
      </c>
      <c r="L1645">
        <v>284.77100000000002</v>
      </c>
      <c r="M1645">
        <v>-0.99980979999999997</v>
      </c>
      <c r="N1645">
        <v>-1.207632E-2</v>
      </c>
      <c r="O1645">
        <v>-1.5317229999999999E-2</v>
      </c>
      <c r="P1645">
        <v>-0.97853760000000001</v>
      </c>
      <c r="Q1645">
        <v>0.1992014</v>
      </c>
      <c r="R1645">
        <v>5.2757680000000001E-2</v>
      </c>
      <c r="S1645">
        <v>-3.0459290000000001</v>
      </c>
      <c r="T1645">
        <v>7.7100279999999993E-2</v>
      </c>
      <c r="U1645">
        <v>9.9884029999999999E-2</v>
      </c>
      <c r="V1645">
        <v>6.7749030000000002E-2</v>
      </c>
      <c r="W1645">
        <v>0.2109905</v>
      </c>
      <c r="X1645">
        <v>0.97513749999999999</v>
      </c>
      <c r="Y1645">
        <v>4.8062559999999997E-2</v>
      </c>
      <c r="Z1645">
        <v>-8.9015860000000004E-4</v>
      </c>
      <c r="AA1645">
        <v>0.99884390000000001</v>
      </c>
      <c r="AB1645">
        <v>33</v>
      </c>
      <c r="AC1645">
        <v>-3.0459290000000001</v>
      </c>
      <c r="AD1645">
        <v>7.7100279999999993E-2</v>
      </c>
      <c r="AE1645">
        <v>9.9884029999999999E-2</v>
      </c>
      <c r="AF1645">
        <v>0.14643718034802999</v>
      </c>
      <c r="AG1645">
        <v>7.7100279999999993E-2</v>
      </c>
      <c r="AH1645">
        <v>3.04209449929487</v>
      </c>
      <c r="AI1645">
        <v>88.549857921136805</v>
      </c>
      <c r="AJ1645">
        <v>87.244082696391004</v>
      </c>
      <c r="AK1645">
        <v>3.0465927269007298</v>
      </c>
      <c r="AL1645">
        <v>77.819596026247595</v>
      </c>
      <c r="AM1645">
        <v>86.025682692551698</v>
      </c>
      <c r="AN1645">
        <v>1.00000003303122</v>
      </c>
    </row>
    <row r="1646" spans="1:40" x14ac:dyDescent="0.25">
      <c r="A1646" t="str">
        <f>"20190303170753988"</f>
        <v>20190303170753988</v>
      </c>
      <c r="B1646" t="str">
        <f>"1551604073974515"</f>
        <v>1551604073974515</v>
      </c>
      <c r="C1646" t="s">
        <v>40</v>
      </c>
      <c r="D1646">
        <v>4.2457799999999999</v>
      </c>
      <c r="E1646">
        <v>0.4969538</v>
      </c>
      <c r="F1646" t="s">
        <v>45</v>
      </c>
      <c r="G1646">
        <v>0</v>
      </c>
      <c r="H1646">
        <v>0</v>
      </c>
      <c r="I1646">
        <v>0</v>
      </c>
      <c r="J1646">
        <v>-361.80610000000001</v>
      </c>
      <c r="K1646">
        <v>1.1209020000000001</v>
      </c>
      <c r="L1646">
        <v>284.76339999999999</v>
      </c>
      <c r="M1646">
        <v>-0.99981370000000003</v>
      </c>
      <c r="N1646">
        <v>-1.176074E-2</v>
      </c>
      <c r="O1646">
        <v>-1.531657E-2</v>
      </c>
      <c r="P1646">
        <v>-0.97816590000000003</v>
      </c>
      <c r="Q1646">
        <v>0.2009224</v>
      </c>
      <c r="R1646">
        <v>5.3122570000000001E-2</v>
      </c>
      <c r="S1646">
        <v>-3.0455930000000002</v>
      </c>
      <c r="T1646">
        <v>7.2887419999999994E-2</v>
      </c>
      <c r="U1646">
        <v>9.8907469999999997E-2</v>
      </c>
      <c r="V1646">
        <v>6.8107619999999994E-2</v>
      </c>
      <c r="W1646">
        <v>0.2123988</v>
      </c>
      <c r="X1646">
        <v>0.97480670000000003</v>
      </c>
      <c r="Y1646">
        <v>4.774755E-2</v>
      </c>
      <c r="Z1646">
        <v>-8.3670899999999896E-4</v>
      </c>
      <c r="AA1646">
        <v>0.9988591</v>
      </c>
      <c r="AB1646">
        <v>33</v>
      </c>
      <c r="AC1646">
        <v>-3.0455930000000002</v>
      </c>
      <c r="AD1646">
        <v>7.2887419999999994E-2</v>
      </c>
      <c r="AE1646">
        <v>9.8907469999999997E-2</v>
      </c>
      <c r="AF1646">
        <v>0.145463896715022</v>
      </c>
      <c r="AG1646">
        <v>7.2887419999999994E-2</v>
      </c>
      <c r="AH1646">
        <v>3.0419802142227801</v>
      </c>
      <c r="AI1646">
        <v>88.628992109139205</v>
      </c>
      <c r="AJ1646">
        <v>87.262269039210494</v>
      </c>
      <c r="AK1646">
        <v>3.0463282726857699</v>
      </c>
      <c r="AL1646">
        <v>77.737034796225004</v>
      </c>
      <c r="AM1646">
        <v>86.003363500736398</v>
      </c>
      <c r="AN1646">
        <v>1.00000000025419</v>
      </c>
    </row>
    <row r="1647" spans="1:40" x14ac:dyDescent="0.25">
      <c r="A1647" t="str">
        <f>"20190303170754010"</f>
        <v>20190303170754010</v>
      </c>
      <c r="B1647" t="str">
        <f>"1551604074003794"</f>
        <v>1551604074003794</v>
      </c>
      <c r="C1647" t="s">
        <v>40</v>
      </c>
      <c r="D1647">
        <v>4.17239</v>
      </c>
      <c r="E1647">
        <v>0.49688159999999998</v>
      </c>
      <c r="F1647" t="s">
        <v>45</v>
      </c>
      <c r="G1647">
        <v>0</v>
      </c>
      <c r="H1647">
        <v>0</v>
      </c>
      <c r="I1647">
        <v>0</v>
      </c>
      <c r="J1647">
        <v>-362.15559999999999</v>
      </c>
      <c r="K1647">
        <v>1.120865</v>
      </c>
      <c r="L1647">
        <v>284.75810000000001</v>
      </c>
      <c r="M1647">
        <v>-0.99981640000000005</v>
      </c>
      <c r="N1647">
        <v>-1.151666E-2</v>
      </c>
      <c r="O1647">
        <v>-1.5310010000000001E-2</v>
      </c>
      <c r="P1647">
        <v>-0.97827739999999996</v>
      </c>
      <c r="Q1647">
        <v>0.20045750000000001</v>
      </c>
      <c r="R1647">
        <v>5.2821020000000003E-2</v>
      </c>
      <c r="S1647">
        <v>-3.0450740000000001</v>
      </c>
      <c r="T1647">
        <v>7.997203E-2</v>
      </c>
      <c r="U1647">
        <v>0.1002502</v>
      </c>
      <c r="V1647">
        <v>6.7803069999999993E-2</v>
      </c>
      <c r="W1647">
        <v>0.21169660000000001</v>
      </c>
      <c r="X1647">
        <v>0.97498070000000003</v>
      </c>
      <c r="Y1647">
        <v>4.8182929999999999E-2</v>
      </c>
      <c r="Z1647">
        <v>-9.3301069999999998E-4</v>
      </c>
      <c r="AA1647">
        <v>0.99883809999999995</v>
      </c>
      <c r="AB1647">
        <v>33</v>
      </c>
      <c r="AC1647">
        <v>-3.0450740000000001</v>
      </c>
      <c r="AD1647">
        <v>7.997203E-2</v>
      </c>
      <c r="AE1647">
        <v>0.1002502</v>
      </c>
      <c r="AF1647">
        <v>0.14676054129656799</v>
      </c>
      <c r="AG1647">
        <v>7.997203E-2</v>
      </c>
      <c r="AH1647">
        <v>3.0410868563014302</v>
      </c>
      <c r="AI1647">
        <v>88.495379613281102</v>
      </c>
      <c r="AJ1647">
        <v>87.237092774100901</v>
      </c>
      <c r="AK1647">
        <v>3.0456761892284798</v>
      </c>
      <c r="AL1647">
        <v>77.778204556333904</v>
      </c>
      <c r="AM1647">
        <v>86.021885131178905</v>
      </c>
      <c r="AN1647">
        <v>1.0000000360627299</v>
      </c>
    </row>
    <row r="1648" spans="1:40" x14ac:dyDescent="0.25">
      <c r="A1648" t="str">
        <f>"20190303170754033"</f>
        <v>20190303170754033</v>
      </c>
      <c r="B1648" t="str">
        <f>"1551604074024290"</f>
        <v>1551604074024290</v>
      </c>
      <c r="C1648" t="s">
        <v>40</v>
      </c>
      <c r="D1648">
        <v>4.319115</v>
      </c>
      <c r="E1648">
        <v>0.49692979999999998</v>
      </c>
      <c r="F1648" t="s">
        <v>45</v>
      </c>
      <c r="G1648">
        <v>0</v>
      </c>
      <c r="H1648">
        <v>0</v>
      </c>
      <c r="I1648">
        <v>0</v>
      </c>
      <c r="J1648">
        <v>-362.49119999999999</v>
      </c>
      <c r="K1648">
        <v>1.120817</v>
      </c>
      <c r="L1648">
        <v>284.75299999999999</v>
      </c>
      <c r="M1648">
        <v>-0.99981980000000004</v>
      </c>
      <c r="N1648">
        <v>-1.1261190000000001E-2</v>
      </c>
      <c r="O1648">
        <v>-1.529048E-2</v>
      </c>
      <c r="P1648">
        <v>-0.97848889999999999</v>
      </c>
      <c r="Q1648">
        <v>0.19957659999999999</v>
      </c>
      <c r="R1648">
        <v>5.2237520000000003E-2</v>
      </c>
      <c r="S1648">
        <v>-3.0443120000000001</v>
      </c>
      <c r="T1648">
        <v>8.2539799999999997E-2</v>
      </c>
      <c r="U1648">
        <v>9.9334720000000001E-2</v>
      </c>
      <c r="V1648">
        <v>6.7207550000000005E-2</v>
      </c>
      <c r="W1648">
        <v>0.21056859999999999</v>
      </c>
      <c r="X1648">
        <v>0.97526610000000002</v>
      </c>
      <c r="Y1648">
        <v>4.7870250000000003E-2</v>
      </c>
      <c r="Z1648">
        <v>-9.6550219999999999E-4</v>
      </c>
      <c r="AA1648">
        <v>0.99885310000000005</v>
      </c>
      <c r="AB1648">
        <v>34</v>
      </c>
      <c r="AC1648">
        <v>-3.0443120000000001</v>
      </c>
      <c r="AD1648">
        <v>8.2539799999999997E-2</v>
      </c>
      <c r="AE1648">
        <v>9.9334720000000001E-2</v>
      </c>
      <c r="AF1648">
        <v>0.14576800292870701</v>
      </c>
      <c r="AG1648">
        <v>8.2539799999999997E-2</v>
      </c>
      <c r="AH1648">
        <v>3.0402045960454598</v>
      </c>
      <c r="AI1648">
        <v>88.446618309781002</v>
      </c>
      <c r="AJ1648">
        <v>87.254954438004603</v>
      </c>
      <c r="AK1648">
        <v>3.04481610529729</v>
      </c>
      <c r="AL1648">
        <v>77.844323998428905</v>
      </c>
      <c r="AM1648">
        <v>86.057864847273194</v>
      </c>
      <c r="AN1648">
        <v>0.99999997794608597</v>
      </c>
    </row>
    <row r="1649" spans="1:40" x14ac:dyDescent="0.25">
      <c r="A1649" t="str">
        <f>"20190303170754053"</f>
        <v>20190303170754053</v>
      </c>
      <c r="B1649" t="str">
        <f>"1551604074043810"</f>
        <v>1551604074043810</v>
      </c>
      <c r="C1649" t="s">
        <v>40</v>
      </c>
      <c r="D1649">
        <v>4.2211509999999999</v>
      </c>
      <c r="E1649">
        <v>0.49703059999999899</v>
      </c>
      <c r="F1649" t="s">
        <v>45</v>
      </c>
      <c r="G1649">
        <v>0</v>
      </c>
      <c r="H1649">
        <v>0</v>
      </c>
      <c r="I1649">
        <v>0</v>
      </c>
      <c r="J1649">
        <v>-362.80220000000003</v>
      </c>
      <c r="K1649">
        <v>1.120779</v>
      </c>
      <c r="L1649">
        <v>284.7482</v>
      </c>
      <c r="M1649">
        <v>-0.99982300000000002</v>
      </c>
      <c r="N1649">
        <v>-1.1021319999999999E-2</v>
      </c>
      <c r="O1649">
        <v>-1.525983E-2</v>
      </c>
      <c r="P1649">
        <v>-0.97831590000000002</v>
      </c>
      <c r="Q1649">
        <v>0.20024919999999999</v>
      </c>
      <c r="R1649">
        <v>5.2901959999999998E-2</v>
      </c>
      <c r="S1649">
        <v>-3.0441889999999998</v>
      </c>
      <c r="T1649">
        <v>8.1022979999999994E-2</v>
      </c>
      <c r="U1649">
        <v>9.8144529999999994E-2</v>
      </c>
      <c r="V1649">
        <v>6.7844680000000004E-2</v>
      </c>
      <c r="W1649">
        <v>0.21100360000000001</v>
      </c>
      <c r="X1649">
        <v>0.97512799999999999</v>
      </c>
      <c r="Y1649">
        <v>4.745166E-2</v>
      </c>
      <c r="Z1649">
        <v>-9.4369180000000003E-4</v>
      </c>
      <c r="AA1649">
        <v>0.99887309999999996</v>
      </c>
      <c r="AB1649">
        <v>34</v>
      </c>
      <c r="AC1649">
        <v>-3.0441889999999998</v>
      </c>
      <c r="AD1649">
        <v>8.1022979999999994E-2</v>
      </c>
      <c r="AE1649">
        <v>9.8144529999999994E-2</v>
      </c>
      <c r="AF1649">
        <v>0.14448747328412101</v>
      </c>
      <c r="AG1649">
        <v>8.1022979999999994E-2</v>
      </c>
      <c r="AH1649">
        <v>3.0401853337471798</v>
      </c>
      <c r="AI1649">
        <v>88.475110729469193</v>
      </c>
      <c r="AJ1649">
        <v>87.279015253102699</v>
      </c>
      <c r="AK1649">
        <v>3.0446950942180702</v>
      </c>
      <c r="AL1649">
        <v>77.818827979794904</v>
      </c>
      <c r="AM1649">
        <v>86.020051008859099</v>
      </c>
      <c r="AN1649">
        <v>1.0000000181006301</v>
      </c>
    </row>
    <row r="1650" spans="1:40" x14ac:dyDescent="0.25">
      <c r="A1650" t="str">
        <f>"20190303170754076"</f>
        <v>20190303170754076</v>
      </c>
      <c r="B1650" t="str">
        <f>"1551604074064307"</f>
        <v>1551604074064307</v>
      </c>
      <c r="C1650" t="s">
        <v>40</v>
      </c>
      <c r="D1650">
        <v>4.2150420000000004</v>
      </c>
      <c r="E1650">
        <v>0.4971701</v>
      </c>
      <c r="F1650" t="s">
        <v>45</v>
      </c>
      <c r="G1650">
        <v>0</v>
      </c>
      <c r="H1650">
        <v>0</v>
      </c>
      <c r="I1650">
        <v>0</v>
      </c>
      <c r="J1650">
        <v>-363.13810000000001</v>
      </c>
      <c r="K1650">
        <v>1.1207389999999999</v>
      </c>
      <c r="L1650">
        <v>284.7432</v>
      </c>
      <c r="M1650">
        <v>-0.99982660000000001</v>
      </c>
      <c r="N1650">
        <v>-1.076013E-2</v>
      </c>
      <c r="O1650">
        <v>-1.5204229999999999E-2</v>
      </c>
      <c r="P1650">
        <v>-0.97812770000000004</v>
      </c>
      <c r="Q1650">
        <v>0.2007371</v>
      </c>
      <c r="R1650">
        <v>5.4507460000000001E-2</v>
      </c>
      <c r="S1650">
        <v>-3.0438230000000002</v>
      </c>
      <c r="T1650">
        <v>8.3953739999999999E-2</v>
      </c>
      <c r="U1650">
        <v>0.1016541</v>
      </c>
      <c r="V1650">
        <v>6.9400809999999993E-2</v>
      </c>
      <c r="W1650">
        <v>0.21123149999999999</v>
      </c>
      <c r="X1650">
        <v>0.97496910000000003</v>
      </c>
      <c r="Y1650">
        <v>4.8548599999999997E-2</v>
      </c>
      <c r="Z1650">
        <v>-9.9059249999999995E-4</v>
      </c>
      <c r="AA1650">
        <v>0.99882029999999999</v>
      </c>
      <c r="AB1650">
        <v>34</v>
      </c>
      <c r="AC1650">
        <v>-3.0438230000000002</v>
      </c>
      <c r="AD1650">
        <v>8.3953739999999999E-2</v>
      </c>
      <c r="AE1650">
        <v>0.1016541</v>
      </c>
      <c r="AF1650">
        <v>0.14781168621058299</v>
      </c>
      <c r="AG1650">
        <v>8.3953739999999999E-2</v>
      </c>
      <c r="AH1650">
        <v>3.0396156512772001</v>
      </c>
      <c r="AI1650">
        <v>88.419767521416603</v>
      </c>
      <c r="AJ1650">
        <v>87.215990240746706</v>
      </c>
      <c r="AK1650">
        <v>3.0443652593816202</v>
      </c>
      <c r="AL1650">
        <v>77.805468732480804</v>
      </c>
      <c r="AM1650">
        <v>85.928406539405302</v>
      </c>
      <c r="AN1650">
        <v>0.99999998248785704</v>
      </c>
    </row>
    <row r="1651" spans="1:40" x14ac:dyDescent="0.25">
      <c r="A1651" t="str">
        <f>"20190303170754100"</f>
        <v>20190303170754100</v>
      </c>
      <c r="B1651" t="str">
        <f>"1551604074094562"</f>
        <v>1551604074094562</v>
      </c>
      <c r="C1651" t="s">
        <v>40</v>
      </c>
      <c r="D1651">
        <v>4.2128480000000001</v>
      </c>
      <c r="E1651">
        <v>0.49727280000000001</v>
      </c>
      <c r="F1651" t="s">
        <v>45</v>
      </c>
      <c r="G1651">
        <v>0</v>
      </c>
      <c r="H1651">
        <v>0</v>
      </c>
      <c r="I1651">
        <v>0</v>
      </c>
      <c r="J1651">
        <v>-363.48970000000003</v>
      </c>
      <c r="K1651">
        <v>1.120684</v>
      </c>
      <c r="L1651">
        <v>284.73790000000002</v>
      </c>
      <c r="M1651">
        <v>-0.99983089999999997</v>
      </c>
      <c r="N1651">
        <v>-1.0481580000000001E-2</v>
      </c>
      <c r="O1651">
        <v>-1.5109030000000001E-2</v>
      </c>
      <c r="P1651">
        <v>-0.9777865</v>
      </c>
      <c r="Q1651">
        <v>0.20237579999999999</v>
      </c>
      <c r="R1651">
        <v>5.4567070000000002E-2</v>
      </c>
      <c r="S1651">
        <v>-3.0433650000000001</v>
      </c>
      <c r="T1651">
        <v>8.6060289999999998E-2</v>
      </c>
      <c r="U1651">
        <v>0.1082458</v>
      </c>
      <c r="V1651">
        <v>6.9375140000000002E-2</v>
      </c>
      <c r="W1651">
        <v>0.21259030000000001</v>
      </c>
      <c r="X1651">
        <v>0.97467550000000003</v>
      </c>
      <c r="Y1651">
        <v>5.0617549999999997E-2</v>
      </c>
      <c r="Z1651">
        <v>-1.035233E-3</v>
      </c>
      <c r="AA1651">
        <v>0.99871750000000004</v>
      </c>
      <c r="AB1651">
        <v>34</v>
      </c>
      <c r="AC1651">
        <v>-3.0433650000000001</v>
      </c>
      <c r="AD1651">
        <v>8.6060289999999998E-2</v>
      </c>
      <c r="AE1651">
        <v>0.1082458</v>
      </c>
      <c r="AF1651">
        <v>0.15409519651773601</v>
      </c>
      <c r="AG1651">
        <v>8.6060289999999998E-2</v>
      </c>
      <c r="AH1651">
        <v>3.0389549726704601</v>
      </c>
      <c r="AI1651">
        <v>88.379952273940006</v>
      </c>
      <c r="AJ1651">
        <v>87.097209666617701</v>
      </c>
      <c r="AK1651">
        <v>3.0440760550655201</v>
      </c>
      <c r="AL1651">
        <v>77.7258054430106</v>
      </c>
      <c r="AM1651">
        <v>85.928685574360699</v>
      </c>
      <c r="AN1651">
        <v>0.99999993800217701</v>
      </c>
    </row>
    <row r="1652" spans="1:40" x14ac:dyDescent="0.25">
      <c r="A1652" t="str">
        <f>"20190303170754122"</f>
        <v>20190303170754122</v>
      </c>
      <c r="B1652" t="str">
        <f>"1551604074114086"</f>
        <v>1551604074114086</v>
      </c>
      <c r="C1652" t="s">
        <v>40</v>
      </c>
      <c r="D1652">
        <v>4.3207789999999999</v>
      </c>
      <c r="E1652">
        <v>0.4973572</v>
      </c>
      <c r="F1652" t="s">
        <v>45</v>
      </c>
      <c r="G1652">
        <v>0</v>
      </c>
      <c r="H1652">
        <v>0</v>
      </c>
      <c r="I1652">
        <v>0</v>
      </c>
      <c r="J1652">
        <v>-363.84140000000002</v>
      </c>
      <c r="K1652">
        <v>1.120619</v>
      </c>
      <c r="L1652">
        <v>284.73270000000002</v>
      </c>
      <c r="M1652">
        <v>-0.99983599999999995</v>
      </c>
      <c r="N1652">
        <v>-1.020163E-2</v>
      </c>
      <c r="O1652">
        <v>-1.4966210000000001E-2</v>
      </c>
      <c r="P1652">
        <v>-0.97781960000000001</v>
      </c>
      <c r="Q1652">
        <v>0.20248440000000001</v>
      </c>
      <c r="R1652">
        <v>5.3566309999999999E-2</v>
      </c>
      <c r="S1652">
        <v>-3.042999</v>
      </c>
      <c r="T1652">
        <v>9.2248919999999998E-2</v>
      </c>
      <c r="U1652">
        <v>0.1094055</v>
      </c>
      <c r="V1652">
        <v>6.825262E-2</v>
      </c>
      <c r="W1652">
        <v>0.21242169999999999</v>
      </c>
      <c r="X1652">
        <v>0.97479159999999998</v>
      </c>
      <c r="Y1652">
        <v>5.0855530000000003E-2</v>
      </c>
      <c r="Z1652">
        <v>-1.1169369999999999E-3</v>
      </c>
      <c r="AA1652">
        <v>0.99870539999999997</v>
      </c>
      <c r="AB1652">
        <v>34</v>
      </c>
      <c r="AC1652">
        <v>-3.042999</v>
      </c>
      <c r="AD1652">
        <v>9.2248919999999998E-2</v>
      </c>
      <c r="AE1652">
        <v>0.1094055</v>
      </c>
      <c r="AF1652">
        <v>0.15479570069600701</v>
      </c>
      <c r="AG1652">
        <v>9.2248919999999998E-2</v>
      </c>
      <c r="AH1652">
        <v>3.0382321249279198</v>
      </c>
      <c r="AI1652">
        <v>88.263131392855698</v>
      </c>
      <c r="AJ1652">
        <v>87.083343981306598</v>
      </c>
      <c r="AK1652">
        <v>3.0435712604010399</v>
      </c>
      <c r="AL1652">
        <v>77.735692467113395</v>
      </c>
      <c r="AM1652">
        <v>85.994820549806803</v>
      </c>
      <c r="AN1652">
        <v>1.0000000310991499</v>
      </c>
    </row>
    <row r="1653" spans="1:40" x14ac:dyDescent="0.25">
      <c r="A1653" t="str">
        <f>"20190303170754144"</f>
        <v>20190303170754144</v>
      </c>
      <c r="B1653" t="str">
        <f>"1551604074134578"</f>
        <v>1551604074134578</v>
      </c>
      <c r="C1653" t="s">
        <v>40</v>
      </c>
      <c r="D1653">
        <v>4.2498870000000002</v>
      </c>
      <c r="E1653">
        <v>0.49735699999999999</v>
      </c>
      <c r="F1653" t="s">
        <v>45</v>
      </c>
      <c r="G1653">
        <v>0</v>
      </c>
      <c r="H1653">
        <v>0</v>
      </c>
      <c r="I1653">
        <v>0</v>
      </c>
      <c r="J1653">
        <v>-364.17259999999999</v>
      </c>
      <c r="K1653">
        <v>1.1205459999999901</v>
      </c>
      <c r="L1653">
        <v>284.72789999999998</v>
      </c>
      <c r="M1653">
        <v>-0.99984130000000004</v>
      </c>
      <c r="N1653">
        <v>-9.9431980000000003E-3</v>
      </c>
      <c r="O1653">
        <v>-1.4785E-2</v>
      </c>
      <c r="P1653">
        <v>-0.97810560000000002</v>
      </c>
      <c r="Q1653">
        <v>0.20138110000000001</v>
      </c>
      <c r="R1653">
        <v>5.2491580000000003E-2</v>
      </c>
      <c r="S1653">
        <v>-3.0429080000000002</v>
      </c>
      <c r="T1653">
        <v>9.3101379999999997E-2</v>
      </c>
      <c r="U1653">
        <v>0.1077576</v>
      </c>
      <c r="V1653">
        <v>6.7023689999999997E-2</v>
      </c>
      <c r="W1653">
        <v>0.21106369999999999</v>
      </c>
      <c r="X1653">
        <v>0.97517169999999997</v>
      </c>
      <c r="Y1653">
        <v>5.013517E-2</v>
      </c>
      <c r="Z1653">
        <v>-1.116229E-3</v>
      </c>
      <c r="AA1653">
        <v>0.99874180000000001</v>
      </c>
      <c r="AB1653">
        <v>34</v>
      </c>
      <c r="AC1653">
        <v>-3.0429080000000002</v>
      </c>
      <c r="AD1653">
        <v>9.3101379999999997E-2</v>
      </c>
      <c r="AE1653">
        <v>0.1077576</v>
      </c>
      <c r="AF1653">
        <v>0.152594768321128</v>
      </c>
      <c r="AG1653">
        <v>9.3101379999999997E-2</v>
      </c>
      <c r="AH1653">
        <v>3.0381415670584802</v>
      </c>
      <c r="AI1653">
        <v>88.246975067685</v>
      </c>
      <c r="AJ1653">
        <v>87.124658237237796</v>
      </c>
      <c r="AK1653">
        <v>3.04339567124708</v>
      </c>
      <c r="AL1653">
        <v>77.815304353650305</v>
      </c>
      <c r="AM1653">
        <v>86.068236122222601</v>
      </c>
      <c r="AN1653">
        <v>0.99999995247989604</v>
      </c>
    </row>
    <row r="1654" spans="1:40" x14ac:dyDescent="0.25">
      <c r="A1654" t="str">
        <f>"20190303170754166"</f>
        <v>20190303170754166</v>
      </c>
      <c r="B1654" t="str">
        <f>"1551604074154099"</f>
        <v>1551604074154099</v>
      </c>
      <c r="C1654" t="s">
        <v>40</v>
      </c>
      <c r="D1654">
        <v>4.253914</v>
      </c>
      <c r="E1654">
        <v>0.49734289999999998</v>
      </c>
      <c r="F1654" t="s">
        <v>45</v>
      </c>
      <c r="G1654">
        <v>0</v>
      </c>
      <c r="H1654">
        <v>0</v>
      </c>
      <c r="I1654">
        <v>0</v>
      </c>
      <c r="J1654">
        <v>-364.50599999999997</v>
      </c>
      <c r="K1654">
        <v>1.1204769999999999</v>
      </c>
      <c r="L1654">
        <v>284.72320000000002</v>
      </c>
      <c r="M1654">
        <v>-0.99984709999999999</v>
      </c>
      <c r="N1654">
        <v>-9.6972940000000004E-3</v>
      </c>
      <c r="O1654">
        <v>-1.455657E-2</v>
      </c>
      <c r="P1654">
        <v>-0.97820879999999999</v>
      </c>
      <c r="Q1654">
        <v>0.20097370000000001</v>
      </c>
      <c r="R1654">
        <v>5.2125129999999999E-2</v>
      </c>
      <c r="S1654">
        <v>-3.0429080000000002</v>
      </c>
      <c r="T1654">
        <v>9.053957E-2</v>
      </c>
      <c r="U1654">
        <v>0.10513309999999999</v>
      </c>
      <c r="V1654">
        <v>6.6454979999999997E-2</v>
      </c>
      <c r="W1654">
        <v>0.21041199999999999</v>
      </c>
      <c r="X1654">
        <v>0.97535150000000004</v>
      </c>
      <c r="Y1654">
        <v>4.9048580000000001E-2</v>
      </c>
      <c r="Z1654">
        <v>-1.0653780000000001E-3</v>
      </c>
      <c r="AA1654">
        <v>0.99879580000000001</v>
      </c>
      <c r="AB1654">
        <v>34</v>
      </c>
      <c r="AC1654">
        <v>-3.0429080000000002</v>
      </c>
      <c r="AD1654">
        <v>9.053957E-2</v>
      </c>
      <c r="AE1654">
        <v>0.10513309999999999</v>
      </c>
      <c r="AF1654">
        <v>0.149286334259119</v>
      </c>
      <c r="AG1654">
        <v>9.053957E-2</v>
      </c>
      <c r="AH1654">
        <v>3.0383684023653199</v>
      </c>
      <c r="AI1654">
        <v>88.295217991292503</v>
      </c>
      <c r="AJ1654">
        <v>87.1871074646414</v>
      </c>
      <c r="AK1654">
        <v>3.0433807471008798</v>
      </c>
      <c r="AL1654">
        <v>77.853502557121899</v>
      </c>
      <c r="AM1654">
        <v>86.102211096790001</v>
      </c>
      <c r="AN1654">
        <v>1.0000000113315199</v>
      </c>
    </row>
    <row r="1655" spans="1:40" x14ac:dyDescent="0.25">
      <c r="A1655" t="str">
        <f>"20190303170754189"</f>
        <v>20190303170754189</v>
      </c>
      <c r="B1655" t="str">
        <f>"1551604074174595"</f>
        <v>1551604074174595</v>
      </c>
      <c r="C1655" t="s">
        <v>40</v>
      </c>
      <c r="D1655">
        <v>4.3726820000000002</v>
      </c>
      <c r="E1655">
        <v>0.49728670000000003</v>
      </c>
      <c r="F1655" t="s">
        <v>45</v>
      </c>
      <c r="G1655">
        <v>0</v>
      </c>
      <c r="H1655">
        <v>0</v>
      </c>
      <c r="I1655">
        <v>0</v>
      </c>
      <c r="J1655">
        <v>-364.85180000000003</v>
      </c>
      <c r="K1655">
        <v>1.120411</v>
      </c>
      <c r="L1655">
        <v>284.71839999999997</v>
      </c>
      <c r="M1655">
        <v>-0.9998534</v>
      </c>
      <c r="N1655">
        <v>-9.4634999999999997E-3</v>
      </c>
      <c r="O1655">
        <v>-1.427257E-2</v>
      </c>
      <c r="P1655">
        <v>-0.97809650000000004</v>
      </c>
      <c r="Q1655">
        <v>0.20163210000000001</v>
      </c>
      <c r="R1655">
        <v>5.1690529999999998E-2</v>
      </c>
      <c r="S1655">
        <v>-3.0428470000000001</v>
      </c>
      <c r="T1655">
        <v>8.9777830000000003E-2</v>
      </c>
      <c r="U1655">
        <v>0.1036987</v>
      </c>
      <c r="V1655">
        <v>6.5761829999999993E-2</v>
      </c>
      <c r="W1655">
        <v>0.2108353</v>
      </c>
      <c r="X1655">
        <v>0.97530700000000004</v>
      </c>
      <c r="Y1655">
        <v>4.8296119999999998E-2</v>
      </c>
      <c r="Z1655">
        <v>-1.039381E-3</v>
      </c>
      <c r="AA1655">
        <v>0.99883250000000001</v>
      </c>
      <c r="AB1655">
        <v>34</v>
      </c>
      <c r="AC1655">
        <v>-3.0428470000000001</v>
      </c>
      <c r="AD1655">
        <v>8.9777830000000003E-2</v>
      </c>
      <c r="AE1655">
        <v>0.1036987</v>
      </c>
      <c r="AF1655">
        <v>0.14699151588852999</v>
      </c>
      <c r="AG1655">
        <v>8.9777830000000003E-2</v>
      </c>
      <c r="AH1655">
        <v>3.0384149919079002</v>
      </c>
      <c r="AI1655">
        <v>88.309516319751197</v>
      </c>
      <c r="AJ1655">
        <v>87.230321586741198</v>
      </c>
      <c r="AK1655">
        <v>3.0432929907508699</v>
      </c>
      <c r="AL1655">
        <v>77.828691856943294</v>
      </c>
      <c r="AM1655">
        <v>86.142567641053304</v>
      </c>
      <c r="AN1655">
        <v>0.99999994313001705</v>
      </c>
    </row>
    <row r="1656" spans="1:40" x14ac:dyDescent="0.25">
      <c r="A1656" t="str">
        <f>"20190303170754211"</f>
        <v>20190303170754211</v>
      </c>
      <c r="B1656" t="str">
        <f>"1551604074203874"</f>
        <v>1551604074203874</v>
      </c>
      <c r="C1656" t="s">
        <v>40</v>
      </c>
      <c r="D1656">
        <v>4.2615410000000002</v>
      </c>
      <c r="E1656">
        <v>0.49547210000000003</v>
      </c>
      <c r="F1656" t="s">
        <v>45</v>
      </c>
      <c r="G1656">
        <v>0</v>
      </c>
      <c r="H1656">
        <v>0</v>
      </c>
      <c r="I1656">
        <v>0</v>
      </c>
      <c r="J1656">
        <v>-365.20490000000001</v>
      </c>
      <c r="K1656">
        <v>1.1203529999999999</v>
      </c>
      <c r="L1656">
        <v>284.71370000000002</v>
      </c>
      <c r="M1656">
        <v>-0.99986030000000004</v>
      </c>
      <c r="N1656">
        <v>-9.2424480000000003E-3</v>
      </c>
      <c r="O1656">
        <v>-1.3932190000000001E-2</v>
      </c>
      <c r="P1656">
        <v>-0.97809599999999997</v>
      </c>
      <c r="Q1656">
        <v>0.20186599999999999</v>
      </c>
      <c r="R1656">
        <v>5.077947E-2</v>
      </c>
      <c r="S1656">
        <v>-3.042694</v>
      </c>
      <c r="T1656">
        <v>9.2401029999999995E-2</v>
      </c>
      <c r="U1656">
        <v>0.1021729</v>
      </c>
      <c r="V1656">
        <v>6.4537520000000001E-2</v>
      </c>
      <c r="W1656">
        <v>0.2108488</v>
      </c>
      <c r="X1656">
        <v>0.97538590000000003</v>
      </c>
      <c r="Y1656">
        <v>4.7456379999999999E-2</v>
      </c>
      <c r="Z1656">
        <v>-1.052388E-3</v>
      </c>
      <c r="AA1656">
        <v>0.99887280000000001</v>
      </c>
      <c r="AB1656">
        <v>34</v>
      </c>
      <c r="AC1656">
        <v>-3.042694</v>
      </c>
      <c r="AD1656">
        <v>9.2401029999999995E-2</v>
      </c>
      <c r="AE1656">
        <v>0.1021729</v>
      </c>
      <c r="AF1656">
        <v>0.144423140311501</v>
      </c>
      <c r="AG1656">
        <v>9.2401029999999995E-2</v>
      </c>
      <c r="AH1656">
        <v>3.03817637756155</v>
      </c>
      <c r="AI1656">
        <v>88.2599457691921</v>
      </c>
      <c r="AJ1656">
        <v>87.278429236385193</v>
      </c>
      <c r="AK1656">
        <v>3.0430103014902099</v>
      </c>
      <c r="AL1656">
        <v>77.827901043194899</v>
      </c>
      <c r="AM1656">
        <v>86.214477284094002</v>
      </c>
      <c r="AN1656">
        <v>0.999999980934</v>
      </c>
    </row>
    <row r="1657" spans="1:40" x14ac:dyDescent="0.25">
      <c r="A1657" t="str">
        <f>"20190303170754233"</f>
        <v>20190303170754233</v>
      </c>
      <c r="B1657" t="str">
        <f>"1551604074224370"</f>
        <v>1551604074224370</v>
      </c>
      <c r="C1657" t="s">
        <v>40</v>
      </c>
      <c r="D1657">
        <v>4.2665749999999996</v>
      </c>
      <c r="E1657">
        <v>0.4944865</v>
      </c>
      <c r="F1657" t="s">
        <v>45</v>
      </c>
      <c r="G1657">
        <v>0</v>
      </c>
      <c r="H1657">
        <v>0</v>
      </c>
      <c r="I1657">
        <v>0</v>
      </c>
      <c r="J1657">
        <v>-365.52809999999999</v>
      </c>
      <c r="K1657">
        <v>1.1203019999999999</v>
      </c>
      <c r="L1657">
        <v>284.70940000000002</v>
      </c>
      <c r="M1657">
        <v>-0.99986679999999994</v>
      </c>
      <c r="N1657">
        <v>-9.0549930000000008E-3</v>
      </c>
      <c r="O1657">
        <v>-1.3584789999999999E-2</v>
      </c>
      <c r="P1657">
        <v>-0.97820569999999896</v>
      </c>
      <c r="Q1657">
        <v>0.20171559999999999</v>
      </c>
      <c r="R1657">
        <v>4.9242660000000001E-2</v>
      </c>
      <c r="S1657">
        <v>-3.0455019999999999</v>
      </c>
      <c r="T1657">
        <v>8.395743E-2</v>
      </c>
      <c r="U1657">
        <v>8.4197999999999995E-2</v>
      </c>
      <c r="V1657">
        <v>6.2678719999999993E-2</v>
      </c>
      <c r="W1657">
        <v>0.21051320000000001</v>
      </c>
      <c r="X1657">
        <v>0.97557959999999999</v>
      </c>
      <c r="Y1657">
        <v>4.1194130000000002E-2</v>
      </c>
      <c r="Z1657">
        <v>-8.7835050000000003E-4</v>
      </c>
      <c r="AA1657">
        <v>0.99915080000000001</v>
      </c>
      <c r="AB1657">
        <v>34</v>
      </c>
      <c r="AC1657">
        <v>-3.0455019999999999</v>
      </c>
      <c r="AD1657">
        <v>8.395743E-2</v>
      </c>
      <c r="AE1657">
        <v>8.4197999999999995E-2</v>
      </c>
      <c r="AF1657">
        <v>0.12546914702592801</v>
      </c>
      <c r="AG1657">
        <v>8.395743E-2</v>
      </c>
      <c r="AH1657">
        <v>3.0417671788982998</v>
      </c>
      <c r="AI1657">
        <v>88.420292861358902</v>
      </c>
      <c r="AJ1657">
        <v>87.637958747427703</v>
      </c>
      <c r="AK1657">
        <v>3.04551127522631</v>
      </c>
      <c r="AL1657">
        <v>77.847571146404505</v>
      </c>
      <c r="AM1657">
        <v>86.323931866827607</v>
      </c>
      <c r="AN1657">
        <v>0.99999999262561901</v>
      </c>
    </row>
    <row r="1658" spans="1:40" x14ac:dyDescent="0.25">
      <c r="A1658" t="str">
        <f>"20190303170754255"</f>
        <v>20190303170754255</v>
      </c>
      <c r="B1658" t="str">
        <f>"1551604074243891"</f>
        <v>1551604074243891</v>
      </c>
      <c r="C1658" t="s">
        <v>40</v>
      </c>
      <c r="D1658">
        <v>4.3173510000000004</v>
      </c>
      <c r="E1658">
        <v>0.49364049999999998</v>
      </c>
      <c r="F1658" t="s">
        <v>45</v>
      </c>
      <c r="G1658">
        <v>0</v>
      </c>
      <c r="H1658">
        <v>0</v>
      </c>
      <c r="I1658">
        <v>0</v>
      </c>
      <c r="J1658">
        <v>-365.86900000000003</v>
      </c>
      <c r="K1658">
        <v>1.1202449999999999</v>
      </c>
      <c r="L1658">
        <v>284.70519999999999</v>
      </c>
      <c r="M1658">
        <v>-0.99987360000000003</v>
      </c>
      <c r="N1658">
        <v>-8.8742300000000003E-3</v>
      </c>
      <c r="O1658">
        <v>-1.3190739999999999E-2</v>
      </c>
      <c r="P1658">
        <v>-0.97849299999999995</v>
      </c>
      <c r="Q1658">
        <v>0.20047010000000001</v>
      </c>
      <c r="R1658">
        <v>4.8615409999999998E-2</v>
      </c>
      <c r="S1658">
        <v>-3.047272</v>
      </c>
      <c r="T1658">
        <v>7.7353720000000001E-2</v>
      </c>
      <c r="U1658">
        <v>7.1807860000000001E-2</v>
      </c>
      <c r="V1658">
        <v>6.1683429999999997E-2</v>
      </c>
      <c r="W1658">
        <v>0.20909069999999999</v>
      </c>
      <c r="X1658">
        <v>0.97594890000000001</v>
      </c>
      <c r="Y1658">
        <v>3.6728230000000001E-2</v>
      </c>
      <c r="Z1658">
        <v>-7.5477849999999996E-4</v>
      </c>
      <c r="AA1658">
        <v>0.99932500000000002</v>
      </c>
      <c r="AB1658">
        <v>34</v>
      </c>
      <c r="AC1658">
        <v>-3.047272</v>
      </c>
      <c r="AD1658">
        <v>7.7353720000000001E-2</v>
      </c>
      <c r="AE1658">
        <v>7.1807860000000001E-2</v>
      </c>
      <c r="AF1658">
        <v>0.111926885271872</v>
      </c>
      <c r="AG1658">
        <v>7.7353720000000001E-2</v>
      </c>
      <c r="AH1658">
        <v>3.0440991668863</v>
      </c>
      <c r="AI1658">
        <v>88.545350549383102</v>
      </c>
      <c r="AJ1658">
        <v>87.894270126397899</v>
      </c>
      <c r="AK1658">
        <v>3.0471381595658502</v>
      </c>
      <c r="AL1658">
        <v>77.930929859840802</v>
      </c>
      <c r="AM1658">
        <v>86.383514092699997</v>
      </c>
      <c r="AN1658">
        <v>1.0000000108871301</v>
      </c>
    </row>
    <row r="1659" spans="1:40" x14ac:dyDescent="0.25">
      <c r="A1659" t="str">
        <f>"20190303170754278"</f>
        <v>20190303170754278</v>
      </c>
      <c r="B1659" t="str">
        <f>"1551604074264387"</f>
        <v>1551604074264387</v>
      </c>
      <c r="C1659" t="s">
        <v>40</v>
      </c>
      <c r="D1659">
        <v>4.2465609999999998</v>
      </c>
      <c r="E1659">
        <v>0.49286809999999998</v>
      </c>
      <c r="F1659" t="s">
        <v>45</v>
      </c>
      <c r="G1659">
        <v>0</v>
      </c>
      <c r="H1659">
        <v>0</v>
      </c>
      <c r="I1659">
        <v>0</v>
      </c>
      <c r="J1659">
        <v>-366.20749999999998</v>
      </c>
      <c r="K1659">
        <v>1.120196</v>
      </c>
      <c r="L1659">
        <v>284.7011</v>
      </c>
      <c r="M1659">
        <v>-0.99988069999999896</v>
      </c>
      <c r="N1659">
        <v>-8.7033879999999994E-3</v>
      </c>
      <c r="O1659">
        <v>-1.2775699999999999E-2</v>
      </c>
      <c r="P1659">
        <v>-0.97862300000000002</v>
      </c>
      <c r="Q1659">
        <v>0.1997768</v>
      </c>
      <c r="R1659">
        <v>4.8853840000000003E-2</v>
      </c>
      <c r="S1659">
        <v>-3.0488279999999999</v>
      </c>
      <c r="T1659">
        <v>6.8316100000000005E-2</v>
      </c>
      <c r="U1659">
        <v>6.2744140000000004E-2</v>
      </c>
      <c r="V1659">
        <v>6.1529760000000003E-2</v>
      </c>
      <c r="W1659">
        <v>0.20822850000000001</v>
      </c>
      <c r="X1659">
        <v>0.97614290000000004</v>
      </c>
      <c r="Y1659">
        <v>3.3335910000000003E-2</v>
      </c>
      <c r="Z1659">
        <v>-6.2566930000000002E-4</v>
      </c>
      <c r="AA1659">
        <v>0.999444</v>
      </c>
      <c r="AB1659">
        <v>34</v>
      </c>
      <c r="AC1659">
        <v>-3.0488279999999999</v>
      </c>
      <c r="AD1659">
        <v>6.8316100000000005E-2</v>
      </c>
      <c r="AE1659">
        <v>6.2744140000000004E-2</v>
      </c>
      <c r="AF1659">
        <v>0.101640387810411</v>
      </c>
      <c r="AG1659">
        <v>6.8316100000000005E-2</v>
      </c>
      <c r="AH1659">
        <v>3.0462486890299001</v>
      </c>
      <c r="AI1659">
        <v>88.715997049317295</v>
      </c>
      <c r="AJ1659">
        <v>88.088991998880303</v>
      </c>
      <c r="AK1659">
        <v>3.0487093881460501</v>
      </c>
      <c r="AL1659">
        <v>77.981441892024407</v>
      </c>
      <c r="AM1659">
        <v>86.393214975724604</v>
      </c>
      <c r="AN1659">
        <v>0.99999999039915799</v>
      </c>
    </row>
    <row r="1660" spans="1:40" x14ac:dyDescent="0.25">
      <c r="A1660" t="str">
        <f>"20190303170754301"</f>
        <v>20190303170754301</v>
      </c>
      <c r="B1660" t="str">
        <f>"1551604074294642"</f>
        <v>1551604074294642</v>
      </c>
      <c r="C1660" t="s">
        <v>40</v>
      </c>
      <c r="D1660">
        <v>4.3309480000000002</v>
      </c>
      <c r="E1660">
        <v>0.4918286</v>
      </c>
      <c r="F1660" t="s">
        <v>45</v>
      </c>
      <c r="G1660">
        <v>0</v>
      </c>
      <c r="H1660">
        <v>0</v>
      </c>
      <c r="I1660">
        <v>0</v>
      </c>
      <c r="J1660">
        <v>-366.57600000000002</v>
      </c>
      <c r="K1660">
        <v>1.1201570000000001</v>
      </c>
      <c r="L1660">
        <v>284.6968</v>
      </c>
      <c r="M1660">
        <v>-0.9998882</v>
      </c>
      <c r="N1660">
        <v>-8.5192600000000007E-3</v>
      </c>
      <c r="O1660">
        <v>-1.2299249999999999E-2</v>
      </c>
      <c r="P1660">
        <v>-0.97820810000000002</v>
      </c>
      <c r="Q1660">
        <v>0.20152880000000001</v>
      </c>
      <c r="R1660">
        <v>4.9953570000000003E-2</v>
      </c>
      <c r="S1660">
        <v>-3.0502319999999998</v>
      </c>
      <c r="T1660">
        <v>6.130207E-2</v>
      </c>
      <c r="U1660">
        <v>5.673218E-2</v>
      </c>
      <c r="V1660">
        <v>6.2172680000000001E-2</v>
      </c>
      <c r="W1660">
        <v>0.20979249999999999</v>
      </c>
      <c r="X1660">
        <v>0.9757673</v>
      </c>
      <c r="Y1660">
        <v>3.0883620000000001E-2</v>
      </c>
      <c r="Z1660">
        <v>-5.3060689999999996E-4</v>
      </c>
      <c r="AA1660">
        <v>0.99952289999999999</v>
      </c>
      <c r="AB1660">
        <v>34</v>
      </c>
      <c r="AC1660">
        <v>-3.0502319999999998</v>
      </c>
      <c r="AD1660">
        <v>6.130207E-2</v>
      </c>
      <c r="AE1660">
        <v>5.673218E-2</v>
      </c>
      <c r="AF1660">
        <v>9.4206773138594102E-2</v>
      </c>
      <c r="AG1660">
        <v>6.130207E-2</v>
      </c>
      <c r="AH1660">
        <v>3.04807275831502</v>
      </c>
      <c r="AI1660">
        <v>88.848386825382704</v>
      </c>
      <c r="AJ1660">
        <v>88.229723098366506</v>
      </c>
      <c r="AK1660">
        <v>3.0501443244334498</v>
      </c>
      <c r="AL1660">
        <v>77.8898084811443</v>
      </c>
      <c r="AM1660">
        <v>86.354229946768498</v>
      </c>
      <c r="AN1660">
        <v>1.0000000794719499</v>
      </c>
    </row>
    <row r="1661" spans="1:40" x14ac:dyDescent="0.25">
      <c r="A1661" t="str">
        <f>"20190303170754322"</f>
        <v>20190303170754322</v>
      </c>
      <c r="B1661" t="str">
        <f>"1551604074314166"</f>
        <v>1551604074314166</v>
      </c>
      <c r="C1661" t="s">
        <v>40</v>
      </c>
      <c r="D1661">
        <v>4.2957850000000004</v>
      </c>
      <c r="E1661">
        <v>0.49122300000000002</v>
      </c>
      <c r="F1661" t="s">
        <v>45</v>
      </c>
      <c r="G1661">
        <v>0</v>
      </c>
      <c r="H1661">
        <v>0</v>
      </c>
      <c r="I1661">
        <v>0</v>
      </c>
      <c r="J1661">
        <v>-366.91269999999997</v>
      </c>
      <c r="K1661">
        <v>1.120123</v>
      </c>
      <c r="L1661">
        <v>284.69310000000002</v>
      </c>
      <c r="M1661">
        <v>-0.99989499999999998</v>
      </c>
      <c r="N1661">
        <v>-8.3498329999999992E-3</v>
      </c>
      <c r="O1661">
        <v>-1.1845430000000001E-2</v>
      </c>
      <c r="P1661">
        <v>-0.97792990000000002</v>
      </c>
      <c r="Q1661">
        <v>0.20248140000000001</v>
      </c>
      <c r="R1661">
        <v>5.152317E-2</v>
      </c>
      <c r="S1661">
        <v>-3.051758</v>
      </c>
      <c r="T1661">
        <v>6.0393330000000002E-2</v>
      </c>
      <c r="U1661">
        <v>5.1330569999999999E-2</v>
      </c>
      <c r="V1661">
        <v>6.3307310000000006E-2</v>
      </c>
      <c r="W1661">
        <v>0.21057329999999999</v>
      </c>
      <c r="X1661">
        <v>0.975526</v>
      </c>
      <c r="Y1661">
        <v>2.8652670000000002E-2</v>
      </c>
      <c r="Z1661">
        <v>-4.9709310000000003E-4</v>
      </c>
      <c r="AA1661">
        <v>0.99958930000000001</v>
      </c>
      <c r="AB1661">
        <v>35</v>
      </c>
      <c r="AC1661">
        <v>-3.051758</v>
      </c>
      <c r="AD1661">
        <v>6.0393330000000002E-2</v>
      </c>
      <c r="AE1661">
        <v>5.1330569999999999E-2</v>
      </c>
      <c r="AF1661">
        <v>8.7443377692643903E-2</v>
      </c>
      <c r="AG1661">
        <v>6.0393330000000002E-2</v>
      </c>
      <c r="AH1661">
        <v>3.0497417836387299</v>
      </c>
      <c r="AI1661">
        <v>88.865999147033804</v>
      </c>
      <c r="AJ1661">
        <v>88.357643182194096</v>
      </c>
      <c r="AK1661">
        <v>3.0515928046649199</v>
      </c>
      <c r="AL1661">
        <v>77.844048229265795</v>
      </c>
      <c r="AM1661">
        <v>86.286964632232895</v>
      </c>
      <c r="AN1661">
        <v>0.99999995342416104</v>
      </c>
    </row>
    <row r="1662" spans="1:40" x14ac:dyDescent="0.25">
      <c r="A1662" t="str">
        <f>"20190303170754344"</f>
        <v>20190303170754344</v>
      </c>
      <c r="B1662" t="str">
        <f>"1551604074334659"</f>
        <v>1551604074334659</v>
      </c>
      <c r="C1662" t="s">
        <v>40</v>
      </c>
      <c r="D1662">
        <v>4.3102780000000003</v>
      </c>
      <c r="E1662">
        <v>0.49056070000000002</v>
      </c>
      <c r="F1662" t="s">
        <v>45</v>
      </c>
      <c r="G1662">
        <v>0</v>
      </c>
      <c r="H1662">
        <v>0</v>
      </c>
      <c r="I1662">
        <v>0</v>
      </c>
      <c r="J1662">
        <v>-367.25069999999999</v>
      </c>
      <c r="K1662">
        <v>1.120074</v>
      </c>
      <c r="L1662">
        <v>284.68939999999998</v>
      </c>
      <c r="M1662">
        <v>-0.99990190000000001</v>
      </c>
      <c r="N1662">
        <v>-8.1778709999999998E-3</v>
      </c>
      <c r="O1662">
        <v>-1.1376259999999999E-2</v>
      </c>
      <c r="P1662">
        <v>-0.97789490000000001</v>
      </c>
      <c r="Q1662">
        <v>0.20235149999999999</v>
      </c>
      <c r="R1662">
        <v>5.2683130000000002E-2</v>
      </c>
      <c r="S1662">
        <v>-3.0525820000000001</v>
      </c>
      <c r="T1662">
        <v>5.9974909999999999E-2</v>
      </c>
      <c r="U1662">
        <v>5.1483149999999998E-2</v>
      </c>
      <c r="V1662">
        <v>6.4018599999999995E-2</v>
      </c>
      <c r="W1662">
        <v>0.21027170000000001</v>
      </c>
      <c r="X1662">
        <v>0.97554470000000004</v>
      </c>
      <c r="Y1662">
        <v>2.8229400000000002E-2</v>
      </c>
      <c r="Z1662">
        <v>-4.7831609999999999E-4</v>
      </c>
      <c r="AA1662">
        <v>0.99960139999999997</v>
      </c>
      <c r="AB1662">
        <v>35</v>
      </c>
      <c r="AC1662">
        <v>-3.0525820000000001</v>
      </c>
      <c r="AD1662">
        <v>5.9974909999999999E-2</v>
      </c>
      <c r="AE1662">
        <v>5.1483149999999998E-2</v>
      </c>
      <c r="AF1662">
        <v>8.6174688863178098E-2</v>
      </c>
      <c r="AG1662">
        <v>5.9974909999999999E-2</v>
      </c>
      <c r="AH1662">
        <v>3.0506214919179202</v>
      </c>
      <c r="AI1662">
        <v>88.874164844064893</v>
      </c>
      <c r="AJ1662">
        <v>88.381925350506705</v>
      </c>
      <c r="AK1662">
        <v>3.0524276492296498</v>
      </c>
      <c r="AL1662">
        <v>77.861725160015595</v>
      </c>
      <c r="AM1662">
        <v>86.245437216675001</v>
      </c>
      <c r="AN1662">
        <v>1.00000001533247</v>
      </c>
    </row>
    <row r="1663" spans="1:40" x14ac:dyDescent="0.25">
      <c r="A1663" t="str">
        <f>"20190303170754371"</f>
        <v>20190303170754371</v>
      </c>
      <c r="B1663" t="str">
        <f>"1551604074363939"</f>
        <v>1551604074363939</v>
      </c>
      <c r="C1663" t="s">
        <v>40</v>
      </c>
      <c r="D1663">
        <v>4.2390639999999999</v>
      </c>
      <c r="E1663">
        <v>0.48961009999999999</v>
      </c>
      <c r="F1663" t="s">
        <v>45</v>
      </c>
      <c r="G1663">
        <v>0</v>
      </c>
      <c r="H1663">
        <v>0</v>
      </c>
      <c r="I1663">
        <v>0</v>
      </c>
      <c r="J1663">
        <v>-367.63940000000002</v>
      </c>
      <c r="K1663">
        <v>1.1200190000000001</v>
      </c>
      <c r="L1663">
        <v>284.68549999999999</v>
      </c>
      <c r="M1663">
        <v>-0.99990959999999995</v>
      </c>
      <c r="N1663">
        <v>-7.9773610000000005E-3</v>
      </c>
      <c r="O1663">
        <v>-1.082466E-2</v>
      </c>
      <c r="P1663">
        <v>-0.97801760000000004</v>
      </c>
      <c r="Q1663">
        <v>0.2013664</v>
      </c>
      <c r="R1663">
        <v>5.4158369999999997E-2</v>
      </c>
      <c r="S1663">
        <v>-3.0534970000000001</v>
      </c>
      <c r="T1663">
        <v>5.6326269999999998E-2</v>
      </c>
      <c r="U1663">
        <v>4.995728E-2</v>
      </c>
      <c r="V1663">
        <v>6.4964960000000002E-2</v>
      </c>
      <c r="W1663">
        <v>0.20908789999999999</v>
      </c>
      <c r="X1663">
        <v>0.97573659999999995</v>
      </c>
      <c r="Y1663">
        <v>2.717468E-2</v>
      </c>
      <c r="Z1663">
        <v>-4.2817970000000002E-4</v>
      </c>
      <c r="AA1663">
        <v>0.99963060000000004</v>
      </c>
      <c r="AB1663">
        <v>35</v>
      </c>
      <c r="AC1663">
        <v>-3.0534970000000001</v>
      </c>
      <c r="AD1663">
        <v>5.6326269999999998E-2</v>
      </c>
      <c r="AE1663">
        <v>4.995728E-2</v>
      </c>
      <c r="AF1663">
        <v>8.2980242832036102E-2</v>
      </c>
      <c r="AG1663">
        <v>5.6326269999999998E-2</v>
      </c>
      <c r="AH1663">
        <v>3.0517391561388298</v>
      </c>
      <c r="AI1663">
        <v>88.942996434526506</v>
      </c>
      <c r="AJ1663">
        <v>88.4424466721497</v>
      </c>
      <c r="AK1663">
        <v>3.0533866847327999</v>
      </c>
      <c r="AL1663">
        <v>77.931094445617902</v>
      </c>
      <c r="AM1663">
        <v>86.190844468073394</v>
      </c>
      <c r="AN1663">
        <v>1.0000000542668801</v>
      </c>
    </row>
    <row r="1664" spans="1:40" x14ac:dyDescent="0.25">
      <c r="A1664" t="str">
        <f>"20190303170754395"</f>
        <v>20190303170754395</v>
      </c>
      <c r="B1664" t="str">
        <f>"1551604074384436"</f>
        <v>1551604074384436</v>
      </c>
      <c r="C1664" t="s">
        <v>40</v>
      </c>
      <c r="D1664">
        <v>4.3253399999999997</v>
      </c>
      <c r="E1664">
        <v>0.48916900000000002</v>
      </c>
      <c r="F1664" t="s">
        <v>45</v>
      </c>
      <c r="G1664">
        <v>0</v>
      </c>
      <c r="H1664">
        <v>0</v>
      </c>
      <c r="I1664">
        <v>0</v>
      </c>
      <c r="J1664">
        <v>-368.03949999999998</v>
      </c>
      <c r="K1664">
        <v>1.1199669999999999</v>
      </c>
      <c r="L1664">
        <v>284.68169999999998</v>
      </c>
      <c r="M1664">
        <v>-0.99991750000000001</v>
      </c>
      <c r="N1664">
        <v>-7.7691330000000001E-3</v>
      </c>
      <c r="O1664">
        <v>-1.024711E-2</v>
      </c>
      <c r="P1664">
        <v>-0.97805949999999997</v>
      </c>
      <c r="Q1664">
        <v>0.2007805</v>
      </c>
      <c r="R1664">
        <v>5.5563960000000003E-2</v>
      </c>
      <c r="S1664">
        <v>-3.0547490000000002</v>
      </c>
      <c r="T1664">
        <v>4.9169900000000002E-2</v>
      </c>
      <c r="U1664">
        <v>4.6386719999999999E-2</v>
      </c>
      <c r="V1664">
        <v>6.5813140000000006E-2</v>
      </c>
      <c r="W1664">
        <v>0.20829610000000001</v>
      </c>
      <c r="X1664">
        <v>0.97584899999999997</v>
      </c>
      <c r="Y1664">
        <v>2.5424189999999999E-2</v>
      </c>
      <c r="Z1664">
        <v>-3.5033930000000002E-4</v>
      </c>
      <c r="AA1664">
        <v>0.99967669999999997</v>
      </c>
      <c r="AB1664">
        <v>35</v>
      </c>
      <c r="AC1664">
        <v>-3.0547490000000002</v>
      </c>
      <c r="AD1664">
        <v>4.9169900000000002E-2</v>
      </c>
      <c r="AE1664">
        <v>4.6386719999999999E-2</v>
      </c>
      <c r="AF1664">
        <v>7.7667454312162001E-2</v>
      </c>
      <c r="AG1664">
        <v>4.9169900000000002E-2</v>
      </c>
      <c r="AH1664">
        <v>3.0533223654400201</v>
      </c>
      <c r="AI1664">
        <v>89.077701872209701</v>
      </c>
      <c r="AJ1664">
        <v>88.542879724418299</v>
      </c>
      <c r="AK1664">
        <v>3.0547057763099899</v>
      </c>
      <c r="AL1664">
        <v>77.977481406272503</v>
      </c>
      <c r="AM1664">
        <v>86.141704675512202</v>
      </c>
      <c r="AN1664">
        <v>0.99999995273643305</v>
      </c>
    </row>
    <row r="1665" spans="1:40" x14ac:dyDescent="0.25">
      <c r="A1665" t="str">
        <f>"20190303170754412"</f>
        <v>20190303170754412</v>
      </c>
      <c r="B1665" t="str">
        <f>"1551604074403955"</f>
        <v>1551604074403955</v>
      </c>
      <c r="C1665" t="s">
        <v>40</v>
      </c>
      <c r="D1665">
        <v>4.3449920000000004</v>
      </c>
      <c r="E1665">
        <v>0.48866270000000001</v>
      </c>
      <c r="F1665" t="s">
        <v>45</v>
      </c>
      <c r="G1665">
        <v>0</v>
      </c>
      <c r="H1665">
        <v>0</v>
      </c>
      <c r="I1665">
        <v>0</v>
      </c>
      <c r="J1665">
        <v>-368.3252</v>
      </c>
      <c r="K1665">
        <v>1.119931</v>
      </c>
      <c r="L1665">
        <v>284.67910000000001</v>
      </c>
      <c r="M1665">
        <v>-0.99992259999999999</v>
      </c>
      <c r="N1665">
        <v>-7.6237730000000004E-3</v>
      </c>
      <c r="O1665">
        <v>-9.8311279999999997E-3</v>
      </c>
      <c r="P1665">
        <v>-0.9780179</v>
      </c>
      <c r="Q1665">
        <v>0.20074529999999999</v>
      </c>
      <c r="R1665">
        <v>5.6413499999999998E-2</v>
      </c>
      <c r="S1665">
        <v>-3.0555729999999999</v>
      </c>
      <c r="T1665">
        <v>4.4344189999999999E-2</v>
      </c>
      <c r="U1665">
        <v>4.669189E-2</v>
      </c>
      <c r="V1665">
        <v>6.6259819999999997E-2</v>
      </c>
      <c r="W1665">
        <v>0.208117</v>
      </c>
      <c r="X1665">
        <v>0.97585699999999997</v>
      </c>
      <c r="Y1665">
        <v>2.5104979999999999E-2</v>
      </c>
      <c r="Z1665">
        <v>-3.040424E-4</v>
      </c>
      <c r="AA1665">
        <v>0.99968480000000004</v>
      </c>
      <c r="AB1665">
        <v>35</v>
      </c>
      <c r="AC1665">
        <v>-3.0555729999999999</v>
      </c>
      <c r="AD1665">
        <v>4.4344189999999999E-2</v>
      </c>
      <c r="AE1665">
        <v>4.669189E-2</v>
      </c>
      <c r="AF1665">
        <v>7.6714082695925404E-2</v>
      </c>
      <c r="AG1665">
        <v>4.4344189999999999E-2</v>
      </c>
      <c r="AH1665">
        <v>3.05432314398556</v>
      </c>
      <c r="AI1665">
        <v>89.168471878971005</v>
      </c>
      <c r="AJ1665">
        <v>88.561229757035406</v>
      </c>
      <c r="AK1665">
        <v>3.0556081760520999</v>
      </c>
      <c r="AL1665">
        <v>77.987973178748703</v>
      </c>
      <c r="AM1665">
        <v>86.115629704529098</v>
      </c>
      <c r="AN1665">
        <v>0.99999996694221505</v>
      </c>
    </row>
    <row r="1666" spans="1:40" x14ac:dyDescent="0.25">
      <c r="A1666" t="str">
        <f>"20190303170754434"</f>
        <v>20190303170754434</v>
      </c>
      <c r="B1666" t="str">
        <f>"1551604074424451"</f>
        <v>1551604074424451</v>
      </c>
      <c r="C1666" t="s">
        <v>40</v>
      </c>
      <c r="D1666">
        <v>4.4048530000000001</v>
      </c>
      <c r="E1666">
        <v>0.48824129999999899</v>
      </c>
      <c r="F1666" t="s">
        <v>45</v>
      </c>
      <c r="G1666">
        <v>0</v>
      </c>
      <c r="H1666">
        <v>0</v>
      </c>
      <c r="I1666">
        <v>0</v>
      </c>
      <c r="J1666">
        <v>-368.65359999999998</v>
      </c>
      <c r="K1666">
        <v>1.1199030000000001</v>
      </c>
      <c r="L1666">
        <v>284.67630000000003</v>
      </c>
      <c r="M1666">
        <v>-0.9999285</v>
      </c>
      <c r="N1666">
        <v>-7.4565219999999897E-3</v>
      </c>
      <c r="O1666">
        <v>-9.3516769999999992E-3</v>
      </c>
      <c r="P1666">
        <v>-0.97769700000000004</v>
      </c>
      <c r="Q1666">
        <v>0.2021211</v>
      </c>
      <c r="R1666">
        <v>5.7061880000000002E-2</v>
      </c>
      <c r="S1666">
        <v>-3.0562740000000002</v>
      </c>
      <c r="T1666">
        <v>4.1615489999999998E-2</v>
      </c>
      <c r="U1666">
        <v>4.501343E-2</v>
      </c>
      <c r="V1666">
        <v>6.6441959999999994E-2</v>
      </c>
      <c r="W1666">
        <v>0.2093257</v>
      </c>
      <c r="X1666">
        <v>0.97558610000000001</v>
      </c>
      <c r="Y1666">
        <v>2.4073799999999999E-2</v>
      </c>
      <c r="Z1666">
        <v>-2.7116850000000002E-4</v>
      </c>
      <c r="AA1666">
        <v>0.99971010000000005</v>
      </c>
      <c r="AB1666">
        <v>35</v>
      </c>
      <c r="AC1666">
        <v>-3.0562740000000002</v>
      </c>
      <c r="AD1666">
        <v>4.1615489999999998E-2</v>
      </c>
      <c r="AE1666">
        <v>4.501343E-2</v>
      </c>
      <c r="AF1666">
        <v>7.3579903320733095E-2</v>
      </c>
      <c r="AG1666">
        <v>4.1615489999999998E-2</v>
      </c>
      <c r="AH1666">
        <v>3.0551530623865899</v>
      </c>
      <c r="AI1666">
        <v>89.2198252086162</v>
      </c>
      <c r="AJ1666">
        <v>88.620362708297407</v>
      </c>
      <c r="AK1666">
        <v>3.0563223137932898</v>
      </c>
      <c r="AL1666">
        <v>77.917160651433406</v>
      </c>
      <c r="AM1666">
        <v>86.103906641530997</v>
      </c>
      <c r="AN1666">
        <v>1.0000000106211699</v>
      </c>
    </row>
    <row r="1667" spans="1:40" x14ac:dyDescent="0.25">
      <c r="A1667" t="str">
        <f>"20190303170754456"</f>
        <v>20190303170754456</v>
      </c>
      <c r="B1667" t="str">
        <f>"1551604074443972"</f>
        <v>1551604074443972</v>
      </c>
      <c r="C1667" t="s">
        <v>40</v>
      </c>
      <c r="D1667">
        <v>4.4230409999999996</v>
      </c>
      <c r="E1667">
        <v>0.48815770000000003</v>
      </c>
      <c r="F1667" t="s">
        <v>45</v>
      </c>
      <c r="G1667">
        <v>0</v>
      </c>
      <c r="H1667">
        <v>0</v>
      </c>
      <c r="I1667">
        <v>0</v>
      </c>
      <c r="J1667">
        <v>-369.00369999999998</v>
      </c>
      <c r="K1667">
        <v>1.1198729999999999</v>
      </c>
      <c r="L1667">
        <v>284.67349999999999</v>
      </c>
      <c r="M1667">
        <v>-0.99993449999999995</v>
      </c>
      <c r="N1667">
        <v>-7.2750710000000001E-3</v>
      </c>
      <c r="O1667">
        <v>-8.8395469999999997E-3</v>
      </c>
      <c r="P1667">
        <v>-0.97744600000000004</v>
      </c>
      <c r="Q1667">
        <v>0.20313310000000001</v>
      </c>
      <c r="R1667">
        <v>5.77644E-2</v>
      </c>
      <c r="S1667">
        <v>-3.0568849999999999</v>
      </c>
      <c r="T1667">
        <v>4.3346290000000003E-2</v>
      </c>
      <c r="U1667">
        <v>4.3762210000000003E-2</v>
      </c>
      <c r="V1667">
        <v>6.6646189999999994E-2</v>
      </c>
      <c r="W1667">
        <v>0.21015790000000001</v>
      </c>
      <c r="X1667">
        <v>0.97539319999999896</v>
      </c>
      <c r="Y1667">
        <v>2.3149630000000001E-2</v>
      </c>
      <c r="Z1667">
        <v>-2.6953030000000002E-4</v>
      </c>
      <c r="AA1667">
        <v>0.99973199999999995</v>
      </c>
      <c r="AB1667">
        <v>35</v>
      </c>
      <c r="AC1667">
        <v>-3.0568849999999999</v>
      </c>
      <c r="AD1667">
        <v>4.3346290000000003E-2</v>
      </c>
      <c r="AE1667">
        <v>4.3762210000000003E-2</v>
      </c>
      <c r="AF1667">
        <v>7.0768466504070995E-2</v>
      </c>
      <c r="AG1667">
        <v>4.3346290000000003E-2</v>
      </c>
      <c r="AH1667">
        <v>3.0557644198327698</v>
      </c>
      <c r="AI1667">
        <v>89.187526601620903</v>
      </c>
      <c r="AJ1667">
        <v>88.673323848087406</v>
      </c>
      <c r="AK1667">
        <v>3.0568911112802102</v>
      </c>
      <c r="AL1667">
        <v>77.868393959943504</v>
      </c>
      <c r="AM1667">
        <v>86.091197359343695</v>
      </c>
      <c r="AN1667">
        <v>0.99999997609008195</v>
      </c>
    </row>
    <row r="1668" spans="1:40" x14ac:dyDescent="0.25">
      <c r="A1668" t="str">
        <f>"20190303170754478"</f>
        <v>20190303170754478</v>
      </c>
      <c r="B1668" t="str">
        <f>"1551604074464467"</f>
        <v>1551604074464467</v>
      </c>
      <c r="C1668" t="s">
        <v>40</v>
      </c>
      <c r="D1668">
        <v>4.2959699999999996</v>
      </c>
      <c r="E1668">
        <v>0.48833870000000001</v>
      </c>
      <c r="F1668" t="s">
        <v>45</v>
      </c>
      <c r="G1668">
        <v>0</v>
      </c>
      <c r="H1668">
        <v>0</v>
      </c>
      <c r="I1668">
        <v>0</v>
      </c>
      <c r="J1668">
        <v>-369.35300000000001</v>
      </c>
      <c r="K1668">
        <v>1.1198319999999999</v>
      </c>
      <c r="L1668">
        <v>284.67090000000002</v>
      </c>
      <c r="M1668">
        <v>-0.99994019999999995</v>
      </c>
      <c r="N1668">
        <v>-7.0932290000000004E-3</v>
      </c>
      <c r="O1668">
        <v>-8.3289899999999997E-3</v>
      </c>
      <c r="P1668">
        <v>-0.97752510000000004</v>
      </c>
      <c r="Q1668">
        <v>0.20253199999999999</v>
      </c>
      <c r="R1668">
        <v>5.8531189999999997E-2</v>
      </c>
      <c r="S1668">
        <v>-3.057159</v>
      </c>
      <c r="T1668">
        <v>4.5362E-2</v>
      </c>
      <c r="U1668">
        <v>4.5104980000000003E-2</v>
      </c>
      <c r="V1668">
        <v>6.6917110000000002E-2</v>
      </c>
      <c r="W1668">
        <v>0.20937839999999999</v>
      </c>
      <c r="X1668">
        <v>0.97554229999999997</v>
      </c>
      <c r="Y1668">
        <v>2.3076739999999998E-2</v>
      </c>
      <c r="Z1668">
        <v>-2.7197920000000001E-4</v>
      </c>
      <c r="AA1668">
        <v>0.99973369999999995</v>
      </c>
      <c r="AB1668">
        <v>35</v>
      </c>
      <c r="AC1668">
        <v>-3.057159</v>
      </c>
      <c r="AD1668">
        <v>4.5362E-2</v>
      </c>
      <c r="AE1668">
        <v>4.5104980000000003E-2</v>
      </c>
      <c r="AF1668">
        <v>7.0551571968849397E-2</v>
      </c>
      <c r="AG1668">
        <v>4.5362E-2</v>
      </c>
      <c r="AH1668">
        <v>3.05600458483296</v>
      </c>
      <c r="AI1668">
        <v>89.149815376231899</v>
      </c>
      <c r="AJ1668">
        <v>88.677492365596507</v>
      </c>
      <c r="AK1668">
        <v>3.0571554193189701</v>
      </c>
      <c r="AL1668">
        <v>77.914072564014901</v>
      </c>
      <c r="AM1668">
        <v>86.075955402708999</v>
      </c>
      <c r="AN1668">
        <v>0.99999999654330096</v>
      </c>
    </row>
    <row r="1669" spans="1:40" x14ac:dyDescent="0.25">
      <c r="A1669" t="str">
        <f>"20190303170754501"</f>
        <v>20190303170754501</v>
      </c>
      <c r="B1669" t="str">
        <f>"1551604074494723"</f>
        <v>1551604074494723</v>
      </c>
      <c r="C1669" t="s">
        <v>40</v>
      </c>
      <c r="D1669">
        <v>4.3421570000000003</v>
      </c>
      <c r="E1669">
        <v>0.52379699999999996</v>
      </c>
      <c r="F1669" t="s">
        <v>45</v>
      </c>
      <c r="G1669">
        <v>0</v>
      </c>
      <c r="H1669">
        <v>0</v>
      </c>
      <c r="I1669">
        <v>0</v>
      </c>
      <c r="J1669">
        <v>-369.7312</v>
      </c>
      <c r="K1669">
        <v>1.119791</v>
      </c>
      <c r="L1669">
        <v>284.66820000000001</v>
      </c>
      <c r="M1669">
        <v>-0.999946</v>
      </c>
      <c r="N1669">
        <v>-6.8984959999999996E-3</v>
      </c>
      <c r="O1669">
        <v>-7.7775269999999898E-3</v>
      </c>
      <c r="P1669">
        <v>-0.97766909999999896</v>
      </c>
      <c r="Q1669">
        <v>0.20161780000000001</v>
      </c>
      <c r="R1669">
        <v>5.9275500000000002E-2</v>
      </c>
      <c r="S1669">
        <v>-3.0572509999999999</v>
      </c>
      <c r="T1669">
        <v>4.2384270000000002E-2</v>
      </c>
      <c r="U1669">
        <v>4.9011230000000003E-2</v>
      </c>
      <c r="V1669">
        <v>6.7125379999999998E-2</v>
      </c>
      <c r="W1669">
        <v>0.20827419999999999</v>
      </c>
      <c r="X1669">
        <v>0.97576430000000003</v>
      </c>
      <c r="Y1669">
        <v>2.3802489999999999E-2</v>
      </c>
      <c r="Z1669">
        <v>-2.4432449999999998E-4</v>
      </c>
      <c r="AA1669">
        <v>0.99971659999999996</v>
      </c>
      <c r="AB1669">
        <v>35</v>
      </c>
      <c r="AC1669">
        <v>-3.0572509999999999</v>
      </c>
      <c r="AD1669">
        <v>4.2384270000000002E-2</v>
      </c>
      <c r="AE1669">
        <v>4.9011230000000003E-2</v>
      </c>
      <c r="AF1669">
        <v>7.2774181186260806E-2</v>
      </c>
      <c r="AG1669">
        <v>4.2384270000000002E-2</v>
      </c>
      <c r="AH1669">
        <v>3.0561900920600902</v>
      </c>
      <c r="AI1669">
        <v>89.2056789693235</v>
      </c>
      <c r="AJ1669">
        <v>88.635927250041107</v>
      </c>
      <c r="AK1669">
        <v>3.0573502230848599</v>
      </c>
      <c r="AL1669">
        <v>77.978764459120896</v>
      </c>
      <c r="AM1669">
        <v>86.064673434212693</v>
      </c>
      <c r="AN1669">
        <v>0.99999996409013603</v>
      </c>
    </row>
    <row r="1670" spans="1:40" x14ac:dyDescent="0.25">
      <c r="A1670" t="str">
        <f>"20190303170754523"</f>
        <v>20190303170754523</v>
      </c>
      <c r="B1670" t="str">
        <f>"1551604074514243"</f>
        <v>1551604074514243</v>
      </c>
      <c r="C1670" t="s">
        <v>40</v>
      </c>
      <c r="D1670">
        <v>4.3282100000000003</v>
      </c>
      <c r="E1670">
        <v>0.5261207</v>
      </c>
      <c r="F1670" t="s">
        <v>72</v>
      </c>
      <c r="G1670">
        <v>-511.82049999999998</v>
      </c>
      <c r="H1670">
        <v>1.149276</v>
      </c>
      <c r="I1670">
        <v>300.12810000000002</v>
      </c>
      <c r="J1670">
        <v>-370.07479999999998</v>
      </c>
      <c r="K1670">
        <v>1.119766</v>
      </c>
      <c r="L1670">
        <v>284.666</v>
      </c>
      <c r="M1670">
        <v>-0.99995100000000003</v>
      </c>
      <c r="N1670">
        <v>-6.7246900000000002E-3</v>
      </c>
      <c r="O1670">
        <v>-7.2775289999999996E-3</v>
      </c>
      <c r="P1670">
        <v>-0.97762070000000001</v>
      </c>
      <c r="Q1670">
        <v>0.20159920000000001</v>
      </c>
      <c r="R1670">
        <v>6.0133249999999999E-2</v>
      </c>
      <c r="S1670">
        <v>-3.048279</v>
      </c>
      <c r="T1670">
        <v>6.3443180000000003E-4</v>
      </c>
      <c r="U1670">
        <v>0.33166499999999999</v>
      </c>
      <c r="V1670">
        <v>6.7496340000000002E-2</v>
      </c>
      <c r="W1670">
        <v>0.20808479999999999</v>
      </c>
      <c r="X1670">
        <v>0.97577919999999996</v>
      </c>
      <c r="Y1670">
        <v>0.11539770000000001</v>
      </c>
      <c r="Z1670">
        <v>3.2687789999999998E-4</v>
      </c>
      <c r="AA1670">
        <v>0.99331930000000002</v>
      </c>
      <c r="AB1670">
        <v>36</v>
      </c>
      <c r="AC1670">
        <v>-141.7457</v>
      </c>
      <c r="AD1670">
        <v>2.9509999999999901E-2</v>
      </c>
      <c r="AE1670">
        <v>15.4621</v>
      </c>
      <c r="AF1670">
        <v>16.493271485859701</v>
      </c>
      <c r="AG1670">
        <v>2.9509999999999901E-2</v>
      </c>
      <c r="AH1670">
        <v>141.62941170150199</v>
      </c>
      <c r="AI1670">
        <v>89.988141948326401</v>
      </c>
      <c r="AJ1670">
        <v>83.357612502675394</v>
      </c>
      <c r="AK1670">
        <v>142.586532092129</v>
      </c>
      <c r="AL1670">
        <v>77.989860330732498</v>
      </c>
      <c r="AM1670">
        <v>86.043054475346395</v>
      </c>
      <c r="AN1670">
        <v>1.0000000435285299</v>
      </c>
    </row>
    <row r="1671" spans="1:40" x14ac:dyDescent="0.25">
      <c r="A1671" t="str">
        <f>"20190303170754544"</f>
        <v>20190303170754544</v>
      </c>
      <c r="B1671" t="str">
        <f>"1551604074534739"</f>
        <v>1551604074534739</v>
      </c>
      <c r="C1671" t="s">
        <v>40</v>
      </c>
      <c r="D1671">
        <v>4.3288890000000002</v>
      </c>
      <c r="E1671">
        <v>0.52698429999999996</v>
      </c>
      <c r="F1671" t="s">
        <v>72</v>
      </c>
      <c r="G1671">
        <v>-511.82049999999998</v>
      </c>
      <c r="H1671">
        <v>1.1002130000000001</v>
      </c>
      <c r="I1671">
        <v>301.08269999999999</v>
      </c>
      <c r="J1671">
        <v>-370.41199999999998</v>
      </c>
      <c r="K1671">
        <v>1.119745</v>
      </c>
      <c r="L1671">
        <v>284.66390000000001</v>
      </c>
      <c r="M1671">
        <v>-0.9999555</v>
      </c>
      <c r="N1671">
        <v>-6.5617269999999998E-3</v>
      </c>
      <c r="O1671">
        <v>-6.7879500000000001E-3</v>
      </c>
      <c r="P1671">
        <v>-0.97724880000000003</v>
      </c>
      <c r="Q1671">
        <v>0.20318939999999999</v>
      </c>
      <c r="R1671">
        <v>6.0818509999999999E-2</v>
      </c>
      <c r="S1671">
        <v>-3.0470579999999998</v>
      </c>
      <c r="T1671">
        <v>-4.1842460000000002E-4</v>
      </c>
      <c r="U1671">
        <v>0.35290529999999998</v>
      </c>
      <c r="V1671">
        <v>6.7704589999999995E-2</v>
      </c>
      <c r="W1671">
        <v>0.20951320000000001</v>
      </c>
      <c r="X1671">
        <v>0.97545899999999996</v>
      </c>
      <c r="Y1671">
        <v>0.12178949999999999</v>
      </c>
      <c r="Z1671">
        <v>3.6578469999999999E-4</v>
      </c>
      <c r="AA1671">
        <v>0.99255590000000005</v>
      </c>
      <c r="AB1671">
        <v>36</v>
      </c>
      <c r="AC1671">
        <v>-141.4085</v>
      </c>
      <c r="AD1671">
        <v>-1.9532000000000101E-2</v>
      </c>
      <c r="AE1671">
        <v>16.418799999999901</v>
      </c>
      <c r="AF1671">
        <v>17.378315821746501</v>
      </c>
      <c r="AG1671">
        <v>-1.9532000000000101E-2</v>
      </c>
      <c r="AH1671">
        <v>141.29378698970299</v>
      </c>
      <c r="AI1671">
        <v>90.007861147913403</v>
      </c>
      <c r="AJ1671">
        <v>82.988167449579194</v>
      </c>
      <c r="AK1671">
        <v>142.35849284180699</v>
      </c>
      <c r="AL1671">
        <v>77.906173657560402</v>
      </c>
      <c r="AM1671">
        <v>86.029586146560604</v>
      </c>
      <c r="AN1671">
        <v>0.99999997658115303</v>
      </c>
    </row>
    <row r="1672" spans="1:40" x14ac:dyDescent="0.25">
      <c r="A1672" t="str">
        <f>"20190303170754568"</f>
        <v>20190303170754568</v>
      </c>
      <c r="B1672" t="str">
        <f>"1551604074554259"</f>
        <v>1551604074554259</v>
      </c>
      <c r="C1672" t="s">
        <v>40</v>
      </c>
      <c r="D1672">
        <v>4.3248089999999904</v>
      </c>
      <c r="E1672">
        <v>0.52712950000000003</v>
      </c>
      <c r="F1672" t="s">
        <v>72</v>
      </c>
      <c r="G1672">
        <v>-511.82060000000001</v>
      </c>
      <c r="H1672">
        <v>1.2767520000000001</v>
      </c>
      <c r="I1672">
        <v>301.44479999999999</v>
      </c>
      <c r="J1672">
        <v>-370.79649999999998</v>
      </c>
      <c r="K1672">
        <v>1.1197189999999999</v>
      </c>
      <c r="L1672">
        <v>284.66180000000003</v>
      </c>
      <c r="M1672">
        <v>-0.99996019999999997</v>
      </c>
      <c r="N1672">
        <v>-6.3906550000000003E-3</v>
      </c>
      <c r="O1672">
        <v>-6.2308900000000002E-3</v>
      </c>
      <c r="P1672">
        <v>-0.97696819999999895</v>
      </c>
      <c r="Q1672">
        <v>0.2043992</v>
      </c>
      <c r="R1672">
        <v>6.127179E-2</v>
      </c>
      <c r="S1672">
        <v>-3.0466310000000001</v>
      </c>
      <c r="T1672">
        <v>3.3845899999999998E-3</v>
      </c>
      <c r="U1672">
        <v>0.36154170000000002</v>
      </c>
      <c r="V1672">
        <v>6.7615670000000003E-2</v>
      </c>
      <c r="W1672">
        <v>0.2105533</v>
      </c>
      <c r="X1672">
        <v>0.97524120000000003</v>
      </c>
      <c r="Y1672">
        <v>0.124028</v>
      </c>
      <c r="Z1672">
        <v>2.8247119999999997E-4</v>
      </c>
      <c r="AA1672">
        <v>0.99227869999999996</v>
      </c>
      <c r="AB1672">
        <v>36</v>
      </c>
      <c r="AC1672">
        <v>-141.0241</v>
      </c>
      <c r="AD1672">
        <v>0.15703299999999901</v>
      </c>
      <c r="AE1672">
        <v>16.782999999999902</v>
      </c>
      <c r="AF1672">
        <v>17.661376168444399</v>
      </c>
      <c r="AG1672">
        <v>0.15703299999999901</v>
      </c>
      <c r="AH1672">
        <v>140.91661485790399</v>
      </c>
      <c r="AI1672">
        <v>89.9366470685314</v>
      </c>
      <c r="AJ1672">
        <v>82.856248864856397</v>
      </c>
      <c r="AK1672">
        <v>142.01915789969101</v>
      </c>
      <c r="AL1672">
        <v>77.845220809685202</v>
      </c>
      <c r="AM1672">
        <v>86.033901331631895</v>
      </c>
      <c r="AN1672">
        <v>0.99999998457393902</v>
      </c>
    </row>
    <row r="1673" spans="1:40" x14ac:dyDescent="0.25">
      <c r="A1673" t="str">
        <f>"20190303170754591"</f>
        <v>20190303170754591</v>
      </c>
      <c r="B1673" t="str">
        <f>"1551604074584514"</f>
        <v>1551604074584514</v>
      </c>
      <c r="C1673" t="s">
        <v>40</v>
      </c>
      <c r="D1673">
        <v>4.3583639999999999</v>
      </c>
      <c r="E1673">
        <v>0.52794039999999998</v>
      </c>
      <c r="F1673" t="s">
        <v>72</v>
      </c>
      <c r="G1673">
        <v>-511.82060000000001</v>
      </c>
      <c r="H1673">
        <v>1.4528319999999999</v>
      </c>
      <c r="I1673">
        <v>301.49579999999997</v>
      </c>
      <c r="J1673">
        <v>-371.15519999999998</v>
      </c>
      <c r="K1673">
        <v>1.1196900000000001</v>
      </c>
      <c r="L1673">
        <v>284.66000000000003</v>
      </c>
      <c r="M1673">
        <v>-0.99996430000000003</v>
      </c>
      <c r="N1673">
        <v>-6.2494890000000004E-3</v>
      </c>
      <c r="O1673">
        <v>-5.7121899999999998E-3</v>
      </c>
      <c r="P1673">
        <v>-0.97707029999999995</v>
      </c>
      <c r="Q1673">
        <v>0.2039058</v>
      </c>
      <c r="R1673">
        <v>6.1291150000000003E-2</v>
      </c>
      <c r="S1673">
        <v>-3.0463870000000002</v>
      </c>
      <c r="T1673">
        <v>7.1977380000000004E-3</v>
      </c>
      <c r="U1673">
        <v>0.36364750000000001</v>
      </c>
      <c r="V1673">
        <v>6.7130570000000001E-2</v>
      </c>
      <c r="W1673">
        <v>0.20992340000000001</v>
      </c>
      <c r="X1673">
        <v>0.97541049999999996</v>
      </c>
      <c r="Y1673">
        <v>0.12419910000000001</v>
      </c>
      <c r="Z1673">
        <v>1.942429E-4</v>
      </c>
      <c r="AA1673">
        <v>0.99225730000000001</v>
      </c>
      <c r="AB1673">
        <v>36</v>
      </c>
      <c r="AC1673">
        <v>-140.66540000000001</v>
      </c>
      <c r="AD1673">
        <v>0.33314199999999899</v>
      </c>
      <c r="AE1673">
        <v>16.8357999999999</v>
      </c>
      <c r="AF1673">
        <v>17.638950846653</v>
      </c>
      <c r="AG1673">
        <v>0.33314199999999899</v>
      </c>
      <c r="AH1673">
        <v>140.56615654732099</v>
      </c>
      <c r="AI1673">
        <v>89.865265819967505</v>
      </c>
      <c r="AJ1673">
        <v>82.847621662369505</v>
      </c>
      <c r="AK1673">
        <v>141.66893779883</v>
      </c>
      <c r="AL1673">
        <v>77.882136615063601</v>
      </c>
      <c r="AM1673">
        <v>86.062947079249199</v>
      </c>
      <c r="AN1673">
        <v>0.99999999540316697</v>
      </c>
    </row>
    <row r="1674" spans="1:40" x14ac:dyDescent="0.25">
      <c r="A1674" t="str">
        <f>"20190303170754612"</f>
        <v>20190303170754612</v>
      </c>
      <c r="B1674" t="str">
        <f>"1551604074604038"</f>
        <v>1551604074604038</v>
      </c>
      <c r="C1674" t="s">
        <v>40</v>
      </c>
      <c r="D1674">
        <v>4.3321889999999996</v>
      </c>
      <c r="E1674">
        <v>0.52783970000000002</v>
      </c>
      <c r="F1674" t="s">
        <v>72</v>
      </c>
      <c r="G1674">
        <v>-511.82060000000001</v>
      </c>
      <c r="H1674">
        <v>1.413009</v>
      </c>
      <c r="I1674">
        <v>301.7629</v>
      </c>
      <c r="J1674">
        <v>-371.51330000000002</v>
      </c>
      <c r="K1674">
        <v>1.1196630000000001</v>
      </c>
      <c r="L1674">
        <v>284.65839999999997</v>
      </c>
      <c r="M1674">
        <v>-0.99996779999999996</v>
      </c>
      <c r="N1674">
        <v>-6.1258700000000003E-3</v>
      </c>
      <c r="O1674">
        <v>-5.1949750000000001E-3</v>
      </c>
      <c r="P1674">
        <v>-0.97731849999999998</v>
      </c>
      <c r="Q1674">
        <v>0.20259569999999999</v>
      </c>
      <c r="R1674">
        <v>6.1674159999999999E-2</v>
      </c>
      <c r="S1674">
        <v>-3.0458370000000001</v>
      </c>
      <c r="T1674">
        <v>6.3531400000000002E-3</v>
      </c>
      <c r="U1674">
        <v>0.37033080000000002</v>
      </c>
      <c r="V1674">
        <v>6.7009879999999994E-2</v>
      </c>
      <c r="W1674">
        <v>0.20849380000000001</v>
      </c>
      <c r="X1674">
        <v>0.97572539999999996</v>
      </c>
      <c r="Y1674">
        <v>0.12585279999999999</v>
      </c>
      <c r="Z1674">
        <v>2.136215E-4</v>
      </c>
      <c r="AA1674">
        <v>0.99204890000000001</v>
      </c>
      <c r="AB1674">
        <v>36</v>
      </c>
      <c r="AC1674">
        <v>-140.3073</v>
      </c>
      <c r="AD1674">
        <v>0.293346</v>
      </c>
      <c r="AE1674">
        <v>17.104500000000002</v>
      </c>
      <c r="AF1674">
        <v>17.833098923896198</v>
      </c>
      <c r="AG1674">
        <v>0.293346</v>
      </c>
      <c r="AH1674">
        <v>140.21594357871999</v>
      </c>
      <c r="AI1674">
        <v>89.881089443463694</v>
      </c>
      <c r="AJ1674">
        <v>82.751858630375693</v>
      </c>
      <c r="AK1674">
        <v>141.345733231591</v>
      </c>
      <c r="AL1674">
        <v>77.965900603298195</v>
      </c>
      <c r="AM1674">
        <v>86.071267441260503</v>
      </c>
      <c r="AN1674">
        <v>1.0000000224306</v>
      </c>
    </row>
    <row r="1675" spans="1:40" x14ac:dyDescent="0.25">
      <c r="A1675" t="str">
        <f>"20190303170754634"</f>
        <v>20190303170754634</v>
      </c>
      <c r="B1675" t="str">
        <f>"1551604074624531"</f>
        <v>1551604074624531</v>
      </c>
      <c r="C1675" t="s">
        <v>40</v>
      </c>
      <c r="D1675">
        <v>4.439495</v>
      </c>
      <c r="E1675">
        <v>0.52808350000000004</v>
      </c>
      <c r="F1675" t="s">
        <v>72</v>
      </c>
      <c r="G1675">
        <v>-511.82049999999998</v>
      </c>
      <c r="H1675">
        <v>1.1725049999999999</v>
      </c>
      <c r="I1675">
        <v>301.74509999999998</v>
      </c>
      <c r="J1675">
        <v>-371.86149999999998</v>
      </c>
      <c r="K1675">
        <v>1.1196440000000001</v>
      </c>
      <c r="L1675">
        <v>284.65699999999998</v>
      </c>
      <c r="M1675">
        <v>-0.99997100000000005</v>
      </c>
      <c r="N1675">
        <v>-6.0206340000000004E-3</v>
      </c>
      <c r="O1675">
        <v>-4.6925949999999999E-3</v>
      </c>
      <c r="P1675">
        <v>-0.97751880000000002</v>
      </c>
      <c r="Q1675">
        <v>0.20152639999999999</v>
      </c>
      <c r="R1675">
        <v>6.2003389999999999E-2</v>
      </c>
      <c r="S1675">
        <v>-3.0459900000000002</v>
      </c>
      <c r="T1675">
        <v>1.1490579999999999E-3</v>
      </c>
      <c r="U1675">
        <v>0.37094120000000003</v>
      </c>
      <c r="V1675">
        <v>6.6849729999999996E-2</v>
      </c>
      <c r="W1675">
        <v>0.2073227</v>
      </c>
      <c r="X1675">
        <v>0.97598589999999996</v>
      </c>
      <c r="Y1675">
        <v>0.12554399999999999</v>
      </c>
      <c r="Z1675">
        <v>3.258181E-4</v>
      </c>
      <c r="AA1675">
        <v>0.99208799999999997</v>
      </c>
      <c r="AB1675">
        <v>36</v>
      </c>
      <c r="AC1675">
        <v>-139.959</v>
      </c>
      <c r="AD1675">
        <v>5.2860999999999797E-2</v>
      </c>
      <c r="AE1675">
        <v>17.088099999999901</v>
      </c>
      <c r="AF1675">
        <v>17.744692073110802</v>
      </c>
      <c r="AG1675">
        <v>5.2860999999999797E-2</v>
      </c>
      <c r="AH1675">
        <v>139.877250320668</v>
      </c>
      <c r="AI1675">
        <v>89.978519512918297</v>
      </c>
      <c r="AJ1675">
        <v>82.770131960744294</v>
      </c>
      <c r="AK1675">
        <v>140.99830512572001</v>
      </c>
      <c r="AL1675">
        <v>78.034498800269404</v>
      </c>
      <c r="AM1675">
        <v>86.081670460558897</v>
      </c>
      <c r="AN1675">
        <v>1.00000003266758</v>
      </c>
    </row>
    <row r="1676" spans="1:40" x14ac:dyDescent="0.25">
      <c r="A1676" t="str">
        <f>"20190303170754657"</f>
        <v>20190303170754657</v>
      </c>
      <c r="B1676" t="str">
        <f>"1551604074644051"</f>
        <v>1551604074644051</v>
      </c>
      <c r="C1676" t="s">
        <v>40</v>
      </c>
      <c r="D1676">
        <v>4.4086150000000002</v>
      </c>
      <c r="E1676">
        <v>0.52827979999999997</v>
      </c>
      <c r="F1676" t="s">
        <v>72</v>
      </c>
      <c r="G1676">
        <v>-511.82049999999998</v>
      </c>
      <c r="H1676">
        <v>0.97808949999999995</v>
      </c>
      <c r="I1676">
        <v>301.84059999999999</v>
      </c>
      <c r="J1676">
        <v>-372.23630000000003</v>
      </c>
      <c r="K1676">
        <v>1.119632</v>
      </c>
      <c r="L1676">
        <v>284.6558</v>
      </c>
      <c r="M1676">
        <v>-0.99997380000000002</v>
      </c>
      <c r="N1676">
        <v>-5.9233510000000003E-3</v>
      </c>
      <c r="O1676">
        <v>-4.1525679999999997E-3</v>
      </c>
      <c r="P1676">
        <v>-0.97728190000000004</v>
      </c>
      <c r="Q1676">
        <v>0.20256260000000001</v>
      </c>
      <c r="R1676">
        <v>6.2357969999999999E-2</v>
      </c>
      <c r="S1676">
        <v>-3.0458980000000002</v>
      </c>
      <c r="T1676">
        <v>-3.0786989999999998E-3</v>
      </c>
      <c r="U1676">
        <v>0.37396239999999997</v>
      </c>
      <c r="V1676">
        <v>6.6678699999999994E-2</v>
      </c>
      <c r="W1676">
        <v>0.20826249999999999</v>
      </c>
      <c r="X1676">
        <v>0.97579749999999998</v>
      </c>
      <c r="Y1676">
        <v>0.12598090000000001</v>
      </c>
      <c r="Z1676">
        <v>4.1762249999999999E-4</v>
      </c>
      <c r="AA1676">
        <v>0.99203260000000004</v>
      </c>
      <c r="AB1676">
        <v>36</v>
      </c>
      <c r="AC1676">
        <v>-139.58419999999899</v>
      </c>
      <c r="AD1676">
        <v>-0.14154249999999899</v>
      </c>
      <c r="AE1676">
        <v>17.1847999999999</v>
      </c>
      <c r="AF1676">
        <v>17.764276905985799</v>
      </c>
      <c r="AG1676">
        <v>-0.14154249999999899</v>
      </c>
      <c r="AH1676">
        <v>139.51149285341901</v>
      </c>
      <c r="AI1676">
        <v>90.057664282857402</v>
      </c>
      <c r="AJ1676">
        <v>82.7434636718164</v>
      </c>
      <c r="AK1676">
        <v>140.63799702236</v>
      </c>
      <c r="AL1676">
        <v>77.979450768867594</v>
      </c>
      <c r="AM1676">
        <v>86.090911849465797</v>
      </c>
      <c r="AN1676">
        <v>1.0000000394730899</v>
      </c>
    </row>
    <row r="1677" spans="1:40" x14ac:dyDescent="0.25">
      <c r="A1677" t="str">
        <f>"20190303170754680"</f>
        <v>20190303170754680</v>
      </c>
      <c r="B1677" t="str">
        <f>"1551604074674307"</f>
        <v>1551604074674307</v>
      </c>
      <c r="C1677" t="s">
        <v>40</v>
      </c>
      <c r="D1677">
        <v>4.4243790000000001</v>
      </c>
      <c r="E1677">
        <v>0.52870819999999996</v>
      </c>
      <c r="F1677" t="s">
        <v>72</v>
      </c>
      <c r="G1677">
        <v>-511.82049999999998</v>
      </c>
      <c r="H1677">
        <v>1.088951</v>
      </c>
      <c r="I1677">
        <v>301.89699999999999</v>
      </c>
      <c r="J1677">
        <v>-372.60809999999998</v>
      </c>
      <c r="K1677">
        <v>1.1196189999999999</v>
      </c>
      <c r="L1677">
        <v>284.65460000000002</v>
      </c>
      <c r="M1677">
        <v>-0.99997650000000005</v>
      </c>
      <c r="N1677">
        <v>-5.8445989999999998E-3</v>
      </c>
      <c r="O1677">
        <v>-3.616644E-3</v>
      </c>
      <c r="P1677">
        <v>-0.97701459999999996</v>
      </c>
      <c r="Q1677">
        <v>0.20367450000000001</v>
      </c>
      <c r="R1677">
        <v>6.2924079999999993E-2</v>
      </c>
      <c r="S1677">
        <v>-3.045868</v>
      </c>
      <c r="T1677">
        <v>-6.6757199999999996E-4</v>
      </c>
      <c r="U1677">
        <v>0.37622070000000002</v>
      </c>
      <c r="V1677">
        <v>6.6723539999999998E-2</v>
      </c>
      <c r="W1677">
        <v>0.20929539999999999</v>
      </c>
      <c r="X1677">
        <v>0.97557340000000003</v>
      </c>
      <c r="Y1677">
        <v>0.12617529999999999</v>
      </c>
      <c r="Z1677">
        <v>3.636286E-4</v>
      </c>
      <c r="AA1677">
        <v>0.99200790000000005</v>
      </c>
      <c r="AB1677">
        <v>36</v>
      </c>
      <c r="AC1677">
        <v>-139.2124</v>
      </c>
      <c r="AD1677">
        <v>-3.0668000000000101E-2</v>
      </c>
      <c r="AE1677">
        <v>17.2423999999999</v>
      </c>
      <c r="AF1677">
        <v>17.745776611613199</v>
      </c>
      <c r="AG1677">
        <v>-3.0668000000000101E-2</v>
      </c>
      <c r="AH1677">
        <v>139.149122178037</v>
      </c>
      <c r="AI1677">
        <v>90.012526343726705</v>
      </c>
      <c r="AJ1677">
        <v>82.732264097044094</v>
      </c>
      <c r="AK1677">
        <v>140.27612673222001</v>
      </c>
      <c r="AL1677">
        <v>77.918936240870494</v>
      </c>
      <c r="AM1677">
        <v>86.087395457359904</v>
      </c>
      <c r="AN1677">
        <v>1.00000002701942</v>
      </c>
    </row>
    <row r="1678" spans="1:40" x14ac:dyDescent="0.25">
      <c r="A1678" t="str">
        <f>"20190303170754702"</f>
        <v>20190303170754702</v>
      </c>
      <c r="B1678" t="str">
        <f>"1551604074693827"</f>
        <v>1551604074693827</v>
      </c>
      <c r="C1678" t="s">
        <v>40</v>
      </c>
      <c r="D1678">
        <v>4.2849909999999998</v>
      </c>
      <c r="E1678">
        <v>0.52912209999999904</v>
      </c>
      <c r="F1678" t="s">
        <v>72</v>
      </c>
      <c r="G1678">
        <v>-511.82060000000001</v>
      </c>
      <c r="H1678">
        <v>1.2216119999999999</v>
      </c>
      <c r="I1678">
        <v>302.07600000000002</v>
      </c>
      <c r="J1678">
        <v>-372.9871</v>
      </c>
      <c r="K1678">
        <v>1.119605</v>
      </c>
      <c r="L1678">
        <v>284.65370000000001</v>
      </c>
      <c r="M1678">
        <v>-0.9999787</v>
      </c>
      <c r="N1678">
        <v>-5.7876769999999998E-3</v>
      </c>
      <c r="O1678">
        <v>-3.0711169999999999E-3</v>
      </c>
      <c r="P1678">
        <v>-0.97697710000000004</v>
      </c>
      <c r="Q1678">
        <v>0.20383019999999999</v>
      </c>
      <c r="R1678">
        <v>6.2998440000000003E-2</v>
      </c>
      <c r="S1678">
        <v>-3.0455930000000002</v>
      </c>
      <c r="T1678">
        <v>2.2332670000000002E-3</v>
      </c>
      <c r="U1678">
        <v>0.38113399999999997</v>
      </c>
      <c r="V1678">
        <v>6.6266649999999996E-2</v>
      </c>
      <c r="W1678">
        <v>0.2093952</v>
      </c>
      <c r="X1678">
        <v>0.97558310000000004</v>
      </c>
      <c r="Y1678">
        <v>0.12722120000000001</v>
      </c>
      <c r="Z1678">
        <v>3.0317940000000002E-4</v>
      </c>
      <c r="AA1678">
        <v>0.99187429999999999</v>
      </c>
      <c r="AB1678">
        <v>37</v>
      </c>
      <c r="AC1678">
        <v>-138.83349999999999</v>
      </c>
      <c r="AD1678">
        <v>0.102007</v>
      </c>
      <c r="AE1678">
        <v>17.4222999999999</v>
      </c>
      <c r="AF1678">
        <v>17.848589342606498</v>
      </c>
      <c r="AG1678">
        <v>0.102007</v>
      </c>
      <c r="AH1678">
        <v>138.77926468741401</v>
      </c>
      <c r="AI1678">
        <v>89.958229899105405</v>
      </c>
      <c r="AJ1678">
        <v>82.671342909584993</v>
      </c>
      <c r="AK1678">
        <v>139.92236009347599</v>
      </c>
      <c r="AL1678">
        <v>77.913088238888093</v>
      </c>
      <c r="AM1678">
        <v>86.114143205045494</v>
      </c>
      <c r="AN1678">
        <v>1.00000000184543</v>
      </c>
    </row>
    <row r="1679" spans="1:40" x14ac:dyDescent="0.25">
      <c r="A1679" t="str">
        <f>"20190303170754724"</f>
        <v>20190303170754724</v>
      </c>
      <c r="B1679" t="str">
        <f>"1551604074714297"</f>
        <v>1551604074714297</v>
      </c>
      <c r="C1679" t="s">
        <v>40</v>
      </c>
      <c r="D1679">
        <v>4.3751309999999997</v>
      </c>
      <c r="E1679">
        <v>0.5292441</v>
      </c>
      <c r="F1679" t="s">
        <v>72</v>
      </c>
      <c r="G1679">
        <v>-511.82060000000001</v>
      </c>
      <c r="H1679">
        <v>1.2283230000000001</v>
      </c>
      <c r="I1679">
        <v>302.20030000000003</v>
      </c>
      <c r="J1679">
        <v>-373.33749999999998</v>
      </c>
      <c r="K1679">
        <v>1.119594</v>
      </c>
      <c r="L1679">
        <v>284.65309999999999</v>
      </c>
      <c r="M1679">
        <v>-0.99998019999999999</v>
      </c>
      <c r="N1679">
        <v>-5.75641E-3</v>
      </c>
      <c r="O1679">
        <v>-2.5672529999999998E-3</v>
      </c>
      <c r="P1679">
        <v>-0.9772052</v>
      </c>
      <c r="Q1679">
        <v>0.20284489999999999</v>
      </c>
      <c r="R1679">
        <v>6.2640360000000006E-2</v>
      </c>
      <c r="S1679">
        <v>-3.0453489999999999</v>
      </c>
      <c r="T1679">
        <v>2.386689E-3</v>
      </c>
      <c r="U1679">
        <v>0.3848877</v>
      </c>
      <c r="V1679">
        <v>6.5417680000000006E-2</v>
      </c>
      <c r="W1679">
        <v>0.20838139999999999</v>
      </c>
      <c r="X1679">
        <v>0.97585739999999999</v>
      </c>
      <c r="Y1679">
        <v>0.12793479999999999</v>
      </c>
      <c r="Z1679">
        <v>3.0302710000000002E-4</v>
      </c>
      <c r="AA1679">
        <v>0.99178250000000001</v>
      </c>
      <c r="AB1679">
        <v>37</v>
      </c>
      <c r="AC1679">
        <v>-138.48310000000001</v>
      </c>
      <c r="AD1679">
        <v>0.10872900000000001</v>
      </c>
      <c r="AE1679">
        <v>17.5472</v>
      </c>
      <c r="AF1679">
        <v>17.902658333106299</v>
      </c>
      <c r="AG1679">
        <v>0.10872900000000001</v>
      </c>
      <c r="AH1679">
        <v>138.43751079129001</v>
      </c>
      <c r="AI1679">
        <v>89.955371455494998</v>
      </c>
      <c r="AJ1679">
        <v>82.6314376207538</v>
      </c>
      <c r="AK1679">
        <v>139.590334162061</v>
      </c>
      <c r="AL1679">
        <v>77.972484672437105</v>
      </c>
      <c r="AM1679">
        <v>86.164852035748396</v>
      </c>
      <c r="AN1679">
        <v>0.99999997292864995</v>
      </c>
    </row>
    <row r="1680" spans="1:40" x14ac:dyDescent="0.25">
      <c r="A1680" t="str">
        <f>"20190303170754746"</f>
        <v>20190303170754746</v>
      </c>
      <c r="B1680" t="str">
        <f>"1551604074733817"</f>
        <v>1551604074733817</v>
      </c>
      <c r="C1680" t="s">
        <v>40</v>
      </c>
      <c r="D1680">
        <v>4.2588629999999998</v>
      </c>
      <c r="E1680">
        <v>0.52932840000000003</v>
      </c>
      <c r="F1680" t="s">
        <v>72</v>
      </c>
      <c r="G1680">
        <v>-511.82049999999998</v>
      </c>
      <c r="H1680">
        <v>1.092576</v>
      </c>
      <c r="I1680">
        <v>302.13929999999999</v>
      </c>
      <c r="J1680">
        <v>-373.69740000000002</v>
      </c>
      <c r="K1680">
        <v>1.119586</v>
      </c>
      <c r="L1680">
        <v>284.65260000000001</v>
      </c>
      <c r="M1680">
        <v>-0.99998149999999997</v>
      </c>
      <c r="N1680">
        <v>-5.7433179999999999E-3</v>
      </c>
      <c r="O1680">
        <v>-2.0493629999999998E-3</v>
      </c>
      <c r="P1680">
        <v>-0.97738020000000003</v>
      </c>
      <c r="Q1680">
        <v>0.20206579999999999</v>
      </c>
      <c r="R1680">
        <v>6.2431340000000002E-2</v>
      </c>
      <c r="S1680">
        <v>-3.045471</v>
      </c>
      <c r="T1680">
        <v>-5.9223179999999998E-4</v>
      </c>
      <c r="U1680">
        <v>0.384552</v>
      </c>
      <c r="V1680">
        <v>6.4703780000000002E-2</v>
      </c>
      <c r="W1680">
        <v>0.20759130000000001</v>
      </c>
      <c r="X1680">
        <v>0.97607339999999998</v>
      </c>
      <c r="Y1680">
        <v>0.12730819999999901</v>
      </c>
      <c r="Z1680">
        <v>3.6803779999999999E-4</v>
      </c>
      <c r="AA1680">
        <v>0.9918631</v>
      </c>
      <c r="AB1680">
        <v>37</v>
      </c>
      <c r="AC1680">
        <v>-138.123099999999</v>
      </c>
      <c r="AD1680">
        <v>-2.7009999999999899E-2</v>
      </c>
      <c r="AE1680">
        <v>17.4866999999999</v>
      </c>
      <c r="AF1680">
        <v>17.7697316217896</v>
      </c>
      <c r="AG1680">
        <v>-2.7009999999999899E-2</v>
      </c>
      <c r="AH1680">
        <v>138.086967558526</v>
      </c>
      <c r="AI1680">
        <v>90.011115475420397</v>
      </c>
      <c r="AJ1680">
        <v>82.667187922520696</v>
      </c>
      <c r="AK1680">
        <v>139.225625159163</v>
      </c>
      <c r="AL1680">
        <v>78.018766551701106</v>
      </c>
      <c r="AM1680">
        <v>86.207418964705397</v>
      </c>
      <c r="AN1680">
        <v>1.0000000045847599</v>
      </c>
    </row>
    <row r="1681" spans="1:40" x14ac:dyDescent="0.25">
      <c r="A1681" t="str">
        <f>"20190303170754770"</f>
        <v>20190303170754770</v>
      </c>
      <c r="B1681" t="str">
        <f>"1551604074754313"</f>
        <v>1551604074754313</v>
      </c>
      <c r="C1681" t="s">
        <v>40</v>
      </c>
      <c r="D1681">
        <v>4.2579349999999998</v>
      </c>
      <c r="E1681">
        <v>0.52939999999999998</v>
      </c>
      <c r="F1681" t="s">
        <v>72</v>
      </c>
      <c r="G1681">
        <v>-511.82049999999998</v>
      </c>
      <c r="H1681">
        <v>0.96977100000000005</v>
      </c>
      <c r="I1681">
        <v>302.1096</v>
      </c>
      <c r="J1681">
        <v>-374.09519999999998</v>
      </c>
      <c r="K1681">
        <v>1.1195820000000001</v>
      </c>
      <c r="L1681">
        <v>284.65219999999999</v>
      </c>
      <c r="M1681">
        <v>-0.9999825</v>
      </c>
      <c r="N1681">
        <v>-5.7486919999999997E-3</v>
      </c>
      <c r="O1681">
        <v>-1.4779870000000001E-3</v>
      </c>
      <c r="P1681">
        <v>-0.97748880000000005</v>
      </c>
      <c r="Q1681">
        <v>0.2015777</v>
      </c>
      <c r="R1681">
        <v>6.2309679999999999E-2</v>
      </c>
      <c r="S1681">
        <v>-3.0455320000000001</v>
      </c>
      <c r="T1681">
        <v>-3.3013819999999998E-3</v>
      </c>
      <c r="U1681">
        <v>0.38491819999999999</v>
      </c>
      <c r="V1681">
        <v>6.4025520000000002E-2</v>
      </c>
      <c r="W1681">
        <v>0.2071095</v>
      </c>
      <c r="X1681">
        <v>0.97622050000000005</v>
      </c>
      <c r="Y1681">
        <v>0.126856</v>
      </c>
      <c r="Z1681">
        <v>4.2769359999999997E-4</v>
      </c>
      <c r="AA1681">
        <v>0.9919211</v>
      </c>
      <c r="AB1681">
        <v>37</v>
      </c>
      <c r="AC1681">
        <v>-137.7253</v>
      </c>
      <c r="AD1681">
        <v>-0.149811</v>
      </c>
      <c r="AE1681">
        <v>17.4574</v>
      </c>
      <c r="AF1681">
        <v>17.6609199088665</v>
      </c>
      <c r="AG1681">
        <v>-0.149811</v>
      </c>
      <c r="AH1681">
        <v>137.69918698463499</v>
      </c>
      <c r="AI1681">
        <v>90.061828939421702</v>
      </c>
      <c r="AJ1681">
        <v>82.691302067210003</v>
      </c>
      <c r="AK1681">
        <v>138.82721862658099</v>
      </c>
      <c r="AL1681">
        <v>78.046985346273701</v>
      </c>
      <c r="AM1681">
        <v>86.247624524471703</v>
      </c>
      <c r="AN1681">
        <v>1.00000003841088</v>
      </c>
    </row>
    <row r="1682" spans="1:40" x14ac:dyDescent="0.25">
      <c r="A1682" t="str">
        <f>"20190303170754793"</f>
        <v>20190303170754793</v>
      </c>
      <c r="B1682" t="str">
        <f>"1551604074784569"</f>
        <v>1551604074784569</v>
      </c>
      <c r="C1682" t="s">
        <v>40</v>
      </c>
      <c r="D1682">
        <v>4.2164479999999998</v>
      </c>
      <c r="E1682">
        <v>0.52961139999999995</v>
      </c>
      <c r="F1682" t="s">
        <v>72</v>
      </c>
      <c r="G1682">
        <v>-511.82040000000001</v>
      </c>
      <c r="H1682">
        <v>0.90567660000000005</v>
      </c>
      <c r="I1682">
        <v>302.04919999999998</v>
      </c>
      <c r="J1682">
        <v>-374.4787</v>
      </c>
      <c r="K1682">
        <v>1.119578</v>
      </c>
      <c r="L1682">
        <v>284.65210000000002</v>
      </c>
      <c r="M1682">
        <v>-0.99998299999999996</v>
      </c>
      <c r="N1682">
        <v>-5.7722859999999997E-3</v>
      </c>
      <c r="O1682">
        <v>-9.2751420000000001E-4</v>
      </c>
      <c r="P1682">
        <v>-0.97747669999999998</v>
      </c>
      <c r="Q1682">
        <v>0.20170179999999999</v>
      </c>
      <c r="R1682">
        <v>6.2097270000000003E-2</v>
      </c>
      <c r="S1682">
        <v>-3.045563</v>
      </c>
      <c r="T1682">
        <v>-4.7281980000000003E-3</v>
      </c>
      <c r="U1682">
        <v>0.38470460000000001</v>
      </c>
      <c r="V1682">
        <v>6.3277089999999994E-2</v>
      </c>
      <c r="W1682">
        <v>0.20725740000000001</v>
      </c>
      <c r="X1682">
        <v>0.97623789999999999</v>
      </c>
      <c r="Y1682">
        <v>0.12623999999999999</v>
      </c>
      <c r="Z1682">
        <v>4.5949949999999999E-4</v>
      </c>
      <c r="AA1682">
        <v>0.99199959999999998</v>
      </c>
      <c r="AB1682">
        <v>37</v>
      </c>
      <c r="AC1682">
        <v>-137.3417</v>
      </c>
      <c r="AD1682">
        <v>-0.21390139999999999</v>
      </c>
      <c r="AE1682">
        <v>17.397099999999899</v>
      </c>
      <c r="AF1682">
        <v>17.524439168031499</v>
      </c>
      <c r="AG1682">
        <v>-0.21390139999999999</v>
      </c>
      <c r="AH1682">
        <v>137.325176758873</v>
      </c>
      <c r="AI1682">
        <v>90.088527456806005</v>
      </c>
      <c r="AJ1682">
        <v>82.727636639026301</v>
      </c>
      <c r="AK1682">
        <v>138.43899701247</v>
      </c>
      <c r="AL1682">
        <v>78.038323235796398</v>
      </c>
      <c r="AM1682">
        <v>86.291430915013194</v>
      </c>
      <c r="AN1682">
        <v>1.0000000286850099</v>
      </c>
    </row>
    <row r="1683" spans="1:40" x14ac:dyDescent="0.25">
      <c r="A1683" t="str">
        <f>"20190303170754814"</f>
        <v>20190303170754814</v>
      </c>
      <c r="B1683" t="str">
        <f>"1551604074804090"</f>
        <v>1551604074804090</v>
      </c>
      <c r="C1683" t="s">
        <v>40</v>
      </c>
      <c r="D1683">
        <v>4.198315</v>
      </c>
      <c r="E1683">
        <v>0.52975300000000003</v>
      </c>
      <c r="F1683" t="s">
        <v>72</v>
      </c>
      <c r="G1683">
        <v>-511.82040000000001</v>
      </c>
      <c r="H1683">
        <v>0.88548369999999998</v>
      </c>
      <c r="I1683">
        <v>302.0564</v>
      </c>
      <c r="J1683">
        <v>-374.83319999999998</v>
      </c>
      <c r="K1683">
        <v>1.1195759999999999</v>
      </c>
      <c r="L1683">
        <v>284.65219999999999</v>
      </c>
      <c r="M1683">
        <v>-0.99998310000000001</v>
      </c>
      <c r="N1683">
        <v>-5.8036980000000004E-3</v>
      </c>
      <c r="O1683">
        <v>-4.1878409999999999E-4</v>
      </c>
      <c r="P1683">
        <v>-0.97760849999999999</v>
      </c>
      <c r="Q1683">
        <v>0.20107050000000001</v>
      </c>
      <c r="R1683">
        <v>6.2067099999999903E-2</v>
      </c>
      <c r="S1683">
        <v>-3.0456850000000002</v>
      </c>
      <c r="T1683">
        <v>-5.1893E-3</v>
      </c>
      <c r="U1683">
        <v>0.38595580000000002</v>
      </c>
      <c r="V1683">
        <v>6.275058E-2</v>
      </c>
      <c r="W1683">
        <v>0.20665739999999999</v>
      </c>
      <c r="X1683">
        <v>0.97639909999999996</v>
      </c>
      <c r="Y1683">
        <v>0.12613139999999901</v>
      </c>
      <c r="Z1683">
        <v>4.7279089999999999E-4</v>
      </c>
      <c r="AA1683">
        <v>0.99201349999999999</v>
      </c>
      <c r="AB1683">
        <v>37</v>
      </c>
      <c r="AC1683">
        <v>-136.9872</v>
      </c>
      <c r="AD1683">
        <v>-0.2340923</v>
      </c>
      <c r="AE1683">
        <v>17.404199999999999</v>
      </c>
      <c r="AF1683">
        <v>17.4615173182316</v>
      </c>
      <c r="AG1683">
        <v>-0.2340923</v>
      </c>
      <c r="AH1683">
        <v>136.97950560754501</v>
      </c>
      <c r="AI1683">
        <v>90.097130019543698</v>
      </c>
      <c r="AJ1683">
        <v>82.735378466968896</v>
      </c>
      <c r="AK1683">
        <v>138.088175970093</v>
      </c>
      <c r="AL1683">
        <v>78.073461818315295</v>
      </c>
      <c r="AM1683">
        <v>86.322809302588894</v>
      </c>
      <c r="AN1683">
        <v>1.0000000593729499</v>
      </c>
    </row>
    <row r="1684" spans="1:40" x14ac:dyDescent="0.25">
      <c r="A1684" t="str">
        <f>"20190303170754835"</f>
        <v>20190303170754835</v>
      </c>
      <c r="B1684" t="str">
        <f>"1551604074824585"</f>
        <v>1551604074824585</v>
      </c>
      <c r="C1684" t="s">
        <v>40</v>
      </c>
      <c r="D1684">
        <v>4.1391720000000003</v>
      </c>
      <c r="E1684">
        <v>0.52987050000000002</v>
      </c>
      <c r="F1684" t="s">
        <v>72</v>
      </c>
      <c r="G1684">
        <v>-511.82040000000001</v>
      </c>
      <c r="H1684">
        <v>0.79869959999999995</v>
      </c>
      <c r="I1684">
        <v>302.05720000000002</v>
      </c>
      <c r="J1684">
        <v>-375.18959999999998</v>
      </c>
      <c r="K1684">
        <v>1.1195649999999999</v>
      </c>
      <c r="L1684">
        <v>284.65249999999997</v>
      </c>
      <c r="M1684">
        <v>-0.99998290000000001</v>
      </c>
      <c r="N1684">
        <v>-5.8439669999999899E-3</v>
      </c>
      <c r="O1684" s="1">
        <v>9.1532190000000004E-5</v>
      </c>
      <c r="P1684">
        <v>-0.9778405</v>
      </c>
      <c r="Q1684">
        <v>0.20001459999999999</v>
      </c>
      <c r="R1684">
        <v>6.1824850000000001E-2</v>
      </c>
      <c r="S1684">
        <v>-3.0456240000000001</v>
      </c>
      <c r="T1684">
        <v>-7.1320530000000002E-3</v>
      </c>
      <c r="U1684">
        <v>0.3869629</v>
      </c>
      <c r="V1684">
        <v>6.2009740000000001E-2</v>
      </c>
      <c r="W1684">
        <v>0.20564350000000001</v>
      </c>
      <c r="X1684">
        <v>0.97666039999999998</v>
      </c>
      <c r="Y1684">
        <v>0.12595010000000001</v>
      </c>
      <c r="Z1684">
        <v>5.1670220000000003E-4</v>
      </c>
      <c r="AA1684">
        <v>0.99203649999999999</v>
      </c>
      <c r="AB1684">
        <v>37</v>
      </c>
      <c r="AC1684">
        <v>-136.63079999999999</v>
      </c>
      <c r="AD1684">
        <v>-0.32086540000000002</v>
      </c>
      <c r="AE1684">
        <v>17.404699999999998</v>
      </c>
      <c r="AF1684">
        <v>17.392099210440101</v>
      </c>
      <c r="AG1684">
        <v>-0.32086540000000002</v>
      </c>
      <c r="AH1684">
        <v>136.63165104854201</v>
      </c>
      <c r="AI1684">
        <v>90.133475985123397</v>
      </c>
      <c r="AJ1684">
        <v>82.745725725851401</v>
      </c>
      <c r="AK1684">
        <v>137.734513241239</v>
      </c>
      <c r="AL1684">
        <v>78.132828449940902</v>
      </c>
      <c r="AM1684">
        <v>86.367075210609599</v>
      </c>
      <c r="AN1684">
        <v>0.99999999693763797</v>
      </c>
    </row>
    <row r="1685" spans="1:40" x14ac:dyDescent="0.25">
      <c r="A1685" t="str">
        <f>"20190303170754858"</f>
        <v>20190303170754858</v>
      </c>
      <c r="B1685" t="str">
        <f>"1551604074844104"</f>
        <v>1551604074844104</v>
      </c>
      <c r="C1685" t="s">
        <v>40</v>
      </c>
      <c r="D1685">
        <v>4.1394190000000002</v>
      </c>
      <c r="E1685">
        <v>0.5300087</v>
      </c>
      <c r="F1685" t="s">
        <v>72</v>
      </c>
      <c r="G1685">
        <v>-511.82040000000001</v>
      </c>
      <c r="H1685">
        <v>0.68355200000000005</v>
      </c>
      <c r="I1685">
        <v>302.02379999999999</v>
      </c>
      <c r="J1685">
        <v>-375.56909999999999</v>
      </c>
      <c r="K1685">
        <v>1.119564</v>
      </c>
      <c r="L1685">
        <v>284.65300000000002</v>
      </c>
      <c r="M1685">
        <v>-0.9999825</v>
      </c>
      <c r="N1685">
        <v>-5.8982519999999997E-3</v>
      </c>
      <c r="O1685">
        <v>6.3166809999999998E-4</v>
      </c>
      <c r="P1685">
        <v>-0.97793059999999998</v>
      </c>
      <c r="Q1685">
        <v>0.19962179999999999</v>
      </c>
      <c r="R1685">
        <v>6.1667390000000002E-2</v>
      </c>
      <c r="S1685">
        <v>-3.0455019999999999</v>
      </c>
      <c r="T1685">
        <v>-9.7167490000000002E-3</v>
      </c>
      <c r="U1685">
        <v>0.38720700000000002</v>
      </c>
      <c r="V1685">
        <v>6.1324049999999998E-2</v>
      </c>
      <c r="W1685">
        <v>0.20530509999999999</v>
      </c>
      <c r="X1685">
        <v>0.9767749</v>
      </c>
      <c r="Y1685">
        <v>0.12549689999999999</v>
      </c>
      <c r="Z1685">
        <v>5.7269660000000002E-4</v>
      </c>
      <c r="AA1685">
        <v>0.99209389999999997</v>
      </c>
      <c r="AB1685">
        <v>37</v>
      </c>
      <c r="AC1685">
        <v>-136.25129999999999</v>
      </c>
      <c r="AD1685">
        <v>-0.43601200000000001</v>
      </c>
      <c r="AE1685">
        <v>17.3707999999999</v>
      </c>
      <c r="AF1685">
        <v>17.2845552762921</v>
      </c>
      <c r="AG1685">
        <v>-0.43601200000000001</v>
      </c>
      <c r="AH1685">
        <v>136.26087254252101</v>
      </c>
      <c r="AI1685">
        <v>90.181878858035603</v>
      </c>
      <c r="AJ1685">
        <v>82.770697506802804</v>
      </c>
      <c r="AK1685">
        <v>137.353454065096</v>
      </c>
      <c r="AL1685">
        <v>78.152640280020293</v>
      </c>
      <c r="AM1685">
        <v>86.407561538252395</v>
      </c>
      <c r="AN1685">
        <v>1.0000000142322101</v>
      </c>
    </row>
    <row r="1686" spans="1:40" x14ac:dyDescent="0.25">
      <c r="A1686" t="str">
        <f>"20190303170754881"</f>
        <v>20190303170754881</v>
      </c>
      <c r="B1686" t="str">
        <f>"1551604074874361"</f>
        <v>1551604074874361</v>
      </c>
      <c r="C1686" t="s">
        <v>40</v>
      </c>
      <c r="D1686">
        <v>4.0761430000000001</v>
      </c>
      <c r="E1686">
        <v>0.53025310000000003</v>
      </c>
      <c r="F1686" t="s">
        <v>72</v>
      </c>
      <c r="G1686">
        <v>-511.82029999999997</v>
      </c>
      <c r="H1686">
        <v>0.62195219999999996</v>
      </c>
      <c r="I1686">
        <v>302.01560000000001</v>
      </c>
      <c r="J1686">
        <v>-375.95909999999998</v>
      </c>
      <c r="K1686">
        <v>1.11957</v>
      </c>
      <c r="L1686">
        <v>284.65370000000001</v>
      </c>
      <c r="M1686">
        <v>-0.99998149999999997</v>
      </c>
      <c r="N1686">
        <v>-5.9721440000000004E-3</v>
      </c>
      <c r="O1686">
        <v>1.1769250000000001E-3</v>
      </c>
      <c r="P1686">
        <v>-0.97778419999999999</v>
      </c>
      <c r="Q1686">
        <v>0.20025889999999999</v>
      </c>
      <c r="R1686">
        <v>6.1924569999999998E-2</v>
      </c>
      <c r="S1686">
        <v>-3.0455019999999999</v>
      </c>
      <c r="T1686">
        <v>-1.1120680000000001E-2</v>
      </c>
      <c r="U1686">
        <v>0.38809199999999999</v>
      </c>
      <c r="V1686">
        <v>6.1048379999999999E-2</v>
      </c>
      <c r="W1686">
        <v>0.206014</v>
      </c>
      <c r="X1686">
        <v>0.97664289999999998</v>
      </c>
      <c r="Y1686">
        <v>0.12523919999999999</v>
      </c>
      <c r="Z1686">
        <v>6.0594109999999996E-4</v>
      </c>
      <c r="AA1686">
        <v>0.99212639999999996</v>
      </c>
      <c r="AB1686">
        <v>37</v>
      </c>
      <c r="AC1686">
        <v>-135.8612</v>
      </c>
      <c r="AD1686">
        <v>-0.4976178</v>
      </c>
      <c r="AE1686">
        <v>17.361899999999899</v>
      </c>
      <c r="AF1686">
        <v>17.201759625864199</v>
      </c>
      <c r="AG1686">
        <v>-0.4976178</v>
      </c>
      <c r="AH1686">
        <v>135.87974634094499</v>
      </c>
      <c r="AI1686">
        <v>90.208165810653796</v>
      </c>
      <c r="AJ1686">
        <v>82.784994364352102</v>
      </c>
      <c r="AK1686">
        <v>136.96515477806901</v>
      </c>
      <c r="AL1686">
        <v>78.111136082632598</v>
      </c>
      <c r="AM1686">
        <v>86.423186508539402</v>
      </c>
      <c r="AN1686">
        <v>1.0000000135085101</v>
      </c>
    </row>
    <row r="1687" spans="1:40" x14ac:dyDescent="0.25">
      <c r="A1687" t="str">
        <f>"20190303170754913"</f>
        <v>20190303170754913</v>
      </c>
      <c r="B1687" t="str">
        <f>"1551604074904617"</f>
        <v>1551604074904617</v>
      </c>
      <c r="C1687" t="s">
        <v>40</v>
      </c>
      <c r="D1687">
        <v>4.0780479999999999</v>
      </c>
      <c r="E1687">
        <v>0.49447780000000002</v>
      </c>
      <c r="F1687" t="s">
        <v>72</v>
      </c>
      <c r="G1687">
        <v>-511.82040000000001</v>
      </c>
      <c r="H1687">
        <v>0.72061790000000003</v>
      </c>
      <c r="I1687">
        <v>302.1044</v>
      </c>
      <c r="J1687">
        <v>-376.50450000000001</v>
      </c>
      <c r="K1687">
        <v>1.119602</v>
      </c>
      <c r="L1687">
        <v>284.65499999999997</v>
      </c>
      <c r="M1687">
        <v>-0.99997959999999997</v>
      </c>
      <c r="N1687">
        <v>-6.1124329999999996E-3</v>
      </c>
      <c r="O1687">
        <v>1.9071470000000001E-3</v>
      </c>
      <c r="P1687">
        <v>-0.97759929999999995</v>
      </c>
      <c r="Q1687">
        <v>0.20101269999999999</v>
      </c>
      <c r="R1687">
        <v>6.2397609999999999E-2</v>
      </c>
      <c r="S1687">
        <v>-3.0452270000000001</v>
      </c>
      <c r="T1687">
        <v>-8.9402200000000005E-3</v>
      </c>
      <c r="U1687">
        <v>0.39114379999999999</v>
      </c>
      <c r="V1687">
        <v>6.0802259999999997E-2</v>
      </c>
      <c r="W1687">
        <v>0.20690610000000001</v>
      </c>
      <c r="X1687">
        <v>0.97646960000000005</v>
      </c>
      <c r="Y1687">
        <v>0.1255047</v>
      </c>
      <c r="Z1687">
        <v>5.7465429999999996E-4</v>
      </c>
      <c r="AA1687">
        <v>0.9920928</v>
      </c>
      <c r="AB1687">
        <v>38</v>
      </c>
      <c r="AC1687">
        <v>-135.3159</v>
      </c>
      <c r="AD1687">
        <v>-0.39898410000000001</v>
      </c>
      <c r="AE1687">
        <v>17.449400000000001</v>
      </c>
      <c r="AF1687">
        <v>17.191149144080399</v>
      </c>
      <c r="AG1687">
        <v>-0.39898410000000001</v>
      </c>
      <c r="AH1687">
        <v>135.347775643842</v>
      </c>
      <c r="AI1687">
        <v>90.167552396000303</v>
      </c>
      <c r="AJ1687">
        <v>82.761357396180301</v>
      </c>
      <c r="AK1687">
        <v>136.43575473072201</v>
      </c>
      <c r="AL1687">
        <v>78.0588964323466</v>
      </c>
      <c r="AM1687">
        <v>86.436938806647802</v>
      </c>
      <c r="AN1687">
        <v>0.99999996438123795</v>
      </c>
    </row>
    <row r="1688" spans="1:40" x14ac:dyDescent="0.25">
      <c r="A1688" t="str">
        <f>"20190303170754936"</f>
        <v>20190303170754936</v>
      </c>
      <c r="B1688" t="str">
        <f>"1551604074924645"</f>
        <v>1551604074924645</v>
      </c>
      <c r="C1688" t="s">
        <v>40</v>
      </c>
      <c r="D1688">
        <v>4.117324</v>
      </c>
      <c r="E1688">
        <v>0.47570970000000001</v>
      </c>
      <c r="F1688" t="s">
        <v>45</v>
      </c>
      <c r="G1688">
        <v>0</v>
      </c>
      <c r="H1688">
        <v>0</v>
      </c>
      <c r="I1688">
        <v>0</v>
      </c>
      <c r="J1688">
        <v>-376.88490000000002</v>
      </c>
      <c r="K1688">
        <v>1.1196299999999999</v>
      </c>
      <c r="L1688">
        <v>284.65609999999998</v>
      </c>
      <c r="M1688">
        <v>-0.99997789999999998</v>
      </c>
      <c r="N1688">
        <v>-6.2274330000000001E-3</v>
      </c>
      <c r="O1688">
        <v>2.3848530000000001E-3</v>
      </c>
      <c r="P1688">
        <v>-0.9777498</v>
      </c>
      <c r="Q1688">
        <v>0.20027919999999999</v>
      </c>
      <c r="R1688">
        <v>6.240213E-2</v>
      </c>
      <c r="S1688">
        <v>-3.0605159999999998</v>
      </c>
      <c r="T1688">
        <v>6.4461229999999998E-3</v>
      </c>
      <c r="U1688">
        <v>0.1078186</v>
      </c>
      <c r="V1688">
        <v>6.033057E-2</v>
      </c>
      <c r="W1688">
        <v>0.20628930000000001</v>
      </c>
      <c r="X1688">
        <v>0.97662939999999998</v>
      </c>
      <c r="Y1688">
        <v>3.282376E-2</v>
      </c>
      <c r="Z1688" s="1">
        <v>8.7548569999999995E-5</v>
      </c>
      <c r="AA1688">
        <v>0.99946120000000005</v>
      </c>
      <c r="AB1688">
        <v>38</v>
      </c>
      <c r="AC1688">
        <v>-3.0605159999999998</v>
      </c>
      <c r="AD1688">
        <v>6.4461229999999998E-3</v>
      </c>
      <c r="AE1688">
        <v>0.1078186</v>
      </c>
      <c r="AF1688">
        <v>0.100518826696365</v>
      </c>
      <c r="AG1688">
        <v>6.4461229999999998E-3</v>
      </c>
      <c r="AH1688">
        <v>3.0607508715657299</v>
      </c>
      <c r="AI1688">
        <v>89.8793968863922</v>
      </c>
      <c r="AJ1688">
        <v>88.119012114149101</v>
      </c>
      <c r="AK1688">
        <v>3.0624077920506498</v>
      </c>
      <c r="AL1688">
        <v>78.095016368525293</v>
      </c>
      <c r="AM1688">
        <v>86.465086857989405</v>
      </c>
      <c r="AN1688">
        <v>1.0000000189576801</v>
      </c>
    </row>
    <row r="1689" spans="1:40" x14ac:dyDescent="0.25">
      <c r="A1689" t="str">
        <f>"20190303170754958"</f>
        <v>20190303170754958</v>
      </c>
      <c r="B1689" t="str">
        <f>"1551604074953925"</f>
        <v>1551604074953925</v>
      </c>
      <c r="C1689" t="s">
        <v>40</v>
      </c>
      <c r="D1689">
        <v>4.0731380000000001</v>
      </c>
      <c r="E1689">
        <v>0.45889069999999998</v>
      </c>
      <c r="F1689" t="s">
        <v>45</v>
      </c>
      <c r="G1689">
        <v>0</v>
      </c>
      <c r="H1689">
        <v>0</v>
      </c>
      <c r="I1689">
        <v>0</v>
      </c>
      <c r="J1689">
        <v>-377.26949999999999</v>
      </c>
      <c r="K1689">
        <v>1.1196600000000001</v>
      </c>
      <c r="L1689">
        <v>284.6574</v>
      </c>
      <c r="M1689">
        <v>-0.99997590000000003</v>
      </c>
      <c r="N1689">
        <v>-6.3499899999999998E-3</v>
      </c>
      <c r="O1689">
        <v>2.8411719999999999E-3</v>
      </c>
      <c r="P1689">
        <v>-0.97789110000000001</v>
      </c>
      <c r="Q1689">
        <v>0.19934470000000001</v>
      </c>
      <c r="R1689">
        <v>6.3174369999999994E-2</v>
      </c>
      <c r="S1689">
        <v>-3.0696720000000002</v>
      </c>
      <c r="T1689">
        <v>6.3840149999999998E-3</v>
      </c>
      <c r="U1689">
        <v>-4.2327879999999998E-2</v>
      </c>
      <c r="V1689">
        <v>6.0645640000000001E-2</v>
      </c>
      <c r="W1689">
        <v>0.2054783</v>
      </c>
      <c r="X1689">
        <v>0.9767808</v>
      </c>
      <c r="Y1689">
        <v>-1.662862E-2</v>
      </c>
      <c r="Z1689" s="1">
        <v>-1.1559099999999999E-5</v>
      </c>
      <c r="AA1689">
        <v>0.99986169999999996</v>
      </c>
      <c r="AB1689">
        <v>38</v>
      </c>
      <c r="AC1689">
        <v>-3.0696720000000002</v>
      </c>
      <c r="AD1689">
        <v>6.3840149999999998E-3</v>
      </c>
      <c r="AE1689">
        <v>-4.2327879999999998E-2</v>
      </c>
      <c r="AF1689">
        <v>-5.1049129522165802E-2</v>
      </c>
      <c r="AG1689">
        <v>6.3840149999999998E-3</v>
      </c>
      <c r="AH1689">
        <v>3.0695260729659801</v>
      </c>
      <c r="AI1689">
        <v>89.880852611900295</v>
      </c>
      <c r="AJ1689">
        <v>90.952795311125101</v>
      </c>
      <c r="AK1689">
        <v>3.0699571791623499</v>
      </c>
      <c r="AL1689">
        <v>78.142500037019701</v>
      </c>
      <c r="AM1689">
        <v>86.447222676531197</v>
      </c>
      <c r="AN1689">
        <v>0.99999997833526899</v>
      </c>
    </row>
    <row r="1690" spans="1:40" x14ac:dyDescent="0.25">
      <c r="A1690" t="str">
        <f>"20190303170754983"</f>
        <v>20190303170754983</v>
      </c>
      <c r="B1690" t="str">
        <f>"1551604074974420"</f>
        <v>1551604074974420</v>
      </c>
      <c r="C1690" t="s">
        <v>40</v>
      </c>
      <c r="D1690">
        <v>4.073976</v>
      </c>
      <c r="E1690">
        <v>0.4545517</v>
      </c>
      <c r="F1690" t="s">
        <v>70</v>
      </c>
      <c r="G1690">
        <v>-511.959</v>
      </c>
      <c r="H1690">
        <v>1.3023929999999999</v>
      </c>
      <c r="I1690">
        <v>277.0154</v>
      </c>
      <c r="J1690">
        <v>-377.67790000000002</v>
      </c>
      <c r="K1690">
        <v>1.119705</v>
      </c>
      <c r="L1690">
        <v>284.65890000000002</v>
      </c>
      <c r="M1690">
        <v>-0.99997360000000002</v>
      </c>
      <c r="N1690">
        <v>-6.496936E-3</v>
      </c>
      <c r="O1690">
        <v>3.2889120000000002E-3</v>
      </c>
      <c r="P1690">
        <v>-0.9779871</v>
      </c>
      <c r="Q1690">
        <v>0.19872980000000001</v>
      </c>
      <c r="R1690">
        <v>6.3624669999999994E-2</v>
      </c>
      <c r="S1690">
        <v>-3.078217</v>
      </c>
      <c r="T1690">
        <v>4.1780469999999998E-3</v>
      </c>
      <c r="U1690">
        <v>-0.1746521</v>
      </c>
      <c r="V1690">
        <v>6.064489E-2</v>
      </c>
      <c r="W1690">
        <v>0.2050111</v>
      </c>
      <c r="X1690">
        <v>0.97687900000000005</v>
      </c>
      <c r="Y1690">
        <v>-5.9930480000000001E-2</v>
      </c>
      <c r="Z1690">
        <v>-1.2839049999999999E-4</v>
      </c>
      <c r="AA1690">
        <v>0.99820260000000005</v>
      </c>
      <c r="AB1690">
        <v>38</v>
      </c>
      <c r="AC1690">
        <v>-134.28109999999899</v>
      </c>
      <c r="AD1690">
        <v>0.18268799999999999</v>
      </c>
      <c r="AE1690">
        <v>-7.6435000000000102</v>
      </c>
      <c r="AF1690">
        <v>-8.0850917338600201</v>
      </c>
      <c r="AG1690">
        <v>0.18268799999999999</v>
      </c>
      <c r="AH1690">
        <v>134.25498669132901</v>
      </c>
      <c r="AI1690">
        <v>89.922175585472104</v>
      </c>
      <c r="AJ1690">
        <v>93.446299096089902</v>
      </c>
      <c r="AK1690">
        <v>134.49834026760001</v>
      </c>
      <c r="AL1690">
        <v>78.169850773926996</v>
      </c>
      <c r="AM1690">
        <v>86.447622722105507</v>
      </c>
      <c r="AN1690">
        <v>0.99999996722366002</v>
      </c>
    </row>
    <row r="1691" spans="1:40" x14ac:dyDescent="0.25">
      <c r="A1691" t="str">
        <f>"20190303170755004"</f>
        <v>20190303170755004</v>
      </c>
      <c r="B1691" t="str">
        <f>"1551604074993940"</f>
        <v>1551604074993940</v>
      </c>
      <c r="C1691" t="s">
        <v>40</v>
      </c>
      <c r="D1691">
        <v>4.0324999999999998</v>
      </c>
      <c r="E1691">
        <v>0.45162229999999998</v>
      </c>
      <c r="F1691" t="s">
        <v>70</v>
      </c>
      <c r="G1691">
        <v>-511.959</v>
      </c>
      <c r="H1691">
        <v>1.036961</v>
      </c>
      <c r="I1691">
        <v>275.57060000000001</v>
      </c>
      <c r="J1691">
        <v>-378.04329999999999</v>
      </c>
      <c r="K1691">
        <v>1.1197539999999999</v>
      </c>
      <c r="L1691">
        <v>284.66050000000001</v>
      </c>
      <c r="M1691">
        <v>-0.99997130000000001</v>
      </c>
      <c r="N1691">
        <v>-6.649205E-3</v>
      </c>
      <c r="O1691">
        <v>3.6533400000000001E-3</v>
      </c>
      <c r="P1691">
        <v>-0.97783960000000003</v>
      </c>
      <c r="Q1691">
        <v>0.199156</v>
      </c>
      <c r="R1691">
        <v>6.4551629999999999E-2</v>
      </c>
      <c r="S1691">
        <v>-3.0814819999999998</v>
      </c>
      <c r="T1691">
        <v>-1.896977E-3</v>
      </c>
      <c r="U1691">
        <v>-0.2085571</v>
      </c>
      <c r="V1691">
        <v>6.1203689999999998E-2</v>
      </c>
      <c r="W1691">
        <v>0.20558799999999999</v>
      </c>
      <c r="X1691">
        <v>0.97672300000000001</v>
      </c>
      <c r="Y1691">
        <v>-7.1170720000000007E-2</v>
      </c>
      <c r="Z1691">
        <v>-2.3675190000000001E-4</v>
      </c>
      <c r="AA1691">
        <v>0.99746409999999996</v>
      </c>
      <c r="AB1691">
        <v>38</v>
      </c>
      <c r="AC1691">
        <v>-133.91569999999999</v>
      </c>
      <c r="AD1691">
        <v>-8.2793000000000103E-2</v>
      </c>
      <c r="AE1691">
        <v>-9.0899000000000001</v>
      </c>
      <c r="AF1691">
        <v>-9.5790860514000595</v>
      </c>
      <c r="AG1691">
        <v>-8.2793000000000103E-2</v>
      </c>
      <c r="AH1691">
        <v>133.881546112845</v>
      </c>
      <c r="AI1691">
        <v>90.035341638595696</v>
      </c>
      <c r="AJ1691">
        <v>94.092479746923999</v>
      </c>
      <c r="AK1691">
        <v>134.22382103720199</v>
      </c>
      <c r="AL1691">
        <v>78.136078651308495</v>
      </c>
      <c r="AM1691">
        <v>86.414403944720604</v>
      </c>
      <c r="AN1691">
        <v>1.0000000680712999</v>
      </c>
    </row>
    <row r="1692" spans="1:40" x14ac:dyDescent="0.25">
      <c r="A1692" t="str">
        <f>"20190303170755025"</f>
        <v>20190303170755025</v>
      </c>
      <c r="B1692" t="str">
        <f>"1551604075014436"</f>
        <v>1551604075014436</v>
      </c>
      <c r="C1692" t="s">
        <v>40</v>
      </c>
      <c r="D1692">
        <v>4.0077619999999996</v>
      </c>
      <c r="E1692">
        <v>0.4496676</v>
      </c>
      <c r="F1692" t="s">
        <v>70</v>
      </c>
      <c r="G1692">
        <v>-512.82550000000003</v>
      </c>
      <c r="H1692">
        <v>1.0494939999999999</v>
      </c>
      <c r="I1692">
        <v>274.649</v>
      </c>
      <c r="J1692">
        <v>-378.40730000000002</v>
      </c>
      <c r="K1692">
        <v>1.1198060000000001</v>
      </c>
      <c r="L1692">
        <v>284.66199999999998</v>
      </c>
      <c r="M1692">
        <v>-0.99996890000000005</v>
      </c>
      <c r="N1692">
        <v>-6.8188939999999998E-3</v>
      </c>
      <c r="O1692">
        <v>3.9831179999999999E-3</v>
      </c>
      <c r="P1692">
        <v>-0.97780339999999999</v>
      </c>
      <c r="Q1692">
        <v>0.19914689999999999</v>
      </c>
      <c r="R1692">
        <v>6.5121479999999995E-2</v>
      </c>
      <c r="S1692">
        <v>-3.0834350000000001</v>
      </c>
      <c r="T1692">
        <v>-1.605511E-3</v>
      </c>
      <c r="U1692">
        <v>-0.2290344</v>
      </c>
      <c r="V1692">
        <v>6.1437760000000001E-2</v>
      </c>
      <c r="W1692">
        <v>0.2057485</v>
      </c>
      <c r="X1692">
        <v>0.97667440000000005</v>
      </c>
      <c r="Y1692">
        <v>-7.8046370000000004E-2</v>
      </c>
      <c r="Z1692">
        <v>-2.6170399999999997E-4</v>
      </c>
      <c r="AA1692">
        <v>0.99694970000000005</v>
      </c>
      <c r="AB1692">
        <v>38</v>
      </c>
      <c r="AC1692">
        <v>-134.41820000000001</v>
      </c>
      <c r="AD1692">
        <v>-7.0311999999999694E-2</v>
      </c>
      <c r="AE1692">
        <v>-10.013</v>
      </c>
      <c r="AF1692">
        <v>-10.548333652481499</v>
      </c>
      <c r="AG1692">
        <v>-7.0311999999999694E-2</v>
      </c>
      <c r="AH1692">
        <v>134.37721320910501</v>
      </c>
      <c r="AI1692">
        <v>90.029887698583593</v>
      </c>
      <c r="AJ1692">
        <v>94.488396380162499</v>
      </c>
      <c r="AK1692">
        <v>134.790606929662</v>
      </c>
      <c r="AL1692">
        <v>78.126680532752204</v>
      </c>
      <c r="AM1692">
        <v>86.400548386398498</v>
      </c>
      <c r="AN1692">
        <v>0.99999996361071297</v>
      </c>
    </row>
    <row r="1693" spans="1:40" x14ac:dyDescent="0.25">
      <c r="A1693" t="str">
        <f>"20190303170755050"</f>
        <v>20190303170755050</v>
      </c>
      <c r="B1693" t="str">
        <f>"1551604075044692"</f>
        <v>1551604075044692</v>
      </c>
      <c r="C1693" t="s">
        <v>40</v>
      </c>
      <c r="D1693">
        <v>3.9899789999999999</v>
      </c>
      <c r="E1693">
        <v>0.44784780000000002</v>
      </c>
      <c r="F1693" t="s">
        <v>70</v>
      </c>
      <c r="G1693">
        <v>-512.82550000000003</v>
      </c>
      <c r="H1693">
        <v>1.0449790000000001</v>
      </c>
      <c r="I1693">
        <v>274.07909999999998</v>
      </c>
      <c r="J1693">
        <v>-378.82409999999999</v>
      </c>
      <c r="K1693">
        <v>1.119858</v>
      </c>
      <c r="L1693">
        <v>284.66399999999999</v>
      </c>
      <c r="M1693">
        <v>-0.99996600000000002</v>
      </c>
      <c r="N1693">
        <v>-7.0298260000000003E-3</v>
      </c>
      <c r="O1693">
        <v>4.3264870000000004E-3</v>
      </c>
      <c r="P1693">
        <v>-0.97787670000000004</v>
      </c>
      <c r="Q1693">
        <v>0.19864190000000001</v>
      </c>
      <c r="R1693">
        <v>6.5567299999999995E-2</v>
      </c>
      <c r="S1693">
        <v>-3.0846559999999998</v>
      </c>
      <c r="T1693">
        <v>-1.7153019999999999E-3</v>
      </c>
      <c r="U1693">
        <v>-0.24285889999999999</v>
      </c>
      <c r="V1693">
        <v>6.1532490000000002E-2</v>
      </c>
      <c r="W1693">
        <v>0.20545450000000001</v>
      </c>
      <c r="X1693">
        <v>0.97673030000000005</v>
      </c>
      <c r="Y1693">
        <v>-8.2800650000000003E-2</v>
      </c>
      <c r="Z1693">
        <v>-2.8651229999999999E-4</v>
      </c>
      <c r="AA1693">
        <v>0.99656610000000001</v>
      </c>
      <c r="AB1693">
        <v>38</v>
      </c>
      <c r="AC1693">
        <v>-134.00139999999999</v>
      </c>
      <c r="AD1693">
        <v>-7.4878999999999904E-2</v>
      </c>
      <c r="AE1693">
        <v>-10.584899999999999</v>
      </c>
      <c r="AF1693">
        <v>-11.164567064355801</v>
      </c>
      <c r="AG1693">
        <v>-7.4878999999999904E-2</v>
      </c>
      <c r="AH1693">
        <v>133.954307651943</v>
      </c>
      <c r="AI1693">
        <v>90.0319170486692</v>
      </c>
      <c r="AJ1693">
        <v>94.764367247806405</v>
      </c>
      <c r="AK1693">
        <v>134.418784785128</v>
      </c>
      <c r="AL1693">
        <v>78.143892931136193</v>
      </c>
      <c r="AM1693">
        <v>86.395218843915501</v>
      </c>
      <c r="AN1693">
        <v>0.99999993891696803</v>
      </c>
    </row>
    <row r="1694" spans="1:40" x14ac:dyDescent="0.25">
      <c r="A1694" t="str">
        <f>"20190303170755071"</f>
        <v>20190303170755071</v>
      </c>
      <c r="B1694" t="str">
        <f>"1551604075064216"</f>
        <v>1551604075064216</v>
      </c>
      <c r="C1694" t="s">
        <v>40</v>
      </c>
      <c r="D1694">
        <v>3.94184</v>
      </c>
      <c r="E1694">
        <v>0.446851</v>
      </c>
      <c r="F1694" t="s">
        <v>70</v>
      </c>
      <c r="G1694">
        <v>-512.82539999999995</v>
      </c>
      <c r="H1694">
        <v>0.86600650000000001</v>
      </c>
      <c r="I1694">
        <v>273.54820000000001</v>
      </c>
      <c r="J1694">
        <v>-379.18360000000001</v>
      </c>
      <c r="K1694">
        <v>1.1198980000000001</v>
      </c>
      <c r="L1694">
        <v>284.66579999999999</v>
      </c>
      <c r="M1694">
        <v>-0.99996350000000001</v>
      </c>
      <c r="N1694">
        <v>-7.2248980000000004E-3</v>
      </c>
      <c r="O1694">
        <v>4.595175E-3</v>
      </c>
      <c r="P1694">
        <v>-0.97796519999999998</v>
      </c>
      <c r="Q1694">
        <v>0.1981976</v>
      </c>
      <c r="R1694">
        <v>6.5590960000000004E-2</v>
      </c>
      <c r="S1694">
        <v>-3.0862430000000001</v>
      </c>
      <c r="T1694">
        <v>-5.8447119999999898E-3</v>
      </c>
      <c r="U1694">
        <v>-0.25601200000000002</v>
      </c>
      <c r="V1694">
        <v>6.1281099999999998E-2</v>
      </c>
      <c r="W1694">
        <v>0.20520479999999999</v>
      </c>
      <c r="X1694">
        <v>0.97679870000000002</v>
      </c>
      <c r="Y1694">
        <v>-8.7246550000000006E-2</v>
      </c>
      <c r="Z1694">
        <v>-3.7373739999999999E-4</v>
      </c>
      <c r="AA1694">
        <v>0.99618669999999998</v>
      </c>
      <c r="AB1694">
        <v>38</v>
      </c>
      <c r="AC1694">
        <v>-133.64179999999899</v>
      </c>
      <c r="AD1694">
        <v>-0.25389149999999999</v>
      </c>
      <c r="AE1694">
        <v>-11.1175999999999</v>
      </c>
      <c r="AF1694">
        <v>-11.731563954900301</v>
      </c>
      <c r="AG1694">
        <v>-0.25389149999999999</v>
      </c>
      <c r="AH1694">
        <v>133.58882147499301</v>
      </c>
      <c r="AI1694">
        <v>90.108475565745806</v>
      </c>
      <c r="AJ1694">
        <v>95.018751608520603</v>
      </c>
      <c r="AK1694">
        <v>134.10319637055301</v>
      </c>
      <c r="AL1694">
        <v>78.158512395974299</v>
      </c>
      <c r="AM1694">
        <v>86.410158261049702</v>
      </c>
      <c r="AN1694">
        <v>1.00000004174096</v>
      </c>
    </row>
    <row r="1695" spans="1:40" x14ac:dyDescent="0.25">
      <c r="A1695" t="str">
        <f>"20190303170755092"</f>
        <v>20190303170755092</v>
      </c>
      <c r="B1695" t="str">
        <f>"1551604075084709"</f>
        <v>1551604075084709</v>
      </c>
      <c r="C1695" t="s">
        <v>40</v>
      </c>
      <c r="D1695">
        <v>3.9822929999999999</v>
      </c>
      <c r="E1695">
        <v>0.44600450000000003</v>
      </c>
      <c r="F1695" t="s">
        <v>70</v>
      </c>
      <c r="G1695">
        <v>-512.82539999999995</v>
      </c>
      <c r="H1695">
        <v>0.82761169999999995</v>
      </c>
      <c r="I1695">
        <v>273.24829999999997</v>
      </c>
      <c r="J1695">
        <v>-379.55669999999998</v>
      </c>
      <c r="K1695">
        <v>1.1199410000000001</v>
      </c>
      <c r="L1695">
        <v>284.66770000000002</v>
      </c>
      <c r="M1695">
        <v>-0.99996059999999998</v>
      </c>
      <c r="N1695">
        <v>-7.4307649999999998E-3</v>
      </c>
      <c r="O1695">
        <v>4.8540429999999997E-3</v>
      </c>
      <c r="P1695">
        <v>-0.97805629999999999</v>
      </c>
      <c r="Q1695">
        <v>0.19776930000000001</v>
      </c>
      <c r="R1695">
        <v>6.5523349999999994E-2</v>
      </c>
      <c r="S1695">
        <v>-3.0866389999999999</v>
      </c>
      <c r="T1695">
        <v>-6.7489150000000003E-3</v>
      </c>
      <c r="U1695">
        <v>-0.2637024</v>
      </c>
      <c r="V1695">
        <v>6.0949440000000001E-2</v>
      </c>
      <c r="W1695">
        <v>0.2049822</v>
      </c>
      <c r="X1695">
        <v>0.97686609999999996</v>
      </c>
      <c r="Y1695">
        <v>-8.9957960000000003E-2</v>
      </c>
      <c r="Z1695">
        <v>-4.0760150000000001E-4</v>
      </c>
      <c r="AA1695">
        <v>0.99594550000000004</v>
      </c>
      <c r="AB1695">
        <v>38</v>
      </c>
      <c r="AC1695">
        <v>-133.268699999999</v>
      </c>
      <c r="AD1695">
        <v>-0.29232929999999901</v>
      </c>
      <c r="AE1695">
        <v>-11.4194</v>
      </c>
      <c r="AF1695">
        <v>-12.0661176945208</v>
      </c>
      <c r="AG1695">
        <v>-0.29232929999999901</v>
      </c>
      <c r="AH1695">
        <v>133.21106180875901</v>
      </c>
      <c r="AI1695">
        <v>90.1252217220609</v>
      </c>
      <c r="AJ1695">
        <v>95.175667539794006</v>
      </c>
      <c r="AK1695">
        <v>133.75673306736701</v>
      </c>
      <c r="AL1695">
        <v>78.171542427444194</v>
      </c>
      <c r="AM1695">
        <v>86.429782191717194</v>
      </c>
      <c r="AN1695">
        <v>0.99999995694118005</v>
      </c>
    </row>
    <row r="1696" spans="1:40" x14ac:dyDescent="0.25">
      <c r="A1696" t="str">
        <f>"20190303170755114"</f>
        <v>20190303170755114</v>
      </c>
      <c r="B1696" t="str">
        <f>"1551604075104232"</f>
        <v>1551604075104232</v>
      </c>
      <c r="C1696" t="s">
        <v>40</v>
      </c>
      <c r="D1696">
        <v>3.9792179999999999</v>
      </c>
      <c r="E1696">
        <v>0.44506020000000002</v>
      </c>
      <c r="F1696" t="s">
        <v>70</v>
      </c>
      <c r="G1696">
        <v>-512.82539999999995</v>
      </c>
      <c r="H1696">
        <v>0.7734839</v>
      </c>
      <c r="I1696">
        <v>272.995</v>
      </c>
      <c r="J1696">
        <v>-379.93389999999999</v>
      </c>
      <c r="K1696">
        <v>1.1199840000000001</v>
      </c>
      <c r="L1696">
        <v>284.66980000000001</v>
      </c>
      <c r="M1696">
        <v>-0.99995769999999995</v>
      </c>
      <c r="N1696">
        <v>-7.647905E-3</v>
      </c>
      <c r="O1696">
        <v>5.0966359999999999E-3</v>
      </c>
      <c r="P1696">
        <v>-0.97810509999999995</v>
      </c>
      <c r="Q1696">
        <v>0.1973886</v>
      </c>
      <c r="R1696">
        <v>6.5940330000000005E-2</v>
      </c>
      <c r="S1696">
        <v>-3.0870359999999999</v>
      </c>
      <c r="T1696">
        <v>-8.0234999999999994E-3</v>
      </c>
      <c r="U1696">
        <v>-0.27038570000000001</v>
      </c>
      <c r="V1696">
        <v>6.1119109999999997E-2</v>
      </c>
      <c r="W1696">
        <v>0.20481650000000001</v>
      </c>
      <c r="X1696">
        <v>0.97689029999999999</v>
      </c>
      <c r="Y1696">
        <v>-9.2328380000000002E-2</v>
      </c>
      <c r="Z1696">
        <v>-4.4781630000000002E-4</v>
      </c>
      <c r="AA1696">
        <v>0.99572850000000002</v>
      </c>
      <c r="AB1696">
        <v>38</v>
      </c>
      <c r="AC1696">
        <v>-132.89149999999901</v>
      </c>
      <c r="AD1696">
        <v>-0.34650009999999998</v>
      </c>
      <c r="AE1696">
        <v>-11.674799999999999</v>
      </c>
      <c r="AF1696">
        <v>-12.351884484964501</v>
      </c>
      <c r="AG1696">
        <v>-0.34650009999999998</v>
      </c>
      <c r="AH1696">
        <v>132.82937384009301</v>
      </c>
      <c r="AI1696">
        <v>90.148819979201704</v>
      </c>
      <c r="AJ1696">
        <v>95.312691237774601</v>
      </c>
      <c r="AK1696">
        <v>133.40289227524499</v>
      </c>
      <c r="AL1696">
        <v>78.181242668122906</v>
      </c>
      <c r="AM1696">
        <v>86.419957752792399</v>
      </c>
      <c r="AN1696">
        <v>1.00000000125676</v>
      </c>
    </row>
    <row r="1697" spans="1:40" x14ac:dyDescent="0.25">
      <c r="A1697" t="str">
        <f>"20190303170755136"</f>
        <v>20190303170755136</v>
      </c>
      <c r="B1697" t="str">
        <f>"1551604075124254"</f>
        <v>1551604075124254</v>
      </c>
      <c r="C1697" t="s">
        <v>40</v>
      </c>
      <c r="D1697">
        <v>3.9810129999999999</v>
      </c>
      <c r="E1697">
        <v>0.44433719999999999</v>
      </c>
      <c r="F1697" t="s">
        <v>70</v>
      </c>
      <c r="G1697">
        <v>-512.82539999999995</v>
      </c>
      <c r="H1697">
        <v>0.75383310000000003</v>
      </c>
      <c r="I1697">
        <v>272.74430000000001</v>
      </c>
      <c r="J1697">
        <v>-380.3184</v>
      </c>
      <c r="K1697">
        <v>1.120034</v>
      </c>
      <c r="L1697">
        <v>284.67189999999999</v>
      </c>
      <c r="M1697">
        <v>-0.99995469999999997</v>
      </c>
      <c r="N1697">
        <v>-7.8830440000000005E-3</v>
      </c>
      <c r="O1697">
        <v>5.3241620000000003E-3</v>
      </c>
      <c r="P1697">
        <v>-0.97809199999999996</v>
      </c>
      <c r="Q1697">
        <v>0.19750129999999999</v>
      </c>
      <c r="R1697">
        <v>6.5797640000000004E-2</v>
      </c>
      <c r="S1697">
        <v>-3.0875240000000002</v>
      </c>
      <c r="T1697">
        <v>-8.5051060000000001E-3</v>
      </c>
      <c r="U1697">
        <v>-0.27706910000000001</v>
      </c>
      <c r="V1697">
        <v>6.0744239999999998E-2</v>
      </c>
      <c r="W1697">
        <v>0.20516229999999999</v>
      </c>
      <c r="X1697">
        <v>0.97684110000000002</v>
      </c>
      <c r="Y1697">
        <v>-9.467942E-2</v>
      </c>
      <c r="Z1697">
        <v>-4.7683410000000002E-4</v>
      </c>
      <c r="AA1697">
        <v>0.9955077</v>
      </c>
      <c r="AB1697">
        <v>38</v>
      </c>
      <c r="AC1697">
        <v>-132.50699999999901</v>
      </c>
      <c r="AD1697">
        <v>-0.3662009</v>
      </c>
      <c r="AE1697">
        <v>-11.927599999999901</v>
      </c>
      <c r="AF1697">
        <v>-12.632845918094599</v>
      </c>
      <c r="AG1697">
        <v>-0.3662009</v>
      </c>
      <c r="AH1697">
        <v>132.44061194218</v>
      </c>
      <c r="AI1697">
        <v>90.157707747143505</v>
      </c>
      <c r="AJ1697">
        <v>95.448672485525606</v>
      </c>
      <c r="AK1697">
        <v>133.04224363227101</v>
      </c>
      <c r="AL1697">
        <v>78.160999701144306</v>
      </c>
      <c r="AM1697">
        <v>86.441680368905097</v>
      </c>
      <c r="AN1697">
        <v>0.99999998334183804</v>
      </c>
    </row>
    <row r="1698" spans="1:40" x14ac:dyDescent="0.25">
      <c r="A1698" t="str">
        <f>"20190303170755160"</f>
        <v>20190303170755160</v>
      </c>
      <c r="B1698" t="str">
        <f>"1551604075154510"</f>
        <v>1551604075154510</v>
      </c>
      <c r="C1698" t="s">
        <v>40</v>
      </c>
      <c r="D1698">
        <v>3.937592</v>
      </c>
      <c r="E1698">
        <v>0.44350200000000001</v>
      </c>
      <c r="F1698" t="s">
        <v>70</v>
      </c>
      <c r="G1698">
        <v>-512.82539999999995</v>
      </c>
      <c r="H1698">
        <v>0.79538850000000005</v>
      </c>
      <c r="I1698">
        <v>272.52760000000001</v>
      </c>
      <c r="J1698">
        <v>-380.72579999999999</v>
      </c>
      <c r="K1698">
        <v>1.1200920000000001</v>
      </c>
      <c r="L1698">
        <v>284.67430000000002</v>
      </c>
      <c r="M1698">
        <v>-0.99995140000000005</v>
      </c>
      <c r="N1698">
        <v>-8.1473239999999992E-3</v>
      </c>
      <c r="O1698">
        <v>5.5464609999999999E-3</v>
      </c>
      <c r="P1698">
        <v>-0.97807949999999999</v>
      </c>
      <c r="Q1698">
        <v>0.1976156</v>
      </c>
      <c r="R1698">
        <v>6.5640509999999999E-2</v>
      </c>
      <c r="S1698">
        <v>-3.0877080000000001</v>
      </c>
      <c r="T1698">
        <v>-7.5631140000000001E-3</v>
      </c>
      <c r="U1698">
        <v>-0.2829895</v>
      </c>
      <c r="V1698">
        <v>6.035952E-2</v>
      </c>
      <c r="W1698">
        <v>0.205538</v>
      </c>
      <c r="X1698">
        <v>0.97678600000000004</v>
      </c>
      <c r="Y1698">
        <v>-9.6788600000000002E-2</v>
      </c>
      <c r="Z1698">
        <v>-4.8187339999999999E-4</v>
      </c>
      <c r="AA1698">
        <v>0.99530479999999999</v>
      </c>
      <c r="AB1698">
        <v>38</v>
      </c>
      <c r="AC1698">
        <v>-132.09959999999899</v>
      </c>
      <c r="AD1698">
        <v>-0.32470349999999998</v>
      </c>
      <c r="AE1698">
        <v>-12.146699999999999</v>
      </c>
      <c r="AF1698">
        <v>-12.879145607131299</v>
      </c>
      <c r="AG1698">
        <v>-0.32470349999999998</v>
      </c>
      <c r="AH1698">
        <v>132.02940349274201</v>
      </c>
      <c r="AI1698">
        <v>90.140243122472896</v>
      </c>
      <c r="AJ1698">
        <v>95.571436155152796</v>
      </c>
      <c r="AK1698">
        <v>132.656478208122</v>
      </c>
      <c r="AL1698">
        <v>78.139005322691503</v>
      </c>
      <c r="AM1698">
        <v>86.463960467917005</v>
      </c>
      <c r="AN1698">
        <v>1.0000000154473101</v>
      </c>
    </row>
    <row r="1699" spans="1:40" x14ac:dyDescent="0.25">
      <c r="A1699" t="str">
        <f>"20190303170755183"</f>
        <v>20190303170755183</v>
      </c>
      <c r="B1699" t="str">
        <f>"1551604075174030"</f>
        <v>1551604075174030</v>
      </c>
      <c r="C1699" t="s">
        <v>40</v>
      </c>
      <c r="D1699">
        <v>3.9452970000000001</v>
      </c>
      <c r="E1699">
        <v>0.44305080000000002</v>
      </c>
      <c r="F1699" t="s">
        <v>70</v>
      </c>
      <c r="G1699">
        <v>-512.82539999999995</v>
      </c>
      <c r="H1699">
        <v>0.81993269999999996</v>
      </c>
      <c r="I1699">
        <v>272.28039999999999</v>
      </c>
      <c r="J1699">
        <v>-381.11829999999998</v>
      </c>
      <c r="K1699">
        <v>1.1201479999999999</v>
      </c>
      <c r="L1699">
        <v>284.67669999999998</v>
      </c>
      <c r="M1699">
        <v>-0.99994810000000001</v>
      </c>
      <c r="N1699">
        <v>-8.4124170000000002E-3</v>
      </c>
      <c r="O1699">
        <v>5.7473289999999998E-3</v>
      </c>
      <c r="P1699">
        <v>-0.97800290000000001</v>
      </c>
      <c r="Q1699">
        <v>0.19783410000000001</v>
      </c>
      <c r="R1699">
        <v>6.6121269999999996E-2</v>
      </c>
      <c r="S1699">
        <v>-3.088104</v>
      </c>
      <c r="T1699">
        <v>-7.0149899999999996E-3</v>
      </c>
      <c r="U1699">
        <v>-0.28973389999999999</v>
      </c>
      <c r="V1699">
        <v>6.0634929999999997E-2</v>
      </c>
      <c r="W1699">
        <v>0.2060177</v>
      </c>
      <c r="X1699">
        <v>0.97666779999999997</v>
      </c>
      <c r="Y1699">
        <v>-9.913189E-2</v>
      </c>
      <c r="Z1699">
        <v>-4.9502789999999997E-4</v>
      </c>
      <c r="AA1699">
        <v>0.99507420000000002</v>
      </c>
      <c r="AB1699">
        <v>38</v>
      </c>
      <c r="AC1699">
        <v>-131.707099999999</v>
      </c>
      <c r="AD1699">
        <v>-0.30021530000000002</v>
      </c>
      <c r="AE1699">
        <v>-12.396299999999901</v>
      </c>
      <c r="AF1699">
        <v>-13.153018328496801</v>
      </c>
      <c r="AG1699">
        <v>-0.30021530000000002</v>
      </c>
      <c r="AH1699">
        <v>131.63299850679499</v>
      </c>
      <c r="AI1699">
        <v>90.130026719152795</v>
      </c>
      <c r="AJ1699">
        <v>95.706162183321496</v>
      </c>
      <c r="AK1699">
        <v>132.288844262341</v>
      </c>
      <c r="AL1699">
        <v>78.110918548290996</v>
      </c>
      <c r="AM1699">
        <v>86.447438559462199</v>
      </c>
      <c r="AN1699">
        <v>0.99999993950311505</v>
      </c>
    </row>
    <row r="1700" spans="1:40" x14ac:dyDescent="0.25">
      <c r="A1700" t="str">
        <f>"20190303170755206"</f>
        <v>20190303170755206</v>
      </c>
      <c r="B1700" t="str">
        <f>"1551604075194526"</f>
        <v>1551604075194526</v>
      </c>
      <c r="C1700" t="s">
        <v>40</v>
      </c>
      <c r="D1700">
        <v>3.9839349999999998</v>
      </c>
      <c r="E1700">
        <v>0.44266499999999998</v>
      </c>
      <c r="F1700" t="s">
        <v>70</v>
      </c>
      <c r="G1700">
        <v>-512.82539999999995</v>
      </c>
      <c r="H1700">
        <v>0.87056350000000005</v>
      </c>
      <c r="I1700">
        <v>272.21800000000002</v>
      </c>
      <c r="J1700">
        <v>-381.49439999999998</v>
      </c>
      <c r="K1700">
        <v>1.1201939999999999</v>
      </c>
      <c r="L1700">
        <v>284.67899999999997</v>
      </c>
      <c r="M1700">
        <v>-0.99994479999999997</v>
      </c>
      <c r="N1700">
        <v>-8.6700709999999997E-3</v>
      </c>
      <c r="O1700">
        <v>5.9308690000000001E-3</v>
      </c>
      <c r="P1700">
        <v>-0.9780411</v>
      </c>
      <c r="Q1700">
        <v>0.1975702</v>
      </c>
      <c r="R1700">
        <v>6.6347379999999997E-2</v>
      </c>
      <c r="S1700">
        <v>-3.088409</v>
      </c>
      <c r="T1700">
        <v>-5.8506729999999998E-3</v>
      </c>
      <c r="U1700">
        <v>-0.29214479999999998</v>
      </c>
      <c r="V1700">
        <v>6.0673570000000003E-2</v>
      </c>
      <c r="W1700">
        <v>0.20600840000000001</v>
      </c>
      <c r="X1700">
        <v>0.97666739999999996</v>
      </c>
      <c r="Y1700">
        <v>-0.1000755</v>
      </c>
      <c r="Z1700">
        <v>-4.892942E-4</v>
      </c>
      <c r="AA1700">
        <v>0.99497970000000002</v>
      </c>
      <c r="AB1700">
        <v>39</v>
      </c>
      <c r="AC1700">
        <v>-131.33099999999899</v>
      </c>
      <c r="AD1700">
        <v>-0.24963050000000001</v>
      </c>
      <c r="AE1700">
        <v>-12.461</v>
      </c>
      <c r="AF1700">
        <v>-13.2396696687761</v>
      </c>
      <c r="AG1700">
        <v>-0.24963050000000001</v>
      </c>
      <c r="AH1700">
        <v>131.25431268707999</v>
      </c>
      <c r="AI1700">
        <v>90.108419626553101</v>
      </c>
      <c r="AJ1700">
        <v>95.759963038658299</v>
      </c>
      <c r="AK1700">
        <v>131.92060402864601</v>
      </c>
      <c r="AL1700">
        <v>78.111463527090905</v>
      </c>
      <c r="AM1700">
        <v>86.445179018017299</v>
      </c>
      <c r="AN1700">
        <v>0.99999997659493201</v>
      </c>
    </row>
    <row r="1701" spans="1:40" x14ac:dyDescent="0.25">
      <c r="A1701" t="str">
        <f>"20190303170755227"</f>
        <v>20190303170755227</v>
      </c>
      <c r="B1701" t="str">
        <f>"1551604075214327"</f>
        <v>1551604075214327</v>
      </c>
      <c r="C1701" t="s">
        <v>40</v>
      </c>
      <c r="D1701">
        <v>3.984451</v>
      </c>
      <c r="E1701">
        <v>0.44226939999999998</v>
      </c>
      <c r="F1701" t="s">
        <v>70</v>
      </c>
      <c r="G1701">
        <v>-512.82539999999995</v>
      </c>
      <c r="H1701">
        <v>0.81883689999999998</v>
      </c>
      <c r="I1701">
        <v>272.16770000000002</v>
      </c>
      <c r="J1701">
        <v>-381.86149999999998</v>
      </c>
      <c r="K1701">
        <v>1.120242</v>
      </c>
      <c r="L1701">
        <v>284.6814</v>
      </c>
      <c r="M1701">
        <v>-0.99994159999999999</v>
      </c>
      <c r="N1701">
        <v>-8.92481E-3</v>
      </c>
      <c r="O1701">
        <v>6.1038630000000002E-3</v>
      </c>
      <c r="P1701">
        <v>-0.97806709999999997</v>
      </c>
      <c r="Q1701">
        <v>0.19750119999999999</v>
      </c>
      <c r="R1701">
        <v>6.6168759999999993E-2</v>
      </c>
      <c r="S1701">
        <v>-3.0887449999999999</v>
      </c>
      <c r="T1701">
        <v>-7.0856809999999999E-3</v>
      </c>
      <c r="U1701">
        <v>-0.29425050000000003</v>
      </c>
      <c r="V1701">
        <v>6.0319850000000001E-2</v>
      </c>
      <c r="W1701">
        <v>0.20618990000000001</v>
      </c>
      <c r="X1701">
        <v>0.97665100000000005</v>
      </c>
      <c r="Y1701">
        <v>-0.1009094</v>
      </c>
      <c r="Z1701">
        <v>-5.2643220000000003E-4</v>
      </c>
      <c r="AA1701">
        <v>0.99489550000000004</v>
      </c>
      <c r="AB1701">
        <v>39</v>
      </c>
      <c r="AC1701">
        <v>-130.963899999999</v>
      </c>
      <c r="AD1701">
        <v>-0.30140509999999898</v>
      </c>
      <c r="AE1701">
        <v>-12.513699999999901</v>
      </c>
      <c r="AF1701">
        <v>-13.3128144888845</v>
      </c>
      <c r="AG1701">
        <v>-0.30140509999999898</v>
      </c>
      <c r="AH1701">
        <v>130.884388192963</v>
      </c>
      <c r="AI1701">
        <v>90.131265199146497</v>
      </c>
      <c r="AJ1701">
        <v>95.807826442646601</v>
      </c>
      <c r="AK1701">
        <v>131.56004312592799</v>
      </c>
      <c r="AL1701">
        <v>78.100836075648303</v>
      </c>
      <c r="AM1701">
        <v>86.465791343869995</v>
      </c>
      <c r="AN1701">
        <v>0.99999996748351505</v>
      </c>
    </row>
    <row r="1702" spans="1:40" x14ac:dyDescent="0.25">
      <c r="A1702" t="str">
        <f>"20190303170755249"</f>
        <v>20190303170755249</v>
      </c>
      <c r="B1702" t="str">
        <f>"1551604075244584"</f>
        <v>1551604075244584</v>
      </c>
      <c r="C1702" t="s">
        <v>40</v>
      </c>
      <c r="D1702">
        <v>4.0042739999999997</v>
      </c>
      <c r="E1702">
        <v>0.44163750000000002</v>
      </c>
      <c r="F1702" t="s">
        <v>70</v>
      </c>
      <c r="G1702">
        <v>-512.82539999999995</v>
      </c>
      <c r="H1702">
        <v>0.82920939999999999</v>
      </c>
      <c r="I1702">
        <v>272.05880000000002</v>
      </c>
      <c r="J1702">
        <v>-382.255</v>
      </c>
      <c r="K1702">
        <v>1.1202810000000001</v>
      </c>
      <c r="L1702">
        <v>284.68389999999999</v>
      </c>
      <c r="M1702">
        <v>-0.99993799999999999</v>
      </c>
      <c r="N1702">
        <v>-9.2009640000000007E-3</v>
      </c>
      <c r="O1702">
        <v>6.2842549999999999E-3</v>
      </c>
      <c r="P1702">
        <v>-0.97794760000000003</v>
      </c>
      <c r="Q1702">
        <v>0.1980681</v>
      </c>
      <c r="R1702">
        <v>6.6239980000000004E-2</v>
      </c>
      <c r="S1702">
        <v>-3.0887449999999999</v>
      </c>
      <c r="T1702">
        <v>-6.8620440000000003E-3</v>
      </c>
      <c r="U1702">
        <v>-0.29769899999999999</v>
      </c>
      <c r="V1702">
        <v>6.0210760000000002E-2</v>
      </c>
      <c r="W1702">
        <v>0.20702690000000001</v>
      </c>
      <c r="X1702">
        <v>0.97648069999999998</v>
      </c>
      <c r="Y1702">
        <v>-0.1021895</v>
      </c>
      <c r="Z1702">
        <v>-5.4071659999999999E-4</v>
      </c>
      <c r="AA1702">
        <v>0.9947648</v>
      </c>
      <c r="AB1702">
        <v>39</v>
      </c>
      <c r="AC1702">
        <v>-130.57039999999901</v>
      </c>
      <c r="AD1702">
        <v>-0.29107159999999899</v>
      </c>
      <c r="AE1702">
        <v>-12.6250999999999</v>
      </c>
      <c r="AF1702">
        <v>-13.4453568454368</v>
      </c>
      <c r="AG1702">
        <v>-0.29107159999999899</v>
      </c>
      <c r="AH1702">
        <v>130.487836373232</v>
      </c>
      <c r="AI1702">
        <v>90.127133033096797</v>
      </c>
      <c r="AJ1702">
        <v>95.882947637393798</v>
      </c>
      <c r="AK1702">
        <v>131.17902951594399</v>
      </c>
      <c r="AL1702">
        <v>78.051822541141306</v>
      </c>
      <c r="AM1702">
        <v>86.4715531879705</v>
      </c>
      <c r="AN1702">
        <v>1.00000001520793</v>
      </c>
    </row>
    <row r="1703" spans="1:40" x14ac:dyDescent="0.25">
      <c r="A1703" t="str">
        <f>"20190303170755271"</f>
        <v>20190303170755271</v>
      </c>
      <c r="B1703" t="str">
        <f>"1551604075264107"</f>
        <v>1551604075264107</v>
      </c>
      <c r="C1703" t="s">
        <v>40</v>
      </c>
      <c r="D1703">
        <v>4.0052529999999997</v>
      </c>
      <c r="E1703">
        <v>0.44128980000000001</v>
      </c>
      <c r="F1703" t="s">
        <v>70</v>
      </c>
      <c r="G1703">
        <v>-512.82539999999995</v>
      </c>
      <c r="H1703">
        <v>0.91166270000000005</v>
      </c>
      <c r="I1703">
        <v>271.90210000000002</v>
      </c>
      <c r="J1703">
        <v>-382.64850000000001</v>
      </c>
      <c r="K1703">
        <v>1.120325</v>
      </c>
      <c r="L1703">
        <v>284.6866</v>
      </c>
      <c r="M1703">
        <v>-0.9999342</v>
      </c>
      <c r="N1703">
        <v>-9.4849630000000008E-3</v>
      </c>
      <c r="O1703">
        <v>6.4612019999999897E-3</v>
      </c>
      <c r="P1703">
        <v>-0.97789559999999998</v>
      </c>
      <c r="Q1703">
        <v>0.1983442</v>
      </c>
      <c r="R1703">
        <v>6.6181749999999998E-2</v>
      </c>
      <c r="S1703">
        <v>-3.0891109999999999</v>
      </c>
      <c r="T1703">
        <v>-4.933715E-3</v>
      </c>
      <c r="U1703">
        <v>-0.30239870000000002</v>
      </c>
      <c r="V1703">
        <v>5.9976700000000001E-2</v>
      </c>
      <c r="W1703">
        <v>0.2075815</v>
      </c>
      <c r="X1703">
        <v>0.9763773</v>
      </c>
      <c r="Y1703">
        <v>-0.10385369999999999</v>
      </c>
      <c r="Z1703">
        <v>-5.2560839999999905E-4</v>
      </c>
      <c r="AA1703">
        <v>0.99459240000000004</v>
      </c>
      <c r="AB1703">
        <v>39</v>
      </c>
      <c r="AC1703">
        <v>-130.17689999999899</v>
      </c>
      <c r="AD1703">
        <v>-0.2086623</v>
      </c>
      <c r="AE1703">
        <v>-12.7844999999999</v>
      </c>
      <c r="AF1703">
        <v>-13.6253354765068</v>
      </c>
      <c r="AG1703">
        <v>-0.2086623</v>
      </c>
      <c r="AH1703">
        <v>130.091244468773</v>
      </c>
      <c r="AI1703">
        <v>90.091400610609895</v>
      </c>
      <c r="AJ1703">
        <v>95.979174483843096</v>
      </c>
      <c r="AK1703">
        <v>130.80300147258399</v>
      </c>
      <c r="AL1703">
        <v>78.019339985428402</v>
      </c>
      <c r="AM1703">
        <v>86.4848637403759</v>
      </c>
      <c r="AN1703">
        <v>0.999999957820214</v>
      </c>
    </row>
    <row r="1704" spans="1:40" x14ac:dyDescent="0.25">
      <c r="A1704" t="str">
        <f>"20190303170755293"</f>
        <v>20190303170755293</v>
      </c>
      <c r="B1704" t="str">
        <f>"1551604075284600"</f>
        <v>1551604075284600</v>
      </c>
      <c r="C1704" t="s">
        <v>40</v>
      </c>
      <c r="D1704">
        <v>3.991943</v>
      </c>
      <c r="E1704">
        <v>0.44091839999999999</v>
      </c>
      <c r="F1704" t="s">
        <v>70</v>
      </c>
      <c r="G1704">
        <v>-512.82539999999995</v>
      </c>
      <c r="H1704">
        <v>0.93989789999999995</v>
      </c>
      <c r="I1704">
        <v>271.83359999999999</v>
      </c>
      <c r="J1704">
        <v>-383.01560000000001</v>
      </c>
      <c r="K1704">
        <v>1.120358</v>
      </c>
      <c r="L1704">
        <v>284.6891</v>
      </c>
      <c r="M1704">
        <v>-0.9999306</v>
      </c>
      <c r="N1704">
        <v>-9.7474429999999997E-3</v>
      </c>
      <c r="O1704">
        <v>6.6246400000000002E-3</v>
      </c>
      <c r="P1704">
        <v>-0.97790969999999999</v>
      </c>
      <c r="Q1704">
        <v>0.198129</v>
      </c>
      <c r="R1704">
        <v>6.6618869999999997E-2</v>
      </c>
      <c r="S1704">
        <v>-3.0893250000000001</v>
      </c>
      <c r="T1704">
        <v>-4.2799709999999996E-3</v>
      </c>
      <c r="U1704">
        <v>-0.30502319999999999</v>
      </c>
      <c r="V1704">
        <v>6.0251649999999997E-2</v>
      </c>
      <c r="W1704">
        <v>0.207623</v>
      </c>
      <c r="X1704">
        <v>0.97635159999999999</v>
      </c>
      <c r="Y1704">
        <v>-0.1048465</v>
      </c>
      <c r="Z1704">
        <v>-5.2944029999999896E-4</v>
      </c>
      <c r="AA1704">
        <v>0.99448829999999999</v>
      </c>
      <c r="AB1704">
        <v>39</v>
      </c>
      <c r="AC1704">
        <v>-129.809799999999</v>
      </c>
      <c r="AD1704">
        <v>-0.18046010000000001</v>
      </c>
      <c r="AE1704">
        <v>-12.855499999999999</v>
      </c>
      <c r="AF1704">
        <v>-13.7151756386736</v>
      </c>
      <c r="AG1704">
        <v>-0.18046010000000001</v>
      </c>
      <c r="AH1704">
        <v>129.721535922073</v>
      </c>
      <c r="AI1704">
        <v>90.079264291267904</v>
      </c>
      <c r="AJ1704">
        <v>96.035336290153694</v>
      </c>
      <c r="AK1704">
        <v>130.44468364264301</v>
      </c>
      <c r="AL1704">
        <v>78.016909876981103</v>
      </c>
      <c r="AM1704">
        <v>86.468697338042404</v>
      </c>
      <c r="AN1704">
        <v>1.0000000091396399</v>
      </c>
    </row>
    <row r="1705" spans="1:40" x14ac:dyDescent="0.25">
      <c r="A1705" t="str">
        <f>"20190303170755316"</f>
        <v>20190303170755316</v>
      </c>
      <c r="B1705" t="str">
        <f>"1551604075304120"</f>
        <v>1551604075304120</v>
      </c>
      <c r="C1705" t="s">
        <v>40</v>
      </c>
      <c r="D1705">
        <v>4.0004970000000002</v>
      </c>
      <c r="E1705">
        <v>0.44067879999999998</v>
      </c>
      <c r="F1705" t="s">
        <v>70</v>
      </c>
      <c r="G1705">
        <v>-512.82539999999995</v>
      </c>
      <c r="H1705">
        <v>0.94277739999999999</v>
      </c>
      <c r="I1705">
        <v>271.78100000000001</v>
      </c>
      <c r="J1705">
        <v>-383.40429999999998</v>
      </c>
      <c r="K1705">
        <v>1.120395</v>
      </c>
      <c r="L1705">
        <v>284.6918</v>
      </c>
      <c r="M1705">
        <v>-0.99992669999999995</v>
      </c>
      <c r="N1705">
        <v>-1.0023280000000001E-2</v>
      </c>
      <c r="O1705">
        <v>6.7992E-3</v>
      </c>
      <c r="P1705">
        <v>-0.97794159999999997</v>
      </c>
      <c r="Q1705">
        <v>0.197878</v>
      </c>
      <c r="R1705">
        <v>6.6893820000000007E-2</v>
      </c>
      <c r="S1705">
        <v>-3.089569</v>
      </c>
      <c r="T1705">
        <v>-4.2246580000000001E-3</v>
      </c>
      <c r="U1705">
        <v>-0.30722050000000001</v>
      </c>
      <c r="V1705">
        <v>6.0354070000000003E-2</v>
      </c>
      <c r="W1705">
        <v>0.2076422</v>
      </c>
      <c r="X1705">
        <v>0.97634120000000002</v>
      </c>
      <c r="Y1705">
        <v>-0.1057128</v>
      </c>
      <c r="Z1705">
        <v>-5.4450660000000004E-4</v>
      </c>
      <c r="AA1705">
        <v>0.99439659999999996</v>
      </c>
      <c r="AB1705">
        <v>39</v>
      </c>
      <c r="AC1705">
        <v>-129.421099999999</v>
      </c>
      <c r="AD1705">
        <v>-0.17761759999999999</v>
      </c>
      <c r="AE1705">
        <v>-12.910799999999901</v>
      </c>
      <c r="AF1705">
        <v>-13.790479926184601</v>
      </c>
      <c r="AG1705">
        <v>-0.17761759999999999</v>
      </c>
      <c r="AH1705">
        <v>129.330079445612</v>
      </c>
      <c r="AI1705">
        <v>90.078244494021703</v>
      </c>
      <c r="AJ1705">
        <v>96.086456872539699</v>
      </c>
      <c r="AK1705">
        <v>130.06336276605501</v>
      </c>
      <c r="AL1705">
        <v>78.015785396330301</v>
      </c>
      <c r="AM1705">
        <v>86.462672225879004</v>
      </c>
      <c r="AN1705">
        <v>1.0000000179019199</v>
      </c>
    </row>
    <row r="1706" spans="1:40" x14ac:dyDescent="0.25">
      <c r="A1706" t="str">
        <f>"20190303170755338"</f>
        <v>20190303170755338</v>
      </c>
      <c r="B1706" t="str">
        <f>"1551604075333906"</f>
        <v>1551604075333906</v>
      </c>
      <c r="C1706" t="s">
        <v>40</v>
      </c>
      <c r="D1706">
        <v>4.0328030000000004</v>
      </c>
      <c r="E1706">
        <v>0.44033349999999999</v>
      </c>
      <c r="F1706" t="s">
        <v>70</v>
      </c>
      <c r="G1706">
        <v>-512.82539999999995</v>
      </c>
      <c r="H1706">
        <v>0.90503489999999998</v>
      </c>
      <c r="I1706">
        <v>271.76839999999999</v>
      </c>
      <c r="J1706">
        <v>-383.79579999999999</v>
      </c>
      <c r="K1706">
        <v>1.120422</v>
      </c>
      <c r="L1706">
        <v>284.69470000000001</v>
      </c>
      <c r="M1706">
        <v>-0.99992259999999999</v>
      </c>
      <c r="N1706">
        <v>-1.030346E-2</v>
      </c>
      <c r="O1706">
        <v>6.9794490000000004E-3</v>
      </c>
      <c r="P1706">
        <v>-0.97796729999999998</v>
      </c>
      <c r="Q1706">
        <v>0.1975614</v>
      </c>
      <c r="R1706">
        <v>6.7450830000000003E-2</v>
      </c>
      <c r="S1706">
        <v>-3.0897830000000002</v>
      </c>
      <c r="T1706">
        <v>-5.139589E-3</v>
      </c>
      <c r="U1706">
        <v>-0.30853269999999999</v>
      </c>
      <c r="V1706">
        <v>6.0734509999999998E-2</v>
      </c>
      <c r="W1706">
        <v>0.2075997</v>
      </c>
      <c r="X1706">
        <v>0.97632660000000004</v>
      </c>
      <c r="Y1706">
        <v>-0.1063032</v>
      </c>
      <c r="Z1706">
        <v>-5.7706619999999995E-4</v>
      </c>
      <c r="AA1706">
        <v>0.99433360000000004</v>
      </c>
      <c r="AB1706">
        <v>39</v>
      </c>
      <c r="AC1706">
        <v>-129.02959999999899</v>
      </c>
      <c r="AD1706">
        <v>-0.2153871</v>
      </c>
      <c r="AE1706">
        <v>-12.926299999999999</v>
      </c>
      <c r="AF1706">
        <v>-13.8265502627677</v>
      </c>
      <c r="AG1706">
        <v>-0.2153871</v>
      </c>
      <c r="AH1706">
        <v>128.93587798925199</v>
      </c>
      <c r="AI1706">
        <v>90.095166762945496</v>
      </c>
      <c r="AJ1706">
        <v>96.120771929269495</v>
      </c>
      <c r="AK1706">
        <v>129.67528876633</v>
      </c>
      <c r="AL1706">
        <v>78.018274164772805</v>
      </c>
      <c r="AM1706">
        <v>86.440378848117803</v>
      </c>
      <c r="AN1706">
        <v>0.99999997300629395</v>
      </c>
    </row>
    <row r="1707" spans="1:40" x14ac:dyDescent="0.25">
      <c r="A1707" t="str">
        <f>"20190303170755362"</f>
        <v>20190303170755362</v>
      </c>
      <c r="B1707" t="str">
        <f>"1551604075354402"</f>
        <v>1551604075354402</v>
      </c>
      <c r="C1707" t="s">
        <v>40</v>
      </c>
      <c r="D1707">
        <v>4.0058920000000002</v>
      </c>
      <c r="E1707">
        <v>0.44011679999999997</v>
      </c>
      <c r="F1707" t="s">
        <v>70</v>
      </c>
      <c r="G1707">
        <v>-512.82539999999995</v>
      </c>
      <c r="H1707">
        <v>0.86271929999999997</v>
      </c>
      <c r="I1707">
        <v>271.76859999999999</v>
      </c>
      <c r="J1707">
        <v>-384.20260000000002</v>
      </c>
      <c r="K1707">
        <v>1.120452</v>
      </c>
      <c r="L1707">
        <v>284.6977</v>
      </c>
      <c r="M1707">
        <v>-0.99991830000000004</v>
      </c>
      <c r="N1707">
        <v>-1.059471E-2</v>
      </c>
      <c r="O1707">
        <v>7.1611069999999999E-3</v>
      </c>
      <c r="P1707">
        <v>-0.97796570000000005</v>
      </c>
      <c r="Q1707">
        <v>0.1974631</v>
      </c>
      <c r="R1707">
        <v>6.7762359999999994E-2</v>
      </c>
      <c r="S1707">
        <v>-3.090179</v>
      </c>
      <c r="T1707">
        <v>-6.1699149999999998E-3</v>
      </c>
      <c r="U1707">
        <v>-0.30957030000000002</v>
      </c>
      <c r="V1707">
        <v>6.0868680000000001E-2</v>
      </c>
      <c r="W1707">
        <v>0.20778579999999999</v>
      </c>
      <c r="X1707">
        <v>0.97627870000000005</v>
      </c>
      <c r="Y1707">
        <v>-0.10680149999999999</v>
      </c>
      <c r="Z1707">
        <v>-6.1213879999999997E-4</v>
      </c>
      <c r="AA1707">
        <v>0.99428019999999995</v>
      </c>
      <c r="AB1707">
        <v>39</v>
      </c>
      <c r="AC1707">
        <v>-128.62279999999899</v>
      </c>
      <c r="AD1707">
        <v>-0.25773269999999898</v>
      </c>
      <c r="AE1707">
        <v>-12.9291</v>
      </c>
      <c r="AF1707">
        <v>-13.849846663813601</v>
      </c>
      <c r="AG1707">
        <v>-0.25773269999999898</v>
      </c>
      <c r="AH1707">
        <v>128.52639885463799</v>
      </c>
      <c r="AI1707">
        <v>90.114233179548293</v>
      </c>
      <c r="AJ1707">
        <v>96.150389989878093</v>
      </c>
      <c r="AK1707">
        <v>129.27072321797101</v>
      </c>
      <c r="AL1707">
        <v>78.007374267433306</v>
      </c>
      <c r="AM1707">
        <v>86.4323609116516</v>
      </c>
      <c r="AN1707">
        <v>1.00000001748013</v>
      </c>
    </row>
    <row r="1708" spans="1:40" x14ac:dyDescent="0.25">
      <c r="A1708" t="str">
        <f>"20190303170755383"</f>
        <v>20190303170755383</v>
      </c>
      <c r="B1708" t="str">
        <f>"1551604075373922"</f>
        <v>1551604075373922</v>
      </c>
      <c r="C1708" t="s">
        <v>40</v>
      </c>
      <c r="D1708">
        <v>4.0383089999999999</v>
      </c>
      <c r="E1708">
        <v>0.4399303</v>
      </c>
      <c r="F1708" t="s">
        <v>70</v>
      </c>
      <c r="G1708">
        <v>-512.82539999999995</v>
      </c>
      <c r="H1708">
        <v>0.84125539999999999</v>
      </c>
      <c r="I1708">
        <v>271.8005</v>
      </c>
      <c r="J1708">
        <v>-384.57369999999997</v>
      </c>
      <c r="K1708">
        <v>1.1204879999999999</v>
      </c>
      <c r="L1708">
        <v>284.70060000000001</v>
      </c>
      <c r="M1708">
        <v>-0.99991439999999998</v>
      </c>
      <c r="N1708">
        <v>-1.08606E-2</v>
      </c>
      <c r="O1708">
        <v>7.3177969999999896E-3</v>
      </c>
      <c r="P1708">
        <v>-0.97806669999999996</v>
      </c>
      <c r="Q1708">
        <v>0.1966956</v>
      </c>
      <c r="R1708">
        <v>6.8531389999999998E-2</v>
      </c>
      <c r="S1708">
        <v>-3.090363</v>
      </c>
      <c r="T1708">
        <v>-6.7062379999999998E-3</v>
      </c>
      <c r="U1708">
        <v>-0.30987550000000003</v>
      </c>
      <c r="V1708">
        <v>6.1482950000000001E-2</v>
      </c>
      <c r="W1708">
        <v>0.20727880000000001</v>
      </c>
      <c r="X1708">
        <v>0.97634799999999999</v>
      </c>
      <c r="Y1708">
        <v>-0.1070485</v>
      </c>
      <c r="Z1708">
        <v>-6.3520890000000004E-4</v>
      </c>
      <c r="AA1708">
        <v>0.99425359999999996</v>
      </c>
      <c r="AB1708">
        <v>39</v>
      </c>
      <c r="AC1708">
        <v>-128.251699999999</v>
      </c>
      <c r="AD1708">
        <v>-0.279232599999999</v>
      </c>
      <c r="AE1708">
        <v>-12.9001</v>
      </c>
      <c r="AF1708">
        <v>-13.8382647283381</v>
      </c>
      <c r="AG1708">
        <v>-0.279232599999999</v>
      </c>
      <c r="AH1708">
        <v>128.153258333981</v>
      </c>
      <c r="AI1708">
        <v>90.124119809370796</v>
      </c>
      <c r="AJ1708">
        <v>96.163041663653004</v>
      </c>
      <c r="AK1708">
        <v>128.89853825064401</v>
      </c>
      <c r="AL1708">
        <v>78.037069972479998</v>
      </c>
      <c r="AM1708">
        <v>86.396706777114503</v>
      </c>
      <c r="AN1708">
        <v>1.00000003558707</v>
      </c>
    </row>
    <row r="1709" spans="1:40" x14ac:dyDescent="0.25">
      <c r="A1709" t="str">
        <f>"20190303170755406"</f>
        <v>20190303170755406</v>
      </c>
      <c r="B1709" t="str">
        <f>"1551604075394418"</f>
        <v>1551604075394418</v>
      </c>
      <c r="C1709" t="s">
        <v>40</v>
      </c>
      <c r="D1709">
        <v>4.1133150000000001</v>
      </c>
      <c r="E1709">
        <v>0.43982060000000001</v>
      </c>
      <c r="F1709" t="s">
        <v>70</v>
      </c>
      <c r="G1709">
        <v>-512.82539999999995</v>
      </c>
      <c r="H1709">
        <v>0.72915509999999994</v>
      </c>
      <c r="I1709">
        <v>271.8854</v>
      </c>
      <c r="J1709">
        <v>-384.96370000000002</v>
      </c>
      <c r="K1709">
        <v>1.1205259999999999</v>
      </c>
      <c r="L1709">
        <v>284.70370000000003</v>
      </c>
      <c r="M1709">
        <v>-0.99990990000000002</v>
      </c>
      <c r="N1709">
        <v>-1.114682E-2</v>
      </c>
      <c r="O1709">
        <v>7.4841559999999996E-3</v>
      </c>
      <c r="P1709">
        <v>-0.97810109999999995</v>
      </c>
      <c r="Q1709">
        <v>0.19630929999999999</v>
      </c>
      <c r="R1709">
        <v>6.9145250000000005E-2</v>
      </c>
      <c r="S1709">
        <v>-3.0907900000000001</v>
      </c>
      <c r="T1709">
        <v>-9.4289779999999993E-3</v>
      </c>
      <c r="U1709">
        <v>-0.3088379</v>
      </c>
      <c r="V1709">
        <v>6.1930109999999997E-2</v>
      </c>
      <c r="W1709">
        <v>0.20717289999999999</v>
      </c>
      <c r="X1709">
        <v>0.97634219999999905</v>
      </c>
      <c r="Y1709">
        <v>-0.10686909999999999</v>
      </c>
      <c r="Z1709">
        <v>-6.9929899999999904E-4</v>
      </c>
      <c r="AA1709">
        <v>0.99427279999999996</v>
      </c>
      <c r="AB1709">
        <v>39</v>
      </c>
      <c r="AC1709">
        <v>-127.861699999999</v>
      </c>
      <c r="AD1709">
        <v>-0.39137090000000002</v>
      </c>
      <c r="AE1709">
        <v>-12.818300000000001</v>
      </c>
      <c r="AF1709">
        <v>-13.774809515035599</v>
      </c>
      <c r="AG1709">
        <v>-0.39137090000000002</v>
      </c>
      <c r="AH1709">
        <v>127.760993368492</v>
      </c>
      <c r="AI1709">
        <v>90.174502586787</v>
      </c>
      <c r="AJ1709">
        <v>96.153689106471901</v>
      </c>
      <c r="AK1709">
        <v>128.502023232558</v>
      </c>
      <c r="AL1709">
        <v>78.043272040870903</v>
      </c>
      <c r="AM1709">
        <v>86.370548641231906</v>
      </c>
      <c r="AN1709">
        <v>1.00000002025993</v>
      </c>
    </row>
    <row r="1710" spans="1:40" x14ac:dyDescent="0.25">
      <c r="A1710" t="str">
        <f>"20190303170755429"</f>
        <v>20190303170755429</v>
      </c>
      <c r="B1710" t="str">
        <f>"1551604075424205"</f>
        <v>1551604075424205</v>
      </c>
      <c r="C1710" t="s">
        <v>40</v>
      </c>
      <c r="D1710">
        <v>4.0402979999999999</v>
      </c>
      <c r="E1710">
        <v>0.47643190000000002</v>
      </c>
      <c r="F1710" t="s">
        <v>70</v>
      </c>
      <c r="G1710">
        <v>-512.82539999999995</v>
      </c>
      <c r="H1710">
        <v>0.6807512</v>
      </c>
      <c r="I1710">
        <v>271.96899999999999</v>
      </c>
      <c r="J1710">
        <v>-385.35669999999999</v>
      </c>
      <c r="K1710">
        <v>1.1205719999999999</v>
      </c>
      <c r="L1710">
        <v>284.70679999999999</v>
      </c>
      <c r="M1710">
        <v>-0.9999053</v>
      </c>
      <c r="N1710">
        <v>-1.1442219999999999E-2</v>
      </c>
      <c r="O1710">
        <v>7.6602600000000003E-3</v>
      </c>
      <c r="P1710">
        <v>-0.97805850000000005</v>
      </c>
      <c r="Q1710">
        <v>0.19638839999999999</v>
      </c>
      <c r="R1710">
        <v>6.9524150000000007E-2</v>
      </c>
      <c r="S1710">
        <v>-3.0910639999999998</v>
      </c>
      <c r="T1710">
        <v>-1.0629649999999999E-2</v>
      </c>
      <c r="U1710">
        <v>-0.3078613</v>
      </c>
      <c r="V1710">
        <v>6.213167E-2</v>
      </c>
      <c r="W1710">
        <v>0.2075419</v>
      </c>
      <c r="X1710">
        <v>0.97625099999999998</v>
      </c>
      <c r="Y1710">
        <v>-0.106724</v>
      </c>
      <c r="Z1710">
        <v>-7.3401390000000003E-4</v>
      </c>
      <c r="AA1710">
        <v>0.99428839999999996</v>
      </c>
      <c r="AB1710">
        <v>39</v>
      </c>
      <c r="AC1710">
        <v>-127.468699999999</v>
      </c>
      <c r="AD1710">
        <v>-0.43982079999999901</v>
      </c>
      <c r="AE1710">
        <v>-12.737799999999901</v>
      </c>
      <c r="AF1710">
        <v>-13.713771773686201</v>
      </c>
      <c r="AG1710">
        <v>-0.43982079999999901</v>
      </c>
      <c r="AH1710">
        <v>127.365876962542</v>
      </c>
      <c r="AI1710">
        <v>90.196716425543499</v>
      </c>
      <c r="AJ1710">
        <v>96.145490157591297</v>
      </c>
      <c r="AK1710">
        <v>128.10280087896001</v>
      </c>
      <c r="AL1710">
        <v>78.021659921766201</v>
      </c>
      <c r="AM1710">
        <v>86.358428581225596</v>
      </c>
      <c r="AN1710">
        <v>0.99999999983679899</v>
      </c>
    </row>
    <row r="1711" spans="1:40" x14ac:dyDescent="0.25">
      <c r="A1711" t="str">
        <f>"20190303170755452"</f>
        <v>20190303170755452</v>
      </c>
      <c r="B1711" t="str">
        <f>"1551604075444702"</f>
        <v>1551604075444702</v>
      </c>
      <c r="C1711" t="s">
        <v>40</v>
      </c>
      <c r="D1711">
        <v>3.9510930000000002</v>
      </c>
      <c r="E1711">
        <v>0.4782573</v>
      </c>
      <c r="F1711" t="s">
        <v>45</v>
      </c>
      <c r="G1711">
        <v>0</v>
      </c>
      <c r="H1711">
        <v>0</v>
      </c>
      <c r="I1711">
        <v>0</v>
      </c>
      <c r="J1711">
        <v>-385.74779999999998</v>
      </c>
      <c r="K1711">
        <v>1.120617</v>
      </c>
      <c r="L1711">
        <v>284.70999999999998</v>
      </c>
      <c r="M1711">
        <v>-0.99990060000000003</v>
      </c>
      <c r="N1711">
        <v>-1.17362E-2</v>
      </c>
      <c r="O1711">
        <v>7.8413489999999992E-3</v>
      </c>
      <c r="P1711">
        <v>-0.97814639999999997</v>
      </c>
      <c r="Q1711">
        <v>0.1958529</v>
      </c>
      <c r="R1711">
        <v>6.9797659999999997E-2</v>
      </c>
      <c r="S1711">
        <v>-3.067688</v>
      </c>
      <c r="T1711">
        <v>3.0397179999999998E-3</v>
      </c>
      <c r="U1711">
        <v>-1.397705E-2</v>
      </c>
      <c r="V1711">
        <v>6.2222220000000002E-2</v>
      </c>
      <c r="W1711">
        <v>0.20729600000000001</v>
      </c>
      <c r="X1711">
        <v>0.97629739999999998</v>
      </c>
      <c r="Y1711">
        <v>-1.239727E-2</v>
      </c>
      <c r="Z1711" s="1">
        <v>3.3191090000000001E-5</v>
      </c>
      <c r="AA1711">
        <v>0.99992320000000001</v>
      </c>
      <c r="AB1711">
        <v>39</v>
      </c>
      <c r="AC1711">
        <v>-3.067688</v>
      </c>
      <c r="AD1711">
        <v>3.0397179999999998E-3</v>
      </c>
      <c r="AE1711">
        <v>-1.397705E-2</v>
      </c>
      <c r="AF1711">
        <v>-3.8033046695301602E-2</v>
      </c>
      <c r="AG1711">
        <v>3.0397179999999998E-3</v>
      </c>
      <c r="AH1711">
        <v>3.0674810563206298</v>
      </c>
      <c r="AI1711">
        <v>89.943227173493099</v>
      </c>
      <c r="AJ1711">
        <v>90.710361812170305</v>
      </c>
      <c r="AK1711">
        <v>3.0677183350843</v>
      </c>
      <c r="AL1711">
        <v>78.036061259667505</v>
      </c>
      <c r="AM1711">
        <v>86.353308562816196</v>
      </c>
      <c r="AN1711">
        <v>0.99999992476224098</v>
      </c>
    </row>
    <row r="1712" spans="1:40" x14ac:dyDescent="0.25">
      <c r="A1712" t="str">
        <f>"20190303170755473"</f>
        <v>20190303170755473</v>
      </c>
      <c r="B1712" t="str">
        <f>"1551604075464221"</f>
        <v>1551604075464221</v>
      </c>
      <c r="C1712" t="s">
        <v>40</v>
      </c>
      <c r="D1712">
        <v>4.0554160000000001</v>
      </c>
      <c r="E1712">
        <v>0.47830459999999902</v>
      </c>
      <c r="F1712" t="s">
        <v>45</v>
      </c>
      <c r="G1712">
        <v>0</v>
      </c>
      <c r="H1712">
        <v>0</v>
      </c>
      <c r="I1712">
        <v>0</v>
      </c>
      <c r="J1712">
        <v>-386.11959999999999</v>
      </c>
      <c r="K1712">
        <v>1.1206510000000001</v>
      </c>
      <c r="L1712">
        <v>284.7131</v>
      </c>
      <c r="M1712">
        <v>-0.9998958</v>
      </c>
      <c r="N1712">
        <v>-1.200626E-2</v>
      </c>
      <c r="O1712">
        <v>8.0133429999999992E-3</v>
      </c>
      <c r="P1712">
        <v>-0.97825949999999995</v>
      </c>
      <c r="Q1712">
        <v>0.19537170000000001</v>
      </c>
      <c r="R1712">
        <v>6.9558289999999995E-2</v>
      </c>
      <c r="S1712">
        <v>-3.066284</v>
      </c>
      <c r="T1712">
        <v>3.2420159999999999E-3</v>
      </c>
      <c r="U1712">
        <v>1.34277299999999E-3</v>
      </c>
      <c r="V1712">
        <v>6.1810900000000002E-2</v>
      </c>
      <c r="W1712">
        <v>0.20708099999999999</v>
      </c>
      <c r="X1712">
        <v>0.9763693</v>
      </c>
      <c r="Y1712">
        <v>-7.5753799999999996E-3</v>
      </c>
      <c r="Z1712" s="1">
        <v>6.3214029999999997E-5</v>
      </c>
      <c r="AA1712">
        <v>0.99997130000000001</v>
      </c>
      <c r="AB1712">
        <v>38</v>
      </c>
      <c r="AC1712">
        <v>-3.066284</v>
      </c>
      <c r="AD1712">
        <v>3.2420159999999999E-3</v>
      </c>
      <c r="AE1712">
        <v>1.34277299999999E-3</v>
      </c>
      <c r="AF1712">
        <v>-2.32302010500532E-2</v>
      </c>
      <c r="AG1712">
        <v>3.2420159999999999E-3</v>
      </c>
      <c r="AH1712">
        <v>3.0661928687142699</v>
      </c>
      <c r="AI1712">
        <v>89.9394204990341</v>
      </c>
      <c r="AJ1712">
        <v>90.434078047023704</v>
      </c>
      <c r="AK1712">
        <v>3.0662825801062099</v>
      </c>
      <c r="AL1712">
        <v>78.048654831407305</v>
      </c>
      <c r="AM1712">
        <v>86.377616671779094</v>
      </c>
      <c r="AN1712">
        <v>1.0000000689511399</v>
      </c>
    </row>
    <row r="1713" spans="1:40" x14ac:dyDescent="0.25">
      <c r="A1713" t="str">
        <f>"20190303170755494"</f>
        <v>20190303170755494</v>
      </c>
      <c r="B1713" t="str">
        <f>"1551604075484717"</f>
        <v>1551604075484717</v>
      </c>
      <c r="C1713" t="s">
        <v>40</v>
      </c>
      <c r="D1713">
        <v>4.0822010000000004</v>
      </c>
      <c r="E1713">
        <v>0.47776849999999998</v>
      </c>
      <c r="F1713" t="s">
        <v>45</v>
      </c>
      <c r="G1713">
        <v>0</v>
      </c>
      <c r="H1713">
        <v>0</v>
      </c>
      <c r="I1713">
        <v>0</v>
      </c>
      <c r="J1713">
        <v>-386.48180000000002</v>
      </c>
      <c r="K1713">
        <v>1.120682</v>
      </c>
      <c r="L1713">
        <v>284.71609999999998</v>
      </c>
      <c r="M1713">
        <v>-0.99989150000000004</v>
      </c>
      <c r="N1713">
        <v>-1.2251939999999999E-2</v>
      </c>
      <c r="O1713">
        <v>8.1762629999999996E-3</v>
      </c>
      <c r="P1713">
        <v>-0.97834129999999997</v>
      </c>
      <c r="Q1713">
        <v>0.19486129999999999</v>
      </c>
      <c r="R1713">
        <v>6.9838670000000005E-2</v>
      </c>
      <c r="S1713">
        <v>-3.0653079999999999</v>
      </c>
      <c r="T1713">
        <v>6.4064259999999998E-3</v>
      </c>
      <c r="U1713">
        <v>1.2512210000000001E-3</v>
      </c>
      <c r="V1713">
        <v>6.1930409999999998E-2</v>
      </c>
      <c r="W1713">
        <v>0.20681179999999999</v>
      </c>
      <c r="X1713">
        <v>0.97641869999999997</v>
      </c>
      <c r="Y1713">
        <v>-7.7679450000000001E-3</v>
      </c>
      <c r="Z1713" s="1">
        <v>7.7796699999999993E-5</v>
      </c>
      <c r="AA1713">
        <v>0.99996980000000002</v>
      </c>
      <c r="AB1713">
        <v>38</v>
      </c>
      <c r="AC1713">
        <v>-3.0653079999999999</v>
      </c>
      <c r="AD1713">
        <v>6.4064259999999998E-3</v>
      </c>
      <c r="AE1713">
        <v>1.2512210000000001E-3</v>
      </c>
      <c r="AF1713">
        <v>-2.3813362832305399E-2</v>
      </c>
      <c r="AG1713">
        <v>6.4064259999999998E-3</v>
      </c>
      <c r="AH1713">
        <v>3.0652023652800202</v>
      </c>
      <c r="AI1713">
        <v>89.880252747892996</v>
      </c>
      <c r="AJ1713">
        <v>90.445118323204099</v>
      </c>
      <c r="AK1713">
        <v>3.0653015608030598</v>
      </c>
      <c r="AL1713">
        <v>78.064419144626896</v>
      </c>
      <c r="AM1713">
        <v>86.370814706486101</v>
      </c>
      <c r="AN1713">
        <v>0.99999998700584802</v>
      </c>
    </row>
    <row r="1714" spans="1:40" x14ac:dyDescent="0.25">
      <c r="A1714" t="str">
        <f>"20190303170755516"</f>
        <v>20190303170755516</v>
      </c>
      <c r="B1714" t="str">
        <f>"1551604075504238"</f>
        <v>1551604075504238</v>
      </c>
      <c r="C1714" t="s">
        <v>40</v>
      </c>
      <c r="D1714">
        <v>4.0662349999999998</v>
      </c>
      <c r="E1714">
        <v>0.47742089999999998</v>
      </c>
      <c r="F1714" t="s">
        <v>45</v>
      </c>
      <c r="G1714">
        <v>0</v>
      </c>
      <c r="H1714">
        <v>0</v>
      </c>
      <c r="I1714">
        <v>0</v>
      </c>
      <c r="J1714">
        <v>-386.86900000000003</v>
      </c>
      <c r="K1714">
        <v>1.1206989999999999</v>
      </c>
      <c r="L1714">
        <v>284.71949999999998</v>
      </c>
      <c r="M1714">
        <v>-0.99988719999999998</v>
      </c>
      <c r="N1714">
        <v>-1.249195E-2</v>
      </c>
      <c r="O1714">
        <v>8.3457180000000002E-3</v>
      </c>
      <c r="P1714">
        <v>-0.9784467</v>
      </c>
      <c r="Q1714">
        <v>0.19425700000000001</v>
      </c>
      <c r="R1714">
        <v>7.0046090000000005E-2</v>
      </c>
      <c r="S1714">
        <v>-3.064514</v>
      </c>
      <c r="T1714">
        <v>1.031876E-2</v>
      </c>
      <c r="U1714">
        <v>-2.1972659999999998E-3</v>
      </c>
      <c r="V1714">
        <v>6.197134E-2</v>
      </c>
      <c r="W1714">
        <v>0.2064433</v>
      </c>
      <c r="X1714">
        <v>0.97649410000000003</v>
      </c>
      <c r="Y1714">
        <v>-9.0624369999999996E-3</v>
      </c>
      <c r="Z1714" s="1">
        <v>9.1010840000000002E-5</v>
      </c>
      <c r="AA1714">
        <v>0.99995889999999998</v>
      </c>
      <c r="AB1714">
        <v>38</v>
      </c>
      <c r="AC1714">
        <v>-3.064514</v>
      </c>
      <c r="AD1714">
        <v>1.031876E-2</v>
      </c>
      <c r="AE1714">
        <v>-2.1972659999999998E-3</v>
      </c>
      <c r="AF1714">
        <v>-2.7774438526510899E-2</v>
      </c>
      <c r="AG1714">
        <v>1.031876E-2</v>
      </c>
      <c r="AH1714">
        <v>3.0643541758002</v>
      </c>
      <c r="AI1714">
        <v>89.807073580159695</v>
      </c>
      <c r="AJ1714">
        <v>90.5192985012728</v>
      </c>
      <c r="AK1714">
        <v>3.0644974157253801</v>
      </c>
      <c r="AL1714">
        <v>78.085998545729893</v>
      </c>
      <c r="AM1714">
        <v>86.3687022452863</v>
      </c>
      <c r="AN1714">
        <v>1.00000000521554</v>
      </c>
    </row>
    <row r="1715" spans="1:40" x14ac:dyDescent="0.25">
      <c r="A1715" t="str">
        <f>"20190303170755539"</f>
        <v>20190303170755539</v>
      </c>
      <c r="B1715" t="str">
        <f>"1551604075534493"</f>
        <v>1551604075534493</v>
      </c>
      <c r="C1715" t="s">
        <v>40</v>
      </c>
      <c r="D1715">
        <v>4.0606280000000003</v>
      </c>
      <c r="E1715">
        <v>0.47727170000000002</v>
      </c>
      <c r="F1715" t="s">
        <v>45</v>
      </c>
      <c r="G1715">
        <v>0</v>
      </c>
      <c r="H1715">
        <v>0</v>
      </c>
      <c r="I1715">
        <v>0</v>
      </c>
      <c r="J1715">
        <v>-387.2559</v>
      </c>
      <c r="K1715">
        <v>1.120722</v>
      </c>
      <c r="L1715">
        <v>284.72289999999998</v>
      </c>
      <c r="M1715">
        <v>-0.99988299999999997</v>
      </c>
      <c r="N1715">
        <v>-1.271128E-2</v>
      </c>
      <c r="O1715">
        <v>8.5127780000000004E-3</v>
      </c>
      <c r="P1715">
        <v>-0.97850360000000003</v>
      </c>
      <c r="Q1715">
        <v>0.1938078</v>
      </c>
      <c r="R1715">
        <v>7.0493520000000004E-2</v>
      </c>
      <c r="S1715">
        <v>-3.0648499999999999</v>
      </c>
      <c r="T1715">
        <v>7.7507499999999998E-3</v>
      </c>
      <c r="U1715">
        <v>-4.4250490000000003E-3</v>
      </c>
      <c r="V1715">
        <v>6.2255400000000002E-2</v>
      </c>
      <c r="W1715">
        <v>0.206209</v>
      </c>
      <c r="X1715">
        <v>0.97652550000000005</v>
      </c>
      <c r="Y1715">
        <v>-9.9563489999999998E-3</v>
      </c>
      <c r="Z1715" s="1">
        <v>7.9048479999999999E-5</v>
      </c>
      <c r="AA1715">
        <v>0.99995040000000002</v>
      </c>
      <c r="AB1715">
        <v>38</v>
      </c>
      <c r="AC1715">
        <v>-3.0648499999999999</v>
      </c>
      <c r="AD1715">
        <v>7.7507499999999998E-3</v>
      </c>
      <c r="AE1715">
        <v>-4.4250490000000003E-3</v>
      </c>
      <c r="AF1715">
        <v>-3.0517188419736298E-2</v>
      </c>
      <c r="AG1715">
        <v>7.7507499999999998E-3</v>
      </c>
      <c r="AH1715">
        <v>3.0646816568236002</v>
      </c>
      <c r="AI1715">
        <v>89.855103286103997</v>
      </c>
      <c r="AJ1715">
        <v>90.570515474933799</v>
      </c>
      <c r="AK1715">
        <v>3.0648433941370699</v>
      </c>
      <c r="AL1715">
        <v>78.099717714439507</v>
      </c>
      <c r="AM1715">
        <v>86.352219173708804</v>
      </c>
      <c r="AN1715">
        <v>0.99999996933020396</v>
      </c>
    </row>
    <row r="1716" spans="1:40" x14ac:dyDescent="0.25">
      <c r="A1716" t="str">
        <f>"20190303170755561"</f>
        <v>20190303170755561</v>
      </c>
      <c r="B1716" t="str">
        <f>"1551604075554017"</f>
        <v>1551604075554017</v>
      </c>
      <c r="C1716" t="s">
        <v>40</v>
      </c>
      <c r="D1716">
        <v>4.1840650000000004</v>
      </c>
      <c r="E1716">
        <v>0.4773886</v>
      </c>
      <c r="F1716" t="s">
        <v>45</v>
      </c>
      <c r="G1716">
        <v>0</v>
      </c>
      <c r="H1716">
        <v>0</v>
      </c>
      <c r="I1716">
        <v>0</v>
      </c>
      <c r="J1716">
        <v>-387.63850000000002</v>
      </c>
      <c r="K1716">
        <v>1.1207389999999999</v>
      </c>
      <c r="L1716">
        <v>284.72629999999998</v>
      </c>
      <c r="M1716">
        <v>-0.99987919999999997</v>
      </c>
      <c r="N1716">
        <v>-1.290761E-2</v>
      </c>
      <c r="O1716">
        <v>8.6779240000000001E-3</v>
      </c>
      <c r="P1716">
        <v>-0.97849399999999997</v>
      </c>
      <c r="Q1716">
        <v>0.1938542</v>
      </c>
      <c r="R1716">
        <v>7.0500699999999999E-2</v>
      </c>
      <c r="S1716">
        <v>-3.0648499999999999</v>
      </c>
      <c r="T1716">
        <v>6.8148369999999998E-3</v>
      </c>
      <c r="U1716">
        <v>-3.90625E-3</v>
      </c>
      <c r="V1716">
        <v>6.2101749999999997E-2</v>
      </c>
      <c r="W1716">
        <v>0.20644699999999999</v>
      </c>
      <c r="X1716">
        <v>0.97648500000000005</v>
      </c>
      <c r="Y1716">
        <v>-9.9522480000000003E-3</v>
      </c>
      <c r="Z1716" s="1">
        <v>7.8143840000000005E-5</v>
      </c>
      <c r="AA1716">
        <v>0.99995049999999996</v>
      </c>
      <c r="AB1716">
        <v>38</v>
      </c>
      <c r="AC1716">
        <v>-3.0648499999999999</v>
      </c>
      <c r="AD1716">
        <v>6.8148369999999998E-3</v>
      </c>
      <c r="AE1716">
        <v>-3.90625E-3</v>
      </c>
      <c r="AF1716">
        <v>-3.0504698940579202E-2</v>
      </c>
      <c r="AG1716">
        <v>6.8148369999999998E-3</v>
      </c>
      <c r="AH1716">
        <v>3.0646855240487199</v>
      </c>
      <c r="AI1716">
        <v>89.872599844030603</v>
      </c>
      <c r="AJ1716">
        <v>90.5702812813484</v>
      </c>
      <c r="AK1716">
        <v>3.0648449128748001</v>
      </c>
      <c r="AL1716">
        <v>78.085781496945899</v>
      </c>
      <c r="AM1716">
        <v>86.361047378534195</v>
      </c>
      <c r="AN1716">
        <v>0.99999997319352996</v>
      </c>
    </row>
    <row r="1717" spans="1:40" x14ac:dyDescent="0.25">
      <c r="A1717" t="str">
        <f>"20190303170755583"</f>
        <v>20190303170755583</v>
      </c>
      <c r="B1717" t="str">
        <f>"1551604075574509"</f>
        <v>1551604075574509</v>
      </c>
      <c r="C1717" t="s">
        <v>40</v>
      </c>
      <c r="D1717">
        <v>4.0605190000000002</v>
      </c>
      <c r="E1717">
        <v>0.47729310000000003</v>
      </c>
      <c r="F1717" t="s">
        <v>45</v>
      </c>
      <c r="G1717">
        <v>0</v>
      </c>
      <c r="H1717">
        <v>0</v>
      </c>
      <c r="I1717">
        <v>0</v>
      </c>
      <c r="J1717">
        <v>-388.01060000000001</v>
      </c>
      <c r="K1717">
        <v>1.120752</v>
      </c>
      <c r="L1717">
        <v>284.72969999999998</v>
      </c>
      <c r="M1717">
        <v>-0.99987550000000003</v>
      </c>
      <c r="N1717">
        <v>-1.3078019999999999E-2</v>
      </c>
      <c r="O1717">
        <v>8.8402810000000002E-3</v>
      </c>
      <c r="P1717">
        <v>-0.97856650000000001</v>
      </c>
      <c r="Q1717">
        <v>0.19347239999999999</v>
      </c>
      <c r="R1717">
        <v>7.0543079999999994E-2</v>
      </c>
      <c r="S1717">
        <v>-3.064819</v>
      </c>
      <c r="T1717">
        <v>6.8441630000000003E-3</v>
      </c>
      <c r="U1717">
        <v>-2.9907229999999998E-3</v>
      </c>
      <c r="V1717">
        <v>6.1984589999999999E-2</v>
      </c>
      <c r="W1717">
        <v>0.20623279999999999</v>
      </c>
      <c r="X1717">
        <v>0.97653769999999995</v>
      </c>
      <c r="Y1717">
        <v>-9.8159019999999996E-3</v>
      </c>
      <c r="Z1717" s="1">
        <v>8.2131129999999999E-5</v>
      </c>
      <c r="AA1717">
        <v>0.99995179999999995</v>
      </c>
      <c r="AB1717">
        <v>38</v>
      </c>
      <c r="AC1717">
        <v>-3.064819</v>
      </c>
      <c r="AD1717">
        <v>6.8441630000000003E-3</v>
      </c>
      <c r="AE1717">
        <v>-2.9907229999999998E-3</v>
      </c>
      <c r="AF1717">
        <v>-3.0086631821501598E-2</v>
      </c>
      <c r="AG1717">
        <v>6.8441630000000003E-3</v>
      </c>
      <c r="AH1717">
        <v>3.06465749429477</v>
      </c>
      <c r="AI1717">
        <v>89.872050267503397</v>
      </c>
      <c r="AJ1717">
        <v>90.562471221948201</v>
      </c>
      <c r="AK1717">
        <v>3.0648128173378999</v>
      </c>
      <c r="AL1717">
        <v>78.098324108430802</v>
      </c>
      <c r="AM1717">
        <v>86.368089650008997</v>
      </c>
      <c r="AN1717">
        <v>0.99999996835729799</v>
      </c>
    </row>
    <row r="1718" spans="1:40" x14ac:dyDescent="0.25">
      <c r="A1718" t="str">
        <f>"20190303170755606"</f>
        <v>20190303170755606</v>
      </c>
      <c r="B1718" t="str">
        <f>"1551604075594029"</f>
        <v>1551604075594029</v>
      </c>
      <c r="C1718" t="s">
        <v>40</v>
      </c>
      <c r="D1718">
        <v>4.0919040000000004</v>
      </c>
      <c r="E1718">
        <v>0.47733239999999999</v>
      </c>
      <c r="F1718" t="s">
        <v>45</v>
      </c>
      <c r="G1718">
        <v>0</v>
      </c>
      <c r="H1718">
        <v>0</v>
      </c>
      <c r="I1718">
        <v>0</v>
      </c>
      <c r="J1718">
        <v>-388.39960000000002</v>
      </c>
      <c r="K1718">
        <v>1.1207640000000001</v>
      </c>
      <c r="L1718">
        <v>284.73329999999999</v>
      </c>
      <c r="M1718">
        <v>-0.99987199999999998</v>
      </c>
      <c r="N1718">
        <v>-1.32357E-2</v>
      </c>
      <c r="O1718">
        <v>9.0113410000000008E-3</v>
      </c>
      <c r="P1718">
        <v>-0.97866660000000005</v>
      </c>
      <c r="Q1718">
        <v>0.1929391</v>
      </c>
      <c r="R1718">
        <v>7.0615460000000005E-2</v>
      </c>
      <c r="S1718">
        <v>-3.06488</v>
      </c>
      <c r="T1718">
        <v>5.749583E-3</v>
      </c>
      <c r="U1718">
        <v>-4.0283200000000002E-3</v>
      </c>
      <c r="V1718">
        <v>6.1888489999999997E-2</v>
      </c>
      <c r="W1718">
        <v>0.20585490000000001</v>
      </c>
      <c r="X1718">
        <v>0.97662360000000004</v>
      </c>
      <c r="Y1718">
        <v>-1.03255E-2</v>
      </c>
      <c r="Z1718" s="1">
        <v>7.7531319999999995E-5</v>
      </c>
      <c r="AA1718">
        <v>0.99994669999999997</v>
      </c>
      <c r="AB1718">
        <v>38</v>
      </c>
      <c r="AC1718">
        <v>-3.06488</v>
      </c>
      <c r="AD1718">
        <v>5.749583E-3</v>
      </c>
      <c r="AE1718">
        <v>-4.0283200000000002E-3</v>
      </c>
      <c r="AF1718">
        <v>-3.16491377376533E-2</v>
      </c>
      <c r="AG1718">
        <v>5.749583E-3</v>
      </c>
      <c r="AH1718">
        <v>3.0647084459671099</v>
      </c>
      <c r="AI1718">
        <v>89.892515423705504</v>
      </c>
      <c r="AJ1718">
        <v>90.591670493608007</v>
      </c>
      <c r="AK1718">
        <v>3.0648772543784402</v>
      </c>
      <c r="AL1718">
        <v>78.120451835951897</v>
      </c>
      <c r="AM1718">
        <v>86.374023577652693</v>
      </c>
      <c r="AN1718">
        <v>1.0000000405627201</v>
      </c>
    </row>
    <row r="1719" spans="1:40" x14ac:dyDescent="0.25">
      <c r="A1719" t="str">
        <f>"20190303170755630"</f>
        <v>20190303170755630</v>
      </c>
      <c r="B1719" t="str">
        <f>"1551604075624286"</f>
        <v>1551604075624286</v>
      </c>
      <c r="C1719" t="s">
        <v>40</v>
      </c>
      <c r="D1719">
        <v>4.0589709999999997</v>
      </c>
      <c r="E1719">
        <v>0.47729670000000002</v>
      </c>
      <c r="F1719" t="s">
        <v>45</v>
      </c>
      <c r="G1719">
        <v>0</v>
      </c>
      <c r="H1719">
        <v>0</v>
      </c>
      <c r="I1719">
        <v>0</v>
      </c>
      <c r="J1719">
        <v>-388.7937</v>
      </c>
      <c r="K1719">
        <v>1.1207769999999999</v>
      </c>
      <c r="L1719">
        <v>284.73700000000002</v>
      </c>
      <c r="M1719">
        <v>-0.99986850000000005</v>
      </c>
      <c r="N1719">
        <v>-1.3375359999999999E-2</v>
      </c>
      <c r="O1719">
        <v>9.1862530000000001E-3</v>
      </c>
      <c r="P1719">
        <v>-0.97876719999999895</v>
      </c>
      <c r="Q1719">
        <v>0.19249340000000001</v>
      </c>
      <c r="R1719">
        <v>7.0435529999999996E-2</v>
      </c>
      <c r="S1719">
        <v>-3.0650629999999999</v>
      </c>
      <c r="T1719">
        <v>2.9578209999999998E-3</v>
      </c>
      <c r="U1719">
        <v>-4.0893550000000002E-3</v>
      </c>
      <c r="V1719">
        <v>6.1535699999999999E-2</v>
      </c>
      <c r="W1719">
        <v>0.20554739999999999</v>
      </c>
      <c r="X1719">
        <v>0.97671059999999998</v>
      </c>
      <c r="Y1719">
        <v>-1.052031E-2</v>
      </c>
      <c r="Z1719" s="1">
        <v>6.6456969999999894E-5</v>
      </c>
      <c r="AA1719">
        <v>0.99994470000000002</v>
      </c>
      <c r="AB1719">
        <v>38</v>
      </c>
      <c r="AC1719">
        <v>-3.0650629999999999</v>
      </c>
      <c r="AD1719">
        <v>2.9578209999999998E-3</v>
      </c>
      <c r="AE1719">
        <v>-4.0893550000000002E-3</v>
      </c>
      <c r="AF1719">
        <v>-3.22481112123012E-2</v>
      </c>
      <c r="AG1719">
        <v>2.9578209999999998E-3</v>
      </c>
      <c r="AH1719">
        <v>3.06489322468676</v>
      </c>
      <c r="AI1719">
        <v>89.944708929560306</v>
      </c>
      <c r="AJ1719">
        <v>90.602830948632999</v>
      </c>
      <c r="AK1719">
        <v>3.0650643008120801</v>
      </c>
      <c r="AL1719">
        <v>78.138454638465902</v>
      </c>
      <c r="AM1719">
        <v>86.394958767631607</v>
      </c>
      <c r="AN1719">
        <v>0.99999998608680396</v>
      </c>
    </row>
    <row r="1720" spans="1:40" x14ac:dyDescent="0.25">
      <c r="A1720" t="str">
        <f>"20190303170755651"</f>
        <v>20190303170755651</v>
      </c>
      <c r="B1720" t="str">
        <f>"1551604075643805"</f>
        <v>1551604075643805</v>
      </c>
      <c r="C1720" t="s">
        <v>40</v>
      </c>
      <c r="D1720">
        <v>4.0992819999999996</v>
      </c>
      <c r="E1720">
        <v>0.47722320000000001</v>
      </c>
      <c r="F1720" t="s">
        <v>45</v>
      </c>
      <c r="G1720">
        <v>0</v>
      </c>
      <c r="H1720">
        <v>0</v>
      </c>
      <c r="I1720">
        <v>0</v>
      </c>
      <c r="J1720">
        <v>-389.1703</v>
      </c>
      <c r="K1720">
        <v>1.1207830000000001</v>
      </c>
      <c r="L1720">
        <v>284.7407</v>
      </c>
      <c r="M1720">
        <v>-0.99986540000000002</v>
      </c>
      <c r="N1720">
        <v>-1.3490159999999999E-2</v>
      </c>
      <c r="O1720">
        <v>9.3526240000000004E-3</v>
      </c>
      <c r="P1720">
        <v>-0.9787863</v>
      </c>
      <c r="Q1720">
        <v>0.1923086</v>
      </c>
      <c r="R1720">
        <v>7.0675299999999996E-2</v>
      </c>
      <c r="S1720">
        <v>-3.0652469999999998</v>
      </c>
      <c r="T1720">
        <v>5.9819219999999995E-4</v>
      </c>
      <c r="U1720">
        <v>-4.1503909999999998E-3</v>
      </c>
      <c r="V1720">
        <v>6.1612350000000003E-2</v>
      </c>
      <c r="W1720">
        <v>0.20547499999999999</v>
      </c>
      <c r="X1720">
        <v>0.97672099999999995</v>
      </c>
      <c r="Y1720">
        <v>-1.070656E-2</v>
      </c>
      <c r="Z1720" s="1">
        <v>5.6825189999999999E-5</v>
      </c>
      <c r="AA1720">
        <v>0.99994269999999996</v>
      </c>
      <c r="AB1720">
        <v>38</v>
      </c>
      <c r="AC1720">
        <v>-3.0652469999999998</v>
      </c>
      <c r="AD1720">
        <v>5.9819219999999995E-4</v>
      </c>
      <c r="AE1720">
        <v>-4.1503909999999998E-3</v>
      </c>
      <c r="AF1720">
        <v>-3.2820915850465697E-2</v>
      </c>
      <c r="AG1720">
        <v>5.9819219999999995E-4</v>
      </c>
      <c r="AH1720">
        <v>3.0650739744041098</v>
      </c>
      <c r="AI1720">
        <v>89.988818565730597</v>
      </c>
      <c r="AJ1720">
        <v>90.613501698385704</v>
      </c>
      <c r="AK1720">
        <v>3.0652497514754899</v>
      </c>
      <c r="AL1720">
        <v>78.142693310555302</v>
      </c>
      <c r="AM1720">
        <v>86.3905184583937</v>
      </c>
      <c r="AN1720">
        <v>0.99999998456926098</v>
      </c>
    </row>
    <row r="1721" spans="1:40" x14ac:dyDescent="0.25">
      <c r="A1721" t="str">
        <f>"20190303170755674"</f>
        <v>20190303170755674</v>
      </c>
      <c r="B1721" t="str">
        <f>"1551604075664301"</f>
        <v>1551604075664301</v>
      </c>
      <c r="C1721" t="s">
        <v>40</v>
      </c>
      <c r="D1721">
        <v>4.0998970000000003</v>
      </c>
      <c r="E1721">
        <v>0.47741830000000002</v>
      </c>
      <c r="F1721" t="s">
        <v>45</v>
      </c>
      <c r="G1721">
        <v>0</v>
      </c>
      <c r="H1721">
        <v>0</v>
      </c>
      <c r="I1721">
        <v>0</v>
      </c>
      <c r="J1721">
        <v>-389.55029999999999</v>
      </c>
      <c r="K1721">
        <v>1.1207910000000001</v>
      </c>
      <c r="L1721">
        <v>284.74439999999998</v>
      </c>
      <c r="M1721">
        <v>-0.99986249999999999</v>
      </c>
      <c r="N1721">
        <v>-1.359075E-2</v>
      </c>
      <c r="O1721">
        <v>9.5209270000000002E-3</v>
      </c>
      <c r="P1721">
        <v>-0.9787053</v>
      </c>
      <c r="Q1721">
        <v>0.19237950000000001</v>
      </c>
      <c r="R1721">
        <v>7.1598720000000005E-2</v>
      </c>
      <c r="S1721">
        <v>-3.0650629999999999</v>
      </c>
      <c r="T1721">
        <v>1.174212E-3</v>
      </c>
      <c r="U1721">
        <v>-4.3945310000000001E-3</v>
      </c>
      <c r="V1721">
        <v>6.2371389999999999E-2</v>
      </c>
      <c r="W1721">
        <v>0.20564260000000001</v>
      </c>
      <c r="X1721">
        <v>0.97663750000000005</v>
      </c>
      <c r="Y1721">
        <v>-1.095458E-2</v>
      </c>
      <c r="Z1721" s="1">
        <v>6.0705380000000002E-5</v>
      </c>
      <c r="AA1721">
        <v>0.99994000000000005</v>
      </c>
      <c r="AB1721">
        <v>38</v>
      </c>
      <c r="AC1721">
        <v>-3.0650629999999999</v>
      </c>
      <c r="AD1721">
        <v>1.174212E-3</v>
      </c>
      <c r="AE1721">
        <v>-4.3945310000000001E-3</v>
      </c>
      <c r="AF1721">
        <v>-3.3579257923716702E-2</v>
      </c>
      <c r="AG1721">
        <v>1.174212E-3</v>
      </c>
      <c r="AH1721">
        <v>3.06488175657103</v>
      </c>
      <c r="AI1721">
        <v>89.978050262168395</v>
      </c>
      <c r="AJ1721">
        <v>90.627715173017606</v>
      </c>
      <c r="AK1721">
        <v>3.0650659254082102</v>
      </c>
      <c r="AL1721">
        <v>78.132880430519407</v>
      </c>
      <c r="AM1721">
        <v>86.345859245764402</v>
      </c>
      <c r="AN1721">
        <v>0.99999993781576901</v>
      </c>
    </row>
    <row r="1722" spans="1:40" x14ac:dyDescent="0.25">
      <c r="A1722" t="str">
        <f>"20190303170755695"</f>
        <v>20190303170755695</v>
      </c>
      <c r="B1722" t="str">
        <f>"1551604075683822"</f>
        <v>1551604075683822</v>
      </c>
      <c r="C1722" t="s">
        <v>40</v>
      </c>
      <c r="D1722">
        <v>4.1209619999999996</v>
      </c>
      <c r="E1722">
        <v>0.47761039999999999</v>
      </c>
      <c r="F1722" t="s">
        <v>45</v>
      </c>
      <c r="G1722">
        <v>0</v>
      </c>
      <c r="H1722">
        <v>0</v>
      </c>
      <c r="I1722">
        <v>0</v>
      </c>
      <c r="J1722">
        <v>-389.9153</v>
      </c>
      <c r="K1722">
        <v>1.1207990000000001</v>
      </c>
      <c r="L1722">
        <v>284.74799999999999</v>
      </c>
      <c r="M1722">
        <v>-0.99985979999999997</v>
      </c>
      <c r="N1722">
        <v>-1.366968E-2</v>
      </c>
      <c r="O1722">
        <v>9.6821049999999999E-3</v>
      </c>
      <c r="P1722">
        <v>-0.97860769999999997</v>
      </c>
      <c r="Q1722">
        <v>0.1925056</v>
      </c>
      <c r="R1722">
        <v>7.2587189999999996E-2</v>
      </c>
      <c r="S1722">
        <v>-3.0650940000000002</v>
      </c>
      <c r="T1722">
        <v>1.3972520000000001E-3</v>
      </c>
      <c r="U1722">
        <v>-7.3242190000000001E-4</v>
      </c>
      <c r="V1722">
        <v>6.3203199999999904E-2</v>
      </c>
      <c r="W1722">
        <v>0.20584459999999999</v>
      </c>
      <c r="X1722">
        <v>0.97654149999999995</v>
      </c>
      <c r="Y1722">
        <v>-9.9210170000000007E-3</v>
      </c>
      <c r="Z1722" s="1">
        <v>7.1222040000000006E-5</v>
      </c>
      <c r="AA1722">
        <v>0.99995080000000003</v>
      </c>
      <c r="AB1722">
        <v>38</v>
      </c>
      <c r="AC1722">
        <v>-3.0650940000000002</v>
      </c>
      <c r="AD1722">
        <v>1.3972520000000001E-3</v>
      </c>
      <c r="AE1722">
        <v>-7.3242190000000001E-4</v>
      </c>
      <c r="AF1722">
        <v>-3.0411712948822601E-2</v>
      </c>
      <c r="AG1722">
        <v>1.3972520000000001E-3</v>
      </c>
      <c r="AH1722">
        <v>3.0649425750522998</v>
      </c>
      <c r="AI1722">
        <v>89.973881175806795</v>
      </c>
      <c r="AJ1722">
        <v>90.568495355396806</v>
      </c>
      <c r="AK1722">
        <v>3.0650937690331599</v>
      </c>
      <c r="AL1722">
        <v>78.121054077936407</v>
      </c>
      <c r="AM1722">
        <v>86.296897846582795</v>
      </c>
      <c r="AN1722">
        <v>0.99999997253082396</v>
      </c>
    </row>
    <row r="1723" spans="1:40" x14ac:dyDescent="0.25">
      <c r="A1723" t="str">
        <f>"20190303170755717"</f>
        <v>20190303170755717</v>
      </c>
      <c r="B1723" t="str">
        <f>"1551604075704318"</f>
        <v>1551604075704318</v>
      </c>
      <c r="C1723" t="s">
        <v>40</v>
      </c>
      <c r="D1723">
        <v>4.1326999999999998</v>
      </c>
      <c r="E1723">
        <v>0.47758139999999999</v>
      </c>
      <c r="F1723" t="s">
        <v>45</v>
      </c>
      <c r="G1723">
        <v>0</v>
      </c>
      <c r="H1723">
        <v>0</v>
      </c>
      <c r="I1723">
        <v>0</v>
      </c>
      <c r="J1723">
        <v>-390.30250000000001</v>
      </c>
      <c r="K1723">
        <v>1.1208049999999901</v>
      </c>
      <c r="L1723">
        <v>284.75200000000001</v>
      </c>
      <c r="M1723">
        <v>-0.99985729999999995</v>
      </c>
      <c r="N1723">
        <v>-1.373187E-2</v>
      </c>
      <c r="O1723">
        <v>9.8529840000000004E-3</v>
      </c>
      <c r="P1723">
        <v>-0.97859989999999997</v>
      </c>
      <c r="Q1723">
        <v>0.19240389999999999</v>
      </c>
      <c r="R1723">
        <v>7.2961780000000004E-2</v>
      </c>
      <c r="S1723">
        <v>-3.0650330000000001</v>
      </c>
      <c r="T1723">
        <v>1.287818E-3</v>
      </c>
      <c r="U1723">
        <v>3.6621090000000002E-3</v>
      </c>
      <c r="V1723">
        <v>6.3410469999999997E-2</v>
      </c>
      <c r="W1723">
        <v>0.20580399999999999</v>
      </c>
      <c r="X1723">
        <v>0.97653659999999998</v>
      </c>
      <c r="Y1723">
        <v>-8.6581990000000001E-3</v>
      </c>
      <c r="Z1723" s="1">
        <v>8.1817229999999995E-5</v>
      </c>
      <c r="AA1723">
        <v>0.99996249999999998</v>
      </c>
      <c r="AB1723">
        <v>38</v>
      </c>
      <c r="AC1723">
        <v>-3.0650330000000001</v>
      </c>
      <c r="AD1723">
        <v>1.287818E-3</v>
      </c>
      <c r="AE1723">
        <v>3.6621090000000002E-3</v>
      </c>
      <c r="AF1723">
        <v>-2.6540628902301799E-2</v>
      </c>
      <c r="AG1723">
        <v>1.287818E-3</v>
      </c>
      <c r="AH1723">
        <v>3.0649197347074599</v>
      </c>
      <c r="AI1723">
        <v>89.975926362881495</v>
      </c>
      <c r="AJ1723">
        <v>90.496139587705699</v>
      </c>
      <c r="AK1723">
        <v>3.0650349172002902</v>
      </c>
      <c r="AL1723">
        <v>78.123430943144996</v>
      </c>
      <c r="AM1723">
        <v>86.284769176483906</v>
      </c>
      <c r="AN1723">
        <v>0.99999995263058905</v>
      </c>
    </row>
    <row r="1724" spans="1:40" x14ac:dyDescent="0.25">
      <c r="A1724" t="str">
        <f>"20190303170755741"</f>
        <v>20190303170755741</v>
      </c>
      <c r="B1724" t="str">
        <f>"1551604075734574"</f>
        <v>1551604075734574</v>
      </c>
      <c r="C1724" t="s">
        <v>40</v>
      </c>
      <c r="D1724">
        <v>4.2518260000000003</v>
      </c>
      <c r="E1724">
        <v>0.47770699999999999</v>
      </c>
      <c r="F1724" t="s">
        <v>45</v>
      </c>
      <c r="G1724">
        <v>0</v>
      </c>
      <c r="H1724">
        <v>0</v>
      </c>
      <c r="I1724">
        <v>0</v>
      </c>
      <c r="J1724">
        <v>-390.7088</v>
      </c>
      <c r="K1724">
        <v>1.120798</v>
      </c>
      <c r="L1724">
        <v>284.7561</v>
      </c>
      <c r="M1724">
        <v>-0.99985489999999999</v>
      </c>
      <c r="N1724">
        <v>-1.3774359999999999E-2</v>
      </c>
      <c r="O1724">
        <v>1.003252E-2</v>
      </c>
      <c r="P1724">
        <v>-0.97861670000000001</v>
      </c>
      <c r="Q1724">
        <v>0.19219020000000001</v>
      </c>
      <c r="R1724">
        <v>7.3296669999999994E-2</v>
      </c>
      <c r="S1724">
        <v>-3.0652159999999999</v>
      </c>
      <c r="T1724">
        <v>6.2489510000000002E-4</v>
      </c>
      <c r="U1724">
        <v>4.3640140000000003E-3</v>
      </c>
      <c r="V1724">
        <v>6.3569150000000005E-2</v>
      </c>
      <c r="W1724">
        <v>0.2056318</v>
      </c>
      <c r="X1724">
        <v>0.97656259999999995</v>
      </c>
      <c r="Y1724">
        <v>-8.6088439999999992E-3</v>
      </c>
      <c r="Z1724" s="1">
        <v>8.1829249999999996E-5</v>
      </c>
      <c r="AA1724">
        <v>0.99996289999999999</v>
      </c>
      <c r="AB1724">
        <v>38</v>
      </c>
      <c r="AC1724">
        <v>-3.0652159999999999</v>
      </c>
      <c r="AD1724">
        <v>6.2489510000000002E-4</v>
      </c>
      <c r="AE1724">
        <v>4.3640140000000003E-3</v>
      </c>
      <c r="AF1724">
        <v>-2.6390959970696699E-2</v>
      </c>
      <c r="AG1724">
        <v>6.2489510000000002E-4</v>
      </c>
      <c r="AH1724">
        <v>3.06510536646267</v>
      </c>
      <c r="AI1724">
        <v>89.988319316950694</v>
      </c>
      <c r="AJ1724">
        <v>90.493312000255401</v>
      </c>
      <c r="AK1724">
        <v>3.0652190428712198</v>
      </c>
      <c r="AL1724">
        <v>78.133513401171101</v>
      </c>
      <c r="AM1724">
        <v>86.275597104863806</v>
      </c>
      <c r="AN1724">
        <v>0.99999999286086105</v>
      </c>
    </row>
    <row r="1725" spans="1:40" x14ac:dyDescent="0.25">
      <c r="A1725" t="str">
        <f>"20190303170755761"</f>
        <v>20190303170755761</v>
      </c>
      <c r="B1725" t="str">
        <f>"1551604075754097"</f>
        <v>1551604075754097</v>
      </c>
      <c r="C1725" t="s">
        <v>40</v>
      </c>
      <c r="D1725">
        <v>4.1237259999999996</v>
      </c>
      <c r="E1725">
        <v>0.50057259999999903</v>
      </c>
      <c r="F1725" t="s">
        <v>45</v>
      </c>
      <c r="G1725">
        <v>0</v>
      </c>
      <c r="H1725">
        <v>0</v>
      </c>
      <c r="I1725">
        <v>0</v>
      </c>
      <c r="J1725">
        <v>-391.05430000000001</v>
      </c>
      <c r="K1725">
        <v>1.120795</v>
      </c>
      <c r="L1725">
        <v>284.75979999999998</v>
      </c>
      <c r="M1725">
        <v>-0.99985299999999999</v>
      </c>
      <c r="N1725">
        <v>-1.379563E-2</v>
      </c>
      <c r="O1725">
        <v>1.0184840000000001E-2</v>
      </c>
      <c r="P1725">
        <v>-0.97874720000000004</v>
      </c>
      <c r="Q1725">
        <v>0.19138859999999999</v>
      </c>
      <c r="R1725">
        <v>7.3649820000000005E-2</v>
      </c>
      <c r="S1725">
        <v>-3.0650940000000002</v>
      </c>
      <c r="T1725">
        <v>-1.606941E-4</v>
      </c>
      <c r="U1725">
        <v>6.1645509999999999E-3</v>
      </c>
      <c r="V1725">
        <v>6.3771549999999996E-2</v>
      </c>
      <c r="W1725">
        <v>0.2048529</v>
      </c>
      <c r="X1725">
        <v>0.9767131</v>
      </c>
      <c r="Y1725">
        <v>-8.1737219999999996E-3</v>
      </c>
      <c r="Z1725" s="1">
        <v>8.338323E-5</v>
      </c>
      <c r="AA1725">
        <v>0.99996660000000004</v>
      </c>
      <c r="AB1725">
        <v>38</v>
      </c>
      <c r="AC1725">
        <v>-3.0650940000000002</v>
      </c>
      <c r="AD1725">
        <v>-1.606941E-4</v>
      </c>
      <c r="AE1725">
        <v>6.1645509999999999E-3</v>
      </c>
      <c r="AF1725">
        <v>-2.5056230650148701E-2</v>
      </c>
      <c r="AG1725">
        <v>-1.606941E-4</v>
      </c>
      <c r="AH1725">
        <v>3.0649977755596201</v>
      </c>
      <c r="AI1725">
        <v>90.003003847555107</v>
      </c>
      <c r="AJ1725">
        <v>90.468380205286707</v>
      </c>
      <c r="AK1725">
        <v>3.0651001948879899</v>
      </c>
      <c r="AL1725">
        <v>78.179111913222997</v>
      </c>
      <c r="AM1725">
        <v>86.264346463749604</v>
      </c>
      <c r="AN1725">
        <v>1.00000000046971</v>
      </c>
    </row>
    <row r="1726" spans="1:40" x14ac:dyDescent="0.25">
      <c r="A1726" t="str">
        <f>"20190303170755784"</f>
        <v>20190303170755784</v>
      </c>
      <c r="B1726" t="str">
        <f>"1551604075774590"</f>
        <v>1551604075774590</v>
      </c>
      <c r="C1726" t="s">
        <v>40</v>
      </c>
      <c r="D1726">
        <v>4.1494770000000001</v>
      </c>
      <c r="E1726">
        <v>0.50187799999999905</v>
      </c>
      <c r="F1726" t="s">
        <v>72</v>
      </c>
      <c r="G1726">
        <v>-549.80799999999999</v>
      </c>
      <c r="H1726">
        <v>0.2466303</v>
      </c>
      <c r="I1726">
        <v>294.55</v>
      </c>
      <c r="J1726">
        <v>-391.43079999999998</v>
      </c>
      <c r="K1726">
        <v>1.120798</v>
      </c>
      <c r="L1726">
        <v>284.7638</v>
      </c>
      <c r="M1726">
        <v>-0.99985109999999999</v>
      </c>
      <c r="N1726">
        <v>-1.380662E-2</v>
      </c>
      <c r="O1726">
        <v>1.035111E-2</v>
      </c>
      <c r="P1726">
        <v>-0.97875789999999996</v>
      </c>
      <c r="Q1726">
        <v>0.19144739999999999</v>
      </c>
      <c r="R1726">
        <v>7.3356669999999999E-2</v>
      </c>
      <c r="S1726">
        <v>-3.0542600000000002</v>
      </c>
      <c r="T1726">
        <v>-1.6816379999999999E-2</v>
      </c>
      <c r="U1726">
        <v>0.18835450000000001</v>
      </c>
      <c r="V1726">
        <v>6.3315460000000004E-2</v>
      </c>
      <c r="W1726">
        <v>0.20492289999999999</v>
      </c>
      <c r="X1726">
        <v>0.97672809999999999</v>
      </c>
      <c r="Y1726">
        <v>5.121436E-2</v>
      </c>
      <c r="Z1726">
        <v>5.8063339999999905E-4</v>
      </c>
      <c r="AA1726">
        <v>0.99868749999999995</v>
      </c>
      <c r="AB1726">
        <v>38</v>
      </c>
      <c r="AC1726">
        <v>-158.37719999999999</v>
      </c>
      <c r="AD1726">
        <v>-0.87416769999999999</v>
      </c>
      <c r="AE1726">
        <v>9.7861999999999991</v>
      </c>
      <c r="AF1726">
        <v>8.1458922895808907</v>
      </c>
      <c r="AG1726">
        <v>-0.87416769999999999</v>
      </c>
      <c r="AH1726">
        <v>158.465211829992</v>
      </c>
      <c r="AI1726">
        <v>90.315650158115304</v>
      </c>
      <c r="AJ1726">
        <v>87.057304932544497</v>
      </c>
      <c r="AK1726">
        <v>158.67685114938899</v>
      </c>
      <c r="AL1726">
        <v>78.175014415987206</v>
      </c>
      <c r="AM1726">
        <v>86.291045573350402</v>
      </c>
      <c r="AN1726">
        <v>1.00000001187451</v>
      </c>
    </row>
    <row r="1727" spans="1:40" x14ac:dyDescent="0.25">
      <c r="A1727" t="str">
        <f>"20190303170755807"</f>
        <v>20190303170755807</v>
      </c>
      <c r="B1727" t="str">
        <f>"1551604075794109"</f>
        <v>1551604075794109</v>
      </c>
      <c r="C1727" t="s">
        <v>40</v>
      </c>
      <c r="D1727">
        <v>4.1507630000000004</v>
      </c>
      <c r="E1727">
        <v>0.50212020000000002</v>
      </c>
      <c r="F1727" t="s">
        <v>72</v>
      </c>
      <c r="G1727">
        <v>-541.7867</v>
      </c>
      <c r="H1727">
        <v>0.4696978</v>
      </c>
      <c r="I1727">
        <v>294.55</v>
      </c>
      <c r="J1727">
        <v>-391.82810000000001</v>
      </c>
      <c r="K1727">
        <v>1.120795</v>
      </c>
      <c r="L1727">
        <v>284.7681</v>
      </c>
      <c r="M1727">
        <v>-0.99984930000000005</v>
      </c>
      <c r="N1727">
        <v>-1.380778E-2</v>
      </c>
      <c r="O1727">
        <v>1.052586E-2</v>
      </c>
      <c r="P1727">
        <v>-0.97858210000000001</v>
      </c>
      <c r="Q1727">
        <v>0.1923203</v>
      </c>
      <c r="R1727">
        <v>7.3418259999999999E-2</v>
      </c>
      <c r="S1727">
        <v>-3.052826</v>
      </c>
      <c r="T1727">
        <v>-1.321816E-2</v>
      </c>
      <c r="U1727">
        <v>0.19869999999999999</v>
      </c>
      <c r="V1727">
        <v>6.3208230000000004E-2</v>
      </c>
      <c r="W1727">
        <v>0.20579520000000001</v>
      </c>
      <c r="X1727">
        <v>0.97655170000000002</v>
      </c>
      <c r="Y1727">
        <v>5.4439889999999998E-2</v>
      </c>
      <c r="Z1727">
        <v>5.9368759999999996E-4</v>
      </c>
      <c r="AA1727">
        <v>0.99851690000000004</v>
      </c>
      <c r="AB1727">
        <v>38</v>
      </c>
      <c r="AC1727">
        <v>-149.95859999999999</v>
      </c>
      <c r="AD1727">
        <v>-0.65109719999999904</v>
      </c>
      <c r="AE1727">
        <v>9.7819000000000091</v>
      </c>
      <c r="AF1727">
        <v>8.2026103541443494</v>
      </c>
      <c r="AG1727">
        <v>-0.65109719999999904</v>
      </c>
      <c r="AH1727">
        <v>150.05044696265699</v>
      </c>
      <c r="AI1727">
        <v>90.248244998667701</v>
      </c>
      <c r="AJ1727">
        <v>86.871001362970802</v>
      </c>
      <c r="AK1727">
        <v>150.27589087368301</v>
      </c>
      <c r="AL1727">
        <v>78.123947754606306</v>
      </c>
      <c r="AM1727">
        <v>86.2966425308948</v>
      </c>
      <c r="AN1727">
        <v>1.00000008372782</v>
      </c>
    </row>
    <row r="1728" spans="1:40" x14ac:dyDescent="0.25">
      <c r="A1728" t="str">
        <f>"20190303170755831"</f>
        <v>20190303170755831</v>
      </c>
      <c r="B1728" t="str">
        <f>"1551604075824365"</f>
        <v>1551604075824365</v>
      </c>
      <c r="C1728" t="s">
        <v>40</v>
      </c>
      <c r="D1728">
        <v>4.1818999999999997</v>
      </c>
      <c r="E1728">
        <v>0.5023088</v>
      </c>
      <c r="F1728" t="s">
        <v>72</v>
      </c>
      <c r="G1728">
        <v>-540.38850000000002</v>
      </c>
      <c r="H1728">
        <v>0.65963950000000005</v>
      </c>
      <c r="I1728">
        <v>294.55</v>
      </c>
      <c r="J1728">
        <v>-392.21719999999999</v>
      </c>
      <c r="K1728">
        <v>1.1208</v>
      </c>
      <c r="L1728">
        <v>284.77229999999997</v>
      </c>
      <c r="M1728">
        <v>-0.99984759999999995</v>
      </c>
      <c r="N1728">
        <v>-1.379788E-2</v>
      </c>
      <c r="O1728">
        <v>1.069763E-2</v>
      </c>
      <c r="P1728">
        <v>-0.97841469999999997</v>
      </c>
      <c r="Q1728">
        <v>0.19316449999999999</v>
      </c>
      <c r="R1728">
        <v>7.3433310000000002E-2</v>
      </c>
      <c r="S1728">
        <v>-3.05246</v>
      </c>
      <c r="T1728">
        <v>-9.4735619999999996E-3</v>
      </c>
      <c r="U1728">
        <v>0.2009888</v>
      </c>
      <c r="V1728">
        <v>6.3057020000000005E-2</v>
      </c>
      <c r="W1728">
        <v>0.20662749999999999</v>
      </c>
      <c r="X1728">
        <v>0.97638559999999996</v>
      </c>
      <c r="Y1728">
        <v>5.5022450000000001E-2</v>
      </c>
      <c r="Z1728">
        <v>5.7962770000000001E-4</v>
      </c>
      <c r="AA1728">
        <v>0.99848499999999996</v>
      </c>
      <c r="AB1728">
        <v>38</v>
      </c>
      <c r="AC1728">
        <v>-148.1713</v>
      </c>
      <c r="AD1728">
        <v>-0.46116049999999997</v>
      </c>
      <c r="AE1728">
        <v>9.7777000000000296</v>
      </c>
      <c r="AF1728">
        <v>8.1918287773970899</v>
      </c>
      <c r="AG1728">
        <v>-0.46116049999999997</v>
      </c>
      <c r="AH1728">
        <v>148.265998025176</v>
      </c>
      <c r="AI1728">
        <v>90.177938491732903</v>
      </c>
      <c r="AJ1728">
        <v>86.837572347246905</v>
      </c>
      <c r="AK1728">
        <v>148.49284460244701</v>
      </c>
      <c r="AL1728">
        <v>78.075211740923095</v>
      </c>
      <c r="AM1728">
        <v>86.304850567295702</v>
      </c>
      <c r="AN1728">
        <v>0.99999997570744403</v>
      </c>
    </row>
    <row r="1729" spans="1:40" x14ac:dyDescent="0.25">
      <c r="A1729" t="str">
        <f>"20190303170755852"</f>
        <v>20190303170755852</v>
      </c>
      <c r="B1729" t="str">
        <f>"1551604075843886"</f>
        <v>1551604075843886</v>
      </c>
      <c r="C1729" t="s">
        <v>40</v>
      </c>
      <c r="D1729">
        <v>4.1876309999999997</v>
      </c>
      <c r="E1729">
        <v>0.50249440000000001</v>
      </c>
      <c r="F1729" t="s">
        <v>72</v>
      </c>
      <c r="G1729">
        <v>-539.5077</v>
      </c>
      <c r="H1729">
        <v>0.85994090000000001</v>
      </c>
      <c r="I1729">
        <v>294.55</v>
      </c>
      <c r="J1729">
        <v>-392.5874</v>
      </c>
      <c r="K1729">
        <v>1.1208</v>
      </c>
      <c r="L1729">
        <v>284.7765</v>
      </c>
      <c r="M1729">
        <v>-0.99984629999999997</v>
      </c>
      <c r="N1729">
        <v>-1.3773509999999999E-2</v>
      </c>
      <c r="O1729">
        <v>1.086057E-2</v>
      </c>
      <c r="P1729">
        <v>-0.97841659999999997</v>
      </c>
      <c r="Q1729">
        <v>0.19311310000000001</v>
      </c>
      <c r="R1729">
        <v>7.3543999999999998E-2</v>
      </c>
      <c r="S1729">
        <v>-3.0520320000000001</v>
      </c>
      <c r="T1729">
        <v>-5.4035189999999999E-3</v>
      </c>
      <c r="U1729">
        <v>0.20260619999999999</v>
      </c>
      <c r="V1729">
        <v>6.3008099999999997E-2</v>
      </c>
      <c r="W1729">
        <v>0.2065524</v>
      </c>
      <c r="X1729">
        <v>0.97640470000000001</v>
      </c>
      <c r="Y1729">
        <v>5.5396609999999999E-2</v>
      </c>
      <c r="Z1729">
        <v>5.6117000000000005E-4</v>
      </c>
      <c r="AA1729">
        <v>0.99846429999999997</v>
      </c>
      <c r="AB1729">
        <v>38</v>
      </c>
      <c r="AC1729">
        <v>-146.9203</v>
      </c>
      <c r="AD1729">
        <v>-0.26085910000000001</v>
      </c>
      <c r="AE1729">
        <v>9.7735000000000092</v>
      </c>
      <c r="AF1729">
        <v>8.1771084571385408</v>
      </c>
      <c r="AG1729">
        <v>-0.26085910000000001</v>
      </c>
      <c r="AH1729">
        <v>147.01732774513599</v>
      </c>
      <c r="AI1729">
        <v>90.101505346470802</v>
      </c>
      <c r="AJ1729">
        <v>86.816487038453005</v>
      </c>
      <c r="AK1729">
        <v>147.244788727855</v>
      </c>
      <c r="AL1729">
        <v>78.079610137880806</v>
      </c>
      <c r="AM1729">
        <v>86.307781379543599</v>
      </c>
      <c r="AN1729">
        <v>1.0000000263967199</v>
      </c>
    </row>
    <row r="1730" spans="1:40" x14ac:dyDescent="0.25">
      <c r="A1730" t="str">
        <f>"20190303170755874"</f>
        <v>20190303170755874</v>
      </c>
      <c r="B1730" t="str">
        <f>"1551604075864381"</f>
        <v>1551604075864381</v>
      </c>
      <c r="C1730" t="s">
        <v>40</v>
      </c>
      <c r="D1730">
        <v>4.263757</v>
      </c>
      <c r="E1730">
        <v>0.50250819999999996</v>
      </c>
      <c r="F1730" t="s">
        <v>72</v>
      </c>
      <c r="G1730">
        <v>-538.69090000000006</v>
      </c>
      <c r="H1730">
        <v>0.94424149999999996</v>
      </c>
      <c r="I1730">
        <v>294.55</v>
      </c>
      <c r="J1730">
        <v>-392.9479</v>
      </c>
      <c r="K1730">
        <v>1.120797</v>
      </c>
      <c r="L1730">
        <v>284.78050000000002</v>
      </c>
      <c r="M1730">
        <v>-0.99984499999999998</v>
      </c>
      <c r="N1730">
        <v>-1.374007E-2</v>
      </c>
      <c r="O1730">
        <v>1.101893E-2</v>
      </c>
      <c r="P1730">
        <v>-0.97850470000000001</v>
      </c>
      <c r="Q1730">
        <v>0.19288830000000001</v>
      </c>
      <c r="R1730">
        <v>7.2957380000000002E-2</v>
      </c>
      <c r="S1730">
        <v>-3.0515439999999998</v>
      </c>
      <c r="T1730">
        <v>-3.685832E-3</v>
      </c>
      <c r="U1730">
        <v>0.20413210000000001</v>
      </c>
      <c r="V1730">
        <v>6.226541E-2</v>
      </c>
      <c r="W1730">
        <v>0.20629629999999999</v>
      </c>
      <c r="X1730">
        <v>0.97650650000000006</v>
      </c>
      <c r="Y1730">
        <v>5.5746419999999998E-2</v>
      </c>
      <c r="Z1730">
        <v>5.5501909999999995E-4</v>
      </c>
      <c r="AA1730">
        <v>0.99844480000000002</v>
      </c>
      <c r="AB1730">
        <v>38</v>
      </c>
      <c r="AC1730">
        <v>-145.74299999999999</v>
      </c>
      <c r="AD1730">
        <v>-0.176555499999999</v>
      </c>
      <c r="AE1730">
        <v>9.7694999999999901</v>
      </c>
      <c r="AF1730">
        <v>8.1628115107552102</v>
      </c>
      <c r="AG1730">
        <v>-0.176555499999999</v>
      </c>
      <c r="AH1730">
        <v>145.84159675462001</v>
      </c>
      <c r="AI1730">
        <v>90.069253714281601</v>
      </c>
      <c r="AJ1730">
        <v>86.796475115128302</v>
      </c>
      <c r="AK1730">
        <v>146.06996271493301</v>
      </c>
      <c r="AL1730">
        <v>78.094606791396998</v>
      </c>
      <c r="AM1730">
        <v>86.3515634387837</v>
      </c>
      <c r="AN1730">
        <v>1.0000000446091999</v>
      </c>
    </row>
    <row r="1731" spans="1:40" x14ac:dyDescent="0.25">
      <c r="A1731" t="str">
        <f>"20190303170755896"</f>
        <v>20190303170755896</v>
      </c>
      <c r="B1731" t="str">
        <f>"1551604075883903"</f>
        <v>1551604075883903</v>
      </c>
      <c r="C1731" t="s">
        <v>40</v>
      </c>
      <c r="D1731">
        <v>4.271204</v>
      </c>
      <c r="E1731">
        <v>0.50249270000000001</v>
      </c>
      <c r="F1731" t="s">
        <v>72</v>
      </c>
      <c r="G1731">
        <v>-540.13350000000003</v>
      </c>
      <c r="H1731">
        <v>0.94020459999999995</v>
      </c>
      <c r="I1731">
        <v>294.55</v>
      </c>
      <c r="J1731">
        <v>-393.32510000000002</v>
      </c>
      <c r="K1731">
        <v>1.1207940000000001</v>
      </c>
      <c r="L1731">
        <v>284.78489999999999</v>
      </c>
      <c r="M1731">
        <v>-0.99984360000000005</v>
      </c>
      <c r="N1731">
        <v>-1.369689E-2</v>
      </c>
      <c r="O1731">
        <v>1.1183129999999999E-2</v>
      </c>
      <c r="P1731">
        <v>-0.97854070000000004</v>
      </c>
      <c r="Q1731">
        <v>0.19268589999999999</v>
      </c>
      <c r="R1731">
        <v>7.3009169999999998E-2</v>
      </c>
      <c r="S1731">
        <v>-3.0515140000000001</v>
      </c>
      <c r="T1731">
        <v>-3.7423370000000001E-3</v>
      </c>
      <c r="U1731">
        <v>0.20254520000000001</v>
      </c>
      <c r="V1731">
        <v>6.2156400000000001E-2</v>
      </c>
      <c r="W1731">
        <v>0.20605229999999999</v>
      </c>
      <c r="X1731">
        <v>0.97656489999999996</v>
      </c>
      <c r="Y1731">
        <v>5.5066169999999998E-2</v>
      </c>
      <c r="Z1731">
        <v>5.5061239999999896E-4</v>
      </c>
      <c r="AA1731">
        <v>0.9984826</v>
      </c>
      <c r="AB1731">
        <v>38</v>
      </c>
      <c r="AC1731">
        <v>-146.80840000000001</v>
      </c>
      <c r="AD1731">
        <v>-0.18058940000000001</v>
      </c>
      <c r="AE1731">
        <v>9.7651000000000092</v>
      </c>
      <c r="AF1731">
        <v>8.1225454707522609</v>
      </c>
      <c r="AG1731">
        <v>-0.18058940000000001</v>
      </c>
      <c r="AH1731">
        <v>146.90821120254</v>
      </c>
      <c r="AI1731">
        <v>90.070324361410798</v>
      </c>
      <c r="AJ1731">
        <v>86.835342203564494</v>
      </c>
      <c r="AK1731">
        <v>147.13269818835599</v>
      </c>
      <c r="AL1731">
        <v>78.108893210570301</v>
      </c>
      <c r="AM1731">
        <v>86.358150878089404</v>
      </c>
      <c r="AN1731">
        <v>0.99999998615412899</v>
      </c>
    </row>
    <row r="1732" spans="1:40" x14ac:dyDescent="0.25">
      <c r="A1732" t="str">
        <f>"20190303170755919"</f>
        <v>20190303170755919</v>
      </c>
      <c r="B1732" t="str">
        <f>"1551604075914158"</f>
        <v>1551604075914158</v>
      </c>
      <c r="C1732" t="s">
        <v>40</v>
      </c>
      <c r="D1732">
        <v>4.3015509999999999</v>
      </c>
      <c r="E1732">
        <v>0.50252200000000002</v>
      </c>
      <c r="F1732" t="s">
        <v>72</v>
      </c>
      <c r="G1732">
        <v>-540.64959999999996</v>
      </c>
      <c r="H1732">
        <v>0.89953119999999998</v>
      </c>
      <c r="I1732">
        <v>294.55</v>
      </c>
      <c r="J1732">
        <v>-393.70890000000003</v>
      </c>
      <c r="K1732">
        <v>1.1207879999999999</v>
      </c>
      <c r="L1732">
        <v>284.7894</v>
      </c>
      <c r="M1732">
        <v>-0.99984260000000003</v>
      </c>
      <c r="N1732">
        <v>-1.3646480000000001E-2</v>
      </c>
      <c r="O1732">
        <v>1.1347930000000001E-2</v>
      </c>
      <c r="P1732">
        <v>-0.97828130000000002</v>
      </c>
      <c r="Q1732">
        <v>0.19377340000000001</v>
      </c>
      <c r="R1732">
        <v>7.3606179999999993E-2</v>
      </c>
      <c r="S1732">
        <v>-3.0516049999999999</v>
      </c>
      <c r="T1732">
        <v>-4.5813319999999996E-3</v>
      </c>
      <c r="U1732">
        <v>0.20227049999999999</v>
      </c>
      <c r="V1732">
        <v>6.2595869999999998E-2</v>
      </c>
      <c r="W1732">
        <v>0.2070871</v>
      </c>
      <c r="X1732">
        <v>0.97631789999999996</v>
      </c>
      <c r="Y1732">
        <v>5.4809999999999998E-2</v>
      </c>
      <c r="Z1732">
        <v>5.5320719999999996E-4</v>
      </c>
      <c r="AA1732">
        <v>0.99849670000000001</v>
      </c>
      <c r="AB1732">
        <v>38</v>
      </c>
      <c r="AC1732">
        <v>-146.940699999999</v>
      </c>
      <c r="AD1732">
        <v>-0.221256799999999</v>
      </c>
      <c r="AE1732">
        <v>9.7606000000000002</v>
      </c>
      <c r="AF1732">
        <v>8.0923252584510905</v>
      </c>
      <c r="AG1732">
        <v>-0.221256799999999</v>
      </c>
      <c r="AH1732">
        <v>147.04167773780901</v>
      </c>
      <c r="AI1732">
        <v>90.086083871193495</v>
      </c>
      <c r="AJ1732">
        <v>86.849948682997095</v>
      </c>
      <c r="AK1732">
        <v>147.26435303429599</v>
      </c>
      <c r="AL1732">
        <v>78.048296454553494</v>
      </c>
      <c r="AM1732">
        <v>86.331546296623898</v>
      </c>
      <c r="AN1732">
        <v>0.99999997589393796</v>
      </c>
    </row>
    <row r="1733" spans="1:40" x14ac:dyDescent="0.25">
      <c r="A1733" t="str">
        <f>"20190303170755942"</f>
        <v>20190303170755942</v>
      </c>
      <c r="B1733" t="str">
        <f>"1551604075934654"</f>
        <v>1551604075934654</v>
      </c>
      <c r="C1733" t="s">
        <v>40</v>
      </c>
      <c r="D1733">
        <v>4.2810969999999999</v>
      </c>
      <c r="E1733">
        <v>0.50248389999999998</v>
      </c>
      <c r="F1733" t="s">
        <v>72</v>
      </c>
      <c r="G1733">
        <v>-539.55399999999997</v>
      </c>
      <c r="H1733">
        <v>1.045758</v>
      </c>
      <c r="I1733">
        <v>294.55</v>
      </c>
      <c r="J1733">
        <v>-394.10419999999999</v>
      </c>
      <c r="K1733">
        <v>1.12079</v>
      </c>
      <c r="L1733">
        <v>284.79399999999998</v>
      </c>
      <c r="M1733">
        <v>-0.99984119999999999</v>
      </c>
      <c r="N1733">
        <v>-1.359292E-2</v>
      </c>
      <c r="O1733">
        <v>1.1516439999999999E-2</v>
      </c>
      <c r="P1733">
        <v>-0.97796680000000002</v>
      </c>
      <c r="Q1733">
        <v>0.19511010000000001</v>
      </c>
      <c r="R1733">
        <v>7.4248690000000006E-2</v>
      </c>
      <c r="S1733">
        <v>-3.0515439999999998</v>
      </c>
      <c r="T1733">
        <v>-1.568079E-3</v>
      </c>
      <c r="U1733">
        <v>0.20422360000000001</v>
      </c>
      <c r="V1733">
        <v>6.3077809999999998E-2</v>
      </c>
      <c r="W1733">
        <v>0.20836650000000001</v>
      </c>
      <c r="X1733">
        <v>0.97601470000000001</v>
      </c>
      <c r="Y1733">
        <v>5.5279870000000002E-2</v>
      </c>
      <c r="Z1733">
        <v>5.4081430000000002E-4</v>
      </c>
      <c r="AA1733">
        <v>0.99847070000000004</v>
      </c>
      <c r="AB1733">
        <v>38</v>
      </c>
      <c r="AC1733">
        <v>-145.44979999999899</v>
      </c>
      <c r="AD1733">
        <v>-7.5031999999999904E-2</v>
      </c>
      <c r="AE1733">
        <v>9.75599999999997</v>
      </c>
      <c r="AF1733">
        <v>8.0801319422618505</v>
      </c>
      <c r="AG1733">
        <v>-7.5031999999999904E-2</v>
      </c>
      <c r="AH1733">
        <v>145.55247872928101</v>
      </c>
      <c r="AI1733">
        <v>90.029490446375405</v>
      </c>
      <c r="AJ1733">
        <v>86.822570345065103</v>
      </c>
      <c r="AK1733">
        <v>145.77660383697801</v>
      </c>
      <c r="AL1733">
        <v>77.973358499082394</v>
      </c>
      <c r="AM1733">
        <v>86.302234871101902</v>
      </c>
      <c r="AN1733">
        <v>1.0000000515263601</v>
      </c>
    </row>
    <row r="1734" spans="1:40" x14ac:dyDescent="0.25">
      <c r="A1734" t="str">
        <f>"20190303170755962"</f>
        <v>20190303170755962</v>
      </c>
      <c r="B1734" t="str">
        <f>"1551604075954174"</f>
        <v>1551604075954174</v>
      </c>
      <c r="C1734" t="s">
        <v>40</v>
      </c>
      <c r="D1734">
        <v>4.1696730000000004</v>
      </c>
      <c r="E1734">
        <v>0.50248669999999995</v>
      </c>
      <c r="F1734" t="s">
        <v>72</v>
      </c>
      <c r="G1734">
        <v>-538.60410000000002</v>
      </c>
      <c r="H1734">
        <v>1.2200839999999999</v>
      </c>
      <c r="I1734">
        <v>294.55</v>
      </c>
      <c r="J1734">
        <v>-394.459</v>
      </c>
      <c r="K1734">
        <v>1.120797</v>
      </c>
      <c r="L1734">
        <v>284.79829999999998</v>
      </c>
      <c r="M1734">
        <v>-0.99984030000000002</v>
      </c>
      <c r="N1734">
        <v>-1.354669E-2</v>
      </c>
      <c r="O1734">
        <v>1.1667230000000001E-2</v>
      </c>
      <c r="P1734">
        <v>-0.97777009999999998</v>
      </c>
      <c r="Q1734">
        <v>0.19582910000000001</v>
      </c>
      <c r="R1734">
        <v>7.4945590000000006E-2</v>
      </c>
      <c r="S1734">
        <v>-3.0515140000000001</v>
      </c>
      <c r="T1734">
        <v>2.0986799999999999E-3</v>
      </c>
      <c r="U1734">
        <v>0.20602419999999999</v>
      </c>
      <c r="V1734">
        <v>6.3629580000000005E-2</v>
      </c>
      <c r="W1734">
        <v>0.209038</v>
      </c>
      <c r="X1734">
        <v>0.97583520000000001</v>
      </c>
      <c r="Y1734">
        <v>5.5717089999999997E-2</v>
      </c>
      <c r="Z1734">
        <v>5.246103E-4</v>
      </c>
      <c r="AA1734">
        <v>0.99844650000000001</v>
      </c>
      <c r="AB1734">
        <v>38</v>
      </c>
      <c r="AC1734">
        <v>-144.14510000000001</v>
      </c>
      <c r="AD1734">
        <v>9.9286999999999903E-2</v>
      </c>
      <c r="AE1734">
        <v>9.7517000000000191</v>
      </c>
      <c r="AF1734">
        <v>8.0691041744016196</v>
      </c>
      <c r="AG1734">
        <v>9.9286999999999903E-2</v>
      </c>
      <c r="AH1734">
        <v>144.249004672198</v>
      </c>
      <c r="AI1734">
        <v>89.960624715554999</v>
      </c>
      <c r="AJ1734">
        <v>86.798284391224101</v>
      </c>
      <c r="AK1734">
        <v>144.47455017754999</v>
      </c>
      <c r="AL1734">
        <v>77.934017118939906</v>
      </c>
      <c r="AM1734">
        <v>86.269295593907103</v>
      </c>
      <c r="AN1734">
        <v>0.99999997322700696</v>
      </c>
    </row>
    <row r="1735" spans="1:40" x14ac:dyDescent="0.25">
      <c r="A1735" t="str">
        <f>"20190303170755985"</f>
        <v>20190303170755985</v>
      </c>
      <c r="B1735" t="str">
        <f>"1551604075974670"</f>
        <v>1551604075974670</v>
      </c>
      <c r="C1735" t="s">
        <v>40</v>
      </c>
      <c r="D1735">
        <v>4.4820440000000001</v>
      </c>
      <c r="E1735">
        <v>0.50249189999999999</v>
      </c>
      <c r="F1735" t="s">
        <v>72</v>
      </c>
      <c r="G1735">
        <v>-537.53819999999996</v>
      </c>
      <c r="H1735">
        <v>1.30084</v>
      </c>
      <c r="I1735">
        <v>294.55</v>
      </c>
      <c r="J1735">
        <v>-394.83859999999999</v>
      </c>
      <c r="K1735">
        <v>1.1207990000000001</v>
      </c>
      <c r="L1735">
        <v>284.80290000000002</v>
      </c>
      <c r="M1735">
        <v>-0.99983889999999997</v>
      </c>
      <c r="N1735">
        <v>-1.350052E-2</v>
      </c>
      <c r="O1735">
        <v>1.183039E-2</v>
      </c>
      <c r="P1735">
        <v>-0.97784179999999998</v>
      </c>
      <c r="Q1735">
        <v>0.19529830000000001</v>
      </c>
      <c r="R1735">
        <v>7.5392470000000003E-2</v>
      </c>
      <c r="S1735">
        <v>-3.0514830000000002</v>
      </c>
      <c r="T1735">
        <v>3.841639E-3</v>
      </c>
      <c r="U1735">
        <v>0.2079773</v>
      </c>
      <c r="V1735">
        <v>6.3914330000000005E-2</v>
      </c>
      <c r="W1735">
        <v>0.2084635</v>
      </c>
      <c r="X1735">
        <v>0.97593949999999996</v>
      </c>
      <c r="Y1735">
        <v>5.6191249999999998E-2</v>
      </c>
      <c r="Z1735">
        <v>5.1886260000000002E-4</v>
      </c>
      <c r="AA1735">
        <v>0.99841990000000003</v>
      </c>
      <c r="AB1735">
        <v>38</v>
      </c>
      <c r="AC1735">
        <v>-142.69959999999901</v>
      </c>
      <c r="AD1735">
        <v>0.18004100000000001</v>
      </c>
      <c r="AE1735">
        <v>9.7470999999999801</v>
      </c>
      <c r="AF1735">
        <v>8.0580592417804802</v>
      </c>
      <c r="AG1735">
        <v>0.18004100000000001</v>
      </c>
      <c r="AH1735">
        <v>142.80470808224999</v>
      </c>
      <c r="AI1735">
        <v>89.927879124384006</v>
      </c>
      <c r="AJ1735">
        <v>86.770388646750206</v>
      </c>
      <c r="AK1735">
        <v>143.03198727544199</v>
      </c>
      <c r="AL1735">
        <v>77.967675273425598</v>
      </c>
      <c r="AM1735">
        <v>86.253047053017994</v>
      </c>
      <c r="AN1735">
        <v>0.99999999003592399</v>
      </c>
    </row>
    <row r="1736" spans="1:40" x14ac:dyDescent="0.25">
      <c r="A1736" t="str">
        <f>"20190303170756012"</f>
        <v>20190303170756012</v>
      </c>
      <c r="B1736" t="str">
        <f>"1551604076003951"</f>
        <v>1551604076003951</v>
      </c>
      <c r="C1736" t="s">
        <v>40</v>
      </c>
      <c r="D1736">
        <v>4.2974209999999999</v>
      </c>
      <c r="E1736">
        <v>0.50242070000000005</v>
      </c>
      <c r="F1736" t="s">
        <v>72</v>
      </c>
      <c r="G1736">
        <v>-536.72699999999998</v>
      </c>
      <c r="H1736">
        <v>1.201263</v>
      </c>
      <c r="I1736">
        <v>294.55</v>
      </c>
      <c r="J1736">
        <v>-395.2878</v>
      </c>
      <c r="K1736">
        <v>1.1208009999999999</v>
      </c>
      <c r="L1736">
        <v>284.80849999999998</v>
      </c>
      <c r="M1736">
        <v>-0.99983719999999998</v>
      </c>
      <c r="N1736">
        <v>-1.345243E-2</v>
      </c>
      <c r="O1736">
        <v>1.2023020000000001E-2</v>
      </c>
      <c r="P1736">
        <v>-0.97808589999999995</v>
      </c>
      <c r="Q1736">
        <v>0.19413859999999999</v>
      </c>
      <c r="R1736">
        <v>7.5223120000000004E-2</v>
      </c>
      <c r="S1736">
        <v>-3.0515140000000001</v>
      </c>
      <c r="T1736">
        <v>1.732349E-3</v>
      </c>
      <c r="U1736">
        <v>0.20962520000000001</v>
      </c>
      <c r="V1736">
        <v>6.3550590000000004E-2</v>
      </c>
      <c r="W1736">
        <v>0.20726149999999999</v>
      </c>
      <c r="X1736">
        <v>0.97621919999999995</v>
      </c>
      <c r="Y1736">
        <v>5.6534559999999998E-2</v>
      </c>
      <c r="Z1736">
        <v>5.330911E-4</v>
      </c>
      <c r="AA1736">
        <v>0.99840050000000002</v>
      </c>
      <c r="AB1736">
        <v>38</v>
      </c>
      <c r="AC1736">
        <v>-141.439199999999</v>
      </c>
      <c r="AD1736">
        <v>8.0462000000000006E-2</v>
      </c>
      <c r="AE1736">
        <v>9.7415000000000305</v>
      </c>
      <c r="AF1736">
        <v>8.0401129094633408</v>
      </c>
      <c r="AG1736">
        <v>8.0462000000000006E-2</v>
      </c>
      <c r="AH1736">
        <v>141.54606230846699</v>
      </c>
      <c r="AI1736">
        <v>89.967482576736103</v>
      </c>
      <c r="AJ1736">
        <v>86.748973128638497</v>
      </c>
      <c r="AK1736">
        <v>141.77424887744101</v>
      </c>
      <c r="AL1736">
        <v>78.038082356089305</v>
      </c>
      <c r="AM1736">
        <v>86.275375394886296</v>
      </c>
      <c r="AN1736">
        <v>0.99999996666011803</v>
      </c>
    </row>
    <row r="1737" spans="1:40" x14ac:dyDescent="0.25">
      <c r="A1737" t="str">
        <f>"20190303170756032"</f>
        <v>20190303170756032</v>
      </c>
      <c r="B1737" t="str">
        <f>"1551604076024445"</f>
        <v>1551604076024445</v>
      </c>
      <c r="C1737" t="s">
        <v>40</v>
      </c>
      <c r="D1737">
        <v>4.3118939999999997</v>
      </c>
      <c r="E1737">
        <v>0.50243700000000002</v>
      </c>
      <c r="F1737" t="s">
        <v>72</v>
      </c>
      <c r="G1737">
        <v>-537.69929999999999</v>
      </c>
      <c r="H1737">
        <v>1.0279750000000001</v>
      </c>
      <c r="I1737">
        <v>294.55</v>
      </c>
      <c r="J1737">
        <v>-395.62380000000002</v>
      </c>
      <c r="K1737">
        <v>1.1208070000000001</v>
      </c>
      <c r="L1737">
        <v>284.81270000000001</v>
      </c>
      <c r="M1737">
        <v>-0.9998359</v>
      </c>
      <c r="N1737">
        <v>-1.3427619999999999E-2</v>
      </c>
      <c r="O1737">
        <v>1.2163820000000001E-2</v>
      </c>
      <c r="P1737">
        <v>-0.97825019999999996</v>
      </c>
      <c r="Q1737">
        <v>0.1935317</v>
      </c>
      <c r="R1737">
        <v>7.4648859999999997E-2</v>
      </c>
      <c r="S1737">
        <v>-3.0515750000000001</v>
      </c>
      <c r="T1737">
        <v>-1.9872190000000001E-3</v>
      </c>
      <c r="U1737">
        <v>0.20874019999999999</v>
      </c>
      <c r="V1737">
        <v>6.2833719999999996E-2</v>
      </c>
      <c r="W1737">
        <v>0.2066336</v>
      </c>
      <c r="X1737">
        <v>0.97639869999999995</v>
      </c>
      <c r="Y1737">
        <v>5.6103750000000001E-2</v>
      </c>
      <c r="Z1737">
        <v>5.5063089999999996E-4</v>
      </c>
      <c r="AA1737">
        <v>0.9984248</v>
      </c>
      <c r="AB1737">
        <v>38</v>
      </c>
      <c r="AC1737">
        <v>-142.07549999999901</v>
      </c>
      <c r="AD1737">
        <v>-9.2831999999999804E-2</v>
      </c>
      <c r="AE1737">
        <v>9.7372999999999994</v>
      </c>
      <c r="AF1737">
        <v>8.0082395311627703</v>
      </c>
      <c r="AG1737">
        <v>-9.2831999999999804E-2</v>
      </c>
      <c r="AH1737">
        <v>142.18338009627499</v>
      </c>
      <c r="AI1737">
        <v>90.037349403852801</v>
      </c>
      <c r="AJ1737">
        <v>86.776317638582199</v>
      </c>
      <c r="AK1737">
        <v>142.40875708245801</v>
      </c>
      <c r="AL1737">
        <v>78.074854472988903</v>
      </c>
      <c r="AM1737">
        <v>86.317949179303298</v>
      </c>
      <c r="AN1737">
        <v>0.99999997118984296</v>
      </c>
    </row>
    <row r="1738" spans="1:40" x14ac:dyDescent="0.25">
      <c r="A1738" t="str">
        <f>"20190303170756052"</f>
        <v>20190303170756052</v>
      </c>
      <c r="B1738" t="str">
        <f>"1551604076043966"</f>
        <v>1551604076043966</v>
      </c>
      <c r="C1738" t="s">
        <v>40</v>
      </c>
      <c r="D1738">
        <v>4.3680810000000001</v>
      </c>
      <c r="E1738">
        <v>0.50240829999999903</v>
      </c>
      <c r="F1738" t="s">
        <v>72</v>
      </c>
      <c r="G1738">
        <v>-539.02829999999994</v>
      </c>
      <c r="H1738">
        <v>0.92891380000000001</v>
      </c>
      <c r="I1738">
        <v>294.55</v>
      </c>
      <c r="J1738">
        <v>-395.97199999999998</v>
      </c>
      <c r="K1738">
        <v>1.120824</v>
      </c>
      <c r="L1738">
        <v>284.81709999999998</v>
      </c>
      <c r="M1738">
        <v>-0.99983440000000001</v>
      </c>
      <c r="N1738">
        <v>-1.3412169999999999E-2</v>
      </c>
      <c r="O1738">
        <v>1.2307240000000001E-2</v>
      </c>
      <c r="P1738">
        <v>-0.97816800000000004</v>
      </c>
      <c r="Q1738">
        <v>0.19406499999999999</v>
      </c>
      <c r="R1738">
        <v>7.4339749999999996E-2</v>
      </c>
      <c r="S1738">
        <v>-3.0516969999999999</v>
      </c>
      <c r="T1738">
        <v>-4.0817259999999999E-3</v>
      </c>
      <c r="U1738">
        <v>0.20721439999999999</v>
      </c>
      <c r="V1738">
        <v>6.2382550000000002E-2</v>
      </c>
      <c r="W1738">
        <v>0.20715140000000001</v>
      </c>
      <c r="X1738">
        <v>0.97631789999999996</v>
      </c>
      <c r="Y1738">
        <v>5.5460509999999998E-2</v>
      </c>
      <c r="Z1738">
        <v>5.578817E-4</v>
      </c>
      <c r="AA1738">
        <v>0.99846069999999998</v>
      </c>
      <c r="AB1738">
        <v>38</v>
      </c>
      <c r="AC1738">
        <v>-143.056299999999</v>
      </c>
      <c r="AD1738">
        <v>-0.191910199999999</v>
      </c>
      <c r="AE1738">
        <v>9.7329000000000292</v>
      </c>
      <c r="AF1738">
        <v>7.9713620127368099</v>
      </c>
      <c r="AG1738">
        <v>-0.191910199999999</v>
      </c>
      <c r="AH1738">
        <v>143.16500284954401</v>
      </c>
      <c r="AI1738">
        <v>90.076685173388697</v>
      </c>
      <c r="AJ1738">
        <v>86.813087797745595</v>
      </c>
      <c r="AK1738">
        <v>143.38688044159699</v>
      </c>
      <c r="AL1738">
        <v>78.044530526806994</v>
      </c>
      <c r="AM1738">
        <v>86.3440140281281</v>
      </c>
      <c r="AN1738">
        <v>0.999999963463435</v>
      </c>
    </row>
    <row r="1739" spans="1:40" x14ac:dyDescent="0.25">
      <c r="A1739" t="str">
        <f>"20190303170756075"</f>
        <v>20190303170756075</v>
      </c>
      <c r="B1739" t="str">
        <f>"1551604076064462"</f>
        <v>1551604076064462</v>
      </c>
      <c r="C1739" t="s">
        <v>40</v>
      </c>
      <c r="D1739">
        <v>4.4854609999999999</v>
      </c>
      <c r="E1739">
        <v>0.50237829999999895</v>
      </c>
      <c r="F1739" t="s">
        <v>72</v>
      </c>
      <c r="G1739">
        <v>-540.5992</v>
      </c>
      <c r="H1739">
        <v>0.9933649</v>
      </c>
      <c r="I1739">
        <v>294.55</v>
      </c>
      <c r="J1739">
        <v>-396.3442</v>
      </c>
      <c r="K1739">
        <v>1.120841</v>
      </c>
      <c r="L1739">
        <v>284.8218</v>
      </c>
      <c r="M1739">
        <v>-0.99983259999999996</v>
      </c>
      <c r="N1739">
        <v>-1.3406589999999999E-2</v>
      </c>
      <c r="O1739">
        <v>1.245658E-2</v>
      </c>
      <c r="P1739">
        <v>-0.9781088</v>
      </c>
      <c r="Q1739">
        <v>0.19455320000000001</v>
      </c>
      <c r="R1739">
        <v>7.3842430000000001E-2</v>
      </c>
      <c r="S1739">
        <v>-3.0519099999999999</v>
      </c>
      <c r="T1739">
        <v>-2.6878119999999999E-3</v>
      </c>
      <c r="U1739">
        <v>0.20538329999999999</v>
      </c>
      <c r="V1739">
        <v>6.1736359999999997E-2</v>
      </c>
      <c r="W1739">
        <v>0.20763519999999999</v>
      </c>
      <c r="X1739">
        <v>0.97625629999999997</v>
      </c>
      <c r="Y1739">
        <v>5.4710590000000003E-2</v>
      </c>
      <c r="Z1739">
        <v>5.4712119999999998E-4</v>
      </c>
      <c r="AA1739">
        <v>0.99850209999999995</v>
      </c>
      <c r="AB1739">
        <v>38</v>
      </c>
      <c r="AC1739">
        <v>-144.255</v>
      </c>
      <c r="AD1739">
        <v>-0.12747609999999901</v>
      </c>
      <c r="AE1739">
        <v>9.72820000000001</v>
      </c>
      <c r="AF1739">
        <v>7.9303535870970396</v>
      </c>
      <c r="AG1739">
        <v>-0.12747609999999901</v>
      </c>
      <c r="AH1739">
        <v>144.364884552821</v>
      </c>
      <c r="AI1739">
        <v>90.050516754711893</v>
      </c>
      <c r="AJ1739">
        <v>86.855748016961499</v>
      </c>
      <c r="AK1739">
        <v>144.58259456145399</v>
      </c>
      <c r="AL1739">
        <v>78.016195900712702</v>
      </c>
      <c r="AM1739">
        <v>86.381555756795905</v>
      </c>
      <c r="AN1739">
        <v>1.0000000588573801</v>
      </c>
    </row>
    <row r="1740" spans="1:40" x14ac:dyDescent="0.25">
      <c r="A1740" t="str">
        <f>"20190303170756097"</f>
        <v>20190303170756097</v>
      </c>
      <c r="B1740" t="str">
        <f>"1551604076083982"</f>
        <v>1551604076083982</v>
      </c>
      <c r="C1740" t="s">
        <v>40</v>
      </c>
      <c r="D1740">
        <v>4.3271069999999998</v>
      </c>
      <c r="E1740">
        <v>0.50235099999999999</v>
      </c>
      <c r="F1740" t="s">
        <v>72</v>
      </c>
      <c r="G1740">
        <v>-542.40260000000001</v>
      </c>
      <c r="H1740">
        <v>1.072576</v>
      </c>
      <c r="I1740">
        <v>294.55</v>
      </c>
      <c r="J1740">
        <v>-396.72300000000001</v>
      </c>
      <c r="K1740">
        <v>1.1208549999999999</v>
      </c>
      <c r="L1740">
        <v>284.82670000000002</v>
      </c>
      <c r="M1740">
        <v>-0.99983069999999996</v>
      </c>
      <c r="N1740">
        <v>-1.341299E-2</v>
      </c>
      <c r="O1740">
        <v>1.25985E-2</v>
      </c>
      <c r="P1740">
        <v>-0.97809849999999998</v>
      </c>
      <c r="Q1740">
        <v>0.19477820000000001</v>
      </c>
      <c r="R1740">
        <v>7.3381399999999999E-2</v>
      </c>
      <c r="S1740">
        <v>-3.0520019999999999</v>
      </c>
      <c r="T1740">
        <v>-1.006722E-3</v>
      </c>
      <c r="U1740">
        <v>0.2032776</v>
      </c>
      <c r="V1740">
        <v>6.1132319999999997E-2</v>
      </c>
      <c r="W1740">
        <v>0.20786750000000001</v>
      </c>
      <c r="X1740">
        <v>0.97624480000000002</v>
      </c>
      <c r="Y1740">
        <v>5.3881310000000002E-2</v>
      </c>
      <c r="Z1740">
        <v>5.3532280000000002E-4</v>
      </c>
      <c r="AA1740">
        <v>0.99854719999999997</v>
      </c>
      <c r="AB1740">
        <v>38</v>
      </c>
      <c r="AC1740">
        <v>-145.67959999999999</v>
      </c>
      <c r="AD1740">
        <v>-4.8278999999999898E-2</v>
      </c>
      <c r="AE1740">
        <v>9.7232999999999894</v>
      </c>
      <c r="AF1740">
        <v>7.8870178109603097</v>
      </c>
      <c r="AG1740">
        <v>-4.8278999999999898E-2</v>
      </c>
      <c r="AH1740">
        <v>145.79053023902699</v>
      </c>
      <c r="AI1740">
        <v>90.018945976172802</v>
      </c>
      <c r="AJ1740">
        <v>86.903415022627996</v>
      </c>
      <c r="AK1740">
        <v>146.003719432721</v>
      </c>
      <c r="AL1740">
        <v>78.0025883030778</v>
      </c>
      <c r="AM1740">
        <v>86.416824498967799</v>
      </c>
      <c r="AN1740">
        <v>0.99999998381593602</v>
      </c>
    </row>
    <row r="1741" spans="1:40" x14ac:dyDescent="0.25">
      <c r="A1741" t="str">
        <f>"20190303170756121"</f>
        <v>20190303170756121</v>
      </c>
      <c r="B1741" t="str">
        <f>"1551604076114241"</f>
        <v>1551604076114241</v>
      </c>
      <c r="C1741" t="s">
        <v>40</v>
      </c>
      <c r="D1741">
        <v>4.3344680000000002</v>
      </c>
      <c r="E1741">
        <v>0.50231139999999996</v>
      </c>
      <c r="F1741" t="s">
        <v>72</v>
      </c>
      <c r="G1741">
        <v>-543.74839999999995</v>
      </c>
      <c r="H1741">
        <v>1.115038</v>
      </c>
      <c r="I1741">
        <v>294.55</v>
      </c>
      <c r="J1741">
        <v>-397.11770000000001</v>
      </c>
      <c r="K1741">
        <v>1.1208640000000001</v>
      </c>
      <c r="L1741">
        <v>284.83179999999999</v>
      </c>
      <c r="M1741">
        <v>-0.99982890000000002</v>
      </c>
      <c r="N1741">
        <v>-1.3432589999999999E-2</v>
      </c>
      <c r="O1741">
        <v>1.2728E-2</v>
      </c>
      <c r="P1741">
        <v>-0.97821599999999997</v>
      </c>
      <c r="Q1741">
        <v>0.1941407</v>
      </c>
      <c r="R1741">
        <v>7.3506580000000002E-2</v>
      </c>
      <c r="S1741">
        <v>-3.052063</v>
      </c>
      <c r="T1741">
        <v>-1.189709E-4</v>
      </c>
      <c r="U1741">
        <v>0.2018433</v>
      </c>
      <c r="V1741">
        <v>6.1123110000000001E-2</v>
      </c>
      <c r="W1741">
        <v>0.20725270000000001</v>
      </c>
      <c r="X1741">
        <v>0.97637609999999997</v>
      </c>
      <c r="Y1741">
        <v>5.3283610000000002E-2</v>
      </c>
      <c r="Z1741">
        <v>5.2962980000000005E-4</v>
      </c>
      <c r="AA1741">
        <v>0.99857929999999995</v>
      </c>
      <c r="AB1741">
        <v>38</v>
      </c>
      <c r="AC1741">
        <v>-146.630699999999</v>
      </c>
      <c r="AD1741">
        <v>-5.8259999999998799E-3</v>
      </c>
      <c r="AE1741">
        <v>9.7182000000000208</v>
      </c>
      <c r="AF1741">
        <v>7.8509289318899302</v>
      </c>
      <c r="AG1741">
        <v>-5.8259999999998799E-3</v>
      </c>
      <c r="AH1741">
        <v>146.74252430959399</v>
      </c>
      <c r="AI1741">
        <v>90.002271519412702</v>
      </c>
      <c r="AJ1741">
        <v>86.937515980030895</v>
      </c>
      <c r="AK1741">
        <v>146.952392154015</v>
      </c>
      <c r="AL1741">
        <v>78.0385981842999</v>
      </c>
      <c r="AM1741">
        <v>86.417843449881403</v>
      </c>
      <c r="AN1741">
        <v>1.0000000024422799</v>
      </c>
    </row>
    <row r="1742" spans="1:40" x14ac:dyDescent="0.25">
      <c r="A1742" t="str">
        <f>"20190303170756142"</f>
        <v>20190303170756142</v>
      </c>
      <c r="B1742" t="str">
        <f>"1551604076133758"</f>
        <v>1551604076133758</v>
      </c>
      <c r="C1742" t="s">
        <v>40</v>
      </c>
      <c r="D1742">
        <v>4.4823050000000002</v>
      </c>
      <c r="E1742">
        <v>0.50224769999999996</v>
      </c>
      <c r="F1742" t="s">
        <v>72</v>
      </c>
      <c r="G1742">
        <v>-544.42139999999995</v>
      </c>
      <c r="H1742">
        <v>1.0355449999999999</v>
      </c>
      <c r="I1742">
        <v>294.55</v>
      </c>
      <c r="J1742">
        <v>-397.48039999999997</v>
      </c>
      <c r="K1742">
        <v>1.120887</v>
      </c>
      <c r="L1742">
        <v>284.8365</v>
      </c>
      <c r="M1742">
        <v>-0.99982729999999997</v>
      </c>
      <c r="N1742">
        <v>-1.3459169999999999E-2</v>
      </c>
      <c r="O1742">
        <v>1.2825029999999999E-2</v>
      </c>
      <c r="P1742">
        <v>-0.97820280000000004</v>
      </c>
      <c r="Q1742">
        <v>0.19393679999999999</v>
      </c>
      <c r="R1742">
        <v>7.4217359999999996E-2</v>
      </c>
      <c r="S1742">
        <v>-3.0520320000000001</v>
      </c>
      <c r="T1742">
        <v>-1.7659660000000001E-3</v>
      </c>
      <c r="U1742">
        <v>0.20135500000000001</v>
      </c>
      <c r="V1742">
        <v>6.1731229999999998E-2</v>
      </c>
      <c r="W1742">
        <v>0.20707729999999999</v>
      </c>
      <c r="X1742">
        <v>0.97637499999999999</v>
      </c>
      <c r="Y1742">
        <v>5.3028020000000002E-2</v>
      </c>
      <c r="Z1742">
        <v>5.3763080000000004E-4</v>
      </c>
      <c r="AA1742">
        <v>0.99859290000000001</v>
      </c>
      <c r="AB1742">
        <v>38</v>
      </c>
      <c r="AC1742">
        <v>-146.94099999999901</v>
      </c>
      <c r="AD1742">
        <v>-8.5342000000000001E-2</v>
      </c>
      <c r="AE1742">
        <v>9.7134999999999998</v>
      </c>
      <c r="AF1742">
        <v>7.8280051476899102</v>
      </c>
      <c r="AG1742">
        <v>-8.5342000000000001E-2</v>
      </c>
      <c r="AH1742">
        <v>147.05345059586699</v>
      </c>
      <c r="AI1742">
        <v>90.033204406618395</v>
      </c>
      <c r="AJ1742">
        <v>86.952885315640899</v>
      </c>
      <c r="AK1742">
        <v>147.26167960471</v>
      </c>
      <c r="AL1742">
        <v>78.048870041087696</v>
      </c>
      <c r="AM1742">
        <v>86.382294331013</v>
      </c>
      <c r="AN1742">
        <v>0.9999999467788</v>
      </c>
    </row>
    <row r="1743" spans="1:40" x14ac:dyDescent="0.25">
      <c r="A1743" t="str">
        <f>"20190303170756164"</f>
        <v>20190303170756164</v>
      </c>
      <c r="B1743" t="str">
        <f>"1551604076154255"</f>
        <v>1551604076154255</v>
      </c>
      <c r="C1743" t="s">
        <v>40</v>
      </c>
      <c r="D1743">
        <v>4.3274059999999999</v>
      </c>
      <c r="E1743">
        <v>0.50221439999999995</v>
      </c>
      <c r="F1743" t="s">
        <v>72</v>
      </c>
      <c r="G1743">
        <v>-543.37649999999996</v>
      </c>
      <c r="H1743">
        <v>1.02017</v>
      </c>
      <c r="I1743">
        <v>294.55</v>
      </c>
      <c r="J1743">
        <v>-397.84719999999999</v>
      </c>
      <c r="K1743">
        <v>1.1209180000000001</v>
      </c>
      <c r="L1743">
        <v>284.84129999999999</v>
      </c>
      <c r="M1743">
        <v>-0.99982579999999999</v>
      </c>
      <c r="N1743">
        <v>-1.349181E-2</v>
      </c>
      <c r="O1743">
        <v>1.289822E-2</v>
      </c>
      <c r="P1743">
        <v>-0.97822880000000001</v>
      </c>
      <c r="Q1743">
        <v>0.19386900000000001</v>
      </c>
      <c r="R1743">
        <v>7.4049749999999998E-2</v>
      </c>
      <c r="S1743">
        <v>-3.0518489999999998</v>
      </c>
      <c r="T1743">
        <v>-2.1049979999999999E-3</v>
      </c>
      <c r="U1743">
        <v>0.20318600000000001</v>
      </c>
      <c r="V1743">
        <v>6.14817E-2</v>
      </c>
      <c r="W1743">
        <v>0.20704410000000001</v>
      </c>
      <c r="X1743">
        <v>0.97639779999999998</v>
      </c>
      <c r="Y1743">
        <v>5.3555289999999998E-2</v>
      </c>
      <c r="Z1743">
        <v>5.4511830000000003E-4</v>
      </c>
      <c r="AA1743">
        <v>0.99856469999999997</v>
      </c>
      <c r="AB1743">
        <v>38</v>
      </c>
      <c r="AC1743">
        <v>-145.52929999999901</v>
      </c>
      <c r="AD1743">
        <v>-0.100748</v>
      </c>
      <c r="AE1743">
        <v>9.7087000000000199</v>
      </c>
      <c r="AF1743">
        <v>7.8306487239495599</v>
      </c>
      <c r="AG1743">
        <v>-0.100748</v>
      </c>
      <c r="AH1743">
        <v>145.64235872313199</v>
      </c>
      <c r="AI1743">
        <v>90.039577145395796</v>
      </c>
      <c r="AJ1743">
        <v>86.922382051570395</v>
      </c>
      <c r="AK1743">
        <v>145.85275405022301</v>
      </c>
      <c r="AL1743">
        <v>78.050814575234</v>
      </c>
      <c r="AM1743">
        <v>86.396963135887304</v>
      </c>
      <c r="AN1743">
        <v>0.99999996131226898</v>
      </c>
    </row>
    <row r="1744" spans="1:40" x14ac:dyDescent="0.25">
      <c r="A1744" t="str">
        <f>"20190303170756187"</f>
        <v>20190303170756187</v>
      </c>
      <c r="B1744" t="str">
        <f>"1551604076174750"</f>
        <v>1551604076174750</v>
      </c>
      <c r="C1744" t="s">
        <v>40</v>
      </c>
      <c r="D1744">
        <v>4.3287750000000003</v>
      </c>
      <c r="E1744">
        <v>0.50215180000000004</v>
      </c>
      <c r="F1744" t="s">
        <v>72</v>
      </c>
      <c r="G1744">
        <v>-544.15470000000005</v>
      </c>
      <c r="H1744">
        <v>1.0224489999999999</v>
      </c>
      <c r="I1744">
        <v>294.55</v>
      </c>
      <c r="J1744">
        <v>-398.22820000000002</v>
      </c>
      <c r="K1744">
        <v>1.1209519999999999</v>
      </c>
      <c r="L1744">
        <v>284.84629999999999</v>
      </c>
      <c r="M1744">
        <v>-0.99982470000000001</v>
      </c>
      <c r="N1744">
        <v>-1.352943E-2</v>
      </c>
      <c r="O1744">
        <v>1.295018E-2</v>
      </c>
      <c r="P1744">
        <v>-0.97815490000000005</v>
      </c>
      <c r="Q1744">
        <v>0.1943792</v>
      </c>
      <c r="R1744">
        <v>7.3687920000000004E-2</v>
      </c>
      <c r="S1744">
        <v>-3.0518489999999998</v>
      </c>
      <c r="T1744">
        <v>-2.0521879999999999E-3</v>
      </c>
      <c r="U1744">
        <v>0.20251459999999999</v>
      </c>
      <c r="V1744">
        <v>6.105899E-2</v>
      </c>
      <c r="W1744">
        <v>0.2075941</v>
      </c>
      <c r="X1744">
        <v>0.97630760000000005</v>
      </c>
      <c r="Y1744">
        <v>5.3284699999999997E-2</v>
      </c>
      <c r="Z1744">
        <v>5.451144E-4</v>
      </c>
      <c r="AA1744">
        <v>0.9985792</v>
      </c>
      <c r="AB1744">
        <v>38</v>
      </c>
      <c r="AC1744">
        <v>-145.9265</v>
      </c>
      <c r="AD1744">
        <v>-9.8502999999999993E-2</v>
      </c>
      <c r="AE1744">
        <v>9.7037000000000209</v>
      </c>
      <c r="AF1744">
        <v>7.8129353332304996</v>
      </c>
      <c r="AG1744">
        <v>-9.8502999999999993E-2</v>
      </c>
      <c r="AH1744">
        <v>146.039870692047</v>
      </c>
      <c r="AI1744">
        <v>90.038590461652603</v>
      </c>
      <c r="AJ1744">
        <v>86.937672719815893</v>
      </c>
      <c r="AK1744">
        <v>146.24874527021399</v>
      </c>
      <c r="AL1744">
        <v>78.018602740882301</v>
      </c>
      <c r="AM1744">
        <v>86.421341054676304</v>
      </c>
      <c r="AN1744">
        <v>1.0000000202161901</v>
      </c>
    </row>
    <row r="1745" spans="1:40" x14ac:dyDescent="0.25">
      <c r="A1745" t="str">
        <f>"20190303170756211"</f>
        <v>20190303170756211</v>
      </c>
      <c r="B1745" t="str">
        <f>"1551604076204029"</f>
        <v>1551604076204029</v>
      </c>
      <c r="C1745" t="s">
        <v>40</v>
      </c>
      <c r="D1745">
        <v>4.3058540000000001</v>
      </c>
      <c r="E1745">
        <v>0.47513300000000003</v>
      </c>
      <c r="F1745" t="s">
        <v>72</v>
      </c>
      <c r="G1745">
        <v>-545.64580000000001</v>
      </c>
      <c r="H1745">
        <v>1.0934870000000001</v>
      </c>
      <c r="I1745">
        <v>294.55</v>
      </c>
      <c r="J1745">
        <v>-398.64319999999998</v>
      </c>
      <c r="K1745">
        <v>1.120989</v>
      </c>
      <c r="L1745">
        <v>284.85169999999999</v>
      </c>
      <c r="M1745">
        <v>-0.99982369999999998</v>
      </c>
      <c r="N1745">
        <v>-1.357066E-2</v>
      </c>
      <c r="O1745">
        <v>1.298259E-2</v>
      </c>
      <c r="P1745">
        <v>-0.97801450000000001</v>
      </c>
      <c r="Q1745">
        <v>0.1953645</v>
      </c>
      <c r="R1745">
        <v>7.2940569999999996E-2</v>
      </c>
      <c r="S1745">
        <v>-3.0520019999999999</v>
      </c>
      <c r="T1745">
        <v>-5.6684019999999995E-4</v>
      </c>
      <c r="U1745">
        <v>0.2008972</v>
      </c>
      <c r="V1745">
        <v>6.0271459999999999E-2</v>
      </c>
      <c r="W1745">
        <v>0.20862020000000001</v>
      </c>
      <c r="X1745">
        <v>0.97613780000000006</v>
      </c>
      <c r="Y1745">
        <v>5.2722409999999997E-2</v>
      </c>
      <c r="Z1745">
        <v>5.3664730000000001E-4</v>
      </c>
      <c r="AA1745">
        <v>0.99860910000000003</v>
      </c>
      <c r="AB1745">
        <v>38</v>
      </c>
      <c r="AC1745">
        <v>-147.0026</v>
      </c>
      <c r="AD1745">
        <v>-2.7501999999999902E-2</v>
      </c>
      <c r="AE1745">
        <v>9.6983000000000104</v>
      </c>
      <c r="AF1745">
        <v>7.7888321219494099</v>
      </c>
      <c r="AG1745">
        <v>-2.7501999999999902E-2</v>
      </c>
      <c r="AH1745">
        <v>147.11612423900399</v>
      </c>
      <c r="AI1745">
        <v>90.010695936512803</v>
      </c>
      <c r="AJ1745">
        <v>86.969394437529402</v>
      </c>
      <c r="AK1745">
        <v>147.322166265942</v>
      </c>
      <c r="AL1745">
        <v>77.958495560501703</v>
      </c>
      <c r="AM1745">
        <v>86.466767486117107</v>
      </c>
      <c r="AN1745">
        <v>1.0000000206637001</v>
      </c>
    </row>
    <row r="1746" spans="1:40" x14ac:dyDescent="0.25">
      <c r="A1746" t="str">
        <f>"20190303170756233"</f>
        <v>20190303170756233</v>
      </c>
      <c r="B1746" t="str">
        <f>"1551604076224526"</f>
        <v>1551604076224526</v>
      </c>
      <c r="C1746" t="s">
        <v>40</v>
      </c>
      <c r="D1746">
        <v>4.3397949999999996</v>
      </c>
      <c r="E1746">
        <v>0.46900399999999998</v>
      </c>
      <c r="F1746" t="s">
        <v>45</v>
      </c>
      <c r="G1746">
        <v>0</v>
      </c>
      <c r="H1746">
        <v>0</v>
      </c>
      <c r="I1746">
        <v>0</v>
      </c>
      <c r="J1746">
        <v>-398.99709999999999</v>
      </c>
      <c r="K1746">
        <v>1.121014</v>
      </c>
      <c r="L1746">
        <v>284.85629999999998</v>
      </c>
      <c r="M1746">
        <v>-0.99982320000000002</v>
      </c>
      <c r="N1746">
        <v>-1.360397E-2</v>
      </c>
      <c r="O1746">
        <v>1.299603E-2</v>
      </c>
      <c r="P1746">
        <v>-0.97795949999999998</v>
      </c>
      <c r="Q1746">
        <v>0.19601399999999999</v>
      </c>
      <c r="R1746">
        <v>7.1931999999999996E-2</v>
      </c>
      <c r="S1746">
        <v>-3.0685120000000001</v>
      </c>
      <c r="T1746">
        <v>8.6557870000000001E-4</v>
      </c>
      <c r="U1746">
        <v>-1.663208E-2</v>
      </c>
      <c r="V1746">
        <v>5.9243999999999998E-2</v>
      </c>
      <c r="W1746">
        <v>0.20930380000000001</v>
      </c>
      <c r="X1746">
        <v>0.97605430000000004</v>
      </c>
      <c r="Y1746">
        <v>-1.8415529999999999E-2</v>
      </c>
      <c r="Z1746" s="1">
        <v>5.7800989999999997E-5</v>
      </c>
      <c r="AA1746">
        <v>0.99983040000000001</v>
      </c>
      <c r="AB1746">
        <v>38</v>
      </c>
      <c r="AC1746">
        <v>-3.0685120000000001</v>
      </c>
      <c r="AD1746">
        <v>8.6557870000000001E-4</v>
      </c>
      <c r="AE1746">
        <v>-1.663208E-2</v>
      </c>
      <c r="AF1746">
        <v>-5.6512827367190002E-2</v>
      </c>
      <c r="AG1746">
        <v>8.6557870000000001E-4</v>
      </c>
      <c r="AH1746">
        <v>3.0680363951751399</v>
      </c>
      <c r="AI1746">
        <v>89.983838003409701</v>
      </c>
      <c r="AJ1746">
        <v>91.055261395684397</v>
      </c>
      <c r="AK1746">
        <v>3.0685569525434602</v>
      </c>
      <c r="AL1746">
        <v>77.918443287107095</v>
      </c>
      <c r="AM1746">
        <v>86.526554119676604</v>
      </c>
      <c r="AN1746">
        <v>0.99999996438946404</v>
      </c>
    </row>
    <row r="1747" spans="1:40" x14ac:dyDescent="0.25">
      <c r="A1747" t="str">
        <f>"20190303170756253"</f>
        <v>20190303170756253</v>
      </c>
      <c r="B1747" t="str">
        <f>"1551604076244046"</f>
        <v>1551604076244046</v>
      </c>
      <c r="C1747" t="s">
        <v>40</v>
      </c>
      <c r="D1747">
        <v>4.3030650000000001</v>
      </c>
      <c r="E1747">
        <v>0.46651280000000001</v>
      </c>
      <c r="F1747" t="s">
        <v>45</v>
      </c>
      <c r="G1747">
        <v>0</v>
      </c>
      <c r="H1747">
        <v>0</v>
      </c>
      <c r="I1747">
        <v>0</v>
      </c>
      <c r="J1747">
        <v>-399.34989999999999</v>
      </c>
      <c r="K1747">
        <v>1.1210230000000001</v>
      </c>
      <c r="L1747">
        <v>284.86090000000002</v>
      </c>
      <c r="M1747">
        <v>-0.99982260000000001</v>
      </c>
      <c r="N1747">
        <v>-1.363411E-2</v>
      </c>
      <c r="O1747">
        <v>1.3000380000000001E-2</v>
      </c>
      <c r="P1747">
        <v>-0.97813170000000005</v>
      </c>
      <c r="Q1747">
        <v>0.19546240000000001</v>
      </c>
      <c r="R1747">
        <v>7.1087040000000004E-2</v>
      </c>
      <c r="S1747">
        <v>-3.0733950000000001</v>
      </c>
      <c r="T1747">
        <v>-3.797889E-3</v>
      </c>
      <c r="U1747">
        <v>-6.8908689999999995E-2</v>
      </c>
      <c r="V1747">
        <v>5.8387719999999997E-2</v>
      </c>
      <c r="W1747">
        <v>0.20878479999999999</v>
      </c>
      <c r="X1747">
        <v>0.97621709999999995</v>
      </c>
      <c r="Y1747">
        <v>-3.5410499999999998E-2</v>
      </c>
      <c r="Z1747">
        <v>-1.021448E-4</v>
      </c>
      <c r="AA1747">
        <v>0.99937279999999995</v>
      </c>
      <c r="AB1747">
        <v>38</v>
      </c>
      <c r="AC1747">
        <v>-3.0733950000000001</v>
      </c>
      <c r="AD1747">
        <v>-3.797889E-3</v>
      </c>
      <c r="AE1747">
        <v>-6.8908689999999995E-2</v>
      </c>
      <c r="AF1747">
        <v>-0.108861713824314</v>
      </c>
      <c r="AG1747">
        <v>-3.797889E-3</v>
      </c>
      <c r="AH1747">
        <v>3.07223461229608</v>
      </c>
      <c r="AI1747">
        <v>90.070784444536798</v>
      </c>
      <c r="AJ1747">
        <v>92.029372439870997</v>
      </c>
      <c r="AK1747">
        <v>3.0741650589530298</v>
      </c>
      <c r="AL1747">
        <v>77.948852345136402</v>
      </c>
      <c r="AM1747">
        <v>86.577206660021005</v>
      </c>
      <c r="AN1747">
        <v>1.00000002244512</v>
      </c>
    </row>
    <row r="1748" spans="1:40" x14ac:dyDescent="0.25">
      <c r="A1748" t="str">
        <f>"20190303170756276"</f>
        <v>20190303170756276</v>
      </c>
      <c r="B1748" t="str">
        <f>"1551604076264543"</f>
        <v>1551604076264543</v>
      </c>
      <c r="C1748" t="s">
        <v>40</v>
      </c>
      <c r="D1748">
        <v>4.2982809999999896</v>
      </c>
      <c r="E1748">
        <v>0.4656092</v>
      </c>
      <c r="F1748" t="s">
        <v>49</v>
      </c>
      <c r="G1748">
        <v>-914.47680000000003</v>
      </c>
      <c r="H1748">
        <v>-0.1</v>
      </c>
      <c r="I1748">
        <v>269.66269999999997</v>
      </c>
      <c r="J1748">
        <v>-399.72280000000001</v>
      </c>
      <c r="K1748">
        <v>1.1210279999999999</v>
      </c>
      <c r="L1748">
        <v>284.8657</v>
      </c>
      <c r="M1748">
        <v>-0.99982230000000005</v>
      </c>
      <c r="N1748">
        <v>-1.366008E-2</v>
      </c>
      <c r="O1748">
        <v>1.299925E-2</v>
      </c>
      <c r="P1748">
        <v>-0.97837669999999999</v>
      </c>
      <c r="Q1748">
        <v>0.19444249999999999</v>
      </c>
      <c r="R1748">
        <v>7.0507459999999994E-2</v>
      </c>
      <c r="S1748">
        <v>-3.0751650000000001</v>
      </c>
      <c r="T1748">
        <v>-7.2891709999999997E-3</v>
      </c>
      <c r="U1748">
        <v>-9.0728760000000006E-2</v>
      </c>
      <c r="V1748">
        <v>5.7802369999999999E-2</v>
      </c>
      <c r="W1748">
        <v>0.20779510000000001</v>
      </c>
      <c r="X1748">
        <v>0.97646299999999997</v>
      </c>
      <c r="Y1748">
        <v>-4.248155E-2</v>
      </c>
      <c r="Z1748">
        <v>-1.9383669999999999E-4</v>
      </c>
      <c r="AA1748">
        <v>0.99909720000000002</v>
      </c>
      <c r="AB1748">
        <v>37</v>
      </c>
      <c r="AC1748">
        <v>-514.75400000000002</v>
      </c>
      <c r="AD1748">
        <v>-1.221028</v>
      </c>
      <c r="AE1748">
        <v>-15.202999999999999</v>
      </c>
      <c r="AF1748">
        <v>-21.893631741242601</v>
      </c>
      <c r="AG1748">
        <v>-1.221028</v>
      </c>
      <c r="AH1748">
        <v>514.509959884713</v>
      </c>
      <c r="AI1748">
        <v>90.135850368574395</v>
      </c>
      <c r="AJ1748">
        <v>92.4366027712706</v>
      </c>
      <c r="AK1748">
        <v>514.97701001187102</v>
      </c>
      <c r="AL1748">
        <v>78.006828753770705</v>
      </c>
      <c r="AM1748">
        <v>86.612291913731298</v>
      </c>
      <c r="AN1748">
        <v>0.99999995396531205</v>
      </c>
    </row>
    <row r="1749" spans="1:40" x14ac:dyDescent="0.25">
      <c r="A1749" t="str">
        <f>"20190303170756298"</f>
        <v>20190303170756298</v>
      </c>
      <c r="B1749" t="str">
        <f>"1551604076293822"</f>
        <v>1551604076293822</v>
      </c>
      <c r="C1749" t="s">
        <v>40</v>
      </c>
      <c r="D1749">
        <v>4.296754</v>
      </c>
      <c r="E1749">
        <v>0.46501429999999999</v>
      </c>
      <c r="F1749" t="s">
        <v>49</v>
      </c>
      <c r="G1749">
        <v>-722.83069999999998</v>
      </c>
      <c r="H1749">
        <v>-0.1</v>
      </c>
      <c r="I1749">
        <v>274.46260000000001</v>
      </c>
      <c r="J1749">
        <v>-400.10390000000001</v>
      </c>
      <c r="K1749">
        <v>1.121035</v>
      </c>
      <c r="L1749">
        <v>284.8707</v>
      </c>
      <c r="M1749">
        <v>-0.99982210000000005</v>
      </c>
      <c r="N1749">
        <v>-1.3672439999999999E-2</v>
      </c>
      <c r="O1749">
        <v>1.2995670000000001E-2</v>
      </c>
      <c r="P1749">
        <v>-0.97842450000000003</v>
      </c>
      <c r="Q1749">
        <v>0.1943124</v>
      </c>
      <c r="R1749">
        <v>7.0203860000000007E-2</v>
      </c>
      <c r="S1749">
        <v>-3.075745</v>
      </c>
      <c r="T1749">
        <v>-1.162326E-2</v>
      </c>
      <c r="U1749">
        <v>-9.9029539999999999E-2</v>
      </c>
      <c r="V1749">
        <v>5.7498779999999999E-2</v>
      </c>
      <c r="W1749">
        <v>0.20767849999999999</v>
      </c>
      <c r="X1749">
        <v>0.97650579999999998</v>
      </c>
      <c r="Y1749">
        <v>-4.5165579999999997E-2</v>
      </c>
      <c r="Z1749">
        <v>-2.6563779999999999E-4</v>
      </c>
      <c r="AA1749">
        <v>0.99897950000000002</v>
      </c>
      <c r="AB1749">
        <v>37</v>
      </c>
      <c r="AC1749">
        <v>-322.72680000000003</v>
      </c>
      <c r="AD1749">
        <v>-1.2210350000000001</v>
      </c>
      <c r="AE1749">
        <v>-10.4080999999999</v>
      </c>
      <c r="AF1749">
        <v>-14.601455041691199</v>
      </c>
      <c r="AG1749">
        <v>-1.2210350000000001</v>
      </c>
      <c r="AH1749">
        <v>322.55965604137799</v>
      </c>
      <c r="AI1749">
        <v>90.216667672157001</v>
      </c>
      <c r="AJ1749">
        <v>92.591864778424494</v>
      </c>
      <c r="AK1749">
        <v>322.89228098754199</v>
      </c>
      <c r="AL1749">
        <v>78.013659275876094</v>
      </c>
      <c r="AM1749">
        <v>86.630191106085704</v>
      </c>
      <c r="AN1749">
        <v>1.0000000232486801</v>
      </c>
    </row>
    <row r="1750" spans="1:40" x14ac:dyDescent="0.25">
      <c r="A1750" t="str">
        <f>"20190303170756321"</f>
        <v>20190303170756321</v>
      </c>
      <c r="B1750" t="str">
        <f>"1551604076314318"</f>
        <v>1551604076314318</v>
      </c>
      <c r="C1750" t="s">
        <v>40</v>
      </c>
      <c r="D1750">
        <v>4.2658139999999998</v>
      </c>
      <c r="E1750">
        <v>0.46455600000000002</v>
      </c>
      <c r="F1750" t="s">
        <v>49</v>
      </c>
      <c r="G1750">
        <v>-664.55650000000003</v>
      </c>
      <c r="H1750">
        <v>-0.1</v>
      </c>
      <c r="I1750">
        <v>275.97500000000002</v>
      </c>
      <c r="J1750">
        <v>-400.48410000000001</v>
      </c>
      <c r="K1750">
        <v>1.1210340000000001</v>
      </c>
      <c r="L1750">
        <v>284.87560000000002</v>
      </c>
      <c r="M1750">
        <v>-0.99982230000000005</v>
      </c>
      <c r="N1750">
        <v>-1.366648E-2</v>
      </c>
      <c r="O1750">
        <v>1.2992480000000001E-2</v>
      </c>
      <c r="P1750">
        <v>-0.97838689999999995</v>
      </c>
      <c r="Q1750">
        <v>0.19459580000000001</v>
      </c>
      <c r="R1750">
        <v>6.9939989999999994E-2</v>
      </c>
      <c r="S1750">
        <v>-3.0764469999999999</v>
      </c>
      <c r="T1750">
        <v>-1.4204619999999999E-2</v>
      </c>
      <c r="U1750">
        <v>-0.1034851</v>
      </c>
      <c r="V1750">
        <v>5.7236219999999997E-2</v>
      </c>
      <c r="W1750">
        <v>0.2079561</v>
      </c>
      <c r="X1750">
        <v>0.9764621</v>
      </c>
      <c r="Y1750">
        <v>-4.6599870000000002E-2</v>
      </c>
      <c r="Z1750">
        <v>-3.0854800000000001E-4</v>
      </c>
      <c r="AA1750">
        <v>0.99891359999999996</v>
      </c>
      <c r="AB1750">
        <v>37</v>
      </c>
      <c r="AC1750">
        <v>-264.07240000000002</v>
      </c>
      <c r="AD1750">
        <v>-1.221034</v>
      </c>
      <c r="AE1750">
        <v>-8.9005999999999901</v>
      </c>
      <c r="AF1750">
        <v>-12.330860728070901</v>
      </c>
      <c r="AG1750">
        <v>-1.221034</v>
      </c>
      <c r="AH1750">
        <v>263.92881851606001</v>
      </c>
      <c r="AI1750">
        <v>90.2647811186647</v>
      </c>
      <c r="AJ1750">
        <v>92.674936752309193</v>
      </c>
      <c r="AK1750">
        <v>264.21953427710002</v>
      </c>
      <c r="AL1750">
        <v>77.9973984229877</v>
      </c>
      <c r="AM1750">
        <v>86.645393859605406</v>
      </c>
      <c r="AN1750">
        <v>0.99999997857175404</v>
      </c>
    </row>
    <row r="1751" spans="1:40" x14ac:dyDescent="0.25">
      <c r="A1751" t="str">
        <f>"20190303170756342"</f>
        <v>20190303170756342</v>
      </c>
      <c r="B1751" t="str">
        <f>"1551604076333838"</f>
        <v>1551604076333838</v>
      </c>
      <c r="C1751" t="s">
        <v>40</v>
      </c>
      <c r="D1751">
        <v>4.3040399999999996</v>
      </c>
      <c r="E1751">
        <v>0.4643005</v>
      </c>
      <c r="F1751" t="s">
        <v>49</v>
      </c>
      <c r="G1751">
        <v>-663.2287</v>
      </c>
      <c r="H1751">
        <v>-0.1</v>
      </c>
      <c r="I1751">
        <v>275.64769999999999</v>
      </c>
      <c r="J1751">
        <v>-400.84010000000001</v>
      </c>
      <c r="K1751">
        <v>1.121027</v>
      </c>
      <c r="L1751">
        <v>284.8802</v>
      </c>
      <c r="M1751">
        <v>-0.9998224</v>
      </c>
      <c r="N1751">
        <v>-1.364136E-2</v>
      </c>
      <c r="O1751">
        <v>1.299092E-2</v>
      </c>
      <c r="P1751">
        <v>-0.97820399999999996</v>
      </c>
      <c r="Q1751">
        <v>0.19537489999999999</v>
      </c>
      <c r="R1751">
        <v>7.0323999999999998E-2</v>
      </c>
      <c r="S1751">
        <v>-3.0768430000000002</v>
      </c>
      <c r="T1751">
        <v>-1.42988E-2</v>
      </c>
      <c r="U1751">
        <v>-0.1080627</v>
      </c>
      <c r="V1751">
        <v>5.7622340000000001E-2</v>
      </c>
      <c r="W1751">
        <v>0.20870830000000001</v>
      </c>
      <c r="X1751">
        <v>0.97627889999999995</v>
      </c>
      <c r="Y1751">
        <v>-4.8078259999999998E-2</v>
      </c>
      <c r="Z1751">
        <v>-3.2292209999999999E-4</v>
      </c>
      <c r="AA1751">
        <v>0.9988435</v>
      </c>
      <c r="AB1751">
        <v>37</v>
      </c>
      <c r="AC1751">
        <v>-262.3886</v>
      </c>
      <c r="AD1751">
        <v>-1.2210270000000001</v>
      </c>
      <c r="AE1751">
        <v>-9.2325000000000106</v>
      </c>
      <c r="AF1751">
        <v>-12.640434424897199</v>
      </c>
      <c r="AG1751">
        <v>-1.2210270000000001</v>
      </c>
      <c r="AH1751">
        <v>262.24083237860799</v>
      </c>
      <c r="AI1751">
        <v>90.266465212995698</v>
      </c>
      <c r="AJ1751">
        <v>92.7596138104348</v>
      </c>
      <c r="AK1751">
        <v>262.54813969253303</v>
      </c>
      <c r="AL1751">
        <v>77.953333806666294</v>
      </c>
      <c r="AM1751">
        <v>86.622183364388306</v>
      </c>
      <c r="AN1751">
        <v>0.999999989570587</v>
      </c>
    </row>
    <row r="1752" spans="1:40" x14ac:dyDescent="0.25">
      <c r="A1752" t="str">
        <f>"20190303170756368"</f>
        <v>20190303170756368</v>
      </c>
      <c r="B1752" t="str">
        <f>"1551604076364094"</f>
        <v>1551604076364094</v>
      </c>
      <c r="C1752" t="s">
        <v>40</v>
      </c>
      <c r="D1752">
        <v>4.2564919999999997</v>
      </c>
      <c r="E1752">
        <v>0.4643544</v>
      </c>
      <c r="F1752" t="s">
        <v>49</v>
      </c>
      <c r="G1752">
        <v>-755.51559999999995</v>
      </c>
      <c r="H1752">
        <v>-0.1</v>
      </c>
      <c r="I1752">
        <v>272.36680000000001</v>
      </c>
      <c r="J1752">
        <v>-401.22269999999997</v>
      </c>
      <c r="K1752">
        <v>1.1210169999999999</v>
      </c>
      <c r="L1752">
        <v>284.8852</v>
      </c>
      <c r="M1752">
        <v>-0.99982320000000002</v>
      </c>
      <c r="N1752">
        <v>-1.359577E-2</v>
      </c>
      <c r="O1752">
        <v>1.2990349999999999E-2</v>
      </c>
      <c r="P1752">
        <v>-0.97819469999999997</v>
      </c>
      <c r="Q1752">
        <v>0.19525390000000001</v>
      </c>
      <c r="R1752">
        <v>7.0790640000000002E-2</v>
      </c>
      <c r="S1752">
        <v>-3.076721</v>
      </c>
      <c r="T1752">
        <v>-1.05921E-2</v>
      </c>
      <c r="U1752">
        <v>-0.10855099999999999</v>
      </c>
      <c r="V1752">
        <v>5.8088069999999999E-2</v>
      </c>
      <c r="W1752">
        <v>0.2085437</v>
      </c>
      <c r="X1752">
        <v>0.97628649999999995</v>
      </c>
      <c r="Y1752">
        <v>-4.8237879999999997E-2</v>
      </c>
      <c r="Z1752">
        <v>-2.791914E-4</v>
      </c>
      <c r="AA1752">
        <v>0.9988359</v>
      </c>
      <c r="AB1752">
        <v>37</v>
      </c>
      <c r="AC1752">
        <v>-354.29289999999997</v>
      </c>
      <c r="AD1752">
        <v>-1.221017</v>
      </c>
      <c r="AE1752">
        <v>-12.5183999999999</v>
      </c>
      <c r="AF1752">
        <v>-17.119954577740799</v>
      </c>
      <c r="AG1752">
        <v>-1.221017</v>
      </c>
      <c r="AH1752">
        <v>354.09616599485099</v>
      </c>
      <c r="AI1752">
        <v>90.197339670584796</v>
      </c>
      <c r="AJ1752">
        <v>92.767999210308005</v>
      </c>
      <c r="AK1752">
        <v>354.511887670232</v>
      </c>
      <c r="AL1752">
        <v>77.962977186350599</v>
      </c>
      <c r="AM1752">
        <v>86.594972736556102</v>
      </c>
      <c r="AN1752">
        <v>1.0000000143841301</v>
      </c>
    </row>
    <row r="1753" spans="1:40" x14ac:dyDescent="0.25">
      <c r="A1753" t="str">
        <f>"20190303170756388"</f>
        <v>20190303170756388</v>
      </c>
      <c r="B1753" t="str">
        <f>"1551604076384591"</f>
        <v>1551604076384591</v>
      </c>
      <c r="C1753" t="s">
        <v>40</v>
      </c>
      <c r="D1753">
        <v>4.2466109999999997</v>
      </c>
      <c r="E1753">
        <v>0.46428779999999997</v>
      </c>
      <c r="F1753" t="s">
        <v>49</v>
      </c>
      <c r="G1753">
        <v>-770.87789999999995</v>
      </c>
      <c r="H1753">
        <v>-0.1</v>
      </c>
      <c r="I1753">
        <v>271.99329999999998</v>
      </c>
      <c r="J1753">
        <v>-401.6028</v>
      </c>
      <c r="K1753">
        <v>1.121008</v>
      </c>
      <c r="L1753">
        <v>284.89010000000002</v>
      </c>
      <c r="M1753">
        <v>-0.99982409999999999</v>
      </c>
      <c r="N1753">
        <v>-1.353681E-2</v>
      </c>
      <c r="O1753">
        <v>1.299118E-2</v>
      </c>
      <c r="P1753">
        <v>-0.97834270000000001</v>
      </c>
      <c r="Q1753">
        <v>0.19465180000000001</v>
      </c>
      <c r="R1753">
        <v>7.0402729999999997E-2</v>
      </c>
      <c r="S1753">
        <v>-3.07666</v>
      </c>
      <c r="T1753">
        <v>-1.0162590000000001E-2</v>
      </c>
      <c r="U1753">
        <v>-0.1072998</v>
      </c>
      <c r="V1753">
        <v>5.7695870000000003E-2</v>
      </c>
      <c r="W1753">
        <v>0.20788609999999999</v>
      </c>
      <c r="X1753">
        <v>0.97645000000000004</v>
      </c>
      <c r="Y1753">
        <v>-4.7833750000000001E-2</v>
      </c>
      <c r="Z1753">
        <v>-2.6994289999999999E-4</v>
      </c>
      <c r="AA1753">
        <v>0.9988553</v>
      </c>
      <c r="AB1753">
        <v>37</v>
      </c>
      <c r="AC1753">
        <v>-369.27510000000001</v>
      </c>
      <c r="AD1753">
        <v>-1.2210080000000001</v>
      </c>
      <c r="AE1753">
        <v>-12.896800000000001</v>
      </c>
      <c r="AF1753">
        <v>-17.693276554149602</v>
      </c>
      <c r="AG1753">
        <v>-1.2210080000000001</v>
      </c>
      <c r="AH1753">
        <v>369.07234144919897</v>
      </c>
      <c r="AI1753">
        <v>90.189334422451594</v>
      </c>
      <c r="AJ1753">
        <v>92.744650349913499</v>
      </c>
      <c r="AK1753">
        <v>369.49822207765999</v>
      </c>
      <c r="AL1753">
        <v>78.001499281533</v>
      </c>
      <c r="AM1753">
        <v>86.618474302901006</v>
      </c>
      <c r="AN1753">
        <v>1.00000002324413</v>
      </c>
    </row>
    <row r="1754" spans="1:40" x14ac:dyDescent="0.25">
      <c r="A1754" t="str">
        <f>"20190303170756411"</f>
        <v>20190303170756411</v>
      </c>
      <c r="B1754" t="str">
        <f>"1551604076404110"</f>
        <v>1551604076404110</v>
      </c>
      <c r="C1754" t="s">
        <v>40</v>
      </c>
      <c r="D1754">
        <v>4.2554530000000002</v>
      </c>
      <c r="E1754">
        <v>0.4641536</v>
      </c>
      <c r="F1754" t="s">
        <v>49</v>
      </c>
      <c r="G1754">
        <v>-691.25229999999999</v>
      </c>
      <c r="H1754">
        <v>-0.1</v>
      </c>
      <c r="I1754">
        <v>274.65410000000003</v>
      </c>
      <c r="J1754">
        <v>-401.98149999999998</v>
      </c>
      <c r="K1754">
        <v>1.120995</v>
      </c>
      <c r="L1754">
        <v>284.89499999999998</v>
      </c>
      <c r="M1754">
        <v>-0.99982499999999996</v>
      </c>
      <c r="N1754">
        <v>-1.3468259999999999E-2</v>
      </c>
      <c r="O1754">
        <v>1.2991330000000001E-2</v>
      </c>
      <c r="P1754">
        <v>-0.97850199999999998</v>
      </c>
      <c r="Q1754">
        <v>0.19423260000000001</v>
      </c>
      <c r="R1754">
        <v>6.9338960000000005E-2</v>
      </c>
      <c r="S1754">
        <v>-3.0768430000000002</v>
      </c>
      <c r="T1754">
        <v>-1.297033E-2</v>
      </c>
      <c r="U1754">
        <v>-0.1087341</v>
      </c>
      <c r="V1754">
        <v>5.662942E-2</v>
      </c>
      <c r="W1754">
        <v>0.20740239999999999</v>
      </c>
      <c r="X1754">
        <v>0.97661529999999996</v>
      </c>
      <c r="Y1754">
        <v>-4.8296529999999997E-2</v>
      </c>
      <c r="Z1754">
        <v>-3.0695130000000002E-4</v>
      </c>
      <c r="AA1754">
        <v>0.99883299999999997</v>
      </c>
      <c r="AB1754">
        <v>37</v>
      </c>
      <c r="AC1754">
        <v>-289.27080000000001</v>
      </c>
      <c r="AD1754">
        <v>-1.2209950000000001</v>
      </c>
      <c r="AE1754">
        <v>-10.2408999999999</v>
      </c>
      <c r="AF1754">
        <v>-13.9981394556862</v>
      </c>
      <c r="AG1754">
        <v>-1.2209950000000001</v>
      </c>
      <c r="AH1754">
        <v>289.10818438645202</v>
      </c>
      <c r="AI1754">
        <v>90.241693563673394</v>
      </c>
      <c r="AJ1754">
        <v>92.772001933054796</v>
      </c>
      <c r="AK1754">
        <v>289.449444663902</v>
      </c>
      <c r="AL1754">
        <v>78.029831020776001</v>
      </c>
      <c r="AM1754">
        <v>86.681397879671806</v>
      </c>
      <c r="AN1754">
        <v>1.00000004546469</v>
      </c>
    </row>
    <row r="1755" spans="1:40" x14ac:dyDescent="0.25">
      <c r="A1755" t="str">
        <f>"20190303170756433"</f>
        <v>20190303170756433</v>
      </c>
      <c r="B1755" t="str">
        <f>"1551604076424606"</f>
        <v>1551604076424606</v>
      </c>
      <c r="C1755" t="s">
        <v>40</v>
      </c>
      <c r="D1755">
        <v>4.2644339999999996</v>
      </c>
      <c r="E1755">
        <v>0.46413270000000001</v>
      </c>
      <c r="F1755" t="s">
        <v>49</v>
      </c>
      <c r="G1755">
        <v>-658.96709999999996</v>
      </c>
      <c r="H1755">
        <v>-0.1</v>
      </c>
      <c r="I1755">
        <v>275.57830000000001</v>
      </c>
      <c r="J1755">
        <v>-402.3535</v>
      </c>
      <c r="K1755">
        <v>1.1209800000000001</v>
      </c>
      <c r="L1755">
        <v>284.89980000000003</v>
      </c>
      <c r="M1755">
        <v>-0.99982590000000005</v>
      </c>
      <c r="N1755">
        <v>-1.3398470000000001E-2</v>
      </c>
      <c r="O1755">
        <v>1.299078E-2</v>
      </c>
      <c r="P1755">
        <v>-0.9785855</v>
      </c>
      <c r="Q1755">
        <v>0.1943619</v>
      </c>
      <c r="R1755">
        <v>6.7779699999999998E-2</v>
      </c>
      <c r="S1755">
        <v>-3.0766909999999998</v>
      </c>
      <c r="T1755">
        <v>-1.4618040000000001E-2</v>
      </c>
      <c r="U1755">
        <v>-0.11154169999999999</v>
      </c>
      <c r="V1755">
        <v>5.5069510000000002E-2</v>
      </c>
      <c r="W1755">
        <v>0.20746400000000001</v>
      </c>
      <c r="X1755">
        <v>0.97669139999999999</v>
      </c>
      <c r="Y1755">
        <v>-4.9207769999999998E-2</v>
      </c>
      <c r="Z1755">
        <v>-3.3434540000000003E-4</v>
      </c>
      <c r="AA1755">
        <v>0.99878849999999997</v>
      </c>
      <c r="AB1755">
        <v>37</v>
      </c>
      <c r="AC1755">
        <v>-256.61360000000002</v>
      </c>
      <c r="AD1755">
        <v>-1.22098</v>
      </c>
      <c r="AE1755">
        <v>-9.3215000000000092</v>
      </c>
      <c r="AF1755">
        <v>-12.6543370747099</v>
      </c>
      <c r="AG1755">
        <v>-1.22098</v>
      </c>
      <c r="AH1755">
        <v>256.46503921042</v>
      </c>
      <c r="AI1755">
        <v>90.272440532313198</v>
      </c>
      <c r="AJ1755">
        <v>92.824761534429896</v>
      </c>
      <c r="AK1755">
        <v>256.77994348500602</v>
      </c>
      <c r="AL1755">
        <v>78.026222896209205</v>
      </c>
      <c r="AM1755">
        <v>86.772866823274498</v>
      </c>
      <c r="AN1755">
        <v>1.00000002653079</v>
      </c>
    </row>
    <row r="1756" spans="1:40" x14ac:dyDescent="0.25">
      <c r="A1756" t="str">
        <f>"20190303170756455"</f>
        <v>20190303170756455</v>
      </c>
      <c r="B1756" t="str">
        <f>"1551604076444126"</f>
        <v>1551604076444126</v>
      </c>
      <c r="C1756" t="s">
        <v>40</v>
      </c>
      <c r="D1756">
        <v>4.2374989999999997</v>
      </c>
      <c r="E1756">
        <v>0.4639414</v>
      </c>
      <c r="F1756" t="s">
        <v>70</v>
      </c>
      <c r="G1756">
        <v>-551.64279999999997</v>
      </c>
      <c r="H1756">
        <v>0.440751</v>
      </c>
      <c r="I1756">
        <v>279.27539999999999</v>
      </c>
      <c r="J1756">
        <v>-402.72980000000001</v>
      </c>
      <c r="K1756">
        <v>1.1209720000000001</v>
      </c>
      <c r="L1756">
        <v>284.90469999999999</v>
      </c>
      <c r="M1756">
        <v>-0.99982689999999996</v>
      </c>
      <c r="N1756">
        <v>-1.3329270000000001E-2</v>
      </c>
      <c r="O1756">
        <v>1.299005E-2</v>
      </c>
      <c r="P1756">
        <v>-0.97872579999999998</v>
      </c>
      <c r="Q1756">
        <v>0.19402179999999999</v>
      </c>
      <c r="R1756">
        <v>6.6721039999999995E-2</v>
      </c>
      <c r="S1756">
        <v>-3.076508</v>
      </c>
      <c r="T1756">
        <v>-1.4016270000000001E-2</v>
      </c>
      <c r="U1756">
        <v>-0.1159058</v>
      </c>
      <c r="V1756">
        <v>5.4009509999999997E-2</v>
      </c>
      <c r="W1756">
        <v>0.20705809999999999</v>
      </c>
      <c r="X1756">
        <v>0.9768367</v>
      </c>
      <c r="Y1756">
        <v>-5.0624009999999997E-2</v>
      </c>
      <c r="Z1756">
        <v>-3.3888309999999998E-4</v>
      </c>
      <c r="AA1756">
        <v>0.99871770000000004</v>
      </c>
      <c r="AB1756">
        <v>37</v>
      </c>
      <c r="AC1756">
        <v>-148.91299999999899</v>
      </c>
      <c r="AD1756">
        <v>-0.68022099999999897</v>
      </c>
      <c r="AE1756">
        <v>-5.6292999999999997</v>
      </c>
      <c r="AF1756">
        <v>-7.5632263065365404</v>
      </c>
      <c r="AG1756">
        <v>-0.68022099999999897</v>
      </c>
      <c r="AH1756">
        <v>148.824201066325</v>
      </c>
      <c r="AI1756">
        <v>90.261538722059498</v>
      </c>
      <c r="AJ1756">
        <v>92.909261151657702</v>
      </c>
      <c r="AK1756">
        <v>149.01781073349099</v>
      </c>
      <c r="AL1756">
        <v>78.049995272017199</v>
      </c>
      <c r="AM1756">
        <v>86.835326286349002</v>
      </c>
      <c r="AN1756">
        <v>1.00000001120647</v>
      </c>
    </row>
    <row r="1757" spans="1:40" x14ac:dyDescent="0.25">
      <c r="A1757" t="str">
        <f>"20190303170756477"</f>
        <v>20190303170756477</v>
      </c>
      <c r="B1757" t="str">
        <f>"1551604076464622"</f>
        <v>1551604076464622</v>
      </c>
      <c r="C1757" t="s">
        <v>40</v>
      </c>
      <c r="D1757">
        <v>4.2599339999999897</v>
      </c>
      <c r="E1757">
        <v>0.46377980000000002</v>
      </c>
      <c r="F1757" t="s">
        <v>70</v>
      </c>
      <c r="G1757">
        <v>-551.06200000000001</v>
      </c>
      <c r="H1757">
        <v>0.42135630000000002</v>
      </c>
      <c r="I1757">
        <v>279.10399999999998</v>
      </c>
      <c r="J1757">
        <v>-403.08240000000001</v>
      </c>
      <c r="K1757">
        <v>1.120967</v>
      </c>
      <c r="L1757">
        <v>284.9092</v>
      </c>
      <c r="M1757">
        <v>-0.99982769999999999</v>
      </c>
      <c r="N1757">
        <v>-1.3263169999999999E-2</v>
      </c>
      <c r="O1757">
        <v>1.2989830000000001E-2</v>
      </c>
      <c r="P1757">
        <v>-0.97913839999999996</v>
      </c>
      <c r="Q1757">
        <v>0.19259180000000001</v>
      </c>
      <c r="R1757">
        <v>6.4779499999999907E-2</v>
      </c>
      <c r="S1757">
        <v>-3.0762939999999999</v>
      </c>
      <c r="T1757">
        <v>-1.450777E-2</v>
      </c>
      <c r="U1757">
        <v>-0.1203003</v>
      </c>
      <c r="V1757">
        <v>5.2062530000000003E-2</v>
      </c>
      <c r="W1757">
        <v>0.20556930000000001</v>
      </c>
      <c r="X1757">
        <v>0.97725680000000004</v>
      </c>
      <c r="Y1757">
        <v>-5.2050800000000001E-2</v>
      </c>
      <c r="Z1757">
        <v>-3.5703779999999999E-4</v>
      </c>
      <c r="AA1757">
        <v>0.99864439999999999</v>
      </c>
      <c r="AB1757">
        <v>37</v>
      </c>
      <c r="AC1757">
        <v>-147.9796</v>
      </c>
      <c r="AD1757">
        <v>-0.69961070000000003</v>
      </c>
      <c r="AE1757">
        <v>-5.8051999999999504</v>
      </c>
      <c r="AF1757">
        <v>-7.72693654381073</v>
      </c>
      <c r="AG1757">
        <v>-0.69961070000000003</v>
      </c>
      <c r="AH1757">
        <v>147.888396898991</v>
      </c>
      <c r="AI1757">
        <v>90.270676006955597</v>
      </c>
      <c r="AJ1757">
        <v>92.990894886897607</v>
      </c>
      <c r="AK1757">
        <v>148.09177202274699</v>
      </c>
      <c r="AL1757">
        <v>78.137173233047605</v>
      </c>
      <c r="AM1757">
        <v>86.950498561284505</v>
      </c>
      <c r="AN1757">
        <v>1.0000000486393601</v>
      </c>
    </row>
    <row r="1758" spans="1:40" x14ac:dyDescent="0.25">
      <c r="A1758" t="str">
        <f>"20190303170756501"</f>
        <v>20190303170756501</v>
      </c>
      <c r="B1758" t="str">
        <f>"1551604076494878"</f>
        <v>1551604076494878</v>
      </c>
      <c r="C1758" t="s">
        <v>40</v>
      </c>
      <c r="D1758">
        <v>4.2241580000000001</v>
      </c>
      <c r="E1758">
        <v>0.46355980000000002</v>
      </c>
      <c r="F1758" t="s">
        <v>70</v>
      </c>
      <c r="G1758">
        <v>-551.06200000000001</v>
      </c>
      <c r="H1758">
        <v>0.23755599999999999</v>
      </c>
      <c r="I1758">
        <v>278.79579999999999</v>
      </c>
      <c r="J1758">
        <v>-403.49110000000002</v>
      </c>
      <c r="K1758">
        <v>1.12096</v>
      </c>
      <c r="L1758">
        <v>284.91449999999998</v>
      </c>
      <c r="M1758">
        <v>-0.99982870000000001</v>
      </c>
      <c r="N1758">
        <v>-1.3181989999999999E-2</v>
      </c>
      <c r="O1758">
        <v>1.299018E-2</v>
      </c>
      <c r="P1758">
        <v>-0.97945369999999998</v>
      </c>
      <c r="Q1758">
        <v>0.19167010000000001</v>
      </c>
      <c r="R1758">
        <v>6.2715370000000006E-2</v>
      </c>
      <c r="S1758">
        <v>-3.075958</v>
      </c>
      <c r="T1758">
        <v>-1.8361209999999999E-2</v>
      </c>
      <c r="U1758">
        <v>-0.1270752</v>
      </c>
      <c r="V1758">
        <v>4.9993910000000003E-2</v>
      </c>
      <c r="W1758">
        <v>0.2045719</v>
      </c>
      <c r="X1758">
        <v>0.97757400000000005</v>
      </c>
      <c r="Y1758">
        <v>-5.42505E-2</v>
      </c>
      <c r="Z1758">
        <v>-4.259372E-4</v>
      </c>
      <c r="AA1758">
        <v>0.99852730000000001</v>
      </c>
      <c r="AB1758">
        <v>37</v>
      </c>
      <c r="AC1758">
        <v>-147.57089999999999</v>
      </c>
      <c r="AD1758">
        <v>-0.88340399999999997</v>
      </c>
      <c r="AE1758">
        <v>-6.1186999999999898</v>
      </c>
      <c r="AF1758">
        <v>-8.0350353764717006</v>
      </c>
      <c r="AG1758">
        <v>-0.88340399999999997</v>
      </c>
      <c r="AH1758">
        <v>147.47368070776301</v>
      </c>
      <c r="AI1758">
        <v>90.342703574431894</v>
      </c>
      <c r="AJ1758">
        <v>93.1186505492566</v>
      </c>
      <c r="AK1758">
        <v>147.695053057385</v>
      </c>
      <c r="AL1758">
        <v>78.195560237346598</v>
      </c>
      <c r="AM1758">
        <v>87.072398861594294</v>
      </c>
      <c r="AN1758">
        <v>0.99999998939134904</v>
      </c>
    </row>
    <row r="1759" spans="1:40" x14ac:dyDescent="0.25">
      <c r="A1759" t="str">
        <f>"20190303170756522"</f>
        <v>20190303170756522</v>
      </c>
      <c r="B1759" t="str">
        <f>"1551604076514398"</f>
        <v>1551604076514398</v>
      </c>
      <c r="C1759" t="s">
        <v>40</v>
      </c>
      <c r="D1759">
        <v>4.2095570000000002</v>
      </c>
      <c r="E1759">
        <v>0.46357209999999899</v>
      </c>
      <c r="F1759" t="s">
        <v>70</v>
      </c>
      <c r="G1759">
        <v>-551.06190000000004</v>
      </c>
      <c r="H1759">
        <v>0.1304864</v>
      </c>
      <c r="I1759">
        <v>278.4907</v>
      </c>
      <c r="J1759">
        <v>-403.83850000000001</v>
      </c>
      <c r="K1759">
        <v>1.1209559999999901</v>
      </c>
      <c r="L1759">
        <v>284.91899999999998</v>
      </c>
      <c r="M1759">
        <v>-0.99982979999999999</v>
      </c>
      <c r="N1759">
        <v>-1.3108450000000001E-2</v>
      </c>
      <c r="O1759">
        <v>1.299018E-2</v>
      </c>
      <c r="P1759">
        <v>-0.9794619</v>
      </c>
      <c r="Q1759">
        <v>0.1921225</v>
      </c>
      <c r="R1759">
        <v>6.1184950000000002E-2</v>
      </c>
      <c r="S1759">
        <v>-3.0755919999999999</v>
      </c>
      <c r="T1759">
        <v>-2.064121E-2</v>
      </c>
      <c r="U1759">
        <v>-0.13388059999999999</v>
      </c>
      <c r="V1759">
        <v>4.8463260000000001E-2</v>
      </c>
      <c r="W1759">
        <v>0.20495279999999999</v>
      </c>
      <c r="X1759">
        <v>0.97757130000000003</v>
      </c>
      <c r="Y1759">
        <v>-5.6460160000000002E-2</v>
      </c>
      <c r="Z1759">
        <v>-4.7656629999999998E-4</v>
      </c>
      <c r="AA1759">
        <v>0.99840469999999903</v>
      </c>
      <c r="AB1759">
        <v>37</v>
      </c>
      <c r="AC1759">
        <v>-147.2234</v>
      </c>
      <c r="AD1759">
        <v>-0.99046959999999895</v>
      </c>
      <c r="AE1759">
        <v>-6.4283000000000303</v>
      </c>
      <c r="AF1759">
        <v>-8.3400033518918999</v>
      </c>
      <c r="AG1759">
        <v>-0.99046959999999895</v>
      </c>
      <c r="AH1759">
        <v>147.12081758007699</v>
      </c>
      <c r="AI1759">
        <v>90.385111439839207</v>
      </c>
      <c r="AJ1759">
        <v>93.244517839169006</v>
      </c>
      <c r="AK1759">
        <v>147.36034626509399</v>
      </c>
      <c r="AL1759">
        <v>78.1732638860355</v>
      </c>
      <c r="AM1759">
        <v>87.161875750143295</v>
      </c>
      <c r="AN1759">
        <v>0.99999999219067803</v>
      </c>
    </row>
    <row r="1760" spans="1:40" x14ac:dyDescent="0.25">
      <c r="A1760" t="str">
        <f>"20190303170756543"</f>
        <v>20190303170756543</v>
      </c>
      <c r="B1760" t="str">
        <f>"1551604076534894"</f>
        <v>1551604076534894</v>
      </c>
      <c r="C1760" t="s">
        <v>40</v>
      </c>
      <c r="D1760">
        <v>4.2119900000000001</v>
      </c>
      <c r="E1760">
        <v>0.47607759999999999</v>
      </c>
      <c r="F1760" t="s">
        <v>70</v>
      </c>
      <c r="G1760">
        <v>-551.06200000000001</v>
      </c>
      <c r="H1760">
        <v>0.2219459</v>
      </c>
      <c r="I1760">
        <v>278.3066</v>
      </c>
      <c r="J1760">
        <v>-404.20119999999997</v>
      </c>
      <c r="K1760">
        <v>1.120949</v>
      </c>
      <c r="L1760">
        <v>284.9237</v>
      </c>
      <c r="M1760">
        <v>-0.99983069999999996</v>
      </c>
      <c r="N1760">
        <v>-1.303029E-2</v>
      </c>
      <c r="O1760">
        <v>1.2990160000000001E-2</v>
      </c>
      <c r="P1760">
        <v>-0.97936800000000002</v>
      </c>
      <c r="Q1760">
        <v>0.19289680000000001</v>
      </c>
      <c r="R1760">
        <v>6.0243619999999998E-2</v>
      </c>
      <c r="S1760">
        <v>-3.075256</v>
      </c>
      <c r="T1760">
        <v>-1.877713E-2</v>
      </c>
      <c r="U1760">
        <v>-0.13812260000000001</v>
      </c>
      <c r="V1760">
        <v>4.7523240000000001E-2</v>
      </c>
      <c r="W1760">
        <v>0.2056491</v>
      </c>
      <c r="X1760">
        <v>0.97747119999999998</v>
      </c>
      <c r="Y1760">
        <v>-5.7839639999999998E-2</v>
      </c>
      <c r="Z1760">
        <v>-4.6364000000000003E-4</v>
      </c>
      <c r="AA1760">
        <v>0.99832580000000004</v>
      </c>
      <c r="AB1760">
        <v>37</v>
      </c>
      <c r="AC1760">
        <v>-146.86080000000001</v>
      </c>
      <c r="AD1760">
        <v>-0.89900309999999894</v>
      </c>
      <c r="AE1760">
        <v>-6.61709999999999</v>
      </c>
      <c r="AF1760">
        <v>-8.5241301147707809</v>
      </c>
      <c r="AG1760">
        <v>-0.89900309999999894</v>
      </c>
      <c r="AH1760">
        <v>146.756953744469</v>
      </c>
      <c r="AI1760">
        <v>90.350387309918503</v>
      </c>
      <c r="AJ1760">
        <v>93.324193820327906</v>
      </c>
      <c r="AK1760">
        <v>147.007049059369</v>
      </c>
      <c r="AL1760">
        <v>78.132500366954901</v>
      </c>
      <c r="AM1760">
        <v>87.216553590348099</v>
      </c>
      <c r="AN1760">
        <v>0.99999997875017299</v>
      </c>
    </row>
    <row r="1761" spans="1:40" x14ac:dyDescent="0.25">
      <c r="A1761" t="str">
        <f>"20190303170756566"</f>
        <v>20190303170756566</v>
      </c>
      <c r="B1761" t="str">
        <f>"1551604076554414"</f>
        <v>1551604076554414</v>
      </c>
      <c r="C1761" t="s">
        <v>40</v>
      </c>
      <c r="D1761">
        <v>4.1683960000000004</v>
      </c>
      <c r="E1761">
        <v>0.4789446</v>
      </c>
      <c r="F1761" t="s">
        <v>45</v>
      </c>
      <c r="G1761">
        <v>0</v>
      </c>
      <c r="H1761">
        <v>0</v>
      </c>
      <c r="I1761">
        <v>0</v>
      </c>
      <c r="J1761">
        <v>-404.57080000000002</v>
      </c>
      <c r="K1761">
        <v>1.120941</v>
      </c>
      <c r="L1761">
        <v>284.92849999999999</v>
      </c>
      <c r="M1761">
        <v>-0.9998319</v>
      </c>
      <c r="N1761">
        <v>-1.295113E-2</v>
      </c>
      <c r="O1761">
        <v>1.2989840000000001E-2</v>
      </c>
      <c r="P1761">
        <v>-0.97960579999999997</v>
      </c>
      <c r="Q1761">
        <v>0.192193</v>
      </c>
      <c r="R1761">
        <v>5.8606400000000003E-2</v>
      </c>
      <c r="S1761">
        <v>-3.0445250000000001</v>
      </c>
      <c r="T1761">
        <v>0.10560609999999999</v>
      </c>
      <c r="U1761">
        <v>-3.4484859999999999E-2</v>
      </c>
      <c r="V1761">
        <v>4.5883319999999998E-2</v>
      </c>
      <c r="W1761">
        <v>0.2048711</v>
      </c>
      <c r="X1761">
        <v>0.9777129</v>
      </c>
      <c r="Y1761">
        <v>-2.4291380000000001E-2</v>
      </c>
      <c r="Z1761">
        <v>8.8241440000000001E-4</v>
      </c>
      <c r="AA1761">
        <v>0.9997045</v>
      </c>
      <c r="AB1761">
        <v>37</v>
      </c>
      <c r="AC1761">
        <v>-3.0445250000000001</v>
      </c>
      <c r="AD1761">
        <v>0.10560609999999999</v>
      </c>
      <c r="AE1761">
        <v>-3.4484859999999999E-2</v>
      </c>
      <c r="AF1761">
        <v>-7.3944195413188502E-2</v>
      </c>
      <c r="AG1761">
        <v>0.10560609999999999</v>
      </c>
      <c r="AH1761">
        <v>3.04016263175382</v>
      </c>
      <c r="AI1761">
        <v>88.011104748682399</v>
      </c>
      <c r="AJ1761">
        <v>91.393298871486806</v>
      </c>
      <c r="AK1761">
        <v>3.0428948749348601</v>
      </c>
      <c r="AL1761">
        <v>78.178046297756296</v>
      </c>
      <c r="AM1761">
        <v>87.313124133861095</v>
      </c>
      <c r="AN1761">
        <v>0.99999998074792096</v>
      </c>
    </row>
    <row r="1762" spans="1:40" x14ac:dyDescent="0.25">
      <c r="A1762" t="str">
        <f>"20190303170756590"</f>
        <v>20190303170756590</v>
      </c>
      <c r="B1762" t="str">
        <f>"1551604076584670"</f>
        <v>1551604076584670</v>
      </c>
      <c r="C1762" t="s">
        <v>40</v>
      </c>
      <c r="D1762">
        <v>4.1886369999999999</v>
      </c>
      <c r="E1762">
        <v>0.48031659999999998</v>
      </c>
      <c r="F1762" t="s">
        <v>45</v>
      </c>
      <c r="G1762">
        <v>0</v>
      </c>
      <c r="H1762">
        <v>0</v>
      </c>
      <c r="I1762">
        <v>0</v>
      </c>
      <c r="J1762">
        <v>-404.96440000000001</v>
      </c>
      <c r="K1762">
        <v>1.120935</v>
      </c>
      <c r="L1762">
        <v>284.93360000000001</v>
      </c>
      <c r="M1762">
        <v>-0.99983290000000002</v>
      </c>
      <c r="N1762">
        <v>-1.28652E-2</v>
      </c>
      <c r="O1762">
        <v>1.298939E-2</v>
      </c>
      <c r="P1762">
        <v>-0.97982950000000002</v>
      </c>
      <c r="Q1762">
        <v>0.1915432</v>
      </c>
      <c r="R1762">
        <v>5.6966259999999998E-2</v>
      </c>
      <c r="S1762">
        <v>-3.0359189999999998</v>
      </c>
      <c r="T1762">
        <v>0.1395004</v>
      </c>
      <c r="U1762">
        <v>-1.403809E-2</v>
      </c>
      <c r="V1762">
        <v>4.4240559999999998E-2</v>
      </c>
      <c r="W1762">
        <v>0.20413970000000001</v>
      </c>
      <c r="X1762">
        <v>0.97794159999999997</v>
      </c>
      <c r="Y1762">
        <v>-1.7578079999999999E-2</v>
      </c>
      <c r="Z1762">
        <v>1.054063E-3</v>
      </c>
      <c r="AA1762">
        <v>0.99984490000000004</v>
      </c>
      <c r="AB1762">
        <v>37</v>
      </c>
      <c r="AC1762">
        <v>-3.0359189999999998</v>
      </c>
      <c r="AD1762">
        <v>0.1395004</v>
      </c>
      <c r="AE1762">
        <v>-1.403809E-2</v>
      </c>
      <c r="AF1762">
        <v>-5.3362237344543297E-2</v>
      </c>
      <c r="AG1762">
        <v>0.1395004</v>
      </c>
      <c r="AH1762">
        <v>3.02908499518623</v>
      </c>
      <c r="AI1762">
        <v>87.363592216508195</v>
      </c>
      <c r="AJ1762">
        <v>91.009253541097493</v>
      </c>
      <c r="AK1762">
        <v>3.03276504168011</v>
      </c>
      <c r="AL1762">
        <v>78.220857556314996</v>
      </c>
      <c r="AM1762">
        <v>87.409793874510996</v>
      </c>
      <c r="AN1762">
        <v>1.00000000863788</v>
      </c>
    </row>
    <row r="1763" spans="1:40" x14ac:dyDescent="0.25">
      <c r="A1763" t="str">
        <f>"20190303170756611"</f>
        <v>20190303170756611</v>
      </c>
      <c r="B1763" t="str">
        <f>"1551604076604194"</f>
        <v>1551604076604194</v>
      </c>
      <c r="C1763" t="s">
        <v>40</v>
      </c>
      <c r="D1763">
        <v>4.468534</v>
      </c>
      <c r="E1763">
        <v>0.48142079999999998</v>
      </c>
      <c r="F1763" t="s">
        <v>45</v>
      </c>
      <c r="G1763">
        <v>0</v>
      </c>
      <c r="H1763">
        <v>0</v>
      </c>
      <c r="I1763">
        <v>0</v>
      </c>
      <c r="J1763">
        <v>-405.34059999999999</v>
      </c>
      <c r="K1763">
        <v>1.120919</v>
      </c>
      <c r="L1763">
        <v>284.9384</v>
      </c>
      <c r="M1763">
        <v>-0.99983390000000005</v>
      </c>
      <c r="N1763">
        <v>-1.278463E-2</v>
      </c>
      <c r="O1763">
        <v>1.2989250000000001E-2</v>
      </c>
      <c r="P1763">
        <v>-0.97980800000000001</v>
      </c>
      <c r="Q1763">
        <v>0.1918811</v>
      </c>
      <c r="R1763">
        <v>5.6197860000000002E-2</v>
      </c>
      <c r="S1763">
        <v>-3.031555</v>
      </c>
      <c r="T1763">
        <v>0.1564941</v>
      </c>
      <c r="U1763">
        <v>-6.5612789999999997E-3</v>
      </c>
      <c r="V1763">
        <v>4.3472789999999997E-2</v>
      </c>
      <c r="W1763">
        <v>0.2043983</v>
      </c>
      <c r="X1763">
        <v>0.97792199999999996</v>
      </c>
      <c r="Y1763">
        <v>-1.511237E-2</v>
      </c>
      <c r="Z1763">
        <v>1.129152E-3</v>
      </c>
      <c r="AA1763">
        <v>0.99988509999999997</v>
      </c>
      <c r="AB1763">
        <v>37</v>
      </c>
      <c r="AC1763">
        <v>-3.031555</v>
      </c>
      <c r="AD1763">
        <v>0.1564941</v>
      </c>
      <c r="AE1763">
        <v>-6.5612789999999997E-3</v>
      </c>
      <c r="AF1763">
        <v>-4.5819470455379603E-2</v>
      </c>
      <c r="AG1763">
        <v>0.1564941</v>
      </c>
      <c r="AH1763">
        <v>3.02315789033399</v>
      </c>
      <c r="AI1763">
        <v>87.037062303031405</v>
      </c>
      <c r="AJ1763">
        <v>90.868317628080405</v>
      </c>
      <c r="AK1763">
        <v>3.0275523871762</v>
      </c>
      <c r="AL1763">
        <v>78.205721542210398</v>
      </c>
      <c r="AM1763">
        <v>87.454634856587404</v>
      </c>
      <c r="AN1763">
        <v>0.99999999329863598</v>
      </c>
    </row>
    <row r="1764" spans="1:40" x14ac:dyDescent="0.25">
      <c r="A1764" t="str">
        <f>"20190303170756634"</f>
        <v>20190303170756634</v>
      </c>
      <c r="B1764" t="str">
        <f>"1551604076624686"</f>
        <v>1551604076624686</v>
      </c>
      <c r="C1764" t="s">
        <v>40</v>
      </c>
      <c r="D1764">
        <v>4.2099929999999999</v>
      </c>
      <c r="E1764">
        <v>0.48198350000000001</v>
      </c>
      <c r="F1764" t="s">
        <v>45</v>
      </c>
      <c r="G1764">
        <v>0</v>
      </c>
      <c r="H1764">
        <v>0</v>
      </c>
      <c r="I1764">
        <v>0</v>
      </c>
      <c r="J1764">
        <v>-405.70119999999997</v>
      </c>
      <c r="K1764">
        <v>1.1209150000000001</v>
      </c>
      <c r="L1764">
        <v>284.94310000000002</v>
      </c>
      <c r="M1764">
        <v>-0.99983480000000002</v>
      </c>
      <c r="N1764">
        <v>-1.2711790000000001E-2</v>
      </c>
      <c r="O1764">
        <v>1.2988700000000001E-2</v>
      </c>
      <c r="P1764">
        <v>-0.97954339999999995</v>
      </c>
      <c r="Q1764">
        <v>0.19318630000000001</v>
      </c>
      <c r="R1764">
        <v>5.6338840000000001E-2</v>
      </c>
      <c r="S1764">
        <v>-3.0300289999999999</v>
      </c>
      <c r="T1764">
        <v>0.16230329999999901</v>
      </c>
      <c r="U1764">
        <v>3.9672850000000001E-4</v>
      </c>
      <c r="V1764">
        <v>4.3617719999999999E-2</v>
      </c>
      <c r="W1764">
        <v>0.20562900000000001</v>
      </c>
      <c r="X1764">
        <v>0.97765749999999996</v>
      </c>
      <c r="Y1764">
        <v>-1.2816320000000001E-2</v>
      </c>
      <c r="Z1764">
        <v>1.1216990000000001E-3</v>
      </c>
      <c r="AA1764">
        <v>0.99991719999999895</v>
      </c>
      <c r="AB1764">
        <v>37</v>
      </c>
      <c r="AC1764">
        <v>-3.0300289999999999</v>
      </c>
      <c r="AD1764">
        <v>0.16230329999999901</v>
      </c>
      <c r="AE1764">
        <v>3.9672850000000001E-4</v>
      </c>
      <c r="AF1764">
        <v>-3.8851152508494399E-2</v>
      </c>
      <c r="AG1764">
        <v>0.16230329999999901</v>
      </c>
      <c r="AH1764">
        <v>3.0211103329954501</v>
      </c>
      <c r="AI1764">
        <v>86.925105192548997</v>
      </c>
      <c r="AJ1764">
        <v>90.736776921328797</v>
      </c>
      <c r="AK1764">
        <v>3.0257163478049298</v>
      </c>
      <c r="AL1764">
        <v>78.133677288814397</v>
      </c>
      <c r="AM1764">
        <v>87.445470297867601</v>
      </c>
      <c r="AN1764">
        <v>0.99999998922262401</v>
      </c>
    </row>
    <row r="1765" spans="1:40" x14ac:dyDescent="0.25">
      <c r="A1765" t="str">
        <f>"20190303170756656"</f>
        <v>20190303170756656</v>
      </c>
      <c r="B1765" t="str">
        <f>"1551604076644206"</f>
        <v>1551604076644206</v>
      </c>
      <c r="C1765" t="s">
        <v>40</v>
      </c>
      <c r="D1765">
        <v>4.3308280000000003</v>
      </c>
      <c r="E1765">
        <v>0.48237429999999898</v>
      </c>
      <c r="F1765" t="s">
        <v>45</v>
      </c>
      <c r="G1765">
        <v>0</v>
      </c>
      <c r="H1765">
        <v>0</v>
      </c>
      <c r="I1765">
        <v>0</v>
      </c>
      <c r="J1765">
        <v>-406.07690000000002</v>
      </c>
      <c r="K1765">
        <v>1.120916</v>
      </c>
      <c r="L1765">
        <v>284.94799999999998</v>
      </c>
      <c r="M1765">
        <v>-0.99983599999999995</v>
      </c>
      <c r="N1765">
        <v>-1.263679E-2</v>
      </c>
      <c r="O1765">
        <v>1.2983669999999999E-2</v>
      </c>
      <c r="P1765">
        <v>-0.97943650000000004</v>
      </c>
      <c r="Q1765">
        <v>0.1939061</v>
      </c>
      <c r="R1765">
        <v>5.5718740000000003E-2</v>
      </c>
      <c r="S1765">
        <v>-3.0291139999999999</v>
      </c>
      <c r="T1765">
        <v>0.16819779999999901</v>
      </c>
      <c r="U1765">
        <v>5.4626459999999998E-3</v>
      </c>
      <c r="V1765">
        <v>4.300271E-2</v>
      </c>
      <c r="W1765">
        <v>0.2062744</v>
      </c>
      <c r="X1765">
        <v>0.9775488</v>
      </c>
      <c r="Y1765">
        <v>-1.113807E-2</v>
      </c>
      <c r="Z1765">
        <v>1.1228729999999999E-3</v>
      </c>
      <c r="AA1765">
        <v>0.99993739999999998</v>
      </c>
      <c r="AB1765">
        <v>37</v>
      </c>
      <c r="AC1765">
        <v>-3.0291139999999999</v>
      </c>
      <c r="AD1765">
        <v>0.16819779999999901</v>
      </c>
      <c r="AE1765">
        <v>5.4626459999999998E-3</v>
      </c>
      <c r="AF1765">
        <v>-3.3765857546035997E-2</v>
      </c>
      <c r="AG1765">
        <v>0.16819779999999901</v>
      </c>
      <c r="AH1765">
        <v>3.0196193370140501</v>
      </c>
      <c r="AI1765">
        <v>86.812023615402296</v>
      </c>
      <c r="AJ1765">
        <v>90.640663700590096</v>
      </c>
      <c r="AK1765">
        <v>3.0244886466194298</v>
      </c>
      <c r="AL1765">
        <v>78.095888717181097</v>
      </c>
      <c r="AM1765">
        <v>87.481162770403301</v>
      </c>
      <c r="AN1765">
        <v>1.00000000877207</v>
      </c>
    </row>
    <row r="1766" spans="1:40" x14ac:dyDescent="0.25">
      <c r="A1766" t="str">
        <f>"20190303170756678"</f>
        <v>20190303170756678</v>
      </c>
      <c r="B1766" t="str">
        <f>"1551604076664702"</f>
        <v>1551604076664702</v>
      </c>
      <c r="C1766" t="s">
        <v>40</v>
      </c>
      <c r="D1766">
        <v>4.2381129999999896</v>
      </c>
      <c r="E1766">
        <v>0.48258659999999998</v>
      </c>
      <c r="F1766" t="s">
        <v>45</v>
      </c>
      <c r="G1766">
        <v>0</v>
      </c>
      <c r="H1766">
        <v>0</v>
      </c>
      <c r="I1766">
        <v>0</v>
      </c>
      <c r="J1766">
        <v>-406.44389999999999</v>
      </c>
      <c r="K1766">
        <v>1.120927</v>
      </c>
      <c r="L1766">
        <v>284.95280000000002</v>
      </c>
      <c r="M1766">
        <v>-0.99983699999999998</v>
      </c>
      <c r="N1766">
        <v>-1.256318E-2</v>
      </c>
      <c r="O1766">
        <v>1.296656E-2</v>
      </c>
      <c r="P1766">
        <v>-0.97928340000000003</v>
      </c>
      <c r="Q1766">
        <v>0.19475429999999999</v>
      </c>
      <c r="R1766">
        <v>5.5452130000000002E-2</v>
      </c>
      <c r="S1766">
        <v>-3.0286249999999999</v>
      </c>
      <c r="T1766">
        <v>0.1716878</v>
      </c>
      <c r="U1766">
        <v>6.9274899999999997E-3</v>
      </c>
      <c r="V1766">
        <v>4.2751480000000001E-2</v>
      </c>
      <c r="W1766">
        <v>0.20704929999999999</v>
      </c>
      <c r="X1766">
        <v>0.97739600000000004</v>
      </c>
      <c r="Y1766">
        <v>-1.0636059999999999E-2</v>
      </c>
      <c r="Z1766">
        <v>1.131569E-3</v>
      </c>
      <c r="AA1766">
        <v>0.99994280000000002</v>
      </c>
      <c r="AB1766">
        <v>37</v>
      </c>
      <c r="AC1766">
        <v>-3.0286249999999999</v>
      </c>
      <c r="AD1766">
        <v>0.1716878</v>
      </c>
      <c r="AE1766">
        <v>6.9274899999999997E-3</v>
      </c>
      <c r="AF1766">
        <v>-3.22434239365171E-2</v>
      </c>
      <c r="AG1766">
        <v>0.1716878</v>
      </c>
      <c r="AH1766">
        <v>3.0187592323961798</v>
      </c>
      <c r="AI1766">
        <v>86.745072866783204</v>
      </c>
      <c r="AJ1766">
        <v>90.611954024060594</v>
      </c>
      <c r="AK1766">
        <v>3.0238094586519702</v>
      </c>
      <c r="AL1766">
        <v>78.050510764898405</v>
      </c>
      <c r="AM1766">
        <v>87.495468525467601</v>
      </c>
      <c r="AN1766">
        <v>1.0000000212443301</v>
      </c>
    </row>
    <row r="1767" spans="1:40" x14ac:dyDescent="0.25">
      <c r="A1767" t="str">
        <f>"20190303170756700"</f>
        <v>20190303170756700</v>
      </c>
      <c r="B1767" t="str">
        <f>"1551604076693982"</f>
        <v>1551604076693982</v>
      </c>
      <c r="C1767" t="s">
        <v>40</v>
      </c>
      <c r="D1767">
        <v>4.2877660000000004</v>
      </c>
      <c r="E1767">
        <v>0.48267379999999999</v>
      </c>
      <c r="F1767" t="s">
        <v>45</v>
      </c>
      <c r="G1767">
        <v>0</v>
      </c>
      <c r="H1767">
        <v>0</v>
      </c>
      <c r="I1767">
        <v>0</v>
      </c>
      <c r="J1767">
        <v>-406.82350000000002</v>
      </c>
      <c r="K1767">
        <v>1.1209389999999999</v>
      </c>
      <c r="L1767">
        <v>284.95769999999999</v>
      </c>
      <c r="M1767">
        <v>-0.99983869999999997</v>
      </c>
      <c r="N1767">
        <v>-1.249026E-2</v>
      </c>
      <c r="O1767">
        <v>1.2924120000000001E-2</v>
      </c>
      <c r="P1767">
        <v>-0.97906769999999999</v>
      </c>
      <c r="Q1767">
        <v>0.19574340000000001</v>
      </c>
      <c r="R1767">
        <v>5.5778439999999999E-2</v>
      </c>
      <c r="S1767">
        <v>-3.0281069999999999</v>
      </c>
      <c r="T1767">
        <v>0.1754349</v>
      </c>
      <c r="U1767">
        <v>8.178711E-3</v>
      </c>
      <c r="V1767">
        <v>4.3114220000000002E-2</v>
      </c>
      <c r="W1767">
        <v>0.20796590000000001</v>
      </c>
      <c r="X1767">
        <v>0.97718539999999998</v>
      </c>
      <c r="Y1767">
        <v>-1.0178970000000001E-2</v>
      </c>
      <c r="Z1767">
        <v>1.14039E-3</v>
      </c>
      <c r="AA1767">
        <v>0.99994749999999999</v>
      </c>
      <c r="AB1767">
        <v>37</v>
      </c>
      <c r="AC1767">
        <v>-3.0281069999999999</v>
      </c>
      <c r="AD1767">
        <v>0.1754349</v>
      </c>
      <c r="AE1767">
        <v>8.178711E-3</v>
      </c>
      <c r="AF1767">
        <v>-3.08570627187893E-2</v>
      </c>
      <c r="AG1767">
        <v>0.1754349</v>
      </c>
      <c r="AH1767">
        <v>3.01783042265148</v>
      </c>
      <c r="AI1767">
        <v>86.673154465671999</v>
      </c>
      <c r="AJ1767">
        <v>90.585824120239195</v>
      </c>
      <c r="AK1767">
        <v>3.02308286726289</v>
      </c>
      <c r="AL1767">
        <v>77.996824376154905</v>
      </c>
      <c r="AM1767">
        <v>87.473701712136204</v>
      </c>
      <c r="AN1767">
        <v>0.99999997875108904</v>
      </c>
    </row>
    <row r="1768" spans="1:40" x14ac:dyDescent="0.25">
      <c r="A1768" t="str">
        <f>"20190303170756723"</f>
        <v>20190303170756723</v>
      </c>
      <c r="B1768" t="str">
        <f>"1551604076714478"</f>
        <v>1551604076714478</v>
      </c>
      <c r="C1768" t="s">
        <v>40</v>
      </c>
      <c r="D1768">
        <v>4.3102090000000004</v>
      </c>
      <c r="E1768">
        <v>0.48254239999999998</v>
      </c>
      <c r="F1768" t="s">
        <v>45</v>
      </c>
      <c r="G1768">
        <v>0</v>
      </c>
      <c r="H1768">
        <v>0</v>
      </c>
      <c r="I1768">
        <v>0</v>
      </c>
      <c r="J1768">
        <v>-407.18880000000001</v>
      </c>
      <c r="K1768">
        <v>1.120968</v>
      </c>
      <c r="L1768">
        <v>284.96230000000003</v>
      </c>
      <c r="M1768">
        <v>-0.99984039999999996</v>
      </c>
      <c r="N1768">
        <v>-1.2423389999999999E-2</v>
      </c>
      <c r="O1768">
        <v>1.2850439999999999E-2</v>
      </c>
      <c r="P1768">
        <v>-0.97884570000000004</v>
      </c>
      <c r="Q1768">
        <v>0.1965992</v>
      </c>
      <c r="R1768">
        <v>5.6660040000000002E-2</v>
      </c>
      <c r="S1768">
        <v>-3.0276179999999999</v>
      </c>
      <c r="T1768">
        <v>0.17985689999999999</v>
      </c>
      <c r="U1768">
        <v>9.7045900000000008E-3</v>
      </c>
      <c r="V1768">
        <v>4.4058710000000001E-2</v>
      </c>
      <c r="W1768">
        <v>0.20875640000000001</v>
      </c>
      <c r="X1768">
        <v>0.97697469999999997</v>
      </c>
      <c r="Y1768">
        <v>-9.5997979999999997E-3</v>
      </c>
      <c r="Z1768">
        <v>1.147391E-3</v>
      </c>
      <c r="AA1768">
        <v>0.99995330000000004</v>
      </c>
      <c r="AB1768">
        <v>37</v>
      </c>
      <c r="AC1768">
        <v>-3.0276179999999999</v>
      </c>
      <c r="AD1768">
        <v>0.17985689999999999</v>
      </c>
      <c r="AE1768">
        <v>9.7045900000000008E-3</v>
      </c>
      <c r="AF1768">
        <v>-2.9102729235042601E-2</v>
      </c>
      <c r="AG1768">
        <v>0.17985689999999999</v>
      </c>
      <c r="AH1768">
        <v>3.01684633702981</v>
      </c>
      <c r="AI1768">
        <v>86.588364320510294</v>
      </c>
      <c r="AJ1768">
        <v>90.552700286858794</v>
      </c>
      <c r="AK1768">
        <v>3.0223430140499801</v>
      </c>
      <c r="AL1768">
        <v>77.950515744433602</v>
      </c>
      <c r="AM1768">
        <v>87.417876938341095</v>
      </c>
      <c r="AN1768">
        <v>0.99999998445395599</v>
      </c>
    </row>
    <row r="1769" spans="1:40" x14ac:dyDescent="0.25">
      <c r="A1769" t="str">
        <f>"20190303170756744"</f>
        <v>20190303170756744</v>
      </c>
      <c r="B1769" t="str">
        <f>"1551604076733999"</f>
        <v>1551604076733999</v>
      </c>
      <c r="C1769" t="s">
        <v>40</v>
      </c>
      <c r="D1769">
        <v>4.3001519999999998</v>
      </c>
      <c r="E1769">
        <v>0.48241220000000001</v>
      </c>
      <c r="F1769" t="s">
        <v>45</v>
      </c>
      <c r="G1769">
        <v>0</v>
      </c>
      <c r="H1769">
        <v>0</v>
      </c>
      <c r="I1769">
        <v>0</v>
      </c>
      <c r="J1769">
        <v>-407.55169999999998</v>
      </c>
      <c r="K1769">
        <v>1.1210009999999999</v>
      </c>
      <c r="L1769">
        <v>284.96690000000001</v>
      </c>
      <c r="M1769">
        <v>-0.99984260000000003</v>
      </c>
      <c r="N1769">
        <v>-1.2359459999999999E-2</v>
      </c>
      <c r="O1769">
        <v>1.2741860000000001E-2</v>
      </c>
      <c r="P1769">
        <v>-0.97856390000000004</v>
      </c>
      <c r="Q1769">
        <v>0.19788890000000001</v>
      </c>
      <c r="R1769">
        <v>5.7035009999999997E-2</v>
      </c>
      <c r="S1769">
        <v>-3.0271300000000001</v>
      </c>
      <c r="T1769">
        <v>0.1846197</v>
      </c>
      <c r="U1769">
        <v>1.1230469999999999E-2</v>
      </c>
      <c r="V1769">
        <v>4.4528089999999999E-2</v>
      </c>
      <c r="W1769">
        <v>0.20998310000000001</v>
      </c>
      <c r="X1769">
        <v>0.97669050000000002</v>
      </c>
      <c r="Y1769">
        <v>-8.98558E-3</v>
      </c>
      <c r="Z1769">
        <v>1.1518570000000001E-3</v>
      </c>
      <c r="AA1769">
        <v>0.99995900000000004</v>
      </c>
      <c r="AB1769">
        <v>37</v>
      </c>
      <c r="AC1769">
        <v>-3.0271300000000001</v>
      </c>
      <c r="AD1769">
        <v>0.1846197</v>
      </c>
      <c r="AE1769">
        <v>1.1230469999999999E-2</v>
      </c>
      <c r="AF1769">
        <v>-2.7243316049295401E-2</v>
      </c>
      <c r="AG1769">
        <v>0.1846197</v>
      </c>
      <c r="AH1769">
        <v>3.0158099329153498</v>
      </c>
      <c r="AI1769">
        <v>86.497022115544297</v>
      </c>
      <c r="AJ1769">
        <v>90.517567289389703</v>
      </c>
      <c r="AK1769">
        <v>3.0215784258179199</v>
      </c>
      <c r="AL1769">
        <v>77.878638049302793</v>
      </c>
      <c r="AM1769">
        <v>87.389647790261293</v>
      </c>
      <c r="AN1769">
        <v>0.99999999293745401</v>
      </c>
    </row>
    <row r="1770" spans="1:40" x14ac:dyDescent="0.25">
      <c r="A1770" t="str">
        <f>"20190303170756768"</f>
        <v>20190303170756768</v>
      </c>
      <c r="B1770" t="str">
        <f>"1551604076754494"</f>
        <v>1551604076754494</v>
      </c>
      <c r="C1770" t="s">
        <v>40</v>
      </c>
      <c r="D1770">
        <v>4.2946460000000002</v>
      </c>
      <c r="E1770">
        <v>0.48230459999999897</v>
      </c>
      <c r="F1770" t="s">
        <v>45</v>
      </c>
      <c r="G1770">
        <v>0</v>
      </c>
      <c r="H1770">
        <v>0</v>
      </c>
      <c r="I1770">
        <v>0</v>
      </c>
      <c r="J1770">
        <v>-407.93150000000003</v>
      </c>
      <c r="K1770">
        <v>1.1210329999999999</v>
      </c>
      <c r="L1770">
        <v>284.97160000000002</v>
      </c>
      <c r="M1770">
        <v>-0.99984519999999999</v>
      </c>
      <c r="N1770">
        <v>-1.229686E-2</v>
      </c>
      <c r="O1770">
        <v>1.2593709999999999E-2</v>
      </c>
      <c r="P1770">
        <v>-0.9782324</v>
      </c>
      <c r="Q1770">
        <v>0.19939599999999999</v>
      </c>
      <c r="R1770">
        <v>5.7469180000000002E-2</v>
      </c>
      <c r="S1770">
        <v>-3.0267029999999999</v>
      </c>
      <c r="T1770">
        <v>0.1898484</v>
      </c>
      <c r="U1770">
        <v>1.138306E-2</v>
      </c>
      <c r="V1770">
        <v>4.5094629999999997E-2</v>
      </c>
      <c r="W1770">
        <v>0.21142859999999999</v>
      </c>
      <c r="X1770">
        <v>0.97635260000000001</v>
      </c>
      <c r="Y1770">
        <v>-8.7847450000000001E-3</v>
      </c>
      <c r="Z1770">
        <v>1.165007E-3</v>
      </c>
      <c r="AA1770">
        <v>0.99996070000000004</v>
      </c>
      <c r="AB1770">
        <v>37</v>
      </c>
      <c r="AC1770">
        <v>-3.0267029999999999</v>
      </c>
      <c r="AD1770">
        <v>0.1898484</v>
      </c>
      <c r="AE1770">
        <v>1.138306E-2</v>
      </c>
      <c r="AF1770">
        <v>-2.6633356628302799E-2</v>
      </c>
      <c r="AG1770">
        <v>0.1898484</v>
      </c>
      <c r="AH1770">
        <v>3.0147453696170898</v>
      </c>
      <c r="AI1770">
        <v>86.396795305585698</v>
      </c>
      <c r="AJ1770">
        <v>90.5061585789188</v>
      </c>
      <c r="AK1770">
        <v>3.0208345526187799</v>
      </c>
      <c r="AL1770">
        <v>77.793914866630004</v>
      </c>
      <c r="AM1770">
        <v>87.355568981883394</v>
      </c>
      <c r="AN1770">
        <v>0.99999998903977805</v>
      </c>
    </row>
    <row r="1771" spans="1:40" x14ac:dyDescent="0.25">
      <c r="A1771" t="str">
        <f>"20190303170756790"</f>
        <v>20190303170756790</v>
      </c>
      <c r="B1771" t="str">
        <f>"1551604076784751"</f>
        <v>1551604076784751</v>
      </c>
      <c r="C1771" t="s">
        <v>40</v>
      </c>
      <c r="D1771">
        <v>4.3285210000000003</v>
      </c>
      <c r="E1771">
        <v>0.48244969999999998</v>
      </c>
      <c r="F1771" t="s">
        <v>45</v>
      </c>
      <c r="G1771">
        <v>0</v>
      </c>
      <c r="H1771">
        <v>0</v>
      </c>
      <c r="I1771">
        <v>0</v>
      </c>
      <c r="J1771">
        <v>-408.31490000000002</v>
      </c>
      <c r="K1771">
        <v>1.121062</v>
      </c>
      <c r="L1771">
        <v>284.97629999999998</v>
      </c>
      <c r="M1771">
        <v>-0.99984810000000002</v>
      </c>
      <c r="N1771">
        <v>-1.223983E-2</v>
      </c>
      <c r="O1771">
        <v>1.2414069999999999E-2</v>
      </c>
      <c r="P1771">
        <v>-0.97802809999999996</v>
      </c>
      <c r="Q1771">
        <v>0.20030600000000001</v>
      </c>
      <c r="R1771">
        <v>5.778602E-2</v>
      </c>
      <c r="S1771">
        <v>-3.0264280000000001</v>
      </c>
      <c r="T1771">
        <v>0.19459489999999999</v>
      </c>
      <c r="U1771">
        <v>1.190186E-2</v>
      </c>
      <c r="V1771">
        <v>4.5575520000000001E-2</v>
      </c>
      <c r="W1771">
        <v>0.21228330000000001</v>
      </c>
      <c r="X1771">
        <v>0.97614480000000003</v>
      </c>
      <c r="Y1771">
        <v>-8.4321819999999999E-3</v>
      </c>
      <c r="Z1771">
        <v>1.1682870000000001E-3</v>
      </c>
      <c r="AA1771">
        <v>0.99996379999999996</v>
      </c>
      <c r="AB1771">
        <v>37</v>
      </c>
      <c r="AC1771">
        <v>-3.0264280000000001</v>
      </c>
      <c r="AD1771">
        <v>0.19459489999999999</v>
      </c>
      <c r="AE1771">
        <v>1.190186E-2</v>
      </c>
      <c r="AF1771">
        <v>-2.5566460316350799E-2</v>
      </c>
      <c r="AG1771">
        <v>0.19459489999999999</v>
      </c>
      <c r="AH1771">
        <v>3.0138824097068402</v>
      </c>
      <c r="AI1771">
        <v>86.305890254126595</v>
      </c>
      <c r="AJ1771">
        <v>90.486022657468695</v>
      </c>
      <c r="AK1771">
        <v>3.0202662131903901</v>
      </c>
      <c r="AL1771">
        <v>77.743806876911805</v>
      </c>
      <c r="AM1771">
        <v>87.326841279953797</v>
      </c>
      <c r="AN1771">
        <v>0.99999999902460002</v>
      </c>
    </row>
    <row r="1772" spans="1:40" x14ac:dyDescent="0.25">
      <c r="A1772" t="str">
        <f>"20190303170756812"</f>
        <v>20190303170756812</v>
      </c>
      <c r="B1772" t="str">
        <f>"1551604076804270"</f>
        <v>1551604076804270</v>
      </c>
      <c r="C1772" t="s">
        <v>40</v>
      </c>
      <c r="D1772">
        <v>4.2278279999999997</v>
      </c>
      <c r="E1772">
        <v>0.48258570000000001</v>
      </c>
      <c r="F1772" t="s">
        <v>45</v>
      </c>
      <c r="G1772">
        <v>0</v>
      </c>
      <c r="H1772">
        <v>0</v>
      </c>
      <c r="I1772">
        <v>0</v>
      </c>
      <c r="J1772">
        <v>-408.67989999999998</v>
      </c>
      <c r="K1772">
        <v>1.121078</v>
      </c>
      <c r="L1772">
        <v>284.98059999999998</v>
      </c>
      <c r="M1772">
        <v>-0.99985109999999999</v>
      </c>
      <c r="N1772">
        <v>-1.219171E-2</v>
      </c>
      <c r="O1772">
        <v>1.2221559999999999E-2</v>
      </c>
      <c r="P1772">
        <v>-0.97800699999999996</v>
      </c>
      <c r="Q1772">
        <v>0.2004464</v>
      </c>
      <c r="R1772">
        <v>5.7651580000000001E-2</v>
      </c>
      <c r="S1772">
        <v>-3.0263369999999998</v>
      </c>
      <c r="T1772">
        <v>0.1965702</v>
      </c>
      <c r="U1772">
        <v>1.416016E-2</v>
      </c>
      <c r="V1772">
        <v>4.561954E-2</v>
      </c>
      <c r="W1772">
        <v>0.21237880000000001</v>
      </c>
      <c r="X1772">
        <v>0.97612200000000005</v>
      </c>
      <c r="Y1772">
        <v>-7.4946079999999998E-3</v>
      </c>
      <c r="Z1772">
        <v>1.1392069999999999E-3</v>
      </c>
      <c r="AA1772">
        <v>0.99997130000000001</v>
      </c>
      <c r="AB1772">
        <v>37</v>
      </c>
      <c r="AC1772">
        <v>-3.0263369999999998</v>
      </c>
      <c r="AD1772">
        <v>0.1965702</v>
      </c>
      <c r="AE1772">
        <v>1.416016E-2</v>
      </c>
      <c r="AF1772">
        <v>-2.2734289927520999E-2</v>
      </c>
      <c r="AG1772">
        <v>0.1965702</v>
      </c>
      <c r="AH1772">
        <v>3.01357029454585</v>
      </c>
      <c r="AI1772">
        <v>86.268084005743603</v>
      </c>
      <c r="AJ1772">
        <v>90.432229556979806</v>
      </c>
      <c r="AK1772">
        <v>3.0200600344423201</v>
      </c>
      <c r="AL1772">
        <v>77.738207811516006</v>
      </c>
      <c r="AM1772">
        <v>87.324200699981901</v>
      </c>
      <c r="AN1772">
        <v>1.0000000280016199</v>
      </c>
    </row>
    <row r="1773" spans="1:40" x14ac:dyDescent="0.25">
      <c r="A1773" t="str">
        <f>"20190303170756835"</f>
        <v>20190303170756835</v>
      </c>
      <c r="B1773" t="str">
        <f>"1551604076824767"</f>
        <v>1551604076824767</v>
      </c>
      <c r="C1773" t="s">
        <v>40</v>
      </c>
      <c r="D1773">
        <v>4.2216180000000003</v>
      </c>
      <c r="E1773">
        <v>0.48271730000000002</v>
      </c>
      <c r="F1773" t="s">
        <v>45</v>
      </c>
      <c r="G1773">
        <v>0</v>
      </c>
      <c r="H1773">
        <v>0</v>
      </c>
      <c r="I1773">
        <v>0</v>
      </c>
      <c r="J1773">
        <v>-409.06509999999997</v>
      </c>
      <c r="K1773">
        <v>1.121073</v>
      </c>
      <c r="L1773">
        <v>284.98509999999999</v>
      </c>
      <c r="M1773">
        <v>-0.99985409999999997</v>
      </c>
      <c r="N1773">
        <v>-1.2146880000000001E-2</v>
      </c>
      <c r="O1773">
        <v>1.2003959999999999E-2</v>
      </c>
      <c r="P1773">
        <v>-0.97832940000000002</v>
      </c>
      <c r="Q1773">
        <v>0.19909660000000001</v>
      </c>
      <c r="R1773">
        <v>5.6854130000000003E-2</v>
      </c>
      <c r="S1773">
        <v>-3.0263369999999998</v>
      </c>
      <c r="T1773">
        <v>0.19652459999999999</v>
      </c>
      <c r="U1773">
        <v>1.45874E-2</v>
      </c>
      <c r="V1773">
        <v>4.5024359999999999E-2</v>
      </c>
      <c r="W1773">
        <v>0.2109905</v>
      </c>
      <c r="X1773">
        <v>0.97645059999999995</v>
      </c>
      <c r="Y1773">
        <v>-7.1371159999999998E-3</v>
      </c>
      <c r="Z1773">
        <v>1.1124119999999999E-3</v>
      </c>
      <c r="AA1773">
        <v>0.99997389999999997</v>
      </c>
      <c r="AB1773">
        <v>37</v>
      </c>
      <c r="AC1773">
        <v>-3.0263369999999998</v>
      </c>
      <c r="AD1773">
        <v>0.19652459999999999</v>
      </c>
      <c r="AE1773">
        <v>1.45874E-2</v>
      </c>
      <c r="AF1773">
        <v>-2.1653054401222002E-2</v>
      </c>
      <c r="AG1773">
        <v>0.19652459999999999</v>
      </c>
      <c r="AH1773">
        <v>3.01358616854005</v>
      </c>
      <c r="AI1773">
        <v>86.268957049726893</v>
      </c>
      <c r="AJ1773">
        <v>90.411671414833194</v>
      </c>
      <c r="AK1773">
        <v>3.0200649609546399</v>
      </c>
      <c r="AL1773">
        <v>77.819595360032196</v>
      </c>
      <c r="AM1773">
        <v>87.359948522879805</v>
      </c>
      <c r="AN1773">
        <v>0.999999979162009</v>
      </c>
    </row>
    <row r="1774" spans="1:40" x14ac:dyDescent="0.25">
      <c r="A1774" t="str">
        <f>"20190303170756857"</f>
        <v>20190303170756857</v>
      </c>
      <c r="B1774" t="str">
        <f>"1551604076844287"</f>
        <v>1551604076844287</v>
      </c>
      <c r="C1774" t="s">
        <v>40</v>
      </c>
      <c r="D1774">
        <v>4.2226339999999896</v>
      </c>
      <c r="E1774">
        <v>0.4827767</v>
      </c>
      <c r="F1774" t="s">
        <v>45</v>
      </c>
      <c r="G1774">
        <v>0</v>
      </c>
      <c r="H1774">
        <v>0</v>
      </c>
      <c r="I1774">
        <v>0</v>
      </c>
      <c r="J1774">
        <v>-409.43709999999999</v>
      </c>
      <c r="K1774">
        <v>1.1210770000000001</v>
      </c>
      <c r="L1774">
        <v>284.98930000000001</v>
      </c>
      <c r="M1774">
        <v>-0.99985729999999995</v>
      </c>
      <c r="N1774">
        <v>-1.2108610000000001E-2</v>
      </c>
      <c r="O1774">
        <v>1.1786080000000001E-2</v>
      </c>
      <c r="P1774">
        <v>-0.97851250000000001</v>
      </c>
      <c r="Q1774">
        <v>0.19826530000000001</v>
      </c>
      <c r="R1774">
        <v>5.6608390000000001E-2</v>
      </c>
      <c r="S1774">
        <v>-3.0266109999999999</v>
      </c>
      <c r="T1774">
        <v>0.19199359999999999</v>
      </c>
      <c r="U1774">
        <v>1.3427730000000001E-2</v>
      </c>
      <c r="V1774">
        <v>4.4985219999999999E-2</v>
      </c>
      <c r="W1774">
        <v>0.2101248</v>
      </c>
      <c r="X1774">
        <v>0.97663909999999998</v>
      </c>
      <c r="Y1774">
        <v>-7.3051569999999996E-3</v>
      </c>
      <c r="Z1774">
        <v>1.076633E-3</v>
      </c>
      <c r="AA1774">
        <v>0.9999728</v>
      </c>
      <c r="AB1774">
        <v>37</v>
      </c>
      <c r="AC1774">
        <v>-3.0266109999999999</v>
      </c>
      <c r="AD1774">
        <v>0.19199359999999999</v>
      </c>
      <c r="AE1774">
        <v>1.3427730000000001E-2</v>
      </c>
      <c r="AF1774">
        <v>-2.2158530212012199E-2</v>
      </c>
      <c r="AG1774">
        <v>0.19199359999999999</v>
      </c>
      <c r="AH1774">
        <v>3.0144291291313299</v>
      </c>
      <c r="AI1774">
        <v>86.355764954974404</v>
      </c>
      <c r="AJ1774">
        <v>90.421163457643303</v>
      </c>
      <c r="AK1774">
        <v>3.0206183998409402</v>
      </c>
      <c r="AL1774">
        <v>77.870334263259494</v>
      </c>
      <c r="AM1774">
        <v>87.362748687937597</v>
      </c>
      <c r="AN1774">
        <v>1.00000001662114</v>
      </c>
    </row>
    <row r="1775" spans="1:40" x14ac:dyDescent="0.25">
      <c r="A1775" t="str">
        <f>"20190303170756879"</f>
        <v>20190303170756879</v>
      </c>
      <c r="B1775" t="str">
        <f>"1551604076864782"</f>
        <v>1551604076864782</v>
      </c>
      <c r="C1775" t="s">
        <v>40</v>
      </c>
      <c r="D1775">
        <v>4.1656309999999896</v>
      </c>
      <c r="E1775">
        <v>0.48287770000000002</v>
      </c>
      <c r="F1775" t="s">
        <v>45</v>
      </c>
      <c r="G1775">
        <v>0</v>
      </c>
      <c r="H1775">
        <v>0</v>
      </c>
      <c r="I1775">
        <v>0</v>
      </c>
      <c r="J1775">
        <v>-409.80160000000001</v>
      </c>
      <c r="K1775">
        <v>1.1210770000000001</v>
      </c>
      <c r="L1775">
        <v>284.99349999999998</v>
      </c>
      <c r="M1775">
        <v>-0.99986019999999998</v>
      </c>
      <c r="N1775">
        <v>-1.207566E-2</v>
      </c>
      <c r="O1775">
        <v>1.157012E-2</v>
      </c>
      <c r="P1775">
        <v>-0.97855020000000004</v>
      </c>
      <c r="Q1775">
        <v>0.198186</v>
      </c>
      <c r="R1775">
        <v>5.6231700000000003E-2</v>
      </c>
      <c r="S1775">
        <v>-3.0268860000000002</v>
      </c>
      <c r="T1775">
        <v>0.18889439999999999</v>
      </c>
      <c r="U1775">
        <v>1.312256E-2</v>
      </c>
      <c r="V1775">
        <v>4.4815889999999997E-2</v>
      </c>
      <c r="W1775">
        <v>0.21001429999999999</v>
      </c>
      <c r="X1775">
        <v>0.97667060000000006</v>
      </c>
      <c r="Y1775">
        <v>-7.1925180000000002E-3</v>
      </c>
      <c r="Z1775">
        <v>1.041625E-3</v>
      </c>
      <c r="AA1775">
        <v>0.99997360000000002</v>
      </c>
      <c r="AB1775">
        <v>37</v>
      </c>
      <c r="AC1775">
        <v>-3.0268860000000002</v>
      </c>
      <c r="AD1775">
        <v>0.18889439999999999</v>
      </c>
      <c r="AE1775">
        <v>1.312256E-2</v>
      </c>
      <c r="AF1775">
        <v>-2.18173396384987E-2</v>
      </c>
      <c r="AG1775">
        <v>0.18889439999999999</v>
      </c>
      <c r="AH1775">
        <v>3.01509329644353</v>
      </c>
      <c r="AI1775">
        <v>86.415221003487005</v>
      </c>
      <c r="AJ1775">
        <v>90.414587391420397</v>
      </c>
      <c r="AK1775">
        <v>3.0210833614647199</v>
      </c>
      <c r="AL1775">
        <v>77.876809313689094</v>
      </c>
      <c r="AM1775">
        <v>87.372746315098098</v>
      </c>
      <c r="AN1775">
        <v>0.99999996555267001</v>
      </c>
    </row>
    <row r="1776" spans="1:40" x14ac:dyDescent="0.25">
      <c r="A1776" t="str">
        <f>"20190303170756901"</f>
        <v>20190303170756901</v>
      </c>
      <c r="B1776" t="str">
        <f>"1551604076894063"</f>
        <v>1551604076894063</v>
      </c>
      <c r="C1776" t="s">
        <v>40</v>
      </c>
      <c r="D1776">
        <v>4.1337979999999996</v>
      </c>
      <c r="E1776">
        <v>0.48301460000000002</v>
      </c>
      <c r="F1776" t="s">
        <v>45</v>
      </c>
      <c r="G1776">
        <v>0</v>
      </c>
      <c r="H1776">
        <v>0</v>
      </c>
      <c r="I1776">
        <v>0</v>
      </c>
      <c r="J1776">
        <v>-410.1823</v>
      </c>
      <c r="K1776">
        <v>1.121089</v>
      </c>
      <c r="L1776">
        <v>284.99770000000001</v>
      </c>
      <c r="M1776">
        <v>-0.9998631</v>
      </c>
      <c r="N1776">
        <v>-1.204557E-2</v>
      </c>
      <c r="O1776">
        <v>1.134545E-2</v>
      </c>
      <c r="P1776">
        <v>-0.97855879999999995</v>
      </c>
      <c r="Q1776">
        <v>0.1980789</v>
      </c>
      <c r="R1776">
        <v>5.6460000000000003E-2</v>
      </c>
      <c r="S1776">
        <v>-3.0268860000000002</v>
      </c>
      <c r="T1776">
        <v>0.18842980000000001</v>
      </c>
      <c r="U1776">
        <v>1.2512209999999999E-2</v>
      </c>
      <c r="V1776">
        <v>4.5260979999999999E-2</v>
      </c>
      <c r="W1776">
        <v>0.2098787</v>
      </c>
      <c r="X1776">
        <v>0.97667930000000003</v>
      </c>
      <c r="Y1776">
        <v>-7.17032E-3</v>
      </c>
      <c r="Z1776">
        <v>1.0218339999999999E-3</v>
      </c>
      <c r="AA1776">
        <v>0.99997380000000002</v>
      </c>
      <c r="AB1776">
        <v>37</v>
      </c>
      <c r="AC1776">
        <v>-3.0268860000000002</v>
      </c>
      <c r="AD1776">
        <v>0.18842980000000001</v>
      </c>
      <c r="AE1776">
        <v>1.2512209999999999E-2</v>
      </c>
      <c r="AF1776">
        <v>-2.1748190622687898E-2</v>
      </c>
      <c r="AG1776">
        <v>0.18842980000000001</v>
      </c>
      <c r="AH1776">
        <v>3.0151486710149999</v>
      </c>
      <c r="AI1776">
        <v>86.424080039995999</v>
      </c>
      <c r="AJ1776">
        <v>90.413265832445205</v>
      </c>
      <c r="AK1776">
        <v>3.0211091144887301</v>
      </c>
      <c r="AL1776">
        <v>77.8847566404025</v>
      </c>
      <c r="AM1776">
        <v>87.346714393592805</v>
      </c>
      <c r="AN1776">
        <v>1.00000004003636</v>
      </c>
    </row>
    <row r="1777" spans="1:40" x14ac:dyDescent="0.25">
      <c r="A1777" t="str">
        <f>"20190303170756923"</f>
        <v>20190303170756923</v>
      </c>
      <c r="B1777" t="str">
        <f>"1551604076914559"</f>
        <v>1551604076914559</v>
      </c>
      <c r="C1777" t="s">
        <v>40</v>
      </c>
      <c r="D1777">
        <v>4.1669960000000001</v>
      </c>
      <c r="E1777">
        <v>0.48308190000000001</v>
      </c>
      <c r="F1777" t="s">
        <v>45</v>
      </c>
      <c r="G1777">
        <v>0</v>
      </c>
      <c r="H1777">
        <v>0</v>
      </c>
      <c r="I1777">
        <v>0</v>
      </c>
      <c r="J1777">
        <v>-410.54860000000002</v>
      </c>
      <c r="K1777">
        <v>1.121089</v>
      </c>
      <c r="L1777">
        <v>285.0016</v>
      </c>
      <c r="M1777">
        <v>-0.99986589999999997</v>
      </c>
      <c r="N1777">
        <v>-1.2017699999999999E-2</v>
      </c>
      <c r="O1777">
        <v>1.1131159999999999E-2</v>
      </c>
      <c r="P1777">
        <v>-0.97871399999999997</v>
      </c>
      <c r="Q1777">
        <v>0.19762569999999999</v>
      </c>
      <c r="R1777">
        <v>5.5346050000000001E-2</v>
      </c>
      <c r="S1777">
        <v>-3.0268860000000002</v>
      </c>
      <c r="T1777">
        <v>0.18790270000000001</v>
      </c>
      <c r="U1777">
        <v>1.422119E-2</v>
      </c>
      <c r="V1777">
        <v>4.4352519999999999E-2</v>
      </c>
      <c r="W1777">
        <v>0.2093999</v>
      </c>
      <c r="X1777">
        <v>0.97682369999999996</v>
      </c>
      <c r="Y1777">
        <v>-6.3934459999999997E-3</v>
      </c>
      <c r="Z1777">
        <v>9.8374500000000006E-4</v>
      </c>
      <c r="AA1777">
        <v>0.99997910000000001</v>
      </c>
      <c r="AB1777">
        <v>37</v>
      </c>
      <c r="AC1777">
        <v>-3.0268860000000002</v>
      </c>
      <c r="AD1777">
        <v>0.18790270000000001</v>
      </c>
      <c r="AE1777">
        <v>1.422119E-2</v>
      </c>
      <c r="AF1777">
        <v>-1.9400114506614399E-2</v>
      </c>
      <c r="AG1777">
        <v>0.18790270000000001</v>
      </c>
      <c r="AH1777">
        <v>3.0152373004713602</v>
      </c>
      <c r="AI1777">
        <v>86.434142857798193</v>
      </c>
      <c r="AJ1777">
        <v>90.368637435407607</v>
      </c>
      <c r="AK1777">
        <v>3.0211487496089902</v>
      </c>
      <c r="AL1777">
        <v>77.912812851597195</v>
      </c>
      <c r="AM1777">
        <v>87.400280067508703</v>
      </c>
      <c r="AN1777">
        <v>1.0000000025160201</v>
      </c>
    </row>
    <row r="1778" spans="1:40" x14ac:dyDescent="0.25">
      <c r="A1778" t="str">
        <f>"20190303170756945"</f>
        <v>20190303170756945</v>
      </c>
      <c r="B1778" t="str">
        <f>"1551604076934079"</f>
        <v>1551604076934079</v>
      </c>
      <c r="C1778" t="s">
        <v>40</v>
      </c>
      <c r="D1778">
        <v>4.1286949999999996</v>
      </c>
      <c r="E1778">
        <v>0.48317909999999997</v>
      </c>
      <c r="F1778" t="s">
        <v>45</v>
      </c>
      <c r="G1778">
        <v>0</v>
      </c>
      <c r="H1778">
        <v>0</v>
      </c>
      <c r="I1778">
        <v>0</v>
      </c>
      <c r="J1778">
        <v>-410.91500000000002</v>
      </c>
      <c r="K1778">
        <v>1.1210819999999999</v>
      </c>
      <c r="L1778">
        <v>285.00549999999998</v>
      </c>
      <c r="M1778">
        <v>-0.9998686</v>
      </c>
      <c r="N1778">
        <v>-1.1989150000000001E-2</v>
      </c>
      <c r="O1778">
        <v>1.09192E-2</v>
      </c>
      <c r="P1778">
        <v>-0.97884179999999998</v>
      </c>
      <c r="Q1778">
        <v>0.19729450000000001</v>
      </c>
      <c r="R1778">
        <v>5.4260280000000001E-2</v>
      </c>
      <c r="S1778">
        <v>-3.0269780000000002</v>
      </c>
      <c r="T1778">
        <v>0.18623200000000001</v>
      </c>
      <c r="U1778">
        <v>1.138306E-2</v>
      </c>
      <c r="V1778">
        <v>4.3471059999999999E-2</v>
      </c>
      <c r="W1778">
        <v>0.2090427</v>
      </c>
      <c r="X1778">
        <v>0.97693980000000002</v>
      </c>
      <c r="Y1778">
        <v>-7.1193159999999997E-3</v>
      </c>
      <c r="Z1778">
        <v>9.7799999999999992E-4</v>
      </c>
      <c r="AA1778">
        <v>0.99997420000000004</v>
      </c>
      <c r="AB1778">
        <v>37</v>
      </c>
      <c r="AC1778">
        <v>-3.0269780000000002</v>
      </c>
      <c r="AD1778">
        <v>0.18623200000000001</v>
      </c>
      <c r="AE1778">
        <v>1.138306E-2</v>
      </c>
      <c r="AF1778">
        <v>-2.1590446291115999E-2</v>
      </c>
      <c r="AG1778">
        <v>0.18623200000000001</v>
      </c>
      <c r="AH1778">
        <v>3.0155076487712198</v>
      </c>
      <c r="AI1778">
        <v>86.466100694150597</v>
      </c>
      <c r="AJ1778">
        <v>90.410219590511403</v>
      </c>
      <c r="AK1778">
        <v>3.0213299861141998</v>
      </c>
      <c r="AL1778">
        <v>77.933741805260993</v>
      </c>
      <c r="AM1778">
        <v>87.452180417947005</v>
      </c>
      <c r="AN1778">
        <v>0.99999997815242603</v>
      </c>
    </row>
    <row r="1779" spans="1:40" x14ac:dyDescent="0.25">
      <c r="A1779" t="str">
        <f>"20190303170756968"</f>
        <v>20190303170756968</v>
      </c>
      <c r="B1779" t="str">
        <f>"1551604076954575"</f>
        <v>1551604076954575</v>
      </c>
      <c r="C1779" t="s">
        <v>40</v>
      </c>
      <c r="D1779">
        <v>4.0605969999999996</v>
      </c>
      <c r="E1779">
        <v>0.4832013</v>
      </c>
      <c r="F1779" t="s">
        <v>45</v>
      </c>
      <c r="G1779">
        <v>0</v>
      </c>
      <c r="H1779">
        <v>0</v>
      </c>
      <c r="I1779">
        <v>0</v>
      </c>
      <c r="J1779">
        <v>-411.29129999999998</v>
      </c>
      <c r="K1779">
        <v>1.121078</v>
      </c>
      <c r="L1779">
        <v>285.00940000000003</v>
      </c>
      <c r="M1779">
        <v>-0.99987119999999996</v>
      </c>
      <c r="N1779">
        <v>-1.196082E-2</v>
      </c>
      <c r="O1779">
        <v>1.0701840000000001E-2</v>
      </c>
      <c r="P1779">
        <v>-0.97889360000000003</v>
      </c>
      <c r="Q1779">
        <v>0.1970421</v>
      </c>
      <c r="R1779">
        <v>5.4237430000000003E-2</v>
      </c>
      <c r="S1779">
        <v>-3.0270389999999998</v>
      </c>
      <c r="T1779">
        <v>0.18503459999999999</v>
      </c>
      <c r="U1779">
        <v>9.3078610000000006E-3</v>
      </c>
      <c r="V1779">
        <v>4.3658839999999997E-2</v>
      </c>
      <c r="W1779">
        <v>0.20876330000000001</v>
      </c>
      <c r="X1779">
        <v>0.97699119999999995</v>
      </c>
      <c r="Y1779">
        <v>-7.587898E-3</v>
      </c>
      <c r="Z1779">
        <v>9.6770030000000004E-4</v>
      </c>
      <c r="AA1779">
        <v>0.99997069999999999</v>
      </c>
      <c r="AB1779">
        <v>37</v>
      </c>
      <c r="AC1779">
        <v>-3.0270389999999998</v>
      </c>
      <c r="AD1779">
        <v>0.18503459999999999</v>
      </c>
      <c r="AE1779">
        <v>9.3078610000000006E-3</v>
      </c>
      <c r="AF1779">
        <v>-2.30039222064337E-2</v>
      </c>
      <c r="AG1779">
        <v>0.18503459999999999</v>
      </c>
      <c r="AH1779">
        <v>3.0156970741681701</v>
      </c>
      <c r="AI1779">
        <v>86.488997401177002</v>
      </c>
      <c r="AJ1779">
        <v>90.437047242805804</v>
      </c>
      <c r="AK1779">
        <v>3.0214559117717501</v>
      </c>
      <c r="AL1779">
        <v>77.950111776245095</v>
      </c>
      <c r="AM1779">
        <v>87.441323753272201</v>
      </c>
      <c r="AN1779">
        <v>1.0000000073072299</v>
      </c>
    </row>
    <row r="1780" spans="1:40" x14ac:dyDescent="0.25">
      <c r="A1780" t="str">
        <f>"20190303170756991"</f>
        <v>20190303170756991</v>
      </c>
      <c r="B1780" t="str">
        <f>"1551604076984831"</f>
        <v>1551604076984831</v>
      </c>
      <c r="C1780" t="s">
        <v>40</v>
      </c>
      <c r="D1780">
        <v>4.0815000000000001</v>
      </c>
      <c r="E1780">
        <v>0.48302889999999998</v>
      </c>
      <c r="F1780" t="s">
        <v>45</v>
      </c>
      <c r="G1780">
        <v>0</v>
      </c>
      <c r="H1780">
        <v>0</v>
      </c>
      <c r="I1780">
        <v>0</v>
      </c>
      <c r="J1780">
        <v>-411.68239999999997</v>
      </c>
      <c r="K1780">
        <v>1.12107</v>
      </c>
      <c r="L1780">
        <v>285.01339999999999</v>
      </c>
      <c r="M1780">
        <v>-0.99987400000000004</v>
      </c>
      <c r="N1780">
        <v>-1.1929810000000001E-2</v>
      </c>
      <c r="O1780">
        <v>1.0480069999999999E-2</v>
      </c>
      <c r="P1780">
        <v>-0.97891719999999904</v>
      </c>
      <c r="Q1780">
        <v>0.19690089999999999</v>
      </c>
      <c r="R1780">
        <v>5.4325610000000003E-2</v>
      </c>
      <c r="S1780">
        <v>-3.0270389999999998</v>
      </c>
      <c r="T1780">
        <v>0.18464900000000001</v>
      </c>
      <c r="U1780">
        <v>8.9111329999999999E-3</v>
      </c>
      <c r="V1780">
        <v>4.396386E-2</v>
      </c>
      <c r="W1780">
        <v>0.20859220000000001</v>
      </c>
      <c r="X1780">
        <v>0.9770141</v>
      </c>
      <c r="Y1780">
        <v>-7.4980469999999999E-3</v>
      </c>
      <c r="Z1780">
        <v>9.4728650000000005E-4</v>
      </c>
      <c r="AA1780">
        <v>0.99997139999999995</v>
      </c>
      <c r="AB1780">
        <v>37</v>
      </c>
      <c r="AC1780">
        <v>-3.0270389999999998</v>
      </c>
      <c r="AD1780">
        <v>0.18464900000000001</v>
      </c>
      <c r="AE1780">
        <v>8.9111329999999999E-3</v>
      </c>
      <c r="AF1780">
        <v>-2.27306125595041E-2</v>
      </c>
      <c r="AG1780">
        <v>0.18464900000000001</v>
      </c>
      <c r="AH1780">
        <v>3.0157446923762801</v>
      </c>
      <c r="AI1780">
        <v>86.496348635634902</v>
      </c>
      <c r="AJ1780">
        <v>90.4318480627865</v>
      </c>
      <c r="AK1780">
        <v>3.0214777814082998</v>
      </c>
      <c r="AL1780">
        <v>77.960136157943097</v>
      </c>
      <c r="AM1780">
        <v>87.423532022787697</v>
      </c>
      <c r="AN1780">
        <v>1.0000000392428701</v>
      </c>
    </row>
    <row r="1781" spans="1:40" x14ac:dyDescent="0.25">
      <c r="A1781" t="str">
        <f>"20190303170757012"</f>
        <v>20190303170757012</v>
      </c>
      <c r="B1781" t="str">
        <f>"1551604077004354"</f>
        <v>1551604077004354</v>
      </c>
      <c r="C1781" t="s">
        <v>40</v>
      </c>
      <c r="D1781">
        <v>4.1374649999999997</v>
      </c>
      <c r="E1781">
        <v>0.4772035</v>
      </c>
      <c r="F1781" t="s">
        <v>45</v>
      </c>
      <c r="G1781">
        <v>0</v>
      </c>
      <c r="H1781">
        <v>0</v>
      </c>
      <c r="I1781">
        <v>0</v>
      </c>
      <c r="J1781">
        <v>-412.03489999999999</v>
      </c>
      <c r="K1781">
        <v>1.121057</v>
      </c>
      <c r="L1781">
        <v>285.01690000000002</v>
      </c>
      <c r="M1781">
        <v>-0.99987630000000005</v>
      </c>
      <c r="N1781">
        <v>-1.1901139999999999E-2</v>
      </c>
      <c r="O1781">
        <v>1.028658E-2</v>
      </c>
      <c r="P1781">
        <v>-0.97918240000000001</v>
      </c>
      <c r="Q1781">
        <v>0.1957662</v>
      </c>
      <c r="R1781">
        <v>5.3644619999999997E-2</v>
      </c>
      <c r="S1781">
        <v>-3.0283509999999998</v>
      </c>
      <c r="T1781">
        <v>0.17841609999999999</v>
      </c>
      <c r="U1781">
        <v>7.019043E-3</v>
      </c>
      <c r="V1781">
        <v>4.3471650000000001E-2</v>
      </c>
      <c r="W1781">
        <v>0.2074318</v>
      </c>
      <c r="X1781">
        <v>0.97728309999999996</v>
      </c>
      <c r="Y1781">
        <v>-7.9328899999999997E-3</v>
      </c>
      <c r="Z1781">
        <v>9.1404370000000004E-4</v>
      </c>
      <c r="AA1781">
        <v>0.99996810000000003</v>
      </c>
      <c r="AB1781">
        <v>37</v>
      </c>
      <c r="AC1781">
        <v>-3.0283509999999998</v>
      </c>
      <c r="AD1781">
        <v>0.17841609999999999</v>
      </c>
      <c r="AE1781">
        <v>7.019043E-3</v>
      </c>
      <c r="AF1781">
        <v>-2.40514262930243E-2</v>
      </c>
      <c r="AG1781">
        <v>0.17841609999999999</v>
      </c>
      <c r="AH1781">
        <v>3.0177882475390501</v>
      </c>
      <c r="AI1781">
        <v>86.616634534667398</v>
      </c>
      <c r="AJ1781">
        <v>90.456631124702497</v>
      </c>
      <c r="AK1781">
        <v>3.0231534335575398</v>
      </c>
      <c r="AL1781">
        <v>78.028108485600598</v>
      </c>
      <c r="AM1781">
        <v>87.453039715250299</v>
      </c>
      <c r="AN1781">
        <v>0.99999999677528595</v>
      </c>
    </row>
    <row r="1782" spans="1:40" x14ac:dyDescent="0.25">
      <c r="A1782" t="str">
        <f>"20190303170757035"</f>
        <v>20190303170757035</v>
      </c>
      <c r="B1782" t="str">
        <f>"1551604077024846"</f>
        <v>1551604077024846</v>
      </c>
      <c r="C1782" t="s">
        <v>40</v>
      </c>
      <c r="D1782">
        <v>4.1305170000000002</v>
      </c>
      <c r="E1782">
        <v>0.47640939999999998</v>
      </c>
      <c r="F1782" t="s">
        <v>57</v>
      </c>
      <c r="G1782">
        <v>-486.9581</v>
      </c>
      <c r="H1782" s="1">
        <v>3.3642919999999999E-6</v>
      </c>
      <c r="I1782">
        <v>283.75029999999998</v>
      </c>
      <c r="J1782">
        <v>-412.4203</v>
      </c>
      <c r="K1782">
        <v>1.121032</v>
      </c>
      <c r="L1782">
        <v>285.02069999999998</v>
      </c>
      <c r="M1782">
        <v>-0.99987879999999996</v>
      </c>
      <c r="N1782">
        <v>-1.187154E-2</v>
      </c>
      <c r="O1782">
        <v>1.008187E-2</v>
      </c>
      <c r="P1782">
        <v>-0.97951739999999998</v>
      </c>
      <c r="Q1782">
        <v>0.194352</v>
      </c>
      <c r="R1782">
        <v>5.2660819999999997E-2</v>
      </c>
      <c r="S1782">
        <v>-3.0758670000000001</v>
      </c>
      <c r="T1782">
        <v>-4.6023250000000002E-2</v>
      </c>
      <c r="U1782">
        <v>-5.2001949999999998E-2</v>
      </c>
      <c r="V1782">
        <v>4.2688240000000002E-2</v>
      </c>
      <c r="W1782">
        <v>0.20599210000000001</v>
      </c>
      <c r="X1782">
        <v>0.97762210000000005</v>
      </c>
      <c r="Y1782">
        <v>-2.697884E-2</v>
      </c>
      <c r="Z1782">
        <v>-3.9313919999999999E-4</v>
      </c>
      <c r="AA1782">
        <v>0.99963590000000002</v>
      </c>
      <c r="AB1782">
        <v>37</v>
      </c>
      <c r="AC1782">
        <v>-74.537800000000004</v>
      </c>
      <c r="AD1782">
        <v>-1.1210286357079999</v>
      </c>
      <c r="AE1782">
        <v>-1.27039999999999</v>
      </c>
      <c r="AF1782">
        <v>-2.0214116247869298</v>
      </c>
      <c r="AG1782">
        <v>-1.1210286357079999</v>
      </c>
      <c r="AH1782">
        <v>74.504354784873698</v>
      </c>
      <c r="AI1782">
        <v>90.861717964862606</v>
      </c>
      <c r="AJ1782">
        <v>91.554136654973206</v>
      </c>
      <c r="AK1782">
        <v>74.540201851546101</v>
      </c>
      <c r="AL1782">
        <v>78.112418209526396</v>
      </c>
      <c r="AM1782">
        <v>87.499746285970403</v>
      </c>
      <c r="AN1782">
        <v>1.00000000075255</v>
      </c>
    </row>
    <row r="1783" spans="1:40" x14ac:dyDescent="0.25">
      <c r="A1783" t="str">
        <f>"20190303170757058"</f>
        <v>20190303170757058</v>
      </c>
      <c r="B1783" t="str">
        <f>"1551604077044367"</f>
        <v>1551604077044367</v>
      </c>
      <c r="C1783" t="s">
        <v>40</v>
      </c>
      <c r="D1783">
        <v>4.1007360000000004</v>
      </c>
      <c r="E1783">
        <v>0.4762092</v>
      </c>
      <c r="F1783" t="s">
        <v>57</v>
      </c>
      <c r="G1783">
        <v>-474.90949999999998</v>
      </c>
      <c r="H1783" s="1">
        <v>4.3629880000000001E-6</v>
      </c>
      <c r="I1783">
        <v>283.77</v>
      </c>
      <c r="J1783">
        <v>-412.79669999999999</v>
      </c>
      <c r="K1783">
        <v>1.1210089999999999</v>
      </c>
      <c r="L1783">
        <v>285.02429999999998</v>
      </c>
      <c r="M1783">
        <v>-0.99988109999999997</v>
      </c>
      <c r="N1783">
        <v>-1.184518E-2</v>
      </c>
      <c r="O1783">
        <v>9.8902699999999996E-3</v>
      </c>
      <c r="P1783">
        <v>-0.97968390000000005</v>
      </c>
      <c r="Q1783">
        <v>0.19357659999999999</v>
      </c>
      <c r="R1783">
        <v>5.2418979999999997E-2</v>
      </c>
      <c r="S1783">
        <v>-3.076965</v>
      </c>
      <c r="T1783">
        <v>-5.5199379999999999E-2</v>
      </c>
      <c r="U1783">
        <v>-6.1584470000000002E-2</v>
      </c>
      <c r="V1783">
        <v>4.2636239999999999E-2</v>
      </c>
      <c r="W1783">
        <v>0.20519180000000001</v>
      </c>
      <c r="X1783">
        <v>0.97779269999999996</v>
      </c>
      <c r="Y1783">
        <v>-2.9890509999999999E-2</v>
      </c>
      <c r="Z1783">
        <v>-5.0539699999999999E-4</v>
      </c>
      <c r="AA1783">
        <v>0.99955300000000002</v>
      </c>
      <c r="AB1783">
        <v>38</v>
      </c>
      <c r="AC1783">
        <v>-62.112799999999901</v>
      </c>
      <c r="AD1783">
        <v>-1.1210046370119999</v>
      </c>
      <c r="AE1783">
        <v>-1.2543</v>
      </c>
      <c r="AF1783">
        <v>-1.8679857990703399</v>
      </c>
      <c r="AG1783">
        <v>-1.1210046370119999</v>
      </c>
      <c r="AH1783">
        <v>62.077143503317302</v>
      </c>
      <c r="AI1783">
        <v>91.034081152761402</v>
      </c>
      <c r="AJ1783">
        <v>91.723587939203497</v>
      </c>
      <c r="AK1783">
        <v>62.115358550628798</v>
      </c>
      <c r="AL1783">
        <v>78.159273462348693</v>
      </c>
      <c r="AM1783">
        <v>87.503223220971407</v>
      </c>
      <c r="AN1783">
        <v>1.00000004396093</v>
      </c>
    </row>
    <row r="1784" spans="1:40" x14ac:dyDescent="0.25">
      <c r="A1784" t="str">
        <f>"20190303170757081"</f>
        <v>20190303170757081</v>
      </c>
      <c r="B1784" t="str">
        <f>"1551604077074623"</f>
        <v>1551604077074623</v>
      </c>
      <c r="C1784" t="s">
        <v>40</v>
      </c>
      <c r="D1784">
        <v>4.1229979999999999</v>
      </c>
      <c r="E1784">
        <v>0.47683599999999998</v>
      </c>
      <c r="F1784" t="s">
        <v>57</v>
      </c>
      <c r="G1784">
        <v>-473.48239999999998</v>
      </c>
      <c r="H1784" s="1">
        <v>4.9925500000000002E-6</v>
      </c>
      <c r="I1784">
        <v>283.73259999999999</v>
      </c>
      <c r="J1784">
        <v>-413.18</v>
      </c>
      <c r="K1784">
        <v>1.120997</v>
      </c>
      <c r="L1784">
        <v>285.02800000000002</v>
      </c>
      <c r="M1784">
        <v>-0.99988310000000002</v>
      </c>
      <c r="N1784">
        <v>-1.181895E-2</v>
      </c>
      <c r="O1784">
        <v>9.7027759999999998E-3</v>
      </c>
      <c r="P1784">
        <v>-0.97978200000000004</v>
      </c>
      <c r="Q1784">
        <v>0.1929468</v>
      </c>
      <c r="R1784">
        <v>5.29074E-2</v>
      </c>
      <c r="S1784">
        <v>-3.0769039999999999</v>
      </c>
      <c r="T1784">
        <v>-5.6837440000000003E-2</v>
      </c>
      <c r="U1784">
        <v>-6.5490720000000002E-2</v>
      </c>
      <c r="V1784">
        <v>4.3310969999999997E-2</v>
      </c>
      <c r="W1784">
        <v>0.204537</v>
      </c>
      <c r="X1784">
        <v>0.9779002</v>
      </c>
      <c r="Y1784">
        <v>-3.0971169999999999E-2</v>
      </c>
      <c r="Z1784">
        <v>-5.3361019999999997E-4</v>
      </c>
      <c r="AA1784">
        <v>0.99952010000000002</v>
      </c>
      <c r="AB1784">
        <v>38</v>
      </c>
      <c r="AC1784">
        <v>-60.302399999999899</v>
      </c>
      <c r="AD1784">
        <v>-1.1209920074499999</v>
      </c>
      <c r="AE1784">
        <v>-1.2954000000000201</v>
      </c>
      <c r="AF1784">
        <v>-1.8798312359097</v>
      </c>
      <c r="AG1784">
        <v>-1.1209920074499999</v>
      </c>
      <c r="AH1784">
        <v>60.266174566134097</v>
      </c>
      <c r="AI1784">
        <v>91.065099847021202</v>
      </c>
      <c r="AJ1784">
        <v>91.786598970181302</v>
      </c>
      <c r="AK1784">
        <v>60.305905062373597</v>
      </c>
      <c r="AL1784">
        <v>78.197603335633801</v>
      </c>
      <c r="AM1784">
        <v>87.464040691536098</v>
      </c>
      <c r="AN1784">
        <v>1.0000000128256901</v>
      </c>
    </row>
    <row r="1785" spans="1:40" x14ac:dyDescent="0.25">
      <c r="A1785" t="str">
        <f>"20190303170757101"</f>
        <v>20190303170757101</v>
      </c>
      <c r="B1785" t="str">
        <f>"1551604077094146"</f>
        <v>1551604077094146</v>
      </c>
      <c r="C1785" t="s">
        <v>40</v>
      </c>
      <c r="D1785">
        <v>4.0736730000000003</v>
      </c>
      <c r="E1785">
        <v>0.47728500000000001</v>
      </c>
      <c r="F1785" t="s">
        <v>57</v>
      </c>
      <c r="G1785">
        <v>-474.88010000000003</v>
      </c>
      <c r="H1785" s="1">
        <v>4.3825239999999998E-6</v>
      </c>
      <c r="I1785">
        <v>283.84480000000002</v>
      </c>
      <c r="J1785">
        <v>-413.53379999999999</v>
      </c>
      <c r="K1785">
        <v>1.120986</v>
      </c>
      <c r="L1785">
        <v>285.03120000000001</v>
      </c>
      <c r="M1785">
        <v>-0.99988509999999997</v>
      </c>
      <c r="N1785">
        <v>-1.179319E-2</v>
      </c>
      <c r="O1785">
        <v>9.5349240000000002E-3</v>
      </c>
      <c r="P1785">
        <v>-0.98013130000000004</v>
      </c>
      <c r="Q1785">
        <v>0.19134219999999999</v>
      </c>
      <c r="R1785">
        <v>5.2259609999999998E-2</v>
      </c>
      <c r="S1785">
        <v>-3.0761720000000001</v>
      </c>
      <c r="T1785">
        <v>-5.5889130000000002E-2</v>
      </c>
      <c r="U1785">
        <v>-5.8990479999999998E-2</v>
      </c>
      <c r="V1785">
        <v>4.2827270000000001E-2</v>
      </c>
      <c r="W1785">
        <v>0.20291049999999999</v>
      </c>
      <c r="X1785">
        <v>0.97826029999999997</v>
      </c>
      <c r="Y1785">
        <v>-2.8698029999999999E-2</v>
      </c>
      <c r="Z1785">
        <v>-4.9068810000000001E-4</v>
      </c>
      <c r="AA1785">
        <v>0.99958800000000003</v>
      </c>
      <c r="AB1785">
        <v>38</v>
      </c>
      <c r="AC1785">
        <v>-61.346299999999999</v>
      </c>
      <c r="AD1785">
        <v>-1.1209816174759999</v>
      </c>
      <c r="AE1785">
        <v>-1.1863999999999899</v>
      </c>
      <c r="AF1785">
        <v>-1.77072795821081</v>
      </c>
      <c r="AG1785">
        <v>-1.1209816174759999</v>
      </c>
      <c r="AH1785">
        <v>61.311733373729297</v>
      </c>
      <c r="AI1785">
        <v>91.0470035105687</v>
      </c>
      <c r="AJ1785">
        <v>91.654284414511295</v>
      </c>
      <c r="AK1785">
        <v>61.347540509624203</v>
      </c>
      <c r="AL1785">
        <v>78.292791379453305</v>
      </c>
      <c r="AM1785">
        <v>87.4932480109821</v>
      </c>
      <c r="AN1785">
        <v>1.0000000303109899</v>
      </c>
    </row>
    <row r="1786" spans="1:40" x14ac:dyDescent="0.25">
      <c r="A1786" t="str">
        <f>"20190303170757124"</f>
        <v>20190303170757124</v>
      </c>
      <c r="B1786" t="str">
        <f>"1551604077114639"</f>
        <v>1551604077114639</v>
      </c>
      <c r="C1786" t="s">
        <v>40</v>
      </c>
      <c r="D1786">
        <v>4.0603899999999999</v>
      </c>
      <c r="E1786">
        <v>0.4775702</v>
      </c>
      <c r="F1786" t="s">
        <v>57</v>
      </c>
      <c r="G1786">
        <v>-472.35989999999998</v>
      </c>
      <c r="H1786" s="1">
        <v>5.5077529999999998E-6</v>
      </c>
      <c r="I1786">
        <v>283.93200000000002</v>
      </c>
      <c r="J1786">
        <v>-413.91489999999999</v>
      </c>
      <c r="K1786">
        <v>1.1209739999999999</v>
      </c>
      <c r="L1786">
        <v>285.03469999999999</v>
      </c>
      <c r="M1786">
        <v>-0.99988699999999997</v>
      </c>
      <c r="N1786">
        <v>-1.176545E-2</v>
      </c>
      <c r="O1786">
        <v>9.3586650000000004E-3</v>
      </c>
      <c r="P1786">
        <v>-0.98035709999999998</v>
      </c>
      <c r="Q1786">
        <v>0.1901467</v>
      </c>
      <c r="R1786">
        <v>5.2388089999999998E-2</v>
      </c>
      <c r="S1786">
        <v>-3.0753170000000001</v>
      </c>
      <c r="T1786">
        <v>-5.8602689999999999E-2</v>
      </c>
      <c r="U1786">
        <v>-5.7464599999999998E-2</v>
      </c>
      <c r="V1786">
        <v>4.312887E-2</v>
      </c>
      <c r="W1786">
        <v>0.2016907</v>
      </c>
      <c r="X1786">
        <v>0.97849920000000001</v>
      </c>
      <c r="Y1786">
        <v>-2.8030869999999999E-2</v>
      </c>
      <c r="Z1786">
        <v>-5.0017940000000004E-4</v>
      </c>
      <c r="AA1786">
        <v>0.99960689999999996</v>
      </c>
      <c r="AB1786">
        <v>38</v>
      </c>
      <c r="AC1786">
        <v>-58.444999999999901</v>
      </c>
      <c r="AD1786">
        <v>-1.120968492247</v>
      </c>
      <c r="AE1786">
        <v>-1.10269999999997</v>
      </c>
      <c r="AF1786">
        <v>-1.64905031610644</v>
      </c>
      <c r="AG1786">
        <v>-1.120968492247</v>
      </c>
      <c r="AH1786">
        <v>58.410639871577899</v>
      </c>
      <c r="AI1786">
        <v>91.099000273957103</v>
      </c>
      <c r="AJ1786">
        <v>91.617146001076705</v>
      </c>
      <c r="AK1786">
        <v>58.444664320302401</v>
      </c>
      <c r="AL1786">
        <v>78.364155537894703</v>
      </c>
      <c r="AM1786">
        <v>87.476233142988093</v>
      </c>
      <c r="AN1786">
        <v>0.99999996114730205</v>
      </c>
    </row>
    <row r="1787" spans="1:40" x14ac:dyDescent="0.25">
      <c r="A1787" t="str">
        <f>"20190303170757146"</f>
        <v>20190303170757146</v>
      </c>
      <c r="B1787" t="str">
        <f>"1551604077134159"</f>
        <v>1551604077134159</v>
      </c>
      <c r="C1787" t="s">
        <v>40</v>
      </c>
      <c r="D1787">
        <v>4.0693029999999997</v>
      </c>
      <c r="E1787">
        <v>0.47764299999999998</v>
      </c>
      <c r="F1787" t="s">
        <v>57</v>
      </c>
      <c r="G1787">
        <v>-471.03550000000001</v>
      </c>
      <c r="H1787" s="1">
        <v>6.1036299999999999E-6</v>
      </c>
      <c r="I1787">
        <v>284.02949999999998</v>
      </c>
      <c r="J1787">
        <v>-414.28440000000001</v>
      </c>
      <c r="K1787">
        <v>1.120968</v>
      </c>
      <c r="L1787">
        <v>285.03800000000001</v>
      </c>
      <c r="M1787">
        <v>-0.99988889999999997</v>
      </c>
      <c r="N1787">
        <v>-1.1740509999999999E-2</v>
      </c>
      <c r="O1787">
        <v>9.1905330000000007E-3</v>
      </c>
      <c r="P1787">
        <v>-0.98039339999999997</v>
      </c>
      <c r="Q1787">
        <v>0.1897962</v>
      </c>
      <c r="R1787">
        <v>5.2973819999999998E-2</v>
      </c>
      <c r="S1787">
        <v>-3.074738</v>
      </c>
      <c r="T1787">
        <v>-6.0340520000000002E-2</v>
      </c>
      <c r="U1787">
        <v>-5.4107669999999997E-2</v>
      </c>
      <c r="V1787">
        <v>4.3880120000000002E-2</v>
      </c>
      <c r="W1787">
        <v>0.2013162</v>
      </c>
      <c r="X1787">
        <v>0.97854300000000005</v>
      </c>
      <c r="Y1787">
        <v>-2.6775239999999999E-2</v>
      </c>
      <c r="Z1787">
        <v>-4.9233980000000001E-4</v>
      </c>
      <c r="AA1787">
        <v>0.99964140000000001</v>
      </c>
      <c r="AB1787">
        <v>38</v>
      </c>
      <c r="AC1787">
        <v>-56.751100000000001</v>
      </c>
      <c r="AD1787">
        <v>-1.1209618963700001</v>
      </c>
      <c r="AE1787">
        <v>-1.0085000000000199</v>
      </c>
      <c r="AF1787">
        <v>-1.5294696420281999</v>
      </c>
      <c r="AG1787">
        <v>-1.1209618963700001</v>
      </c>
      <c r="AH1787">
        <v>56.717312210999403</v>
      </c>
      <c r="AI1787">
        <v>91.131835973847004</v>
      </c>
      <c r="AJ1787">
        <v>91.544694544981297</v>
      </c>
      <c r="AK1787">
        <v>56.7490029639198</v>
      </c>
      <c r="AL1787">
        <v>78.386063090774996</v>
      </c>
      <c r="AM1787">
        <v>87.432445446008302</v>
      </c>
      <c r="AN1787">
        <v>1.00000004008132</v>
      </c>
    </row>
    <row r="1788" spans="1:40" x14ac:dyDescent="0.25">
      <c r="A1788" t="str">
        <f>"20190303170757170"</f>
        <v>20190303170757170</v>
      </c>
      <c r="B1788" t="str">
        <f>"1551604077164416"</f>
        <v>1551604077164416</v>
      </c>
      <c r="C1788" t="s">
        <v>40</v>
      </c>
      <c r="D1788">
        <v>4.0221580000000001</v>
      </c>
      <c r="E1788">
        <v>0.47793780000000002</v>
      </c>
      <c r="F1788" t="s">
        <v>57</v>
      </c>
      <c r="G1788">
        <v>-472.65699999999998</v>
      </c>
      <c r="H1788" s="1">
        <v>5.3863280000000003E-6</v>
      </c>
      <c r="I1788">
        <v>284.05</v>
      </c>
      <c r="J1788">
        <v>-414.66399999999999</v>
      </c>
      <c r="K1788">
        <v>1.12096</v>
      </c>
      <c r="L1788">
        <v>285.04129999999998</v>
      </c>
      <c r="M1788">
        <v>-0.99989070000000002</v>
      </c>
      <c r="N1788">
        <v>-1.1717450000000001E-2</v>
      </c>
      <c r="O1788">
        <v>9.0192209999999991E-3</v>
      </c>
      <c r="P1788">
        <v>-0.98036449999999997</v>
      </c>
      <c r="Q1788">
        <v>0.18993160000000001</v>
      </c>
      <c r="R1788">
        <v>5.3026070000000002E-2</v>
      </c>
      <c r="S1788">
        <v>-3.074249</v>
      </c>
      <c r="T1788">
        <v>-5.9036489999999997E-2</v>
      </c>
      <c r="U1788">
        <v>-5.2032469999999997E-2</v>
      </c>
      <c r="V1788">
        <v>4.4101710000000002E-2</v>
      </c>
      <c r="W1788">
        <v>0.20142869999999999</v>
      </c>
      <c r="X1788">
        <v>0.97850979999999999</v>
      </c>
      <c r="Y1788">
        <v>-2.5932750000000001E-2</v>
      </c>
      <c r="Z1788">
        <v>-4.6843170000000002E-4</v>
      </c>
      <c r="AA1788">
        <v>0.99966359999999999</v>
      </c>
      <c r="AB1788">
        <v>38</v>
      </c>
      <c r="AC1788">
        <v>-57.993000000000002</v>
      </c>
      <c r="AD1788">
        <v>-1.1209546136720001</v>
      </c>
      <c r="AE1788">
        <v>-0.99129999999996699</v>
      </c>
      <c r="AF1788">
        <v>-1.51378184654375</v>
      </c>
      <c r="AG1788">
        <v>-1.1209546136720001</v>
      </c>
      <c r="AH1788">
        <v>57.960051052381601</v>
      </c>
      <c r="AI1788">
        <v>91.107591787353698</v>
      </c>
      <c r="AJ1788">
        <v>91.496092501393903</v>
      </c>
      <c r="AK1788">
        <v>57.990650907879299</v>
      </c>
      <c r="AL1788">
        <v>78.379481512671504</v>
      </c>
      <c r="AM1788">
        <v>87.419409611800006</v>
      </c>
      <c r="AN1788">
        <v>0.999999955352326</v>
      </c>
    </row>
    <row r="1789" spans="1:40" x14ac:dyDescent="0.25">
      <c r="A1789" t="str">
        <f>"20190303170757191"</f>
        <v>20190303170757191</v>
      </c>
      <c r="B1789" t="str">
        <f>"1551604077183935"</f>
        <v>1551604077183935</v>
      </c>
      <c r="C1789" t="s">
        <v>40</v>
      </c>
      <c r="D1789">
        <v>4.0685469999999997</v>
      </c>
      <c r="E1789">
        <v>0.47796280000000002</v>
      </c>
      <c r="F1789" t="s">
        <v>57</v>
      </c>
      <c r="G1789">
        <v>-474.82920000000001</v>
      </c>
      <c r="H1789" s="1">
        <v>4.4259539999999996E-6</v>
      </c>
      <c r="I1789">
        <v>284.08319999999998</v>
      </c>
      <c r="J1789">
        <v>-415.03890000000001</v>
      </c>
      <c r="K1789">
        <v>1.1209559999999901</v>
      </c>
      <c r="L1789">
        <v>285.04450000000003</v>
      </c>
      <c r="M1789">
        <v>-0.99989240000000001</v>
      </c>
      <c r="N1789">
        <v>-1.1697630000000001E-2</v>
      </c>
      <c r="O1789">
        <v>8.8506820000000003E-3</v>
      </c>
      <c r="P1789">
        <v>-0.98026530000000001</v>
      </c>
      <c r="Q1789">
        <v>0.1906089</v>
      </c>
      <c r="R1789">
        <v>5.2424869999999998E-2</v>
      </c>
      <c r="S1789">
        <v>-3.0738530000000002</v>
      </c>
      <c r="T1789">
        <v>-5.7269809999999997E-2</v>
      </c>
      <c r="U1789">
        <v>-4.8950199999999902E-2</v>
      </c>
      <c r="V1789">
        <v>4.3666940000000001E-2</v>
      </c>
      <c r="W1789">
        <v>0.20208490000000001</v>
      </c>
      <c r="X1789">
        <v>0.97839399999999999</v>
      </c>
      <c r="Y1789">
        <v>-2.4765019999999999E-2</v>
      </c>
      <c r="Z1789">
        <v>-4.3689930000000003E-4</v>
      </c>
      <c r="AA1789">
        <v>0.99969319999999895</v>
      </c>
      <c r="AB1789">
        <v>38</v>
      </c>
      <c r="AC1789">
        <v>-59.790300000000002</v>
      </c>
      <c r="AD1789">
        <v>-1.1209515740460001</v>
      </c>
      <c r="AE1789">
        <v>-0.961300000000051</v>
      </c>
      <c r="AF1789">
        <v>-1.4899599190141</v>
      </c>
      <c r="AG1789">
        <v>-1.1209515740460001</v>
      </c>
      <c r="AH1789">
        <v>59.758450033177297</v>
      </c>
      <c r="AI1789">
        <v>91.074296873379495</v>
      </c>
      <c r="AJ1789">
        <v>91.428262138759607</v>
      </c>
      <c r="AK1789">
        <v>59.787531002370102</v>
      </c>
      <c r="AL1789">
        <v>78.341094718522399</v>
      </c>
      <c r="AM1789">
        <v>87.444514060815806</v>
      </c>
      <c r="AN1789">
        <v>0.99999996384648604</v>
      </c>
    </row>
    <row r="1790" spans="1:40" x14ac:dyDescent="0.25">
      <c r="A1790" t="str">
        <f>"20190303170757214"</f>
        <v>20190303170757214</v>
      </c>
      <c r="B1790" t="str">
        <f>"1551604077204432"</f>
        <v>1551604077204432</v>
      </c>
      <c r="C1790" t="s">
        <v>40</v>
      </c>
      <c r="D1790">
        <v>3.9911910000000002</v>
      </c>
      <c r="E1790">
        <v>0.47812900000000003</v>
      </c>
      <c r="F1790" t="s">
        <v>57</v>
      </c>
      <c r="G1790">
        <v>-479.53730000000002</v>
      </c>
      <c r="H1790" s="1">
        <v>2.329904E-6</v>
      </c>
      <c r="I1790">
        <v>283.98910000000001</v>
      </c>
      <c r="J1790">
        <v>-415.41219999999998</v>
      </c>
      <c r="K1790">
        <v>1.1209579999999999</v>
      </c>
      <c r="L1790">
        <v>285.04770000000002</v>
      </c>
      <c r="M1790">
        <v>-0.99989410000000001</v>
      </c>
      <c r="N1790">
        <v>-1.168018E-2</v>
      </c>
      <c r="O1790">
        <v>8.6819519999999997E-3</v>
      </c>
      <c r="P1790">
        <v>-0.98018810000000001</v>
      </c>
      <c r="Q1790">
        <v>0.1912017</v>
      </c>
      <c r="R1790">
        <v>5.1703930000000002E-2</v>
      </c>
      <c r="S1790">
        <v>-3.0735169999999998</v>
      </c>
      <c r="T1790">
        <v>-5.3416369999999998E-2</v>
      </c>
      <c r="U1790">
        <v>-5.0292969999999999E-2</v>
      </c>
      <c r="V1790">
        <v>4.3112480000000002E-2</v>
      </c>
      <c r="W1790">
        <v>0.20265929999999999</v>
      </c>
      <c r="X1790">
        <v>0.97829980000000005</v>
      </c>
      <c r="Y1790">
        <v>-2.5035439999999999E-2</v>
      </c>
      <c r="Z1790">
        <v>-4.1323219999999999E-4</v>
      </c>
      <c r="AA1790">
        <v>0.99968650000000003</v>
      </c>
      <c r="AB1790">
        <v>38</v>
      </c>
      <c r="AC1790">
        <v>-64.125100000000003</v>
      </c>
      <c r="AD1790">
        <v>-1.1209556700959999</v>
      </c>
      <c r="AE1790">
        <v>-1.05860000000001</v>
      </c>
      <c r="AF1790">
        <v>-1.6148357913997999</v>
      </c>
      <c r="AG1790">
        <v>-1.1209556700959999</v>
      </c>
      <c r="AH1790">
        <v>64.093911233722906</v>
      </c>
      <c r="AI1790">
        <v>91.001641368823499</v>
      </c>
      <c r="AJ1790">
        <v>91.443252624474297</v>
      </c>
      <c r="AK1790">
        <v>64.124049259882696</v>
      </c>
      <c r="AL1790">
        <v>78.307488957480601</v>
      </c>
      <c r="AM1790">
        <v>87.476677453306095</v>
      </c>
      <c r="AN1790">
        <v>0.99999998824414005</v>
      </c>
    </row>
    <row r="1791" spans="1:40" x14ac:dyDescent="0.25">
      <c r="A1791" t="str">
        <f>"20190303170757237"</f>
        <v>20190303170757237</v>
      </c>
      <c r="B1791" t="str">
        <f>"1551604077224458"</f>
        <v>1551604077224458</v>
      </c>
      <c r="C1791" t="s">
        <v>40</v>
      </c>
      <c r="D1791">
        <v>4.1099759999999996</v>
      </c>
      <c r="E1791">
        <v>0.47836640000000002</v>
      </c>
      <c r="F1791" t="s">
        <v>57</v>
      </c>
      <c r="G1791">
        <v>-483.45170000000002</v>
      </c>
      <c r="H1791" s="1">
        <v>2.7572079999999998E-6</v>
      </c>
      <c r="I1791">
        <v>283.92070000000001</v>
      </c>
      <c r="J1791">
        <v>-415.80810000000002</v>
      </c>
      <c r="K1791">
        <v>1.1209579999999999</v>
      </c>
      <c r="L1791">
        <v>285.05090000000001</v>
      </c>
      <c r="M1791">
        <v>-0.99989589999999995</v>
      </c>
      <c r="N1791">
        <v>-1.1664040000000001E-2</v>
      </c>
      <c r="O1791">
        <v>8.5031329999999995E-3</v>
      </c>
      <c r="P1791">
        <v>-0.98015759999999996</v>
      </c>
      <c r="Q1791">
        <v>0.1914091</v>
      </c>
      <c r="R1791">
        <v>5.1514169999999998E-2</v>
      </c>
      <c r="S1791">
        <v>-3.073242</v>
      </c>
      <c r="T1791">
        <v>-5.0631879999999997E-2</v>
      </c>
      <c r="U1791">
        <v>-5.0903320000000002E-2</v>
      </c>
      <c r="V1791">
        <v>4.3098610000000002E-2</v>
      </c>
      <c r="W1791">
        <v>0.20285020000000001</v>
      </c>
      <c r="X1791">
        <v>0.97826089999999999</v>
      </c>
      <c r="Y1791">
        <v>-2.505717E-2</v>
      </c>
      <c r="Z1791">
        <v>-3.9344409999999999E-4</v>
      </c>
      <c r="AA1791">
        <v>0.99968590000000002</v>
      </c>
      <c r="AB1791">
        <v>38</v>
      </c>
      <c r="AC1791">
        <v>-67.643599999999907</v>
      </c>
      <c r="AD1791">
        <v>-1.120955242792</v>
      </c>
      <c r="AE1791">
        <v>-1.1302000000000001</v>
      </c>
      <c r="AF1791">
        <v>-1.7049126834012001</v>
      </c>
      <c r="AG1791">
        <v>-1.120955242792</v>
      </c>
      <c r="AH1791">
        <v>67.612980994434196</v>
      </c>
      <c r="AI1791">
        <v>90.949517633912095</v>
      </c>
      <c r="AJ1791">
        <v>91.444450517807198</v>
      </c>
      <c r="AK1791">
        <v>67.643761477819098</v>
      </c>
      <c r="AL1791">
        <v>78.296319819868899</v>
      </c>
      <c r="AM1791">
        <v>87.477388022561001</v>
      </c>
      <c r="AN1791">
        <v>1.0000000411463901</v>
      </c>
    </row>
    <row r="1792" spans="1:40" x14ac:dyDescent="0.25">
      <c r="A1792" t="str">
        <f>"20190303170757283"</f>
        <v>20190303170757283</v>
      </c>
      <c r="B1792" t="str">
        <f>"1551604077274238"</f>
        <v>1551604077274238</v>
      </c>
      <c r="C1792" t="s">
        <v>40</v>
      </c>
      <c r="D1792">
        <v>3.9339080000000002</v>
      </c>
      <c r="E1792">
        <v>0.47855449999999999</v>
      </c>
      <c r="F1792" t="s">
        <v>57</v>
      </c>
      <c r="G1792">
        <v>-486.20909999999998</v>
      </c>
      <c r="H1792" s="1">
        <v>3.244286E-6</v>
      </c>
      <c r="I1792">
        <v>283.89729999999997</v>
      </c>
      <c r="J1792">
        <v>-416.56920000000002</v>
      </c>
      <c r="K1792">
        <v>1.1209519999999999</v>
      </c>
      <c r="L1792">
        <v>285.05709999999999</v>
      </c>
      <c r="M1792">
        <v>-0.99989890000000003</v>
      </c>
      <c r="N1792">
        <v>-1.165565E-2</v>
      </c>
      <c r="O1792">
        <v>8.1576840000000001E-3</v>
      </c>
      <c r="P1792">
        <v>-0.98063140000000004</v>
      </c>
      <c r="Q1792">
        <v>0.18895239999999999</v>
      </c>
      <c r="R1792">
        <v>5.1567790000000002E-2</v>
      </c>
      <c r="S1792">
        <v>-3.0729679999999999</v>
      </c>
      <c r="T1792">
        <v>-4.8929100000000003E-2</v>
      </c>
      <c r="U1792">
        <v>-5.0354000000000003E-2</v>
      </c>
      <c r="V1792">
        <v>4.348863E-2</v>
      </c>
      <c r="W1792">
        <v>0.20039080000000001</v>
      </c>
      <c r="X1792">
        <v>0.97875029999999996</v>
      </c>
      <c r="Y1792">
        <v>-2.4535049999999999E-2</v>
      </c>
      <c r="Z1792">
        <v>-3.7311609999999998E-4</v>
      </c>
      <c r="AA1792">
        <v>0.99969889999999995</v>
      </c>
      <c r="AB1792">
        <v>38</v>
      </c>
      <c r="AC1792">
        <v>-69.639899999999898</v>
      </c>
      <c r="AD1792">
        <v>-1.1209487557140001</v>
      </c>
      <c r="AE1792">
        <v>-1.1598000000000099</v>
      </c>
      <c r="AF1792">
        <v>-1.7274527877146999</v>
      </c>
      <c r="AG1792">
        <v>-1.1209487557140001</v>
      </c>
      <c r="AH1792">
        <v>69.610090064248496</v>
      </c>
      <c r="AI1792">
        <v>90.922284684574905</v>
      </c>
      <c r="AJ1792">
        <v>91.4215675300821</v>
      </c>
      <c r="AK1792">
        <v>69.640543205804306</v>
      </c>
      <c r="AL1792">
        <v>78.440186439803696</v>
      </c>
      <c r="AM1792">
        <v>87.455860684098099</v>
      </c>
      <c r="AN1792">
        <v>0.99999994170700102</v>
      </c>
    </row>
    <row r="1793" spans="1:40" x14ac:dyDescent="0.25">
      <c r="A1793" t="str">
        <f>"20190303170757303"</f>
        <v>20190303170757303</v>
      </c>
      <c r="B1793" t="str">
        <f>"1551604077294730"</f>
        <v>1551604077294730</v>
      </c>
      <c r="C1793" t="s">
        <v>40</v>
      </c>
      <c r="D1793">
        <v>3.9092560000000001</v>
      </c>
      <c r="E1793">
        <v>0.47854639999999998</v>
      </c>
      <c r="F1793" t="s">
        <v>57</v>
      </c>
      <c r="G1793">
        <v>-479.19619999999998</v>
      </c>
      <c r="H1793" s="1">
        <v>2.4877349999999998E-6</v>
      </c>
      <c r="I1793">
        <v>284.0643</v>
      </c>
      <c r="J1793">
        <v>-416.91809999999998</v>
      </c>
      <c r="K1793">
        <v>1.120962</v>
      </c>
      <c r="L1793">
        <v>285.05970000000002</v>
      </c>
      <c r="M1793">
        <v>-0.99990009999999996</v>
      </c>
      <c r="N1793">
        <v>-1.16626E-2</v>
      </c>
      <c r="O1793">
        <v>7.9998109999999904E-3</v>
      </c>
      <c r="P1793">
        <v>-0.98054569999999996</v>
      </c>
      <c r="Q1793">
        <v>0.18927830000000001</v>
      </c>
      <c r="R1793">
        <v>5.1999219999999999E-2</v>
      </c>
      <c r="S1793">
        <v>-3.0724490000000002</v>
      </c>
      <c r="T1793">
        <v>-5.4993269999999997E-2</v>
      </c>
      <c r="U1793">
        <v>-4.8706050000000001E-2</v>
      </c>
      <c r="V1793">
        <v>4.4075379999999997E-2</v>
      </c>
      <c r="W1793">
        <v>0.20072290000000001</v>
      </c>
      <c r="X1793">
        <v>0.97865610000000003</v>
      </c>
      <c r="Y1793">
        <v>-2.3842909999999998E-2</v>
      </c>
      <c r="Z1793">
        <v>-4.0229220000000002E-4</v>
      </c>
      <c r="AA1793">
        <v>0.99971560000000004</v>
      </c>
      <c r="AB1793">
        <v>38</v>
      </c>
      <c r="AC1793">
        <v>-62.278100000000002</v>
      </c>
      <c r="AD1793">
        <v>-1.120959512265</v>
      </c>
      <c r="AE1793">
        <v>-0.99540000000001705</v>
      </c>
      <c r="AF1793">
        <v>-1.4931313926090499</v>
      </c>
      <c r="AG1793">
        <v>-1.120959512265</v>
      </c>
      <c r="AH1793">
        <v>62.247981809735201</v>
      </c>
      <c r="AI1793">
        <v>91.031372312254007</v>
      </c>
      <c r="AJ1793">
        <v>91.374080293625298</v>
      </c>
      <c r="AK1793">
        <v>62.275976355002697</v>
      </c>
      <c r="AL1793">
        <v>78.420765060017501</v>
      </c>
      <c r="AM1793">
        <v>87.421333242045705</v>
      </c>
      <c r="AN1793">
        <v>1.00000004188688</v>
      </c>
    </row>
    <row r="1794" spans="1:40" x14ac:dyDescent="0.25">
      <c r="A1794" t="str">
        <f>"20190303170757325"</f>
        <v>20190303170757325</v>
      </c>
      <c r="B1794" t="str">
        <f>"1551604077314250"</f>
        <v>1551604077314250</v>
      </c>
      <c r="C1794" t="s">
        <v>40</v>
      </c>
      <c r="D1794">
        <v>3.8754</v>
      </c>
      <c r="E1794">
        <v>0.47855370000000003</v>
      </c>
      <c r="F1794" t="s">
        <v>57</v>
      </c>
      <c r="G1794">
        <v>-482.56650000000002</v>
      </c>
      <c r="H1794" s="1">
        <v>2.6108949999999999E-6</v>
      </c>
      <c r="I1794">
        <v>284.04309999999998</v>
      </c>
      <c r="J1794">
        <v>-417.29250000000002</v>
      </c>
      <c r="K1794">
        <v>1.1209739999999999</v>
      </c>
      <c r="L1794">
        <v>285.06259999999997</v>
      </c>
      <c r="M1794">
        <v>-0.99990120000000005</v>
      </c>
      <c r="N1794">
        <v>-1.1678320000000001E-2</v>
      </c>
      <c r="O1794">
        <v>7.8299649999999995E-3</v>
      </c>
      <c r="P1794">
        <v>-0.98024770000000006</v>
      </c>
      <c r="Q1794">
        <v>0.19049260000000001</v>
      </c>
      <c r="R1794">
        <v>5.3171950000000003E-2</v>
      </c>
      <c r="S1794">
        <v>-3.072174</v>
      </c>
      <c r="T1794">
        <v>-5.245793E-2</v>
      </c>
      <c r="U1794">
        <v>-4.7576899999999998E-2</v>
      </c>
      <c r="V1794">
        <v>4.5416650000000003E-2</v>
      </c>
      <c r="W1794">
        <v>0.2019494</v>
      </c>
      <c r="X1794">
        <v>0.97834239999999995</v>
      </c>
      <c r="Y1794">
        <v>-2.33078E-2</v>
      </c>
      <c r="Z1794">
        <v>-3.7733899999999997E-4</v>
      </c>
      <c r="AA1794">
        <v>0.99972830000000001</v>
      </c>
      <c r="AB1794">
        <v>38</v>
      </c>
      <c r="AC1794">
        <v>-65.274000000000001</v>
      </c>
      <c r="AD1794">
        <v>-1.1209713891049999</v>
      </c>
      <c r="AE1794">
        <v>-1.0194999999999901</v>
      </c>
      <c r="AF1794">
        <v>-1.5301455436556799</v>
      </c>
      <c r="AG1794">
        <v>-1.1209713891049999</v>
      </c>
      <c r="AH1794">
        <v>65.2447780916375</v>
      </c>
      <c r="AI1794">
        <v>90.984032171136406</v>
      </c>
      <c r="AJ1794">
        <v>91.343476307928199</v>
      </c>
      <c r="AK1794">
        <v>65.272344759989906</v>
      </c>
      <c r="AL1794">
        <v>78.349022659032201</v>
      </c>
      <c r="AM1794">
        <v>87.342121185299703</v>
      </c>
      <c r="AN1794">
        <v>1.00000004194767</v>
      </c>
    </row>
    <row r="1795" spans="1:40" x14ac:dyDescent="0.25">
      <c r="A1795" t="str">
        <f>"20190303170757347"</f>
        <v>20190303170757347</v>
      </c>
      <c r="B1795" t="str">
        <f>"1551604077334277"</f>
        <v>1551604077334277</v>
      </c>
      <c r="C1795" t="s">
        <v>40</v>
      </c>
      <c r="D1795">
        <v>3.8732880000000001</v>
      </c>
      <c r="E1795">
        <v>0.47850239999999999</v>
      </c>
      <c r="F1795" t="s">
        <v>57</v>
      </c>
      <c r="G1795">
        <v>-490.49439999999998</v>
      </c>
      <c r="H1795" s="1">
        <v>3.8227800000000004E-6</v>
      </c>
      <c r="I1795">
        <v>283.9973</v>
      </c>
      <c r="J1795">
        <v>-417.6669</v>
      </c>
      <c r="K1795">
        <v>1.1209739999999999</v>
      </c>
      <c r="L1795">
        <v>285.06540000000001</v>
      </c>
      <c r="M1795">
        <v>-0.99990219999999996</v>
      </c>
      <c r="N1795">
        <v>-1.1706050000000001E-2</v>
      </c>
      <c r="O1795">
        <v>7.6603940000000001E-3</v>
      </c>
      <c r="P1795">
        <v>-0.98017370000000004</v>
      </c>
      <c r="Q1795">
        <v>0.1906919</v>
      </c>
      <c r="R1795">
        <v>5.3816200000000002E-2</v>
      </c>
      <c r="S1795">
        <v>-3.0720830000000001</v>
      </c>
      <c r="T1795">
        <v>-4.7044040000000002E-2</v>
      </c>
      <c r="U1795">
        <v>-4.4708249999999998E-2</v>
      </c>
      <c r="V1795">
        <v>4.6227169999999998E-2</v>
      </c>
      <c r="W1795">
        <v>0.2021751</v>
      </c>
      <c r="X1795">
        <v>0.97825779999999996</v>
      </c>
      <c r="Y1795">
        <v>-2.220658E-2</v>
      </c>
      <c r="Z1795">
        <v>-3.2763550000000001E-4</v>
      </c>
      <c r="AA1795">
        <v>0.99975340000000001</v>
      </c>
      <c r="AB1795">
        <v>38</v>
      </c>
      <c r="AC1795">
        <v>-72.827499999999901</v>
      </c>
      <c r="AD1795">
        <v>-1.12097017721999</v>
      </c>
      <c r="AE1795">
        <v>-1.06810000000001</v>
      </c>
      <c r="AF1795">
        <v>-1.6256091415379901</v>
      </c>
      <c r="AG1795">
        <v>-1.12097017721999</v>
      </c>
      <c r="AH1795">
        <v>72.799936353969997</v>
      </c>
      <c r="AI1795">
        <v>90.881948328697405</v>
      </c>
      <c r="AJ1795">
        <v>91.279191598813597</v>
      </c>
      <c r="AK1795">
        <v>72.826711530600903</v>
      </c>
      <c r="AL1795">
        <v>78.335818411905507</v>
      </c>
      <c r="AM1795">
        <v>87.2945240784954</v>
      </c>
      <c r="AN1795">
        <v>1.00000002278352</v>
      </c>
    </row>
    <row r="1796" spans="1:40" x14ac:dyDescent="0.25">
      <c r="A1796" t="str">
        <f>"20190303170757372"</f>
        <v>20190303170757372</v>
      </c>
      <c r="B1796" t="str">
        <f>"1551604077364534"</f>
        <v>1551604077364534</v>
      </c>
      <c r="C1796" t="s">
        <v>40</v>
      </c>
      <c r="D1796">
        <v>3.855226</v>
      </c>
      <c r="E1796">
        <v>0.47856100000000001</v>
      </c>
      <c r="F1796" t="s">
        <v>57</v>
      </c>
      <c r="G1796">
        <v>-492.5797</v>
      </c>
      <c r="H1796" s="1">
        <v>3.4544010000000001E-6</v>
      </c>
      <c r="I1796">
        <v>284.01459999999997</v>
      </c>
      <c r="J1796">
        <v>-418.07400000000001</v>
      </c>
      <c r="K1796">
        <v>1.1209800000000001</v>
      </c>
      <c r="L1796">
        <v>285.06830000000002</v>
      </c>
      <c r="M1796">
        <v>-0.99990310000000004</v>
      </c>
      <c r="N1796">
        <v>-1.175E-2</v>
      </c>
      <c r="O1796">
        <v>7.4751599999999998E-3</v>
      </c>
      <c r="P1796">
        <v>-0.98026199999999997</v>
      </c>
      <c r="Q1796">
        <v>0.1902923</v>
      </c>
      <c r="R1796">
        <v>5.3624810000000002E-2</v>
      </c>
      <c r="S1796">
        <v>-3.0720209999999999</v>
      </c>
      <c r="T1796">
        <v>-4.5968769999999999E-2</v>
      </c>
      <c r="U1796">
        <v>-4.3090820000000002E-2</v>
      </c>
      <c r="V1796">
        <v>4.6216399999999998E-2</v>
      </c>
      <c r="W1796">
        <v>0.2018201</v>
      </c>
      <c r="X1796">
        <v>0.97833159999999997</v>
      </c>
      <c r="Y1796">
        <v>-2.14957E-2</v>
      </c>
      <c r="Z1796">
        <v>-3.1113560000000002E-4</v>
      </c>
      <c r="AA1796">
        <v>0.99976889999999996</v>
      </c>
      <c r="AB1796">
        <v>38</v>
      </c>
      <c r="AC1796">
        <v>-74.505699999999905</v>
      </c>
      <c r="AD1796">
        <v>-1.120976545599</v>
      </c>
      <c r="AE1796">
        <v>-1.05370000000004</v>
      </c>
      <c r="AF1796">
        <v>-1.61028654960984</v>
      </c>
      <c r="AG1796">
        <v>-1.120976545599</v>
      </c>
      <c r="AH1796">
        <v>74.478884722455604</v>
      </c>
      <c r="AI1796">
        <v>90.862088269297004</v>
      </c>
      <c r="AJ1796">
        <v>91.238582603101193</v>
      </c>
      <c r="AK1796">
        <v>74.504723881700698</v>
      </c>
      <c r="AL1796">
        <v>78.356586422863003</v>
      </c>
      <c r="AM1796">
        <v>87.295357199609199</v>
      </c>
      <c r="AN1796">
        <v>1.0000000139757601</v>
      </c>
    </row>
    <row r="1797" spans="1:40" x14ac:dyDescent="0.25">
      <c r="A1797" t="str">
        <f>"20190303170757393"</f>
        <v>20190303170757393</v>
      </c>
      <c r="B1797" t="str">
        <f>"1551604077384053"</f>
        <v>1551604077384053</v>
      </c>
      <c r="C1797" t="s">
        <v>40</v>
      </c>
      <c r="D1797">
        <v>3.9058440000000001</v>
      </c>
      <c r="E1797">
        <v>0.47777770000000003</v>
      </c>
      <c r="F1797" t="s">
        <v>57</v>
      </c>
      <c r="G1797">
        <v>-492.68439999999998</v>
      </c>
      <c r="H1797" s="1">
        <v>3.4359200000000001E-6</v>
      </c>
      <c r="I1797">
        <v>284.01569999999998</v>
      </c>
      <c r="J1797">
        <v>-418.44529999999997</v>
      </c>
      <c r="K1797">
        <v>1.120984</v>
      </c>
      <c r="L1797">
        <v>285.07089999999999</v>
      </c>
      <c r="M1797">
        <v>-0.99990380000000001</v>
      </c>
      <c r="N1797">
        <v>-1.1799E-2</v>
      </c>
      <c r="O1797">
        <v>7.3052059999999999E-3</v>
      </c>
      <c r="P1797">
        <v>-0.9802864</v>
      </c>
      <c r="Q1797">
        <v>0.1902132</v>
      </c>
      <c r="R1797">
        <v>5.3458810000000002E-2</v>
      </c>
      <c r="S1797">
        <v>-3.0717159999999999</v>
      </c>
      <c r="T1797">
        <v>-4.6150679999999999E-2</v>
      </c>
      <c r="U1797">
        <v>-4.3334959999999999E-2</v>
      </c>
      <c r="V1797">
        <v>4.6215970000000002E-2</v>
      </c>
      <c r="W1797">
        <v>0.2017893</v>
      </c>
      <c r="X1797">
        <v>0.97833789999999998</v>
      </c>
      <c r="Y1797">
        <v>-2.140659E-2</v>
      </c>
      <c r="Z1797">
        <v>-3.1065919999999998E-4</v>
      </c>
      <c r="AA1797">
        <v>0.99977079999999996</v>
      </c>
      <c r="AB1797">
        <v>38</v>
      </c>
      <c r="AC1797">
        <v>-74.239099999999993</v>
      </c>
      <c r="AD1797">
        <v>-1.1209805640799999</v>
      </c>
      <c r="AE1797">
        <v>-1.0552000000000099</v>
      </c>
      <c r="AF1797">
        <v>-1.5971773817738399</v>
      </c>
      <c r="AG1797">
        <v>-1.1209805640799999</v>
      </c>
      <c r="AH1797">
        <v>74.212492913800702</v>
      </c>
      <c r="AI1797">
        <v>90.865187284238004</v>
      </c>
      <c r="AJ1797">
        <v>91.232910991033293</v>
      </c>
      <c r="AK1797">
        <v>74.238141662455504</v>
      </c>
      <c r="AL1797">
        <v>78.358387353744504</v>
      </c>
      <c r="AM1797">
        <v>87.295399716899794</v>
      </c>
      <c r="AN1797">
        <v>0.99999994202696796</v>
      </c>
    </row>
    <row r="1798" spans="1:40" x14ac:dyDescent="0.25">
      <c r="A1798" t="str">
        <f>"20190303170757415"</f>
        <v>20190303170757415</v>
      </c>
      <c r="B1798" t="str">
        <f>"1551604077404550"</f>
        <v>1551604077404550</v>
      </c>
      <c r="C1798" t="s">
        <v>40</v>
      </c>
      <c r="D1798">
        <v>3.8500429999999999</v>
      </c>
      <c r="E1798">
        <v>0.44480510000000001</v>
      </c>
      <c r="F1798" t="s">
        <v>57</v>
      </c>
      <c r="G1798">
        <v>-495.30099999999999</v>
      </c>
      <c r="H1798" s="1">
        <v>2.9540859999999998E-6</v>
      </c>
      <c r="I1798">
        <v>283.81330000000003</v>
      </c>
      <c r="J1798">
        <v>-418.80250000000001</v>
      </c>
      <c r="K1798">
        <v>1.1210039999999999</v>
      </c>
      <c r="L1798">
        <v>285.07330000000002</v>
      </c>
      <c r="M1798">
        <v>-0.99990449999999997</v>
      </c>
      <c r="N1798">
        <v>-1.1849500000000001E-2</v>
      </c>
      <c r="O1798">
        <v>7.1409660000000003E-3</v>
      </c>
      <c r="P1798">
        <v>-0.98012520000000003</v>
      </c>
      <c r="Q1798">
        <v>0.19115009999999999</v>
      </c>
      <c r="R1798">
        <v>5.307104E-2</v>
      </c>
      <c r="S1798">
        <v>-3.071777</v>
      </c>
      <c r="T1798">
        <v>-4.4803500000000003E-2</v>
      </c>
      <c r="U1798">
        <v>-5.026245E-2</v>
      </c>
      <c r="V1798">
        <v>4.5989309999999999E-2</v>
      </c>
      <c r="W1798">
        <v>0.2027737</v>
      </c>
      <c r="X1798">
        <v>0.97814509999999999</v>
      </c>
      <c r="Y1798">
        <v>-2.3496010000000001E-2</v>
      </c>
      <c r="Z1798">
        <v>-3.3009629999999999E-4</v>
      </c>
      <c r="AA1798">
        <v>0.9997239</v>
      </c>
      <c r="AB1798">
        <v>38</v>
      </c>
      <c r="AC1798">
        <v>-76.498499999999893</v>
      </c>
      <c r="AD1798">
        <v>-1.1210010459140001</v>
      </c>
      <c r="AE1798">
        <v>-1.25999999999999</v>
      </c>
      <c r="AF1798">
        <v>-1.80589161329531</v>
      </c>
      <c r="AG1798">
        <v>-1.1210010459140001</v>
      </c>
      <c r="AH1798">
        <v>76.471134293484695</v>
      </c>
      <c r="AI1798">
        <v>90.839612632017605</v>
      </c>
      <c r="AJ1798">
        <v>91.352807704096506</v>
      </c>
      <c r="AK1798">
        <v>76.500668415354895</v>
      </c>
      <c r="AL1798">
        <v>78.300795641728897</v>
      </c>
      <c r="AM1798">
        <v>87.308114806966898</v>
      </c>
      <c r="AN1798">
        <v>1.00000001334998</v>
      </c>
    </row>
    <row r="1799" spans="1:40" x14ac:dyDescent="0.25">
      <c r="A1799" t="str">
        <f>"20190303170757438"</f>
        <v>20190303170757438</v>
      </c>
      <c r="B1799" t="str">
        <f>"1551604077434805"</f>
        <v>1551604077434805</v>
      </c>
      <c r="C1799" t="s">
        <v>40</v>
      </c>
      <c r="D1799">
        <v>3.814692</v>
      </c>
      <c r="E1799">
        <v>0.44212699999999999</v>
      </c>
      <c r="F1799" t="s">
        <v>70</v>
      </c>
      <c r="G1799">
        <v>-511.95929999999998</v>
      </c>
      <c r="H1799">
        <v>2.0691609999999998</v>
      </c>
      <c r="I1799">
        <v>275.62700000000001</v>
      </c>
      <c r="J1799">
        <v>-419.18740000000003</v>
      </c>
      <c r="K1799">
        <v>1.1210199999999999</v>
      </c>
      <c r="L1799">
        <v>285.07589999999999</v>
      </c>
      <c r="M1799">
        <v>-0.99990489999999999</v>
      </c>
      <c r="N1799">
        <v>-1.1908210000000001E-2</v>
      </c>
      <c r="O1799">
        <v>6.9624800000000001E-3</v>
      </c>
      <c r="P1799">
        <v>-0.97999849999999999</v>
      </c>
      <c r="Q1799">
        <v>0.1919882</v>
      </c>
      <c r="R1799">
        <v>5.2378620000000001E-2</v>
      </c>
      <c r="S1799">
        <v>-3.071564</v>
      </c>
      <c r="T1799">
        <v>3.1265260000000003E-2</v>
      </c>
      <c r="U1799">
        <v>-0.31146239999999997</v>
      </c>
      <c r="V1799">
        <v>4.5471360000000002E-2</v>
      </c>
      <c r="W1799">
        <v>0.2036673</v>
      </c>
      <c r="X1799">
        <v>0.97798370000000001</v>
      </c>
      <c r="Y1799">
        <v>-0.1078089</v>
      </c>
      <c r="Z1799" s="1">
        <v>5.7089259999999898E-5</v>
      </c>
      <c r="AA1799">
        <v>0.99417160000000004</v>
      </c>
      <c r="AB1799">
        <v>38</v>
      </c>
      <c r="AC1799">
        <v>-92.771899999999903</v>
      </c>
      <c r="AD1799">
        <v>0.94814100000000001</v>
      </c>
      <c r="AE1799">
        <v>-9.4488999999999805</v>
      </c>
      <c r="AF1799">
        <v>-10.0935957507442</v>
      </c>
      <c r="AG1799">
        <v>0.94814100000000001</v>
      </c>
      <c r="AH1799">
        <v>92.694275992068498</v>
      </c>
      <c r="AI1799">
        <v>89.417403274845</v>
      </c>
      <c r="AJ1799">
        <v>96.214523841735797</v>
      </c>
      <c r="AK1799">
        <v>93.247029165700994</v>
      </c>
      <c r="AL1799">
        <v>78.248505604976899</v>
      </c>
      <c r="AM1799">
        <v>87.337949426995607</v>
      </c>
      <c r="AN1799">
        <v>1.00000006556761</v>
      </c>
    </row>
    <row r="1800" spans="1:40" x14ac:dyDescent="0.25">
      <c r="A1800" t="str">
        <f>"20190303170757462"</f>
        <v>20190303170757462</v>
      </c>
      <c r="B1800" t="str">
        <f>"1551604077454325"</f>
        <v>1551604077454325</v>
      </c>
      <c r="C1800" t="s">
        <v>40</v>
      </c>
      <c r="D1800">
        <v>3.849504</v>
      </c>
      <c r="E1800">
        <v>0.44095329999999999</v>
      </c>
      <c r="F1800" t="s">
        <v>70</v>
      </c>
      <c r="G1800">
        <v>-512.82590000000005</v>
      </c>
      <c r="H1800">
        <v>2.3273809999999999</v>
      </c>
      <c r="I1800">
        <v>274.87209999999999</v>
      </c>
      <c r="J1800">
        <v>-419.57900000000001</v>
      </c>
      <c r="K1800">
        <v>1.1210359999999999</v>
      </c>
      <c r="L1800">
        <v>285.07839999999999</v>
      </c>
      <c r="M1800">
        <v>-0.99990540000000006</v>
      </c>
      <c r="N1800">
        <v>-1.197438E-2</v>
      </c>
      <c r="O1800">
        <v>6.7770759999999999E-3</v>
      </c>
      <c r="P1800">
        <v>-0.98014480000000004</v>
      </c>
      <c r="Q1800">
        <v>0.19142709999999999</v>
      </c>
      <c r="R1800">
        <v>5.1690489999999999E-2</v>
      </c>
      <c r="S1800">
        <v>-3.0713810000000001</v>
      </c>
      <c r="T1800">
        <v>3.9571639999999998E-2</v>
      </c>
      <c r="U1800">
        <v>-0.33468629999999999</v>
      </c>
      <c r="V1800">
        <v>4.4962710000000003E-2</v>
      </c>
      <c r="W1800">
        <v>0.2031724</v>
      </c>
      <c r="X1800">
        <v>0.97811009999999998</v>
      </c>
      <c r="Y1800">
        <v>-0.1150606</v>
      </c>
      <c r="Z1800">
        <v>2.1601650000000001E-4</v>
      </c>
      <c r="AA1800">
        <v>0.99335839999999997</v>
      </c>
      <c r="AB1800">
        <v>38</v>
      </c>
      <c r="AC1800">
        <v>-93.246899999999997</v>
      </c>
      <c r="AD1800">
        <v>1.20634499999999</v>
      </c>
      <c r="AE1800">
        <v>-10.206300000000001</v>
      </c>
      <c r="AF1800">
        <v>-10.8362600020622</v>
      </c>
      <c r="AG1800">
        <v>1.20634499999999</v>
      </c>
      <c r="AH1800">
        <v>93.160176974065394</v>
      </c>
      <c r="AI1800">
        <v>89.263077866717296</v>
      </c>
      <c r="AJ1800">
        <v>96.634748480652902</v>
      </c>
      <c r="AK1800">
        <v>93.796046680713104</v>
      </c>
      <c r="AL1800">
        <v>78.277466258435496</v>
      </c>
      <c r="AM1800">
        <v>87.368025127635505</v>
      </c>
      <c r="AN1800">
        <v>1.00000001856715</v>
      </c>
    </row>
    <row r="1801" spans="1:40" x14ac:dyDescent="0.25">
      <c r="A1801" t="str">
        <f>"20190303170757482"</f>
        <v>20190303170757482</v>
      </c>
      <c r="B1801" t="str">
        <f>"1551604077474821"</f>
        <v>1551604077474821</v>
      </c>
      <c r="C1801" t="s">
        <v>40</v>
      </c>
      <c r="D1801">
        <v>3.8436699999999999</v>
      </c>
      <c r="E1801">
        <v>0.4401833</v>
      </c>
      <c r="F1801" t="s">
        <v>70</v>
      </c>
      <c r="G1801">
        <v>-512.82590000000005</v>
      </c>
      <c r="H1801">
        <v>2.2820819999999999</v>
      </c>
      <c r="I1801">
        <v>274.57240000000002</v>
      </c>
      <c r="J1801">
        <v>-419.93299999999999</v>
      </c>
      <c r="K1801">
        <v>1.121043</v>
      </c>
      <c r="L1801">
        <v>285.08069999999998</v>
      </c>
      <c r="M1801">
        <v>-0.99990570000000001</v>
      </c>
      <c r="N1801">
        <v>-1.204008E-2</v>
      </c>
      <c r="O1801">
        <v>6.6104550000000003E-3</v>
      </c>
      <c r="P1801">
        <v>-0.98013159999999999</v>
      </c>
      <c r="Q1801">
        <v>0.191661</v>
      </c>
      <c r="R1801">
        <v>5.1073100000000003E-2</v>
      </c>
      <c r="S1801">
        <v>-3.071564</v>
      </c>
      <c r="T1801">
        <v>3.8247589999999998E-2</v>
      </c>
      <c r="U1801">
        <v>-0.34606930000000002</v>
      </c>
      <c r="V1801">
        <v>4.4507539999999998E-2</v>
      </c>
      <c r="W1801">
        <v>0.20347029999999999</v>
      </c>
      <c r="X1801">
        <v>0.97806890000000002</v>
      </c>
      <c r="Y1801">
        <v>-0.11852509999999999</v>
      </c>
      <c r="Z1801">
        <v>1.8117670000000001E-4</v>
      </c>
      <c r="AA1801">
        <v>0.99295100000000003</v>
      </c>
      <c r="AB1801">
        <v>38</v>
      </c>
      <c r="AC1801">
        <v>-92.892899999999997</v>
      </c>
      <c r="AD1801">
        <v>1.1610389999999999</v>
      </c>
      <c r="AE1801">
        <v>-10.508299999999901</v>
      </c>
      <c r="AF1801">
        <v>-11.120463937766999</v>
      </c>
      <c r="AG1801">
        <v>1.1610389999999999</v>
      </c>
      <c r="AH1801">
        <v>92.807085514128204</v>
      </c>
      <c r="AI1801">
        <v>89.288343507104003</v>
      </c>
      <c r="AJ1801">
        <v>96.832800480580801</v>
      </c>
      <c r="AK1801">
        <v>93.478167779313097</v>
      </c>
      <c r="AL1801">
        <v>78.260032645128803</v>
      </c>
      <c r="AM1801">
        <v>87.394522842666603</v>
      </c>
      <c r="AN1801">
        <v>0.99999992862307296</v>
      </c>
    </row>
    <row r="1802" spans="1:40" x14ac:dyDescent="0.25">
      <c r="A1802" t="str">
        <f>"20190303170757504"</f>
        <v>20190303170757504</v>
      </c>
      <c r="B1802" t="str">
        <f>"1551604077494341"</f>
        <v>1551604077494341</v>
      </c>
      <c r="C1802" t="s">
        <v>40</v>
      </c>
      <c r="D1802">
        <v>3.6692580000000001</v>
      </c>
      <c r="E1802">
        <v>0.43999080000000002</v>
      </c>
      <c r="F1802" t="s">
        <v>70</v>
      </c>
      <c r="G1802">
        <v>-512.82590000000005</v>
      </c>
      <c r="H1802">
        <v>2.3010060000000001</v>
      </c>
      <c r="I1802">
        <v>274.37029999999999</v>
      </c>
      <c r="J1802">
        <v>-420.30259999999998</v>
      </c>
      <c r="K1802">
        <v>1.1210560000000001</v>
      </c>
      <c r="L1802">
        <v>285.0829</v>
      </c>
      <c r="M1802">
        <v>-0.99990590000000001</v>
      </c>
      <c r="N1802">
        <v>-1.211112E-2</v>
      </c>
      <c r="O1802">
        <v>6.4413119999999898E-3</v>
      </c>
      <c r="P1802">
        <v>-0.97996660000000002</v>
      </c>
      <c r="Q1802">
        <v>0.19237989999999999</v>
      </c>
      <c r="R1802">
        <v>5.1530880000000001E-2</v>
      </c>
      <c r="S1802">
        <v>-3.0716549999999998</v>
      </c>
      <c r="T1802">
        <v>3.9019940000000003E-2</v>
      </c>
      <c r="U1802">
        <v>-0.35415649999999999</v>
      </c>
      <c r="V1802">
        <v>4.5131119999999997E-2</v>
      </c>
      <c r="W1802">
        <v>0.20425689999999999</v>
      </c>
      <c r="X1802">
        <v>0.97787639999999998</v>
      </c>
      <c r="Y1802">
        <v>-0.1209341</v>
      </c>
      <c r="Z1802">
        <v>1.9009380000000001E-4</v>
      </c>
      <c r="AA1802">
        <v>0.99266049999999995</v>
      </c>
      <c r="AB1802">
        <v>38</v>
      </c>
      <c r="AC1802">
        <v>-92.523300000000006</v>
      </c>
      <c r="AD1802">
        <v>1.1799500000000001</v>
      </c>
      <c r="AE1802">
        <v>-10.7126</v>
      </c>
      <c r="AF1802">
        <v>-11.306578325220601</v>
      </c>
      <c r="AG1802">
        <v>1.1799500000000001</v>
      </c>
      <c r="AH1802">
        <v>92.437536933918295</v>
      </c>
      <c r="AI1802">
        <v>89.274078066235504</v>
      </c>
      <c r="AJ1802">
        <v>96.973543681612398</v>
      </c>
      <c r="AK1802">
        <v>93.133931678182506</v>
      </c>
      <c r="AL1802">
        <v>78.213997571108806</v>
      </c>
      <c r="AM1802">
        <v>87.357550412743194</v>
      </c>
      <c r="AN1802">
        <v>0.99999997643351102</v>
      </c>
    </row>
    <row r="1803" spans="1:40" x14ac:dyDescent="0.25">
      <c r="A1803" t="str">
        <f>"20190303170757526"</f>
        <v>20190303170757526</v>
      </c>
      <c r="B1803" t="str">
        <f>"1551604077514838"</f>
        <v>1551604077514838</v>
      </c>
      <c r="C1803" t="s">
        <v>40</v>
      </c>
      <c r="D1803">
        <v>3.783801</v>
      </c>
      <c r="E1803">
        <v>0.43978149999999999</v>
      </c>
      <c r="F1803" t="s">
        <v>70</v>
      </c>
      <c r="G1803">
        <v>-512.82590000000005</v>
      </c>
      <c r="H1803">
        <v>2.3934549999999999</v>
      </c>
      <c r="I1803">
        <v>274.4042</v>
      </c>
      <c r="J1803">
        <v>-420.67489999999998</v>
      </c>
      <c r="K1803">
        <v>1.1210659999999999</v>
      </c>
      <c r="L1803">
        <v>285.08510000000001</v>
      </c>
      <c r="M1803">
        <v>-0.99990610000000002</v>
      </c>
      <c r="N1803">
        <v>-1.218355E-2</v>
      </c>
      <c r="O1803">
        <v>6.2766549999999999E-3</v>
      </c>
      <c r="P1803">
        <v>-0.97979870000000002</v>
      </c>
      <c r="Q1803">
        <v>0.19328529999999999</v>
      </c>
      <c r="R1803">
        <v>5.1338059999999998E-2</v>
      </c>
      <c r="S1803">
        <v>-3.0716860000000001</v>
      </c>
      <c r="T1803">
        <v>4.2245030000000003E-2</v>
      </c>
      <c r="U1803">
        <v>-0.35452270000000002</v>
      </c>
      <c r="V1803">
        <v>4.5100609999999999E-2</v>
      </c>
      <c r="W1803">
        <v>0.20523089999999999</v>
      </c>
      <c r="X1803">
        <v>0.97767389999999998</v>
      </c>
      <c r="Y1803">
        <v>-0.1208854</v>
      </c>
      <c r="Z1803">
        <v>2.5185769999999999E-4</v>
      </c>
      <c r="AA1803">
        <v>0.99266639999999995</v>
      </c>
      <c r="AB1803">
        <v>38</v>
      </c>
      <c r="AC1803">
        <v>-92.150999999999996</v>
      </c>
      <c r="AD1803">
        <v>1.272389</v>
      </c>
      <c r="AE1803">
        <v>-10.680899999999999</v>
      </c>
      <c r="AF1803">
        <v>-11.257014813514999</v>
      </c>
      <c r="AG1803">
        <v>1.272389</v>
      </c>
      <c r="AH1803">
        <v>92.064819606827996</v>
      </c>
      <c r="AI1803">
        <v>89.214042369872402</v>
      </c>
      <c r="AJ1803">
        <v>96.971106776569698</v>
      </c>
      <c r="AK1803">
        <v>92.759206365281102</v>
      </c>
      <c r="AL1803">
        <v>78.156984207284296</v>
      </c>
      <c r="AM1803">
        <v>87.358788087468596</v>
      </c>
      <c r="AN1803">
        <v>1.0000000210391899</v>
      </c>
    </row>
    <row r="1804" spans="1:40" x14ac:dyDescent="0.25">
      <c r="A1804" t="str">
        <f>"20190303170757549"</f>
        <v>20190303170757549</v>
      </c>
      <c r="B1804" t="str">
        <f>"1551604077544121"</f>
        <v>1551604077544121</v>
      </c>
      <c r="C1804" t="s">
        <v>40</v>
      </c>
      <c r="D1804">
        <v>3.900363</v>
      </c>
      <c r="E1804">
        <v>0.44005610000000001</v>
      </c>
      <c r="F1804" t="s">
        <v>70</v>
      </c>
      <c r="G1804">
        <v>-512.82600000000002</v>
      </c>
      <c r="H1804">
        <v>2.4397250000000001</v>
      </c>
      <c r="I1804">
        <v>274.38600000000002</v>
      </c>
      <c r="J1804">
        <v>-421.06479999999999</v>
      </c>
      <c r="K1804">
        <v>1.121078</v>
      </c>
      <c r="L1804">
        <v>285.08730000000003</v>
      </c>
      <c r="M1804">
        <v>-0.99990630000000003</v>
      </c>
      <c r="N1804">
        <v>-1.226209E-2</v>
      </c>
      <c r="O1804">
        <v>6.1091330000000001E-3</v>
      </c>
      <c r="P1804">
        <v>-0.97980869999999998</v>
      </c>
      <c r="Q1804">
        <v>0.19315360000000001</v>
      </c>
      <c r="R1804">
        <v>5.1643359999999999E-2</v>
      </c>
      <c r="S1804">
        <v>-3.0718990000000002</v>
      </c>
      <c r="T1804">
        <v>4.3960689999999997E-2</v>
      </c>
      <c r="U1804">
        <v>-0.3566589</v>
      </c>
      <c r="V1804">
        <v>4.5571449999999999E-2</v>
      </c>
      <c r="W1804">
        <v>0.20517640000000001</v>
      </c>
      <c r="X1804">
        <v>0.97766350000000002</v>
      </c>
      <c r="Y1804">
        <v>-0.121391899999999</v>
      </c>
      <c r="Z1804">
        <v>2.8064499999999999E-4</v>
      </c>
      <c r="AA1804">
        <v>0.99260459999999995</v>
      </c>
      <c r="AB1804">
        <v>38</v>
      </c>
      <c r="AC1804">
        <v>-91.761200000000002</v>
      </c>
      <c r="AD1804">
        <v>1.3186469999999999</v>
      </c>
      <c r="AE1804">
        <v>-10.7013</v>
      </c>
      <c r="AF1804">
        <v>-11.259429742655399</v>
      </c>
      <c r="AG1804">
        <v>1.3186469999999999</v>
      </c>
      <c r="AH1804">
        <v>91.6754290510153</v>
      </c>
      <c r="AI1804">
        <v>89.182067131527205</v>
      </c>
      <c r="AJ1804">
        <v>97.001910173693801</v>
      </c>
      <c r="AK1804">
        <v>92.373686078493904</v>
      </c>
      <c r="AL1804">
        <v>78.160174659526206</v>
      </c>
      <c r="AM1804">
        <v>87.331225753067201</v>
      </c>
      <c r="AN1804">
        <v>1.00000001570215</v>
      </c>
    </row>
    <row r="1805" spans="1:40" x14ac:dyDescent="0.25">
      <c r="A1805" t="str">
        <f>"20190303170757571"</f>
        <v>20190303170757571</v>
      </c>
      <c r="B1805" t="str">
        <f>"1551604077564614"</f>
        <v>1551604077564614</v>
      </c>
      <c r="C1805" t="s">
        <v>40</v>
      </c>
      <c r="D1805">
        <v>3.8817910000000002</v>
      </c>
      <c r="E1805">
        <v>0.44030989999999998</v>
      </c>
      <c r="F1805" t="s">
        <v>70</v>
      </c>
      <c r="G1805">
        <v>-512.82600000000002</v>
      </c>
      <c r="H1805">
        <v>2.4250470000000002</v>
      </c>
      <c r="I1805">
        <v>274.54079999999999</v>
      </c>
      <c r="J1805">
        <v>-421.43630000000002</v>
      </c>
      <c r="K1805">
        <v>1.1210819999999999</v>
      </c>
      <c r="L1805">
        <v>285.08940000000001</v>
      </c>
      <c r="M1805">
        <v>-0.99990619999999997</v>
      </c>
      <c r="N1805">
        <v>-1.233621E-2</v>
      </c>
      <c r="O1805">
        <v>5.9514370000000004E-3</v>
      </c>
      <c r="P1805">
        <v>-0.97971160000000002</v>
      </c>
      <c r="Q1805">
        <v>0.19341159999999999</v>
      </c>
      <c r="R1805">
        <v>5.2511099999999998E-2</v>
      </c>
      <c r="S1805">
        <v>-3.0718079999999999</v>
      </c>
      <c r="T1805">
        <v>4.3654440000000003E-2</v>
      </c>
      <c r="U1805">
        <v>-0.35305789999999998</v>
      </c>
      <c r="V1805">
        <v>4.6596390000000001E-2</v>
      </c>
      <c r="W1805">
        <v>0.2055054</v>
      </c>
      <c r="X1805">
        <v>0.97754609999999997</v>
      </c>
      <c r="Y1805">
        <v>-0.12009060000000001</v>
      </c>
      <c r="Z1805">
        <v>2.647568E-4</v>
      </c>
      <c r="AA1805">
        <v>0.9927629</v>
      </c>
      <c r="AB1805">
        <v>38</v>
      </c>
      <c r="AC1805">
        <v>-91.389700000000005</v>
      </c>
      <c r="AD1805">
        <v>1.303965</v>
      </c>
      <c r="AE1805">
        <v>-10.5486</v>
      </c>
      <c r="AF1805">
        <v>-11.090126530327501</v>
      </c>
      <c r="AG1805">
        <v>1.303965</v>
      </c>
      <c r="AH1805">
        <v>91.306953167230503</v>
      </c>
      <c r="AI1805">
        <v>89.1877764821309</v>
      </c>
      <c r="AJ1805">
        <v>96.925213571949598</v>
      </c>
      <c r="AK1805">
        <v>91.987232417671606</v>
      </c>
      <c r="AL1805">
        <v>78.140914147444903</v>
      </c>
      <c r="AM1805">
        <v>87.270965299980006</v>
      </c>
      <c r="AN1805">
        <v>1.0000000353077001</v>
      </c>
    </row>
    <row r="1806" spans="1:40" x14ac:dyDescent="0.25">
      <c r="A1806" t="str">
        <f>"20190303170757593"</f>
        <v>20190303170757593</v>
      </c>
      <c r="B1806" t="str">
        <f>"1551604077584137"</f>
        <v>1551604077584137</v>
      </c>
      <c r="C1806" t="s">
        <v>40</v>
      </c>
      <c r="D1806">
        <v>3.9300160000000002</v>
      </c>
      <c r="E1806">
        <v>0.44028509999999998</v>
      </c>
      <c r="F1806" t="s">
        <v>70</v>
      </c>
      <c r="G1806">
        <v>-512.82600000000002</v>
      </c>
      <c r="H1806">
        <v>2.449443</v>
      </c>
      <c r="I1806">
        <v>274.70339999999999</v>
      </c>
      <c r="J1806">
        <v>-421.8014</v>
      </c>
      <c r="K1806">
        <v>1.121084</v>
      </c>
      <c r="L1806">
        <v>285.09140000000002</v>
      </c>
      <c r="M1806">
        <v>-0.99990639999999997</v>
      </c>
      <c r="N1806">
        <v>-1.240546E-2</v>
      </c>
      <c r="O1806">
        <v>5.7937269999999898E-3</v>
      </c>
      <c r="P1806">
        <v>-0.97973140000000003</v>
      </c>
      <c r="Q1806">
        <v>0.1931805</v>
      </c>
      <c r="R1806">
        <v>5.298609E-2</v>
      </c>
      <c r="S1806">
        <v>-3.0720209999999999</v>
      </c>
      <c r="T1806">
        <v>4.4654850000000003E-2</v>
      </c>
      <c r="U1806">
        <v>-0.34912110000000002</v>
      </c>
      <c r="V1806">
        <v>4.7228340000000001E-2</v>
      </c>
      <c r="W1806">
        <v>0.20534160000000001</v>
      </c>
      <c r="X1806">
        <v>0.97755009999999998</v>
      </c>
      <c r="Y1806">
        <v>-0.11867</v>
      </c>
      <c r="Z1806">
        <v>2.767906E-4</v>
      </c>
      <c r="AA1806">
        <v>0.99293370000000003</v>
      </c>
      <c r="AB1806">
        <v>38</v>
      </c>
      <c r="AC1806">
        <v>-91.024600000000007</v>
      </c>
      <c r="AD1806">
        <v>1.3283590000000001</v>
      </c>
      <c r="AE1806">
        <v>-10.388</v>
      </c>
      <c r="AF1806">
        <v>-10.9129435967397</v>
      </c>
      <c r="AG1806">
        <v>1.3283590000000001</v>
      </c>
      <c r="AH1806">
        <v>90.943763109463504</v>
      </c>
      <c r="AI1806">
        <v>89.169135345566801</v>
      </c>
      <c r="AJ1806">
        <v>96.842582137689504</v>
      </c>
      <c r="AK1806">
        <v>91.605812719983703</v>
      </c>
      <c r="AL1806">
        <v>78.150502605863807</v>
      </c>
      <c r="AM1806">
        <v>87.234021954679804</v>
      </c>
      <c r="AN1806">
        <v>0.99999994339986098</v>
      </c>
    </row>
    <row r="1807" spans="1:40" x14ac:dyDescent="0.25">
      <c r="A1807" t="str">
        <f>"20190303170757616"</f>
        <v>20190303170757616</v>
      </c>
      <c r="B1807" t="str">
        <f>"1551604077604630"</f>
        <v>1551604077604630</v>
      </c>
      <c r="C1807" t="s">
        <v>40</v>
      </c>
      <c r="D1807">
        <v>3.8955899999999999</v>
      </c>
      <c r="E1807">
        <v>0.4404189</v>
      </c>
      <c r="F1807" t="s">
        <v>70</v>
      </c>
      <c r="G1807">
        <v>-512.82600000000002</v>
      </c>
      <c r="H1807">
        <v>2.449109</v>
      </c>
      <c r="I1807">
        <v>274.75599999999997</v>
      </c>
      <c r="J1807">
        <v>-422.17509999999999</v>
      </c>
      <c r="K1807">
        <v>1.1210850000000001</v>
      </c>
      <c r="L1807">
        <v>285.0933</v>
      </c>
      <c r="M1807">
        <v>-0.99990639999999997</v>
      </c>
      <c r="N1807">
        <v>-1.247557E-2</v>
      </c>
      <c r="O1807">
        <v>5.6306510000000004E-3</v>
      </c>
      <c r="P1807">
        <v>-0.97983229999999999</v>
      </c>
      <c r="Q1807">
        <v>0.1926262</v>
      </c>
      <c r="R1807">
        <v>5.3144169999999998E-2</v>
      </c>
      <c r="S1807">
        <v>-3.0720519999999998</v>
      </c>
      <c r="T1807">
        <v>4.4823050000000003E-2</v>
      </c>
      <c r="U1807">
        <v>-0.34881590000000001</v>
      </c>
      <c r="V1807">
        <v>4.7549099999999997E-2</v>
      </c>
      <c r="W1807">
        <v>0.2048567</v>
      </c>
      <c r="X1807">
        <v>0.97763630000000001</v>
      </c>
      <c r="Y1807">
        <v>-0.1184096</v>
      </c>
      <c r="Z1807">
        <v>2.7191249999999998E-4</v>
      </c>
      <c r="AA1807">
        <v>0.99296479999999998</v>
      </c>
      <c r="AB1807">
        <v>38</v>
      </c>
      <c r="AC1807">
        <v>-90.650899999999993</v>
      </c>
      <c r="AD1807">
        <v>1.3280240000000001</v>
      </c>
      <c r="AE1807">
        <v>-10.337300000000001</v>
      </c>
      <c r="AF1807">
        <v>-10.845301646980399</v>
      </c>
      <c r="AG1807">
        <v>1.3280240000000001</v>
      </c>
      <c r="AH1807">
        <v>90.5720635706124</v>
      </c>
      <c r="AI1807">
        <v>89.165911331168502</v>
      </c>
      <c r="AJ1807">
        <v>96.828213978379196</v>
      </c>
      <c r="AK1807">
        <v>91.228739523231496</v>
      </c>
      <c r="AL1807">
        <v>78.178888983646402</v>
      </c>
      <c r="AM1807">
        <v>87.215510922854193</v>
      </c>
      <c r="AN1807">
        <v>0.99999995976169398</v>
      </c>
    </row>
    <row r="1808" spans="1:40" x14ac:dyDescent="0.25">
      <c r="A1808" t="str">
        <f>"20190303170757638"</f>
        <v>20190303170757638</v>
      </c>
      <c r="B1808" t="str">
        <f>"1551604077633910"</f>
        <v>1551604077633910</v>
      </c>
      <c r="C1808" t="s">
        <v>40</v>
      </c>
      <c r="D1808">
        <v>3.934237</v>
      </c>
      <c r="E1808">
        <v>0.44048549999999997</v>
      </c>
      <c r="F1808" t="s">
        <v>70</v>
      </c>
      <c r="G1808">
        <v>-512.82590000000005</v>
      </c>
      <c r="H1808">
        <v>2.377958</v>
      </c>
      <c r="I1808">
        <v>274.84859999999998</v>
      </c>
      <c r="J1808">
        <v>-422.56290000000001</v>
      </c>
      <c r="K1808">
        <v>1.121081</v>
      </c>
      <c r="L1808">
        <v>285.09530000000001</v>
      </c>
      <c r="M1808">
        <v>-0.99990639999999997</v>
      </c>
      <c r="N1808">
        <v>-1.2552880000000001E-2</v>
      </c>
      <c r="O1808">
        <v>5.4611390000000003E-3</v>
      </c>
      <c r="P1808">
        <v>-0.97986519999999999</v>
      </c>
      <c r="Q1808">
        <v>0.19239519999999999</v>
      </c>
      <c r="R1808">
        <v>5.3368859999999997E-2</v>
      </c>
      <c r="S1808">
        <v>-3.0722049999999999</v>
      </c>
      <c r="T1808">
        <v>4.259872E-2</v>
      </c>
      <c r="U1808">
        <v>-0.34719850000000002</v>
      </c>
      <c r="V1808">
        <v>4.7942150000000003E-2</v>
      </c>
      <c r="W1808">
        <v>0.2047012</v>
      </c>
      <c r="X1808">
        <v>0.97764969999999995</v>
      </c>
      <c r="Y1808">
        <v>-0.1177204</v>
      </c>
      <c r="Z1808">
        <v>2.160888E-4</v>
      </c>
      <c r="AA1808">
        <v>0.99304680000000001</v>
      </c>
      <c r="AB1808">
        <v>38</v>
      </c>
      <c r="AC1808">
        <v>-90.263000000000005</v>
      </c>
      <c r="AD1808">
        <v>1.256877</v>
      </c>
      <c r="AE1808">
        <v>-10.246700000000001</v>
      </c>
      <c r="AF1808">
        <v>-10.737469305708199</v>
      </c>
      <c r="AG1808">
        <v>1.256877</v>
      </c>
      <c r="AH1808">
        <v>90.188426143267904</v>
      </c>
      <c r="AI1808">
        <v>89.207169082040494</v>
      </c>
      <c r="AJ1808">
        <v>96.789445577979393</v>
      </c>
      <c r="AK1808">
        <v>90.834053069781405</v>
      </c>
      <c r="AL1808">
        <v>78.187991657420298</v>
      </c>
      <c r="AM1808">
        <v>87.192568893372098</v>
      </c>
      <c r="AN1808">
        <v>0.99999998346907604</v>
      </c>
    </row>
    <row r="1809" spans="1:40" x14ac:dyDescent="0.25">
      <c r="A1809" t="str">
        <f>"20190303170757662"</f>
        <v>20190303170757662</v>
      </c>
      <c r="B1809" t="str">
        <f>"1551604077654405"</f>
        <v>1551604077654405</v>
      </c>
      <c r="C1809" t="s">
        <v>40</v>
      </c>
      <c r="D1809">
        <v>3.9455330000000002</v>
      </c>
      <c r="E1809">
        <v>0.4403088</v>
      </c>
      <c r="F1809" t="s">
        <v>70</v>
      </c>
      <c r="G1809">
        <v>-512.82590000000005</v>
      </c>
      <c r="H1809">
        <v>2.3363119999999999</v>
      </c>
      <c r="I1809">
        <v>274.92649999999998</v>
      </c>
      <c r="J1809">
        <v>-422.94940000000003</v>
      </c>
      <c r="K1809">
        <v>1.1210899999999999</v>
      </c>
      <c r="L1809">
        <v>285.09719999999999</v>
      </c>
      <c r="M1809">
        <v>-0.99990619999999997</v>
      </c>
      <c r="N1809">
        <v>-1.2639009999999999E-2</v>
      </c>
      <c r="O1809">
        <v>5.290665E-3</v>
      </c>
      <c r="P1809">
        <v>-0.97981580000000001</v>
      </c>
      <c r="Q1809">
        <v>0.1924623</v>
      </c>
      <c r="R1809">
        <v>5.403049E-2</v>
      </c>
      <c r="S1809">
        <v>-3.0724179999999999</v>
      </c>
      <c r="T1809">
        <v>4.1367290000000001E-2</v>
      </c>
      <c r="U1809">
        <v>-0.3461304</v>
      </c>
      <c r="V1809">
        <v>4.8773400000000001E-2</v>
      </c>
      <c r="W1809">
        <v>0.20485149999999999</v>
      </c>
      <c r="X1809">
        <v>0.97757709999999998</v>
      </c>
      <c r="Y1809">
        <v>-0.1172031</v>
      </c>
      <c r="Z1809">
        <v>1.8112210000000001E-4</v>
      </c>
      <c r="AA1809">
        <v>0.99310799999999999</v>
      </c>
      <c r="AB1809">
        <v>38</v>
      </c>
      <c r="AC1809">
        <v>-89.876499999999993</v>
      </c>
      <c r="AD1809">
        <v>1.215222</v>
      </c>
      <c r="AE1809">
        <v>-10.1707</v>
      </c>
      <c r="AF1809">
        <v>-10.644180691112901</v>
      </c>
      <c r="AG1809">
        <v>1.215222</v>
      </c>
      <c r="AH1809">
        <v>89.805217435517093</v>
      </c>
      <c r="AI1809">
        <v>89.230123178220893</v>
      </c>
      <c r="AJ1809">
        <v>96.759458225187799</v>
      </c>
      <c r="AK1809">
        <v>90.441983756078997</v>
      </c>
      <c r="AL1809">
        <v>78.1791936680481</v>
      </c>
      <c r="AM1809">
        <v>87.143760109783997</v>
      </c>
      <c r="AN1809">
        <v>0.99999998402210899</v>
      </c>
    </row>
    <row r="1810" spans="1:40" x14ac:dyDescent="0.25">
      <c r="A1810" t="str">
        <f>"20190303170757683"</f>
        <v>20190303170757683</v>
      </c>
      <c r="B1810" t="str">
        <f>"1551604077673926"</f>
        <v>1551604077673926</v>
      </c>
      <c r="C1810" t="s">
        <v>40</v>
      </c>
      <c r="D1810">
        <v>3.9581080000000002</v>
      </c>
      <c r="E1810">
        <v>0.44006980000000001</v>
      </c>
      <c r="F1810" t="s">
        <v>70</v>
      </c>
      <c r="G1810">
        <v>-512.82590000000005</v>
      </c>
      <c r="H1810">
        <v>2.3127680000000002</v>
      </c>
      <c r="I1810">
        <v>274.97370000000001</v>
      </c>
      <c r="J1810">
        <v>-423.30770000000001</v>
      </c>
      <c r="K1810">
        <v>1.1210990000000001</v>
      </c>
      <c r="L1810">
        <v>285.09899999999999</v>
      </c>
      <c r="M1810">
        <v>-0.99990590000000001</v>
      </c>
      <c r="N1810">
        <v>-1.272502E-2</v>
      </c>
      <c r="O1810">
        <v>5.1307770000000004E-3</v>
      </c>
      <c r="P1810">
        <v>-0.97979579999999999</v>
      </c>
      <c r="Q1810">
        <v>0.19256010000000001</v>
      </c>
      <c r="R1810">
        <v>5.4048079999999998E-2</v>
      </c>
      <c r="S1810">
        <v>-3.072937</v>
      </c>
      <c r="T1810">
        <v>4.0746930000000001E-2</v>
      </c>
      <c r="U1810">
        <v>-0.3461304</v>
      </c>
      <c r="V1810">
        <v>4.8949470000000002E-2</v>
      </c>
      <c r="W1810">
        <v>0.20503209999999999</v>
      </c>
      <c r="X1810">
        <v>0.97753040000000002</v>
      </c>
      <c r="Y1810">
        <v>-0.1170259</v>
      </c>
      <c r="Z1810">
        <v>1.5933890000000001E-4</v>
      </c>
      <c r="AA1810">
        <v>0.99312880000000003</v>
      </c>
      <c r="AB1810">
        <v>38</v>
      </c>
      <c r="AC1810">
        <v>-89.518199999999993</v>
      </c>
      <c r="AD1810">
        <v>1.1916690000000001</v>
      </c>
      <c r="AE1810">
        <v>-10.1252999999999</v>
      </c>
      <c r="AF1810">
        <v>-10.5826501389136</v>
      </c>
      <c r="AG1810">
        <v>1.1916690000000001</v>
      </c>
      <c r="AH1810">
        <v>89.449415552036399</v>
      </c>
      <c r="AI1810">
        <v>89.242021123586895</v>
      </c>
      <c r="AJ1810">
        <v>96.7472294802985</v>
      </c>
      <c r="AK1810">
        <v>90.081132883468499</v>
      </c>
      <c r="AL1810">
        <v>78.168621215183094</v>
      </c>
      <c r="AM1810">
        <v>87.133329649928996</v>
      </c>
      <c r="AN1810">
        <v>0.99999994778392398</v>
      </c>
    </row>
    <row r="1811" spans="1:40" x14ac:dyDescent="0.25">
      <c r="A1811" t="str">
        <f>"20190303170757705"</f>
        <v>20190303170757705</v>
      </c>
      <c r="B1811" t="str">
        <f>"1551604077694422"</f>
        <v>1551604077694422</v>
      </c>
      <c r="C1811" t="s">
        <v>40</v>
      </c>
      <c r="D1811">
        <v>3.9339559999999998</v>
      </c>
      <c r="E1811">
        <v>0.43986189999999997</v>
      </c>
      <c r="F1811" t="s">
        <v>70</v>
      </c>
      <c r="G1811">
        <v>-512.82590000000005</v>
      </c>
      <c r="H1811">
        <v>2.2568480000000002</v>
      </c>
      <c r="I1811">
        <v>274.97089999999997</v>
      </c>
      <c r="J1811">
        <v>-423.68180000000001</v>
      </c>
      <c r="K1811">
        <v>1.121111</v>
      </c>
      <c r="L1811">
        <v>285.10070000000002</v>
      </c>
      <c r="M1811">
        <v>-0.9999055</v>
      </c>
      <c r="N1811">
        <v>-1.281874E-2</v>
      </c>
      <c r="O1811">
        <v>4.9637149999999996E-3</v>
      </c>
      <c r="P1811">
        <v>-0.97985860000000002</v>
      </c>
      <c r="Q1811">
        <v>0.1922326</v>
      </c>
      <c r="R1811">
        <v>5.4071939999999999E-2</v>
      </c>
      <c r="S1811">
        <v>-3.0733640000000002</v>
      </c>
      <c r="T1811">
        <v>3.8995500000000002E-2</v>
      </c>
      <c r="U1811">
        <v>-0.34771729999999901</v>
      </c>
      <c r="V1811">
        <v>4.9137460000000001E-2</v>
      </c>
      <c r="W1811">
        <v>0.20479739999999999</v>
      </c>
      <c r="X1811">
        <v>0.97757019999999994</v>
      </c>
      <c r="Y1811">
        <v>-0.1173516</v>
      </c>
      <c r="Z1811">
        <v>1.137244E-4</v>
      </c>
      <c r="AA1811">
        <v>0.99309049999999999</v>
      </c>
      <c r="AB1811">
        <v>38</v>
      </c>
      <c r="AC1811">
        <v>-89.144099999999995</v>
      </c>
      <c r="AD1811">
        <v>1.13573699999999</v>
      </c>
      <c r="AE1811">
        <v>-10.129799999999999</v>
      </c>
      <c r="AF1811">
        <v>-10.5705035356888</v>
      </c>
      <c r="AG1811">
        <v>1.13573699999999</v>
      </c>
      <c r="AH1811">
        <v>89.078441223296593</v>
      </c>
      <c r="AI1811">
        <v>89.274615647409306</v>
      </c>
      <c r="AJ1811">
        <v>96.767364036740204</v>
      </c>
      <c r="AK1811">
        <v>89.710613275707203</v>
      </c>
      <c r="AL1811">
        <v>78.182360468353593</v>
      </c>
      <c r="AM1811">
        <v>87.122455659706205</v>
      </c>
      <c r="AN1811">
        <v>0.99999998047502503</v>
      </c>
    </row>
    <row r="1812" spans="1:40" x14ac:dyDescent="0.25">
      <c r="A1812" t="str">
        <f>"20190303170757728"</f>
        <v>20190303170757728</v>
      </c>
      <c r="B1812" t="str">
        <f>"1551604077724678"</f>
        <v>1551604077724678</v>
      </c>
      <c r="C1812" t="s">
        <v>40</v>
      </c>
      <c r="D1812">
        <v>3.9468359999999998</v>
      </c>
      <c r="E1812">
        <v>0.43959789999999999</v>
      </c>
      <c r="F1812" t="s">
        <v>70</v>
      </c>
      <c r="G1812">
        <v>-512.82590000000005</v>
      </c>
      <c r="H1812">
        <v>2.2025160000000001</v>
      </c>
      <c r="I1812">
        <v>274.96460000000002</v>
      </c>
      <c r="J1812">
        <v>-424.05680000000001</v>
      </c>
      <c r="K1812">
        <v>1.1211260000000001</v>
      </c>
      <c r="L1812">
        <v>285.10239999999999</v>
      </c>
      <c r="M1812">
        <v>-0.99990509999999999</v>
      </c>
      <c r="N1812">
        <v>-1.291576E-2</v>
      </c>
      <c r="O1812">
        <v>4.7972509999999998E-3</v>
      </c>
      <c r="P1812">
        <v>-0.97984139999999997</v>
      </c>
      <c r="Q1812">
        <v>0.1921658</v>
      </c>
      <c r="R1812">
        <v>5.4619050000000002E-2</v>
      </c>
      <c r="S1812">
        <v>-3.073639</v>
      </c>
      <c r="T1812">
        <v>3.72889E-2</v>
      </c>
      <c r="U1812">
        <v>-0.3494873</v>
      </c>
      <c r="V1812">
        <v>4.9847700000000002E-2</v>
      </c>
      <c r="W1812">
        <v>0.20482539999999999</v>
      </c>
      <c r="X1812">
        <v>0.97752839999999996</v>
      </c>
      <c r="Y1812">
        <v>-0.1177415</v>
      </c>
      <c r="Z1812" s="1">
        <v>6.8828109999999898E-5</v>
      </c>
      <c r="AA1812">
        <v>0.99304429999999999</v>
      </c>
      <c r="AB1812">
        <v>38</v>
      </c>
      <c r="AC1812">
        <v>-88.769099999999995</v>
      </c>
      <c r="AD1812">
        <v>1.0813900000000001</v>
      </c>
      <c r="AE1812">
        <v>-10.137799999999899</v>
      </c>
      <c r="AF1812">
        <v>-10.562019245835801</v>
      </c>
      <c r="AG1812">
        <v>1.0813900000000001</v>
      </c>
      <c r="AH1812">
        <v>88.706445979198804</v>
      </c>
      <c r="AI1812">
        <v>89.306459675706193</v>
      </c>
      <c r="AJ1812">
        <v>96.790075132536401</v>
      </c>
      <c r="AK1812">
        <v>89.339572492496401</v>
      </c>
      <c r="AL1812">
        <v>78.180721738482006</v>
      </c>
      <c r="AM1812">
        <v>87.080810032833099</v>
      </c>
      <c r="AN1812">
        <v>1.0000000052435001</v>
      </c>
    </row>
    <row r="1813" spans="1:40" x14ac:dyDescent="0.25">
      <c r="A1813" t="str">
        <f>"20190303170757751"</f>
        <v>20190303170757751</v>
      </c>
      <c r="B1813" t="str">
        <f>"1551604077744201"</f>
        <v>1551604077744201</v>
      </c>
      <c r="C1813" t="s">
        <v>40</v>
      </c>
      <c r="D1813">
        <v>3.9995039999999999</v>
      </c>
      <c r="E1813">
        <v>0.43946540000000001</v>
      </c>
      <c r="F1813" t="s">
        <v>70</v>
      </c>
      <c r="G1813">
        <v>-512.82590000000005</v>
      </c>
      <c r="H1813">
        <v>2.1741709999999999</v>
      </c>
      <c r="I1813">
        <v>274.9726</v>
      </c>
      <c r="J1813">
        <v>-424.4436</v>
      </c>
      <c r="K1813">
        <v>1.1211420000000001</v>
      </c>
      <c r="L1813">
        <v>285.10410000000002</v>
      </c>
      <c r="M1813">
        <v>-0.99990480000000004</v>
      </c>
      <c r="N1813">
        <v>-1.301895E-2</v>
      </c>
      <c r="O1813">
        <v>4.6271979999999999E-3</v>
      </c>
      <c r="P1813">
        <v>-0.97984870000000002</v>
      </c>
      <c r="Q1813">
        <v>0.19222249999999999</v>
      </c>
      <c r="R1813">
        <v>5.4290089999999999E-2</v>
      </c>
      <c r="S1813">
        <v>-3.0740970000000001</v>
      </c>
      <c r="T1813">
        <v>3.6469939999999999E-2</v>
      </c>
      <c r="U1813">
        <v>-0.35079959999999999</v>
      </c>
      <c r="V1813">
        <v>4.968438E-2</v>
      </c>
      <c r="W1813">
        <v>0.2049831</v>
      </c>
      <c r="X1813">
        <v>0.97750369999999998</v>
      </c>
      <c r="Y1813">
        <v>-0.1179748</v>
      </c>
      <c r="Z1813" s="1">
        <v>4.1808930000000001E-5</v>
      </c>
      <c r="AA1813">
        <v>0.99301660000000003</v>
      </c>
      <c r="AB1813">
        <v>37</v>
      </c>
      <c r="AC1813">
        <v>-88.382300000000001</v>
      </c>
      <c r="AD1813">
        <v>1.05302899999999</v>
      </c>
      <c r="AE1813">
        <v>-10.131500000000001</v>
      </c>
      <c r="AF1813">
        <v>-10.5389118329291</v>
      </c>
      <c r="AG1813">
        <v>1.05302899999999</v>
      </c>
      <c r="AH1813">
        <v>88.322094114577993</v>
      </c>
      <c r="AI1813">
        <v>89.321728838142903</v>
      </c>
      <c r="AJ1813">
        <v>96.8045666694358</v>
      </c>
      <c r="AK1813">
        <v>88.954875310358702</v>
      </c>
      <c r="AL1813">
        <v>78.171490813657798</v>
      </c>
      <c r="AM1813">
        <v>87.090284550091397</v>
      </c>
      <c r="AN1813">
        <v>1.0000000462076399</v>
      </c>
    </row>
    <row r="1814" spans="1:40" x14ac:dyDescent="0.25">
      <c r="A1814" t="str">
        <f>"20190303170757772"</f>
        <v>20190303170757772</v>
      </c>
      <c r="B1814" t="str">
        <f>"1551604077764694"</f>
        <v>1551604077764694</v>
      </c>
      <c r="C1814" t="s">
        <v>40</v>
      </c>
      <c r="D1814">
        <v>3.9961880000000001</v>
      </c>
      <c r="E1814">
        <v>0.43420009999999998</v>
      </c>
      <c r="F1814" t="s">
        <v>70</v>
      </c>
      <c r="G1814">
        <v>-512.82590000000005</v>
      </c>
      <c r="H1814">
        <v>2.1638670000000002</v>
      </c>
      <c r="I1814">
        <v>274.97109999999998</v>
      </c>
      <c r="J1814">
        <v>-424.79790000000003</v>
      </c>
      <c r="K1814">
        <v>1.1211519999999999</v>
      </c>
      <c r="L1814">
        <v>285.10559999999998</v>
      </c>
      <c r="M1814">
        <v>-0.99990400000000002</v>
      </c>
      <c r="N1814">
        <v>-1.311528E-2</v>
      </c>
      <c r="O1814">
        <v>4.4714380000000003E-3</v>
      </c>
      <c r="P1814">
        <v>-0.97991879999999998</v>
      </c>
      <c r="Q1814">
        <v>0.1920425</v>
      </c>
      <c r="R1814">
        <v>5.3657539999999997E-2</v>
      </c>
      <c r="S1814">
        <v>-3.0741269999999998</v>
      </c>
      <c r="T1814">
        <v>3.6270980000000001E-2</v>
      </c>
      <c r="U1814">
        <v>-0.35244750000000002</v>
      </c>
      <c r="V1814">
        <v>4.9203440000000001E-2</v>
      </c>
      <c r="W1814">
        <v>0.2048982</v>
      </c>
      <c r="X1814">
        <v>0.97754580000000002</v>
      </c>
      <c r="Y1814">
        <v>-0.11834459999999999</v>
      </c>
      <c r="Z1814" s="1">
        <v>2.8267389999999999E-5</v>
      </c>
      <c r="AA1814">
        <v>0.99297259999999998</v>
      </c>
      <c r="AB1814">
        <v>37</v>
      </c>
      <c r="AC1814">
        <v>-88.028000000000006</v>
      </c>
      <c r="AD1814">
        <v>1.0427149999999901</v>
      </c>
      <c r="AE1814">
        <v>-10.134499999999999</v>
      </c>
      <c r="AF1814">
        <v>-10.526586599405</v>
      </c>
      <c r="AG1814">
        <v>1.0427149999999901</v>
      </c>
      <c r="AH1814">
        <v>87.969618569491203</v>
      </c>
      <c r="AI1814">
        <v>89.325707646727295</v>
      </c>
      <c r="AJ1814">
        <v>96.823659821334104</v>
      </c>
      <c r="AK1814">
        <v>88.603329910719395</v>
      </c>
      <c r="AL1814">
        <v>78.176460411681802</v>
      </c>
      <c r="AM1814">
        <v>87.118526504579506</v>
      </c>
      <c r="AN1814">
        <v>1.00000002098435</v>
      </c>
    </row>
    <row r="1815" spans="1:40" x14ac:dyDescent="0.25">
      <c r="A1815" t="str">
        <f>"20190303170757793"</f>
        <v>20190303170757793</v>
      </c>
      <c r="B1815" t="str">
        <f>"1551604077784214"</f>
        <v>1551604077784214</v>
      </c>
      <c r="C1815" t="s">
        <v>40</v>
      </c>
      <c r="D1815">
        <v>3.9864790000000001</v>
      </c>
      <c r="E1815">
        <v>0.43506790000000001</v>
      </c>
      <c r="F1815" t="s">
        <v>70</v>
      </c>
      <c r="G1815">
        <v>-512.82579999999996</v>
      </c>
      <c r="H1815">
        <v>1.86694</v>
      </c>
      <c r="I1815">
        <v>273.74880000000002</v>
      </c>
      <c r="J1815">
        <v>-425.16759999999999</v>
      </c>
      <c r="K1815">
        <v>1.1211660000000001</v>
      </c>
      <c r="L1815">
        <v>285.1071</v>
      </c>
      <c r="M1815">
        <v>-0.9999034</v>
      </c>
      <c r="N1815">
        <v>-1.321307E-2</v>
      </c>
      <c r="O1815">
        <v>4.3087469999999999E-3</v>
      </c>
      <c r="P1815">
        <v>-0.97996300000000003</v>
      </c>
      <c r="Q1815">
        <v>0.191994</v>
      </c>
      <c r="R1815">
        <v>5.3018990000000002E-2</v>
      </c>
      <c r="S1815">
        <v>-3.0781559999999999</v>
      </c>
      <c r="T1815">
        <v>2.6081440000000001E-2</v>
      </c>
      <c r="U1815">
        <v>-0.39712520000000001</v>
      </c>
      <c r="V1815">
        <v>4.8723250000000003E-2</v>
      </c>
      <c r="W1815">
        <v>0.20494580000000001</v>
      </c>
      <c r="X1815">
        <v>0.97755990000000004</v>
      </c>
      <c r="Y1815">
        <v>-0.13222779999999901</v>
      </c>
      <c r="Z1815">
        <v>-2.2628319999999999E-4</v>
      </c>
      <c r="AA1815">
        <v>0.99121930000000003</v>
      </c>
      <c r="AB1815">
        <v>37</v>
      </c>
      <c r="AC1815">
        <v>-87.658199999999894</v>
      </c>
      <c r="AD1815">
        <v>0.74577400000000005</v>
      </c>
      <c r="AE1815">
        <v>-11.3582999999999</v>
      </c>
      <c r="AF1815">
        <v>-11.735089153179</v>
      </c>
      <c r="AG1815">
        <v>0.74577400000000005</v>
      </c>
      <c r="AH1815">
        <v>87.602205735614604</v>
      </c>
      <c r="AI1815">
        <v>89.516560231915705</v>
      </c>
      <c r="AJ1815">
        <v>97.629852908826706</v>
      </c>
      <c r="AK1815">
        <v>88.387866509137396</v>
      </c>
      <c r="AL1815">
        <v>78.173674313080099</v>
      </c>
      <c r="AM1815">
        <v>87.146641989143802</v>
      </c>
      <c r="AN1815">
        <v>1.0000000470581001</v>
      </c>
    </row>
    <row r="1816" spans="1:40" x14ac:dyDescent="0.25">
      <c r="A1816" t="str">
        <f>"20190303170757818"</f>
        <v>20190303170757818</v>
      </c>
      <c r="B1816" t="str">
        <f>"1551604077814470"</f>
        <v>1551604077814470</v>
      </c>
      <c r="C1816" t="s">
        <v>40</v>
      </c>
      <c r="D1816">
        <v>3.9881829999999998</v>
      </c>
      <c r="E1816">
        <v>0.43488549999999998</v>
      </c>
      <c r="F1816" t="s">
        <v>70</v>
      </c>
      <c r="G1816">
        <v>-512.82569999999998</v>
      </c>
      <c r="H1816">
        <v>1.8038959999999999</v>
      </c>
      <c r="I1816">
        <v>273.9409</v>
      </c>
      <c r="J1816">
        <v>-425.55590000000001</v>
      </c>
      <c r="K1816">
        <v>1.121173</v>
      </c>
      <c r="L1816">
        <v>285.10860000000002</v>
      </c>
      <c r="M1816">
        <v>-0.99990279999999998</v>
      </c>
      <c r="N1816">
        <v>-1.3315789999999999E-2</v>
      </c>
      <c r="O1816">
        <v>4.1369620000000001E-3</v>
      </c>
      <c r="P1816">
        <v>-0.98005070000000005</v>
      </c>
      <c r="Q1816">
        <v>0.1917722</v>
      </c>
      <c r="R1816">
        <v>5.2190640000000003E-2</v>
      </c>
      <c r="S1816">
        <v>-3.07782</v>
      </c>
      <c r="T1816">
        <v>2.3974539999999999E-2</v>
      </c>
      <c r="U1816">
        <v>-0.3920593</v>
      </c>
      <c r="V1816">
        <v>4.8062069999999998E-2</v>
      </c>
      <c r="W1816">
        <v>0.20482539999999999</v>
      </c>
      <c r="X1816">
        <v>0.97761779999999998</v>
      </c>
      <c r="Y1816">
        <v>-0.1304661</v>
      </c>
      <c r="Z1816">
        <v>-2.791181E-4</v>
      </c>
      <c r="AA1816">
        <v>0.99145280000000002</v>
      </c>
      <c r="AB1816">
        <v>37</v>
      </c>
      <c r="AC1816">
        <v>-87.269799999999904</v>
      </c>
      <c r="AD1816">
        <v>0.68272299999999997</v>
      </c>
      <c r="AE1816">
        <v>-11.1677</v>
      </c>
      <c r="AF1816">
        <v>-11.527974109465999</v>
      </c>
      <c r="AG1816">
        <v>0.68272299999999997</v>
      </c>
      <c r="AH1816">
        <v>87.217596797127101</v>
      </c>
      <c r="AI1816">
        <v>89.555375403154102</v>
      </c>
      <c r="AJ1816">
        <v>97.529417563848995</v>
      </c>
      <c r="AK1816">
        <v>87.978801360495297</v>
      </c>
      <c r="AL1816">
        <v>78.1807214953742</v>
      </c>
      <c r="AM1816">
        <v>87.185466119383506</v>
      </c>
      <c r="AN1816">
        <v>0.99999998496734199</v>
      </c>
    </row>
    <row r="1817" spans="1:40" x14ac:dyDescent="0.25">
      <c r="A1817" t="str">
        <f>"20190303170757840"</f>
        <v>20190303170757840</v>
      </c>
      <c r="B1817" t="str">
        <f>"1551604077833990"</f>
        <v>1551604077833990</v>
      </c>
      <c r="C1817" t="s">
        <v>40</v>
      </c>
      <c r="D1817">
        <v>3.9693130000000001</v>
      </c>
      <c r="E1817">
        <v>0.43465189999999998</v>
      </c>
      <c r="F1817" t="s">
        <v>70</v>
      </c>
      <c r="G1817">
        <v>-512.82569999999998</v>
      </c>
      <c r="H1817">
        <v>1.773366</v>
      </c>
      <c r="I1817">
        <v>273.89</v>
      </c>
      <c r="J1817">
        <v>-425.93790000000001</v>
      </c>
      <c r="K1817">
        <v>1.121181</v>
      </c>
      <c r="L1817">
        <v>285.11</v>
      </c>
      <c r="M1817">
        <v>-0.99990210000000002</v>
      </c>
      <c r="N1817">
        <v>-1.342226E-2</v>
      </c>
      <c r="O1817">
        <v>3.9674799999999998E-3</v>
      </c>
      <c r="P1817">
        <v>-0.98003260000000003</v>
      </c>
      <c r="Q1817">
        <v>0.1921928</v>
      </c>
      <c r="R1817">
        <v>5.0974709999999999E-2</v>
      </c>
      <c r="S1817">
        <v>-3.0776370000000002</v>
      </c>
      <c r="T1817">
        <v>2.300286E-2</v>
      </c>
      <c r="U1817">
        <v>-0.39562989999999998</v>
      </c>
      <c r="V1817">
        <v>4.7011940000000002E-2</v>
      </c>
      <c r="W1817">
        <v>0.20534949999999999</v>
      </c>
      <c r="X1817">
        <v>0.97755890000000001</v>
      </c>
      <c r="Y1817">
        <v>-0.13143729999999901</v>
      </c>
      <c r="Z1817">
        <v>-3.1399660000000002E-4</v>
      </c>
      <c r="AA1817">
        <v>0.99132439999999999</v>
      </c>
      <c r="AB1817">
        <v>37</v>
      </c>
      <c r="AC1817">
        <v>-86.887799999999899</v>
      </c>
      <c r="AD1817">
        <v>0.65218500000000001</v>
      </c>
      <c r="AE1817">
        <v>-11.22</v>
      </c>
      <c r="AF1817">
        <v>-11.564027482124899</v>
      </c>
      <c r="AG1817">
        <v>0.65218500000000001</v>
      </c>
      <c r="AH1817">
        <v>86.837784618176798</v>
      </c>
      <c r="AI1817">
        <v>89.573460171478104</v>
      </c>
      <c r="AJ1817">
        <v>97.585344404790902</v>
      </c>
      <c r="AK1817">
        <v>87.606808606833894</v>
      </c>
      <c r="AL1817">
        <v>78.150040448789994</v>
      </c>
      <c r="AM1817">
        <v>87.246700851690903</v>
      </c>
      <c r="AN1817">
        <v>0.99999997131101104</v>
      </c>
    </row>
    <row r="1818" spans="1:40" x14ac:dyDescent="0.25">
      <c r="A1818" t="str">
        <f>"20190303170757863"</f>
        <v>20190303170757863</v>
      </c>
      <c r="B1818" t="str">
        <f>"1551604077854486"</f>
        <v>1551604077854486</v>
      </c>
      <c r="C1818" t="s">
        <v>40</v>
      </c>
      <c r="D1818">
        <v>3.973875</v>
      </c>
      <c r="E1818">
        <v>0.43430410000000003</v>
      </c>
      <c r="F1818" t="s">
        <v>70</v>
      </c>
      <c r="G1818">
        <v>-512.82579999999996</v>
      </c>
      <c r="H1818">
        <v>1.8806970000000001</v>
      </c>
      <c r="I1818">
        <v>273.76679999999999</v>
      </c>
      <c r="J1818">
        <v>-426.31270000000001</v>
      </c>
      <c r="K1818">
        <v>1.121197</v>
      </c>
      <c r="L1818">
        <v>285.11130000000003</v>
      </c>
      <c r="M1818">
        <v>-0.99990129999999999</v>
      </c>
      <c r="N1818">
        <v>-1.353123E-2</v>
      </c>
      <c r="O1818">
        <v>3.800781E-3</v>
      </c>
      <c r="P1818">
        <v>-0.98009199999999996</v>
      </c>
      <c r="Q1818">
        <v>0.1919931</v>
      </c>
      <c r="R1818">
        <v>5.0581210000000001E-2</v>
      </c>
      <c r="S1818">
        <v>-3.0767820000000001</v>
      </c>
      <c r="T1818">
        <v>2.6897910000000001E-2</v>
      </c>
      <c r="U1818">
        <v>-0.40167239999999999</v>
      </c>
      <c r="V1818">
        <v>4.6781110000000001E-2</v>
      </c>
      <c r="W1818">
        <v>0.2052571</v>
      </c>
      <c r="X1818">
        <v>0.97758940000000005</v>
      </c>
      <c r="Y1818">
        <v>-0.13322110000000001</v>
      </c>
      <c r="Z1818">
        <v>-2.410128E-4</v>
      </c>
      <c r="AA1818">
        <v>0.99108629999999998</v>
      </c>
      <c r="AB1818">
        <v>37</v>
      </c>
      <c r="AC1818">
        <v>-86.513099999999895</v>
      </c>
      <c r="AD1818">
        <v>0.75949999999999995</v>
      </c>
      <c r="AE1818">
        <v>-11.3445</v>
      </c>
      <c r="AF1818">
        <v>-11.672381075836901</v>
      </c>
      <c r="AG1818">
        <v>0.75949999999999995</v>
      </c>
      <c r="AH1818">
        <v>86.462801958332307</v>
      </c>
      <c r="AI1818">
        <v>89.501243783109601</v>
      </c>
      <c r="AJ1818">
        <v>97.688384519297699</v>
      </c>
      <c r="AK1818">
        <v>87.250429470091106</v>
      </c>
      <c r="AL1818">
        <v>78.155450057650498</v>
      </c>
      <c r="AM1818">
        <v>87.260284330931</v>
      </c>
      <c r="AN1818">
        <v>0.999999992172801</v>
      </c>
    </row>
    <row r="1819" spans="1:40" x14ac:dyDescent="0.25">
      <c r="A1819" t="str">
        <f>"20190303170757883"</f>
        <v>20190303170757883</v>
      </c>
      <c r="B1819" t="str">
        <f>"1551604077874006"</f>
        <v>1551604077874006</v>
      </c>
      <c r="C1819" t="s">
        <v>40</v>
      </c>
      <c r="D1819">
        <v>3.9936050000000001</v>
      </c>
      <c r="E1819">
        <v>0.4343283</v>
      </c>
      <c r="F1819" t="s">
        <v>70</v>
      </c>
      <c r="G1819">
        <v>-512.82579999999996</v>
      </c>
      <c r="H1819">
        <v>1.9133309999999999</v>
      </c>
      <c r="I1819">
        <v>273.72280000000001</v>
      </c>
      <c r="J1819">
        <v>-426.66180000000003</v>
      </c>
      <c r="K1819">
        <v>1.121218</v>
      </c>
      <c r="L1819">
        <v>285.11250000000001</v>
      </c>
      <c r="M1819">
        <v>-0.99990049999999997</v>
      </c>
      <c r="N1819">
        <v>-1.3634759999999999E-2</v>
      </c>
      <c r="O1819">
        <v>3.6449109999999998E-3</v>
      </c>
      <c r="P1819">
        <v>-0.98012549999999998</v>
      </c>
      <c r="Q1819">
        <v>0.19202269999999999</v>
      </c>
      <c r="R1819">
        <v>4.9815070000000003E-2</v>
      </c>
      <c r="S1819">
        <v>-3.076355</v>
      </c>
      <c r="T1819">
        <v>2.8170589999999999E-2</v>
      </c>
      <c r="U1819">
        <v>-0.4049683</v>
      </c>
      <c r="V1819">
        <v>4.6167569999999998E-2</v>
      </c>
      <c r="W1819">
        <v>0.20538780000000001</v>
      </c>
      <c r="X1819">
        <v>0.97759119999999999</v>
      </c>
      <c r="Y1819">
        <v>-0.1341281</v>
      </c>
      <c r="Z1819">
        <v>-2.2418319999999999E-4</v>
      </c>
      <c r="AA1819">
        <v>0.99096399999999996</v>
      </c>
      <c r="AB1819">
        <v>37</v>
      </c>
      <c r="AC1819">
        <v>-86.163999999999902</v>
      </c>
      <c r="AD1819">
        <v>0.79211299999999996</v>
      </c>
      <c r="AE1819">
        <v>-11.389699999999999</v>
      </c>
      <c r="AF1819">
        <v>-11.7027415572911</v>
      </c>
      <c r="AG1819">
        <v>0.79211299999999996</v>
      </c>
      <c r="AH1819">
        <v>86.114756415235803</v>
      </c>
      <c r="AI1819">
        <v>89.477788448972802</v>
      </c>
      <c r="AJ1819">
        <v>97.738919115559995</v>
      </c>
      <c r="AK1819">
        <v>86.909912411743406</v>
      </c>
      <c r="AL1819">
        <v>78.147799456803995</v>
      </c>
      <c r="AM1819">
        <v>87.296167333521893</v>
      </c>
      <c r="AN1819">
        <v>1.0000000736129799</v>
      </c>
    </row>
    <row r="1820" spans="1:40" x14ac:dyDescent="0.25">
      <c r="A1820" t="str">
        <f>"20190303170757907"</f>
        <v>20190303170757907</v>
      </c>
      <c r="B1820" t="str">
        <f>"1551604077894502"</f>
        <v>1551604077894502</v>
      </c>
      <c r="C1820" t="s">
        <v>40</v>
      </c>
      <c r="D1820">
        <v>3.9440469999999999</v>
      </c>
      <c r="E1820">
        <v>0.4565053</v>
      </c>
      <c r="F1820" t="s">
        <v>70</v>
      </c>
      <c r="G1820">
        <v>-512.82579999999996</v>
      </c>
      <c r="H1820">
        <v>1.911057</v>
      </c>
      <c r="I1820">
        <v>273.70190000000002</v>
      </c>
      <c r="J1820">
        <v>-427.03530000000001</v>
      </c>
      <c r="K1820">
        <v>1.12124</v>
      </c>
      <c r="L1820">
        <v>285.11369999999999</v>
      </c>
      <c r="M1820">
        <v>-0.99989950000000005</v>
      </c>
      <c r="N1820">
        <v>-1.3746619999999999E-2</v>
      </c>
      <c r="O1820">
        <v>3.4785419999999998E-3</v>
      </c>
      <c r="P1820">
        <v>-0.98000690000000001</v>
      </c>
      <c r="Q1820">
        <v>0.1926889</v>
      </c>
      <c r="R1820">
        <v>4.957375E-2</v>
      </c>
      <c r="S1820">
        <v>-3.0759889999999999</v>
      </c>
      <c r="T1820">
        <v>2.8199430000000001E-2</v>
      </c>
      <c r="U1820">
        <v>-0.40734860000000001</v>
      </c>
      <c r="V1820">
        <v>4.6089400000000003E-2</v>
      </c>
      <c r="W1820">
        <v>0.20616139999999999</v>
      </c>
      <c r="X1820">
        <v>0.97743199999999997</v>
      </c>
      <c r="Y1820">
        <v>-0.1347323</v>
      </c>
      <c r="Z1820">
        <v>-2.3586660000000001E-4</v>
      </c>
      <c r="AA1820">
        <v>0.99088200000000004</v>
      </c>
      <c r="AB1820">
        <v>37</v>
      </c>
      <c r="AC1820">
        <v>-85.790499999999895</v>
      </c>
      <c r="AD1820">
        <v>0.78981699999999999</v>
      </c>
      <c r="AE1820">
        <v>-11.4117999999999</v>
      </c>
      <c r="AF1820">
        <v>-11.709209809953601</v>
      </c>
      <c r="AG1820">
        <v>0.78981699999999999</v>
      </c>
      <c r="AH1820">
        <v>85.743139720744097</v>
      </c>
      <c r="AI1820">
        <v>89.477091887308106</v>
      </c>
      <c r="AJ1820">
        <v>97.776294226773899</v>
      </c>
      <c r="AK1820">
        <v>86.542564177623305</v>
      </c>
      <c r="AL1820">
        <v>78.1025056758712</v>
      </c>
      <c r="AM1820">
        <v>87.300299638050603</v>
      </c>
      <c r="AN1820">
        <v>1.0000000351331499</v>
      </c>
    </row>
    <row r="1821" spans="1:40" x14ac:dyDescent="0.25">
      <c r="A1821" t="str">
        <f>"20190303170757928"</f>
        <v>20190303170757928</v>
      </c>
      <c r="B1821" t="str">
        <f>"1551604077914998"</f>
        <v>1551604077914998</v>
      </c>
      <c r="C1821" t="s">
        <v>40</v>
      </c>
      <c r="D1821">
        <v>3.9447860000000001</v>
      </c>
      <c r="E1821">
        <v>0.46144839999999998</v>
      </c>
      <c r="F1821" t="s">
        <v>70</v>
      </c>
      <c r="G1821">
        <v>-511.95920000000001</v>
      </c>
      <c r="H1821">
        <v>1.6135710000000001</v>
      </c>
      <c r="I1821">
        <v>278.71600000000001</v>
      </c>
      <c r="J1821">
        <v>-427.40429999999998</v>
      </c>
      <c r="K1821">
        <v>1.1212610000000001</v>
      </c>
      <c r="L1821">
        <v>285.1148</v>
      </c>
      <c r="M1821">
        <v>-0.99989859999999997</v>
      </c>
      <c r="N1821">
        <v>-1.385424E-2</v>
      </c>
      <c r="O1821">
        <v>3.313397E-3</v>
      </c>
      <c r="P1821">
        <v>-0.97986759999999995</v>
      </c>
      <c r="Q1821">
        <v>0.1934236</v>
      </c>
      <c r="R1821">
        <v>4.9467730000000001E-2</v>
      </c>
      <c r="S1821">
        <v>-3.0694270000000001</v>
      </c>
      <c r="T1821">
        <v>1.779735E-2</v>
      </c>
      <c r="U1821">
        <v>-0.23123170000000001</v>
      </c>
      <c r="V1821">
        <v>4.6145409999999998E-2</v>
      </c>
      <c r="W1821">
        <v>0.2069994</v>
      </c>
      <c r="X1821">
        <v>0.97725220000000002</v>
      </c>
      <c r="Y1821">
        <v>-7.8426099999999999E-2</v>
      </c>
      <c r="Z1821">
        <v>-2.519868E-4</v>
      </c>
      <c r="AA1821">
        <v>0.99691989999999997</v>
      </c>
      <c r="AB1821">
        <v>37</v>
      </c>
      <c r="AC1821">
        <v>-84.554900000000004</v>
      </c>
      <c r="AD1821">
        <v>0.49230999999999903</v>
      </c>
      <c r="AE1821">
        <v>-6.3987999999999898</v>
      </c>
      <c r="AF1821">
        <v>-6.6787305736172096</v>
      </c>
      <c r="AG1821">
        <v>0.49230999999999903</v>
      </c>
      <c r="AH1821">
        <v>84.530382701194</v>
      </c>
      <c r="AI1821">
        <v>89.667346394190105</v>
      </c>
      <c r="AJ1821">
        <v>94.517544658393206</v>
      </c>
      <c r="AK1821">
        <v>84.795244034210896</v>
      </c>
      <c r="AL1821">
        <v>78.053432955538895</v>
      </c>
      <c r="AM1821">
        <v>87.296527128153997</v>
      </c>
      <c r="AN1821">
        <v>1.0000000064346299</v>
      </c>
    </row>
    <row r="1822" spans="1:40" x14ac:dyDescent="0.25">
      <c r="A1822" t="str">
        <f>"20190303170757952"</f>
        <v>20190303170757952</v>
      </c>
      <c r="B1822" t="str">
        <f>"1551604077944278"</f>
        <v>1551604077944278</v>
      </c>
      <c r="C1822" t="s">
        <v>40</v>
      </c>
      <c r="D1822">
        <v>3.915149</v>
      </c>
      <c r="E1822">
        <v>0.46458559999999999</v>
      </c>
      <c r="F1822" t="s">
        <v>70</v>
      </c>
      <c r="G1822">
        <v>-539.92110000000002</v>
      </c>
      <c r="H1822">
        <v>1.8676170000000001</v>
      </c>
      <c r="I1822">
        <v>278.05</v>
      </c>
      <c r="J1822">
        <v>-427.78</v>
      </c>
      <c r="K1822">
        <v>1.1212719999999901</v>
      </c>
      <c r="L1822">
        <v>285.11590000000001</v>
      </c>
      <c r="M1822">
        <v>-0.99989779999999995</v>
      </c>
      <c r="N1822">
        <v>-1.395569E-2</v>
      </c>
      <c r="O1822">
        <v>3.1461929999999998E-3</v>
      </c>
      <c r="P1822">
        <v>-0.97981980000000002</v>
      </c>
      <c r="Q1822">
        <v>0.19375819999999999</v>
      </c>
      <c r="R1822">
        <v>4.9104200000000001E-2</v>
      </c>
      <c r="S1822">
        <v>-3.0673520000000001</v>
      </c>
      <c r="T1822">
        <v>2.0348789999999999E-2</v>
      </c>
      <c r="U1822">
        <v>-0.1925964</v>
      </c>
      <c r="V1822">
        <v>4.5945590000000001E-2</v>
      </c>
      <c r="W1822">
        <v>0.20743229999999999</v>
      </c>
      <c r="X1822">
        <v>0.97716979999999998</v>
      </c>
      <c r="Y1822">
        <v>-6.5806669999999998E-2</v>
      </c>
      <c r="Z1822">
        <v>-1.7687860000000001E-4</v>
      </c>
      <c r="AA1822">
        <v>0.99783239999999995</v>
      </c>
      <c r="AB1822">
        <v>37</v>
      </c>
      <c r="AC1822">
        <v>-112.14109999999999</v>
      </c>
      <c r="AD1822">
        <v>0.74634500000000004</v>
      </c>
      <c r="AE1822">
        <v>-7.0658999999999903</v>
      </c>
      <c r="AF1822">
        <v>-7.4183895865336904</v>
      </c>
      <c r="AG1822">
        <v>0.74634500000000004</v>
      </c>
      <c r="AH1822">
        <v>112.113365661581</v>
      </c>
      <c r="AI1822">
        <v>89.619416615379194</v>
      </c>
      <c r="AJ1822">
        <v>93.785665664974601</v>
      </c>
      <c r="AK1822">
        <v>112.36100878367</v>
      </c>
      <c r="AL1822">
        <v>78.028079084147294</v>
      </c>
      <c r="AM1822">
        <v>87.307989866894999</v>
      </c>
      <c r="AN1822">
        <v>0.99999998717788796</v>
      </c>
    </row>
    <row r="1823" spans="1:40" x14ac:dyDescent="0.25">
      <c r="A1823" t="str">
        <f>"20190303170757973"</f>
        <v>20190303170757973</v>
      </c>
      <c r="B1823" t="str">
        <f>"1551604077964774"</f>
        <v>1551604077964774</v>
      </c>
      <c r="C1823" t="s">
        <v>40</v>
      </c>
      <c r="D1823">
        <v>3.925497</v>
      </c>
      <c r="E1823">
        <v>0.46556059999999999</v>
      </c>
      <c r="F1823" t="s">
        <v>70</v>
      </c>
      <c r="G1823">
        <v>-551.0625</v>
      </c>
      <c r="H1823">
        <v>1.984659</v>
      </c>
      <c r="I1823">
        <v>278.32510000000002</v>
      </c>
      <c r="J1823">
        <v>-428.14179999999999</v>
      </c>
      <c r="K1823">
        <v>1.121281</v>
      </c>
      <c r="L1823">
        <v>285.11689999999999</v>
      </c>
      <c r="M1823">
        <v>-0.99989689999999998</v>
      </c>
      <c r="N1823">
        <v>-1.4048339999999999E-2</v>
      </c>
      <c r="O1823">
        <v>2.9851330000000001E-3</v>
      </c>
      <c r="P1823">
        <v>-0.98007520000000004</v>
      </c>
      <c r="Q1823">
        <v>0.19271199999999999</v>
      </c>
      <c r="R1823">
        <v>4.8112189999999999E-2</v>
      </c>
      <c r="S1823">
        <v>-3.0660099999999999</v>
      </c>
      <c r="T1823">
        <v>2.1474239999999999E-2</v>
      </c>
      <c r="U1823">
        <v>-0.16888429999999999</v>
      </c>
      <c r="V1823">
        <v>4.5110909999999997E-2</v>
      </c>
      <c r="W1823">
        <v>0.20647960000000001</v>
      </c>
      <c r="X1823">
        <v>0.97741040000000001</v>
      </c>
      <c r="Y1823">
        <v>-5.7980820000000002E-2</v>
      </c>
      <c r="Z1823">
        <v>-1.4190270000000001E-4</v>
      </c>
      <c r="AA1823">
        <v>0.99831769999999997</v>
      </c>
      <c r="AB1823">
        <v>37</v>
      </c>
      <c r="AC1823">
        <v>-122.9207</v>
      </c>
      <c r="AD1823">
        <v>0.86337799999999998</v>
      </c>
      <c r="AE1823">
        <v>-6.7917999999999603</v>
      </c>
      <c r="AF1823">
        <v>-7.15838848888618</v>
      </c>
      <c r="AG1823">
        <v>0.86337799999999998</v>
      </c>
      <c r="AH1823">
        <v>122.893831321237</v>
      </c>
      <c r="AI1823">
        <v>89.598162100341199</v>
      </c>
      <c r="AJ1823">
        <v>93.333629735964706</v>
      </c>
      <c r="AK1823">
        <v>123.10516530244099</v>
      </c>
      <c r="AL1823">
        <v>78.083872301087993</v>
      </c>
      <c r="AM1823">
        <v>87.357474549366898</v>
      </c>
      <c r="AN1823">
        <v>0.999999954722673</v>
      </c>
    </row>
    <row r="1824" spans="1:40" x14ac:dyDescent="0.25">
      <c r="A1824" t="str">
        <f>"20190303170757995"</f>
        <v>20190303170757995</v>
      </c>
      <c r="B1824" t="str">
        <f>"1551604077984294"</f>
        <v>1551604077984294</v>
      </c>
      <c r="C1824" t="s">
        <v>40</v>
      </c>
      <c r="D1824">
        <v>3.916156</v>
      </c>
      <c r="E1824">
        <v>0.46620919999999999</v>
      </c>
      <c r="F1824" t="s">
        <v>70</v>
      </c>
      <c r="G1824">
        <v>-551.06240000000003</v>
      </c>
      <c r="H1824">
        <v>1.829248</v>
      </c>
      <c r="I1824">
        <v>278.55309999999997</v>
      </c>
      <c r="J1824">
        <v>-428.50639999999999</v>
      </c>
      <c r="K1824">
        <v>1.1212869999999999</v>
      </c>
      <c r="L1824">
        <v>285.11779999999999</v>
      </c>
      <c r="M1824">
        <v>-0.99989620000000001</v>
      </c>
      <c r="N1824">
        <v>-1.413617E-2</v>
      </c>
      <c r="O1824">
        <v>2.8226760000000001E-3</v>
      </c>
      <c r="P1824">
        <v>-0.9801723</v>
      </c>
      <c r="Q1824">
        <v>0.19235169999999999</v>
      </c>
      <c r="R1824">
        <v>4.7577059999999997E-2</v>
      </c>
      <c r="S1824">
        <v>-3.065582</v>
      </c>
      <c r="T1824">
        <v>1.765835E-2</v>
      </c>
      <c r="U1824">
        <v>-0.16369629999999999</v>
      </c>
      <c r="V1824">
        <v>4.473481E-2</v>
      </c>
      <c r="W1824">
        <v>0.20620669999999999</v>
      </c>
      <c r="X1824">
        <v>0.97748539999999995</v>
      </c>
      <c r="Y1824">
        <v>-5.6141669999999998E-2</v>
      </c>
      <c r="Z1824">
        <v>-1.794132E-4</v>
      </c>
      <c r="AA1824">
        <v>0.99842280000000005</v>
      </c>
      <c r="AB1824">
        <v>37</v>
      </c>
      <c r="AC1824">
        <v>-122.556</v>
      </c>
      <c r="AD1824">
        <v>0.70796099999999895</v>
      </c>
      <c r="AE1824">
        <v>-6.56470000000001</v>
      </c>
      <c r="AF1824">
        <v>-6.9104143185527001</v>
      </c>
      <c r="AG1824">
        <v>0.70796099999999895</v>
      </c>
      <c r="AH1824">
        <v>122.53290263643601</v>
      </c>
      <c r="AI1824">
        <v>89.669489793611802</v>
      </c>
      <c r="AJ1824">
        <v>93.227856346865806</v>
      </c>
      <c r="AK1824">
        <v>122.729651117168</v>
      </c>
      <c r="AL1824">
        <v>78.099853445051593</v>
      </c>
      <c r="AM1824">
        <v>87.379675835804093</v>
      </c>
      <c r="AN1824">
        <v>1.0000000567818901</v>
      </c>
    </row>
    <row r="1825" spans="1:40" x14ac:dyDescent="0.25">
      <c r="A1825" t="str">
        <f>"20190303170758018"</f>
        <v>20190303170758018</v>
      </c>
      <c r="B1825" t="str">
        <f>"1551604078004791"</f>
        <v>1551604078004791</v>
      </c>
      <c r="C1825" t="s">
        <v>40</v>
      </c>
      <c r="D1825">
        <v>3.9007640000000001</v>
      </c>
      <c r="E1825">
        <v>0.46667779999999998</v>
      </c>
      <c r="F1825" t="s">
        <v>70</v>
      </c>
      <c r="G1825">
        <v>-551.06240000000003</v>
      </c>
      <c r="H1825">
        <v>1.7242329999999999</v>
      </c>
      <c r="I1825">
        <v>278.72469999999998</v>
      </c>
      <c r="J1825">
        <v>-428.88940000000002</v>
      </c>
      <c r="K1825">
        <v>1.121302</v>
      </c>
      <c r="L1825">
        <v>285.11869999999999</v>
      </c>
      <c r="M1825">
        <v>-0.99989550000000005</v>
      </c>
      <c r="N1825">
        <v>-1.4221579999999999E-2</v>
      </c>
      <c r="O1825">
        <v>2.6520710000000002E-3</v>
      </c>
      <c r="P1825">
        <v>-0.98015059999999998</v>
      </c>
      <c r="Q1825">
        <v>0.19265499999999999</v>
      </c>
      <c r="R1825">
        <v>4.6786889999999998E-2</v>
      </c>
      <c r="S1825">
        <v>-3.0655519999999998</v>
      </c>
      <c r="T1825">
        <v>1.508379E-2</v>
      </c>
      <c r="U1825">
        <v>-0.1599121</v>
      </c>
      <c r="V1825">
        <v>4.4111780000000003E-2</v>
      </c>
      <c r="W1825">
        <v>0.20659250000000001</v>
      </c>
      <c r="X1825">
        <v>0.97743219999999997</v>
      </c>
      <c r="Y1825">
        <v>-5.4742699999999998E-2</v>
      </c>
      <c r="Z1825">
        <v>-2.042255E-4</v>
      </c>
      <c r="AA1825">
        <v>0.99850050000000001</v>
      </c>
      <c r="AB1825">
        <v>37</v>
      </c>
      <c r="AC1825">
        <v>-122.17299999999901</v>
      </c>
      <c r="AD1825">
        <v>0.60293099999999999</v>
      </c>
      <c r="AE1825">
        <v>-6.3940000000000001</v>
      </c>
      <c r="AF1825">
        <v>-6.7178585373278699</v>
      </c>
      <c r="AG1825">
        <v>0.60293099999999999</v>
      </c>
      <c r="AH1825">
        <v>122.152644329045</v>
      </c>
      <c r="AI1825">
        <v>89.717623804267603</v>
      </c>
      <c r="AJ1825">
        <v>93.147845025336494</v>
      </c>
      <c r="AK1825">
        <v>122.33871695296</v>
      </c>
      <c r="AL1825">
        <v>78.077261705553795</v>
      </c>
      <c r="AM1825">
        <v>87.415979322972206</v>
      </c>
      <c r="AN1825">
        <v>1.00000000789392</v>
      </c>
    </row>
    <row r="1826" spans="1:40" x14ac:dyDescent="0.25">
      <c r="A1826" t="str">
        <f>"20190303170758040"</f>
        <v>20190303170758040</v>
      </c>
      <c r="B1826" t="str">
        <f>"1551604078034073"</f>
        <v>1551604078034073</v>
      </c>
      <c r="C1826" t="s">
        <v>40</v>
      </c>
      <c r="D1826">
        <v>3.9062429999999999</v>
      </c>
      <c r="E1826">
        <v>0.46730379999999999</v>
      </c>
      <c r="F1826" t="s">
        <v>70</v>
      </c>
      <c r="G1826">
        <v>-551.06240000000003</v>
      </c>
      <c r="H1826">
        <v>1.742577</v>
      </c>
      <c r="I1826">
        <v>278.78649999999999</v>
      </c>
      <c r="J1826">
        <v>-429.25909999999999</v>
      </c>
      <c r="K1826">
        <v>1.121305</v>
      </c>
      <c r="L1826">
        <v>285.11950000000002</v>
      </c>
      <c r="M1826">
        <v>-0.99989470000000003</v>
      </c>
      <c r="N1826">
        <v>-1.429626E-2</v>
      </c>
      <c r="O1826">
        <v>2.4870280000000001E-3</v>
      </c>
      <c r="P1826">
        <v>-0.98014959999999995</v>
      </c>
      <c r="Q1826">
        <v>0.1927411</v>
      </c>
      <c r="R1826">
        <v>4.6451640000000002E-2</v>
      </c>
      <c r="S1826">
        <v>-3.0653079999999999</v>
      </c>
      <c r="T1826">
        <v>1.558971E-2</v>
      </c>
      <c r="U1826">
        <v>-0.1588745</v>
      </c>
      <c r="V1826">
        <v>4.3938360000000003E-2</v>
      </c>
      <c r="W1826">
        <v>0.2067512</v>
      </c>
      <c r="X1826">
        <v>0.97740640000000001</v>
      </c>
      <c r="Y1826">
        <v>-5.424499E-2</v>
      </c>
      <c r="Z1826">
        <v>-2.020058E-4</v>
      </c>
      <c r="AA1826">
        <v>0.99852759999999996</v>
      </c>
      <c r="AB1826">
        <v>37</v>
      </c>
      <c r="AC1826">
        <v>-121.80329999999999</v>
      </c>
      <c r="AD1826">
        <v>0.62127200000000005</v>
      </c>
      <c r="AE1826">
        <v>-6.3330000000000197</v>
      </c>
      <c r="AF1826">
        <v>-6.6357674196930496</v>
      </c>
      <c r="AG1826">
        <v>0.62127200000000005</v>
      </c>
      <c r="AH1826">
        <v>121.78401144193199</v>
      </c>
      <c r="AI1826">
        <v>89.7081453350294</v>
      </c>
      <c r="AJ1826">
        <v>93.118848409740806</v>
      </c>
      <c r="AK1826">
        <v>121.966244637747</v>
      </c>
      <c r="AL1826">
        <v>78.067967575213402</v>
      </c>
      <c r="AM1826">
        <v>87.426056542016795</v>
      </c>
      <c r="AN1826">
        <v>0.99999995447094303</v>
      </c>
    </row>
    <row r="1827" spans="1:40" x14ac:dyDescent="0.25">
      <c r="A1827" t="str">
        <f>"20190303170758064"</f>
        <v>20190303170758064</v>
      </c>
      <c r="B1827" t="str">
        <f>"1551604078054566"</f>
        <v>1551604078054566</v>
      </c>
      <c r="C1827" t="s">
        <v>40</v>
      </c>
      <c r="D1827">
        <v>3.8560129999999999</v>
      </c>
      <c r="E1827">
        <v>0.4675513</v>
      </c>
      <c r="F1827" t="s">
        <v>70</v>
      </c>
      <c r="G1827">
        <v>-551.06240000000003</v>
      </c>
      <c r="H1827">
        <v>1.7822899999999999</v>
      </c>
      <c r="I1827">
        <v>278.95699999999999</v>
      </c>
      <c r="J1827">
        <v>-429.64179999999999</v>
      </c>
      <c r="K1827">
        <v>1.1213150000000001</v>
      </c>
      <c r="L1827">
        <v>285.12029999999999</v>
      </c>
      <c r="M1827">
        <v>-0.99989419999999996</v>
      </c>
      <c r="N1827">
        <v>-1.436463E-2</v>
      </c>
      <c r="O1827">
        <v>2.3159489999999999E-3</v>
      </c>
      <c r="P1827">
        <v>-0.98017900000000002</v>
      </c>
      <c r="Q1827">
        <v>0.19289200000000001</v>
      </c>
      <c r="R1827">
        <v>4.5192169999999997E-2</v>
      </c>
      <c r="S1827">
        <v>-3.064819</v>
      </c>
      <c r="T1827">
        <v>1.6633749999999999E-2</v>
      </c>
      <c r="U1827">
        <v>-0.1550598</v>
      </c>
      <c r="V1827">
        <v>4.2846740000000001E-2</v>
      </c>
      <c r="W1827">
        <v>0.20696899999999999</v>
      </c>
      <c r="X1827">
        <v>0.97740879999999997</v>
      </c>
      <c r="Y1827">
        <v>-5.2842760000000003E-2</v>
      </c>
      <c r="Z1827">
        <v>-1.906779E-4</v>
      </c>
      <c r="AA1827">
        <v>0.99860280000000001</v>
      </c>
      <c r="AB1827">
        <v>37</v>
      </c>
      <c r="AC1827">
        <v>-121.42059999999999</v>
      </c>
      <c r="AD1827">
        <v>0.66097499999999998</v>
      </c>
      <c r="AE1827">
        <v>-6.1632999999999898</v>
      </c>
      <c r="AF1827">
        <v>-6.4443259068764904</v>
      </c>
      <c r="AG1827">
        <v>0.66097499999999998</v>
      </c>
      <c r="AH1827">
        <v>121.402410592595</v>
      </c>
      <c r="AI1827">
        <v>89.688494963181498</v>
      </c>
      <c r="AJ1827">
        <v>93.038543135044193</v>
      </c>
      <c r="AK1827">
        <v>121.575127069799</v>
      </c>
      <c r="AL1827">
        <v>78.0552130566778</v>
      </c>
      <c r="AM1827">
        <v>87.489927820766098</v>
      </c>
      <c r="AN1827">
        <v>0.99999998620353303</v>
      </c>
    </row>
    <row r="1828" spans="1:40" x14ac:dyDescent="0.25">
      <c r="A1828" t="str">
        <f>"20190303170758087"</f>
        <v>20190303170758087</v>
      </c>
      <c r="B1828" t="str">
        <f>"1551604078074086"</f>
        <v>1551604078074086</v>
      </c>
      <c r="C1828" t="s">
        <v>40</v>
      </c>
      <c r="D1828">
        <v>3.8490340000000001</v>
      </c>
      <c r="E1828">
        <v>0.4678659</v>
      </c>
      <c r="F1828" t="s">
        <v>70</v>
      </c>
      <c r="G1828">
        <v>-551.06240000000003</v>
      </c>
      <c r="H1828">
        <v>1.77901199999999</v>
      </c>
      <c r="I1828">
        <v>278.90660000000003</v>
      </c>
      <c r="J1828">
        <v>-430.024</v>
      </c>
      <c r="K1828">
        <v>1.1213219999999999</v>
      </c>
      <c r="L1828">
        <v>285.12099999999998</v>
      </c>
      <c r="M1828">
        <v>-0.9998937</v>
      </c>
      <c r="N1828">
        <v>-1.442445E-2</v>
      </c>
      <c r="O1828">
        <v>2.1451109999999999E-3</v>
      </c>
      <c r="P1828">
        <v>-0.98015220000000003</v>
      </c>
      <c r="Q1828">
        <v>0.1932759</v>
      </c>
      <c r="R1828">
        <v>4.4116910000000002E-2</v>
      </c>
      <c r="S1828">
        <v>-3.0646059999999999</v>
      </c>
      <c r="T1828">
        <v>1.6602039999999998E-2</v>
      </c>
      <c r="U1828">
        <v>-0.15682979999999899</v>
      </c>
      <c r="V1828">
        <v>4.1938919999999998E-2</v>
      </c>
      <c r="W1828">
        <v>0.20741029999999999</v>
      </c>
      <c r="X1828">
        <v>0.97735459999999996</v>
      </c>
      <c r="Y1828">
        <v>-5.325096E-2</v>
      </c>
      <c r="Z1828">
        <v>-1.9764469999999999E-4</v>
      </c>
      <c r="AA1828">
        <v>0.9985811</v>
      </c>
      <c r="AB1828">
        <v>37</v>
      </c>
      <c r="AC1828">
        <v>-121.0384</v>
      </c>
      <c r="AD1828">
        <v>0.657689999999999</v>
      </c>
      <c r="AE1828">
        <v>-6.2143999999999497</v>
      </c>
      <c r="AF1828">
        <v>-6.4738628666788802</v>
      </c>
      <c r="AG1828">
        <v>0.657689999999999</v>
      </c>
      <c r="AH1828">
        <v>121.02122568972401</v>
      </c>
      <c r="AI1828">
        <v>89.689073622758798</v>
      </c>
      <c r="AJ1828">
        <v>93.062039857975506</v>
      </c>
      <c r="AK1828">
        <v>121.196041701022</v>
      </c>
      <c r="AL1828">
        <v>78.029367282662406</v>
      </c>
      <c r="AM1828">
        <v>87.542908287893994</v>
      </c>
      <c r="AN1828">
        <v>0.99999995984900703</v>
      </c>
    </row>
    <row r="1829" spans="1:40" x14ac:dyDescent="0.25">
      <c r="A1829" t="str">
        <f>"20190303170758108"</f>
        <v>20190303170758108</v>
      </c>
      <c r="B1829" t="str">
        <f>"1551604078094582"</f>
        <v>1551604078094582</v>
      </c>
      <c r="C1829" t="s">
        <v>40</v>
      </c>
      <c r="D1829">
        <v>3.777469</v>
      </c>
      <c r="E1829">
        <v>0.46815780000000001</v>
      </c>
      <c r="F1829" t="s">
        <v>70</v>
      </c>
      <c r="G1829">
        <v>-551.06240000000003</v>
      </c>
      <c r="H1829">
        <v>1.803037</v>
      </c>
      <c r="I1829">
        <v>278.9205</v>
      </c>
      <c r="J1829">
        <v>-430.35399999999998</v>
      </c>
      <c r="K1829">
        <v>1.121329</v>
      </c>
      <c r="L1829">
        <v>285.1216</v>
      </c>
      <c r="M1829">
        <v>-0.99989340000000004</v>
      </c>
      <c r="N1829">
        <v>-1.4469660000000001E-2</v>
      </c>
      <c r="O1829">
        <v>1.9972710000000001E-3</v>
      </c>
      <c r="P1829">
        <v>-0.98017810000000005</v>
      </c>
      <c r="Q1829">
        <v>0.193383</v>
      </c>
      <c r="R1829">
        <v>4.306273E-2</v>
      </c>
      <c r="S1829">
        <v>-3.0644230000000001</v>
      </c>
      <c r="T1829">
        <v>1.7261510000000001E-2</v>
      </c>
      <c r="U1829">
        <v>-0.15698239999999999</v>
      </c>
      <c r="V1829">
        <v>4.1029900000000001E-2</v>
      </c>
      <c r="W1829">
        <v>0.20756150000000001</v>
      </c>
      <c r="X1829">
        <v>0.97736109999999998</v>
      </c>
      <c r="Y1829">
        <v>-5.3156009999999997E-2</v>
      </c>
      <c r="Z1829">
        <v>-1.9510640000000001E-4</v>
      </c>
      <c r="AA1829">
        <v>0.99858619999999998</v>
      </c>
      <c r="AB1829">
        <v>37</v>
      </c>
      <c r="AC1829">
        <v>-120.708399999999</v>
      </c>
      <c r="AD1829">
        <v>0.68170799999999998</v>
      </c>
      <c r="AE1829">
        <v>-6.2010999999999896</v>
      </c>
      <c r="AF1829">
        <v>-6.4419953112145096</v>
      </c>
      <c r="AG1829">
        <v>0.68170799999999998</v>
      </c>
      <c r="AH1829">
        <v>120.691933288575</v>
      </c>
      <c r="AI1829">
        <v>89.676837906978406</v>
      </c>
      <c r="AJ1829">
        <v>93.055293061248506</v>
      </c>
      <c r="AK1829">
        <v>120.86565595867501</v>
      </c>
      <c r="AL1829">
        <v>78.020511616359599</v>
      </c>
      <c r="AM1829">
        <v>87.596118194655006</v>
      </c>
      <c r="AN1829">
        <v>0.99999997438473398</v>
      </c>
    </row>
    <row r="1830" spans="1:40" x14ac:dyDescent="0.25">
      <c r="A1830" t="str">
        <f>"20190303170758130"</f>
        <v>20190303170758130</v>
      </c>
      <c r="B1830" t="str">
        <f>"1551604078124838"</f>
        <v>1551604078124838</v>
      </c>
      <c r="C1830" t="s">
        <v>40</v>
      </c>
      <c r="D1830">
        <v>3.837672</v>
      </c>
      <c r="E1830">
        <v>0.46849649999999998</v>
      </c>
      <c r="F1830" t="s">
        <v>70</v>
      </c>
      <c r="G1830">
        <v>-551.06240000000003</v>
      </c>
      <c r="H1830">
        <v>1.8209500000000001</v>
      </c>
      <c r="I1830">
        <v>278.899</v>
      </c>
      <c r="J1830">
        <v>-430.73110000000003</v>
      </c>
      <c r="K1830">
        <v>1.121337</v>
      </c>
      <c r="L1830">
        <v>285.12209999999999</v>
      </c>
      <c r="M1830">
        <v>-0.99989309999999998</v>
      </c>
      <c r="N1830">
        <v>-1.451467E-2</v>
      </c>
      <c r="O1830">
        <v>1.8292180000000001E-3</v>
      </c>
      <c r="P1830">
        <v>-0.98023360000000004</v>
      </c>
      <c r="Q1830">
        <v>0.19322839999999999</v>
      </c>
      <c r="R1830">
        <v>4.2487259999999999E-2</v>
      </c>
      <c r="S1830">
        <v>-3.0641479999999999</v>
      </c>
      <c r="T1830">
        <v>1.776171E-2</v>
      </c>
      <c r="U1830">
        <v>-0.15795899999999999</v>
      </c>
      <c r="V1830">
        <v>4.0619130000000003E-2</v>
      </c>
      <c r="W1830">
        <v>0.20745189999999999</v>
      </c>
      <c r="X1830">
        <v>0.97740159999999998</v>
      </c>
      <c r="Y1830">
        <v>-5.3310219999999998E-2</v>
      </c>
      <c r="Z1830">
        <v>-1.95627E-4</v>
      </c>
      <c r="AA1830">
        <v>0.99857799999999997</v>
      </c>
      <c r="AB1830">
        <v>37</v>
      </c>
      <c r="AC1830">
        <v>-120.3313</v>
      </c>
      <c r="AD1830">
        <v>0.69961300000000004</v>
      </c>
      <c r="AE1830">
        <v>-6.2230999999999801</v>
      </c>
      <c r="AF1830">
        <v>-6.4430077168178403</v>
      </c>
      <c r="AG1830">
        <v>0.69961300000000004</v>
      </c>
      <c r="AH1830">
        <v>120.31565782416899</v>
      </c>
      <c r="AI1830">
        <v>89.667316201393604</v>
      </c>
      <c r="AJ1830">
        <v>93.065310745072694</v>
      </c>
      <c r="AK1830">
        <v>120.49007977610199</v>
      </c>
      <c r="AL1830">
        <v>78.026931831471998</v>
      </c>
      <c r="AM1830">
        <v>87.620255296209805</v>
      </c>
      <c r="AN1830">
        <v>1.0000000461090599</v>
      </c>
    </row>
    <row r="1831" spans="1:40" x14ac:dyDescent="0.25">
      <c r="A1831" t="str">
        <f>"20190303170758152"</f>
        <v>20190303170758152</v>
      </c>
      <c r="B1831" t="str">
        <f>"1551604078144359"</f>
        <v>1551604078144359</v>
      </c>
      <c r="C1831" t="s">
        <v>40</v>
      </c>
      <c r="D1831">
        <v>3.8022770000000001</v>
      </c>
      <c r="E1831">
        <v>0.46878999999999998</v>
      </c>
      <c r="F1831" t="s">
        <v>70</v>
      </c>
      <c r="G1831">
        <v>-551.06240000000003</v>
      </c>
      <c r="H1831">
        <v>1.7726740000000001</v>
      </c>
      <c r="I1831">
        <v>278.95339999999999</v>
      </c>
      <c r="J1831">
        <v>-431.08350000000002</v>
      </c>
      <c r="K1831">
        <v>1.121351</v>
      </c>
      <c r="L1831">
        <v>285.12259999999998</v>
      </c>
      <c r="M1831">
        <v>-0.99989280000000003</v>
      </c>
      <c r="N1831">
        <v>-1.455065E-2</v>
      </c>
      <c r="O1831">
        <v>1.6711359999999999E-3</v>
      </c>
      <c r="P1831">
        <v>-0.98016769999999998</v>
      </c>
      <c r="Q1831">
        <v>0.1937836</v>
      </c>
      <c r="R1831">
        <v>4.1464910000000001E-2</v>
      </c>
      <c r="S1831">
        <v>-3.0639949999999998</v>
      </c>
      <c r="T1831">
        <v>1.6587020000000001E-2</v>
      </c>
      <c r="U1831">
        <v>-0.15707399999999999</v>
      </c>
      <c r="V1831">
        <v>3.9751920000000003E-2</v>
      </c>
      <c r="W1831">
        <v>0.20804049999999999</v>
      </c>
      <c r="X1831">
        <v>0.97731210000000002</v>
      </c>
      <c r="Y1831">
        <v>-5.2867219999999999E-2</v>
      </c>
      <c r="Z1831">
        <v>-2.0854860000000001E-4</v>
      </c>
      <c r="AA1831">
        <v>0.99860159999999998</v>
      </c>
      <c r="AB1831">
        <v>37</v>
      </c>
      <c r="AC1831">
        <v>-119.9789</v>
      </c>
      <c r="AD1831">
        <v>0.65132299999999999</v>
      </c>
      <c r="AE1831">
        <v>-6.1691999999999796</v>
      </c>
      <c r="AF1831">
        <v>-6.3695264425804901</v>
      </c>
      <c r="AG1831">
        <v>0.65132299999999999</v>
      </c>
      <c r="AH1831">
        <v>119.96489570225</v>
      </c>
      <c r="AI1831">
        <v>89.689365764102305</v>
      </c>
      <c r="AJ1831">
        <v>93.039260963228003</v>
      </c>
      <c r="AK1831">
        <v>120.135637050814</v>
      </c>
      <c r="AL1831">
        <v>77.992454827375497</v>
      </c>
      <c r="AM1831">
        <v>87.670792746282402</v>
      </c>
      <c r="AN1831">
        <v>1.0000000027951701</v>
      </c>
    </row>
    <row r="1832" spans="1:40" x14ac:dyDescent="0.25">
      <c r="A1832" t="str">
        <f>"20190303170758174"</f>
        <v>20190303170758174</v>
      </c>
      <c r="B1832" t="str">
        <f>"1551604078164854"</f>
        <v>1551604078164854</v>
      </c>
      <c r="C1832" t="s">
        <v>40</v>
      </c>
      <c r="D1832">
        <v>3.8620139999999998</v>
      </c>
      <c r="E1832">
        <v>0.46873540000000002</v>
      </c>
      <c r="F1832" t="s">
        <v>70</v>
      </c>
      <c r="G1832">
        <v>-551.06240000000003</v>
      </c>
      <c r="H1832">
        <v>1.80461</v>
      </c>
      <c r="I1832">
        <v>278.96699999999998</v>
      </c>
      <c r="J1832">
        <v>-431.4538</v>
      </c>
      <c r="K1832">
        <v>1.1213500000000001</v>
      </c>
      <c r="L1832">
        <v>285.12310000000002</v>
      </c>
      <c r="M1832">
        <v>-0.99989269999999997</v>
      </c>
      <c r="N1832">
        <v>-1.4583270000000001E-2</v>
      </c>
      <c r="O1832">
        <v>1.5053239999999999E-3</v>
      </c>
      <c r="P1832">
        <v>-0.97999959999999997</v>
      </c>
      <c r="Q1832">
        <v>0.19484219999999999</v>
      </c>
      <c r="R1832">
        <v>4.046719E-2</v>
      </c>
      <c r="S1832">
        <v>-3.063904</v>
      </c>
      <c r="T1832">
        <v>1.7450449999999999E-2</v>
      </c>
      <c r="U1832">
        <v>-0.157196</v>
      </c>
      <c r="V1832">
        <v>3.8916760000000002E-2</v>
      </c>
      <c r="W1832">
        <v>0.20912810000000001</v>
      </c>
      <c r="X1832">
        <v>0.97711360000000003</v>
      </c>
      <c r="Y1832">
        <v>-5.2742879999999999E-2</v>
      </c>
      <c r="Z1832">
        <v>-2.0424540000000001E-4</v>
      </c>
      <c r="AA1832">
        <v>0.9986081</v>
      </c>
      <c r="AB1832">
        <v>37</v>
      </c>
      <c r="AC1832">
        <v>-119.6086</v>
      </c>
      <c r="AD1832">
        <v>0.68325999999999898</v>
      </c>
      <c r="AE1832">
        <v>-6.1561000000000297</v>
      </c>
      <c r="AF1832">
        <v>-6.3359556268756503</v>
      </c>
      <c r="AG1832">
        <v>0.68325999999999898</v>
      </c>
      <c r="AH1832">
        <v>119.595304191213</v>
      </c>
      <c r="AI1832">
        <v>89.673125399052196</v>
      </c>
      <c r="AJ1832">
        <v>93.032597785963105</v>
      </c>
      <c r="AK1832">
        <v>119.76496968029601</v>
      </c>
      <c r="AL1832">
        <v>77.928738809854906</v>
      </c>
      <c r="AM1832">
        <v>87.719212790716398</v>
      </c>
      <c r="AN1832">
        <v>1.0000000318617299</v>
      </c>
    </row>
    <row r="1833" spans="1:40" x14ac:dyDescent="0.25">
      <c r="A1833" t="str">
        <f>"20190303170758196"</f>
        <v>20190303170758196</v>
      </c>
      <c r="B1833" t="str">
        <f>"1551604078184374"</f>
        <v>1551604078184374</v>
      </c>
      <c r="C1833" t="s">
        <v>40</v>
      </c>
      <c r="D1833">
        <v>3.9014660000000001</v>
      </c>
      <c r="E1833">
        <v>0.44706410000000002</v>
      </c>
      <c r="F1833" t="s">
        <v>70</v>
      </c>
      <c r="G1833">
        <v>-551.0625</v>
      </c>
      <c r="H1833">
        <v>1.925001</v>
      </c>
      <c r="I1833">
        <v>278.82900000000001</v>
      </c>
      <c r="J1833">
        <v>-431.81020000000001</v>
      </c>
      <c r="K1833">
        <v>1.121359</v>
      </c>
      <c r="L1833">
        <v>285.1234</v>
      </c>
      <c r="M1833">
        <v>-0.99989240000000001</v>
      </c>
      <c r="N1833">
        <v>-1.461028E-2</v>
      </c>
      <c r="O1833">
        <v>1.3459310000000001E-3</v>
      </c>
      <c r="P1833">
        <v>-0.97972769999999998</v>
      </c>
      <c r="Q1833">
        <v>0.19631419999999999</v>
      </c>
      <c r="R1833">
        <v>3.9930109999999998E-2</v>
      </c>
      <c r="S1833">
        <v>-3.063812</v>
      </c>
      <c r="T1833">
        <v>2.05878E-2</v>
      </c>
      <c r="U1833">
        <v>-0.16122439999999999</v>
      </c>
      <c r="V1833">
        <v>3.8535859999999998E-2</v>
      </c>
      <c r="W1833">
        <v>0.21062230000000001</v>
      </c>
      <c r="X1833">
        <v>0.97680769999999995</v>
      </c>
      <c r="Y1833">
        <v>-5.3894730000000002E-2</v>
      </c>
      <c r="Z1833">
        <v>-1.843576E-4</v>
      </c>
      <c r="AA1833">
        <v>0.99854659999999995</v>
      </c>
      <c r="AB1833">
        <v>37</v>
      </c>
      <c r="AC1833">
        <v>-119.25230000000001</v>
      </c>
      <c r="AD1833">
        <v>0.80364199999999897</v>
      </c>
      <c r="AE1833">
        <v>-6.2943999999999898</v>
      </c>
      <c r="AF1833">
        <v>-6.4546244744734897</v>
      </c>
      <c r="AG1833">
        <v>0.80364199999999897</v>
      </c>
      <c r="AH1833">
        <v>119.238319161066</v>
      </c>
      <c r="AI1833">
        <v>89.614408472407405</v>
      </c>
      <c r="AJ1833">
        <v>93.098518564244401</v>
      </c>
      <c r="AK1833">
        <v>119.415596862081</v>
      </c>
      <c r="AL1833">
        <v>77.841177201777299</v>
      </c>
      <c r="AM1833">
        <v>87.740806352763798</v>
      </c>
      <c r="AN1833">
        <v>1.0000000242712499</v>
      </c>
    </row>
    <row r="1834" spans="1:40" x14ac:dyDescent="0.25">
      <c r="A1834" t="str">
        <f>"20190303170758219"</f>
        <v>20190303170758219</v>
      </c>
      <c r="B1834" t="str">
        <f>"1551604078214630"</f>
        <v>1551604078214630</v>
      </c>
      <c r="C1834" t="s">
        <v>40</v>
      </c>
      <c r="D1834">
        <v>3.8934280000000001</v>
      </c>
      <c r="E1834">
        <v>0.44286629999999999</v>
      </c>
      <c r="F1834" t="s">
        <v>70</v>
      </c>
      <c r="G1834">
        <v>-511.95929999999998</v>
      </c>
      <c r="H1834">
        <v>2.0465909999999998</v>
      </c>
      <c r="I1834">
        <v>276.36110000000002</v>
      </c>
      <c r="J1834">
        <v>-432.18759999999997</v>
      </c>
      <c r="K1834">
        <v>1.121364</v>
      </c>
      <c r="L1834">
        <v>285.12369999999999</v>
      </c>
      <c r="M1834">
        <v>-0.99989229999999996</v>
      </c>
      <c r="N1834">
        <v>-1.463453E-2</v>
      </c>
      <c r="O1834">
        <v>1.1767870000000001E-3</v>
      </c>
      <c r="P1834">
        <v>-0.9798462</v>
      </c>
      <c r="Q1834">
        <v>0.19590840000000001</v>
      </c>
      <c r="R1834">
        <v>3.9006770000000003E-2</v>
      </c>
      <c r="S1834">
        <v>-3.0686650000000002</v>
      </c>
      <c r="T1834">
        <v>3.542733E-2</v>
      </c>
      <c r="U1834">
        <v>-0.33547969999999999</v>
      </c>
      <c r="V1834">
        <v>3.7778440000000003E-2</v>
      </c>
      <c r="W1834">
        <v>0.21024090000000001</v>
      </c>
      <c r="X1834">
        <v>0.97691939999999999</v>
      </c>
      <c r="Y1834">
        <v>-0.1098483</v>
      </c>
      <c r="Z1834">
        <v>-1.4330939999999999E-4</v>
      </c>
      <c r="AA1834">
        <v>0.99394830000000001</v>
      </c>
      <c r="AB1834">
        <v>37</v>
      </c>
      <c r="AC1834">
        <v>-79.771699999999996</v>
      </c>
      <c r="AD1834">
        <v>0.92522699999999902</v>
      </c>
      <c r="AE1834">
        <v>-8.76259999999996</v>
      </c>
      <c r="AF1834">
        <v>-8.8553012314551101</v>
      </c>
      <c r="AG1834">
        <v>0.92522699999999902</v>
      </c>
      <c r="AH1834">
        <v>79.750731476538107</v>
      </c>
      <c r="AI1834">
        <v>89.339373315179998</v>
      </c>
      <c r="AJ1834">
        <v>96.336010910402393</v>
      </c>
      <c r="AK1834">
        <v>80.246193529314695</v>
      </c>
      <c r="AL1834">
        <v>77.863529788471695</v>
      </c>
      <c r="AM1834">
        <v>87.785418992299896</v>
      </c>
      <c r="AN1834">
        <v>0.99999998032900095</v>
      </c>
    </row>
    <row r="1835" spans="1:40" x14ac:dyDescent="0.25">
      <c r="A1835" t="str">
        <f>"20190303170758241"</f>
        <v>20190303170758241</v>
      </c>
      <c r="B1835" t="str">
        <f>"1551604078234150"</f>
        <v>1551604078234150</v>
      </c>
      <c r="C1835" t="s">
        <v>40</v>
      </c>
      <c r="D1835">
        <v>3.896487</v>
      </c>
      <c r="E1835">
        <v>0.44177509999999998</v>
      </c>
      <c r="F1835" t="s">
        <v>70</v>
      </c>
      <c r="G1835">
        <v>-512.82590000000005</v>
      </c>
      <c r="H1835">
        <v>2.2880660000000002</v>
      </c>
      <c r="I1835">
        <v>275.36700000000002</v>
      </c>
      <c r="J1835">
        <v>-432.54660000000001</v>
      </c>
      <c r="K1835">
        <v>1.1213630000000001</v>
      </c>
      <c r="L1835">
        <v>285.12400000000002</v>
      </c>
      <c r="M1835">
        <v>-0.99989220000000001</v>
      </c>
      <c r="N1835">
        <v>-1.465403E-2</v>
      </c>
      <c r="O1835">
        <v>1.0159030000000001E-3</v>
      </c>
      <c r="P1835">
        <v>-0.98015209999999997</v>
      </c>
      <c r="Q1835">
        <v>0.1946415</v>
      </c>
      <c r="R1835">
        <v>3.7640819999999998E-2</v>
      </c>
      <c r="S1835">
        <v>-3.0675659999999998</v>
      </c>
      <c r="T1835">
        <v>4.4385550000000003E-2</v>
      </c>
      <c r="U1835">
        <v>-0.37115480000000001</v>
      </c>
      <c r="V1835">
        <v>3.6570539999999999E-2</v>
      </c>
      <c r="W1835">
        <v>0.2089974</v>
      </c>
      <c r="X1835">
        <v>0.9772322</v>
      </c>
      <c r="Y1835">
        <v>-0.1211257</v>
      </c>
      <c r="Z1835" s="1">
        <v>1.179019E-5</v>
      </c>
      <c r="AA1835">
        <v>0.9926372</v>
      </c>
      <c r="AB1835">
        <v>37</v>
      </c>
      <c r="AC1835">
        <v>-80.279300000000006</v>
      </c>
      <c r="AD1835">
        <v>1.166703</v>
      </c>
      <c r="AE1835">
        <v>-9.7569999999999997</v>
      </c>
      <c r="AF1835">
        <v>-9.8365123734121802</v>
      </c>
      <c r="AG1835">
        <v>1.166703</v>
      </c>
      <c r="AH1835">
        <v>80.252641948655906</v>
      </c>
      <c r="AI1835">
        <v>89.173285651995897</v>
      </c>
      <c r="AJ1835">
        <v>96.987850888159102</v>
      </c>
      <c r="AK1835">
        <v>80.861639306296894</v>
      </c>
      <c r="AL1835">
        <v>77.936396750664898</v>
      </c>
      <c r="AM1835">
        <v>87.856844790851198</v>
      </c>
      <c r="AN1835">
        <v>1.0000000451597399</v>
      </c>
    </row>
    <row r="1836" spans="1:40" x14ac:dyDescent="0.25">
      <c r="A1836" t="str">
        <f>"20190303170758264"</f>
        <v>20190303170758264</v>
      </c>
      <c r="B1836" t="str">
        <f>"1551604078254648"</f>
        <v>1551604078254648</v>
      </c>
      <c r="C1836" t="s">
        <v>40</v>
      </c>
      <c r="D1836">
        <v>3.9140269999999999</v>
      </c>
      <c r="E1836">
        <v>0.44143660000000001</v>
      </c>
      <c r="F1836" t="s">
        <v>70</v>
      </c>
      <c r="G1836">
        <v>-512.82590000000005</v>
      </c>
      <c r="H1836">
        <v>2.1443189999999999</v>
      </c>
      <c r="I1836">
        <v>275.08539999999999</v>
      </c>
      <c r="J1836">
        <v>-432.92070000000001</v>
      </c>
      <c r="K1836">
        <v>1.1213709999999999</v>
      </c>
      <c r="L1836">
        <v>285.12419999999997</v>
      </c>
      <c r="M1836">
        <v>-0.99989209999999995</v>
      </c>
      <c r="N1836">
        <v>-1.4671099999999999E-2</v>
      </c>
      <c r="O1836">
        <v>8.4812539999999995E-4</v>
      </c>
      <c r="P1836">
        <v>-0.98003320000000005</v>
      </c>
      <c r="Q1836">
        <v>0.19545390000000001</v>
      </c>
      <c r="R1836">
        <v>3.6508359999999997E-2</v>
      </c>
      <c r="S1836">
        <v>-3.0677189999999999</v>
      </c>
      <c r="T1836">
        <v>3.9093259999999998E-2</v>
      </c>
      <c r="U1836">
        <v>-0.383606</v>
      </c>
      <c r="V1836">
        <v>3.5602549999999997E-2</v>
      </c>
      <c r="W1836">
        <v>0.2098237</v>
      </c>
      <c r="X1836">
        <v>0.97709080000000004</v>
      </c>
      <c r="Y1836">
        <v>-0.12492259999999999</v>
      </c>
      <c r="Z1836">
        <v>-1.039623E-4</v>
      </c>
      <c r="AA1836">
        <v>0.99216649999999995</v>
      </c>
      <c r="AB1836">
        <v>36</v>
      </c>
      <c r="AC1836">
        <v>-79.905199999999994</v>
      </c>
      <c r="AD1836">
        <v>1.022948</v>
      </c>
      <c r="AE1836">
        <v>-10.038799999999901</v>
      </c>
      <c r="AF1836">
        <v>-10.104942924359399</v>
      </c>
      <c r="AG1836">
        <v>1.022948</v>
      </c>
      <c r="AH1836">
        <v>79.883767325724506</v>
      </c>
      <c r="AI1836">
        <v>89.272141105557296</v>
      </c>
      <c r="AJ1836">
        <v>97.209372475487399</v>
      </c>
      <c r="AK1836">
        <v>80.526843824067498</v>
      </c>
      <c r="AL1836">
        <v>77.887978924446898</v>
      </c>
      <c r="AM1836">
        <v>87.913219725231698</v>
      </c>
      <c r="AN1836">
        <v>0.99999997904641602</v>
      </c>
    </row>
    <row r="1837" spans="1:40" x14ac:dyDescent="0.25">
      <c r="A1837" t="str">
        <f>"20190303170758287"</f>
        <v>20190303170758287</v>
      </c>
      <c r="B1837" t="str">
        <f>"1551604078274166"</f>
        <v>1551604078274166</v>
      </c>
      <c r="C1837" t="s">
        <v>40</v>
      </c>
      <c r="D1837">
        <v>3.9300250000000001</v>
      </c>
      <c r="E1837">
        <v>0.4413898</v>
      </c>
      <c r="F1837" t="s">
        <v>70</v>
      </c>
      <c r="G1837">
        <v>-512.82590000000005</v>
      </c>
      <c r="H1837">
        <v>2.1767720000000002</v>
      </c>
      <c r="I1837">
        <v>274.98390000000001</v>
      </c>
      <c r="J1837">
        <v>-433.2953</v>
      </c>
      <c r="K1837">
        <v>1.1213789999999999</v>
      </c>
      <c r="L1837">
        <v>285.12439999999998</v>
      </c>
      <c r="M1837">
        <v>-0.999892</v>
      </c>
      <c r="N1837">
        <v>-1.468531E-2</v>
      </c>
      <c r="O1837">
        <v>6.8018850000000004E-4</v>
      </c>
      <c r="P1837">
        <v>-0.97972349999999997</v>
      </c>
      <c r="Q1837">
        <v>0.19713</v>
      </c>
      <c r="R1837">
        <v>3.5803309999999998E-2</v>
      </c>
      <c r="S1837">
        <v>-3.0675349999999999</v>
      </c>
      <c r="T1837">
        <v>4.0519479999999997E-2</v>
      </c>
      <c r="U1837">
        <v>-0.38928220000000002</v>
      </c>
      <c r="V1837">
        <v>3.50619E-2</v>
      </c>
      <c r="W1837">
        <v>0.21150930000000001</v>
      </c>
      <c r="X1837">
        <v>0.97674689999999997</v>
      </c>
      <c r="Y1837">
        <v>-0.12657009999999999</v>
      </c>
      <c r="Z1837" s="1">
        <v>-8.1654749999999999E-5</v>
      </c>
      <c r="AA1837">
        <v>0.99195770000000005</v>
      </c>
      <c r="AB1837">
        <v>36</v>
      </c>
      <c r="AC1837">
        <v>-79.530600000000007</v>
      </c>
      <c r="AD1837">
        <v>1.055393</v>
      </c>
      <c r="AE1837">
        <v>-10.1404999999999</v>
      </c>
      <c r="AF1837">
        <v>-10.1928330380421</v>
      </c>
      <c r="AG1837">
        <v>1.055393</v>
      </c>
      <c r="AH1837">
        <v>79.509905681005193</v>
      </c>
      <c r="AI1837">
        <v>89.245688226078201</v>
      </c>
      <c r="AJ1837">
        <v>97.305231632339797</v>
      </c>
      <c r="AK1837">
        <v>80.167529593521806</v>
      </c>
      <c r="AL1837">
        <v>77.789184416005298</v>
      </c>
      <c r="AM1837">
        <v>87.944158623221696</v>
      </c>
      <c r="AN1837">
        <v>1.0000000137388501</v>
      </c>
    </row>
    <row r="1838" spans="1:40" x14ac:dyDescent="0.25">
      <c r="A1838" t="str">
        <f>"20190303170758308"</f>
        <v>20190303170758308</v>
      </c>
      <c r="B1838" t="str">
        <f>"1551604078304422"</f>
        <v>1551604078304422</v>
      </c>
      <c r="C1838" t="s">
        <v>40</v>
      </c>
      <c r="D1838">
        <v>3.9520599999999999</v>
      </c>
      <c r="E1838">
        <v>0.4413802</v>
      </c>
      <c r="F1838" t="s">
        <v>70</v>
      </c>
      <c r="G1838">
        <v>-512.82590000000005</v>
      </c>
      <c r="H1838">
        <v>2.2954289999999999</v>
      </c>
      <c r="I1838">
        <v>274.9658</v>
      </c>
      <c r="J1838">
        <v>-433.6336</v>
      </c>
      <c r="K1838">
        <v>1.1213879999999901</v>
      </c>
      <c r="L1838">
        <v>285.12450000000001</v>
      </c>
      <c r="M1838">
        <v>-0.999892</v>
      </c>
      <c r="N1838">
        <v>-1.4696030000000001E-2</v>
      </c>
      <c r="O1838">
        <v>5.2848809999999995E-4</v>
      </c>
      <c r="P1838">
        <v>-0.97964110000000004</v>
      </c>
      <c r="Q1838">
        <v>0.197772</v>
      </c>
      <c r="R1838">
        <v>3.4493250000000003E-2</v>
      </c>
      <c r="S1838">
        <v>-3.0672609999999998</v>
      </c>
      <c r="T1838">
        <v>4.5282599999999999E-2</v>
      </c>
      <c r="U1838">
        <v>-0.39178469999999999</v>
      </c>
      <c r="V1838">
        <v>3.3900600000000003E-2</v>
      </c>
      <c r="W1838">
        <v>0.2121593</v>
      </c>
      <c r="X1838">
        <v>0.97664689999999998</v>
      </c>
      <c r="Y1838">
        <v>-0.1272258</v>
      </c>
      <c r="Z1838" s="1">
        <v>1.209602E-5</v>
      </c>
      <c r="AA1838">
        <v>0.99187380000000003</v>
      </c>
      <c r="AB1838">
        <v>36</v>
      </c>
      <c r="AC1838">
        <v>-79.192300000000003</v>
      </c>
      <c r="AD1838">
        <v>1.1740409999999999</v>
      </c>
      <c r="AE1838">
        <v>-10.1587</v>
      </c>
      <c r="AF1838">
        <v>-10.1983501133759</v>
      </c>
      <c r="AG1838">
        <v>1.1740409999999999</v>
      </c>
      <c r="AH1838">
        <v>79.169800866723406</v>
      </c>
      <c r="AI1838">
        <v>89.157361410690498</v>
      </c>
      <c r="AJ1838">
        <v>97.3402005556798</v>
      </c>
      <c r="AK1838">
        <v>79.832587873507606</v>
      </c>
      <c r="AL1838">
        <v>77.751077087128806</v>
      </c>
      <c r="AM1838">
        <v>88.0119920824677</v>
      </c>
      <c r="AN1838">
        <v>0.99999999326822997</v>
      </c>
    </row>
    <row r="1839" spans="1:40" x14ac:dyDescent="0.25">
      <c r="A1839" t="str">
        <f>"20190303170758331"</f>
        <v>20190303170758331</v>
      </c>
      <c r="B1839" t="str">
        <f>"1551604078323943"</f>
        <v>1551604078323943</v>
      </c>
      <c r="C1839" t="s">
        <v>40</v>
      </c>
      <c r="D1839">
        <v>3.9804520000000001</v>
      </c>
      <c r="E1839">
        <v>0.44130639999999999</v>
      </c>
      <c r="F1839" t="s">
        <v>70</v>
      </c>
      <c r="G1839">
        <v>-512.82590000000005</v>
      </c>
      <c r="H1839">
        <v>2.2908040000000001</v>
      </c>
      <c r="I1839">
        <v>274.90719999999999</v>
      </c>
      <c r="J1839">
        <v>-434.00760000000002</v>
      </c>
      <c r="K1839">
        <v>1.1213919999999999</v>
      </c>
      <c r="L1839">
        <v>285.12450000000001</v>
      </c>
      <c r="M1839">
        <v>-0.9998918</v>
      </c>
      <c r="N1839">
        <v>-1.470554E-2</v>
      </c>
      <c r="O1839">
        <v>3.612372E-4</v>
      </c>
      <c r="P1839">
        <v>-0.97969150000000005</v>
      </c>
      <c r="Q1839">
        <v>0.19782839999999999</v>
      </c>
      <c r="R1839">
        <v>3.2688969999999998E-2</v>
      </c>
      <c r="S1839">
        <v>-3.0671689999999998</v>
      </c>
      <c r="T1839">
        <v>4.5295240000000001E-2</v>
      </c>
      <c r="U1839">
        <v>-0.3957214</v>
      </c>
      <c r="V1839">
        <v>3.2260270000000001E-2</v>
      </c>
      <c r="W1839">
        <v>0.21222550000000001</v>
      </c>
      <c r="X1839">
        <v>0.97668809999999995</v>
      </c>
      <c r="Y1839">
        <v>-0.12831609999999999</v>
      </c>
      <c r="Z1839" s="1">
        <v>6.6888750000000004E-6</v>
      </c>
      <c r="AA1839">
        <v>0.99173330000000004</v>
      </c>
      <c r="AB1839">
        <v>36</v>
      </c>
      <c r="AC1839">
        <v>-78.818299999999994</v>
      </c>
      <c r="AD1839">
        <v>1.1694119999999999</v>
      </c>
      <c r="AE1839">
        <v>-10.2173</v>
      </c>
      <c r="AF1839">
        <v>-10.2435568571945</v>
      </c>
      <c r="AG1839">
        <v>1.1694119999999999</v>
      </c>
      <c r="AH1839">
        <v>78.797544480545497</v>
      </c>
      <c r="AI1839">
        <v>89.156845607431805</v>
      </c>
      <c r="AJ1839">
        <v>97.406823516669505</v>
      </c>
      <c r="AK1839">
        <v>79.469182691631303</v>
      </c>
      <c r="AL1839">
        <v>77.747196005931698</v>
      </c>
      <c r="AM1839">
        <v>88.108192815847502</v>
      </c>
      <c r="AN1839">
        <v>1.00000001627616</v>
      </c>
    </row>
    <row r="1840" spans="1:40" x14ac:dyDescent="0.25">
      <c r="A1840" t="str">
        <f>"20190303170758353"</f>
        <v>20190303170758353</v>
      </c>
      <c r="B1840" t="str">
        <f>"1551604078344439"</f>
        <v>1551604078344439</v>
      </c>
      <c r="C1840" t="s">
        <v>40</v>
      </c>
      <c r="D1840">
        <v>4.0234360000000002</v>
      </c>
      <c r="E1840">
        <v>0.44090390000000002</v>
      </c>
      <c r="F1840" t="s">
        <v>70</v>
      </c>
      <c r="G1840">
        <v>-512.82590000000005</v>
      </c>
      <c r="H1840">
        <v>2.253609</v>
      </c>
      <c r="I1840">
        <v>274.81650000000002</v>
      </c>
      <c r="J1840">
        <v>-434.35919999999999</v>
      </c>
      <c r="K1840">
        <v>1.1214029999999999</v>
      </c>
      <c r="L1840">
        <v>285.12439999999998</v>
      </c>
      <c r="M1840">
        <v>-0.99989189999999994</v>
      </c>
      <c r="N1840">
        <v>-1.4712599999999999E-2</v>
      </c>
      <c r="O1840">
        <v>2.03072E-4</v>
      </c>
      <c r="P1840">
        <v>-0.97974340000000004</v>
      </c>
      <c r="Q1840">
        <v>0.1977642</v>
      </c>
      <c r="R1840">
        <v>3.1503129999999997E-2</v>
      </c>
      <c r="S1840">
        <v>-3.066681</v>
      </c>
      <c r="T1840">
        <v>4.4055579999999997E-2</v>
      </c>
      <c r="U1840">
        <v>-0.40106199999999997</v>
      </c>
      <c r="V1840">
        <v>3.122956E-2</v>
      </c>
      <c r="W1840">
        <v>0.2121682</v>
      </c>
      <c r="X1840">
        <v>0.97673399999999999</v>
      </c>
      <c r="Y1840">
        <v>-0.12987799999999999</v>
      </c>
      <c r="Z1840" s="1">
        <v>-2.4738610000000001E-5</v>
      </c>
      <c r="AA1840">
        <v>0.99153000000000002</v>
      </c>
      <c r="AB1840">
        <v>36</v>
      </c>
      <c r="AC1840">
        <v>-78.466700000000003</v>
      </c>
      <c r="AD1840">
        <v>1.1322059999999901</v>
      </c>
      <c r="AE1840">
        <v>-10.307899999999901</v>
      </c>
      <c r="AF1840">
        <v>-10.321723375815401</v>
      </c>
      <c r="AG1840">
        <v>1.1322059999999901</v>
      </c>
      <c r="AH1840">
        <v>78.448549023358893</v>
      </c>
      <c r="AI1840">
        <v>89.180202565617407</v>
      </c>
      <c r="AJ1840">
        <v>97.495531607142794</v>
      </c>
      <c r="AK1840">
        <v>79.132766334456093</v>
      </c>
      <c r="AL1840">
        <v>77.750554968726902</v>
      </c>
      <c r="AM1840">
        <v>88.168679890912898</v>
      </c>
      <c r="AN1840">
        <v>0.99999996863251595</v>
      </c>
    </row>
    <row r="1841" spans="1:40" x14ac:dyDescent="0.25">
      <c r="A1841" t="str">
        <f>"20190303170758375"</f>
        <v>20190303170758375</v>
      </c>
      <c r="B1841" t="str">
        <f>"1551604078363959"</f>
        <v>1551604078363959</v>
      </c>
      <c r="C1841" t="s">
        <v>40</v>
      </c>
      <c r="D1841">
        <v>3.9908950000000001</v>
      </c>
      <c r="E1841">
        <v>0.440579</v>
      </c>
      <c r="F1841" t="s">
        <v>70</v>
      </c>
      <c r="G1841">
        <v>-512.82590000000005</v>
      </c>
      <c r="H1841">
        <v>2.1977099999999998</v>
      </c>
      <c r="I1841">
        <v>274.68290000000002</v>
      </c>
      <c r="J1841">
        <v>-434.72019999999998</v>
      </c>
      <c r="K1841">
        <v>1.1214109999999999</v>
      </c>
      <c r="L1841">
        <v>285.12430000000001</v>
      </c>
      <c r="M1841">
        <v>-0.9998918</v>
      </c>
      <c r="N1841">
        <v>-1.4718439999999999E-2</v>
      </c>
      <c r="O1841" s="1">
        <v>4.103719E-5</v>
      </c>
      <c r="P1841">
        <v>-0.97974550000000005</v>
      </c>
      <c r="Q1841">
        <v>0.19795850000000001</v>
      </c>
      <c r="R1841">
        <v>3.0188570000000001E-2</v>
      </c>
      <c r="S1841">
        <v>-3.066681</v>
      </c>
      <c r="T1841">
        <v>4.2067889999999997E-2</v>
      </c>
      <c r="U1841">
        <v>-0.40808109999999997</v>
      </c>
      <c r="V1841">
        <v>3.0073929999999999E-2</v>
      </c>
      <c r="W1841">
        <v>0.2123681</v>
      </c>
      <c r="X1841">
        <v>0.97672689999999995</v>
      </c>
      <c r="Y1841">
        <v>-0.13194819999999999</v>
      </c>
      <c r="Z1841" s="1">
        <v>-7.3182629999999995E-5</v>
      </c>
      <c r="AA1841">
        <v>0.99125660000000004</v>
      </c>
      <c r="AB1841">
        <v>36</v>
      </c>
      <c r="AC1841">
        <v>-78.105699999999999</v>
      </c>
      <c r="AD1841">
        <v>1.0762989999999899</v>
      </c>
      <c r="AE1841">
        <v>-10.4413999999999</v>
      </c>
      <c r="AF1841">
        <v>-10.442657443284199</v>
      </c>
      <c r="AG1841">
        <v>1.0762989999999899</v>
      </c>
      <c r="AH1841">
        <v>78.090703166664795</v>
      </c>
      <c r="AI1841">
        <v>89.2173268420716</v>
      </c>
      <c r="AJ1841">
        <v>97.616675362354101</v>
      </c>
      <c r="AK1841">
        <v>78.793181399657499</v>
      </c>
      <c r="AL1841">
        <v>77.738835389049498</v>
      </c>
      <c r="AM1841">
        <v>88.236390297922995</v>
      </c>
      <c r="AN1841">
        <v>1.00000004417343</v>
      </c>
    </row>
    <row r="1842" spans="1:40" x14ac:dyDescent="0.25">
      <c r="A1842" t="str">
        <f>"20190303170758400"</f>
        <v>20190303170758400</v>
      </c>
      <c r="B1842" t="str">
        <f>"1551604078394215"</f>
        <v>1551604078394215</v>
      </c>
      <c r="C1842" t="s">
        <v>40</v>
      </c>
      <c r="D1842">
        <v>4.0024360000000003</v>
      </c>
      <c r="E1842">
        <v>0.44007089999999999</v>
      </c>
      <c r="F1842" t="s">
        <v>70</v>
      </c>
      <c r="G1842">
        <v>-512.82590000000005</v>
      </c>
      <c r="H1842">
        <v>2.17456</v>
      </c>
      <c r="I1842">
        <v>274.53359999999998</v>
      </c>
      <c r="J1842">
        <v>-435.11430000000001</v>
      </c>
      <c r="K1842">
        <v>1.1214219999999999</v>
      </c>
      <c r="L1842">
        <v>285.1241</v>
      </c>
      <c r="M1842">
        <v>-0.99989159999999999</v>
      </c>
      <c r="N1842">
        <v>-1.472335E-2</v>
      </c>
      <c r="O1842">
        <v>-1.3594979999999901E-4</v>
      </c>
      <c r="P1842">
        <v>-0.97962119999999997</v>
      </c>
      <c r="Q1842">
        <v>0.1989533</v>
      </c>
      <c r="R1842">
        <v>2.7571620000000002E-2</v>
      </c>
      <c r="S1842">
        <v>-3.0665279999999999</v>
      </c>
      <c r="T1842">
        <v>4.1350959999999999E-2</v>
      </c>
      <c r="U1842">
        <v>-0.415802</v>
      </c>
      <c r="V1842">
        <v>2.7630310000000002E-2</v>
      </c>
      <c r="W1842">
        <v>0.21336469999999999</v>
      </c>
      <c r="X1842">
        <v>0.97658180000000006</v>
      </c>
      <c r="Y1842">
        <v>-0.13423070000000001</v>
      </c>
      <c r="Z1842" s="1">
        <v>-9.5667780000000004E-5</v>
      </c>
      <c r="AA1842">
        <v>0.99095009999999994</v>
      </c>
      <c r="AB1842">
        <v>36</v>
      </c>
      <c r="AC1842">
        <v>-77.711600000000004</v>
      </c>
      <c r="AD1842">
        <v>1.0531379999999999</v>
      </c>
      <c r="AE1842">
        <v>-10.5905</v>
      </c>
      <c r="AF1842">
        <v>-10.578026612291501</v>
      </c>
      <c r="AG1842">
        <v>1.0531379999999999</v>
      </c>
      <c r="AH1842">
        <v>77.699029712661499</v>
      </c>
      <c r="AI1842">
        <v>89.230553613661499</v>
      </c>
      <c r="AJ1842">
        <v>97.752644569656198</v>
      </c>
      <c r="AK1842">
        <v>78.422847212699807</v>
      </c>
      <c r="AL1842">
        <v>77.680394119190098</v>
      </c>
      <c r="AM1842">
        <v>88.379369822992501</v>
      </c>
      <c r="AN1842">
        <v>0.99999997066401203</v>
      </c>
    </row>
    <row r="1843" spans="1:40" x14ac:dyDescent="0.25">
      <c r="A1843" t="str">
        <f>"20190303170758422"</f>
        <v>20190303170758422</v>
      </c>
      <c r="B1843" t="str">
        <f>"1551604078414711"</f>
        <v>1551604078414711</v>
      </c>
      <c r="C1843" t="s">
        <v>40</v>
      </c>
      <c r="D1843">
        <v>4.058961</v>
      </c>
      <c r="E1843">
        <v>0.4399672</v>
      </c>
      <c r="F1843" t="s">
        <v>70</v>
      </c>
      <c r="G1843">
        <v>-512.82590000000005</v>
      </c>
      <c r="H1843">
        <v>2.1829710000000002</v>
      </c>
      <c r="I1843">
        <v>274.28230000000002</v>
      </c>
      <c r="J1843">
        <v>-435.47</v>
      </c>
      <c r="K1843">
        <v>1.1214249999999999</v>
      </c>
      <c r="L1843">
        <v>285.12389999999999</v>
      </c>
      <c r="M1843">
        <v>-0.99989159999999999</v>
      </c>
      <c r="N1843">
        <v>-1.4726639999999999E-2</v>
      </c>
      <c r="O1843">
        <v>-2.9581980000000001E-4</v>
      </c>
      <c r="P1843">
        <v>-0.97963299999999998</v>
      </c>
      <c r="Q1843">
        <v>0.19936110000000001</v>
      </c>
      <c r="R1843">
        <v>2.3973319999999999E-2</v>
      </c>
      <c r="S1843">
        <v>-3.0659179999999999</v>
      </c>
      <c r="T1843">
        <v>4.1883829999999997E-2</v>
      </c>
      <c r="U1843">
        <v>-0.42773440000000001</v>
      </c>
      <c r="V1843">
        <v>2.4188729999999999E-2</v>
      </c>
      <c r="W1843">
        <v>0.21377409999999999</v>
      </c>
      <c r="X1843">
        <v>0.9765836</v>
      </c>
      <c r="Y1843">
        <v>-0.1378827</v>
      </c>
      <c r="Z1843" s="1">
        <v>-9.1341439999999995E-5</v>
      </c>
      <c r="AA1843">
        <v>0.99044860000000001</v>
      </c>
      <c r="AB1843">
        <v>36</v>
      </c>
      <c r="AC1843">
        <v>-77.355900000000005</v>
      </c>
      <c r="AD1843">
        <v>1.0615460000000001</v>
      </c>
      <c r="AE1843">
        <v>-10.8415999999999</v>
      </c>
      <c r="AF1843">
        <v>-10.8167159024255</v>
      </c>
      <c r="AG1843">
        <v>1.0615460000000001</v>
      </c>
      <c r="AH1843">
        <v>77.344819327810995</v>
      </c>
      <c r="AI1843">
        <v>89.221251055940499</v>
      </c>
      <c r="AJ1843">
        <v>97.961212249401498</v>
      </c>
      <c r="AK1843">
        <v>78.104732889087003</v>
      </c>
      <c r="AL1843">
        <v>77.656383539054204</v>
      </c>
      <c r="AM1843">
        <v>88.581146733590998</v>
      </c>
      <c r="AN1843">
        <v>0.999999994139391</v>
      </c>
    </row>
    <row r="1844" spans="1:40" x14ac:dyDescent="0.25">
      <c r="A1844" t="str">
        <f>"20190303170758443"</f>
        <v>20190303170758443</v>
      </c>
      <c r="B1844" t="str">
        <f>"1551604078434231"</f>
        <v>1551604078434231</v>
      </c>
      <c r="C1844" t="s">
        <v>40</v>
      </c>
      <c r="D1844">
        <v>4.088959</v>
      </c>
      <c r="E1844">
        <v>0.43986589999999998</v>
      </c>
      <c r="F1844" t="s">
        <v>70</v>
      </c>
      <c r="G1844">
        <v>-512.82590000000005</v>
      </c>
      <c r="H1844">
        <v>2.1667939999999999</v>
      </c>
      <c r="I1844">
        <v>274.02710000000002</v>
      </c>
      <c r="J1844">
        <v>-435.81420000000003</v>
      </c>
      <c r="K1844">
        <v>1.121416</v>
      </c>
      <c r="L1844">
        <v>285.12369999999999</v>
      </c>
      <c r="M1844">
        <v>-0.99989150000000004</v>
      </c>
      <c r="N1844">
        <v>-1.472891E-2</v>
      </c>
      <c r="O1844">
        <v>-4.5007949999999999E-4</v>
      </c>
      <c r="P1844">
        <v>-0.97976019999999997</v>
      </c>
      <c r="Q1844">
        <v>0.19913020000000001</v>
      </c>
      <c r="R1844">
        <v>2.0425599999999999E-2</v>
      </c>
      <c r="S1844">
        <v>-3.0646969999999998</v>
      </c>
      <c r="T1844">
        <v>4.1418669999999998E-2</v>
      </c>
      <c r="U1844">
        <v>-0.43963619999999998</v>
      </c>
      <c r="V1844">
        <v>2.0792250000000002E-2</v>
      </c>
      <c r="W1844">
        <v>0.2135464</v>
      </c>
      <c r="X1844">
        <v>0.97671160000000001</v>
      </c>
      <c r="Y1844">
        <v>-0.14155409999999999</v>
      </c>
      <c r="Z1844">
        <v>-1.088544E-4</v>
      </c>
      <c r="AA1844">
        <v>0.98993050000000005</v>
      </c>
      <c r="AB1844">
        <v>36</v>
      </c>
      <c r="AC1844">
        <v>-77.011700000000005</v>
      </c>
      <c r="AD1844">
        <v>1.0453779999999999</v>
      </c>
      <c r="AE1844">
        <v>-11.096599999999899</v>
      </c>
      <c r="AF1844">
        <v>-11.0599372665882</v>
      </c>
      <c r="AG1844">
        <v>1.0453779999999999</v>
      </c>
      <c r="AH1844">
        <v>77.002787075816201</v>
      </c>
      <c r="AI1844">
        <v>89.230108883560803</v>
      </c>
      <c r="AJ1844">
        <v>98.173513128300797</v>
      </c>
      <c r="AK1844">
        <v>77.800027281147095</v>
      </c>
      <c r="AL1844">
        <v>77.669737821730607</v>
      </c>
      <c r="AM1844">
        <v>88.780470855807096</v>
      </c>
      <c r="AN1844">
        <v>0.99999996609379005</v>
      </c>
    </row>
    <row r="1845" spans="1:40" x14ac:dyDescent="0.25">
      <c r="A1845" t="str">
        <f>"20190303170758488"</f>
        <v>20190303170758488</v>
      </c>
      <c r="B1845" t="str">
        <f>"1551604078484007"</f>
        <v>1551604078484007</v>
      </c>
      <c r="C1845" t="s">
        <v>40</v>
      </c>
      <c r="D1845">
        <v>4.1268849999999997</v>
      </c>
      <c r="E1845">
        <v>0.43955240000000001</v>
      </c>
      <c r="F1845" t="s">
        <v>70</v>
      </c>
      <c r="G1845">
        <v>-512.82590000000005</v>
      </c>
      <c r="H1845">
        <v>2.0857169999999998</v>
      </c>
      <c r="I1845">
        <v>273.76850000000002</v>
      </c>
      <c r="J1845">
        <v>-436.53579999999999</v>
      </c>
      <c r="K1845">
        <v>1.121435</v>
      </c>
      <c r="L1845">
        <v>285.12299999999999</v>
      </c>
      <c r="M1845">
        <v>-0.99989119999999998</v>
      </c>
      <c r="N1845">
        <v>-1.4731259999999999E-2</v>
      </c>
      <c r="O1845">
        <v>-7.7479250000000001E-4</v>
      </c>
      <c r="P1845">
        <v>-0.97973129999999997</v>
      </c>
      <c r="Q1845">
        <v>0.19976269999999999</v>
      </c>
      <c r="R1845">
        <v>1.48851E-2</v>
      </c>
      <c r="S1845">
        <v>-3.0636290000000002</v>
      </c>
      <c r="T1845">
        <v>3.8364290000000002E-2</v>
      </c>
      <c r="U1845">
        <v>-0.45172119999999999</v>
      </c>
      <c r="V1845">
        <v>1.557003E-2</v>
      </c>
      <c r="W1845">
        <v>0.21417939999999999</v>
      </c>
      <c r="X1845">
        <v>0.97667029999999999</v>
      </c>
      <c r="Y1845">
        <v>-0.14510509999999999</v>
      </c>
      <c r="Z1845">
        <v>-1.9196959999999999E-4</v>
      </c>
      <c r="AA1845">
        <v>0.98941619999999997</v>
      </c>
      <c r="AB1845">
        <v>36</v>
      </c>
      <c r="AC1845">
        <v>-76.290099999999995</v>
      </c>
      <c r="AD1845">
        <v>0.96428199999999997</v>
      </c>
      <c r="AE1845">
        <v>-11.3544999999999</v>
      </c>
      <c r="AF1845">
        <v>-11.2936159975326</v>
      </c>
      <c r="AG1845">
        <v>0.96428199999999997</v>
      </c>
      <c r="AH1845">
        <v>76.286951848385101</v>
      </c>
      <c r="AI1845">
        <v>89.283615545426699</v>
      </c>
      <c r="AJ1845">
        <v>98.420975866584101</v>
      </c>
      <c r="AK1845">
        <v>77.124410042431293</v>
      </c>
      <c r="AL1845">
        <v>77.632611759690406</v>
      </c>
      <c r="AM1845">
        <v>89.086670862031397</v>
      </c>
      <c r="AN1845">
        <v>1.0000000580603201</v>
      </c>
    </row>
    <row r="1846" spans="1:40" x14ac:dyDescent="0.25">
      <c r="A1846" t="str">
        <f>"20190303170758510"</f>
        <v>20190303170758510</v>
      </c>
      <c r="B1846" t="str">
        <f>"1551604078504503"</f>
        <v>1551604078504503</v>
      </c>
      <c r="C1846" t="s">
        <v>40</v>
      </c>
      <c r="D1846">
        <v>4.153035</v>
      </c>
      <c r="E1846">
        <v>0.4395503</v>
      </c>
      <c r="F1846" t="s">
        <v>70</v>
      </c>
      <c r="G1846">
        <v>-512.82579999999996</v>
      </c>
      <c r="H1846">
        <v>2.018821</v>
      </c>
      <c r="I1846">
        <v>273.39179999999999</v>
      </c>
      <c r="J1846">
        <v>-436.88630000000001</v>
      </c>
      <c r="K1846">
        <v>1.1214390000000001</v>
      </c>
      <c r="L1846">
        <v>285.1225</v>
      </c>
      <c r="M1846">
        <v>-0.99989099999999997</v>
      </c>
      <c r="N1846">
        <v>-1.4731360000000001E-2</v>
      </c>
      <c r="O1846">
        <v>-9.3272769999999997E-4</v>
      </c>
      <c r="P1846">
        <v>-0.9795739</v>
      </c>
      <c r="Q1846">
        <v>0.2006907</v>
      </c>
      <c r="R1846">
        <v>1.2588739999999999E-2</v>
      </c>
      <c r="S1846">
        <v>-3.0618590000000001</v>
      </c>
      <c r="T1846">
        <v>3.6019210000000003E-2</v>
      </c>
      <c r="U1846">
        <v>-0.4708252</v>
      </c>
      <c r="V1846">
        <v>1.3428399999999899E-2</v>
      </c>
      <c r="W1846">
        <v>0.2151043</v>
      </c>
      <c r="X1846">
        <v>0.9764988</v>
      </c>
      <c r="Y1846">
        <v>-0.15106559999999999</v>
      </c>
      <c r="Z1846">
        <v>-2.6048580000000003E-4</v>
      </c>
      <c r="AA1846">
        <v>0.98852370000000001</v>
      </c>
      <c r="AB1846">
        <v>36</v>
      </c>
      <c r="AC1846">
        <v>-75.939499999999896</v>
      </c>
      <c r="AD1846">
        <v>0.89738200000000001</v>
      </c>
      <c r="AE1846">
        <v>-11.730700000000001</v>
      </c>
      <c r="AF1846">
        <v>-11.658266277177701</v>
      </c>
      <c r="AG1846">
        <v>0.89738200000000001</v>
      </c>
      <c r="AH1846">
        <v>75.940052348423507</v>
      </c>
      <c r="AI1846">
        <v>89.330807667321295</v>
      </c>
      <c r="AJ1846">
        <v>98.727868936311296</v>
      </c>
      <c r="AK1846">
        <v>76.834966113904201</v>
      </c>
      <c r="AL1846">
        <v>77.578354130127593</v>
      </c>
      <c r="AM1846">
        <v>89.212142244985998</v>
      </c>
      <c r="AN1846">
        <v>1.0000000441032399</v>
      </c>
    </row>
    <row r="1847" spans="1:40" x14ac:dyDescent="0.25">
      <c r="A1847" t="str">
        <f>"20190303170758531"</f>
        <v>20190303170758531</v>
      </c>
      <c r="B1847" t="str">
        <f>"1551604078524023"</f>
        <v>1551604078524023</v>
      </c>
      <c r="C1847" t="s">
        <v>40</v>
      </c>
      <c r="D1847">
        <v>4.1870209999999997</v>
      </c>
      <c r="E1847">
        <v>0.4395947</v>
      </c>
      <c r="F1847" t="s">
        <v>70</v>
      </c>
      <c r="G1847">
        <v>-512.82579999999996</v>
      </c>
      <c r="H1847">
        <v>2.0374629999999998</v>
      </c>
      <c r="I1847">
        <v>273.27190000000002</v>
      </c>
      <c r="J1847">
        <v>-437.24250000000001</v>
      </c>
      <c r="K1847">
        <v>1.121448</v>
      </c>
      <c r="L1847">
        <v>285.12200000000001</v>
      </c>
      <c r="M1847">
        <v>-0.99989090000000003</v>
      </c>
      <c r="N1847">
        <v>-1.47309E-2</v>
      </c>
      <c r="O1847">
        <v>-1.092574E-3</v>
      </c>
      <c r="P1847">
        <v>-0.9795123</v>
      </c>
      <c r="Q1847">
        <v>0.20107369999999999</v>
      </c>
      <c r="R1847">
        <v>1.1182630000000001E-2</v>
      </c>
      <c r="S1847">
        <v>-3.061096</v>
      </c>
      <c r="T1847">
        <v>3.6927700000000001E-2</v>
      </c>
      <c r="U1847">
        <v>-0.4776917</v>
      </c>
      <c r="V1847">
        <v>1.2178599999999999E-2</v>
      </c>
      <c r="W1847">
        <v>0.2154847</v>
      </c>
      <c r="X1847">
        <v>0.9764313</v>
      </c>
      <c r="Y1847">
        <v>-0.15310960000000001</v>
      </c>
      <c r="Z1847">
        <v>-2.4571880000000002E-4</v>
      </c>
      <c r="AA1847">
        <v>0.98820920000000001</v>
      </c>
      <c r="AB1847">
        <v>36</v>
      </c>
      <c r="AC1847">
        <v>-75.583299999999895</v>
      </c>
      <c r="AD1847">
        <v>0.91601500000000002</v>
      </c>
      <c r="AE1847">
        <v>-11.8500999999999</v>
      </c>
      <c r="AF1847">
        <v>-11.7658169486802</v>
      </c>
      <c r="AG1847">
        <v>0.91601500000000002</v>
      </c>
      <c r="AH1847">
        <v>75.585367990482098</v>
      </c>
      <c r="AI1847">
        <v>89.313930991172697</v>
      </c>
      <c r="AJ1847">
        <v>98.847804269530101</v>
      </c>
      <c r="AK1847">
        <v>76.501120163084295</v>
      </c>
      <c r="AL1847">
        <v>77.556035232343703</v>
      </c>
      <c r="AM1847">
        <v>89.285411886842297</v>
      </c>
      <c r="AN1847">
        <v>1.0000000289258599</v>
      </c>
    </row>
    <row r="1848" spans="1:40" x14ac:dyDescent="0.25">
      <c r="A1848" t="str">
        <f>"20190303170758553"</f>
        <v>20190303170758553</v>
      </c>
      <c r="B1848" t="str">
        <f>"1551604078544519"</f>
        <v>1551604078544519</v>
      </c>
      <c r="C1848" t="s">
        <v>40</v>
      </c>
      <c r="D1848">
        <v>4.2101660000000001</v>
      </c>
      <c r="E1848">
        <v>0.4396004</v>
      </c>
      <c r="F1848" t="s">
        <v>70</v>
      </c>
      <c r="G1848">
        <v>-512.82579999999996</v>
      </c>
      <c r="H1848">
        <v>2.027425</v>
      </c>
      <c r="I1848">
        <v>273.22309999999999</v>
      </c>
      <c r="J1848">
        <v>-437.59230000000002</v>
      </c>
      <c r="K1848">
        <v>1.121442</v>
      </c>
      <c r="L1848">
        <v>285.1216</v>
      </c>
      <c r="M1848">
        <v>-0.99989079999999997</v>
      </c>
      <c r="N1848">
        <v>-1.473E-2</v>
      </c>
      <c r="O1848">
        <v>-1.25062E-3</v>
      </c>
      <c r="P1848">
        <v>-0.97945910000000003</v>
      </c>
      <c r="Q1848">
        <v>0.20137920000000001</v>
      </c>
      <c r="R1848">
        <v>1.0325529999999999E-2</v>
      </c>
      <c r="S1848">
        <v>-3.06073</v>
      </c>
      <c r="T1848">
        <v>3.6690470000000003E-2</v>
      </c>
      <c r="U1848">
        <v>-0.48184199999999999</v>
      </c>
      <c r="V1848">
        <v>1.147652E-2</v>
      </c>
      <c r="W1848">
        <v>0.2157888</v>
      </c>
      <c r="X1848">
        <v>0.97637260000000003</v>
      </c>
      <c r="Y1848">
        <v>-0.15427929999999901</v>
      </c>
      <c r="Z1848">
        <v>-2.5746269999999999E-4</v>
      </c>
      <c r="AA1848">
        <v>0.98802719999999999</v>
      </c>
      <c r="AB1848">
        <v>36</v>
      </c>
      <c r="AC1848">
        <v>-75.233499999999907</v>
      </c>
      <c r="AD1848">
        <v>0.90598299999999998</v>
      </c>
      <c r="AE1848">
        <v>-11.8985</v>
      </c>
      <c r="AF1848">
        <v>-11.802722148180401</v>
      </c>
      <c r="AG1848">
        <v>0.90598299999999998</v>
      </c>
      <c r="AH1848">
        <v>75.237678807308299</v>
      </c>
      <c r="AI1848">
        <v>89.3184342968095</v>
      </c>
      <c r="AJ1848">
        <v>98.915471987508397</v>
      </c>
      <c r="AK1848">
        <v>76.163202188557705</v>
      </c>
      <c r="AL1848">
        <v>77.538191243862101</v>
      </c>
      <c r="AM1848">
        <v>89.326562545005402</v>
      </c>
      <c r="AN1848">
        <v>0.99999998537375501</v>
      </c>
    </row>
    <row r="1849" spans="1:40" x14ac:dyDescent="0.25">
      <c r="A1849" t="str">
        <f>"20190303170758576"</f>
        <v>20190303170758576</v>
      </c>
      <c r="B1849" t="str">
        <f>"1551604078565015"</f>
        <v>1551604078565015</v>
      </c>
      <c r="C1849" t="s">
        <v>40</v>
      </c>
      <c r="D1849">
        <v>4.2492989999999997</v>
      </c>
      <c r="E1849">
        <v>0.43954500000000002</v>
      </c>
      <c r="F1849" t="s">
        <v>70</v>
      </c>
      <c r="G1849">
        <v>-512.82579999999996</v>
      </c>
      <c r="H1849">
        <v>2.0026709999999999</v>
      </c>
      <c r="I1849">
        <v>273.21960000000001</v>
      </c>
      <c r="J1849">
        <v>-437.9581</v>
      </c>
      <c r="K1849">
        <v>1.1214550000000001</v>
      </c>
      <c r="L1849">
        <v>285.12090000000001</v>
      </c>
      <c r="M1849">
        <v>-0.99989070000000002</v>
      </c>
      <c r="N1849">
        <v>-1.4728649999999999E-2</v>
      </c>
      <c r="O1849">
        <v>-1.4152220000000001E-3</v>
      </c>
      <c r="P1849">
        <v>-0.97934560000000004</v>
      </c>
      <c r="Q1849">
        <v>0.20197970000000001</v>
      </c>
      <c r="R1849">
        <v>9.3144249999999994E-3</v>
      </c>
      <c r="S1849">
        <v>-3.060638</v>
      </c>
      <c r="T1849">
        <v>3.585315E-2</v>
      </c>
      <c r="U1849">
        <v>-0.48419190000000001</v>
      </c>
      <c r="V1849">
        <v>1.0626470000000001E-2</v>
      </c>
      <c r="W1849">
        <v>0.21638560000000001</v>
      </c>
      <c r="X1849">
        <v>0.97625010000000001</v>
      </c>
      <c r="Y1849">
        <v>-0.15486159999999999</v>
      </c>
      <c r="Z1849">
        <v>-2.8333070000000001E-4</v>
      </c>
      <c r="AA1849">
        <v>0.98793609999999998</v>
      </c>
      <c r="AB1849">
        <v>36</v>
      </c>
      <c r="AC1849">
        <v>-74.8676999999999</v>
      </c>
      <c r="AD1849">
        <v>0.881216</v>
      </c>
      <c r="AE1849">
        <v>-11.9012999999999</v>
      </c>
      <c r="AF1849">
        <v>-11.793728552364501</v>
      </c>
      <c r="AG1849">
        <v>0.881216</v>
      </c>
      <c r="AH1849">
        <v>74.874352372966001</v>
      </c>
      <c r="AI1849">
        <v>89.333913592184899</v>
      </c>
      <c r="AJ1849">
        <v>98.951318838147799</v>
      </c>
      <c r="AK1849">
        <v>75.802620126725202</v>
      </c>
      <c r="AL1849">
        <v>77.5031693034706</v>
      </c>
      <c r="AM1849">
        <v>89.376360793568495</v>
      </c>
      <c r="AN1849">
        <v>0.99999995375101403</v>
      </c>
    </row>
    <row r="1850" spans="1:40" x14ac:dyDescent="0.25">
      <c r="A1850" t="str">
        <f>"20190303170758599"</f>
        <v>20190303170758599</v>
      </c>
      <c r="B1850" t="str">
        <f>"1551604078584535"</f>
        <v>1551604078584535</v>
      </c>
      <c r="C1850" t="s">
        <v>40</v>
      </c>
      <c r="D1850">
        <v>4.2370130000000001</v>
      </c>
      <c r="E1850">
        <v>0.43956250000000002</v>
      </c>
      <c r="F1850" t="s">
        <v>70</v>
      </c>
      <c r="G1850">
        <v>-512.82579999999996</v>
      </c>
      <c r="H1850">
        <v>1.979322</v>
      </c>
      <c r="I1850">
        <v>273.209</v>
      </c>
      <c r="J1850">
        <v>-438.31450000000001</v>
      </c>
      <c r="K1850">
        <v>1.1214649999999999</v>
      </c>
      <c r="L1850">
        <v>285.12029999999999</v>
      </c>
      <c r="M1850">
        <v>-0.99989039999999996</v>
      </c>
      <c r="N1850">
        <v>-1.4726960000000001E-2</v>
      </c>
      <c r="O1850">
        <v>-1.5758879999999999E-3</v>
      </c>
      <c r="P1850">
        <v>-0.97918859999999996</v>
      </c>
      <c r="Q1850">
        <v>0.2027632</v>
      </c>
      <c r="R1850">
        <v>8.7882769999999902E-3</v>
      </c>
      <c r="S1850">
        <v>-3.0606689999999999</v>
      </c>
      <c r="T1850">
        <v>3.5073640000000003E-2</v>
      </c>
      <c r="U1850">
        <v>-0.48696899999999999</v>
      </c>
      <c r="V1850">
        <v>1.02573E-2</v>
      </c>
      <c r="W1850">
        <v>0.21716489999999999</v>
      </c>
      <c r="X1850">
        <v>0.97608099999999998</v>
      </c>
      <c r="Y1850">
        <v>-0.15557579999999999</v>
      </c>
      <c r="Z1850">
        <v>-3.0799050000000002E-4</v>
      </c>
      <c r="AA1850">
        <v>0.98782389999999998</v>
      </c>
      <c r="AB1850">
        <v>36</v>
      </c>
      <c r="AC1850">
        <v>-74.511299999999906</v>
      </c>
      <c r="AD1850">
        <v>0.85785699999999998</v>
      </c>
      <c r="AE1850">
        <v>-11.911299999999899</v>
      </c>
      <c r="AF1850">
        <v>-11.792326873495901</v>
      </c>
      <c r="AG1850">
        <v>0.85785699999999998</v>
      </c>
      <c r="AH1850">
        <v>74.520348699696797</v>
      </c>
      <c r="AI1850">
        <v>89.3485616077825</v>
      </c>
      <c r="AJ1850">
        <v>98.992096711920794</v>
      </c>
      <c r="AK1850">
        <v>75.452483471707097</v>
      </c>
      <c r="AL1850">
        <v>77.457431223884001</v>
      </c>
      <c r="AM1850">
        <v>89.3979204932469</v>
      </c>
      <c r="AN1850">
        <v>0.99999996227814902</v>
      </c>
    </row>
    <row r="1851" spans="1:40" x14ac:dyDescent="0.25">
      <c r="A1851" t="str">
        <f>"20190303170758621"</f>
        <v>20190303170758621</v>
      </c>
      <c r="B1851" t="str">
        <f>"1551604078614791"</f>
        <v>1551604078614791</v>
      </c>
      <c r="C1851" t="s">
        <v>40</v>
      </c>
      <c r="D1851">
        <v>4.2525199999999996</v>
      </c>
      <c r="E1851">
        <v>0.43957170000000001</v>
      </c>
      <c r="F1851" t="s">
        <v>70</v>
      </c>
      <c r="G1851">
        <v>-512.82579999999996</v>
      </c>
      <c r="H1851">
        <v>1.9937229999999999</v>
      </c>
      <c r="I1851">
        <v>273.23259999999999</v>
      </c>
      <c r="J1851">
        <v>-438.67099999999999</v>
      </c>
      <c r="K1851">
        <v>1.1214649999999999</v>
      </c>
      <c r="L1851">
        <v>285.11959999999999</v>
      </c>
      <c r="M1851">
        <v>-0.9998901</v>
      </c>
      <c r="N1851">
        <v>-1.472498E-2</v>
      </c>
      <c r="O1851">
        <v>-1.7367870000000001E-3</v>
      </c>
      <c r="P1851">
        <v>-0.97898850000000004</v>
      </c>
      <c r="Q1851">
        <v>0.20372399999999999</v>
      </c>
      <c r="R1851">
        <v>8.8476949999999992E-3</v>
      </c>
      <c r="S1851">
        <v>-3.06073</v>
      </c>
      <c r="T1851">
        <v>3.5833240000000002E-2</v>
      </c>
      <c r="U1851">
        <v>-0.48831180000000002</v>
      </c>
      <c r="V1851">
        <v>1.0473980000000001E-2</v>
      </c>
      <c r="W1851">
        <v>0.2181208</v>
      </c>
      <c r="X1851">
        <v>0.97586550000000005</v>
      </c>
      <c r="Y1851">
        <v>-0.15583640000000001</v>
      </c>
      <c r="Z1851">
        <v>-2.937654E-4</v>
      </c>
      <c r="AA1851">
        <v>0.98778279999999996</v>
      </c>
      <c r="AB1851">
        <v>36</v>
      </c>
      <c r="AC1851">
        <v>-74.154799999999895</v>
      </c>
      <c r="AD1851">
        <v>0.87225799999999998</v>
      </c>
      <c r="AE1851">
        <v>-11.887</v>
      </c>
      <c r="AF1851">
        <v>-11.756591120041101</v>
      </c>
      <c r="AG1851">
        <v>0.87225799999999998</v>
      </c>
      <c r="AH1851">
        <v>74.165331099372494</v>
      </c>
      <c r="AI1851">
        <v>89.334484711417502</v>
      </c>
      <c r="AJ1851">
        <v>99.007503541983795</v>
      </c>
      <c r="AK1851">
        <v>75.096435373870705</v>
      </c>
      <c r="AL1851">
        <v>77.401316638992697</v>
      </c>
      <c r="AM1851">
        <v>89.385067095454602</v>
      </c>
      <c r="AN1851">
        <v>0.99999993086996197</v>
      </c>
    </row>
    <row r="1852" spans="1:40" x14ac:dyDescent="0.25">
      <c r="A1852" t="str">
        <f>"20190303170758643"</f>
        <v>20190303170758643</v>
      </c>
      <c r="B1852" t="str">
        <f>"1551604078634311"</f>
        <v>1551604078634311</v>
      </c>
      <c r="C1852" t="s">
        <v>40</v>
      </c>
      <c r="D1852">
        <v>4.2673009999999998</v>
      </c>
      <c r="E1852">
        <v>0.43958239999999998</v>
      </c>
      <c r="F1852" t="s">
        <v>70</v>
      </c>
      <c r="G1852">
        <v>-512.82579999999996</v>
      </c>
      <c r="H1852">
        <v>2.0314760000000001</v>
      </c>
      <c r="I1852">
        <v>273.27370000000002</v>
      </c>
      <c r="J1852">
        <v>-439.0249</v>
      </c>
      <c r="K1852">
        <v>1.121469</v>
      </c>
      <c r="L1852">
        <v>285.11880000000002</v>
      </c>
      <c r="M1852">
        <v>-0.9998899</v>
      </c>
      <c r="N1852">
        <v>-1.472244E-2</v>
      </c>
      <c r="O1852">
        <v>-1.8963770000000001E-3</v>
      </c>
      <c r="P1852">
        <v>-0.97884859999999896</v>
      </c>
      <c r="Q1852">
        <v>0.20438310000000001</v>
      </c>
      <c r="R1852">
        <v>9.105152E-3</v>
      </c>
      <c r="S1852">
        <v>-3.061035</v>
      </c>
      <c r="T1852">
        <v>3.7567499999999997E-2</v>
      </c>
      <c r="U1852">
        <v>-0.48898320000000001</v>
      </c>
      <c r="V1852">
        <v>1.08871E-2</v>
      </c>
      <c r="W1852">
        <v>0.21877550000000001</v>
      </c>
      <c r="X1852">
        <v>0.97571450000000004</v>
      </c>
      <c r="Y1852">
        <v>-0.1558744</v>
      </c>
      <c r="Z1852">
        <v>-2.551284E-4</v>
      </c>
      <c r="AA1852">
        <v>0.98777689999999996</v>
      </c>
      <c r="AB1852">
        <v>36</v>
      </c>
      <c r="AC1852">
        <v>-73.800899999999899</v>
      </c>
      <c r="AD1852">
        <v>0.91000700000000001</v>
      </c>
      <c r="AE1852">
        <v>-11.8451</v>
      </c>
      <c r="AF1852">
        <v>-11.703374480568799</v>
      </c>
      <c r="AG1852">
        <v>0.91000700000000001</v>
      </c>
      <c r="AH1852">
        <v>73.812291681498706</v>
      </c>
      <c r="AI1852">
        <v>89.302369227323098</v>
      </c>
      <c r="AJ1852">
        <v>99.009583360943296</v>
      </c>
      <c r="AK1852">
        <v>74.739892227960397</v>
      </c>
      <c r="AL1852">
        <v>77.362877814338702</v>
      </c>
      <c r="AM1852">
        <v>89.360715664850204</v>
      </c>
      <c r="AN1852">
        <v>1.00000001692845</v>
      </c>
    </row>
    <row r="1853" spans="1:40" x14ac:dyDescent="0.25">
      <c r="A1853" t="str">
        <f>"20190303170758666"</f>
        <v>20190303170758666</v>
      </c>
      <c r="B1853" t="str">
        <f>"1551604078654807"</f>
        <v>1551604078654807</v>
      </c>
      <c r="C1853" t="s">
        <v>40</v>
      </c>
      <c r="D1853">
        <v>4.2862839999999904</v>
      </c>
      <c r="E1853">
        <v>0.43958520000000001</v>
      </c>
      <c r="F1853" t="s">
        <v>70</v>
      </c>
      <c r="G1853">
        <v>-512.82590000000005</v>
      </c>
      <c r="H1853">
        <v>2.0568330000000001</v>
      </c>
      <c r="I1853">
        <v>273.3252</v>
      </c>
      <c r="J1853">
        <v>-439.37990000000002</v>
      </c>
      <c r="K1853">
        <v>1.12147</v>
      </c>
      <c r="L1853">
        <v>285.11799999999999</v>
      </c>
      <c r="M1853">
        <v>-0.99988960000000005</v>
      </c>
      <c r="N1853">
        <v>-1.471976E-2</v>
      </c>
      <c r="O1853">
        <v>-2.0564379999999998E-3</v>
      </c>
      <c r="P1853">
        <v>-0.97893680000000005</v>
      </c>
      <c r="Q1853">
        <v>0.2039482</v>
      </c>
      <c r="R1853">
        <v>9.3880100000000005E-3</v>
      </c>
      <c r="S1853">
        <v>-3.0612490000000001</v>
      </c>
      <c r="T1853">
        <v>3.8801910000000002E-2</v>
      </c>
      <c r="U1853">
        <v>-0.48919679999999999</v>
      </c>
      <c r="V1853">
        <v>1.1327479999999999E-2</v>
      </c>
      <c r="W1853">
        <v>0.21833949999999999</v>
      </c>
      <c r="X1853">
        <v>0.97580710000000004</v>
      </c>
      <c r="Y1853">
        <v>-0.15577249999999901</v>
      </c>
      <c r="Z1853">
        <v>-2.2876710000000001E-4</v>
      </c>
      <c r="AA1853">
        <v>0.98779289999999997</v>
      </c>
      <c r="AB1853">
        <v>36</v>
      </c>
      <c r="AC1853">
        <v>-73.445999999999998</v>
      </c>
      <c r="AD1853">
        <v>0.93536299999999994</v>
      </c>
      <c r="AE1853">
        <v>-11.7928</v>
      </c>
      <c r="AF1853">
        <v>-11.639881132259299</v>
      </c>
      <c r="AG1853">
        <v>0.93536299999999994</v>
      </c>
      <c r="AH1853">
        <v>73.458483663214395</v>
      </c>
      <c r="AI1853">
        <v>89.279468220493101</v>
      </c>
      <c r="AJ1853">
        <v>99.003956808427802</v>
      </c>
      <c r="AK1853">
        <v>74.380848064630399</v>
      </c>
      <c r="AL1853">
        <v>77.388477107877094</v>
      </c>
      <c r="AM1853">
        <v>89.334922192571796</v>
      </c>
      <c r="AN1853">
        <v>0.999999972736905</v>
      </c>
    </row>
    <row r="1854" spans="1:40" x14ac:dyDescent="0.25">
      <c r="A1854" t="str">
        <f>"20190303170758691"</f>
        <v>20190303170758691</v>
      </c>
      <c r="B1854" t="str">
        <f>"1551604078684087"</f>
        <v>1551604078684087</v>
      </c>
      <c r="C1854" t="s">
        <v>40</v>
      </c>
      <c r="D1854">
        <v>4.3266660000000003</v>
      </c>
      <c r="E1854">
        <v>0.43959720000000002</v>
      </c>
      <c r="F1854" t="s">
        <v>70</v>
      </c>
      <c r="G1854">
        <v>-512.82579999999996</v>
      </c>
      <c r="H1854">
        <v>1.9950159999999999</v>
      </c>
      <c r="I1854">
        <v>273.38920000000002</v>
      </c>
      <c r="J1854">
        <v>-439.76960000000003</v>
      </c>
      <c r="K1854">
        <v>1.121467</v>
      </c>
      <c r="L1854">
        <v>285.11700000000002</v>
      </c>
      <c r="M1854">
        <v>-0.99988909999999998</v>
      </c>
      <c r="N1854">
        <v>-1.47171E-2</v>
      </c>
      <c r="O1854">
        <v>-2.2316440000000001E-3</v>
      </c>
      <c r="P1854">
        <v>-0.97903300000000004</v>
      </c>
      <c r="Q1854">
        <v>0.20350099999999999</v>
      </c>
      <c r="R1854">
        <v>9.0501839999999993E-3</v>
      </c>
      <c r="S1854">
        <v>-3.0616460000000001</v>
      </c>
      <c r="T1854">
        <v>3.6417600000000001E-2</v>
      </c>
      <c r="U1854">
        <v>-0.48892210000000003</v>
      </c>
      <c r="V1854">
        <v>1.1161600000000001E-2</v>
      </c>
      <c r="W1854">
        <v>0.2178909</v>
      </c>
      <c r="X1854">
        <v>0.97590929999999998</v>
      </c>
      <c r="Y1854">
        <v>-0.15549360000000001</v>
      </c>
      <c r="Z1854">
        <v>-2.915487E-4</v>
      </c>
      <c r="AA1854">
        <v>0.98783679999999996</v>
      </c>
      <c r="AB1854">
        <v>36</v>
      </c>
      <c r="AC1854">
        <v>-73.056199999999905</v>
      </c>
      <c r="AD1854">
        <v>0.87354899999999902</v>
      </c>
      <c r="AE1854">
        <v>-11.7278</v>
      </c>
      <c r="AF1854">
        <v>-11.563105980971599</v>
      </c>
      <c r="AG1854">
        <v>0.87354899999999902</v>
      </c>
      <c r="AH1854">
        <v>73.0720081472206</v>
      </c>
      <c r="AI1854">
        <v>89.323499506212201</v>
      </c>
      <c r="AJ1854">
        <v>98.992072942254595</v>
      </c>
      <c r="AK1854">
        <v>73.986396604038404</v>
      </c>
      <c r="AL1854">
        <v>77.414814379236304</v>
      </c>
      <c r="AM1854">
        <v>89.344729381749005</v>
      </c>
      <c r="AN1854">
        <v>0.99999999372192905</v>
      </c>
    </row>
    <row r="1855" spans="1:40" x14ac:dyDescent="0.25">
      <c r="A1855" t="str">
        <f>"20190303170758732"</f>
        <v>20190303170758732</v>
      </c>
      <c r="B1855" t="str">
        <f>"1551604078724106"</f>
        <v>1551604078724106</v>
      </c>
      <c r="C1855" t="s">
        <v>40</v>
      </c>
      <c r="D1855">
        <v>4.3400780000000001</v>
      </c>
      <c r="E1855">
        <v>0.43945859999999898</v>
      </c>
      <c r="F1855" t="s">
        <v>70</v>
      </c>
      <c r="G1855">
        <v>-512.82579999999996</v>
      </c>
      <c r="H1855">
        <v>1.907489</v>
      </c>
      <c r="I1855">
        <v>273.43860000000001</v>
      </c>
      <c r="J1855">
        <v>-440.44080000000002</v>
      </c>
      <c r="K1855">
        <v>1.121475</v>
      </c>
      <c r="L1855">
        <v>285.11520000000002</v>
      </c>
      <c r="M1855">
        <v>-0.99988849999999996</v>
      </c>
      <c r="N1855">
        <v>-1.4712380000000001E-2</v>
      </c>
      <c r="O1855">
        <v>-2.534845E-3</v>
      </c>
      <c r="P1855">
        <v>-0.97856770000000004</v>
      </c>
      <c r="Q1855">
        <v>0.205626</v>
      </c>
      <c r="R1855">
        <v>1.1117190000000001E-2</v>
      </c>
      <c r="S1855">
        <v>-3.0619809999999998</v>
      </c>
      <c r="T1855">
        <v>3.2947539999999997E-2</v>
      </c>
      <c r="U1855">
        <v>-0.4894714</v>
      </c>
      <c r="V1855">
        <v>1.352399E-2</v>
      </c>
      <c r="W1855">
        <v>0.22000510000000001</v>
      </c>
      <c r="X1855">
        <v>0.97540499999999997</v>
      </c>
      <c r="Y1855">
        <v>-0.15535070000000001</v>
      </c>
      <c r="Z1855">
        <v>-3.8370139999999999E-4</v>
      </c>
      <c r="AA1855">
        <v>0.9878593</v>
      </c>
      <c r="AB1855">
        <v>36</v>
      </c>
      <c r="AC1855">
        <v>-72.384999999999906</v>
      </c>
      <c r="AD1855">
        <v>0.78601399999999999</v>
      </c>
      <c r="AE1855">
        <v>-11.676600000000001</v>
      </c>
      <c r="AF1855">
        <v>-11.4917371870701</v>
      </c>
      <c r="AG1855">
        <v>0.78601399999999999</v>
      </c>
      <c r="AH1855">
        <v>72.406047854711105</v>
      </c>
      <c r="AI1855">
        <v>89.385729965287595</v>
      </c>
      <c r="AJ1855">
        <v>99.018329592990497</v>
      </c>
      <c r="AK1855">
        <v>73.316530247438806</v>
      </c>
      <c r="AL1855">
        <v>77.290667822120696</v>
      </c>
      <c r="AM1855">
        <v>89.2056449353327</v>
      </c>
      <c r="AN1855">
        <v>1.0000000281782599</v>
      </c>
    </row>
    <row r="1856" spans="1:40" x14ac:dyDescent="0.25">
      <c r="A1856" t="str">
        <f>"20190303170758755"</f>
        <v>20190303170758755</v>
      </c>
      <c r="B1856" t="str">
        <f>"1551604078744599"</f>
        <v>1551604078744599</v>
      </c>
      <c r="C1856" t="s">
        <v>40</v>
      </c>
      <c r="D1856">
        <v>4.3439579999999998</v>
      </c>
      <c r="E1856">
        <v>0.4392643</v>
      </c>
      <c r="F1856" t="s">
        <v>70</v>
      </c>
      <c r="G1856">
        <v>-512.82550000000003</v>
      </c>
      <c r="H1856">
        <v>1.058975</v>
      </c>
      <c r="I1856">
        <v>273.60199999999998</v>
      </c>
      <c r="J1856">
        <v>-440.79300000000001</v>
      </c>
      <c r="K1856">
        <v>1.121467</v>
      </c>
      <c r="L1856">
        <v>285.11419999999998</v>
      </c>
      <c r="M1856">
        <v>-0.99988829999999995</v>
      </c>
      <c r="N1856">
        <v>-1.4709689999999999E-2</v>
      </c>
      <c r="O1856">
        <v>-2.6940739999999999E-3</v>
      </c>
      <c r="P1856">
        <v>-0.97852910000000004</v>
      </c>
      <c r="Q1856">
        <v>0.20569290000000001</v>
      </c>
      <c r="R1856">
        <v>1.309783E-2</v>
      </c>
      <c r="S1856">
        <v>-3.0718079999999999</v>
      </c>
      <c r="T1856">
        <v>-2.6489500000000002E-3</v>
      </c>
      <c r="U1856">
        <v>-0.48858639999999998</v>
      </c>
      <c r="V1856">
        <v>1.566041E-2</v>
      </c>
      <c r="W1856">
        <v>0.2200693</v>
      </c>
      <c r="X1856">
        <v>0.97535850000000002</v>
      </c>
      <c r="Y1856">
        <v>-0.1544181</v>
      </c>
      <c r="Z1856">
        <v>-1.246123E-3</v>
      </c>
      <c r="AA1856">
        <v>0.98800480000000002</v>
      </c>
      <c r="AB1856">
        <v>35</v>
      </c>
      <c r="AC1856">
        <v>-72.032499999999999</v>
      </c>
      <c r="AD1856">
        <v>-6.2491999999999902E-2</v>
      </c>
      <c r="AE1856">
        <v>-11.512199999999901</v>
      </c>
      <c r="AF1856">
        <v>-11.318068046616901</v>
      </c>
      <c r="AG1856">
        <v>-6.2491999999999902E-2</v>
      </c>
      <c r="AH1856">
        <v>72.063203719308902</v>
      </c>
      <c r="AI1856">
        <v>90.049084231534096</v>
      </c>
      <c r="AJ1856">
        <v>98.925818399936006</v>
      </c>
      <c r="AK1856">
        <v>72.9466099270455</v>
      </c>
      <c r="AL1856">
        <v>77.2868963209675</v>
      </c>
      <c r="AM1856">
        <v>89.0801348371633</v>
      </c>
      <c r="AN1856">
        <v>0.99999997438305299</v>
      </c>
    </row>
    <row r="1857" spans="1:40" x14ac:dyDescent="0.25">
      <c r="A1857" t="str">
        <f>"20190303170758778"</f>
        <v>20190303170758778</v>
      </c>
      <c r="B1857" t="str">
        <f>"1551604078774854"</f>
        <v>1551604078774854</v>
      </c>
      <c r="C1857" t="s">
        <v>40</v>
      </c>
      <c r="D1857">
        <v>4.3594480000000004</v>
      </c>
      <c r="E1857">
        <v>0.43872119999999998</v>
      </c>
      <c r="F1857" t="s">
        <v>70</v>
      </c>
      <c r="G1857">
        <v>-512.82550000000003</v>
      </c>
      <c r="H1857">
        <v>1.077531</v>
      </c>
      <c r="I1857">
        <v>273.72340000000003</v>
      </c>
      <c r="J1857">
        <v>-441.15839999999997</v>
      </c>
      <c r="K1857">
        <v>1.1214649999999999</v>
      </c>
      <c r="L1857">
        <v>285.113</v>
      </c>
      <c r="M1857">
        <v>-0.99988779999999999</v>
      </c>
      <c r="N1857">
        <v>-1.4706810000000001E-2</v>
      </c>
      <c r="O1857">
        <v>-2.8590209999999998E-3</v>
      </c>
      <c r="P1857">
        <v>-0.97875060000000003</v>
      </c>
      <c r="Q1857">
        <v>0.204565</v>
      </c>
      <c r="R1857">
        <v>1.416681E-2</v>
      </c>
      <c r="S1857">
        <v>-3.0727229999999999</v>
      </c>
      <c r="T1857">
        <v>-1.8707509999999999E-3</v>
      </c>
      <c r="U1857">
        <v>-0.48590090000000002</v>
      </c>
      <c r="V1857">
        <v>1.6892210000000001E-2</v>
      </c>
      <c r="W1857">
        <v>0.2189421</v>
      </c>
      <c r="X1857">
        <v>0.9755916</v>
      </c>
      <c r="Y1857">
        <v>-0.15336739999999999</v>
      </c>
      <c r="Z1857">
        <v>-1.221261E-3</v>
      </c>
      <c r="AA1857">
        <v>0.98816850000000001</v>
      </c>
      <c r="AB1857">
        <v>35</v>
      </c>
      <c r="AC1857">
        <v>-71.667100000000005</v>
      </c>
      <c r="AD1857">
        <v>-4.3933999999999897E-2</v>
      </c>
      <c r="AE1857">
        <v>-11.3895999999999</v>
      </c>
      <c r="AF1857">
        <v>-11.1846294425271</v>
      </c>
      <c r="AG1857">
        <v>-4.3933999999999897E-2</v>
      </c>
      <c r="AH1857">
        <v>71.699347377872101</v>
      </c>
      <c r="AI1857">
        <v>90.0346886450683</v>
      </c>
      <c r="AJ1857">
        <v>98.866310360746297</v>
      </c>
      <c r="AK1857">
        <v>72.566481796872097</v>
      </c>
      <c r="AL1857">
        <v>77.353094697146204</v>
      </c>
      <c r="AM1857">
        <v>89.008032013423801</v>
      </c>
      <c r="AN1857">
        <v>0.99999997995082601</v>
      </c>
    </row>
    <row r="1858" spans="1:40" x14ac:dyDescent="0.25">
      <c r="A1858" t="str">
        <f>"20190303170758801"</f>
        <v>20190303170758801</v>
      </c>
      <c r="B1858" t="str">
        <f>"1551604078794378"</f>
        <v>1551604078794378</v>
      </c>
      <c r="C1858" t="s">
        <v>40</v>
      </c>
      <c r="D1858">
        <v>4.3520709999999996</v>
      </c>
      <c r="E1858">
        <v>0.43839630000000002</v>
      </c>
      <c r="F1858" t="s">
        <v>70</v>
      </c>
      <c r="G1858">
        <v>-512.82550000000003</v>
      </c>
      <c r="H1858">
        <v>0.97166010000000003</v>
      </c>
      <c r="I1858">
        <v>273.7296</v>
      </c>
      <c r="J1858">
        <v>-441.51639999999998</v>
      </c>
      <c r="K1858">
        <v>1.121467</v>
      </c>
      <c r="L1858">
        <v>285.11180000000002</v>
      </c>
      <c r="M1858">
        <v>-0.99988750000000004</v>
      </c>
      <c r="N1858">
        <v>-1.4703590000000001E-2</v>
      </c>
      <c r="O1858">
        <v>-3.0207480000000002E-3</v>
      </c>
      <c r="P1858">
        <v>-0.97888050000000004</v>
      </c>
      <c r="Q1858">
        <v>0.20389470000000001</v>
      </c>
      <c r="R1858">
        <v>1.483903E-2</v>
      </c>
      <c r="S1858">
        <v>-3.0735169999999998</v>
      </c>
      <c r="T1858">
        <v>-6.4210889999999996E-3</v>
      </c>
      <c r="U1858">
        <v>-0.4881897</v>
      </c>
      <c r="V1858">
        <v>1.77235E-2</v>
      </c>
      <c r="W1858">
        <v>0.21827070000000001</v>
      </c>
      <c r="X1858">
        <v>0.97572729999999996</v>
      </c>
      <c r="Y1858">
        <v>-0.15388399999999999</v>
      </c>
      <c r="Z1858">
        <v>-1.3360589999999999E-3</v>
      </c>
      <c r="AA1858">
        <v>0.98808799999999997</v>
      </c>
      <c r="AB1858">
        <v>35</v>
      </c>
      <c r="AC1858">
        <v>-71.309100000000001</v>
      </c>
      <c r="AD1858">
        <v>-0.14980689999999899</v>
      </c>
      <c r="AE1858">
        <v>-11.382199999999999</v>
      </c>
      <c r="AF1858">
        <v>-11.166669925153601</v>
      </c>
      <c r="AG1858">
        <v>-0.14980689999999899</v>
      </c>
      <c r="AH1858">
        <v>71.342854011511605</v>
      </c>
      <c r="AI1858">
        <v>90.118863250227406</v>
      </c>
      <c r="AJ1858">
        <v>98.895827448574394</v>
      </c>
      <c r="AK1858">
        <v>72.211631873490205</v>
      </c>
      <c r="AL1858">
        <v>77.392516737702607</v>
      </c>
      <c r="AM1858">
        <v>88.959371039636594</v>
      </c>
      <c r="AN1858">
        <v>0.99999999244801496</v>
      </c>
    </row>
    <row r="1859" spans="1:40" x14ac:dyDescent="0.25">
      <c r="A1859" t="str">
        <f>"20190303170758823"</f>
        <v>20190303170758823</v>
      </c>
      <c r="B1859" t="str">
        <f>"1551604078814872"</f>
        <v>1551604078814872</v>
      </c>
      <c r="C1859" t="s">
        <v>40</v>
      </c>
      <c r="D1859">
        <v>4.3713899999999999</v>
      </c>
      <c r="E1859">
        <v>0.43821650000000001</v>
      </c>
      <c r="F1859" t="s">
        <v>70</v>
      </c>
      <c r="G1859">
        <v>-512.82539999999995</v>
      </c>
      <c r="H1859">
        <v>0.90495250000000005</v>
      </c>
      <c r="I1859">
        <v>273.75470000000001</v>
      </c>
      <c r="J1859">
        <v>-441.86849999999998</v>
      </c>
      <c r="K1859">
        <v>1.12147</v>
      </c>
      <c r="L1859">
        <v>285.11070000000001</v>
      </c>
      <c r="M1859">
        <v>-0.99988699999999997</v>
      </c>
      <c r="N1859">
        <v>-1.470019E-2</v>
      </c>
      <c r="O1859">
        <v>-3.1797359999999998E-3</v>
      </c>
      <c r="P1859">
        <v>-0.97861730000000002</v>
      </c>
      <c r="Q1859">
        <v>0.2050381</v>
      </c>
      <c r="R1859">
        <v>1.6367099999999999E-2</v>
      </c>
      <c r="S1859">
        <v>-3.0740660000000002</v>
      </c>
      <c r="T1859">
        <v>-9.330273E-3</v>
      </c>
      <c r="U1859">
        <v>-0.48959350000000001</v>
      </c>
      <c r="V1859">
        <v>1.940615E-2</v>
      </c>
      <c r="W1859">
        <v>0.2194073</v>
      </c>
      <c r="X1859">
        <v>0.97544030000000004</v>
      </c>
      <c r="Y1859">
        <v>-0.1541382</v>
      </c>
      <c r="Z1859">
        <v>-1.4094190000000001E-3</v>
      </c>
      <c r="AA1859">
        <v>0.98804829999999999</v>
      </c>
      <c r="AB1859">
        <v>35</v>
      </c>
      <c r="AC1859">
        <v>-70.956899999999905</v>
      </c>
      <c r="AD1859">
        <v>-0.2165175</v>
      </c>
      <c r="AE1859">
        <v>-11.3559999999999</v>
      </c>
      <c r="AF1859">
        <v>-11.130192966732</v>
      </c>
      <c r="AG1859">
        <v>-0.2165175</v>
      </c>
      <c r="AH1859">
        <v>70.992009689502794</v>
      </c>
      <c r="AI1859">
        <v>90.172636196672798</v>
      </c>
      <c r="AJ1859">
        <v>98.910351550378195</v>
      </c>
      <c r="AK1859">
        <v>71.859540181238003</v>
      </c>
      <c r="AL1859">
        <v>77.325776351353994</v>
      </c>
      <c r="AM1859">
        <v>88.860264610279302</v>
      </c>
      <c r="AN1859">
        <v>0.99999997040760003</v>
      </c>
    </row>
    <row r="1860" spans="1:40" x14ac:dyDescent="0.25">
      <c r="A1860" t="str">
        <f>"20190303170758845"</f>
        <v>20190303170758845</v>
      </c>
      <c r="B1860" t="str">
        <f>"1551604078834391"</f>
        <v>1551604078834391</v>
      </c>
      <c r="C1860" t="s">
        <v>40</v>
      </c>
      <c r="D1860">
        <v>4.3563080000000003</v>
      </c>
      <c r="E1860">
        <v>0.43389899999999998</v>
      </c>
      <c r="F1860" t="s">
        <v>70</v>
      </c>
      <c r="G1860">
        <v>-512.82550000000003</v>
      </c>
      <c r="H1860">
        <v>0.98783520000000002</v>
      </c>
      <c r="I1860">
        <v>273.88650000000001</v>
      </c>
      <c r="J1860">
        <v>-442.20690000000002</v>
      </c>
      <c r="K1860">
        <v>1.1214789999999999</v>
      </c>
      <c r="L1860">
        <v>285.10939999999999</v>
      </c>
      <c r="M1860">
        <v>-0.99988659999999996</v>
      </c>
      <c r="N1860">
        <v>-1.469696E-2</v>
      </c>
      <c r="O1860">
        <v>-3.3327629999999999E-3</v>
      </c>
      <c r="P1860">
        <v>-0.97837779999999996</v>
      </c>
      <c r="Q1860">
        <v>0.20605229999999999</v>
      </c>
      <c r="R1860">
        <v>1.7877379999999998E-2</v>
      </c>
      <c r="S1860">
        <v>-3.0748600000000001</v>
      </c>
      <c r="T1860">
        <v>-5.7874919999999896E-3</v>
      </c>
      <c r="U1860">
        <v>-0.48638920000000002</v>
      </c>
      <c r="V1860">
        <v>2.106502E-2</v>
      </c>
      <c r="W1860">
        <v>0.22041540000000001</v>
      </c>
      <c r="X1860">
        <v>0.97517860000000001</v>
      </c>
      <c r="Y1860">
        <v>-0.15294469999999999</v>
      </c>
      <c r="Z1860">
        <v>-1.3164229999999999E-3</v>
      </c>
      <c r="AA1860">
        <v>0.9882339</v>
      </c>
      <c r="AB1860">
        <v>35</v>
      </c>
      <c r="AC1860">
        <v>-70.618600000000001</v>
      </c>
      <c r="AD1860">
        <v>-0.13364380000000001</v>
      </c>
      <c r="AE1860">
        <v>-11.2228999999999</v>
      </c>
      <c r="AF1860">
        <v>-10.987418834744799</v>
      </c>
      <c r="AG1860">
        <v>-0.13364380000000001</v>
      </c>
      <c r="AH1860">
        <v>70.655368207776704</v>
      </c>
      <c r="AI1860">
        <v>90.1070870870101</v>
      </c>
      <c r="AJ1860">
        <v>98.839109712980701</v>
      </c>
      <c r="AK1860">
        <v>71.504701173362605</v>
      </c>
      <c r="AL1860">
        <v>77.266567307959903</v>
      </c>
      <c r="AM1860">
        <v>88.762535323907599</v>
      </c>
      <c r="AN1860">
        <v>0.99999999276135998</v>
      </c>
    </row>
    <row r="1861" spans="1:40" x14ac:dyDescent="0.25">
      <c r="A1861" t="str">
        <f>"20190303170758866"</f>
        <v>20190303170758866</v>
      </c>
      <c r="B1861" t="str">
        <f>"1551604078854887"</f>
        <v>1551604078854887</v>
      </c>
      <c r="C1861" t="s">
        <v>40</v>
      </c>
      <c r="D1861">
        <v>4.3735939999999998</v>
      </c>
      <c r="E1861">
        <v>0.41194910000000001</v>
      </c>
      <c r="F1861" t="s">
        <v>70</v>
      </c>
      <c r="G1861">
        <v>-512.82550000000003</v>
      </c>
      <c r="H1861">
        <v>0.95825990000000005</v>
      </c>
      <c r="I1861">
        <v>273.22899999999998</v>
      </c>
      <c r="J1861">
        <v>-442.55900000000003</v>
      </c>
      <c r="K1861">
        <v>1.1214820000000001</v>
      </c>
      <c r="L1861">
        <v>285.10809999999998</v>
      </c>
      <c r="M1861">
        <v>-0.9998861</v>
      </c>
      <c r="N1861">
        <v>-1.4693609999999999E-2</v>
      </c>
      <c r="O1861">
        <v>-3.4912760000000002E-3</v>
      </c>
      <c r="P1861">
        <v>-0.97827149999999996</v>
      </c>
      <c r="Q1861">
        <v>0.20643159999999999</v>
      </c>
      <c r="R1861">
        <v>1.9267320000000001E-2</v>
      </c>
      <c r="S1861">
        <v>-3.0772710000000001</v>
      </c>
      <c r="T1861">
        <v>-7.1089269999999897E-3</v>
      </c>
      <c r="U1861">
        <v>-0.51770020000000005</v>
      </c>
      <c r="V1861">
        <v>2.2609649999999998E-2</v>
      </c>
      <c r="W1861">
        <v>0.22078970000000001</v>
      </c>
      <c r="X1861">
        <v>0.97505929999999996</v>
      </c>
      <c r="Y1861">
        <v>-0.16245490000000001</v>
      </c>
      <c r="Z1861">
        <v>-1.431206E-3</v>
      </c>
      <c r="AA1861">
        <v>0.98671489999999995</v>
      </c>
      <c r="AB1861">
        <v>35</v>
      </c>
      <c r="AC1861">
        <v>-70.266499999999994</v>
      </c>
      <c r="AD1861">
        <v>-0.16322209999999901</v>
      </c>
      <c r="AE1861">
        <v>-11.8790999999999</v>
      </c>
      <c r="AF1861">
        <v>-11.6336203631615</v>
      </c>
      <c r="AG1861">
        <v>-0.16322209999999901</v>
      </c>
      <c r="AH1861">
        <v>70.307180528145494</v>
      </c>
      <c r="AI1861">
        <v>90.131230758460902</v>
      </c>
      <c r="AJ1861">
        <v>99.3955121193503</v>
      </c>
      <c r="AK1861">
        <v>71.263366451672397</v>
      </c>
      <c r="AL1861">
        <v>77.244579425312097</v>
      </c>
      <c r="AM1861">
        <v>88.671664976413595</v>
      </c>
      <c r="AN1861">
        <v>0.99999996320785001</v>
      </c>
    </row>
    <row r="1862" spans="1:40" x14ac:dyDescent="0.25">
      <c r="A1862" t="str">
        <f>"20190303170758890"</f>
        <v>20190303170758890</v>
      </c>
      <c r="B1862" t="str">
        <f>"1551604078884167"</f>
        <v>1551604078884167</v>
      </c>
      <c r="C1862" t="s">
        <v>40</v>
      </c>
      <c r="D1862">
        <v>4.300243</v>
      </c>
      <c r="E1862">
        <v>0.39493450000000002</v>
      </c>
      <c r="F1862" t="s">
        <v>70</v>
      </c>
      <c r="G1862">
        <v>-512.82590000000005</v>
      </c>
      <c r="H1862">
        <v>2.3364050000000001</v>
      </c>
      <c r="I1862">
        <v>269.41109999999998</v>
      </c>
      <c r="J1862">
        <v>-442.92009999999999</v>
      </c>
      <c r="K1862">
        <v>1.12148</v>
      </c>
      <c r="L1862">
        <v>285.10669999999999</v>
      </c>
      <c r="M1862">
        <v>-0.99988540000000004</v>
      </c>
      <c r="N1862">
        <v>-1.4690079999999999E-2</v>
      </c>
      <c r="O1862">
        <v>-3.6546650000000001E-3</v>
      </c>
      <c r="P1862">
        <v>-0.97842770000000001</v>
      </c>
      <c r="Q1862">
        <v>0.2057099</v>
      </c>
      <c r="R1862">
        <v>1.905258E-2</v>
      </c>
      <c r="S1862">
        <v>-3.0689700000000002</v>
      </c>
      <c r="T1862">
        <v>5.3066130000000003E-2</v>
      </c>
      <c r="U1862">
        <v>-0.6855774</v>
      </c>
      <c r="V1862">
        <v>2.2555909999999998E-2</v>
      </c>
      <c r="W1862">
        <v>0.2200675</v>
      </c>
      <c r="X1862">
        <v>0.97522379999999997</v>
      </c>
      <c r="Y1862">
        <v>-0.21444569999999999</v>
      </c>
      <c r="Z1862">
        <v>1.21474E-4</v>
      </c>
      <c r="AA1862">
        <v>0.97673589999999999</v>
      </c>
      <c r="AB1862">
        <v>35</v>
      </c>
      <c r="AC1862">
        <v>-69.905799999999999</v>
      </c>
      <c r="AD1862">
        <v>1.214925</v>
      </c>
      <c r="AE1862">
        <v>-15.695600000000001</v>
      </c>
      <c r="AF1862">
        <v>-15.4355468135668</v>
      </c>
      <c r="AG1862">
        <v>1.214925</v>
      </c>
      <c r="AH1862">
        <v>69.942589420711997</v>
      </c>
      <c r="AI1862">
        <v>89.028232479771106</v>
      </c>
      <c r="AJ1862">
        <v>102.445057009914</v>
      </c>
      <c r="AK1862">
        <v>71.635870644975995</v>
      </c>
      <c r="AL1862">
        <v>77.287001948012801</v>
      </c>
      <c r="AM1862">
        <v>88.675044567685404</v>
      </c>
      <c r="AN1862">
        <v>0.99999996685930803</v>
      </c>
    </row>
    <row r="1863" spans="1:40" x14ac:dyDescent="0.25">
      <c r="A1863" t="str">
        <f>"20190303170758913"</f>
        <v>20190303170758913</v>
      </c>
      <c r="B1863" t="str">
        <f>"1551604078904663"</f>
        <v>1551604078904663</v>
      </c>
      <c r="C1863" t="s">
        <v>40</v>
      </c>
      <c r="D1863">
        <v>4.2750750000000002</v>
      </c>
      <c r="E1863">
        <v>0.3896136</v>
      </c>
      <c r="F1863" t="s">
        <v>70</v>
      </c>
      <c r="G1863">
        <v>-512.82629999999995</v>
      </c>
      <c r="H1863">
        <v>3.421071</v>
      </c>
      <c r="I1863">
        <v>266.40039999999999</v>
      </c>
      <c r="J1863">
        <v>-443.28769999999997</v>
      </c>
      <c r="K1863">
        <v>1.12148</v>
      </c>
      <c r="L1863">
        <v>285.10509999999999</v>
      </c>
      <c r="M1863">
        <v>-0.99988480000000002</v>
      </c>
      <c r="N1863">
        <v>-1.4686329999999999E-2</v>
      </c>
      <c r="O1863">
        <v>-3.821156E-3</v>
      </c>
      <c r="P1863">
        <v>-0.97844209999999998</v>
      </c>
      <c r="Q1863">
        <v>0.20572470000000001</v>
      </c>
      <c r="R1863">
        <v>1.8125490000000001E-2</v>
      </c>
      <c r="S1863">
        <v>-3.060883</v>
      </c>
      <c r="T1863">
        <v>0.1006922</v>
      </c>
      <c r="U1863">
        <v>-0.81906129999999999</v>
      </c>
      <c r="V1863">
        <v>2.179205E-2</v>
      </c>
      <c r="W1863">
        <v>0.2200781</v>
      </c>
      <c r="X1863">
        <v>0.97523879999999996</v>
      </c>
      <c r="Y1863">
        <v>-0.2547372</v>
      </c>
      <c r="Z1863">
        <v>2.034597E-3</v>
      </c>
      <c r="AA1863">
        <v>0.96700819999999998</v>
      </c>
      <c r="AB1863">
        <v>35</v>
      </c>
      <c r="AC1863">
        <v>-69.538599999999903</v>
      </c>
      <c r="AD1863">
        <v>2.2995909999999999</v>
      </c>
      <c r="AE1863">
        <v>-18.704699999999999</v>
      </c>
      <c r="AF1863">
        <v>-18.420032282566002</v>
      </c>
      <c r="AG1863">
        <v>2.2995909999999999</v>
      </c>
      <c r="AH1863">
        <v>69.538658468606499</v>
      </c>
      <c r="AI1863">
        <v>88.169062848622104</v>
      </c>
      <c r="AJ1863">
        <v>104.836289442075</v>
      </c>
      <c r="AK1863">
        <v>71.973680812305005</v>
      </c>
      <c r="AL1863">
        <v>77.286379651543498</v>
      </c>
      <c r="AM1863">
        <v>88.719918915547595</v>
      </c>
      <c r="AN1863">
        <v>0.99999999028412601</v>
      </c>
    </row>
    <row r="1864" spans="1:40" x14ac:dyDescent="0.25">
      <c r="A1864" t="str">
        <f>"20190303170758933"</f>
        <v>20190303170758933</v>
      </c>
      <c r="B1864" t="str">
        <f>"1551604078924183"</f>
        <v>1551604078924183</v>
      </c>
      <c r="C1864" t="s">
        <v>40</v>
      </c>
      <c r="D1864">
        <v>4.2576999999999998</v>
      </c>
      <c r="E1864">
        <v>0.38670599999999999</v>
      </c>
      <c r="F1864" t="s">
        <v>70</v>
      </c>
      <c r="G1864">
        <v>-512.82640000000004</v>
      </c>
      <c r="H1864">
        <v>3.8208600000000001</v>
      </c>
      <c r="I1864">
        <v>265.48239999999998</v>
      </c>
      <c r="J1864">
        <v>-443.6071</v>
      </c>
      <c r="K1864">
        <v>1.12148</v>
      </c>
      <c r="L1864">
        <v>285.1037</v>
      </c>
      <c r="M1864">
        <v>-0.99988440000000001</v>
      </c>
      <c r="N1864">
        <v>-1.4683E-2</v>
      </c>
      <c r="O1864">
        <v>-3.9660750000000003E-3</v>
      </c>
      <c r="P1864">
        <v>-0.97832439999999998</v>
      </c>
      <c r="Q1864">
        <v>0.2063584</v>
      </c>
      <c r="R1864">
        <v>1.725614E-2</v>
      </c>
      <c r="S1864">
        <v>-3.0571290000000002</v>
      </c>
      <c r="T1864">
        <v>0.1186758</v>
      </c>
      <c r="U1864">
        <v>-0.86267090000000002</v>
      </c>
      <c r="V1864">
        <v>2.106382E-2</v>
      </c>
      <c r="W1864">
        <v>0.22070699999999999</v>
      </c>
      <c r="X1864">
        <v>0.97511270000000005</v>
      </c>
      <c r="Y1864">
        <v>-0.26765119999999998</v>
      </c>
      <c r="Z1864">
        <v>2.8825750000000001E-3</v>
      </c>
      <c r="AA1864">
        <v>0.96351149999999997</v>
      </c>
      <c r="AB1864">
        <v>35</v>
      </c>
      <c r="AC1864">
        <v>-69.219300000000004</v>
      </c>
      <c r="AD1864">
        <v>2.6993800000000001</v>
      </c>
      <c r="AE1864">
        <v>-19.621300000000002</v>
      </c>
      <c r="AF1864">
        <v>-19.319391355303001</v>
      </c>
      <c r="AG1864">
        <v>2.6993800000000001</v>
      </c>
      <c r="AH1864">
        <v>69.199172202641904</v>
      </c>
      <c r="AI1864">
        <v>87.848291977738</v>
      </c>
      <c r="AJ1864">
        <v>105.598951776292</v>
      </c>
      <c r="AK1864">
        <v>71.896112330602705</v>
      </c>
      <c r="AL1864">
        <v>77.249438384311006</v>
      </c>
      <c r="AM1864">
        <v>88.762522196505998</v>
      </c>
      <c r="AN1864">
        <v>1.00000002103164</v>
      </c>
    </row>
    <row r="1865" spans="1:40" x14ac:dyDescent="0.25">
      <c r="A1865" t="str">
        <f>"20190303170758956"</f>
        <v>20190303170758956</v>
      </c>
      <c r="B1865" t="str">
        <f>"1551604078944679"</f>
        <v>1551604078944679</v>
      </c>
      <c r="C1865" t="s">
        <v>40</v>
      </c>
      <c r="D1865">
        <v>4.248132</v>
      </c>
      <c r="E1865">
        <v>0.38454450000000001</v>
      </c>
      <c r="F1865" t="s">
        <v>70</v>
      </c>
      <c r="G1865">
        <v>-512.82650000000001</v>
      </c>
      <c r="H1865">
        <v>4.0781010000000002</v>
      </c>
      <c r="I1865">
        <v>264.9735</v>
      </c>
      <c r="J1865">
        <v>-443.96129999999999</v>
      </c>
      <c r="K1865">
        <v>1.121481</v>
      </c>
      <c r="L1865">
        <v>285.10219999999998</v>
      </c>
      <c r="M1865">
        <v>-0.99988379999999999</v>
      </c>
      <c r="N1865">
        <v>-1.467923E-2</v>
      </c>
      <c r="O1865">
        <v>-4.1264889999999997E-3</v>
      </c>
      <c r="P1865">
        <v>-0.97817920000000003</v>
      </c>
      <c r="Q1865">
        <v>0.2071645</v>
      </c>
      <c r="R1865">
        <v>1.5771250000000001E-2</v>
      </c>
      <c r="S1865">
        <v>-3.0546259999999998</v>
      </c>
      <c r="T1865">
        <v>0.1304777</v>
      </c>
      <c r="U1865">
        <v>-0.88833619999999902</v>
      </c>
      <c r="V1865">
        <v>1.9735329999999999E-2</v>
      </c>
      <c r="W1865">
        <v>0.2215068</v>
      </c>
      <c r="X1865">
        <v>0.97495909999999997</v>
      </c>
      <c r="Y1865">
        <v>-0.27514149999999998</v>
      </c>
      <c r="Z1865">
        <v>3.4616109999999999E-3</v>
      </c>
      <c r="AA1865">
        <v>0.96139750000000002</v>
      </c>
      <c r="AB1865">
        <v>35</v>
      </c>
      <c r="AC1865">
        <v>-68.865200000000002</v>
      </c>
      <c r="AD1865">
        <v>2.95662</v>
      </c>
      <c r="AE1865">
        <v>-20.128699999999899</v>
      </c>
      <c r="AF1865">
        <v>-19.810684062715101</v>
      </c>
      <c r="AG1865">
        <v>2.95662</v>
      </c>
      <c r="AH1865">
        <v>68.830795159513102</v>
      </c>
      <c r="AI1865">
        <v>87.636220427711905</v>
      </c>
      <c r="AJ1865">
        <v>106.056726532132</v>
      </c>
      <c r="AK1865">
        <v>71.686003983678503</v>
      </c>
      <c r="AL1865">
        <v>77.202449919670897</v>
      </c>
      <c r="AM1865">
        <v>88.840364981920004</v>
      </c>
      <c r="AN1865">
        <v>0.99999999618462898</v>
      </c>
    </row>
    <row r="1866" spans="1:40" x14ac:dyDescent="0.25">
      <c r="A1866" t="str">
        <f>"20190303170758979"</f>
        <v>20190303170758979</v>
      </c>
      <c r="B1866" t="str">
        <f>"1551604078974934"</f>
        <v>1551604078974934</v>
      </c>
      <c r="C1866" t="s">
        <v>40</v>
      </c>
      <c r="D1866">
        <v>4.2585089999999903</v>
      </c>
      <c r="E1866">
        <v>0.38247720000000002</v>
      </c>
      <c r="F1866" t="s">
        <v>70</v>
      </c>
      <c r="G1866">
        <v>-512.82650000000001</v>
      </c>
      <c r="H1866">
        <v>4.2525870000000001</v>
      </c>
      <c r="I1866">
        <v>264.58839999999998</v>
      </c>
      <c r="J1866">
        <v>-444.31110000000001</v>
      </c>
      <c r="K1866">
        <v>1.121472</v>
      </c>
      <c r="L1866">
        <v>285.10059999999999</v>
      </c>
      <c r="M1866">
        <v>-0.99988310000000002</v>
      </c>
      <c r="N1866">
        <v>-1.467544E-2</v>
      </c>
      <c r="O1866">
        <v>-4.2849949999999998E-3</v>
      </c>
      <c r="P1866">
        <v>-0.9781609</v>
      </c>
      <c r="Q1866">
        <v>0.20734569999999999</v>
      </c>
      <c r="R1866">
        <v>1.446212E-2</v>
      </c>
      <c r="S1866">
        <v>-3.052155</v>
      </c>
      <c r="T1866">
        <v>0.13877579999999901</v>
      </c>
      <c r="U1866">
        <v>-0.90917969999999904</v>
      </c>
      <c r="V1866">
        <v>1.8581179999999999E-2</v>
      </c>
      <c r="W1866">
        <v>0.22168350000000001</v>
      </c>
      <c r="X1866">
        <v>0.97494159999999996</v>
      </c>
      <c r="Y1866">
        <v>-0.28120630000000002</v>
      </c>
      <c r="Z1866">
        <v>3.8939790000000001E-3</v>
      </c>
      <c r="AA1866">
        <v>0.95963940000000003</v>
      </c>
      <c r="AB1866">
        <v>35</v>
      </c>
      <c r="AC1866">
        <v>-68.5154</v>
      </c>
      <c r="AD1866">
        <v>3.1311149999999999</v>
      </c>
      <c r="AE1866">
        <v>-20.5122</v>
      </c>
      <c r="AF1866">
        <v>-20.179714401139901</v>
      </c>
      <c r="AG1866">
        <v>3.1311149999999999</v>
      </c>
      <c r="AH1866">
        <v>68.471439144654994</v>
      </c>
      <c r="AI1866">
        <v>87.488417525903898</v>
      </c>
      <c r="AJ1866">
        <v>106.42115478679</v>
      </c>
      <c r="AK1866">
        <v>71.451821061432696</v>
      </c>
      <c r="AL1866">
        <v>77.192067414010495</v>
      </c>
      <c r="AM1866">
        <v>88.908145557481404</v>
      </c>
      <c r="AN1866">
        <v>0.99999997891650005</v>
      </c>
    </row>
    <row r="1867" spans="1:40" x14ac:dyDescent="0.25">
      <c r="A1867" t="str">
        <f>"20190303170759001"</f>
        <v>20190303170759001</v>
      </c>
      <c r="B1867" t="str">
        <f>"1551604078994455"</f>
        <v>1551604078994455</v>
      </c>
      <c r="C1867" t="s">
        <v>40</v>
      </c>
      <c r="D1867">
        <v>4.2548640000000004</v>
      </c>
      <c r="E1867">
        <v>0.38158720000000002</v>
      </c>
      <c r="F1867" t="s">
        <v>70</v>
      </c>
      <c r="G1867">
        <v>-512.82659999999998</v>
      </c>
      <c r="H1867">
        <v>4.4274990000000001</v>
      </c>
      <c r="I1867">
        <v>264.2063</v>
      </c>
      <c r="J1867">
        <v>-444.66149999999999</v>
      </c>
      <c r="K1867">
        <v>1.1214679999999999</v>
      </c>
      <c r="L1867">
        <v>285.09890000000001</v>
      </c>
      <c r="M1867">
        <v>-0.99988250000000001</v>
      </c>
      <c r="N1867">
        <v>-1.467159E-2</v>
      </c>
      <c r="O1867">
        <v>-4.443738E-3</v>
      </c>
      <c r="P1867">
        <v>-0.97834429999999994</v>
      </c>
      <c r="Q1867">
        <v>0.20656240000000001</v>
      </c>
      <c r="R1867">
        <v>1.3207999999999999E-2</v>
      </c>
      <c r="S1867">
        <v>-3.0495000000000001</v>
      </c>
      <c r="T1867">
        <v>0.14714829999999901</v>
      </c>
      <c r="U1867">
        <v>-0.92996219999999996</v>
      </c>
      <c r="V1867">
        <v>1.7483640000000002E-2</v>
      </c>
      <c r="W1867">
        <v>0.22089900000000001</v>
      </c>
      <c r="X1867">
        <v>0.97514000000000001</v>
      </c>
      <c r="Y1867">
        <v>-0.28724100000000002</v>
      </c>
      <c r="Z1867">
        <v>4.3443609999999997E-3</v>
      </c>
      <c r="AA1867">
        <v>0.95784849999999999</v>
      </c>
      <c r="AB1867">
        <v>35</v>
      </c>
      <c r="AC1867">
        <v>-68.165099999999995</v>
      </c>
      <c r="AD1867">
        <v>3.3060309999999999</v>
      </c>
      <c r="AE1867">
        <v>-20.892600000000002</v>
      </c>
      <c r="AF1867">
        <v>-20.545275100536202</v>
      </c>
      <c r="AG1867">
        <v>3.3060309999999999</v>
      </c>
      <c r="AH1867">
        <v>68.110820630544097</v>
      </c>
      <c r="AI1867">
        <v>87.339331272271806</v>
      </c>
      <c r="AJ1867">
        <v>106.78566403226</v>
      </c>
      <c r="AK1867">
        <v>71.218832178685901</v>
      </c>
      <c r="AL1867">
        <v>77.238159358904099</v>
      </c>
      <c r="AM1867">
        <v>88.972833169723003</v>
      </c>
      <c r="AN1867">
        <v>1.0000000327343199</v>
      </c>
    </row>
    <row r="1868" spans="1:40" x14ac:dyDescent="0.25">
      <c r="A1868" t="str">
        <f>"20190303170759022"</f>
        <v>20190303170759022</v>
      </c>
      <c r="B1868" t="str">
        <f>"1551604079014951"</f>
        <v>1551604079014951</v>
      </c>
      <c r="C1868" t="s">
        <v>40</v>
      </c>
      <c r="D1868">
        <v>4.2045379999999897</v>
      </c>
      <c r="E1868">
        <v>0.38087500000000002</v>
      </c>
      <c r="F1868" t="s">
        <v>70</v>
      </c>
      <c r="G1868">
        <v>-512.82659999999998</v>
      </c>
      <c r="H1868">
        <v>4.4347289999999999</v>
      </c>
      <c r="I1868">
        <v>264.0564</v>
      </c>
      <c r="J1868">
        <v>-445.00029999999998</v>
      </c>
      <c r="K1868">
        <v>1.121467</v>
      </c>
      <c r="L1868">
        <v>285.09719999999999</v>
      </c>
      <c r="M1868">
        <v>-0.99988189999999999</v>
      </c>
      <c r="N1868">
        <v>-1.466785E-2</v>
      </c>
      <c r="O1868">
        <v>-4.5975920000000002E-3</v>
      </c>
      <c r="P1868">
        <v>-0.97832090000000005</v>
      </c>
      <c r="Q1868">
        <v>0.20674500000000001</v>
      </c>
      <c r="R1868">
        <v>1.20441E-2</v>
      </c>
      <c r="S1868">
        <v>-3.0478209999999999</v>
      </c>
      <c r="T1868">
        <v>0.14814659999999999</v>
      </c>
      <c r="U1868">
        <v>-0.9408569</v>
      </c>
      <c r="V1868">
        <v>1.6470490000000001E-2</v>
      </c>
      <c r="W1868">
        <v>0.2210772</v>
      </c>
      <c r="X1868">
        <v>0.97511720000000002</v>
      </c>
      <c r="Y1868">
        <v>-0.29036309999999999</v>
      </c>
      <c r="Z1868">
        <v>4.4295970000000004E-3</v>
      </c>
      <c r="AA1868">
        <v>0.95690629999999999</v>
      </c>
      <c r="AB1868">
        <v>35</v>
      </c>
      <c r="AC1868">
        <v>-67.826300000000003</v>
      </c>
      <c r="AD1868">
        <v>3.3132619999999999</v>
      </c>
      <c r="AE1868">
        <v>-21.040799999999901</v>
      </c>
      <c r="AF1868">
        <v>-20.683682812021601</v>
      </c>
      <c r="AG1868">
        <v>3.3132619999999999</v>
      </c>
      <c r="AH1868">
        <v>67.774800418295797</v>
      </c>
      <c r="AI1868">
        <v>87.322948031874105</v>
      </c>
      <c r="AJ1868">
        <v>106.971271783078</v>
      </c>
      <c r="AK1868">
        <v>70.938113954973403</v>
      </c>
      <c r="AL1868">
        <v>77.227689732098298</v>
      </c>
      <c r="AM1868">
        <v>89.032321617869997</v>
      </c>
      <c r="AN1868">
        <v>0.99999997956825903</v>
      </c>
    </row>
    <row r="1869" spans="1:40" x14ac:dyDescent="0.25">
      <c r="A1869" t="str">
        <f>"20190303170759045"</f>
        <v>20190303170759045</v>
      </c>
      <c r="B1869" t="str">
        <f>"1551604079034471"</f>
        <v>1551604079034471</v>
      </c>
      <c r="C1869" t="s">
        <v>40</v>
      </c>
      <c r="D1869">
        <v>4.2011079999999996</v>
      </c>
      <c r="E1869">
        <v>0.38018580000000002</v>
      </c>
      <c r="F1869" t="s">
        <v>70</v>
      </c>
      <c r="G1869">
        <v>-512.82669999999996</v>
      </c>
      <c r="H1869">
        <v>4.4701469999999999</v>
      </c>
      <c r="I1869">
        <v>263.94880000000001</v>
      </c>
      <c r="J1869">
        <v>-445.34649999999999</v>
      </c>
      <c r="K1869">
        <v>1.121469</v>
      </c>
      <c r="L1869">
        <v>285.09539999999998</v>
      </c>
      <c r="M1869">
        <v>-0.99988129999999997</v>
      </c>
      <c r="N1869">
        <v>-1.466402E-2</v>
      </c>
      <c r="O1869">
        <v>-4.7545499999999997E-3</v>
      </c>
      <c r="P1869">
        <v>-0.97823009999999999</v>
      </c>
      <c r="Q1869">
        <v>0.20720430000000001</v>
      </c>
      <c r="R1869">
        <v>1.15164E-2</v>
      </c>
      <c r="S1869">
        <v>-3.0463559999999998</v>
      </c>
      <c r="T1869">
        <v>0.15040590000000001</v>
      </c>
      <c r="U1869">
        <v>-0.94985960000000003</v>
      </c>
      <c r="V1869">
        <v>1.6095809999999999E-2</v>
      </c>
      <c r="W1869">
        <v>0.22153100000000001</v>
      </c>
      <c r="X1869">
        <v>0.97502049999999996</v>
      </c>
      <c r="Y1869">
        <v>-0.29291159999999999</v>
      </c>
      <c r="Z1869">
        <v>4.5636169999999998E-3</v>
      </c>
      <c r="AA1869">
        <v>0.95612870000000005</v>
      </c>
      <c r="AB1869">
        <v>35</v>
      </c>
      <c r="AC1869">
        <v>-67.480199999999897</v>
      </c>
      <c r="AD1869">
        <v>3.348678</v>
      </c>
      <c r="AE1869">
        <v>-21.1465999999999</v>
      </c>
      <c r="AF1869">
        <v>-20.7788941048548</v>
      </c>
      <c r="AG1869">
        <v>3.348678</v>
      </c>
      <c r="AH1869">
        <v>67.428788850579807</v>
      </c>
      <c r="AI1869">
        <v>87.282777551952094</v>
      </c>
      <c r="AJ1869">
        <v>107.127234887082</v>
      </c>
      <c r="AK1869">
        <v>70.637225670495695</v>
      </c>
      <c r="AL1869">
        <v>77.201028310716794</v>
      </c>
      <c r="AM1869">
        <v>89.054237095595496</v>
      </c>
      <c r="AN1869">
        <v>1.0000000172404</v>
      </c>
    </row>
    <row r="1870" spans="1:40" x14ac:dyDescent="0.25">
      <c r="A1870" t="str">
        <f>"20190303170759070"</f>
        <v>20190303170759070</v>
      </c>
      <c r="B1870" t="str">
        <f>"1551604079064727"</f>
        <v>1551604079064727</v>
      </c>
      <c r="C1870" t="s">
        <v>40</v>
      </c>
      <c r="D1870">
        <v>4.1977520000000004</v>
      </c>
      <c r="E1870">
        <v>0.37937729999999997</v>
      </c>
      <c r="F1870" t="s">
        <v>70</v>
      </c>
      <c r="G1870">
        <v>-512.82669999999996</v>
      </c>
      <c r="H1870">
        <v>4.5232380000000001</v>
      </c>
      <c r="I1870">
        <v>263.90410000000003</v>
      </c>
      <c r="J1870">
        <v>-445.72669999999999</v>
      </c>
      <c r="K1870">
        <v>1.121472</v>
      </c>
      <c r="L1870">
        <v>285.09339999999997</v>
      </c>
      <c r="M1870">
        <v>-0.99988060000000001</v>
      </c>
      <c r="N1870">
        <v>-1.465985E-2</v>
      </c>
      <c r="O1870">
        <v>-4.9246000000000003E-3</v>
      </c>
      <c r="P1870">
        <v>-0.97820739999999995</v>
      </c>
      <c r="Q1870">
        <v>0.20732159999999999</v>
      </c>
      <c r="R1870">
        <v>1.1344440000000001E-2</v>
      </c>
      <c r="S1870">
        <v>-3.045563</v>
      </c>
      <c r="T1870">
        <v>0.15353420000000001</v>
      </c>
      <c r="U1870">
        <v>-0.95642090000000002</v>
      </c>
      <c r="V1870">
        <v>1.6090770000000001E-2</v>
      </c>
      <c r="W1870">
        <v>0.22164400000000001</v>
      </c>
      <c r="X1870">
        <v>0.9749949</v>
      </c>
      <c r="Y1870">
        <v>-0.29468319999999998</v>
      </c>
      <c r="Z1870">
        <v>4.7244849999999996E-3</v>
      </c>
      <c r="AA1870">
        <v>0.95558330000000002</v>
      </c>
      <c r="AB1870">
        <v>35</v>
      </c>
      <c r="AC1870">
        <v>-67.099999999999895</v>
      </c>
      <c r="AD1870">
        <v>3.4017659999999998</v>
      </c>
      <c r="AE1870">
        <v>-21.1892999999999</v>
      </c>
      <c r="AF1870">
        <v>-20.8099315688271</v>
      </c>
      <c r="AG1870">
        <v>3.4017659999999998</v>
      </c>
      <c r="AH1870">
        <v>67.046849607045402</v>
      </c>
      <c r="AI1870">
        <v>87.225801948410904</v>
      </c>
      <c r="AJ1870">
        <v>107.24324330764099</v>
      </c>
      <c r="AK1870">
        <v>70.284459918589306</v>
      </c>
      <c r="AL1870">
        <v>77.194388808611293</v>
      </c>
      <c r="AM1870">
        <v>89.054508363622105</v>
      </c>
      <c r="AN1870">
        <v>1.0000000153205999</v>
      </c>
    </row>
    <row r="1871" spans="1:40" x14ac:dyDescent="0.25">
      <c r="A1871" t="str">
        <f>"20190303170759091"</f>
        <v>20190303170759091</v>
      </c>
      <c r="B1871" t="str">
        <f>"1551604079084248"</f>
        <v>1551604079084248</v>
      </c>
      <c r="C1871" t="s">
        <v>40</v>
      </c>
      <c r="D1871">
        <v>4.1890679999999998</v>
      </c>
      <c r="E1871">
        <v>0.37884180000000001</v>
      </c>
      <c r="F1871" t="s">
        <v>70</v>
      </c>
      <c r="G1871">
        <v>-512.82669999999996</v>
      </c>
      <c r="H1871">
        <v>4.5624859999999998</v>
      </c>
      <c r="I1871">
        <v>263.87720000000002</v>
      </c>
      <c r="J1871">
        <v>-446.0564</v>
      </c>
      <c r="K1871">
        <v>1.121461</v>
      </c>
      <c r="L1871">
        <v>285.0917</v>
      </c>
      <c r="M1871">
        <v>-0.99987969999999904</v>
      </c>
      <c r="N1871">
        <v>-1.4656209999999999E-2</v>
      </c>
      <c r="O1871">
        <v>-5.0680380000000004E-3</v>
      </c>
      <c r="P1871">
        <v>-0.97832730000000001</v>
      </c>
      <c r="Q1871">
        <v>0.2067774</v>
      </c>
      <c r="R1871">
        <v>1.0896319999999999E-2</v>
      </c>
      <c r="S1871">
        <v>-3.0449220000000001</v>
      </c>
      <c r="T1871">
        <v>0.1561525</v>
      </c>
      <c r="U1871">
        <v>-0.96276859999999997</v>
      </c>
      <c r="V1871">
        <v>1.5785239999999999E-2</v>
      </c>
      <c r="W1871">
        <v>0.22109809999999999</v>
      </c>
      <c r="X1871">
        <v>0.97512379999999999</v>
      </c>
      <c r="Y1871">
        <v>-0.29640450000000002</v>
      </c>
      <c r="Z1871">
        <v>4.8638860000000004E-3</v>
      </c>
      <c r="AA1871">
        <v>0.95505010000000001</v>
      </c>
      <c r="AB1871">
        <v>35</v>
      </c>
      <c r="AC1871">
        <v>-66.770299999999907</v>
      </c>
      <c r="AD1871">
        <v>3.4410249999999998</v>
      </c>
      <c r="AE1871">
        <v>-21.214499999999902</v>
      </c>
      <c r="AF1871">
        <v>-20.825557969564102</v>
      </c>
      <c r="AG1871">
        <v>3.4410249999999998</v>
      </c>
      <c r="AH1871">
        <v>66.716026698568101</v>
      </c>
      <c r="AI1871">
        <v>87.181360444888497</v>
      </c>
      <c r="AJ1871">
        <v>107.33587098161701</v>
      </c>
      <c r="AK1871">
        <v>69.975515262399895</v>
      </c>
      <c r="AL1871">
        <v>77.226461929168707</v>
      </c>
      <c r="AM1871">
        <v>89.072580690264402</v>
      </c>
      <c r="AN1871">
        <v>0.99999998447595295</v>
      </c>
    </row>
    <row r="1872" spans="1:40" x14ac:dyDescent="0.25">
      <c r="A1872" t="str">
        <f>"20190303170759115"</f>
        <v>20190303170759115</v>
      </c>
      <c r="B1872" t="str">
        <f>"1551604079104743"</f>
        <v>1551604079104743</v>
      </c>
      <c r="C1872" t="s">
        <v>40</v>
      </c>
      <c r="D1872">
        <v>4.157368</v>
      </c>
      <c r="E1872">
        <v>0.37836150000000002</v>
      </c>
      <c r="F1872" t="s">
        <v>70</v>
      </c>
      <c r="G1872">
        <v>-512.82669999999996</v>
      </c>
      <c r="H1872">
        <v>4.5445739999999999</v>
      </c>
      <c r="I1872">
        <v>263.8603</v>
      </c>
      <c r="J1872">
        <v>-446.4359</v>
      </c>
      <c r="K1872">
        <v>1.1214580000000001</v>
      </c>
      <c r="L1872">
        <v>285.08949999999999</v>
      </c>
      <c r="M1872">
        <v>-0.99987910000000002</v>
      </c>
      <c r="N1872">
        <v>-1.465202E-2</v>
      </c>
      <c r="O1872">
        <v>-5.2269409999999997E-3</v>
      </c>
      <c r="P1872">
        <v>-0.97849549999999996</v>
      </c>
      <c r="Q1872">
        <v>0.20600170000000001</v>
      </c>
      <c r="R1872">
        <v>1.0485390000000001E-2</v>
      </c>
      <c r="S1872">
        <v>-3.0442200000000001</v>
      </c>
      <c r="T1872">
        <v>0.15607119999999999</v>
      </c>
      <c r="U1872">
        <v>-0.96798709999999999</v>
      </c>
      <c r="V1872">
        <v>1.5533379999999999E-2</v>
      </c>
      <c r="W1872">
        <v>0.2203205</v>
      </c>
      <c r="X1872">
        <v>0.97530380000000005</v>
      </c>
      <c r="Y1872">
        <v>-0.29780279999999998</v>
      </c>
      <c r="Z1872">
        <v>4.8742990000000003E-3</v>
      </c>
      <c r="AA1872">
        <v>0.95461490000000004</v>
      </c>
      <c r="AB1872">
        <v>35</v>
      </c>
      <c r="AC1872">
        <v>-66.390799999999899</v>
      </c>
      <c r="AD1872">
        <v>3.4231159999999998</v>
      </c>
      <c r="AE1872">
        <v>-21.229199999999899</v>
      </c>
      <c r="AF1872">
        <v>-20.831609422309501</v>
      </c>
      <c r="AG1872">
        <v>3.4231159999999998</v>
      </c>
      <c r="AH1872">
        <v>66.340865021769801</v>
      </c>
      <c r="AI1872">
        <v>87.181665330432494</v>
      </c>
      <c r="AJ1872">
        <v>107.432742839203</v>
      </c>
      <c r="AK1872">
        <v>69.618848353802804</v>
      </c>
      <c r="AL1872">
        <v>77.272141231322195</v>
      </c>
      <c r="AM1872">
        <v>89.087543927562194</v>
      </c>
      <c r="AN1872">
        <v>0.99999995545445597</v>
      </c>
    </row>
    <row r="1873" spans="1:40" x14ac:dyDescent="0.25">
      <c r="A1873" t="str">
        <f>"20190303170759135"</f>
        <v>20190303170759135</v>
      </c>
      <c r="B1873" t="str">
        <f>"1551604079124264"</f>
        <v>1551604079124264</v>
      </c>
      <c r="C1873" t="s">
        <v>40</v>
      </c>
      <c r="D1873">
        <v>4.1659169999999897</v>
      </c>
      <c r="E1873">
        <v>0.3779111</v>
      </c>
      <c r="F1873" t="s">
        <v>70</v>
      </c>
      <c r="G1873">
        <v>-512.82669999999996</v>
      </c>
      <c r="H1873">
        <v>4.5022539999999998</v>
      </c>
      <c r="I1873">
        <v>263.8723</v>
      </c>
      <c r="J1873">
        <v>-446.73349999999999</v>
      </c>
      <c r="K1873">
        <v>1.1214569999999999</v>
      </c>
      <c r="L1873">
        <v>285.08789999999999</v>
      </c>
      <c r="M1873">
        <v>-0.99987839999999995</v>
      </c>
      <c r="N1873">
        <v>-1.464873E-2</v>
      </c>
      <c r="O1873">
        <v>-5.3445929999999999E-3</v>
      </c>
      <c r="P1873">
        <v>-0.9786243</v>
      </c>
      <c r="Q1873">
        <v>0.20542440000000001</v>
      </c>
      <c r="R1873">
        <v>9.7601189999999994E-3</v>
      </c>
      <c r="S1873">
        <v>-3.0437319999999999</v>
      </c>
      <c r="T1873">
        <v>0.1549981</v>
      </c>
      <c r="U1873">
        <v>-0.97271730000000001</v>
      </c>
      <c r="V1873">
        <v>1.4926979999999999E-2</v>
      </c>
      <c r="W1873">
        <v>0.2197414</v>
      </c>
      <c r="X1873">
        <v>0.97544399999999998</v>
      </c>
      <c r="Y1873">
        <v>-0.29908439999999997</v>
      </c>
      <c r="Z1873">
        <v>4.8391329999999998E-3</v>
      </c>
      <c r="AA1873">
        <v>0.95421440000000002</v>
      </c>
      <c r="AB1873">
        <v>35</v>
      </c>
      <c r="AC1873">
        <v>-66.093199999999896</v>
      </c>
      <c r="AD1873">
        <v>3.3807969999999998</v>
      </c>
      <c r="AE1873">
        <v>-21.215599999999899</v>
      </c>
      <c r="AF1873">
        <v>-20.812647939939399</v>
      </c>
      <c r="AG1873">
        <v>3.3807969999999998</v>
      </c>
      <c r="AH1873">
        <v>66.048981522414294</v>
      </c>
      <c r="AI1873">
        <v>87.205050108449797</v>
      </c>
      <c r="AJ1873">
        <v>107.49012396529</v>
      </c>
      <c r="AK1873">
        <v>69.332994041619898</v>
      </c>
      <c r="AL1873">
        <v>77.306155979661398</v>
      </c>
      <c r="AM1873">
        <v>89.123285186196398</v>
      </c>
      <c r="AN1873">
        <v>1.0000000473709301</v>
      </c>
    </row>
    <row r="1874" spans="1:40" x14ac:dyDescent="0.25">
      <c r="A1874" t="str">
        <f>"20190303170759157"</f>
        <v>20190303170759157</v>
      </c>
      <c r="B1874" t="str">
        <f>"1551604079144759"</f>
        <v>1551604079144759</v>
      </c>
      <c r="C1874" t="s">
        <v>40</v>
      </c>
      <c r="D1874">
        <v>4.3601320000000001</v>
      </c>
      <c r="E1874">
        <v>0.37787029999999999</v>
      </c>
      <c r="F1874" t="s">
        <v>70</v>
      </c>
      <c r="G1874">
        <v>-512.82669999999996</v>
      </c>
      <c r="H1874">
        <v>4.4713560000000001</v>
      </c>
      <c r="I1874">
        <v>263.84730000000002</v>
      </c>
      <c r="J1874">
        <v>-447.08260000000001</v>
      </c>
      <c r="K1874">
        <v>1.1214489999999999</v>
      </c>
      <c r="L1874">
        <v>285.08580000000001</v>
      </c>
      <c r="M1874">
        <v>-0.99987800000000004</v>
      </c>
      <c r="N1874">
        <v>-1.4644870000000001E-2</v>
      </c>
      <c r="O1874">
        <v>-5.4688369999999998E-3</v>
      </c>
      <c r="P1874">
        <v>-0.97851719999999998</v>
      </c>
      <c r="Q1874">
        <v>0.20598089999999999</v>
      </c>
      <c r="R1874">
        <v>8.7352209999999996E-3</v>
      </c>
      <c r="S1874">
        <v>-3.0429080000000002</v>
      </c>
      <c r="T1874">
        <v>0.15423149999999999</v>
      </c>
      <c r="U1874">
        <v>-0.97790529999999998</v>
      </c>
      <c r="V1874">
        <v>1.402811E-2</v>
      </c>
      <c r="W1874">
        <v>0.2202916</v>
      </c>
      <c r="X1874">
        <v>0.97533320000000001</v>
      </c>
      <c r="Y1874">
        <v>-0.3005177</v>
      </c>
      <c r="Z1874">
        <v>4.820609E-3</v>
      </c>
      <c r="AA1874">
        <v>0.9537641</v>
      </c>
      <c r="AB1874">
        <v>35</v>
      </c>
      <c r="AC1874">
        <v>-65.744099999999904</v>
      </c>
      <c r="AD1874">
        <v>3.349907</v>
      </c>
      <c r="AE1874">
        <v>-21.238499999999899</v>
      </c>
      <c r="AF1874">
        <v>-20.829630889165699</v>
      </c>
      <c r="AG1874">
        <v>3.349907</v>
      </c>
      <c r="AH1874">
        <v>65.704811001382097</v>
      </c>
      <c r="AI1874">
        <v>87.217587743494406</v>
      </c>
      <c r="AJ1874">
        <v>107.589570548683</v>
      </c>
      <c r="AK1874">
        <v>69.008822541866905</v>
      </c>
      <c r="AL1874">
        <v>77.273839544074804</v>
      </c>
      <c r="AM1874">
        <v>89.175977931374106</v>
      </c>
      <c r="AN1874">
        <v>1.00000001396148</v>
      </c>
    </row>
    <row r="1875" spans="1:40" x14ac:dyDescent="0.25">
      <c r="A1875" t="str">
        <f>"20190303170759179"</f>
        <v>20190303170759179</v>
      </c>
      <c r="B1875" t="str">
        <f>"1551604079174039"</f>
        <v>1551604079174039</v>
      </c>
      <c r="C1875" t="s">
        <v>40</v>
      </c>
      <c r="D1875">
        <v>4.2229869999999998</v>
      </c>
      <c r="E1875">
        <v>0.43218469999999998</v>
      </c>
      <c r="F1875" t="s">
        <v>70</v>
      </c>
      <c r="G1875">
        <v>-512.82669999999996</v>
      </c>
      <c r="H1875">
        <v>4.4636950000000004</v>
      </c>
      <c r="I1875">
        <v>263.88889999999998</v>
      </c>
      <c r="J1875">
        <v>-447.43689999999998</v>
      </c>
      <c r="K1875">
        <v>1.12144</v>
      </c>
      <c r="L1875">
        <v>285.0838</v>
      </c>
      <c r="M1875">
        <v>-0.99987729999999997</v>
      </c>
      <c r="N1875">
        <v>-1.464096E-2</v>
      </c>
      <c r="O1875">
        <v>-5.5749980000000003E-3</v>
      </c>
      <c r="P1875">
        <v>-0.97835190000000005</v>
      </c>
      <c r="Q1875">
        <v>0.2068045</v>
      </c>
      <c r="R1875">
        <v>7.7145579999999998E-3</v>
      </c>
      <c r="S1875">
        <v>-3.0420530000000001</v>
      </c>
      <c r="T1875">
        <v>0.15465279999999901</v>
      </c>
      <c r="U1875">
        <v>-0.98080440000000002</v>
      </c>
      <c r="V1875">
        <v>1.31179E-2</v>
      </c>
      <c r="W1875">
        <v>0.22110830000000001</v>
      </c>
      <c r="X1875">
        <v>0.97516099999999994</v>
      </c>
      <c r="Y1875">
        <v>-0.30131590000000003</v>
      </c>
      <c r="Z1875">
        <v>4.8483320000000003E-3</v>
      </c>
      <c r="AA1875">
        <v>0.95351209999999997</v>
      </c>
      <c r="AB1875">
        <v>35</v>
      </c>
      <c r="AC1875">
        <v>-65.389799999999894</v>
      </c>
      <c r="AD1875">
        <v>3.3422550000000002</v>
      </c>
      <c r="AE1875">
        <v>-21.194900000000001</v>
      </c>
      <c r="AF1875">
        <v>-20.780854675869001</v>
      </c>
      <c r="AG1875">
        <v>3.3422550000000002</v>
      </c>
      <c r="AH1875">
        <v>65.352455577550799</v>
      </c>
      <c r="AI1875">
        <v>87.209763396101593</v>
      </c>
      <c r="AJ1875">
        <v>107.639687697914</v>
      </c>
      <c r="AK1875">
        <v>68.658270001219506</v>
      </c>
      <c r="AL1875">
        <v>77.225862464122301</v>
      </c>
      <c r="AM1875">
        <v>89.2293016484916</v>
      </c>
      <c r="AN1875">
        <v>0.99999996777514899</v>
      </c>
    </row>
    <row r="1876" spans="1:40" x14ac:dyDescent="0.25">
      <c r="A1876" t="str">
        <f>"20190303170759202"</f>
        <v>20190303170759202</v>
      </c>
      <c r="B1876" t="str">
        <f>"1551604079194535"</f>
        <v>1551604079194535</v>
      </c>
      <c r="C1876" t="s">
        <v>40</v>
      </c>
      <c r="D1876">
        <v>4.2257680000000004</v>
      </c>
      <c r="E1876">
        <v>0.43941599999999997</v>
      </c>
      <c r="F1876" t="s">
        <v>70</v>
      </c>
      <c r="G1876">
        <v>-512.82560000000001</v>
      </c>
      <c r="H1876">
        <v>1.2967519999999999</v>
      </c>
      <c r="I1876">
        <v>273.1662</v>
      </c>
      <c r="J1876">
        <v>-447.77719999999999</v>
      </c>
      <c r="K1876">
        <v>1.121421</v>
      </c>
      <c r="L1876">
        <v>285.08179999999999</v>
      </c>
      <c r="M1876">
        <v>-0.99987689999999996</v>
      </c>
      <c r="N1876">
        <v>-1.463718E-2</v>
      </c>
      <c r="O1876">
        <v>-5.6546390000000004E-3</v>
      </c>
      <c r="P1876">
        <v>-0.97830110000000003</v>
      </c>
      <c r="Q1876">
        <v>0.2070623</v>
      </c>
      <c r="R1876">
        <v>7.2346959999999997E-3</v>
      </c>
      <c r="S1876">
        <v>-3.069061</v>
      </c>
      <c r="T1876">
        <v>8.2321169999999902E-3</v>
      </c>
      <c r="U1876">
        <v>-0.55935669999999904</v>
      </c>
      <c r="V1876">
        <v>1.2725129999999999E-2</v>
      </c>
      <c r="W1876">
        <v>0.22136130000000001</v>
      </c>
      <c r="X1876">
        <v>0.97510889999999995</v>
      </c>
      <c r="Y1876">
        <v>-0.173739899999999</v>
      </c>
      <c r="Z1876">
        <v>-1.1480189999999999E-3</v>
      </c>
      <c r="AA1876">
        <v>0.98479090000000002</v>
      </c>
      <c r="AB1876">
        <v>35</v>
      </c>
      <c r="AC1876">
        <v>-65.048400000000001</v>
      </c>
      <c r="AD1876">
        <v>0.17533099999999999</v>
      </c>
      <c r="AE1876">
        <v>-11.9155999999999</v>
      </c>
      <c r="AF1876">
        <v>-11.5474636652895</v>
      </c>
      <c r="AG1876">
        <v>0.17533099999999999</v>
      </c>
      <c r="AH1876">
        <v>65.114287737392502</v>
      </c>
      <c r="AI1876">
        <v>89.848092246688793</v>
      </c>
      <c r="AJ1876">
        <v>100.05636358264999</v>
      </c>
      <c r="AK1876">
        <v>66.130515842602406</v>
      </c>
      <c r="AL1876">
        <v>77.210999511526595</v>
      </c>
      <c r="AM1876">
        <v>89.252334935840807</v>
      </c>
      <c r="AN1876">
        <v>1.0000000604652</v>
      </c>
    </row>
    <row r="1877" spans="1:40" x14ac:dyDescent="0.25">
      <c r="A1877" t="str">
        <f>"20190303170759224"</f>
        <v>20190303170759224</v>
      </c>
      <c r="B1877" t="str">
        <f>"1551604079214055"</f>
        <v>1551604079214055</v>
      </c>
      <c r="C1877" t="s">
        <v>40</v>
      </c>
      <c r="D1877">
        <v>4.206588</v>
      </c>
      <c r="E1877">
        <v>0.44319009999999998</v>
      </c>
      <c r="F1877" t="s">
        <v>70</v>
      </c>
      <c r="G1877">
        <v>-512.82550000000003</v>
      </c>
      <c r="H1877">
        <v>1.1259600000000001</v>
      </c>
      <c r="I1877">
        <v>274.39580000000001</v>
      </c>
      <c r="J1877">
        <v>-448.12079999999997</v>
      </c>
      <c r="K1877">
        <v>1.121399</v>
      </c>
      <c r="L1877">
        <v>285.07979999999998</v>
      </c>
      <c r="M1877">
        <v>-0.99987669999999995</v>
      </c>
      <c r="N1877">
        <v>-1.463337E-2</v>
      </c>
      <c r="O1877">
        <v>-5.7111159999999996E-3</v>
      </c>
      <c r="P1877">
        <v>-0.97838139999999996</v>
      </c>
      <c r="Q1877">
        <v>0.20669850000000001</v>
      </c>
      <c r="R1877">
        <v>6.7748900000000004E-3</v>
      </c>
      <c r="S1877">
        <v>-3.0702210000000001</v>
      </c>
      <c r="T1877">
        <v>2.1803379999999999E-4</v>
      </c>
      <c r="U1877">
        <v>-0.50436400000000003</v>
      </c>
      <c r="V1877">
        <v>1.233158E-2</v>
      </c>
      <c r="W1877">
        <v>0.22099479999999999</v>
      </c>
      <c r="X1877">
        <v>0.97519699999999998</v>
      </c>
      <c r="Y1877">
        <v>-0.1564651</v>
      </c>
      <c r="Z1877">
        <v>-1.230404E-3</v>
      </c>
      <c r="AA1877">
        <v>0.98768270000000002</v>
      </c>
      <c r="AB1877">
        <v>35</v>
      </c>
      <c r="AC1877">
        <v>-64.704700000000003</v>
      </c>
      <c r="AD1877">
        <v>4.5610000000000303E-3</v>
      </c>
      <c r="AE1877">
        <v>-10.6839999999999</v>
      </c>
      <c r="AF1877">
        <v>-10.314250083982699</v>
      </c>
      <c r="AG1877">
        <v>4.5610000000000303E-3</v>
      </c>
      <c r="AH1877">
        <v>64.764668312974607</v>
      </c>
      <c r="AI1877">
        <v>89.996015207080106</v>
      </c>
      <c r="AJ1877">
        <v>99.048784066024993</v>
      </c>
      <c r="AK1877">
        <v>65.580835899577195</v>
      </c>
      <c r="AL1877">
        <v>77.232530635754401</v>
      </c>
      <c r="AM1877">
        <v>89.2755209121962</v>
      </c>
      <c r="AN1877">
        <v>0.99999997915066796</v>
      </c>
    </row>
    <row r="1878" spans="1:40" x14ac:dyDescent="0.25">
      <c r="A1878" t="str">
        <f>"20190303170759246"</f>
        <v>20190303170759246</v>
      </c>
      <c r="B1878" t="str">
        <f>"1551604079234552"</f>
        <v>1551604079234552</v>
      </c>
      <c r="C1878" t="s">
        <v>40</v>
      </c>
      <c r="D1878">
        <v>4.2049450000000004</v>
      </c>
      <c r="E1878">
        <v>0.44516480000000003</v>
      </c>
      <c r="F1878" t="s">
        <v>70</v>
      </c>
      <c r="G1878">
        <v>-512.82539999999995</v>
      </c>
      <c r="H1878">
        <v>0.95716679999999998</v>
      </c>
      <c r="I1878">
        <v>275.04270000000002</v>
      </c>
      <c r="J1878">
        <v>-448.45800000000003</v>
      </c>
      <c r="K1878">
        <v>1.1213770000000001</v>
      </c>
      <c r="L1878">
        <v>285.07780000000002</v>
      </c>
      <c r="M1878">
        <v>-0.9998766</v>
      </c>
      <c r="N1878">
        <v>-1.4629629999999999E-2</v>
      </c>
      <c r="O1878">
        <v>-5.7465090000000003E-3</v>
      </c>
      <c r="P1878">
        <v>-0.97845230000000005</v>
      </c>
      <c r="Q1878">
        <v>0.20637430000000001</v>
      </c>
      <c r="R1878">
        <v>6.3974280000000001E-3</v>
      </c>
      <c r="S1878">
        <v>-3.0712280000000001</v>
      </c>
      <c r="T1878">
        <v>-7.7915190000000002E-3</v>
      </c>
      <c r="U1878">
        <v>-0.4764099</v>
      </c>
      <c r="V1878">
        <v>1.199944E-2</v>
      </c>
      <c r="W1878">
        <v>0.220667</v>
      </c>
      <c r="X1878">
        <v>0.97527540000000001</v>
      </c>
      <c r="Y1878">
        <v>-0.14760239999999999</v>
      </c>
      <c r="Z1878">
        <v>-1.3413829999999901E-3</v>
      </c>
      <c r="AA1878">
        <v>0.98904590000000003</v>
      </c>
      <c r="AB1878">
        <v>35</v>
      </c>
      <c r="AC1878">
        <v>-64.367399999999904</v>
      </c>
      <c r="AD1878">
        <v>-0.1642102</v>
      </c>
      <c r="AE1878">
        <v>-10.0351</v>
      </c>
      <c r="AF1878">
        <v>-9.6649454781765503</v>
      </c>
      <c r="AG1878">
        <v>-0.1642102</v>
      </c>
      <c r="AH1878">
        <v>64.423600599534097</v>
      </c>
      <c r="AI1878">
        <v>90.144425473719096</v>
      </c>
      <c r="AJ1878">
        <v>98.531987998430694</v>
      </c>
      <c r="AK1878">
        <v>65.144749982590298</v>
      </c>
      <c r="AL1878">
        <v>77.251787989116593</v>
      </c>
      <c r="AM1878">
        <v>89.295088772221305</v>
      </c>
      <c r="AN1878">
        <v>1.00000000864723</v>
      </c>
    </row>
    <row r="1879" spans="1:40" x14ac:dyDescent="0.25">
      <c r="A1879" t="str">
        <f>"20190303170759270"</f>
        <v>20190303170759270</v>
      </c>
      <c r="B1879" t="str">
        <f>"1551604079264807"</f>
        <v>1551604079264807</v>
      </c>
      <c r="C1879" t="s">
        <v>40</v>
      </c>
      <c r="D1879">
        <v>4.2961419999999997</v>
      </c>
      <c r="E1879">
        <v>0.44706030000000002</v>
      </c>
      <c r="F1879" t="s">
        <v>70</v>
      </c>
      <c r="G1879">
        <v>-511.95890000000003</v>
      </c>
      <c r="H1879">
        <v>0.85849609999999998</v>
      </c>
      <c r="I1879">
        <v>275.53649999999999</v>
      </c>
      <c r="J1879">
        <v>-448.81700000000001</v>
      </c>
      <c r="K1879">
        <v>1.121356</v>
      </c>
      <c r="L1879">
        <v>285.07569999999998</v>
      </c>
      <c r="M1879">
        <v>-0.9998764</v>
      </c>
      <c r="N1879">
        <v>-1.462549E-2</v>
      </c>
      <c r="O1879">
        <v>-5.7663310000000004E-3</v>
      </c>
      <c r="P1879">
        <v>-0.97845199999999999</v>
      </c>
      <c r="Q1879">
        <v>0.20637130000000001</v>
      </c>
      <c r="R1879">
        <v>6.5095639999999998E-3</v>
      </c>
      <c r="S1879">
        <v>-3.071777</v>
      </c>
      <c r="T1879">
        <v>-1.2712599999999999E-2</v>
      </c>
      <c r="U1879">
        <v>-0.46154790000000001</v>
      </c>
      <c r="V1879">
        <v>1.213962E-2</v>
      </c>
      <c r="W1879">
        <v>0.22065950000000001</v>
      </c>
      <c r="X1879">
        <v>0.97527529999999996</v>
      </c>
      <c r="Y1879">
        <v>-0.142875799999999</v>
      </c>
      <c r="Z1879">
        <v>-1.404869E-3</v>
      </c>
      <c r="AA1879">
        <v>0.9897397</v>
      </c>
      <c r="AB1879">
        <v>34</v>
      </c>
      <c r="AC1879">
        <v>-63.1419</v>
      </c>
      <c r="AD1879">
        <v>-0.26285989999999998</v>
      </c>
      <c r="AE1879">
        <v>-9.5391999999999904</v>
      </c>
      <c r="AF1879">
        <v>-9.1747498690459608</v>
      </c>
      <c r="AG1879">
        <v>-0.26285989999999998</v>
      </c>
      <c r="AH1879">
        <v>63.1947913197641</v>
      </c>
      <c r="AI1879">
        <v>90.2358488757434</v>
      </c>
      <c r="AJ1879">
        <v>98.2606033300017</v>
      </c>
      <c r="AK1879">
        <v>63.857863888757798</v>
      </c>
      <c r="AL1879">
        <v>77.252227782239501</v>
      </c>
      <c r="AM1879">
        <v>89.286854622390806</v>
      </c>
      <c r="AN1879">
        <v>0.99999994805203996</v>
      </c>
    </row>
    <row r="1880" spans="1:40" x14ac:dyDescent="0.25">
      <c r="A1880" t="str">
        <f>"20190303170759295"</f>
        <v>20190303170759295</v>
      </c>
      <c r="B1880" t="str">
        <f>"1551604079284327"</f>
        <v>1551604079284327</v>
      </c>
      <c r="C1880" t="s">
        <v>40</v>
      </c>
      <c r="D1880">
        <v>4.2178899999999997</v>
      </c>
      <c r="E1880">
        <v>0.44816089999999997</v>
      </c>
      <c r="F1880" t="s">
        <v>70</v>
      </c>
      <c r="G1880">
        <v>-511.95890000000003</v>
      </c>
      <c r="H1880">
        <v>0.79074909999999998</v>
      </c>
      <c r="I1880">
        <v>275.91570000000002</v>
      </c>
      <c r="J1880">
        <v>-449.20139999999998</v>
      </c>
      <c r="K1880">
        <v>1.1213470000000001</v>
      </c>
      <c r="L1880">
        <v>285.07350000000002</v>
      </c>
      <c r="M1880">
        <v>-0.9998766</v>
      </c>
      <c r="N1880">
        <v>-1.4620940000000001E-2</v>
      </c>
      <c r="O1880">
        <v>-5.7726409999999898E-3</v>
      </c>
      <c r="P1880">
        <v>-0.97829120000000003</v>
      </c>
      <c r="Q1880">
        <v>0.20710690000000001</v>
      </c>
      <c r="R1880">
        <v>7.2991779999999999E-3</v>
      </c>
      <c r="S1880">
        <v>-3.0723880000000001</v>
      </c>
      <c r="T1880">
        <v>-1.6082880000000001E-2</v>
      </c>
      <c r="U1880">
        <v>-0.44570920000000003</v>
      </c>
      <c r="V1880">
        <v>1.294091E-2</v>
      </c>
      <c r="W1880">
        <v>0.2213878</v>
      </c>
      <c r="X1880">
        <v>0.97509999999999997</v>
      </c>
      <c r="Y1880">
        <v>-0.13784370000000001</v>
      </c>
      <c r="Z1880">
        <v>-1.4258509999999999E-3</v>
      </c>
      <c r="AA1880">
        <v>0.99045289999999997</v>
      </c>
      <c r="AB1880">
        <v>34</v>
      </c>
      <c r="AC1880">
        <v>-62.7575</v>
      </c>
      <c r="AD1880">
        <v>-0.330597899999999</v>
      </c>
      <c r="AE1880">
        <v>-9.1577999999999999</v>
      </c>
      <c r="AF1880">
        <v>-8.7950932135018807</v>
      </c>
      <c r="AG1880">
        <v>-0.330597899999999</v>
      </c>
      <c r="AH1880">
        <v>62.807617861384799</v>
      </c>
      <c r="AI1880">
        <v>90.298668643461795</v>
      </c>
      <c r="AJ1880">
        <v>97.971423699044294</v>
      </c>
      <c r="AK1880">
        <v>63.421288389841202</v>
      </c>
      <c r="AL1880">
        <v>77.209441985356307</v>
      </c>
      <c r="AM1880">
        <v>89.239651318047905</v>
      </c>
      <c r="AN1880">
        <v>1.0000000175702299</v>
      </c>
    </row>
    <row r="1881" spans="1:40" x14ac:dyDescent="0.25">
      <c r="A1881" t="str">
        <f>"20190303170759317"</f>
        <v>20190303170759317</v>
      </c>
      <c r="B1881" t="str">
        <f>"1551604079304824"</f>
        <v>1551604079304824</v>
      </c>
      <c r="C1881" t="s">
        <v>40</v>
      </c>
      <c r="D1881">
        <v>4.2056839999999998</v>
      </c>
      <c r="E1881">
        <v>0.448517</v>
      </c>
      <c r="F1881" t="s">
        <v>70</v>
      </c>
      <c r="G1881">
        <v>-511.95890000000003</v>
      </c>
      <c r="H1881">
        <v>0.82389269999999903</v>
      </c>
      <c r="I1881">
        <v>276.18709999999999</v>
      </c>
      <c r="J1881">
        <v>-449.55149999999998</v>
      </c>
      <c r="K1881">
        <v>1.1213470000000001</v>
      </c>
      <c r="L1881">
        <v>285.07150000000001</v>
      </c>
      <c r="M1881">
        <v>-0.9998766</v>
      </c>
      <c r="N1881">
        <v>-1.4617059999999999E-2</v>
      </c>
      <c r="O1881">
        <v>-5.7715269999999898E-3</v>
      </c>
      <c r="P1881">
        <v>-0.97851399999999999</v>
      </c>
      <c r="Q1881">
        <v>0.20604539999999999</v>
      </c>
      <c r="R1881">
        <v>7.4593230000000003E-3</v>
      </c>
      <c r="S1881">
        <v>-3.0729060000000001</v>
      </c>
      <c r="T1881">
        <v>-1.456082E-2</v>
      </c>
      <c r="U1881">
        <v>-0.4351196</v>
      </c>
      <c r="V1881">
        <v>1.310531E-2</v>
      </c>
      <c r="W1881">
        <v>0.22032560000000001</v>
      </c>
      <c r="X1881">
        <v>0.97533829999999999</v>
      </c>
      <c r="Y1881">
        <v>-0.13447679999999901</v>
      </c>
      <c r="Z1881">
        <v>-1.3615529999999999E-3</v>
      </c>
      <c r="AA1881">
        <v>0.99091580000000001</v>
      </c>
      <c r="AB1881">
        <v>34</v>
      </c>
      <c r="AC1881">
        <v>-62.407400000000003</v>
      </c>
      <c r="AD1881">
        <v>-0.29745429999999901</v>
      </c>
      <c r="AE1881">
        <v>-8.8844000000000207</v>
      </c>
      <c r="AF1881">
        <v>-8.5238377525046207</v>
      </c>
      <c r="AG1881">
        <v>-0.29745429999999901</v>
      </c>
      <c r="AH1881">
        <v>62.456251695711103</v>
      </c>
      <c r="AI1881">
        <v>90.270368676506905</v>
      </c>
      <c r="AJ1881">
        <v>97.771538903230393</v>
      </c>
      <c r="AK1881">
        <v>63.035923606857899</v>
      </c>
      <c r="AL1881">
        <v>77.271841711340102</v>
      </c>
      <c r="AM1881">
        <v>89.230181191380694</v>
      </c>
      <c r="AN1881">
        <v>0.99999995930622199</v>
      </c>
    </row>
    <row r="1882" spans="1:40" x14ac:dyDescent="0.25">
      <c r="A1882" t="str">
        <f>"20190303170759336"</f>
        <v>20190303170759336</v>
      </c>
      <c r="B1882" t="str">
        <f>"1551604079324343"</f>
        <v>1551604079324343</v>
      </c>
      <c r="C1882" t="s">
        <v>40</v>
      </c>
      <c r="D1882">
        <v>4.1917339999999896</v>
      </c>
      <c r="E1882">
        <v>0.44884459999999998</v>
      </c>
      <c r="F1882" t="s">
        <v>70</v>
      </c>
      <c r="G1882">
        <v>-511.95890000000003</v>
      </c>
      <c r="H1882">
        <v>0.75604009999999999</v>
      </c>
      <c r="I1882">
        <v>276.30349999999999</v>
      </c>
      <c r="J1882">
        <v>-449.83780000000002</v>
      </c>
      <c r="K1882">
        <v>1.1213340000000001</v>
      </c>
      <c r="L1882">
        <v>285.06979999999999</v>
      </c>
      <c r="M1882">
        <v>-0.9998766</v>
      </c>
      <c r="N1882">
        <v>-1.461405E-2</v>
      </c>
      <c r="O1882">
        <v>-5.7685669999999996E-3</v>
      </c>
      <c r="P1882">
        <v>-0.97888790000000003</v>
      </c>
      <c r="Q1882">
        <v>0.2043093</v>
      </c>
      <c r="R1882">
        <v>6.0111460000000002E-3</v>
      </c>
      <c r="S1882">
        <v>-3.072937</v>
      </c>
      <c r="T1882">
        <v>-1.7983679999999998E-2</v>
      </c>
      <c r="U1882">
        <v>-0.43173220000000001</v>
      </c>
      <c r="V1882">
        <v>1.165866E-2</v>
      </c>
      <c r="W1882">
        <v>0.2185927</v>
      </c>
      <c r="X1882">
        <v>0.97574660000000002</v>
      </c>
      <c r="Y1882">
        <v>-0.13340539999999901</v>
      </c>
      <c r="Z1882">
        <v>-1.4184079999999999E-3</v>
      </c>
      <c r="AA1882">
        <v>0.99106059999999996</v>
      </c>
      <c r="AB1882">
        <v>34</v>
      </c>
      <c r="AC1882">
        <v>-62.121099999999998</v>
      </c>
      <c r="AD1882">
        <v>-0.3652939</v>
      </c>
      <c r="AE1882">
        <v>-8.7662999999999993</v>
      </c>
      <c r="AF1882">
        <v>-8.4074810813189291</v>
      </c>
      <c r="AG1882">
        <v>-0.3652939</v>
      </c>
      <c r="AH1882">
        <v>62.168532852819197</v>
      </c>
      <c r="AI1882">
        <v>90.333621472022699</v>
      </c>
      <c r="AJ1882">
        <v>97.701779060062606</v>
      </c>
      <c r="AK1882">
        <v>62.735521475780999</v>
      </c>
      <c r="AL1882">
        <v>77.373611833034502</v>
      </c>
      <c r="AM1882">
        <v>89.315436787820303</v>
      </c>
      <c r="AN1882">
        <v>1.0000000601289201</v>
      </c>
    </row>
    <row r="1883" spans="1:40" x14ac:dyDescent="0.25">
      <c r="A1883" t="str">
        <f>"20190303170759359"</f>
        <v>20190303170759359</v>
      </c>
      <c r="B1883" t="str">
        <f>"1551604079344839"</f>
        <v>1551604079344839</v>
      </c>
      <c r="C1883" t="s">
        <v>40</v>
      </c>
      <c r="D1883">
        <v>4.2040129999999998</v>
      </c>
      <c r="E1883">
        <v>0.44906509999999999</v>
      </c>
      <c r="F1883" t="s">
        <v>70</v>
      </c>
      <c r="G1883">
        <v>-511.9588</v>
      </c>
      <c r="H1883">
        <v>0.62834679999999998</v>
      </c>
      <c r="I1883">
        <v>276.31920000000002</v>
      </c>
      <c r="J1883">
        <v>-450.18079999999998</v>
      </c>
      <c r="K1883">
        <v>1.1213280000000001</v>
      </c>
      <c r="L1883">
        <v>285.06779999999998</v>
      </c>
      <c r="M1883">
        <v>-0.99987669999999995</v>
      </c>
      <c r="N1883">
        <v>-1.461052E-2</v>
      </c>
      <c r="O1883">
        <v>-5.7647749999999998E-3</v>
      </c>
      <c r="P1883">
        <v>-0.9790084</v>
      </c>
      <c r="Q1883">
        <v>0.20375090000000001</v>
      </c>
      <c r="R1883">
        <v>5.303721E-3</v>
      </c>
      <c r="S1883">
        <v>-3.072479</v>
      </c>
      <c r="T1883">
        <v>-2.4378899999999998E-2</v>
      </c>
      <c r="U1883">
        <v>-0.43280030000000003</v>
      </c>
      <c r="V1883">
        <v>1.095029E-2</v>
      </c>
      <c r="W1883">
        <v>0.2180319</v>
      </c>
      <c r="X1883">
        <v>0.97588019999999998</v>
      </c>
      <c r="Y1883">
        <v>-0.133763299999999</v>
      </c>
      <c r="Z1883">
        <v>-1.5484520000000001E-3</v>
      </c>
      <c r="AA1883">
        <v>0.99101209999999995</v>
      </c>
      <c r="AB1883">
        <v>34</v>
      </c>
      <c r="AC1883">
        <v>-61.777999999999999</v>
      </c>
      <c r="AD1883">
        <v>-0.49298120000000001</v>
      </c>
      <c r="AE1883">
        <v>-8.74859999999995</v>
      </c>
      <c r="AF1883">
        <v>-8.3917564621778808</v>
      </c>
      <c r="AG1883">
        <v>-0.49298120000000001</v>
      </c>
      <c r="AH1883">
        <v>61.823552906827402</v>
      </c>
      <c r="AI1883">
        <v>90.452715697922201</v>
      </c>
      <c r="AJ1883">
        <v>97.729926591739698</v>
      </c>
      <c r="AK1883">
        <v>62.392437851131803</v>
      </c>
      <c r="AL1883">
        <v>77.406536627892706</v>
      </c>
      <c r="AM1883">
        <v>89.357114662896393</v>
      </c>
      <c r="AN1883">
        <v>0.999999991510367</v>
      </c>
    </row>
    <row r="1884" spans="1:40" x14ac:dyDescent="0.25">
      <c r="A1884" t="str">
        <f>"20190303170759381"</f>
        <v>20190303170759381</v>
      </c>
      <c r="B1884" t="str">
        <f>"1551604079374119"</f>
        <v>1551604079374119</v>
      </c>
      <c r="C1884" t="s">
        <v>40</v>
      </c>
      <c r="D1884">
        <v>4.2168260000000002</v>
      </c>
      <c r="E1884">
        <v>0.44946900000000001</v>
      </c>
      <c r="F1884" t="s">
        <v>70</v>
      </c>
      <c r="G1884">
        <v>-511.9588</v>
      </c>
      <c r="H1884">
        <v>0.58351399999999998</v>
      </c>
      <c r="I1884">
        <v>276.35980000000001</v>
      </c>
      <c r="J1884">
        <v>-450.5342</v>
      </c>
      <c r="K1884">
        <v>1.1213329999999999</v>
      </c>
      <c r="L1884">
        <v>285.06569999999999</v>
      </c>
      <c r="M1884">
        <v>-0.99987680000000001</v>
      </c>
      <c r="N1884">
        <v>-1.4606869999999999E-2</v>
      </c>
      <c r="O1884">
        <v>-5.7619489999999997E-3</v>
      </c>
      <c r="P1884">
        <v>-0.97876289999999999</v>
      </c>
      <c r="Q1884">
        <v>0.20493149999999999</v>
      </c>
      <c r="R1884">
        <v>5.1343090000000001E-3</v>
      </c>
      <c r="S1884">
        <v>-3.0722049999999999</v>
      </c>
      <c r="T1884">
        <v>-2.6741270000000001E-2</v>
      </c>
      <c r="U1884">
        <v>-0.4330444</v>
      </c>
      <c r="V1884">
        <v>1.077854E-2</v>
      </c>
      <c r="W1884">
        <v>0.21920590000000001</v>
      </c>
      <c r="X1884">
        <v>0.97561909999999996</v>
      </c>
      <c r="Y1884">
        <v>-0.133854</v>
      </c>
      <c r="Z1884">
        <v>-1.596042E-3</v>
      </c>
      <c r="AA1884">
        <v>0.99099979999999999</v>
      </c>
      <c r="AB1884">
        <v>34</v>
      </c>
      <c r="AC1884">
        <v>-61.424599999999998</v>
      </c>
      <c r="AD1884">
        <v>-0.53781899999999905</v>
      </c>
      <c r="AE1884">
        <v>-8.7058999999999802</v>
      </c>
      <c r="AF1884">
        <v>-8.3511646852874595</v>
      </c>
      <c r="AG1884">
        <v>-0.53781899999999905</v>
      </c>
      <c r="AH1884">
        <v>61.469128796685602</v>
      </c>
      <c r="AI1884">
        <v>90.496728770196597</v>
      </c>
      <c r="AJ1884">
        <v>97.736806148104293</v>
      </c>
      <c r="AK1884">
        <v>62.036158777773103</v>
      </c>
      <c r="AL1884">
        <v>77.337604231104606</v>
      </c>
      <c r="AM1884">
        <v>89.367027841795903</v>
      </c>
      <c r="AN1884">
        <v>1.0000000159020701</v>
      </c>
    </row>
    <row r="1885" spans="1:40" x14ac:dyDescent="0.25">
      <c r="A1885" t="str">
        <f>"20190303170759405"</f>
        <v>20190303170759405</v>
      </c>
      <c r="B1885" t="str">
        <f>"1551604079394616"</f>
        <v>1551604079394616</v>
      </c>
      <c r="C1885" t="s">
        <v>40</v>
      </c>
      <c r="D1885">
        <v>4.2233049999999999</v>
      </c>
      <c r="E1885">
        <v>0.44965309999999997</v>
      </c>
      <c r="F1885" t="s">
        <v>70</v>
      </c>
      <c r="G1885">
        <v>-511.9588</v>
      </c>
      <c r="H1885">
        <v>0.67572140000000003</v>
      </c>
      <c r="I1885">
        <v>276.4606</v>
      </c>
      <c r="J1885">
        <v>-450.8904</v>
      </c>
      <c r="K1885">
        <v>1.1213409999999999</v>
      </c>
      <c r="L1885">
        <v>285.06369999999998</v>
      </c>
      <c r="M1885">
        <v>-0.99987700000000002</v>
      </c>
      <c r="N1885">
        <v>-1.4603079999999999E-2</v>
      </c>
      <c r="O1885">
        <v>-5.7608030000000001E-3</v>
      </c>
      <c r="P1885">
        <v>-0.97852490000000003</v>
      </c>
      <c r="Q1885">
        <v>0.20606830000000001</v>
      </c>
      <c r="R1885">
        <v>5.0325680000000003E-3</v>
      </c>
      <c r="S1885">
        <v>-3.0719910000000001</v>
      </c>
      <c r="T1885">
        <v>-2.2282E-2</v>
      </c>
      <c r="U1885">
        <v>-0.43035889999999999</v>
      </c>
      <c r="V1885">
        <v>1.0675830000000001E-2</v>
      </c>
      <c r="W1885">
        <v>0.2203349</v>
      </c>
      <c r="X1885">
        <v>0.97536590000000001</v>
      </c>
      <c r="Y1885">
        <v>-0.1330181</v>
      </c>
      <c r="Z1885">
        <v>-1.498259E-3</v>
      </c>
      <c r="AA1885">
        <v>0.99111249999999995</v>
      </c>
      <c r="AB1885">
        <v>34</v>
      </c>
      <c r="AC1885">
        <v>-61.068399999999997</v>
      </c>
      <c r="AD1885">
        <v>-0.44561959999999901</v>
      </c>
      <c r="AE1885">
        <v>-8.60309999999998</v>
      </c>
      <c r="AF1885">
        <v>-8.2506859787597904</v>
      </c>
      <c r="AG1885">
        <v>-0.44561959999999901</v>
      </c>
      <c r="AH1885">
        <v>61.113761678491997</v>
      </c>
      <c r="AI1885">
        <v>90.414016981386794</v>
      </c>
      <c r="AJ1885">
        <v>97.688749914493101</v>
      </c>
      <c r="AK1885">
        <v>61.669800246502497</v>
      </c>
      <c r="AL1885">
        <v>77.271296482903907</v>
      </c>
      <c r="AM1885">
        <v>89.372896287951605</v>
      </c>
      <c r="AN1885">
        <v>1.0000000401935001</v>
      </c>
    </row>
    <row r="1886" spans="1:40" x14ac:dyDescent="0.25">
      <c r="A1886" t="str">
        <f>"20190303170759427"</f>
        <v>20190303170759427</v>
      </c>
      <c r="B1886" t="str">
        <f>"1551604079414135"</f>
        <v>1551604079414135</v>
      </c>
      <c r="C1886" t="s">
        <v>40</v>
      </c>
      <c r="D1886">
        <v>4.2322170000000003</v>
      </c>
      <c r="E1886">
        <v>0.4498067</v>
      </c>
      <c r="F1886" t="s">
        <v>70</v>
      </c>
      <c r="G1886">
        <v>-511.95890000000003</v>
      </c>
      <c r="H1886">
        <v>0.74757969999999996</v>
      </c>
      <c r="I1886">
        <v>276.53460000000001</v>
      </c>
      <c r="J1886">
        <v>-451.2269</v>
      </c>
      <c r="K1886">
        <v>1.121337</v>
      </c>
      <c r="L1886">
        <v>285.06169999999997</v>
      </c>
      <c r="M1886">
        <v>-0.99987689999999996</v>
      </c>
      <c r="N1886">
        <v>-1.4599559999999999E-2</v>
      </c>
      <c r="O1886">
        <v>-5.7602690000000002E-3</v>
      </c>
      <c r="P1886">
        <v>-0.97870610000000002</v>
      </c>
      <c r="Q1886">
        <v>0.20523040000000001</v>
      </c>
      <c r="R1886">
        <v>3.8795829999999998E-3</v>
      </c>
      <c r="S1886">
        <v>-3.0720209999999999</v>
      </c>
      <c r="T1886">
        <v>-1.879776E-2</v>
      </c>
      <c r="U1886">
        <v>-0.4290466</v>
      </c>
      <c r="V1886">
        <v>9.5242759999999999E-3</v>
      </c>
      <c r="W1886">
        <v>0.2194962</v>
      </c>
      <c r="X1886">
        <v>0.97556690000000001</v>
      </c>
      <c r="Y1886">
        <v>-0.13260420000000001</v>
      </c>
      <c r="Z1886">
        <v>-1.425111E-3</v>
      </c>
      <c r="AA1886">
        <v>0.9911681</v>
      </c>
      <c r="AB1886">
        <v>34</v>
      </c>
      <c r="AC1886">
        <v>-60.731999999999999</v>
      </c>
      <c r="AD1886">
        <v>-0.37375730000000001</v>
      </c>
      <c r="AE1886">
        <v>-8.5270999999999599</v>
      </c>
      <c r="AF1886">
        <v>-8.1767848777385002</v>
      </c>
      <c r="AG1886">
        <v>-0.37375730000000001</v>
      </c>
      <c r="AH1886">
        <v>60.777858418995201</v>
      </c>
      <c r="AI1886">
        <v>90.349193671783794</v>
      </c>
      <c r="AJ1886">
        <v>97.662313542352905</v>
      </c>
      <c r="AK1886">
        <v>61.326565038778703</v>
      </c>
      <c r="AL1886">
        <v>77.320556322073102</v>
      </c>
      <c r="AM1886">
        <v>89.440649860772595</v>
      </c>
      <c r="AN1886">
        <v>1.00000003501168</v>
      </c>
    </row>
    <row r="1887" spans="1:40" x14ac:dyDescent="0.25">
      <c r="A1887" t="str">
        <f>"20190303170759448"</f>
        <v>20190303170759448</v>
      </c>
      <c r="B1887" t="str">
        <f>"1551604079434633"</f>
        <v>1551604079434633</v>
      </c>
      <c r="C1887" t="s">
        <v>40</v>
      </c>
      <c r="D1887">
        <v>4.206607</v>
      </c>
      <c r="E1887">
        <v>0.44997140000000002</v>
      </c>
      <c r="F1887" t="s">
        <v>70</v>
      </c>
      <c r="G1887">
        <v>-511.95890000000003</v>
      </c>
      <c r="H1887">
        <v>0.69045310000000004</v>
      </c>
      <c r="I1887">
        <v>276.53680000000003</v>
      </c>
      <c r="J1887">
        <v>-451.5394</v>
      </c>
      <c r="K1887">
        <v>1.1213310000000001</v>
      </c>
      <c r="L1887">
        <v>285.05990000000003</v>
      </c>
      <c r="M1887">
        <v>-0.99987689999999996</v>
      </c>
      <c r="N1887">
        <v>-1.4596110000000001E-2</v>
      </c>
      <c r="O1887">
        <v>-5.7604619999999896E-3</v>
      </c>
      <c r="P1887">
        <v>-0.97885999999999995</v>
      </c>
      <c r="Q1887">
        <v>0.2045083</v>
      </c>
      <c r="R1887">
        <v>3.092666E-3</v>
      </c>
      <c r="S1887">
        <v>-3.071564</v>
      </c>
      <c r="T1887">
        <v>-2.1788120000000001E-2</v>
      </c>
      <c r="U1887">
        <v>-0.43115229999999999</v>
      </c>
      <c r="V1887">
        <v>8.7389700000000004E-3</v>
      </c>
      <c r="W1887">
        <v>0.2187732</v>
      </c>
      <c r="X1887">
        <v>0.97573659999999995</v>
      </c>
      <c r="Y1887">
        <v>-0.13328870000000001</v>
      </c>
      <c r="Z1887">
        <v>-1.4910399999999999E-3</v>
      </c>
      <c r="AA1887">
        <v>0.99107610000000002</v>
      </c>
      <c r="AB1887">
        <v>34</v>
      </c>
      <c r="AC1887">
        <v>-60.419499999999999</v>
      </c>
      <c r="AD1887">
        <v>-0.43087789999999898</v>
      </c>
      <c r="AE1887">
        <v>-8.5230999999999995</v>
      </c>
      <c r="AF1887">
        <v>-8.1744696303654099</v>
      </c>
      <c r="AG1887">
        <v>-0.43087789999999898</v>
      </c>
      <c r="AH1887">
        <v>60.464584480207897</v>
      </c>
      <c r="AI1887">
        <v>90.404608948852697</v>
      </c>
      <c r="AJ1887">
        <v>97.699383084734706</v>
      </c>
      <c r="AK1887">
        <v>61.0161747888761</v>
      </c>
      <c r="AL1887">
        <v>77.363012617996105</v>
      </c>
      <c r="AM1887">
        <v>89.486856687657394</v>
      </c>
      <c r="AN1887">
        <v>0.99999999760723002</v>
      </c>
    </row>
    <row r="1888" spans="1:40" x14ac:dyDescent="0.25">
      <c r="A1888" t="str">
        <f>"20190303170759470"</f>
        <v>20190303170759470</v>
      </c>
      <c r="B1888" t="str">
        <f>"1551604079464887"</f>
        <v>1551604079464887</v>
      </c>
      <c r="C1888" t="s">
        <v>40</v>
      </c>
      <c r="D1888">
        <v>4.2735130000000003</v>
      </c>
      <c r="E1888">
        <v>0.45010739999999999</v>
      </c>
      <c r="F1888" t="s">
        <v>70</v>
      </c>
      <c r="G1888">
        <v>-511.9588</v>
      </c>
      <c r="H1888">
        <v>0.63942650000000001</v>
      </c>
      <c r="I1888">
        <v>276.5523</v>
      </c>
      <c r="J1888">
        <v>-451.88729999999998</v>
      </c>
      <c r="K1888">
        <v>1.1213340000000001</v>
      </c>
      <c r="L1888">
        <v>285.05790000000002</v>
      </c>
      <c r="M1888">
        <v>-0.99987700000000002</v>
      </c>
      <c r="N1888">
        <v>-1.4592310000000001E-2</v>
      </c>
      <c r="O1888">
        <v>-5.7605399999999998E-3</v>
      </c>
      <c r="P1888">
        <v>-0.97875259999999997</v>
      </c>
      <c r="Q1888">
        <v>0.20502280000000001</v>
      </c>
      <c r="R1888">
        <v>3.018958E-3</v>
      </c>
      <c r="S1888">
        <v>-3.0712890000000002</v>
      </c>
      <c r="T1888">
        <v>-2.4492380000000001E-2</v>
      </c>
      <c r="U1888">
        <v>-0.43246459999999998</v>
      </c>
      <c r="V1888">
        <v>8.6651999999999996E-3</v>
      </c>
      <c r="W1888">
        <v>0.2192827</v>
      </c>
      <c r="X1888">
        <v>0.97562289999999996</v>
      </c>
      <c r="Y1888">
        <v>-0.13371429999999901</v>
      </c>
      <c r="Z1888">
        <v>-1.5489739999999901E-3</v>
      </c>
      <c r="AA1888">
        <v>0.99101870000000003</v>
      </c>
      <c r="AB1888">
        <v>34</v>
      </c>
      <c r="AC1888">
        <v>-60.0715</v>
      </c>
      <c r="AD1888">
        <v>-0.48190749999999999</v>
      </c>
      <c r="AE1888">
        <v>-8.50560000000001</v>
      </c>
      <c r="AF1888">
        <v>-8.1588629872337695</v>
      </c>
      <c r="AG1888">
        <v>-0.48190749999999999</v>
      </c>
      <c r="AH1888">
        <v>60.115712360752703</v>
      </c>
      <c r="AI1888">
        <v>90.455119855889507</v>
      </c>
      <c r="AJ1888">
        <v>97.728919646322296</v>
      </c>
      <c r="AK1888">
        <v>60.6687576329346</v>
      </c>
      <c r="AL1888">
        <v>77.333094182087194</v>
      </c>
      <c r="AM1888">
        <v>89.491128863041496</v>
      </c>
      <c r="AN1888">
        <v>1.0000000156073601</v>
      </c>
    </row>
    <row r="1889" spans="1:40" x14ac:dyDescent="0.25">
      <c r="A1889" t="str">
        <f>"20190303170759494"</f>
        <v>20190303170759494</v>
      </c>
      <c r="B1889" t="str">
        <f>"1551604079484407"</f>
        <v>1551604079484407</v>
      </c>
      <c r="C1889" t="s">
        <v>40</v>
      </c>
      <c r="D1889">
        <v>4.2674409999999998</v>
      </c>
      <c r="E1889">
        <v>0.45012190000000002</v>
      </c>
      <c r="F1889" t="s">
        <v>70</v>
      </c>
      <c r="G1889">
        <v>-511.9588</v>
      </c>
      <c r="H1889">
        <v>0.67467460000000001</v>
      </c>
      <c r="I1889">
        <v>276.60680000000002</v>
      </c>
      <c r="J1889">
        <v>-452.24349999999998</v>
      </c>
      <c r="K1889">
        <v>1.121335</v>
      </c>
      <c r="L1889">
        <v>285.05579999999998</v>
      </c>
      <c r="M1889">
        <v>-0.99987720000000002</v>
      </c>
      <c r="N1889">
        <v>-1.4588469999999999E-2</v>
      </c>
      <c r="O1889">
        <v>-5.760622E-3</v>
      </c>
      <c r="P1889">
        <v>-0.97872179999999998</v>
      </c>
      <c r="Q1889">
        <v>0.20517440000000001</v>
      </c>
      <c r="R1889">
        <v>2.77897E-3</v>
      </c>
      <c r="S1889">
        <v>-3.0712280000000001</v>
      </c>
      <c r="T1889">
        <v>-2.2831799999999999E-2</v>
      </c>
      <c r="U1889">
        <v>-0.4320679</v>
      </c>
      <c r="V1889">
        <v>8.4255210000000001E-3</v>
      </c>
      <c r="W1889">
        <v>0.21942970000000001</v>
      </c>
      <c r="X1889">
        <v>0.97559200000000001</v>
      </c>
      <c r="Y1889">
        <v>-0.1335925</v>
      </c>
      <c r="Z1889">
        <v>-1.5144819999999999E-3</v>
      </c>
      <c r="AA1889">
        <v>0.99103520000000001</v>
      </c>
      <c r="AB1889">
        <v>34</v>
      </c>
      <c r="AC1889">
        <v>-59.715299999999999</v>
      </c>
      <c r="AD1889">
        <v>-0.44666040000000001</v>
      </c>
      <c r="AE1889">
        <v>-8.4489999999999501</v>
      </c>
      <c r="AF1889">
        <v>-8.1043814466124093</v>
      </c>
      <c r="AG1889">
        <v>-0.44666040000000001</v>
      </c>
      <c r="AH1889">
        <v>59.759707816036801</v>
      </c>
      <c r="AI1889">
        <v>90.424351989310694</v>
      </c>
      <c r="AJ1889">
        <v>97.723115801221596</v>
      </c>
      <c r="AK1889">
        <v>60.308400595631902</v>
      </c>
      <c r="AL1889">
        <v>77.324462107635497</v>
      </c>
      <c r="AM1889">
        <v>89.505187832626703</v>
      </c>
      <c r="AN1889">
        <v>1.0000000665551001</v>
      </c>
    </row>
    <row r="1890" spans="1:40" x14ac:dyDescent="0.25">
      <c r="A1890" t="str">
        <f>"20190303170759516"</f>
        <v>20190303170759516</v>
      </c>
      <c r="B1890" t="str">
        <f>"1551604079504904"</f>
        <v>1551604079504904</v>
      </c>
      <c r="C1890" t="s">
        <v>40</v>
      </c>
      <c r="D1890">
        <v>4.3196130000000004</v>
      </c>
      <c r="E1890">
        <v>0.4501734</v>
      </c>
      <c r="F1890" t="s">
        <v>70</v>
      </c>
      <c r="G1890">
        <v>-511.95890000000003</v>
      </c>
      <c r="H1890">
        <v>0.6827799</v>
      </c>
      <c r="I1890">
        <v>276.64879999999999</v>
      </c>
      <c r="J1890">
        <v>-452.58069999999998</v>
      </c>
      <c r="K1890">
        <v>1.121332</v>
      </c>
      <c r="L1890">
        <v>285.0539</v>
      </c>
      <c r="M1890">
        <v>-0.99987720000000002</v>
      </c>
      <c r="N1890">
        <v>-1.458482E-2</v>
      </c>
      <c r="O1890">
        <v>-5.760589E-3</v>
      </c>
      <c r="P1890">
        <v>-0.97877769999999997</v>
      </c>
      <c r="Q1890">
        <v>0.20490839999999999</v>
      </c>
      <c r="R1890">
        <v>2.656636E-3</v>
      </c>
      <c r="S1890">
        <v>-3.071167</v>
      </c>
      <c r="T1890">
        <v>-2.25507E-2</v>
      </c>
      <c r="U1890">
        <v>-0.43237300000000001</v>
      </c>
      <c r="V1890">
        <v>8.3036569999999903E-3</v>
      </c>
      <c r="W1890">
        <v>0.2191612</v>
      </c>
      <c r="X1890">
        <v>0.9756534</v>
      </c>
      <c r="Y1890">
        <v>-0.13369200000000001</v>
      </c>
      <c r="Z1890">
        <v>-1.509762E-3</v>
      </c>
      <c r="AA1890">
        <v>0.99102179999999995</v>
      </c>
      <c r="AB1890">
        <v>34</v>
      </c>
      <c r="AC1890">
        <v>-59.3782</v>
      </c>
      <c r="AD1890">
        <v>-0.4385521</v>
      </c>
      <c r="AE1890">
        <v>-8.4050999999999991</v>
      </c>
      <c r="AF1890">
        <v>-8.0624396120285802</v>
      </c>
      <c r="AG1890">
        <v>-0.4385521</v>
      </c>
      <c r="AH1890">
        <v>59.4224602630782</v>
      </c>
      <c r="AI1890">
        <v>90.4190099425374</v>
      </c>
      <c r="AJ1890">
        <v>97.726708280295895</v>
      </c>
      <c r="AK1890">
        <v>59.968525445929799</v>
      </c>
      <c r="AL1890">
        <v>77.340229872962297</v>
      </c>
      <c r="AM1890">
        <v>89.512374974749804</v>
      </c>
      <c r="AN1890">
        <v>1.00000006961828</v>
      </c>
    </row>
    <row r="1891" spans="1:40" x14ac:dyDescent="0.25">
      <c r="A1891" t="str">
        <f>"20190303170759537"</f>
        <v>20190303170759537</v>
      </c>
      <c r="B1891" t="str">
        <f>"1551604079524423"</f>
        <v>1551604079524423</v>
      </c>
      <c r="C1891" t="s">
        <v>40</v>
      </c>
      <c r="D1891">
        <v>4.283989</v>
      </c>
      <c r="E1891">
        <v>0.4501677</v>
      </c>
      <c r="F1891" t="s">
        <v>70</v>
      </c>
      <c r="G1891">
        <v>-511.9588</v>
      </c>
      <c r="H1891">
        <v>0.65602199999999999</v>
      </c>
      <c r="I1891">
        <v>276.70229999999998</v>
      </c>
      <c r="J1891">
        <v>-452.88920000000002</v>
      </c>
      <c r="K1891">
        <v>1.121329</v>
      </c>
      <c r="L1891">
        <v>285.0521</v>
      </c>
      <c r="M1891">
        <v>-0.99987700000000002</v>
      </c>
      <c r="N1891">
        <v>-1.4581429999999999E-2</v>
      </c>
      <c r="O1891">
        <v>-5.7607980000000001E-3</v>
      </c>
      <c r="P1891">
        <v>-0.97886379999999995</v>
      </c>
      <c r="Q1891">
        <v>0.20449490000000001</v>
      </c>
      <c r="R1891">
        <v>2.7130090000000002E-3</v>
      </c>
      <c r="S1891">
        <v>-3.0712890000000002</v>
      </c>
      <c r="T1891">
        <v>-2.4063589999999999E-2</v>
      </c>
      <c r="U1891">
        <v>-0.43197629999999998</v>
      </c>
      <c r="V1891">
        <v>8.3606150000000001E-3</v>
      </c>
      <c r="W1891">
        <v>0.21874569999999999</v>
      </c>
      <c r="X1891">
        <v>0.97574609999999995</v>
      </c>
      <c r="Y1891">
        <v>-0.13355980000000001</v>
      </c>
      <c r="Z1891">
        <v>-1.5379549999999999E-3</v>
      </c>
      <c r="AA1891">
        <v>0.99103960000000002</v>
      </c>
      <c r="AB1891">
        <v>34</v>
      </c>
      <c r="AC1891">
        <v>-59.069599999999902</v>
      </c>
      <c r="AD1891">
        <v>-0.46530699999999903</v>
      </c>
      <c r="AE1891">
        <v>-8.3498000000000108</v>
      </c>
      <c r="AF1891">
        <v>-8.0088499477496899</v>
      </c>
      <c r="AG1891">
        <v>-0.46530699999999903</v>
      </c>
      <c r="AH1891">
        <v>59.1131300559992</v>
      </c>
      <c r="AI1891">
        <v>90.4469096088622</v>
      </c>
      <c r="AJ1891">
        <v>97.715649067198299</v>
      </c>
      <c r="AK1891">
        <v>59.655010963935801</v>
      </c>
      <c r="AL1891">
        <v>77.364627604455194</v>
      </c>
      <c r="AM1891">
        <v>89.509076970892394</v>
      </c>
      <c r="AN1891">
        <v>1.0000000164084299</v>
      </c>
    </row>
    <row r="1892" spans="1:40" x14ac:dyDescent="0.25">
      <c r="A1892" t="str">
        <f>"20190303170759559"</f>
        <v>20190303170759559</v>
      </c>
      <c r="B1892" t="str">
        <f>"1551604079554679"</f>
        <v>1551604079554679</v>
      </c>
      <c r="C1892" t="s">
        <v>40</v>
      </c>
      <c r="D1892">
        <v>4.3022929999999997</v>
      </c>
      <c r="E1892">
        <v>0.4500519</v>
      </c>
      <c r="F1892" t="s">
        <v>70</v>
      </c>
      <c r="G1892">
        <v>-511.9588</v>
      </c>
      <c r="H1892">
        <v>0.62635839999999998</v>
      </c>
      <c r="I1892">
        <v>276.74470000000002</v>
      </c>
      <c r="J1892">
        <v>-453.2371</v>
      </c>
      <c r="K1892">
        <v>1.121329</v>
      </c>
      <c r="L1892">
        <v>285.05020000000002</v>
      </c>
      <c r="M1892">
        <v>-0.99987720000000002</v>
      </c>
      <c r="N1892">
        <v>-1.457756E-2</v>
      </c>
      <c r="O1892">
        <v>-5.7611229999999999E-3</v>
      </c>
      <c r="P1892">
        <v>-0.97896050000000001</v>
      </c>
      <c r="Q1892">
        <v>0.2040247</v>
      </c>
      <c r="R1892">
        <v>3.2333399999999999E-3</v>
      </c>
      <c r="S1892">
        <v>-3.0713499999999998</v>
      </c>
      <c r="T1892">
        <v>-2.5731919999999998E-2</v>
      </c>
      <c r="U1892">
        <v>-0.43194579999999999</v>
      </c>
      <c r="V1892">
        <v>8.8820080000000003E-3</v>
      </c>
      <c r="W1892">
        <v>0.21827299999999999</v>
      </c>
      <c r="X1892">
        <v>0.97584729999999997</v>
      </c>
      <c r="Y1892">
        <v>-0.133546</v>
      </c>
      <c r="Z1892">
        <v>-1.5704929999999901E-3</v>
      </c>
      <c r="AA1892">
        <v>0.99104139999999996</v>
      </c>
      <c r="AB1892">
        <v>34</v>
      </c>
      <c r="AC1892">
        <v>-58.721699999999998</v>
      </c>
      <c r="AD1892">
        <v>-0.49497059999999998</v>
      </c>
      <c r="AE1892">
        <v>-8.3054999999999897</v>
      </c>
      <c r="AF1892">
        <v>-7.9664683551872004</v>
      </c>
      <c r="AG1892">
        <v>-0.49497059999999998</v>
      </c>
      <c r="AH1892">
        <v>58.7644860650352</v>
      </c>
      <c r="AI1892">
        <v>90.478214205335107</v>
      </c>
      <c r="AJ1892">
        <v>97.720296291149097</v>
      </c>
      <c r="AK1892">
        <v>59.304084483590003</v>
      </c>
      <c r="AL1892">
        <v>77.392381449061403</v>
      </c>
      <c r="AM1892">
        <v>89.478517264296798</v>
      </c>
      <c r="AN1892">
        <v>0.99999997275620001</v>
      </c>
    </row>
    <row r="1893" spans="1:40" x14ac:dyDescent="0.25">
      <c r="A1893" t="str">
        <f>"20190303170759582"</f>
        <v>20190303170759582</v>
      </c>
      <c r="B1893" t="str">
        <f>"1551604079574200"</f>
        <v>1551604079574200</v>
      </c>
      <c r="C1893" t="s">
        <v>40</v>
      </c>
      <c r="D1893">
        <v>4.321847</v>
      </c>
      <c r="E1893">
        <v>0.44997019999999999</v>
      </c>
      <c r="F1893" t="s">
        <v>70</v>
      </c>
      <c r="G1893">
        <v>-511.9588</v>
      </c>
      <c r="H1893">
        <v>0.59657109999999902</v>
      </c>
      <c r="I1893">
        <v>276.80520000000001</v>
      </c>
      <c r="J1893">
        <v>-453.58049999999997</v>
      </c>
      <c r="K1893">
        <v>1.1213169999999999</v>
      </c>
      <c r="L1893">
        <v>285.04820000000001</v>
      </c>
      <c r="M1893">
        <v>-0.99987729999999997</v>
      </c>
      <c r="N1893">
        <v>-1.45737E-2</v>
      </c>
      <c r="O1893">
        <v>-5.7613300000000003E-3</v>
      </c>
      <c r="P1893">
        <v>-0.97906249999999995</v>
      </c>
      <c r="Q1893">
        <v>0.20353389999999999</v>
      </c>
      <c r="R1893">
        <v>3.2857519999999999E-3</v>
      </c>
      <c r="S1893">
        <v>-3.071625</v>
      </c>
      <c r="T1893">
        <v>-2.7444840000000002E-2</v>
      </c>
      <c r="U1893">
        <v>-0.4312744</v>
      </c>
      <c r="V1893">
        <v>8.9352809999999998E-3</v>
      </c>
      <c r="W1893">
        <v>0.21778020000000001</v>
      </c>
      <c r="X1893">
        <v>0.97595690000000002</v>
      </c>
      <c r="Y1893">
        <v>-0.13331999999999999</v>
      </c>
      <c r="Z1893">
        <v>-1.6013620000000001E-3</v>
      </c>
      <c r="AA1893">
        <v>0.99107179999999995</v>
      </c>
      <c r="AB1893">
        <v>34</v>
      </c>
      <c r="AC1893">
        <v>-58.378300000000003</v>
      </c>
      <c r="AD1893">
        <v>-0.52474589999999999</v>
      </c>
      <c r="AE1893">
        <v>-8.2429999999999897</v>
      </c>
      <c r="AF1893">
        <v>-7.9058645407302803</v>
      </c>
      <c r="AG1893">
        <v>-0.52474589999999999</v>
      </c>
      <c r="AH1893">
        <v>58.420198687331101</v>
      </c>
      <c r="AI1893">
        <v>90.509983851838996</v>
      </c>
      <c r="AJ1893">
        <v>97.706880391993593</v>
      </c>
      <c r="AK1893">
        <v>58.955047850571603</v>
      </c>
      <c r="AL1893">
        <v>77.421312688824301</v>
      </c>
      <c r="AM1893">
        <v>89.475448570992995</v>
      </c>
      <c r="AN1893">
        <v>0.99999996270809799</v>
      </c>
    </row>
    <row r="1894" spans="1:40" x14ac:dyDescent="0.25">
      <c r="A1894" t="str">
        <f>"20190303170759603"</f>
        <v>20190303170759603</v>
      </c>
      <c r="B1894" t="str">
        <f>"1551604079594696"</f>
        <v>1551604079594696</v>
      </c>
      <c r="C1894" t="s">
        <v>40</v>
      </c>
      <c r="D1894">
        <v>4.328093</v>
      </c>
      <c r="E1894">
        <v>0.44992569999999998</v>
      </c>
      <c r="F1894" t="s">
        <v>70</v>
      </c>
      <c r="G1894">
        <v>-511.9588</v>
      </c>
      <c r="H1894">
        <v>0.56206509999999998</v>
      </c>
      <c r="I1894">
        <v>276.8383</v>
      </c>
      <c r="J1894">
        <v>-453.89830000000001</v>
      </c>
      <c r="K1894">
        <v>1.121321</v>
      </c>
      <c r="L1894">
        <v>285.04629999999997</v>
      </c>
      <c r="M1894">
        <v>-0.99987740000000003</v>
      </c>
      <c r="N1894">
        <v>-1.4570110000000001E-2</v>
      </c>
      <c r="O1894">
        <v>-5.7615399999999999E-3</v>
      </c>
      <c r="P1894">
        <v>-0.97922940000000003</v>
      </c>
      <c r="Q1894">
        <v>0.20273160000000001</v>
      </c>
      <c r="R1894">
        <v>3.1268419999999999E-3</v>
      </c>
      <c r="S1894">
        <v>-3.0717159999999999</v>
      </c>
      <c r="T1894">
        <v>-2.942204E-2</v>
      </c>
      <c r="U1894">
        <v>-0.43197629999999998</v>
      </c>
      <c r="V1894">
        <v>8.777511E-3</v>
      </c>
      <c r="W1894">
        <v>0.2169768</v>
      </c>
      <c r="X1894">
        <v>0.97613729999999999</v>
      </c>
      <c r="Y1894">
        <v>-0.1335363</v>
      </c>
      <c r="Z1894">
        <v>-1.642716E-3</v>
      </c>
      <c r="AA1894">
        <v>0.9910426</v>
      </c>
      <c r="AB1894">
        <v>34</v>
      </c>
      <c r="AC1894">
        <v>-58.060499999999898</v>
      </c>
      <c r="AD1894">
        <v>-0.55925590000000003</v>
      </c>
      <c r="AE1894">
        <v>-8.20799999999997</v>
      </c>
      <c r="AF1894">
        <v>-7.8725942640986899</v>
      </c>
      <c r="AG1894">
        <v>-0.55925590000000003</v>
      </c>
      <c r="AH1894">
        <v>58.101546750667801</v>
      </c>
      <c r="AI1894">
        <v>90.546489456604803</v>
      </c>
      <c r="AJ1894">
        <v>97.716420941001203</v>
      </c>
      <c r="AK1894">
        <v>58.635145113053497</v>
      </c>
      <c r="AL1894">
        <v>77.4684723254544</v>
      </c>
      <c r="AM1894">
        <v>89.484805282239805</v>
      </c>
      <c r="AN1894">
        <v>1.00000000244444</v>
      </c>
    </row>
    <row r="1895" spans="1:40" x14ac:dyDescent="0.25">
      <c r="A1895" t="str">
        <f>"20190303170759625"</f>
        <v>20190303170759625</v>
      </c>
      <c r="B1895" t="str">
        <f>"1551604079614216"</f>
        <v>1551604079614216</v>
      </c>
      <c r="C1895" t="s">
        <v>40</v>
      </c>
      <c r="D1895">
        <v>4.366765</v>
      </c>
      <c r="E1895">
        <v>0.44978030000000002</v>
      </c>
      <c r="F1895" t="s">
        <v>70</v>
      </c>
      <c r="G1895">
        <v>-511.9588</v>
      </c>
      <c r="H1895">
        <v>0.4988321</v>
      </c>
      <c r="I1895">
        <v>276.88209999999998</v>
      </c>
      <c r="J1895">
        <v>-454.23540000000003</v>
      </c>
      <c r="K1895">
        <v>1.121318</v>
      </c>
      <c r="L1895">
        <v>285.0444</v>
      </c>
      <c r="M1895">
        <v>-0.99987729999999997</v>
      </c>
      <c r="N1895">
        <v>-1.4566290000000001E-2</v>
      </c>
      <c r="O1895">
        <v>-5.7612729999999999E-3</v>
      </c>
      <c r="P1895">
        <v>-0.9791569</v>
      </c>
      <c r="Q1895">
        <v>0.20308219999999999</v>
      </c>
      <c r="R1895">
        <v>3.0959400000000002E-3</v>
      </c>
      <c r="S1895">
        <v>-3.0718380000000001</v>
      </c>
      <c r="T1895">
        <v>-3.2930019999999997E-2</v>
      </c>
      <c r="U1895">
        <v>-0.43194579999999999</v>
      </c>
      <c r="V1895">
        <v>8.7462249999999998E-3</v>
      </c>
      <c r="W1895">
        <v>0.21732270000000001</v>
      </c>
      <c r="X1895">
        <v>0.97606059999999994</v>
      </c>
      <c r="Y1895">
        <v>-0.1335189</v>
      </c>
      <c r="Z1895">
        <v>-1.711525E-3</v>
      </c>
      <c r="AA1895">
        <v>0.99104479999999995</v>
      </c>
      <c r="AB1895">
        <v>34</v>
      </c>
      <c r="AC1895">
        <v>-57.723399999999899</v>
      </c>
      <c r="AD1895">
        <v>-0.62248590000000004</v>
      </c>
      <c r="AE1895">
        <v>-8.1623000000000108</v>
      </c>
      <c r="AF1895">
        <v>-7.8286763759089704</v>
      </c>
      <c r="AG1895">
        <v>-0.62248590000000004</v>
      </c>
      <c r="AH1895">
        <v>57.762886269444998</v>
      </c>
      <c r="AI1895">
        <v>90.611834879266794</v>
      </c>
      <c r="AJ1895">
        <v>97.718339425396906</v>
      </c>
      <c r="AK1895">
        <v>58.294310980328497</v>
      </c>
      <c r="AL1895">
        <v>77.448168881821303</v>
      </c>
      <c r="AM1895">
        <v>89.486601172798601</v>
      </c>
      <c r="AN1895">
        <v>0.99999997362969995</v>
      </c>
    </row>
    <row r="1896" spans="1:40" x14ac:dyDescent="0.25">
      <c r="A1896" t="str">
        <f>"20190303170759649"</f>
        <v>20190303170759649</v>
      </c>
      <c r="B1896" t="str">
        <f>"1551604079644471"</f>
        <v>1551604079644471</v>
      </c>
      <c r="C1896" t="s">
        <v>40</v>
      </c>
      <c r="D1896">
        <v>4.4311730000000003</v>
      </c>
      <c r="E1896">
        <v>0.4495363</v>
      </c>
      <c r="F1896" t="s">
        <v>70</v>
      </c>
      <c r="G1896">
        <v>-511.9588</v>
      </c>
      <c r="H1896">
        <v>0.51552359999999997</v>
      </c>
      <c r="I1896">
        <v>276.90269999999998</v>
      </c>
      <c r="J1896">
        <v>-454.57850000000002</v>
      </c>
      <c r="K1896">
        <v>1.1213219999999999</v>
      </c>
      <c r="L1896">
        <v>285.04239999999999</v>
      </c>
      <c r="M1896">
        <v>-0.99987749999999997</v>
      </c>
      <c r="N1896">
        <v>-1.456242E-2</v>
      </c>
      <c r="O1896">
        <v>-5.7614809999999997E-3</v>
      </c>
      <c r="P1896">
        <v>-0.97906749999999998</v>
      </c>
      <c r="Q1896">
        <v>0.2034996</v>
      </c>
      <c r="R1896">
        <v>3.8986889999999999E-3</v>
      </c>
      <c r="S1896">
        <v>-3.0719599999999998</v>
      </c>
      <c r="T1896">
        <v>-3.2235149999999997E-2</v>
      </c>
      <c r="U1896">
        <v>-0.43328860000000002</v>
      </c>
      <c r="V1896">
        <v>9.5486419999999995E-3</v>
      </c>
      <c r="W1896">
        <v>0.21773500000000001</v>
      </c>
      <c r="X1896">
        <v>0.97596119999999997</v>
      </c>
      <c r="Y1896">
        <v>-0.13393849999999999</v>
      </c>
      <c r="Z1896">
        <v>-1.702755E-3</v>
      </c>
      <c r="AA1896">
        <v>0.99098819999999999</v>
      </c>
      <c r="AB1896">
        <v>34</v>
      </c>
      <c r="AC1896">
        <v>-57.380299999999899</v>
      </c>
      <c r="AD1896">
        <v>-0.60579839999999996</v>
      </c>
      <c r="AE1896">
        <v>-8.1396999999999995</v>
      </c>
      <c r="AF1896">
        <v>-7.8080812065367597</v>
      </c>
      <c r="AG1896">
        <v>-0.60579839999999996</v>
      </c>
      <c r="AH1896">
        <v>57.419975173531199</v>
      </c>
      <c r="AI1896">
        <v>90.598953787401399</v>
      </c>
      <c r="AJ1896">
        <v>97.743696129074607</v>
      </c>
      <c r="AK1896">
        <v>57.951589044289797</v>
      </c>
      <c r="AL1896">
        <v>77.423966422547096</v>
      </c>
      <c r="AM1896">
        <v>89.439445511741795</v>
      </c>
      <c r="AN1896">
        <v>0.99999998534724199</v>
      </c>
    </row>
    <row r="1897" spans="1:40" x14ac:dyDescent="0.25">
      <c r="A1897" t="str">
        <f>"20190303170759671"</f>
        <v>20190303170759671</v>
      </c>
      <c r="B1897" t="str">
        <f>"1551604079664967"</f>
        <v>1551604079664967</v>
      </c>
      <c r="C1897" t="s">
        <v>40</v>
      </c>
      <c r="D1897">
        <v>4.4480360000000001</v>
      </c>
      <c r="E1897">
        <v>0.44939800000000002</v>
      </c>
      <c r="F1897" t="s">
        <v>70</v>
      </c>
      <c r="G1897">
        <v>-511.9588</v>
      </c>
      <c r="H1897">
        <v>0.53997469999999903</v>
      </c>
      <c r="I1897">
        <v>276.96370000000002</v>
      </c>
      <c r="J1897">
        <v>-454.92129999999997</v>
      </c>
      <c r="K1897">
        <v>1.1213280000000001</v>
      </c>
      <c r="L1897">
        <v>285.04039999999998</v>
      </c>
      <c r="M1897">
        <v>-0.99987749999999997</v>
      </c>
      <c r="N1897">
        <v>-1.455854E-2</v>
      </c>
      <c r="O1897">
        <v>-5.7615710000000001E-3</v>
      </c>
      <c r="P1897">
        <v>-0.97913519999999998</v>
      </c>
      <c r="Q1897">
        <v>0.2031751</v>
      </c>
      <c r="R1897">
        <v>3.812869E-3</v>
      </c>
      <c r="S1897">
        <v>-3.072327</v>
      </c>
      <c r="T1897">
        <v>-3.1122799999999999E-2</v>
      </c>
      <c r="U1897">
        <v>-0.4325562</v>
      </c>
      <c r="V1897">
        <v>9.4634000000000003E-3</v>
      </c>
      <c r="W1897">
        <v>0.2174074</v>
      </c>
      <c r="X1897">
        <v>0.97603510000000004</v>
      </c>
      <c r="Y1897">
        <v>-0.13369130000000001</v>
      </c>
      <c r="Z1897">
        <v>-1.677284E-3</v>
      </c>
      <c r="AA1897">
        <v>0.99102159999999995</v>
      </c>
      <c r="AB1897">
        <v>34</v>
      </c>
      <c r="AC1897">
        <v>-57.037500000000001</v>
      </c>
      <c r="AD1897">
        <v>-0.58135329999999996</v>
      </c>
      <c r="AE1897">
        <v>-8.0766999999999598</v>
      </c>
      <c r="AF1897">
        <v>-7.7471165029466702</v>
      </c>
      <c r="AG1897">
        <v>-0.58135329999999996</v>
      </c>
      <c r="AH1897">
        <v>57.077279498575301</v>
      </c>
      <c r="AI1897">
        <v>90.578256768525804</v>
      </c>
      <c r="AJ1897">
        <v>97.729538180934398</v>
      </c>
      <c r="AK1897">
        <v>57.603572985780403</v>
      </c>
      <c r="AL1897">
        <v>77.443197709909597</v>
      </c>
      <c r="AM1897">
        <v>89.444491401927905</v>
      </c>
      <c r="AN1897">
        <v>1.00000002497316</v>
      </c>
    </row>
    <row r="1898" spans="1:40" x14ac:dyDescent="0.25">
      <c r="A1898" t="str">
        <f>"20190303170759695"</f>
        <v>20190303170759695</v>
      </c>
      <c r="B1898" t="str">
        <f>"1551604079684488"</f>
        <v>1551604079684488</v>
      </c>
      <c r="C1898" t="s">
        <v>40</v>
      </c>
      <c r="D1898">
        <v>4.4683400000000004</v>
      </c>
      <c r="E1898">
        <v>0.44922010000000001</v>
      </c>
      <c r="F1898" t="s">
        <v>70</v>
      </c>
      <c r="G1898">
        <v>-511.9588</v>
      </c>
      <c r="H1898">
        <v>0.52006669999999999</v>
      </c>
      <c r="I1898">
        <v>276.98570000000001</v>
      </c>
      <c r="J1898">
        <v>-455.26769999999999</v>
      </c>
      <c r="K1898">
        <v>1.1213249999999999</v>
      </c>
      <c r="L1898">
        <v>285.03840000000002</v>
      </c>
      <c r="M1898">
        <v>-0.99987760000000003</v>
      </c>
      <c r="N1898">
        <v>-1.4554630000000001E-2</v>
      </c>
      <c r="O1898">
        <v>-5.7615409999999898E-3</v>
      </c>
      <c r="P1898">
        <v>-0.97924540000000004</v>
      </c>
      <c r="Q1898">
        <v>0.20266300000000001</v>
      </c>
      <c r="R1898">
        <v>2.5340520000000002E-3</v>
      </c>
      <c r="S1898">
        <v>-3.0723569999999998</v>
      </c>
      <c r="T1898">
        <v>-3.2382849999999998E-2</v>
      </c>
      <c r="U1898">
        <v>-0.43386839999999999</v>
      </c>
      <c r="V1898">
        <v>8.1852279999999993E-3</v>
      </c>
      <c r="W1898">
        <v>0.216893</v>
      </c>
      <c r="X1898">
        <v>0.9761611</v>
      </c>
      <c r="Y1898">
        <v>-0.134104</v>
      </c>
      <c r="Z1898">
        <v>-1.7071129999999999E-3</v>
      </c>
      <c r="AA1898">
        <v>0.99096580000000001</v>
      </c>
      <c r="AB1898">
        <v>34</v>
      </c>
      <c r="AC1898">
        <v>-56.691099999999999</v>
      </c>
      <c r="AD1898">
        <v>-0.60125829999999902</v>
      </c>
      <c r="AE1898">
        <v>-8.0527000000000104</v>
      </c>
      <c r="AF1898">
        <v>-7.7250518942890203</v>
      </c>
      <c r="AG1898">
        <v>-0.60125829999999902</v>
      </c>
      <c r="AH1898">
        <v>56.730304654627197</v>
      </c>
      <c r="AI1898">
        <v>90.6016764593479</v>
      </c>
      <c r="AJ1898">
        <v>97.754359310021499</v>
      </c>
      <c r="AK1898">
        <v>57.2570118371506</v>
      </c>
      <c r="AL1898">
        <v>77.4733912207423</v>
      </c>
      <c r="AM1898">
        <v>89.519579270395198</v>
      </c>
      <c r="AN1898">
        <v>1.0000000322798099</v>
      </c>
    </row>
    <row r="1899" spans="1:40" x14ac:dyDescent="0.25">
      <c r="A1899" t="str">
        <f>"20190303170759720"</f>
        <v>20190303170759720</v>
      </c>
      <c r="B1899" t="str">
        <f>"1551604079704984"</f>
        <v>1551604079704984</v>
      </c>
      <c r="C1899" t="s">
        <v>40</v>
      </c>
      <c r="D1899">
        <v>4.4802660000000003</v>
      </c>
      <c r="E1899">
        <v>0.44903169999999998</v>
      </c>
      <c r="F1899" t="s">
        <v>70</v>
      </c>
      <c r="G1899">
        <v>-511.9588</v>
      </c>
      <c r="H1899">
        <v>0.4761415</v>
      </c>
      <c r="I1899">
        <v>276.95330000000001</v>
      </c>
      <c r="J1899">
        <v>-455.65010000000001</v>
      </c>
      <c r="K1899">
        <v>1.121316</v>
      </c>
      <c r="L1899">
        <v>285.03609999999998</v>
      </c>
      <c r="M1899">
        <v>-0.99987769999999998</v>
      </c>
      <c r="N1899">
        <v>-1.455035E-2</v>
      </c>
      <c r="O1899">
        <v>-5.761866E-3</v>
      </c>
      <c r="P1899">
        <v>-0.97911199999999998</v>
      </c>
      <c r="Q1899">
        <v>0.20331859999999999</v>
      </c>
      <c r="R1899">
        <v>1.3095380000000001E-3</v>
      </c>
      <c r="S1899">
        <v>-3.0719599999999998</v>
      </c>
      <c r="T1899">
        <v>-3.4956569999999999E-2</v>
      </c>
      <c r="U1899">
        <v>-0.43811040000000001</v>
      </c>
      <c r="V1899">
        <v>6.9604109999999997E-3</v>
      </c>
      <c r="W1899">
        <v>0.21754280000000001</v>
      </c>
      <c r="X1899">
        <v>0.9760259</v>
      </c>
      <c r="Y1899">
        <v>-0.13546040000000001</v>
      </c>
      <c r="Z1899">
        <v>-1.7756E-3</v>
      </c>
      <c r="AA1899">
        <v>0.99078120000000003</v>
      </c>
      <c r="AB1899">
        <v>34</v>
      </c>
      <c r="AC1899">
        <v>-56.308699999999902</v>
      </c>
      <c r="AD1899">
        <v>-0.64517449999999998</v>
      </c>
      <c r="AE1899">
        <v>-8.0827999999999598</v>
      </c>
      <c r="AF1899">
        <v>-7.7571905035592597</v>
      </c>
      <c r="AG1899">
        <v>-0.64517449999999998</v>
      </c>
      <c r="AH1899">
        <v>56.347094045310499</v>
      </c>
      <c r="AI1899">
        <v>90.649879315417394</v>
      </c>
      <c r="AJ1899">
        <v>97.838522140966901</v>
      </c>
      <c r="AK1899">
        <v>56.882205143568697</v>
      </c>
      <c r="AL1899">
        <v>77.435248511759795</v>
      </c>
      <c r="AM1899">
        <v>89.591408984523596</v>
      </c>
      <c r="AN1899">
        <v>0.99999993731196701</v>
      </c>
    </row>
    <row r="1900" spans="1:40" x14ac:dyDescent="0.25">
      <c r="A1900" t="str">
        <f>"20190303170759740"</f>
        <v>20190303170759740</v>
      </c>
      <c r="B1900" t="str">
        <f>"1551604079734264"</f>
        <v>1551604079734264</v>
      </c>
      <c r="C1900" t="s">
        <v>40</v>
      </c>
      <c r="D1900">
        <v>4.5287300000000004</v>
      </c>
      <c r="E1900">
        <v>0.44870959999999899</v>
      </c>
      <c r="F1900" t="s">
        <v>70</v>
      </c>
      <c r="G1900">
        <v>-511.9588</v>
      </c>
      <c r="H1900">
        <v>0.50910370000000005</v>
      </c>
      <c r="I1900">
        <v>276.90710000000001</v>
      </c>
      <c r="J1900">
        <v>-455.94560000000001</v>
      </c>
      <c r="K1900">
        <v>1.1213200000000001</v>
      </c>
      <c r="L1900">
        <v>285.03440000000001</v>
      </c>
      <c r="M1900">
        <v>-0.99987769999999998</v>
      </c>
      <c r="N1900">
        <v>-1.454707E-2</v>
      </c>
      <c r="O1900">
        <v>-5.7618419999999997E-3</v>
      </c>
      <c r="P1900">
        <v>-0.97907080000000002</v>
      </c>
      <c r="Q1900">
        <v>0.20351730000000001</v>
      </c>
      <c r="R1900">
        <v>1.197296E-3</v>
      </c>
      <c r="S1900">
        <v>-3.0715330000000001</v>
      </c>
      <c r="T1900">
        <v>-3.339052E-2</v>
      </c>
      <c r="U1900">
        <v>-0.44342039999999999</v>
      </c>
      <c r="V1900">
        <v>6.8478109999999997E-3</v>
      </c>
      <c r="W1900">
        <v>0.21773780000000001</v>
      </c>
      <c r="X1900">
        <v>0.9759833</v>
      </c>
      <c r="Y1900">
        <v>-0.1371588</v>
      </c>
      <c r="Z1900">
        <v>-1.7656480000000001E-3</v>
      </c>
      <c r="AA1900">
        <v>0.99054750000000003</v>
      </c>
      <c r="AB1900">
        <v>34</v>
      </c>
      <c r="AC1900">
        <v>-56.013199999999898</v>
      </c>
      <c r="AD1900">
        <v>-0.61221630000000005</v>
      </c>
      <c r="AE1900">
        <v>-8.1272999999999893</v>
      </c>
      <c r="AF1900">
        <v>-7.8034787406215997</v>
      </c>
      <c r="AG1900">
        <v>-0.61221630000000005</v>
      </c>
      <c r="AH1900">
        <v>56.052545107376801</v>
      </c>
      <c r="AI1900">
        <v>90.619793310408795</v>
      </c>
      <c r="AJ1900">
        <v>97.925617080445605</v>
      </c>
      <c r="AK1900">
        <v>56.596438953946901</v>
      </c>
      <c r="AL1900">
        <v>77.423802518826307</v>
      </c>
      <c r="AM1900">
        <v>89.598001081490594</v>
      </c>
      <c r="AN1900">
        <v>1.0000000219716101</v>
      </c>
    </row>
    <row r="1901" spans="1:40" x14ac:dyDescent="0.25">
      <c r="A1901" t="str">
        <f>"20190303170759760"</f>
        <v>20190303170759760</v>
      </c>
      <c r="B1901" t="str">
        <f>"1551604079754759"</f>
        <v>1551604079754759</v>
      </c>
      <c r="C1901" t="s">
        <v>40</v>
      </c>
      <c r="D1901">
        <v>4.5369580000000003</v>
      </c>
      <c r="E1901">
        <v>0.4485538</v>
      </c>
      <c r="F1901" t="s">
        <v>70</v>
      </c>
      <c r="G1901">
        <v>-511.9588</v>
      </c>
      <c r="H1901">
        <v>0.53069279999999996</v>
      </c>
      <c r="I1901">
        <v>276.87259999999998</v>
      </c>
      <c r="J1901">
        <v>-456.2559</v>
      </c>
      <c r="K1901">
        <v>1.1213229999999901</v>
      </c>
      <c r="L1901">
        <v>285.03269999999998</v>
      </c>
      <c r="M1901">
        <v>-0.99987780000000004</v>
      </c>
      <c r="N1901">
        <v>-1.454373E-2</v>
      </c>
      <c r="O1901">
        <v>-5.7618169999999998E-3</v>
      </c>
      <c r="P1901">
        <v>-0.97896749999999999</v>
      </c>
      <c r="Q1901">
        <v>0.20400950000000001</v>
      </c>
      <c r="R1901">
        <v>1.698186E-3</v>
      </c>
      <c r="S1901">
        <v>-3.0714109999999999</v>
      </c>
      <c r="T1901">
        <v>-3.2381769999999997E-2</v>
      </c>
      <c r="U1901">
        <v>-0.4475403</v>
      </c>
      <c r="V1901">
        <v>7.3481400000000004E-3</v>
      </c>
      <c r="W1901">
        <v>0.218225</v>
      </c>
      <c r="X1901">
        <v>0.97587080000000004</v>
      </c>
      <c r="Y1901">
        <v>-0.13846620000000001</v>
      </c>
      <c r="Z1901">
        <v>-1.7613380000000001E-3</v>
      </c>
      <c r="AA1901">
        <v>0.99036559999999996</v>
      </c>
      <c r="AB1901">
        <v>33</v>
      </c>
      <c r="AC1901">
        <v>-55.7029</v>
      </c>
      <c r="AD1901">
        <v>-0.59063019999999899</v>
      </c>
      <c r="AE1901">
        <v>-8.1600999999999999</v>
      </c>
      <c r="AF1901">
        <v>-7.8381179945700898</v>
      </c>
      <c r="AG1901">
        <v>-0.59063019999999899</v>
      </c>
      <c r="AH1901">
        <v>55.7428617298023</v>
      </c>
      <c r="AI1901">
        <v>90.601148263001406</v>
      </c>
      <c r="AJ1901">
        <v>98.004001197415107</v>
      </c>
      <c r="AK1901">
        <v>56.294329834876002</v>
      </c>
      <c r="AL1901">
        <v>77.395199701924199</v>
      </c>
      <c r="AM1901">
        <v>89.568580745987504</v>
      </c>
      <c r="AN1901">
        <v>0.99999998203954898</v>
      </c>
    </row>
    <row r="1902" spans="1:40" x14ac:dyDescent="0.25">
      <c r="A1902" t="str">
        <f>"20190303170759782"</f>
        <v>20190303170759782</v>
      </c>
      <c r="B1902" t="str">
        <f>"1551604079774280"</f>
        <v>1551604079774280</v>
      </c>
      <c r="C1902" t="s">
        <v>40</v>
      </c>
      <c r="D1902">
        <v>4.542961</v>
      </c>
      <c r="E1902">
        <v>0.44834619999999997</v>
      </c>
      <c r="F1902" t="s">
        <v>70</v>
      </c>
      <c r="G1902">
        <v>-511.9588</v>
      </c>
      <c r="H1902">
        <v>0.55287929999999996</v>
      </c>
      <c r="I1902">
        <v>276.91969999999998</v>
      </c>
      <c r="J1902">
        <v>-456.57929999999999</v>
      </c>
      <c r="K1902">
        <v>1.121326</v>
      </c>
      <c r="L1902">
        <v>285.0308</v>
      </c>
      <c r="M1902">
        <v>-0.99987769999999998</v>
      </c>
      <c r="N1902">
        <v>-1.4540229999999999E-2</v>
      </c>
      <c r="O1902">
        <v>-5.761792E-3</v>
      </c>
      <c r="P1902">
        <v>-0.97905750000000002</v>
      </c>
      <c r="Q1902">
        <v>0.2035815</v>
      </c>
      <c r="R1902">
        <v>1.1122090000000001E-3</v>
      </c>
      <c r="S1902">
        <v>-3.0717469999999998</v>
      </c>
      <c r="T1902">
        <v>-3.1342389999999998E-2</v>
      </c>
      <c r="U1902">
        <v>-0.4473877</v>
      </c>
      <c r="V1902">
        <v>6.7627410000000001E-3</v>
      </c>
      <c r="W1902">
        <v>0.21779499999999999</v>
      </c>
      <c r="X1902">
        <v>0.97597109999999998</v>
      </c>
      <c r="Y1902">
        <v>-0.13840350000000001</v>
      </c>
      <c r="Z1902">
        <v>-1.7388569999999999E-3</v>
      </c>
      <c r="AA1902">
        <v>0.99037439999999999</v>
      </c>
      <c r="AB1902">
        <v>33</v>
      </c>
      <c r="AC1902">
        <v>-55.3795</v>
      </c>
      <c r="AD1902">
        <v>-0.56844669999999997</v>
      </c>
      <c r="AE1902">
        <v>-8.11110000000002</v>
      </c>
      <c r="AF1902">
        <v>-7.7910428069992399</v>
      </c>
      <c r="AG1902">
        <v>-0.56844669999999997</v>
      </c>
      <c r="AH1902">
        <v>55.419603500170098</v>
      </c>
      <c r="AI1902">
        <v>90.581948156202898</v>
      </c>
      <c r="AJ1902">
        <v>98.002357617850507</v>
      </c>
      <c r="AK1902">
        <v>55.967454219280903</v>
      </c>
      <c r="AL1902">
        <v>77.4204442351122</v>
      </c>
      <c r="AM1902">
        <v>89.602989969750794</v>
      </c>
      <c r="AN1902">
        <v>0.99999999236302095</v>
      </c>
    </row>
    <row r="1903" spans="1:40" x14ac:dyDescent="0.25">
      <c r="A1903" t="str">
        <f>"20190303170759804"</f>
        <v>20190303170759804</v>
      </c>
      <c r="B1903" t="str">
        <f>"1551604079794776"</f>
        <v>1551604079794776</v>
      </c>
      <c r="C1903" t="s">
        <v>40</v>
      </c>
      <c r="D1903">
        <v>4.5576939999999997</v>
      </c>
      <c r="E1903">
        <v>0.44812619999999997</v>
      </c>
      <c r="F1903" t="s">
        <v>70</v>
      </c>
      <c r="G1903">
        <v>-511.9588</v>
      </c>
      <c r="H1903">
        <v>0.51545909999999995</v>
      </c>
      <c r="I1903">
        <v>276.90589999999997</v>
      </c>
      <c r="J1903">
        <v>-456.91609999999997</v>
      </c>
      <c r="K1903">
        <v>1.121319</v>
      </c>
      <c r="L1903">
        <v>285.02890000000002</v>
      </c>
      <c r="M1903">
        <v>-0.99987780000000004</v>
      </c>
      <c r="N1903">
        <v>-1.4536520000000001E-2</v>
      </c>
      <c r="O1903">
        <v>-5.7620029999999999E-3</v>
      </c>
      <c r="P1903">
        <v>-0.97893609999999998</v>
      </c>
      <c r="Q1903">
        <v>0.2041635</v>
      </c>
      <c r="R1903">
        <v>1.2248949999999999E-3</v>
      </c>
      <c r="S1903">
        <v>-3.0716549999999998</v>
      </c>
      <c r="T1903">
        <v>-3.3600209999999998E-2</v>
      </c>
      <c r="U1903">
        <v>-0.45065309999999997</v>
      </c>
      <c r="V1903">
        <v>6.8747919999999898E-3</v>
      </c>
      <c r="W1903">
        <v>0.2183717</v>
      </c>
      <c r="X1903">
        <v>0.97584150000000003</v>
      </c>
      <c r="Y1903">
        <v>-0.13943630000000001</v>
      </c>
      <c r="Z1903">
        <v>-1.798172E-3</v>
      </c>
      <c r="AA1903">
        <v>0.99022940000000004</v>
      </c>
      <c r="AB1903">
        <v>33</v>
      </c>
      <c r="AC1903">
        <v>-55.042700000000004</v>
      </c>
      <c r="AD1903">
        <v>-0.60585990000000001</v>
      </c>
      <c r="AE1903">
        <v>-8.1230000000000402</v>
      </c>
      <c r="AF1903">
        <v>-7.8047499913213603</v>
      </c>
      <c r="AG1903">
        <v>-0.60585990000000001</v>
      </c>
      <c r="AH1903">
        <v>55.082064485443702</v>
      </c>
      <c r="AI1903">
        <v>90.623951736827493</v>
      </c>
      <c r="AJ1903">
        <v>98.064732431108695</v>
      </c>
      <c r="AK1903">
        <v>55.635555327722201</v>
      </c>
      <c r="AL1903">
        <v>77.386587523652096</v>
      </c>
      <c r="AM1903">
        <v>89.596358578500897</v>
      </c>
      <c r="AN1903">
        <v>1.00000004762409</v>
      </c>
    </row>
    <row r="1904" spans="1:40" x14ac:dyDescent="0.25">
      <c r="A1904" t="str">
        <f>"20190303170759828"</f>
        <v>20190303170759828</v>
      </c>
      <c r="B1904" t="str">
        <f>"1551604079824056"</f>
        <v>1551604079824056</v>
      </c>
      <c r="C1904" t="s">
        <v>40</v>
      </c>
      <c r="D1904">
        <v>4.5702970000000001</v>
      </c>
      <c r="E1904">
        <v>0.4478028</v>
      </c>
      <c r="F1904" t="s">
        <v>70</v>
      </c>
      <c r="G1904">
        <v>-511.9588</v>
      </c>
      <c r="H1904">
        <v>0.54289900000000002</v>
      </c>
      <c r="I1904">
        <v>276.93239999999997</v>
      </c>
      <c r="J1904">
        <v>-457.26280000000003</v>
      </c>
      <c r="K1904">
        <v>1.121321</v>
      </c>
      <c r="L1904">
        <v>285.02690000000001</v>
      </c>
      <c r="M1904">
        <v>-0.99987780000000004</v>
      </c>
      <c r="N1904">
        <v>-1.4532720000000001E-2</v>
      </c>
      <c r="O1904">
        <v>-5.7619769999999997E-3</v>
      </c>
      <c r="P1904">
        <v>-0.97886609999999996</v>
      </c>
      <c r="Q1904">
        <v>0.2044927</v>
      </c>
      <c r="R1904">
        <v>2.0040499999999998E-3</v>
      </c>
      <c r="S1904">
        <v>-3.0718079999999999</v>
      </c>
      <c r="T1904">
        <v>-3.2275680000000001E-2</v>
      </c>
      <c r="U1904">
        <v>-0.4518433</v>
      </c>
      <c r="V1904">
        <v>7.653511E-3</v>
      </c>
      <c r="W1904">
        <v>0.218696</v>
      </c>
      <c r="X1904">
        <v>0.97576300000000005</v>
      </c>
      <c r="Y1904">
        <v>-0.13980580000000001</v>
      </c>
      <c r="Z1904">
        <v>-1.7750540000000001E-3</v>
      </c>
      <c r="AA1904">
        <v>0.99017730000000004</v>
      </c>
      <c r="AB1904">
        <v>33</v>
      </c>
      <c r="AC1904">
        <v>-54.695999999999898</v>
      </c>
      <c r="AD1904">
        <v>-0.57842199999999999</v>
      </c>
      <c r="AE1904">
        <v>-8.0945000000000302</v>
      </c>
      <c r="AF1904">
        <v>-7.7783239758771501</v>
      </c>
      <c r="AG1904">
        <v>-0.57842199999999999</v>
      </c>
      <c r="AH1904">
        <v>54.735746895288798</v>
      </c>
      <c r="AI1904">
        <v>90.599430840169404</v>
      </c>
      <c r="AJ1904">
        <v>98.0879684808165</v>
      </c>
      <c r="AK1904">
        <v>55.28868676383</v>
      </c>
      <c r="AL1904">
        <v>77.367545323729104</v>
      </c>
      <c r="AM1904">
        <v>89.5506030805725</v>
      </c>
      <c r="AN1904">
        <v>0.99999997440781296</v>
      </c>
    </row>
    <row r="1905" spans="1:40" x14ac:dyDescent="0.25">
      <c r="A1905" t="str">
        <f>"20190303170759851"</f>
        <v>20190303170759851</v>
      </c>
      <c r="B1905" t="str">
        <f>"1551604079844552"</f>
        <v>1551604079844552</v>
      </c>
      <c r="C1905" t="s">
        <v>40</v>
      </c>
      <c r="D1905">
        <v>4.5723399999999996</v>
      </c>
      <c r="E1905">
        <v>0.44759710000000003</v>
      </c>
      <c r="F1905" t="s">
        <v>70</v>
      </c>
      <c r="G1905">
        <v>-511.9588</v>
      </c>
      <c r="H1905">
        <v>0.56553109999999995</v>
      </c>
      <c r="I1905">
        <v>276.96510000000001</v>
      </c>
      <c r="J1905">
        <v>-457.59620000000001</v>
      </c>
      <c r="K1905">
        <v>1.1213329999999999</v>
      </c>
      <c r="L1905">
        <v>285.02499999999998</v>
      </c>
      <c r="M1905">
        <v>-0.99987789999999999</v>
      </c>
      <c r="N1905">
        <v>-1.452904E-2</v>
      </c>
      <c r="O1905">
        <v>-5.7620700000000002E-3</v>
      </c>
      <c r="P1905">
        <v>-0.9788519</v>
      </c>
      <c r="Q1905">
        <v>0.20455509999999999</v>
      </c>
      <c r="R1905">
        <v>2.5255299999999998E-3</v>
      </c>
      <c r="S1905">
        <v>-3.0722049999999999</v>
      </c>
      <c r="T1905">
        <v>-3.1213399999999999E-2</v>
      </c>
      <c r="U1905">
        <v>-0.45281979999999999</v>
      </c>
      <c r="V1905">
        <v>8.1750319999999901E-3</v>
      </c>
      <c r="W1905">
        <v>0.21875459999999999</v>
      </c>
      <c r="X1905">
        <v>0.97574570000000005</v>
      </c>
      <c r="Y1905">
        <v>-0.1400962</v>
      </c>
      <c r="Z1905">
        <v>-1.756222E-3</v>
      </c>
      <c r="AA1905">
        <v>0.99013629999999997</v>
      </c>
      <c r="AB1905">
        <v>33</v>
      </c>
      <c r="AC1905">
        <v>-54.362599999999901</v>
      </c>
      <c r="AD1905">
        <v>-0.55580189999999996</v>
      </c>
      <c r="AE1905">
        <v>-8.0598999999999705</v>
      </c>
      <c r="AF1905">
        <v>-7.7456997734760602</v>
      </c>
      <c r="AG1905">
        <v>-0.55580189999999996</v>
      </c>
      <c r="AH1905">
        <v>54.402579580945797</v>
      </c>
      <c r="AI1905">
        <v>90.579496096726004</v>
      </c>
      <c r="AJ1905">
        <v>98.103165052649999</v>
      </c>
      <c r="AK1905">
        <v>54.954030296184897</v>
      </c>
      <c r="AL1905">
        <v>77.364105300681103</v>
      </c>
      <c r="AM1905">
        <v>89.519973419507295</v>
      </c>
      <c r="AN1905">
        <v>1.0000000386189201</v>
      </c>
    </row>
    <row r="1906" spans="1:40" x14ac:dyDescent="0.25">
      <c r="A1906" t="str">
        <f>"20190303170759871"</f>
        <v>20190303170759871</v>
      </c>
      <c r="B1906" t="str">
        <f>"1551604079864072"</f>
        <v>1551604079864072</v>
      </c>
      <c r="C1906" t="s">
        <v>40</v>
      </c>
      <c r="D1906">
        <v>4.5761459999999996</v>
      </c>
      <c r="E1906">
        <v>0.4393552</v>
      </c>
      <c r="F1906" t="s">
        <v>70</v>
      </c>
      <c r="G1906">
        <v>-511.9588</v>
      </c>
      <c r="H1906">
        <v>0.56292769999999903</v>
      </c>
      <c r="I1906">
        <v>277.0204</v>
      </c>
      <c r="J1906">
        <v>-457.91030000000001</v>
      </c>
      <c r="K1906">
        <v>1.1213280000000001</v>
      </c>
      <c r="L1906">
        <v>285.02319999999997</v>
      </c>
      <c r="M1906">
        <v>-0.99987800000000004</v>
      </c>
      <c r="N1906">
        <v>-1.452558E-2</v>
      </c>
      <c r="O1906">
        <v>-5.7620459999999998E-3</v>
      </c>
      <c r="P1906">
        <v>-0.97894840000000005</v>
      </c>
      <c r="Q1906">
        <v>0.20409340000000001</v>
      </c>
      <c r="R1906">
        <v>2.478343E-3</v>
      </c>
      <c r="S1906">
        <v>-3.0726010000000001</v>
      </c>
      <c r="T1906">
        <v>-3.1556729999999998E-2</v>
      </c>
      <c r="U1906">
        <v>-0.45242310000000002</v>
      </c>
      <c r="V1906">
        <v>8.1283239999999993E-3</v>
      </c>
      <c r="W1906">
        <v>0.21829109999999999</v>
      </c>
      <c r="X1906">
        <v>0.97584990000000005</v>
      </c>
      <c r="Y1906">
        <v>-0.13995239999999901</v>
      </c>
      <c r="Z1906">
        <v>-1.7612319999999999E-3</v>
      </c>
      <c r="AA1906">
        <v>0.9901567</v>
      </c>
      <c r="AB1906">
        <v>33</v>
      </c>
      <c r="AC1906">
        <v>-54.048499999999898</v>
      </c>
      <c r="AD1906">
        <v>-0.55840029999999996</v>
      </c>
      <c r="AE1906">
        <v>-8.0027999999999793</v>
      </c>
      <c r="AF1906">
        <v>-7.6904010921922898</v>
      </c>
      <c r="AG1906">
        <v>-0.55840029999999996</v>
      </c>
      <c r="AH1906">
        <v>54.088070468753003</v>
      </c>
      <c r="AI1906">
        <v>90.585606111736297</v>
      </c>
      <c r="AJ1906">
        <v>98.092242609656907</v>
      </c>
      <c r="AK1906">
        <v>54.634910514126602</v>
      </c>
      <c r="AL1906">
        <v>77.391319768114201</v>
      </c>
      <c r="AM1906">
        <v>89.522766882897102</v>
      </c>
      <c r="AN1906">
        <v>1.0000000506601301</v>
      </c>
    </row>
    <row r="1907" spans="1:40" x14ac:dyDescent="0.25">
      <c r="A1907" t="str">
        <f>"20190303170759894"</f>
        <v>20190303170759894</v>
      </c>
      <c r="B1907" t="str">
        <f>"1551604079884568"</f>
        <v>1551604079884568</v>
      </c>
      <c r="C1907" t="s">
        <v>40</v>
      </c>
      <c r="D1907">
        <v>4.6140379999999999</v>
      </c>
      <c r="E1907">
        <v>0.43917859999999997</v>
      </c>
      <c r="F1907" t="s">
        <v>70</v>
      </c>
      <c r="G1907">
        <v>-511.95870000000002</v>
      </c>
      <c r="H1907">
        <v>0.36730620000000003</v>
      </c>
      <c r="I1907">
        <v>275.9074</v>
      </c>
      <c r="J1907">
        <v>-458.24759999999998</v>
      </c>
      <c r="K1907">
        <v>1.1213249999999999</v>
      </c>
      <c r="L1907">
        <v>285.02120000000002</v>
      </c>
      <c r="M1907">
        <v>-0.99987789999999999</v>
      </c>
      <c r="N1907">
        <v>-1.4521900000000001E-2</v>
      </c>
      <c r="O1907">
        <v>-5.762021E-3</v>
      </c>
      <c r="P1907">
        <v>-0.97902639999999996</v>
      </c>
      <c r="Q1907">
        <v>0.2037146</v>
      </c>
      <c r="R1907">
        <v>2.7685909999999999E-3</v>
      </c>
      <c r="S1907">
        <v>-3.0747680000000002</v>
      </c>
      <c r="T1907">
        <v>-4.2890909999999997E-2</v>
      </c>
      <c r="U1907">
        <v>-0.51858519999999997</v>
      </c>
      <c r="V1907">
        <v>8.4190099999999993E-3</v>
      </c>
      <c r="W1907">
        <v>0.21790950000000001</v>
      </c>
      <c r="X1907">
        <v>0.97593269999999999</v>
      </c>
      <c r="Y1907">
        <v>-0.16059289999999901</v>
      </c>
      <c r="Z1907">
        <v>-2.2898889999999998E-3</v>
      </c>
      <c r="AA1907">
        <v>0.98701799999999995</v>
      </c>
      <c r="AB1907">
        <v>33</v>
      </c>
      <c r="AC1907">
        <v>-53.711100000000002</v>
      </c>
      <c r="AD1907">
        <v>-0.75401879999999899</v>
      </c>
      <c r="AE1907">
        <v>-9.1138000000000208</v>
      </c>
      <c r="AF1907">
        <v>-8.8024453227605299</v>
      </c>
      <c r="AG1907">
        <v>-0.75401879999999899</v>
      </c>
      <c r="AH1907">
        <v>53.7524307165625</v>
      </c>
      <c r="AI1907">
        <v>90.793108182160196</v>
      </c>
      <c r="AJ1907">
        <v>99.300152829413705</v>
      </c>
      <c r="AK1907">
        <v>54.473621101867202</v>
      </c>
      <c r="AL1907">
        <v>77.413722934684202</v>
      </c>
      <c r="AM1907">
        <v>89.505742788072595</v>
      </c>
      <c r="AN1907">
        <v>1.00000003242445</v>
      </c>
    </row>
    <row r="1908" spans="1:40" x14ac:dyDescent="0.25">
      <c r="A1908" t="str">
        <f>"20190303170759918"</f>
        <v>20190303170759918</v>
      </c>
      <c r="B1908" t="str">
        <f>"1551604079914826"</f>
        <v>1551604079914826</v>
      </c>
      <c r="C1908" t="s">
        <v>40</v>
      </c>
      <c r="D1908">
        <v>4.6058000000000003</v>
      </c>
      <c r="E1908">
        <v>0.43882149999999998</v>
      </c>
      <c r="F1908" t="s">
        <v>70</v>
      </c>
      <c r="G1908">
        <v>-511.95870000000002</v>
      </c>
      <c r="H1908">
        <v>0.30530610000000002</v>
      </c>
      <c r="I1908">
        <v>275.94600000000003</v>
      </c>
      <c r="J1908">
        <v>-458.60629999999998</v>
      </c>
      <c r="K1908">
        <v>1.1213299999999999</v>
      </c>
      <c r="L1908">
        <v>285.01920000000001</v>
      </c>
      <c r="M1908">
        <v>-0.99987809999999999</v>
      </c>
      <c r="N1908">
        <v>-1.4518E-2</v>
      </c>
      <c r="O1908">
        <v>-5.7623509999999998E-3</v>
      </c>
      <c r="P1908">
        <v>-0.97891640000000002</v>
      </c>
      <c r="Q1908">
        <v>0.20423730000000001</v>
      </c>
      <c r="R1908">
        <v>3.2021250000000001E-3</v>
      </c>
      <c r="S1908">
        <v>-3.0755309999999998</v>
      </c>
      <c r="T1908">
        <v>-4.6720980000000002E-2</v>
      </c>
      <c r="U1908">
        <v>-0.51965329999999998</v>
      </c>
      <c r="V1908">
        <v>8.852291E-3</v>
      </c>
      <c r="W1908">
        <v>0.2184266</v>
      </c>
      <c r="X1908">
        <v>0.97581320000000005</v>
      </c>
      <c r="Y1908">
        <v>-0.16088139999999901</v>
      </c>
      <c r="Z1908">
        <v>-2.3857499999999998E-3</v>
      </c>
      <c r="AA1908">
        <v>0.98697080000000004</v>
      </c>
      <c r="AB1908">
        <v>33</v>
      </c>
      <c r="AC1908">
        <v>-53.352400000000003</v>
      </c>
      <c r="AD1908">
        <v>-0.81602390000000002</v>
      </c>
      <c r="AE1908">
        <v>-9.0732000000000408</v>
      </c>
      <c r="AF1908">
        <v>-8.7635892024167408</v>
      </c>
      <c r="AG1908">
        <v>-0.81602390000000002</v>
      </c>
      <c r="AH1908">
        <v>53.391663322455003</v>
      </c>
      <c r="AI1908">
        <v>90.864064859980502</v>
      </c>
      <c r="AJ1908">
        <v>99.321286310226398</v>
      </c>
      <c r="AK1908">
        <v>54.112254647653302</v>
      </c>
      <c r="AL1908">
        <v>77.383363202031006</v>
      </c>
      <c r="AM1908">
        <v>89.480243759203304</v>
      </c>
      <c r="AN1908">
        <v>0.99999997196887402</v>
      </c>
    </row>
    <row r="1909" spans="1:40" x14ac:dyDescent="0.25">
      <c r="A1909" t="str">
        <f>"20190303170759944"</f>
        <v>20190303170759944</v>
      </c>
      <c r="B1909" t="str">
        <f>"1551604079934344"</f>
        <v>1551604079934344</v>
      </c>
      <c r="C1909" t="s">
        <v>40</v>
      </c>
      <c r="D1909">
        <v>4.6107649999999998</v>
      </c>
      <c r="E1909">
        <v>0.43845529999999999</v>
      </c>
      <c r="F1909" t="s">
        <v>70</v>
      </c>
      <c r="G1909">
        <v>-511.95870000000002</v>
      </c>
      <c r="H1909">
        <v>0.38456089999999998</v>
      </c>
      <c r="I1909">
        <v>275.97390000000001</v>
      </c>
      <c r="J1909">
        <v>-458.98270000000002</v>
      </c>
      <c r="K1909">
        <v>1.12134</v>
      </c>
      <c r="L1909">
        <v>285.017</v>
      </c>
      <c r="M1909">
        <v>-0.99987809999999999</v>
      </c>
      <c r="N1909">
        <v>-1.451363E-2</v>
      </c>
      <c r="O1909">
        <v>-5.7623199999999996E-3</v>
      </c>
      <c r="P1909">
        <v>-0.97880889999999998</v>
      </c>
      <c r="Q1909">
        <v>0.20474809999999999</v>
      </c>
      <c r="R1909">
        <v>3.3679199999999999E-3</v>
      </c>
      <c r="S1909">
        <v>-3.0752259999999998</v>
      </c>
      <c r="T1909">
        <v>-4.2462470000000002E-2</v>
      </c>
      <c r="U1909">
        <v>-0.52136229999999995</v>
      </c>
      <c r="V1909">
        <v>9.017209E-3</v>
      </c>
      <c r="W1909">
        <v>0.21893190000000001</v>
      </c>
      <c r="X1909">
        <v>0.97569850000000002</v>
      </c>
      <c r="Y1909">
        <v>-0.16143540000000001</v>
      </c>
      <c r="Z1909">
        <v>-2.2906430000000002E-3</v>
      </c>
      <c r="AA1909">
        <v>0.98688069999999894</v>
      </c>
      <c r="AB1909">
        <v>33</v>
      </c>
      <c r="AC1909">
        <v>-52.975999999999999</v>
      </c>
      <c r="AD1909">
        <v>-0.73677909999999902</v>
      </c>
      <c r="AE1909">
        <v>-9.0430999999999795</v>
      </c>
      <c r="AF1909">
        <v>-8.7360110885139104</v>
      </c>
      <c r="AG1909">
        <v>-0.73677909999999902</v>
      </c>
      <c r="AH1909">
        <v>53.017270421933702</v>
      </c>
      <c r="AI1909">
        <v>90.785593942427894</v>
      </c>
      <c r="AJ1909">
        <v>99.356929828464501</v>
      </c>
      <c r="AK1909">
        <v>53.7372468235328</v>
      </c>
      <c r="AL1909">
        <v>77.353694223032605</v>
      </c>
      <c r="AM1909">
        <v>89.470499021647299</v>
      </c>
      <c r="AN1909">
        <v>1.000000024899</v>
      </c>
    </row>
    <row r="1910" spans="1:40" x14ac:dyDescent="0.25">
      <c r="A1910" t="str">
        <f>"20190303170759962"</f>
        <v>20190303170759962</v>
      </c>
      <c r="B1910" t="str">
        <f>"1551604079954840"</f>
        <v>1551604079954840</v>
      </c>
      <c r="C1910" t="s">
        <v>40</v>
      </c>
      <c r="D1910">
        <v>4.612298</v>
      </c>
      <c r="E1910">
        <v>0.45491100000000001</v>
      </c>
      <c r="F1910" t="s">
        <v>70</v>
      </c>
      <c r="G1910">
        <v>-511.9588</v>
      </c>
      <c r="H1910">
        <v>0.4184988</v>
      </c>
      <c r="I1910">
        <v>276.00069999999999</v>
      </c>
      <c r="J1910">
        <v>-459.25189999999998</v>
      </c>
      <c r="K1910">
        <v>1.1213420000000001</v>
      </c>
      <c r="L1910">
        <v>285.01549999999997</v>
      </c>
      <c r="M1910">
        <v>-0.99987820000000005</v>
      </c>
      <c r="N1910">
        <v>-1.4510489999999999E-2</v>
      </c>
      <c r="O1910">
        <v>-5.7624169999999997E-3</v>
      </c>
      <c r="P1910">
        <v>-0.9786764</v>
      </c>
      <c r="Q1910">
        <v>0.20538670000000001</v>
      </c>
      <c r="R1910">
        <v>3.0186409999999999E-3</v>
      </c>
      <c r="S1910">
        <v>-3.075348</v>
      </c>
      <c r="T1910">
        <v>-4.0796279999999997E-2</v>
      </c>
      <c r="U1910">
        <v>-0.52340699999999996</v>
      </c>
      <c r="V1910">
        <v>8.6673830000000007E-3</v>
      </c>
      <c r="W1910">
        <v>0.2195656</v>
      </c>
      <c r="X1910">
        <v>0.97555919999999896</v>
      </c>
      <c r="Y1910">
        <v>-0.1620682</v>
      </c>
      <c r="Z1910">
        <v>-2.2588030000000002E-3</v>
      </c>
      <c r="AA1910">
        <v>0.98677689999999996</v>
      </c>
      <c r="AB1910">
        <v>33</v>
      </c>
      <c r="AC1910">
        <v>-52.706899999999997</v>
      </c>
      <c r="AD1910">
        <v>-0.7028432</v>
      </c>
      <c r="AE1910">
        <v>-9.0147999999999797</v>
      </c>
      <c r="AF1910">
        <v>-8.7093945153536705</v>
      </c>
      <c r="AG1910">
        <v>-0.7028432</v>
      </c>
      <c r="AH1910">
        <v>52.748863994151201</v>
      </c>
      <c r="AI1910">
        <v>90.753186359436398</v>
      </c>
      <c r="AJ1910">
        <v>99.375551763372997</v>
      </c>
      <c r="AK1910">
        <v>53.4676555878535</v>
      </c>
      <c r="AL1910">
        <v>77.316479659714005</v>
      </c>
      <c r="AM1910">
        <v>89.490967437467603</v>
      </c>
      <c r="AN1910">
        <v>0.99999996446803296</v>
      </c>
    </row>
    <row r="1911" spans="1:40" x14ac:dyDescent="0.25">
      <c r="A1911" t="str">
        <f>"20190303170759983"</f>
        <v>20190303170759983</v>
      </c>
      <c r="B1911" t="str">
        <f>"1551604079974360"</f>
        <v>1551604079974360</v>
      </c>
      <c r="C1911" t="s">
        <v>40</v>
      </c>
      <c r="D1911">
        <v>4.6539029999999997</v>
      </c>
      <c r="E1911">
        <v>0.47030060000000001</v>
      </c>
      <c r="F1911" t="s">
        <v>46</v>
      </c>
      <c r="G1911">
        <v>-511.27449999999999</v>
      </c>
      <c r="H1911">
        <v>-0.05</v>
      </c>
      <c r="I1911">
        <v>278.35000000000002</v>
      </c>
      <c r="J1911">
        <v>-459.56060000000002</v>
      </c>
      <c r="K1911">
        <v>1.1213379999999999</v>
      </c>
      <c r="L1911">
        <v>285.01369999999997</v>
      </c>
      <c r="M1911">
        <v>-0.99987820000000005</v>
      </c>
      <c r="N1911">
        <v>-1.450712E-2</v>
      </c>
      <c r="O1911">
        <v>-5.7623930000000002E-3</v>
      </c>
      <c r="P1911">
        <v>-0.97858650000000003</v>
      </c>
      <c r="Q1911">
        <v>0.20580590000000001</v>
      </c>
      <c r="R1911">
        <v>3.5559210000000001E-3</v>
      </c>
      <c r="S1911">
        <v>-3.0811459999999999</v>
      </c>
      <c r="T1911">
        <v>-6.9375039999999999E-2</v>
      </c>
      <c r="U1911">
        <v>-0.3947754</v>
      </c>
      <c r="V1911">
        <v>9.2041729999999995E-3</v>
      </c>
      <c r="W1911">
        <v>0.21998000000000001</v>
      </c>
      <c r="X1911">
        <v>0.97546089999999996</v>
      </c>
      <c r="Y1911">
        <v>-0.121319</v>
      </c>
      <c r="Z1911">
        <v>-2.1979590000000002E-3</v>
      </c>
      <c r="AA1911">
        <v>0.99261109999999997</v>
      </c>
      <c r="AB1911">
        <v>33</v>
      </c>
      <c r="AC1911">
        <v>-51.713899999999903</v>
      </c>
      <c r="AD1911">
        <v>-1.171338</v>
      </c>
      <c r="AE1911">
        <v>-6.66369999999994</v>
      </c>
      <c r="AF1911">
        <v>-6.3623513568752603</v>
      </c>
      <c r="AG1911">
        <v>-1.171338</v>
      </c>
      <c r="AH1911">
        <v>51.725340467900601</v>
      </c>
      <c r="AI1911">
        <v>91.287560480558199</v>
      </c>
      <c r="AJ1911">
        <v>97.012306844511798</v>
      </c>
      <c r="AK1911">
        <v>52.128326215396697</v>
      </c>
      <c r="AL1911">
        <v>77.292140953358299</v>
      </c>
      <c r="AM1911">
        <v>89.459389282681499</v>
      </c>
      <c r="AN1911">
        <v>0.99999994231471001</v>
      </c>
    </row>
    <row r="1912" spans="1:40" x14ac:dyDescent="0.25">
      <c r="A1912" t="str">
        <f>"20190303170800006"</f>
        <v>20190303170800006</v>
      </c>
      <c r="B1912" t="str">
        <f>"1551604079994856"</f>
        <v>1551604079994856</v>
      </c>
      <c r="C1912" t="s">
        <v>40</v>
      </c>
      <c r="D1912">
        <v>4.5372009999999996</v>
      </c>
      <c r="E1912">
        <v>0.47748620000000003</v>
      </c>
      <c r="F1912" t="s">
        <v>46</v>
      </c>
      <c r="G1912">
        <v>-519.07410000000004</v>
      </c>
      <c r="H1912">
        <v>-0.05</v>
      </c>
      <c r="I1912">
        <v>279.79399999999998</v>
      </c>
      <c r="J1912">
        <v>-459.8956</v>
      </c>
      <c r="K1912">
        <v>1.1213409999999999</v>
      </c>
      <c r="L1912">
        <v>285.01170000000002</v>
      </c>
      <c r="M1912">
        <v>-0.99987820000000005</v>
      </c>
      <c r="N1912">
        <v>-1.450364E-2</v>
      </c>
      <c r="O1912">
        <v>-5.7623680000000004E-3</v>
      </c>
      <c r="P1912">
        <v>-0.97849149999999996</v>
      </c>
      <c r="Q1912">
        <v>0.20626120000000001</v>
      </c>
      <c r="R1912">
        <v>3.2548820000000002E-3</v>
      </c>
      <c r="S1912">
        <v>-3.0793759999999999</v>
      </c>
      <c r="T1912">
        <v>-6.0607910000000001E-2</v>
      </c>
      <c r="U1912">
        <v>-0.270080599999999</v>
      </c>
      <c r="V1912">
        <v>8.9025089999999994E-3</v>
      </c>
      <c r="W1912">
        <v>0.22043019999999999</v>
      </c>
      <c r="X1912">
        <v>0.97536210000000001</v>
      </c>
      <c r="Y1912">
        <v>-8.1601229999999997E-2</v>
      </c>
      <c r="Z1912">
        <v>-1.36468299999999E-3</v>
      </c>
      <c r="AA1912">
        <v>0.99666410000000005</v>
      </c>
      <c r="AB1912">
        <v>33</v>
      </c>
      <c r="AC1912">
        <v>-59.1785</v>
      </c>
      <c r="AD1912">
        <v>-1.171341</v>
      </c>
      <c r="AE1912">
        <v>-5.2176999999999696</v>
      </c>
      <c r="AF1912">
        <v>-4.8746741305493497</v>
      </c>
      <c r="AG1912">
        <v>-1.171341</v>
      </c>
      <c r="AH1912">
        <v>59.1845784602408</v>
      </c>
      <c r="AI1912">
        <v>91.129985819828804</v>
      </c>
      <c r="AJ1912">
        <v>94.7084772822449</v>
      </c>
      <c r="AK1912">
        <v>59.3965387470829</v>
      </c>
      <c r="AL1912">
        <v>77.265697742986802</v>
      </c>
      <c r="AM1912">
        <v>89.477053671860702</v>
      </c>
      <c r="AN1912">
        <v>0.999999976927472</v>
      </c>
    </row>
    <row r="1913" spans="1:40" x14ac:dyDescent="0.25">
      <c r="A1913" t="str">
        <f>"20190303170800029"</f>
        <v>20190303170800029</v>
      </c>
      <c r="B1913" t="str">
        <f>"1551604080024136"</f>
        <v>1551604080024136</v>
      </c>
      <c r="C1913" t="s">
        <v>40</v>
      </c>
      <c r="D1913">
        <v>4.4309830000000003</v>
      </c>
      <c r="E1913">
        <v>0.48164119999999999</v>
      </c>
      <c r="F1913" t="s">
        <v>46</v>
      </c>
      <c r="G1913">
        <v>-527.42190000000005</v>
      </c>
      <c r="H1913">
        <v>-0.05</v>
      </c>
      <c r="I1913">
        <v>280.34179999999998</v>
      </c>
      <c r="J1913">
        <v>-460.24270000000001</v>
      </c>
      <c r="K1913">
        <v>1.121345</v>
      </c>
      <c r="L1913">
        <v>285.00970000000001</v>
      </c>
      <c r="M1913">
        <v>-0.99987839999999995</v>
      </c>
      <c r="N1913">
        <v>-1.450008E-2</v>
      </c>
      <c r="O1913">
        <v>-5.7626999999999999E-3</v>
      </c>
      <c r="P1913">
        <v>-0.97844100000000001</v>
      </c>
      <c r="Q1913">
        <v>0.20651059999999999</v>
      </c>
      <c r="R1913">
        <v>2.683436E-3</v>
      </c>
      <c r="S1913">
        <v>-3.0779109999999998</v>
      </c>
      <c r="T1913">
        <v>-5.3390859999999998E-2</v>
      </c>
      <c r="U1913">
        <v>-0.2128601</v>
      </c>
      <c r="V1913">
        <v>8.3312649999999992E-3</v>
      </c>
      <c r="W1913">
        <v>0.22067580000000001</v>
      </c>
      <c r="X1913">
        <v>0.97531159999999995</v>
      </c>
      <c r="Y1913">
        <v>-6.3224420000000003E-2</v>
      </c>
      <c r="Z1913">
        <v>-9.903157000000001E-4</v>
      </c>
      <c r="AA1913">
        <v>0.99799879999999996</v>
      </c>
      <c r="AB1913">
        <v>33</v>
      </c>
      <c r="AC1913">
        <v>-67.179199999999994</v>
      </c>
      <c r="AD1913">
        <v>-1.1713450000000001</v>
      </c>
      <c r="AE1913">
        <v>-4.6679000000000297</v>
      </c>
      <c r="AF1913">
        <v>-4.2793534974388603</v>
      </c>
      <c r="AG1913">
        <v>-1.1713450000000001</v>
      </c>
      <c r="AH1913">
        <v>67.1846595834634</v>
      </c>
      <c r="AI1913">
        <v>90.996814421358394</v>
      </c>
      <c r="AJ1913">
        <v>93.644553909012402</v>
      </c>
      <c r="AK1913">
        <v>67.330998795583994</v>
      </c>
      <c r="AL1913">
        <v>77.251270514232601</v>
      </c>
      <c r="AM1913">
        <v>89.510582348650004</v>
      </c>
      <c r="AN1913">
        <v>0.999999967888349</v>
      </c>
    </row>
    <row r="1914" spans="1:40" x14ac:dyDescent="0.25">
      <c r="A1914" t="str">
        <f>"20190303170800073"</f>
        <v>20190303170800073</v>
      </c>
      <c r="B1914" t="str">
        <f>"1551604080064152"</f>
        <v>1551604080064152</v>
      </c>
      <c r="C1914" t="s">
        <v>40</v>
      </c>
      <c r="D1914">
        <v>4.4142099999999997</v>
      </c>
      <c r="E1914">
        <v>0.48486839999999998</v>
      </c>
      <c r="F1914" t="s">
        <v>46</v>
      </c>
      <c r="G1914">
        <v>-529.9751</v>
      </c>
      <c r="H1914">
        <v>-0.05</v>
      </c>
      <c r="I1914">
        <v>280.90159999999997</v>
      </c>
      <c r="J1914">
        <v>-460.8809</v>
      </c>
      <c r="K1914">
        <v>1.1213409999999999</v>
      </c>
      <c r="L1914">
        <v>285.00599999999997</v>
      </c>
      <c r="M1914">
        <v>-0.9998785</v>
      </c>
      <c r="N1914">
        <v>-1.449344E-2</v>
      </c>
      <c r="O1914">
        <v>-5.7626530000000004E-3</v>
      </c>
      <c r="P1914">
        <v>-0.97865530000000001</v>
      </c>
      <c r="Q1914">
        <v>0.20550119999999999</v>
      </c>
      <c r="R1914">
        <v>1.8128669999999999E-3</v>
      </c>
      <c r="S1914">
        <v>-3.0775450000000002</v>
      </c>
      <c r="T1914">
        <v>-5.1695699999999997E-2</v>
      </c>
      <c r="U1914">
        <v>-0.18130489999999999</v>
      </c>
      <c r="V1914">
        <v>7.4616750000000001E-3</v>
      </c>
      <c r="W1914">
        <v>0.2196632</v>
      </c>
      <c r="X1914">
        <v>0.97554730000000001</v>
      </c>
      <c r="Y1914">
        <v>-5.3042079999999998E-2</v>
      </c>
      <c r="Z1914">
        <v>-8.1661169999999999E-4</v>
      </c>
      <c r="AA1914">
        <v>0.99859200000000004</v>
      </c>
      <c r="AB1914">
        <v>33</v>
      </c>
      <c r="AC1914">
        <v>-69.094200000000001</v>
      </c>
      <c r="AD1914">
        <v>-1.171341</v>
      </c>
      <c r="AE1914">
        <v>-4.1043999999999903</v>
      </c>
      <c r="AF1914">
        <v>-3.7050630839238101</v>
      </c>
      <c r="AG1914">
        <v>-1.171341</v>
      </c>
      <c r="AH1914">
        <v>69.096918740431093</v>
      </c>
      <c r="AI1914">
        <v>90.969800412728404</v>
      </c>
      <c r="AJ1914">
        <v>93.069331824339699</v>
      </c>
      <c r="AK1914">
        <v>69.206095913697297</v>
      </c>
      <c r="AL1914">
        <v>77.310748968069703</v>
      </c>
      <c r="AM1914">
        <v>89.5617699430709</v>
      </c>
      <c r="AN1914">
        <v>1.00000006628266</v>
      </c>
    </row>
    <row r="1915" spans="1:40" x14ac:dyDescent="0.25">
      <c r="A1915" t="str">
        <f>"20190303170800096"</f>
        <v>20190303170800096</v>
      </c>
      <c r="B1915" t="str">
        <f>"1551604080084649"</f>
        <v>1551604080084649</v>
      </c>
      <c r="C1915" t="s">
        <v>40</v>
      </c>
      <c r="D1915">
        <v>4.2961239999999998</v>
      </c>
      <c r="E1915">
        <v>0.48597509999999999</v>
      </c>
      <c r="F1915" t="s">
        <v>46</v>
      </c>
      <c r="G1915">
        <v>-526.12699999999995</v>
      </c>
      <c r="H1915">
        <v>-0.05</v>
      </c>
      <c r="I1915">
        <v>281.64659999999998</v>
      </c>
      <c r="J1915">
        <v>-461.21839999999997</v>
      </c>
      <c r="K1915">
        <v>1.1213379999999999</v>
      </c>
      <c r="L1915">
        <v>285.00409999999999</v>
      </c>
      <c r="M1915">
        <v>-0.9998783</v>
      </c>
      <c r="N1915">
        <v>-1.4489989999999999E-2</v>
      </c>
      <c r="O1915">
        <v>-5.7628660000000002E-3</v>
      </c>
      <c r="P1915">
        <v>-0.97862119999999997</v>
      </c>
      <c r="Q1915">
        <v>0.20566580000000001</v>
      </c>
      <c r="R1915">
        <v>1.4619189999999999E-3</v>
      </c>
      <c r="S1915">
        <v>-3.0773320000000002</v>
      </c>
      <c r="T1915">
        <v>-5.524623E-2</v>
      </c>
      <c r="U1915">
        <v>-0.15844730000000001</v>
      </c>
      <c r="V1915">
        <v>7.1107339999999996E-3</v>
      </c>
      <c r="W1915">
        <v>0.21982370000000001</v>
      </c>
      <c r="X1915">
        <v>0.97551370000000004</v>
      </c>
      <c r="Y1915">
        <v>-4.5650469999999999E-2</v>
      </c>
      <c r="Z1915">
        <v>-7.2056859999999998E-4</v>
      </c>
      <c r="AA1915">
        <v>0.99895719999999999</v>
      </c>
      <c r="AB1915">
        <v>33</v>
      </c>
      <c r="AC1915">
        <v>-64.908599999999893</v>
      </c>
      <c r="AD1915">
        <v>-1.171338</v>
      </c>
      <c r="AE1915">
        <v>-3.3575000000000101</v>
      </c>
      <c r="AF1915">
        <v>-2.9823767171831799</v>
      </c>
      <c r="AG1915">
        <v>-1.171338</v>
      </c>
      <c r="AH1915">
        <v>64.905792192881293</v>
      </c>
      <c r="AI1915">
        <v>91.032800358790098</v>
      </c>
      <c r="AJ1915">
        <v>92.630851345424105</v>
      </c>
      <c r="AK1915">
        <v>64.984832567137801</v>
      </c>
      <c r="AL1915">
        <v>77.301321741285307</v>
      </c>
      <c r="AM1915">
        <v>89.582365853007303</v>
      </c>
      <c r="AN1915">
        <v>1.00000000025369</v>
      </c>
    </row>
    <row r="1916" spans="1:40" x14ac:dyDescent="0.25">
      <c r="A1916" t="str">
        <f>"20190303170800122"</f>
        <v>20190303170800122</v>
      </c>
      <c r="B1916" t="str">
        <f>"1551604080114904"</f>
        <v>1551604080114904</v>
      </c>
      <c r="C1916" t="s">
        <v>40</v>
      </c>
      <c r="D1916">
        <v>4.2760920000000002</v>
      </c>
      <c r="E1916">
        <v>0.48722779999999999</v>
      </c>
      <c r="F1916" t="s">
        <v>46</v>
      </c>
      <c r="G1916">
        <v>-527.678</v>
      </c>
      <c r="H1916">
        <v>-0.05</v>
      </c>
      <c r="I1916">
        <v>281.76650000000001</v>
      </c>
      <c r="J1916">
        <v>-461.59350000000001</v>
      </c>
      <c r="K1916">
        <v>1.12134</v>
      </c>
      <c r="L1916">
        <v>285.00200000000001</v>
      </c>
      <c r="M1916">
        <v>-0.99987859999999995</v>
      </c>
      <c r="N1916">
        <v>-1.448607E-2</v>
      </c>
      <c r="O1916">
        <v>-5.7630759999999998E-3</v>
      </c>
      <c r="P1916">
        <v>-0.97867890000000002</v>
      </c>
      <c r="Q1916">
        <v>0.20539450000000001</v>
      </c>
      <c r="R1916">
        <v>9.1041620000000001E-4</v>
      </c>
      <c r="S1916">
        <v>-3.0771480000000002</v>
      </c>
      <c r="T1916">
        <v>-5.4234150000000002E-2</v>
      </c>
      <c r="U1916">
        <v>-0.14990229999999999</v>
      </c>
      <c r="V1916">
        <v>6.5598100000000001E-3</v>
      </c>
      <c r="W1916">
        <v>0.21954969999999999</v>
      </c>
      <c r="X1916">
        <v>0.97557930000000004</v>
      </c>
      <c r="Y1916">
        <v>-4.288724E-2</v>
      </c>
      <c r="Z1916">
        <v>-6.7050479999999999E-4</v>
      </c>
      <c r="AA1916">
        <v>0.99907970000000001</v>
      </c>
      <c r="AB1916">
        <v>33</v>
      </c>
      <c r="AC1916">
        <v>-66.084499999999906</v>
      </c>
      <c r="AD1916">
        <v>-1.17134</v>
      </c>
      <c r="AE1916">
        <v>-3.2355</v>
      </c>
      <c r="AF1916">
        <v>-2.8536619527</v>
      </c>
      <c r="AG1916">
        <v>-1.17134</v>
      </c>
      <c r="AH1916">
        <v>66.081339489315496</v>
      </c>
      <c r="AI1916">
        <v>91.014557816832493</v>
      </c>
      <c r="AJ1916">
        <v>92.472729275963204</v>
      </c>
      <c r="AK1916">
        <v>66.153298123661699</v>
      </c>
      <c r="AL1916">
        <v>77.317414372832005</v>
      </c>
      <c r="AM1916">
        <v>89.614748116106597</v>
      </c>
      <c r="AN1916">
        <v>1.0000000362329</v>
      </c>
    </row>
    <row r="1917" spans="1:40" x14ac:dyDescent="0.25">
      <c r="A1917" t="str">
        <f>"20190303170800145"</f>
        <v>20190303170800145</v>
      </c>
      <c r="B1917" t="str">
        <f>"1551604080134423"</f>
        <v>1551604080134423</v>
      </c>
      <c r="C1917" t="s">
        <v>40</v>
      </c>
      <c r="D1917">
        <v>4.1817539999999997</v>
      </c>
      <c r="E1917">
        <v>0.4878555</v>
      </c>
      <c r="F1917" t="s">
        <v>46</v>
      </c>
      <c r="G1917">
        <v>-528.33920000000001</v>
      </c>
      <c r="H1917">
        <v>-0.05</v>
      </c>
      <c r="I1917">
        <v>281.94009999999997</v>
      </c>
      <c r="J1917">
        <v>-461.93329999999997</v>
      </c>
      <c r="K1917">
        <v>1.121343</v>
      </c>
      <c r="L1917">
        <v>285</v>
      </c>
      <c r="M1917">
        <v>-0.99987859999999995</v>
      </c>
      <c r="N1917">
        <v>-1.448254E-2</v>
      </c>
      <c r="O1917">
        <v>-5.7630519999999899E-3</v>
      </c>
      <c r="P1917">
        <v>-0.97871450000000004</v>
      </c>
      <c r="Q1917">
        <v>0.2052272</v>
      </c>
      <c r="R1917">
        <v>1.4277079999999999E-4</v>
      </c>
      <c r="S1917">
        <v>-3.0767820000000001</v>
      </c>
      <c r="T1917">
        <v>-5.3995370000000001E-2</v>
      </c>
      <c r="U1917">
        <v>-0.14114380000000001</v>
      </c>
      <c r="V1917">
        <v>5.7924980000000001E-3</v>
      </c>
      <c r="W1917">
        <v>0.21937950000000001</v>
      </c>
      <c r="X1917">
        <v>0.9756224</v>
      </c>
      <c r="Y1917">
        <v>-4.0056059999999998E-2</v>
      </c>
      <c r="Z1917">
        <v>-6.2388459999999999E-4</v>
      </c>
      <c r="AA1917">
        <v>0.99919720000000001</v>
      </c>
      <c r="AB1917">
        <v>33</v>
      </c>
      <c r="AC1917">
        <v>-66.405900000000003</v>
      </c>
      <c r="AD1917">
        <v>-1.171343</v>
      </c>
      <c r="AE1917">
        <v>-3.0599000000000198</v>
      </c>
      <c r="AF1917">
        <v>-2.6762774814069799</v>
      </c>
      <c r="AG1917">
        <v>-1.171343</v>
      </c>
      <c r="AH1917">
        <v>66.4018167692996</v>
      </c>
      <c r="AI1917">
        <v>91.009785971992997</v>
      </c>
      <c r="AJ1917">
        <v>92.308015997313902</v>
      </c>
      <c r="AK1917">
        <v>66.466049798711396</v>
      </c>
      <c r="AL1917">
        <v>77.327409237353393</v>
      </c>
      <c r="AM1917">
        <v>89.659825575364394</v>
      </c>
      <c r="AN1917">
        <v>0.99999999271754503</v>
      </c>
    </row>
    <row r="1918" spans="1:40" x14ac:dyDescent="0.25">
      <c r="A1918" t="str">
        <f>"20190303170800163"</f>
        <v>20190303170800163</v>
      </c>
      <c r="B1918" t="str">
        <f>"1551604080154920"</f>
        <v>1551604080154920</v>
      </c>
      <c r="C1918" t="s">
        <v>40</v>
      </c>
      <c r="D1918">
        <v>4.2957479999999997</v>
      </c>
      <c r="E1918">
        <v>0.48837029999999998</v>
      </c>
      <c r="F1918" t="s">
        <v>46</v>
      </c>
      <c r="G1918">
        <v>-527.44129999999996</v>
      </c>
      <c r="H1918">
        <v>-0.05</v>
      </c>
      <c r="I1918">
        <v>282.06319999999999</v>
      </c>
      <c r="J1918">
        <v>-462.20330000000001</v>
      </c>
      <c r="K1918">
        <v>1.1213420000000001</v>
      </c>
      <c r="L1918">
        <v>284.9984</v>
      </c>
      <c r="M1918">
        <v>-0.99987859999999995</v>
      </c>
      <c r="N1918">
        <v>-1.4479789999999999E-2</v>
      </c>
      <c r="O1918">
        <v>-5.7629140000000001E-3</v>
      </c>
      <c r="P1918">
        <v>-0.9788097</v>
      </c>
      <c r="Q1918">
        <v>0.20477129999999999</v>
      </c>
      <c r="R1918">
        <v>-8.0693609999999999E-4</v>
      </c>
      <c r="S1918">
        <v>-3.0768430000000002</v>
      </c>
      <c r="T1918">
        <v>-5.5016639999999999E-2</v>
      </c>
      <c r="U1918">
        <v>-0.13793949999999999</v>
      </c>
      <c r="V1918">
        <v>4.8430309999999898E-3</v>
      </c>
      <c r="W1918">
        <v>0.21892259999999999</v>
      </c>
      <c r="X1918">
        <v>0.97573019999999999</v>
      </c>
      <c r="Y1918">
        <v>-3.9016780000000001E-2</v>
      </c>
      <c r="Z1918">
        <v>-6.1172660000000003E-4</v>
      </c>
      <c r="AA1918">
        <v>0.99923839999999997</v>
      </c>
      <c r="AB1918">
        <v>33</v>
      </c>
      <c r="AC1918">
        <v>-65.2379999999999</v>
      </c>
      <c r="AD1918">
        <v>-1.1713420000000001</v>
      </c>
      <c r="AE1918">
        <v>-2.9352</v>
      </c>
      <c r="AF1918">
        <v>-2.5583277792223398</v>
      </c>
      <c r="AG1918">
        <v>-1.1713420000000001</v>
      </c>
      <c r="AH1918">
        <v>65.232846339512307</v>
      </c>
      <c r="AI1918">
        <v>91.027920878604107</v>
      </c>
      <c r="AJ1918">
        <v>92.245897740534005</v>
      </c>
      <c r="AK1918">
        <v>65.293501396856698</v>
      </c>
      <c r="AL1918">
        <v>77.354239891682496</v>
      </c>
      <c r="AM1918">
        <v>89.715615077148598</v>
      </c>
      <c r="AN1918">
        <v>0.99999999146603302</v>
      </c>
    </row>
    <row r="1919" spans="1:40" x14ac:dyDescent="0.25">
      <c r="A1919" t="str">
        <f>"20190303170800184"</f>
        <v>20190303170800184</v>
      </c>
      <c r="B1919" t="str">
        <f>"1551604080174440"</f>
        <v>1551604080174440</v>
      </c>
      <c r="C1919" t="s">
        <v>40</v>
      </c>
      <c r="D1919">
        <v>4.1353980000000004</v>
      </c>
      <c r="E1919">
        <v>0.48885790000000001</v>
      </c>
      <c r="F1919" t="s">
        <v>46</v>
      </c>
      <c r="G1919">
        <v>-526.95759999999996</v>
      </c>
      <c r="H1919">
        <v>-0.05</v>
      </c>
      <c r="I1919">
        <v>282.1207</v>
      </c>
      <c r="J1919">
        <v>-462.50900000000001</v>
      </c>
      <c r="K1919">
        <v>1.1213409999999999</v>
      </c>
      <c r="L1919">
        <v>284.99669999999998</v>
      </c>
      <c r="M1919">
        <v>-0.99987859999999995</v>
      </c>
      <c r="N1919">
        <v>-1.447668E-2</v>
      </c>
      <c r="O1919">
        <v>-5.7658960000000004E-3</v>
      </c>
      <c r="P1919">
        <v>-0.97879609999999995</v>
      </c>
      <c r="Q1919">
        <v>0.20483399999999999</v>
      </c>
      <c r="R1919">
        <v>-1.1893299999999999E-3</v>
      </c>
      <c r="S1919">
        <v>-3.0764770000000001</v>
      </c>
      <c r="T1919">
        <v>-5.5650350000000001E-2</v>
      </c>
      <c r="U1919">
        <v>-0.136718799999999</v>
      </c>
      <c r="V1919">
        <v>4.4626910000000004E-3</v>
      </c>
      <c r="W1919">
        <v>0.2189817</v>
      </c>
      <c r="X1919">
        <v>0.9757188</v>
      </c>
      <c r="Y1919">
        <v>-3.8623339999999999E-2</v>
      </c>
      <c r="Z1919">
        <v>-6.0809069999999995E-4</v>
      </c>
      <c r="AA1919">
        <v>0.99925359999999996</v>
      </c>
      <c r="AB1919">
        <v>33</v>
      </c>
      <c r="AC1919">
        <v>-64.4485999999999</v>
      </c>
      <c r="AD1919">
        <v>-1.171341</v>
      </c>
      <c r="AE1919">
        <v>-2.8759999999999701</v>
      </c>
      <c r="AF1919">
        <v>-2.50348400196448</v>
      </c>
      <c r="AG1919">
        <v>-1.171341</v>
      </c>
      <c r="AH1919">
        <v>64.442868206564199</v>
      </c>
      <c r="AI1919">
        <v>91.040533101368496</v>
      </c>
      <c r="AJ1919">
        <v>92.224714361414598</v>
      </c>
      <c r="AK1919">
        <v>64.502114186862002</v>
      </c>
      <c r="AL1919">
        <v>77.3507701104147</v>
      </c>
      <c r="AM1919">
        <v>89.7379454237944</v>
      </c>
      <c r="AN1919">
        <v>1.0000000386096399</v>
      </c>
    </row>
    <row r="1920" spans="1:40" x14ac:dyDescent="0.25">
      <c r="A1920" t="str">
        <f>"20190303170800206"</f>
        <v>20190303170800206</v>
      </c>
      <c r="B1920" t="str">
        <f>"1551604080194936"</f>
        <v>1551604080194936</v>
      </c>
      <c r="C1920" t="s">
        <v>40</v>
      </c>
      <c r="D1920">
        <v>4.1084170000000002</v>
      </c>
      <c r="E1920">
        <v>0.48921700000000001</v>
      </c>
      <c r="F1920" t="s">
        <v>46</v>
      </c>
      <c r="G1920">
        <v>-528.76419999999996</v>
      </c>
      <c r="H1920">
        <v>-0.05</v>
      </c>
      <c r="I1920">
        <v>282.09219999999999</v>
      </c>
      <c r="J1920">
        <v>-462.83080000000001</v>
      </c>
      <c r="K1920">
        <v>1.121353</v>
      </c>
      <c r="L1920">
        <v>284.9948</v>
      </c>
      <c r="M1920">
        <v>-0.99987859999999995</v>
      </c>
      <c r="N1920">
        <v>-1.4473379999999999E-2</v>
      </c>
      <c r="O1920">
        <v>-5.7807600000000002E-3</v>
      </c>
      <c r="P1920">
        <v>-0.97872870000000001</v>
      </c>
      <c r="Q1920">
        <v>0.205153</v>
      </c>
      <c r="R1920">
        <v>-1.663557E-3</v>
      </c>
      <c r="S1920">
        <v>-3.0762330000000002</v>
      </c>
      <c r="T1920">
        <v>-5.4385419999999997E-2</v>
      </c>
      <c r="U1920">
        <v>-0.13485720000000001</v>
      </c>
      <c r="V1920">
        <v>3.9994369999999998E-3</v>
      </c>
      <c r="W1920">
        <v>0.21929660000000001</v>
      </c>
      <c r="X1920">
        <v>0.97565000000000002</v>
      </c>
      <c r="Y1920">
        <v>-3.8009040000000001E-2</v>
      </c>
      <c r="Z1920">
        <v>-5.925374E-4</v>
      </c>
      <c r="AA1920">
        <v>0.99927719999999998</v>
      </c>
      <c r="AB1920">
        <v>33</v>
      </c>
      <c r="AC1920">
        <v>-65.933399999999907</v>
      </c>
      <c r="AD1920">
        <v>-1.1713530000000001</v>
      </c>
      <c r="AE1920">
        <v>-2.9026000000000001</v>
      </c>
      <c r="AF1920">
        <v>-2.52057241912205</v>
      </c>
      <c r="AG1920">
        <v>-1.1713530000000001</v>
      </c>
      <c r="AH1920">
        <v>65.928311046150299</v>
      </c>
      <c r="AI1920">
        <v>91.017128168858903</v>
      </c>
      <c r="AJ1920">
        <v>92.189466955850406</v>
      </c>
      <c r="AK1920">
        <v>65.986874077869402</v>
      </c>
      <c r="AL1920">
        <v>77.332277165417096</v>
      </c>
      <c r="AM1920">
        <v>89.765131371905795</v>
      </c>
      <c r="AN1920">
        <v>0.99999995838393696</v>
      </c>
    </row>
    <row r="1921" spans="1:40" x14ac:dyDescent="0.25">
      <c r="A1921" t="str">
        <f>"20190303170800230"</f>
        <v>20190303170800230</v>
      </c>
      <c r="B1921" t="str">
        <f>"1551604080224220"</f>
        <v>1551604080224220</v>
      </c>
      <c r="C1921" t="s">
        <v>40</v>
      </c>
      <c r="D1921">
        <v>4.0939909999999999</v>
      </c>
      <c r="E1921">
        <v>0.48964570000000002</v>
      </c>
      <c r="F1921" t="s">
        <v>46</v>
      </c>
      <c r="G1921">
        <v>-531.42110000000002</v>
      </c>
      <c r="H1921">
        <v>-0.05</v>
      </c>
      <c r="I1921">
        <v>282.01220000000001</v>
      </c>
      <c r="J1921">
        <v>-463.16739999999999</v>
      </c>
      <c r="K1921">
        <v>1.1213679999999999</v>
      </c>
      <c r="L1921">
        <v>284.99279999999999</v>
      </c>
      <c r="M1921">
        <v>-0.9998785</v>
      </c>
      <c r="N1921">
        <v>-1.4469879999999999E-2</v>
      </c>
      <c r="O1921">
        <v>-5.8266999999999998E-3</v>
      </c>
      <c r="P1921">
        <v>-0.97882179999999996</v>
      </c>
      <c r="Q1921">
        <v>0.2047031</v>
      </c>
      <c r="R1921">
        <v>-2.2038000000000001E-3</v>
      </c>
      <c r="S1921">
        <v>-3.0760190000000001</v>
      </c>
      <c r="T1921">
        <v>-5.2530769999999997E-2</v>
      </c>
      <c r="U1921">
        <v>-0.1337585</v>
      </c>
      <c r="V1921">
        <v>3.4953839999999998E-3</v>
      </c>
      <c r="W1921">
        <v>0.21884490000000001</v>
      </c>
      <c r="X1921">
        <v>0.97575339999999999</v>
      </c>
      <c r="Y1921">
        <v>-3.7610600000000001E-2</v>
      </c>
      <c r="Z1921">
        <v>-5.7809300000000001E-4</v>
      </c>
      <c r="AA1921">
        <v>0.99929230000000002</v>
      </c>
      <c r="AB1921">
        <v>33</v>
      </c>
      <c r="AC1921">
        <v>-68.253699999999995</v>
      </c>
      <c r="AD1921">
        <v>-1.171368</v>
      </c>
      <c r="AE1921">
        <v>-2.9805999999999799</v>
      </c>
      <c r="AF1921">
        <v>-2.5820549329553102</v>
      </c>
      <c r="AG1921">
        <v>-1.171368</v>
      </c>
      <c r="AH1921">
        <v>68.249846417397805</v>
      </c>
      <c r="AI1921">
        <v>90.982564693656897</v>
      </c>
      <c r="AJ1921">
        <v>92.166603096758706</v>
      </c>
      <c r="AK1921">
        <v>68.308715744527106</v>
      </c>
      <c r="AL1921">
        <v>77.358802556066905</v>
      </c>
      <c r="AM1921">
        <v>89.794753577769498</v>
      </c>
      <c r="AN1921">
        <v>1.0000000027884299</v>
      </c>
    </row>
    <row r="1922" spans="1:40" x14ac:dyDescent="0.25">
      <c r="A1922" t="str">
        <f>"20190303170800251"</f>
        <v>20190303170800251</v>
      </c>
      <c r="B1922" t="str">
        <f>"1551604080244040"</f>
        <v>1551604080244040</v>
      </c>
      <c r="C1922" t="s">
        <v>40</v>
      </c>
      <c r="D1922">
        <v>4.0810019999999998</v>
      </c>
      <c r="E1922">
        <v>0.48984349999999999</v>
      </c>
      <c r="F1922" t="s">
        <v>46</v>
      </c>
      <c r="G1922">
        <v>-531.61059999999998</v>
      </c>
      <c r="H1922">
        <v>-0.05</v>
      </c>
      <c r="I1922">
        <v>282.05560000000003</v>
      </c>
      <c r="J1922">
        <v>-463.48570000000001</v>
      </c>
      <c r="K1922">
        <v>1.1213919999999999</v>
      </c>
      <c r="L1922">
        <v>284.99079999999998</v>
      </c>
      <c r="M1922">
        <v>-0.99987780000000004</v>
      </c>
      <c r="N1922">
        <v>-1.446655E-2</v>
      </c>
      <c r="O1922">
        <v>-5.9222789999999999E-3</v>
      </c>
      <c r="P1922">
        <v>-0.97894440000000005</v>
      </c>
      <c r="Q1922">
        <v>0.2041183</v>
      </c>
      <c r="R1922">
        <v>-1.9683069999999999E-3</v>
      </c>
      <c r="S1922">
        <v>-3.0755919999999999</v>
      </c>
      <c r="T1922">
        <v>-5.2637099999999999E-2</v>
      </c>
      <c r="U1922">
        <v>-0.13198850000000001</v>
      </c>
      <c r="V1922">
        <v>3.8072710000000001E-3</v>
      </c>
      <c r="W1922">
        <v>0.2182595</v>
      </c>
      <c r="X1922">
        <v>0.97588339999999996</v>
      </c>
      <c r="Y1922">
        <v>-3.6947220000000003E-2</v>
      </c>
      <c r="Z1922">
        <v>-5.6776299999999999E-4</v>
      </c>
      <c r="AA1922">
        <v>0.99931700000000001</v>
      </c>
      <c r="AB1922">
        <v>33</v>
      </c>
      <c r="AC1922">
        <v>-68.124899999999897</v>
      </c>
      <c r="AD1922">
        <v>-1.171392</v>
      </c>
      <c r="AE1922">
        <v>-2.9351999999999498</v>
      </c>
      <c r="AF1922">
        <v>-2.5309047188276601</v>
      </c>
      <c r="AG1922">
        <v>-1.171392</v>
      </c>
      <c r="AH1922">
        <v>68.120986606655705</v>
      </c>
      <c r="AI1922">
        <v>90.984468177494705</v>
      </c>
      <c r="AJ1922">
        <v>92.127736245380902</v>
      </c>
      <c r="AK1922">
        <v>68.178049650731595</v>
      </c>
      <c r="AL1922">
        <v>77.393175138601507</v>
      </c>
      <c r="AM1922">
        <v>89.776469757524893</v>
      </c>
      <c r="AN1922">
        <v>1.0000000575241299</v>
      </c>
    </row>
    <row r="1923" spans="1:40" x14ac:dyDescent="0.25">
      <c r="A1923" t="str">
        <f>"20190303170800273"</f>
        <v>20190303170800273</v>
      </c>
      <c r="B1923" t="str">
        <f>"1551604080264537"</f>
        <v>1551604080264537</v>
      </c>
      <c r="C1923" t="s">
        <v>40</v>
      </c>
      <c r="D1923">
        <v>4.0711409999999999</v>
      </c>
      <c r="E1923">
        <v>0.49009469999999999</v>
      </c>
      <c r="F1923" t="s">
        <v>46</v>
      </c>
      <c r="G1923">
        <v>-530.33540000000005</v>
      </c>
      <c r="H1923">
        <v>-0.05</v>
      </c>
      <c r="I1923">
        <v>282.17099999999999</v>
      </c>
      <c r="J1923">
        <v>-463.80739999999997</v>
      </c>
      <c r="K1923">
        <v>1.1214360000000001</v>
      </c>
      <c r="L1923">
        <v>284.98880000000003</v>
      </c>
      <c r="M1923">
        <v>-0.99987709999999996</v>
      </c>
      <c r="N1923">
        <v>-1.446325E-2</v>
      </c>
      <c r="O1923">
        <v>-6.0709600000000002E-3</v>
      </c>
      <c r="P1923">
        <v>-0.97909080000000004</v>
      </c>
      <c r="Q1923">
        <v>0.20342009999999999</v>
      </c>
      <c r="R1923">
        <v>-1.431894E-3</v>
      </c>
      <c r="S1923">
        <v>-3.0754999999999999</v>
      </c>
      <c r="T1923">
        <v>-5.3891179999999997E-2</v>
      </c>
      <c r="U1923">
        <v>-0.12973019999999999</v>
      </c>
      <c r="V1923">
        <v>4.4671829999999996E-3</v>
      </c>
      <c r="W1923">
        <v>0.21756049999999999</v>
      </c>
      <c r="X1923">
        <v>0.97603660000000003</v>
      </c>
      <c r="Y1923">
        <v>-3.6067299999999997E-2</v>
      </c>
      <c r="Z1923">
        <v>-5.582785E-4</v>
      </c>
      <c r="AA1923">
        <v>0.99934920000000005</v>
      </c>
      <c r="AB1923">
        <v>32</v>
      </c>
      <c r="AC1923">
        <v>-66.528000000000006</v>
      </c>
      <c r="AD1923">
        <v>-1.1714359999999999</v>
      </c>
      <c r="AE1923">
        <v>-2.8178000000000298</v>
      </c>
      <c r="AF1923">
        <v>-2.4130702095151801</v>
      </c>
      <c r="AG1923">
        <v>-1.1714359999999999</v>
      </c>
      <c r="AH1923">
        <v>66.523293829965098</v>
      </c>
      <c r="AI1923">
        <v>91.008177713025901</v>
      </c>
      <c r="AJ1923">
        <v>92.077439914791299</v>
      </c>
      <c r="AK1923">
        <v>66.577351945883393</v>
      </c>
      <c r="AL1923">
        <v>77.434210108728095</v>
      </c>
      <c r="AM1923">
        <v>89.737767062171201</v>
      </c>
      <c r="AN1923">
        <v>0.99999998571188198</v>
      </c>
    </row>
    <row r="1924" spans="1:40" x14ac:dyDescent="0.25">
      <c r="A1924" t="str">
        <f>"20190303170800296"</f>
        <v>20190303170800296</v>
      </c>
      <c r="B1924" t="str">
        <f>"1551604080285033"</f>
        <v>1551604080285033</v>
      </c>
      <c r="C1924" t="s">
        <v>40</v>
      </c>
      <c r="D1924">
        <v>4.0518169999999998</v>
      </c>
      <c r="E1924">
        <v>0.49027670000000001</v>
      </c>
      <c r="F1924" t="s">
        <v>46</v>
      </c>
      <c r="G1924">
        <v>-528.75379999999996</v>
      </c>
      <c r="H1924">
        <v>-0.05</v>
      </c>
      <c r="I1924">
        <v>282.3381</v>
      </c>
      <c r="J1924">
        <v>-464.13490000000002</v>
      </c>
      <c r="K1924">
        <v>1.1214980000000001</v>
      </c>
      <c r="L1924">
        <v>284.98660000000001</v>
      </c>
      <c r="M1924">
        <v>-0.99987559999999998</v>
      </c>
      <c r="N1924">
        <v>-1.4459939999999999E-2</v>
      </c>
      <c r="O1924">
        <v>-6.3074359999999996E-3</v>
      </c>
      <c r="P1924">
        <v>-0.97907759999999999</v>
      </c>
      <c r="Q1924">
        <v>0.20348069999999999</v>
      </c>
      <c r="R1924">
        <v>-1.7351580000000001E-3</v>
      </c>
      <c r="S1924">
        <v>-3.0753780000000002</v>
      </c>
      <c r="T1924">
        <v>-5.5470470000000001E-2</v>
      </c>
      <c r="U1924">
        <v>-0.12551880000000001</v>
      </c>
      <c r="V1924">
        <v>4.3635640000000003E-3</v>
      </c>
      <c r="W1924">
        <v>0.21761820000000001</v>
      </c>
      <c r="X1924">
        <v>0.97602420000000001</v>
      </c>
      <c r="Y1924">
        <v>-3.4466440000000001E-2</v>
      </c>
      <c r="Z1924">
        <v>-5.3749250000000004E-4</v>
      </c>
      <c r="AA1924">
        <v>0.99940569999999895</v>
      </c>
      <c r="AB1924">
        <v>32</v>
      </c>
      <c r="AC1924">
        <v>-64.618899999999897</v>
      </c>
      <c r="AD1924">
        <v>-1.1714979999999999</v>
      </c>
      <c r="AE1924">
        <v>-2.6485000000000101</v>
      </c>
      <c r="AF1924">
        <v>-2.2400901074925899</v>
      </c>
      <c r="AG1924">
        <v>-1.1714979999999999</v>
      </c>
      <c r="AH1924">
        <v>64.613120347200706</v>
      </c>
      <c r="AI1924">
        <v>91.038090218503697</v>
      </c>
      <c r="AJ1924">
        <v>91.985607913224001</v>
      </c>
      <c r="AK1924">
        <v>64.662552781772604</v>
      </c>
      <c r="AL1924">
        <v>77.430822919336606</v>
      </c>
      <c r="AM1924">
        <v>89.743846376835094</v>
      </c>
      <c r="AN1924">
        <v>0.99999998032382997</v>
      </c>
    </row>
    <row r="1925" spans="1:40" x14ac:dyDescent="0.25">
      <c r="A1925" t="str">
        <f>"20190303170800321"</f>
        <v>20190303170800321</v>
      </c>
      <c r="B1925" t="str">
        <f>"1551604080314312"</f>
        <v>1551604080314312</v>
      </c>
      <c r="C1925" t="s">
        <v>40</v>
      </c>
      <c r="D1925">
        <v>4.0290179999999998</v>
      </c>
      <c r="E1925">
        <v>0.49046840000000003</v>
      </c>
      <c r="F1925" t="s">
        <v>46</v>
      </c>
      <c r="G1925">
        <v>-529.6943</v>
      </c>
      <c r="H1925">
        <v>-0.05</v>
      </c>
      <c r="I1925">
        <v>282.3193</v>
      </c>
      <c r="J1925">
        <v>-464.48230000000001</v>
      </c>
      <c r="K1925">
        <v>1.1215919999999999</v>
      </c>
      <c r="L1925">
        <v>284.98410000000001</v>
      </c>
      <c r="M1925">
        <v>-0.99987309999999996</v>
      </c>
      <c r="N1925">
        <v>-1.445663E-2</v>
      </c>
      <c r="O1925">
        <v>-6.6988600000000001E-3</v>
      </c>
      <c r="P1925">
        <v>-0.97909009999999996</v>
      </c>
      <c r="Q1925">
        <v>0.2034097</v>
      </c>
      <c r="R1925">
        <v>-2.6254120000000001E-3</v>
      </c>
      <c r="S1925">
        <v>-3.0753170000000001</v>
      </c>
      <c r="T1925">
        <v>-5.4953689999999999E-2</v>
      </c>
      <c r="U1925">
        <v>-0.12512210000000001</v>
      </c>
      <c r="V1925">
        <v>3.808283E-3</v>
      </c>
      <c r="W1925">
        <v>0.21754519999999999</v>
      </c>
      <c r="X1925">
        <v>0.97604279999999999</v>
      </c>
      <c r="Y1925">
        <v>-3.3947579999999998E-2</v>
      </c>
      <c r="Z1925">
        <v>-5.2586359999999999E-4</v>
      </c>
      <c r="AA1925">
        <v>0.99942350000000002</v>
      </c>
      <c r="AB1925">
        <v>32</v>
      </c>
      <c r="AC1925">
        <v>-65.211999999999904</v>
      </c>
      <c r="AD1925">
        <v>-1.171592</v>
      </c>
      <c r="AE1925">
        <v>-2.6648000000000098</v>
      </c>
      <c r="AF1925">
        <v>-2.2271308394591198</v>
      </c>
      <c r="AG1925">
        <v>-1.171592</v>
      </c>
      <c r="AH1925">
        <v>65.207377358644393</v>
      </c>
      <c r="AI1925">
        <v>91.028732504862006</v>
      </c>
      <c r="AJ1925">
        <v>91.956153102962205</v>
      </c>
      <c r="AK1925">
        <v>65.255917751443704</v>
      </c>
      <c r="AL1925">
        <v>77.435108201615506</v>
      </c>
      <c r="AM1925">
        <v>89.776446856800504</v>
      </c>
      <c r="AN1925">
        <v>0.99999998224714304</v>
      </c>
    </row>
    <row r="1926" spans="1:40" x14ac:dyDescent="0.25">
      <c r="A1926" t="str">
        <f>"20190303170800345"</f>
        <v>20190303170800345</v>
      </c>
      <c r="B1926" t="str">
        <f>"1551604080334809"</f>
        <v>1551604080334809</v>
      </c>
      <c r="C1926" t="s">
        <v>40</v>
      </c>
      <c r="D1926">
        <v>4.0384099999999998</v>
      </c>
      <c r="E1926">
        <v>0.49067670000000002</v>
      </c>
      <c r="F1926" t="s">
        <v>46</v>
      </c>
      <c r="G1926">
        <v>-530.93200000000002</v>
      </c>
      <c r="H1926">
        <v>-0.05</v>
      </c>
      <c r="I1926">
        <v>282.24990000000003</v>
      </c>
      <c r="J1926">
        <v>-464.82819999999998</v>
      </c>
      <c r="K1926">
        <v>1.1217159999999999</v>
      </c>
      <c r="L1926">
        <v>284.9812</v>
      </c>
      <c r="M1926">
        <v>-0.99986900000000001</v>
      </c>
      <c r="N1926">
        <v>-1.445375E-2</v>
      </c>
      <c r="O1926">
        <v>-7.2759859999999999E-3</v>
      </c>
      <c r="P1926">
        <v>-0.97908269999999997</v>
      </c>
      <c r="Q1926">
        <v>0.20341409999999999</v>
      </c>
      <c r="R1926">
        <v>-4.4571760000000002E-3</v>
      </c>
      <c r="S1926">
        <v>-3.0749819999999999</v>
      </c>
      <c r="T1926">
        <v>-5.421579E-2</v>
      </c>
      <c r="U1926">
        <v>-0.1265259</v>
      </c>
      <c r="V1926">
        <v>2.474515E-3</v>
      </c>
      <c r="W1926">
        <v>0.21754660000000001</v>
      </c>
      <c r="X1926">
        <v>0.97604679999999999</v>
      </c>
      <c r="Y1926">
        <v>-3.3830890000000002E-2</v>
      </c>
      <c r="Z1926">
        <v>-5.1964800000000005E-4</v>
      </c>
      <c r="AA1926">
        <v>0.99942739999999997</v>
      </c>
      <c r="AB1926">
        <v>32</v>
      </c>
      <c r="AC1926">
        <v>-66.103800000000007</v>
      </c>
      <c r="AD1926">
        <v>-1.171716</v>
      </c>
      <c r="AE1926">
        <v>-2.7312999999999699</v>
      </c>
      <c r="AF1926">
        <v>-2.24950151797553</v>
      </c>
      <c r="AG1926">
        <v>-1.171716</v>
      </c>
      <c r="AH1926">
        <v>66.1011919076048</v>
      </c>
      <c r="AI1926">
        <v>91.014936652420602</v>
      </c>
      <c r="AJ1926">
        <v>91.949090753883397</v>
      </c>
      <c r="AK1926">
        <v>66.149835578556306</v>
      </c>
      <c r="AL1926">
        <v>77.435026259932897</v>
      </c>
      <c r="AM1926">
        <v>89.854741635254399</v>
      </c>
      <c r="AN1926">
        <v>1.00000000109314</v>
      </c>
    </row>
    <row r="1927" spans="1:40" x14ac:dyDescent="0.25">
      <c r="A1927" t="str">
        <f>"20190303170800365"</f>
        <v>20190303170800365</v>
      </c>
      <c r="B1927" t="str">
        <f>"1551604080354836"</f>
        <v>1551604080354836</v>
      </c>
      <c r="C1927" t="s">
        <v>40</v>
      </c>
      <c r="D1927">
        <v>4.0672280000000001</v>
      </c>
      <c r="E1927">
        <v>0.49082360000000003</v>
      </c>
      <c r="F1927" t="s">
        <v>46</v>
      </c>
      <c r="G1927">
        <v>-531.82420000000002</v>
      </c>
      <c r="H1927">
        <v>-0.05</v>
      </c>
      <c r="I1927">
        <v>282.12790000000001</v>
      </c>
      <c r="J1927">
        <v>-465.1234</v>
      </c>
      <c r="K1927">
        <v>1.1218589999999999</v>
      </c>
      <c r="L1927">
        <v>284.97840000000002</v>
      </c>
      <c r="M1927">
        <v>-0.99986390000000003</v>
      </c>
      <c r="N1927">
        <v>-1.445185E-2</v>
      </c>
      <c r="O1927">
        <v>-7.9632669999999996E-3</v>
      </c>
      <c r="P1927">
        <v>-0.97907270000000002</v>
      </c>
      <c r="Q1927">
        <v>0.20338780000000001</v>
      </c>
      <c r="R1927">
        <v>-7.0930780000000001E-3</v>
      </c>
      <c r="S1927">
        <v>-3.0746769999999999</v>
      </c>
      <c r="T1927">
        <v>-5.3774120000000002E-2</v>
      </c>
      <c r="U1927">
        <v>-0.13095090000000001</v>
      </c>
      <c r="V1927">
        <v>4.3578490000000002E-4</v>
      </c>
      <c r="W1927">
        <v>0.21751719999999999</v>
      </c>
      <c r="X1927">
        <v>0.97605640000000005</v>
      </c>
      <c r="Y1927">
        <v>-3.458373E-2</v>
      </c>
      <c r="Z1927">
        <v>-5.2817439999999999E-4</v>
      </c>
      <c r="AA1927">
        <v>0.99940169999999995</v>
      </c>
      <c r="AB1927">
        <v>32</v>
      </c>
      <c r="AC1927">
        <v>-66.700800000000001</v>
      </c>
      <c r="AD1927">
        <v>-1.171859</v>
      </c>
      <c r="AE1927">
        <v>-2.85050000000001</v>
      </c>
      <c r="AF1927">
        <v>-2.3184835348886601</v>
      </c>
      <c r="AG1927">
        <v>-1.171859</v>
      </c>
      <c r="AH1927">
        <v>66.700835577575802</v>
      </c>
      <c r="AI1927">
        <v>91.005911772277798</v>
      </c>
      <c r="AJ1927">
        <v>91.990767572517896</v>
      </c>
      <c r="AK1927">
        <v>66.751405125017598</v>
      </c>
      <c r="AL1927">
        <v>77.436752185928697</v>
      </c>
      <c r="AM1927">
        <v>89.974418861567301</v>
      </c>
      <c r="AN1927">
        <v>1.00000000909263</v>
      </c>
    </row>
    <row r="1928" spans="1:40" x14ac:dyDescent="0.25">
      <c r="A1928" t="str">
        <f>"20190303170800387"</f>
        <v>20190303170800387</v>
      </c>
      <c r="B1928" t="str">
        <f>"1551604080374356"</f>
        <v>1551604080374356</v>
      </c>
      <c r="C1928" t="s">
        <v>40</v>
      </c>
      <c r="D1928">
        <v>4.0194900000000002</v>
      </c>
      <c r="E1928">
        <v>0.49101080000000003</v>
      </c>
      <c r="F1928" t="s">
        <v>46</v>
      </c>
      <c r="G1928">
        <v>-532.64229999999998</v>
      </c>
      <c r="H1928">
        <v>-0.05</v>
      </c>
      <c r="I1928">
        <v>281.93270000000001</v>
      </c>
      <c r="J1928">
        <v>-465.42939999999999</v>
      </c>
      <c r="K1928">
        <v>1.122045</v>
      </c>
      <c r="L1928">
        <v>284.9751</v>
      </c>
      <c r="M1928">
        <v>-0.99985599999999997</v>
      </c>
      <c r="N1928">
        <v>-1.4450859999999999E-2</v>
      </c>
      <c r="O1928">
        <v>-8.9011430000000002E-3</v>
      </c>
      <c r="P1928">
        <v>-0.97904360000000001</v>
      </c>
      <c r="Q1928">
        <v>0.20339750000000001</v>
      </c>
      <c r="R1928">
        <v>-1.01707E-2</v>
      </c>
      <c r="S1928">
        <v>-3.0741580000000002</v>
      </c>
      <c r="T1928">
        <v>-5.3355100000000003E-2</v>
      </c>
      <c r="U1928">
        <v>-0.13867189999999999</v>
      </c>
      <c r="V1928">
        <v>-1.821015E-3</v>
      </c>
      <c r="W1928">
        <v>0.2175223</v>
      </c>
      <c r="X1928">
        <v>0.97605370000000002</v>
      </c>
      <c r="Y1928">
        <v>-3.6158330000000002E-2</v>
      </c>
      <c r="Z1928">
        <v>-5.4922879999999997E-4</v>
      </c>
      <c r="AA1928">
        <v>0.99934590000000001</v>
      </c>
      <c r="AB1928">
        <v>32</v>
      </c>
      <c r="AC1928">
        <v>-67.212899999999905</v>
      </c>
      <c r="AD1928">
        <v>-1.172045</v>
      </c>
      <c r="AE1928">
        <v>-3.0423999999999798</v>
      </c>
      <c r="AF1928">
        <v>-2.4432039562529799</v>
      </c>
      <c r="AG1928">
        <v>-1.172045</v>
      </c>
      <c r="AH1928">
        <v>67.216923090002794</v>
      </c>
      <c r="AI1928">
        <v>90.998292109873205</v>
      </c>
      <c r="AJ1928">
        <v>92.081673319214303</v>
      </c>
      <c r="AK1928">
        <v>67.271522093239597</v>
      </c>
      <c r="AL1928">
        <v>77.436453282823607</v>
      </c>
      <c r="AM1928">
        <v>90.106896119416305</v>
      </c>
      <c r="AN1928">
        <v>1.0000000461883001</v>
      </c>
    </row>
    <row r="1929" spans="1:40" x14ac:dyDescent="0.25">
      <c r="A1929" t="str">
        <f>"20190303170800410"</f>
        <v>20190303170800410</v>
      </c>
      <c r="B1929" t="str">
        <f>"1551604080404611"</f>
        <v>1551604080404611</v>
      </c>
      <c r="C1929" t="s">
        <v>40</v>
      </c>
      <c r="D1929">
        <v>4.0423249999999999</v>
      </c>
      <c r="E1929">
        <v>0.4912687</v>
      </c>
      <c r="F1929" t="s">
        <v>46</v>
      </c>
      <c r="G1929">
        <v>-533.24099999999999</v>
      </c>
      <c r="H1929">
        <v>-0.05</v>
      </c>
      <c r="I1929">
        <v>281.74610000000001</v>
      </c>
      <c r="J1929">
        <v>-465.76049999999998</v>
      </c>
      <c r="K1929">
        <v>1.1222829999999999</v>
      </c>
      <c r="L1929">
        <v>284.97089999999997</v>
      </c>
      <c r="M1929">
        <v>-0.99984360000000005</v>
      </c>
      <c r="N1929">
        <v>-1.4451230000000001E-2</v>
      </c>
      <c r="O1929">
        <v>-1.0207519999999999E-2</v>
      </c>
      <c r="P1929">
        <v>-0.97888350000000002</v>
      </c>
      <c r="Q1929">
        <v>0.2039726</v>
      </c>
      <c r="R1929">
        <v>-1.351289E-2</v>
      </c>
      <c r="S1929">
        <v>-3.0737610000000002</v>
      </c>
      <c r="T1929">
        <v>-5.3126340000000001E-2</v>
      </c>
      <c r="U1929">
        <v>-0.146362299999999</v>
      </c>
      <c r="V1929">
        <v>-4.0102810000000001E-3</v>
      </c>
      <c r="W1929">
        <v>0.2180906</v>
      </c>
      <c r="X1929">
        <v>0.97592029999999996</v>
      </c>
      <c r="Y1929">
        <v>-3.73531E-2</v>
      </c>
      <c r="Z1929">
        <v>-5.6384389999999897E-4</v>
      </c>
      <c r="AA1929">
        <v>0.99930200000000002</v>
      </c>
      <c r="AB1929">
        <v>32</v>
      </c>
      <c r="AC1929">
        <v>-67.480500000000006</v>
      </c>
      <c r="AD1929">
        <v>-1.172283</v>
      </c>
      <c r="AE1929">
        <v>-3.2247999999999601</v>
      </c>
      <c r="AF1929">
        <v>-2.53498826077112</v>
      </c>
      <c r="AG1929">
        <v>-1.172283</v>
      </c>
      <c r="AH1929">
        <v>67.489582868934804</v>
      </c>
      <c r="AI1929">
        <v>90.994417139421401</v>
      </c>
      <c r="AJ1929">
        <v>92.151085760756203</v>
      </c>
      <c r="AK1929">
        <v>67.547347903060995</v>
      </c>
      <c r="AL1929">
        <v>77.403090696302499</v>
      </c>
      <c r="AM1929">
        <v>90.235440212362704</v>
      </c>
      <c r="AN1929">
        <v>1.00000001205707</v>
      </c>
    </row>
    <row r="1930" spans="1:40" x14ac:dyDescent="0.25">
      <c r="A1930" t="str">
        <f>"20190303170800432"</f>
        <v>20190303170800432</v>
      </c>
      <c r="B1930" t="str">
        <f>"1551604080425108"</f>
        <v>1551604080425108</v>
      </c>
      <c r="C1930" t="s">
        <v>40</v>
      </c>
      <c r="D1930">
        <v>4.0372919999999999</v>
      </c>
      <c r="E1930">
        <v>0.49147059999999998</v>
      </c>
      <c r="F1930" t="s">
        <v>46</v>
      </c>
      <c r="G1930">
        <v>-536.28520000000003</v>
      </c>
      <c r="H1930">
        <v>-0.05</v>
      </c>
      <c r="I1930">
        <v>281.42020000000002</v>
      </c>
      <c r="J1930">
        <v>-466.10019999999997</v>
      </c>
      <c r="K1930">
        <v>1.122557</v>
      </c>
      <c r="L1930">
        <v>284.96559999999999</v>
      </c>
      <c r="M1930">
        <v>-0.9998243</v>
      </c>
      <c r="N1930">
        <v>-1.445373E-2</v>
      </c>
      <c r="O1930">
        <v>-1.194198E-2</v>
      </c>
      <c r="P1930">
        <v>-0.97878770000000004</v>
      </c>
      <c r="Q1930">
        <v>0.20421030000000001</v>
      </c>
      <c r="R1930">
        <v>-1.6529080000000002E-2</v>
      </c>
      <c r="S1930">
        <v>-3.0731809999999999</v>
      </c>
      <c r="T1930">
        <v>-5.1083330000000003E-2</v>
      </c>
      <c r="U1930">
        <v>-0.1547241</v>
      </c>
      <c r="V1930">
        <v>-5.4712010000000002E-3</v>
      </c>
      <c r="W1930">
        <v>0.2183233</v>
      </c>
      <c r="X1930">
        <v>0.97586119999999998</v>
      </c>
      <c r="Y1930">
        <v>-3.8341319999999998E-2</v>
      </c>
      <c r="Z1930">
        <v>-5.6992459999999996E-4</v>
      </c>
      <c r="AA1930">
        <v>0.9992645</v>
      </c>
      <c r="AB1930">
        <v>32</v>
      </c>
      <c r="AC1930">
        <v>-70.185000000000002</v>
      </c>
      <c r="AD1930">
        <v>-1.1725570000000001</v>
      </c>
      <c r="AE1930">
        <v>-3.5453999999999701</v>
      </c>
      <c r="AF1930">
        <v>-2.7061583665622999</v>
      </c>
      <c r="AG1930">
        <v>-1.1725570000000001</v>
      </c>
      <c r="AH1930">
        <v>70.202793114727399</v>
      </c>
      <c r="AI1930">
        <v>90.956179566571706</v>
      </c>
      <c r="AJ1930">
        <v>92.207529304908405</v>
      </c>
      <c r="AK1930">
        <v>70.264716210430805</v>
      </c>
      <c r="AL1930">
        <v>77.389429102008407</v>
      </c>
      <c r="AM1930">
        <v>90.3212274877813</v>
      </c>
      <c r="AN1930">
        <v>1.00000003951435</v>
      </c>
    </row>
    <row r="1931" spans="1:40" x14ac:dyDescent="0.25">
      <c r="A1931" t="str">
        <f>"20190303170800455"</f>
        <v>20190303170800455</v>
      </c>
      <c r="B1931" t="str">
        <f>"1551604080444628"</f>
        <v>1551604080444628</v>
      </c>
      <c r="C1931" t="s">
        <v>40</v>
      </c>
      <c r="D1931">
        <v>4.0537720000000004</v>
      </c>
      <c r="E1931">
        <v>0.49171019999999999</v>
      </c>
      <c r="F1931" t="s">
        <v>46</v>
      </c>
      <c r="G1931">
        <v>-537.74659999999994</v>
      </c>
      <c r="H1931">
        <v>-0.05</v>
      </c>
      <c r="I1931">
        <v>281.18290000000002</v>
      </c>
      <c r="J1931">
        <v>-466.41860000000003</v>
      </c>
      <c r="K1931">
        <v>1.1227929999999999</v>
      </c>
      <c r="L1931">
        <v>284.9599</v>
      </c>
      <c r="M1931">
        <v>-0.99979969999999996</v>
      </c>
      <c r="N1931">
        <v>-1.445714E-2</v>
      </c>
      <c r="O1931">
        <v>-1.385198E-2</v>
      </c>
      <c r="P1931">
        <v>-0.97862839999999995</v>
      </c>
      <c r="Q1931">
        <v>0.20476150000000001</v>
      </c>
      <c r="R1931">
        <v>-1.8967729999999999E-2</v>
      </c>
      <c r="S1931">
        <v>-3.0727229999999999</v>
      </c>
      <c r="T1931">
        <v>-5.028784E-2</v>
      </c>
      <c r="U1931">
        <v>-0.1622314</v>
      </c>
      <c r="V1931">
        <v>-6.1698100000000004E-3</v>
      </c>
      <c r="W1931">
        <v>0.2188705</v>
      </c>
      <c r="X1931">
        <v>0.9757344</v>
      </c>
      <c r="Y1931">
        <v>-3.8874859999999997E-2</v>
      </c>
      <c r="Z1931">
        <v>-5.7277519999999896E-4</v>
      </c>
      <c r="AA1931">
        <v>0.99924389999999996</v>
      </c>
      <c r="AB1931">
        <v>32</v>
      </c>
      <c r="AC1931">
        <v>-71.327999999999903</v>
      </c>
      <c r="AD1931">
        <v>-1.172793</v>
      </c>
      <c r="AE1931">
        <v>-3.7769999999999802</v>
      </c>
      <c r="AF1931">
        <v>-2.7877488542212698</v>
      </c>
      <c r="AG1931">
        <v>-1.172793</v>
      </c>
      <c r="AH1931">
        <v>71.354243002844001</v>
      </c>
      <c r="AI1931">
        <v>90.940922708994506</v>
      </c>
      <c r="AJ1931">
        <v>92.237358883390698</v>
      </c>
      <c r="AK1931">
        <v>71.418309848413401</v>
      </c>
      <c r="AL1931">
        <v>77.357299187729794</v>
      </c>
      <c r="AM1931">
        <v>90.362290559882098</v>
      </c>
      <c r="AN1931">
        <v>0.99999999083452296</v>
      </c>
    </row>
    <row r="1932" spans="1:40" x14ac:dyDescent="0.25">
      <c r="A1932" t="str">
        <f>"20190303170800475"</f>
        <v>20190303170800475</v>
      </c>
      <c r="B1932" t="str">
        <f>"1551604080464148"</f>
        <v>1551604080464148</v>
      </c>
      <c r="C1932" t="s">
        <v>40</v>
      </c>
      <c r="D1932">
        <v>4.1928089999999996</v>
      </c>
      <c r="E1932">
        <v>0.49168840000000003</v>
      </c>
      <c r="F1932" t="s">
        <v>46</v>
      </c>
      <c r="G1932">
        <v>-541.03579999999999</v>
      </c>
      <c r="H1932">
        <v>-0.05</v>
      </c>
      <c r="I1932">
        <v>280.88119999999998</v>
      </c>
      <c r="J1932">
        <v>-466.7097</v>
      </c>
      <c r="K1932">
        <v>1.1229929999999999</v>
      </c>
      <c r="L1932">
        <v>284.95389999999998</v>
      </c>
      <c r="M1932">
        <v>-0.99976969999999998</v>
      </c>
      <c r="N1932">
        <v>-1.445986E-2</v>
      </c>
      <c r="O1932">
        <v>-1.585377E-2</v>
      </c>
      <c r="P1932">
        <v>-0.97853710000000005</v>
      </c>
      <c r="Q1932">
        <v>0.20492299999999999</v>
      </c>
      <c r="R1932">
        <v>-2.1722390000000001E-2</v>
      </c>
      <c r="S1932">
        <v>-3.0723569999999998</v>
      </c>
      <c r="T1932">
        <v>-4.8289659999999998E-2</v>
      </c>
      <c r="U1932">
        <v>-0.16793820000000001</v>
      </c>
      <c r="V1932">
        <v>-7.077285E-3</v>
      </c>
      <c r="W1932">
        <v>0.21902820000000001</v>
      </c>
      <c r="X1932">
        <v>0.97569289999999997</v>
      </c>
      <c r="Y1932">
        <v>-3.8731750000000002E-2</v>
      </c>
      <c r="Z1932">
        <v>-5.6459119999999999E-4</v>
      </c>
      <c r="AA1932">
        <v>0.99924950000000001</v>
      </c>
      <c r="AB1932">
        <v>32</v>
      </c>
      <c r="AC1932">
        <v>-74.326099999999997</v>
      </c>
      <c r="AD1932">
        <v>-1.172993</v>
      </c>
      <c r="AE1932">
        <v>-4.0726999999999904</v>
      </c>
      <c r="AF1932">
        <v>-2.89299748851567</v>
      </c>
      <c r="AG1932">
        <v>-1.172993</v>
      </c>
      <c r="AH1932">
        <v>74.362865675838407</v>
      </c>
      <c r="AI1932">
        <v>90.903020415047706</v>
      </c>
      <c r="AJ1932">
        <v>92.227899585747494</v>
      </c>
      <c r="AK1932">
        <v>74.428362460619795</v>
      </c>
      <c r="AL1932">
        <v>77.348039558216101</v>
      </c>
      <c r="AM1932">
        <v>90.415593317741298</v>
      </c>
      <c r="AN1932">
        <v>1.0000000377343099</v>
      </c>
    </row>
    <row r="1933" spans="1:40" x14ac:dyDescent="0.25">
      <c r="A1933" t="str">
        <f>"20190303170800497"</f>
        <v>20190303170800497</v>
      </c>
      <c r="B1933" t="str">
        <f>"1551604080484644"</f>
        <v>1551604080484644</v>
      </c>
      <c r="C1933" t="s">
        <v>40</v>
      </c>
      <c r="D1933">
        <v>4.2235899999999997</v>
      </c>
      <c r="E1933">
        <v>0.45028889999999999</v>
      </c>
      <c r="F1933" t="s">
        <v>46</v>
      </c>
      <c r="G1933">
        <v>-541.91420000000005</v>
      </c>
      <c r="H1933">
        <v>-0.05</v>
      </c>
      <c r="I1933">
        <v>280.61900000000003</v>
      </c>
      <c r="J1933">
        <v>-467.0249</v>
      </c>
      <c r="K1933">
        <v>1.123224</v>
      </c>
      <c r="L1933">
        <v>284.94639999999998</v>
      </c>
      <c r="M1933">
        <v>-0.99972760000000005</v>
      </c>
      <c r="N1933">
        <v>-1.4463149999999999E-2</v>
      </c>
      <c r="O1933">
        <v>-1.8316260000000001E-2</v>
      </c>
      <c r="P1933">
        <v>-0.97863219999999995</v>
      </c>
      <c r="Q1933">
        <v>0.204098</v>
      </c>
      <c r="R1933">
        <v>-2.4967779999999998E-2</v>
      </c>
      <c r="S1933">
        <v>-3.071869</v>
      </c>
      <c r="T1933">
        <v>-4.7913070000000002E-2</v>
      </c>
      <c r="U1933">
        <v>-0.177063</v>
      </c>
      <c r="V1933">
        <v>-8.0269780000000006E-3</v>
      </c>
      <c r="W1933">
        <v>0.2182009</v>
      </c>
      <c r="X1933">
        <v>0.97587080000000004</v>
      </c>
      <c r="Y1933">
        <v>-3.923799E-2</v>
      </c>
      <c r="Z1933">
        <v>-5.6913660000000002E-4</v>
      </c>
      <c r="AA1933">
        <v>0.9992297</v>
      </c>
      <c r="AB1933">
        <v>32</v>
      </c>
      <c r="AC1933">
        <v>-74.889300000000006</v>
      </c>
      <c r="AD1933">
        <v>-1.173224</v>
      </c>
      <c r="AE1933">
        <v>-4.3273999999999502</v>
      </c>
      <c r="AF1933">
        <v>-2.95411587119884</v>
      </c>
      <c r="AG1933">
        <v>-1.173224</v>
      </c>
      <c r="AH1933">
        <v>74.937673738357503</v>
      </c>
      <c r="AI1933">
        <v>90.896253266211403</v>
      </c>
      <c r="AJ1933">
        <v>92.257486365199696</v>
      </c>
      <c r="AK1933">
        <v>75.0050544993546</v>
      </c>
      <c r="AL1933">
        <v>77.396614111706299</v>
      </c>
      <c r="AM1933">
        <v>90.471273031036503</v>
      </c>
      <c r="AN1933">
        <v>0.99999994171462903</v>
      </c>
    </row>
    <row r="1934" spans="1:40" x14ac:dyDescent="0.25">
      <c r="A1934" t="str">
        <f>"20190303170800523"</f>
        <v>20190303170800523</v>
      </c>
      <c r="B1934" t="str">
        <f>"1551604080514899"</f>
        <v>1551604080514899</v>
      </c>
      <c r="C1934" t="s">
        <v>40</v>
      </c>
      <c r="D1934">
        <v>4.1995959999999997</v>
      </c>
      <c r="E1934">
        <v>0.42718899999999999</v>
      </c>
      <c r="F1934" t="s">
        <v>70</v>
      </c>
      <c r="G1934">
        <v>-511.95890000000003</v>
      </c>
      <c r="H1934">
        <v>0.672435</v>
      </c>
      <c r="I1934">
        <v>277.36</v>
      </c>
      <c r="J1934">
        <v>-467.39760000000001</v>
      </c>
      <c r="K1934">
        <v>1.123499</v>
      </c>
      <c r="L1934">
        <v>284.93619999999999</v>
      </c>
      <c r="M1934">
        <v>-0.99966219999999995</v>
      </c>
      <c r="N1934">
        <v>-1.446853E-2</v>
      </c>
      <c r="O1934">
        <v>-2.158736E-2</v>
      </c>
      <c r="P1934">
        <v>-0.97864119999999999</v>
      </c>
      <c r="Q1934">
        <v>0.2034069</v>
      </c>
      <c r="R1934">
        <v>-2.9782429999999999E-2</v>
      </c>
      <c r="S1934">
        <v>-3.058716</v>
      </c>
      <c r="T1934">
        <v>-3.0680180000000001E-2</v>
      </c>
      <c r="U1934">
        <v>-0.5164185</v>
      </c>
      <c r="V1934">
        <v>-9.7781729999999994E-3</v>
      </c>
      <c r="W1934">
        <v>0.21750330000000001</v>
      </c>
      <c r="X1934">
        <v>0.97601059999999995</v>
      </c>
      <c r="Y1934">
        <v>-0.1451344</v>
      </c>
      <c r="Z1934">
        <v>-1.8756140000000001E-3</v>
      </c>
      <c r="AA1934">
        <v>0.98941020000000002</v>
      </c>
      <c r="AB1934">
        <v>32</v>
      </c>
      <c r="AC1934">
        <v>-44.561300000000003</v>
      </c>
      <c r="AD1934">
        <v>-0.45106400000000002</v>
      </c>
      <c r="AE1934">
        <v>-7.5761999999999698</v>
      </c>
      <c r="AF1934">
        <v>-6.6117141095188199</v>
      </c>
      <c r="AG1934">
        <v>-0.45106400000000002</v>
      </c>
      <c r="AH1934">
        <v>44.710028449720099</v>
      </c>
      <c r="AI1934">
        <v>90.5717997180369</v>
      </c>
      <c r="AJ1934">
        <v>98.411928498136007</v>
      </c>
      <c r="AK1934">
        <v>45.198505132060397</v>
      </c>
      <c r="AL1934">
        <v>77.437567949439</v>
      </c>
      <c r="AM1934">
        <v>90.573999197590695</v>
      </c>
      <c r="AN1934">
        <v>0.99999999474523305</v>
      </c>
    </row>
    <row r="1935" spans="1:40" x14ac:dyDescent="0.25">
      <c r="A1935" t="str">
        <f>"20190303170800548"</f>
        <v>20190303170800548</v>
      </c>
      <c r="B1935" t="str">
        <f>"1551604080534420"</f>
        <v>1551604080534420</v>
      </c>
      <c r="C1935" t="s">
        <v>40</v>
      </c>
      <c r="D1935">
        <v>4.2176900000000002</v>
      </c>
      <c r="E1935">
        <v>0.41952889999999998</v>
      </c>
      <c r="F1935" t="s">
        <v>70</v>
      </c>
      <c r="G1935">
        <v>-512.82560000000001</v>
      </c>
      <c r="H1935">
        <v>1.169308</v>
      </c>
      <c r="I1935">
        <v>274.30470000000003</v>
      </c>
      <c r="J1935">
        <v>-467.73419999999999</v>
      </c>
      <c r="K1935">
        <v>1.1237349999999999</v>
      </c>
      <c r="L1935">
        <v>284.92579999999998</v>
      </c>
      <c r="M1935">
        <v>-0.99958659999999999</v>
      </c>
      <c r="N1935">
        <v>-1.447442E-2</v>
      </c>
      <c r="O1935">
        <v>-2.484399E-2</v>
      </c>
      <c r="P1935">
        <v>-0.97853259999999997</v>
      </c>
      <c r="Q1935">
        <v>0.2031724</v>
      </c>
      <c r="R1935">
        <v>-3.4572800000000001E-2</v>
      </c>
      <c r="S1935">
        <v>-3.0431520000000001</v>
      </c>
      <c r="T1935">
        <v>3.07405E-3</v>
      </c>
      <c r="U1935">
        <v>-0.71218870000000001</v>
      </c>
      <c r="V1935">
        <v>-1.150589E-2</v>
      </c>
      <c r="W1935">
        <v>0.21726029999999999</v>
      </c>
      <c r="X1935">
        <v>0.97604590000000002</v>
      </c>
      <c r="Y1935">
        <v>-0.2036135</v>
      </c>
      <c r="Z1935">
        <v>-1.7716979999999999E-3</v>
      </c>
      <c r="AA1935">
        <v>0.97904970000000002</v>
      </c>
      <c r="AB1935">
        <v>32</v>
      </c>
      <c r="AC1935">
        <v>-45.0914</v>
      </c>
      <c r="AD1935">
        <v>4.5573000000000002E-2</v>
      </c>
      <c r="AE1935">
        <v>-10.621099999999901</v>
      </c>
      <c r="AF1935">
        <v>-9.4974442155502494</v>
      </c>
      <c r="AG1935">
        <v>4.5573000000000002E-2</v>
      </c>
      <c r="AH1935">
        <v>45.341333446998199</v>
      </c>
      <c r="AI1935">
        <v>89.943634753531498</v>
      </c>
      <c r="AJ1935">
        <v>101.830443829174</v>
      </c>
      <c r="AK1935">
        <v>46.325371474794402</v>
      </c>
      <c r="AL1935">
        <v>77.451832132980897</v>
      </c>
      <c r="AM1935">
        <v>90.675386682559306</v>
      </c>
      <c r="AN1935">
        <v>1.0000000111837899</v>
      </c>
    </row>
    <row r="1936" spans="1:40" x14ac:dyDescent="0.25">
      <c r="A1936" t="str">
        <f>"20190303170800568"</f>
        <v>20190303170800568</v>
      </c>
      <c r="B1936" t="str">
        <f>"1551604080564675"</f>
        <v>1551604080564675</v>
      </c>
      <c r="C1936" t="s">
        <v>40</v>
      </c>
      <c r="D1936">
        <v>4.2467269999999999</v>
      </c>
      <c r="E1936">
        <v>0.41361340000000002</v>
      </c>
      <c r="F1936" t="s">
        <v>70</v>
      </c>
      <c r="G1936">
        <v>-512.82560000000001</v>
      </c>
      <c r="H1936">
        <v>1.351874</v>
      </c>
      <c r="I1936">
        <v>273.2321</v>
      </c>
      <c r="J1936">
        <v>-468.03269999999998</v>
      </c>
      <c r="K1936">
        <v>1.123937</v>
      </c>
      <c r="L1936">
        <v>284.91520000000003</v>
      </c>
      <c r="M1936">
        <v>-0.99950430000000001</v>
      </c>
      <c r="N1936">
        <v>-1.447975E-2</v>
      </c>
      <c r="O1936">
        <v>-2.7960169999999999E-2</v>
      </c>
      <c r="P1936">
        <v>-0.97848880000000005</v>
      </c>
      <c r="Q1936">
        <v>0.20264099999999999</v>
      </c>
      <c r="R1936">
        <v>-3.8686930000000001E-2</v>
      </c>
      <c r="S1936">
        <v>-3.0347900000000001</v>
      </c>
      <c r="T1936">
        <v>1.535976E-2</v>
      </c>
      <c r="U1936">
        <v>-0.78701779999999999</v>
      </c>
      <c r="V1936">
        <v>-1.2670030000000001E-2</v>
      </c>
      <c r="W1936">
        <v>0.2167231</v>
      </c>
      <c r="X1936">
        <v>0.97615090000000004</v>
      </c>
      <c r="Y1936">
        <v>-0.22387219999999999</v>
      </c>
      <c r="Z1936">
        <v>-1.627692E-3</v>
      </c>
      <c r="AA1936">
        <v>0.97461719999999996</v>
      </c>
      <c r="AB1936">
        <v>32</v>
      </c>
      <c r="AC1936">
        <v>-44.792900000000003</v>
      </c>
      <c r="AD1936">
        <v>0.227936999999999</v>
      </c>
      <c r="AE1936">
        <v>-11.6831</v>
      </c>
      <c r="AF1936">
        <v>-10.4257303831853</v>
      </c>
      <c r="AG1936">
        <v>0.227936999999999</v>
      </c>
      <c r="AH1936">
        <v>45.100986189041201</v>
      </c>
      <c r="AI1936">
        <v>89.717873645229702</v>
      </c>
      <c r="AJ1936">
        <v>103.016097156675</v>
      </c>
      <c r="AK1936">
        <v>46.290892889670303</v>
      </c>
      <c r="AL1936">
        <v>77.483362619899097</v>
      </c>
      <c r="AM1936">
        <v>90.743633472252597</v>
      </c>
      <c r="AN1936">
        <v>1.00000000565231</v>
      </c>
    </row>
    <row r="1937" spans="1:40" x14ac:dyDescent="0.25">
      <c r="A1937" t="str">
        <f>"20190303170800587"</f>
        <v>20190303170800587</v>
      </c>
      <c r="B1937" t="str">
        <f>"1551604080574436"</f>
        <v>1551604080574436</v>
      </c>
      <c r="C1937" t="s">
        <v>40</v>
      </c>
      <c r="D1937">
        <v>4.2395940000000003</v>
      </c>
      <c r="E1937">
        <v>0.41233710000000001</v>
      </c>
      <c r="F1937" t="s">
        <v>70</v>
      </c>
      <c r="G1937">
        <v>-512.82560000000001</v>
      </c>
      <c r="H1937">
        <v>1.4986219999999999</v>
      </c>
      <c r="I1937">
        <v>272.38080000000002</v>
      </c>
      <c r="J1937">
        <v>-468.2876</v>
      </c>
      <c r="K1937">
        <v>1.12409</v>
      </c>
      <c r="L1937">
        <v>284.90530000000001</v>
      </c>
      <c r="M1937">
        <v>-0.99942149999999996</v>
      </c>
      <c r="N1937">
        <v>-1.448408E-2</v>
      </c>
      <c r="O1937">
        <v>-3.0775179999999999E-2</v>
      </c>
      <c r="P1937">
        <v>-0.97824610000000001</v>
      </c>
      <c r="Q1937">
        <v>0.20324130000000001</v>
      </c>
      <c r="R1937">
        <v>-4.156932E-2</v>
      </c>
      <c r="S1937">
        <v>-3.0272220000000001</v>
      </c>
      <c r="T1937">
        <v>2.532744E-2</v>
      </c>
      <c r="U1937">
        <v>-0.8471069</v>
      </c>
      <c r="V1937">
        <v>-1.2883790000000001E-2</v>
      </c>
      <c r="W1937">
        <v>0.21731990000000001</v>
      </c>
      <c r="X1937">
        <v>0.97601539999999998</v>
      </c>
      <c r="Y1937">
        <v>-0.23972389999999999</v>
      </c>
      <c r="Z1937">
        <v>-1.4751740000000001E-3</v>
      </c>
      <c r="AA1937">
        <v>0.97084000000000004</v>
      </c>
      <c r="AB1937">
        <v>32</v>
      </c>
      <c r="AC1937">
        <v>-44.537999999999997</v>
      </c>
      <c r="AD1937">
        <v>0.37453199999999898</v>
      </c>
      <c r="AE1937">
        <v>-12.5244999999999</v>
      </c>
      <c r="AF1937">
        <v>-11.1470271940261</v>
      </c>
      <c r="AG1937">
        <v>0.37453199999999898</v>
      </c>
      <c r="AH1937">
        <v>44.899441066934898</v>
      </c>
      <c r="AI1937">
        <v>89.536154584412898</v>
      </c>
      <c r="AJ1937">
        <v>103.94272578750299</v>
      </c>
      <c r="AK1937">
        <v>46.263984886805197</v>
      </c>
      <c r="AL1937">
        <v>77.448333523581695</v>
      </c>
      <c r="AM1937">
        <v>90.756283065976504</v>
      </c>
      <c r="AN1937">
        <v>0.99999999600896605</v>
      </c>
    </row>
    <row r="1938" spans="1:40" x14ac:dyDescent="0.25">
      <c r="A1938" t="str">
        <f>"20190303170800609"</f>
        <v>20190303170800609</v>
      </c>
      <c r="B1938" t="str">
        <f>"1551604080604692"</f>
        <v>1551604080604692</v>
      </c>
      <c r="C1938" t="s">
        <v>40</v>
      </c>
      <c r="D1938">
        <v>4.2619999999999996</v>
      </c>
      <c r="E1938">
        <v>0.40945409999999999</v>
      </c>
      <c r="F1938" t="s">
        <v>70</v>
      </c>
      <c r="G1938">
        <v>-512.82569999999998</v>
      </c>
      <c r="H1938">
        <v>1.5475350000000001</v>
      </c>
      <c r="I1938">
        <v>272.15140000000002</v>
      </c>
      <c r="J1938">
        <v>-468.61</v>
      </c>
      <c r="K1938">
        <v>1.1242479999999999</v>
      </c>
      <c r="L1938">
        <v>284.89170000000001</v>
      </c>
      <c r="M1938">
        <v>-0.99930050000000004</v>
      </c>
      <c r="N1938">
        <v>-1.4488539999999999E-2</v>
      </c>
      <c r="O1938">
        <v>-3.4478210000000002E-2</v>
      </c>
      <c r="P1938">
        <v>-0.97800489999999995</v>
      </c>
      <c r="Q1938">
        <v>0.20358989999999999</v>
      </c>
      <c r="R1938">
        <v>-4.5365959999999997E-2</v>
      </c>
      <c r="S1938">
        <v>-3.0239560000000001</v>
      </c>
      <c r="T1938">
        <v>2.8755550000000001E-2</v>
      </c>
      <c r="U1938">
        <v>-0.86593629999999999</v>
      </c>
      <c r="V1938">
        <v>-1.31485E-2</v>
      </c>
      <c r="W1938">
        <v>0.21766569999999999</v>
      </c>
      <c r="X1938">
        <v>0.97593479999999999</v>
      </c>
      <c r="Y1938">
        <v>-0.24199560000000001</v>
      </c>
      <c r="Z1938">
        <v>-1.47113E-3</v>
      </c>
      <c r="AA1938">
        <v>0.97027620000000003</v>
      </c>
      <c r="AB1938">
        <v>32</v>
      </c>
      <c r="AC1938">
        <v>-44.215699999999899</v>
      </c>
      <c r="AD1938">
        <v>0.42328700000000002</v>
      </c>
      <c r="AE1938">
        <v>-12.7402999999999</v>
      </c>
      <c r="AF1938">
        <v>-11.207137196787199</v>
      </c>
      <c r="AG1938">
        <v>0.42328700000000002</v>
      </c>
      <c r="AH1938">
        <v>44.624938634620797</v>
      </c>
      <c r="AI1938">
        <v>89.472908013699097</v>
      </c>
      <c r="AJ1938">
        <v>104.09773832359301</v>
      </c>
      <c r="AK1938">
        <v>46.012653087771902</v>
      </c>
      <c r="AL1938">
        <v>77.4280346127467</v>
      </c>
      <c r="AM1938">
        <v>90.771883511494394</v>
      </c>
      <c r="AN1938">
        <v>0.99999998692988901</v>
      </c>
    </row>
    <row r="1939" spans="1:40" x14ac:dyDescent="0.25">
      <c r="A1939" t="str">
        <f>"20190303170800631"</f>
        <v>20190303170800631</v>
      </c>
      <c r="B1939" t="str">
        <f>"1551604080624212"</f>
        <v>1551604080624212</v>
      </c>
      <c r="C1939" t="s">
        <v>40</v>
      </c>
      <c r="D1939">
        <v>4.2728979999999996</v>
      </c>
      <c r="E1939">
        <v>0.40816740000000001</v>
      </c>
      <c r="F1939" t="s">
        <v>70</v>
      </c>
      <c r="G1939">
        <v>-512.82569999999998</v>
      </c>
      <c r="H1939">
        <v>1.628576</v>
      </c>
      <c r="I1939">
        <v>271.70510000000002</v>
      </c>
      <c r="J1939">
        <v>-468.92140000000001</v>
      </c>
      <c r="K1939">
        <v>1.1243700000000001</v>
      </c>
      <c r="L1939">
        <v>284.87709999999998</v>
      </c>
      <c r="M1939">
        <v>-0.99916510000000003</v>
      </c>
      <c r="N1939">
        <v>-1.449246E-2</v>
      </c>
      <c r="O1939">
        <v>-3.8200159999999997E-2</v>
      </c>
      <c r="P1939">
        <v>-0.9779215</v>
      </c>
      <c r="Q1939">
        <v>0.20320089999999999</v>
      </c>
      <c r="R1939">
        <v>-4.8776689999999998E-2</v>
      </c>
      <c r="S1939">
        <v>-3.0185849999999999</v>
      </c>
      <c r="T1939">
        <v>3.4435510000000003E-2</v>
      </c>
      <c r="U1939">
        <v>-0.90023799999999898</v>
      </c>
      <c r="V1939">
        <v>-1.297653E-2</v>
      </c>
      <c r="W1939">
        <v>0.21727940000000001</v>
      </c>
      <c r="X1939">
        <v>0.97602319999999998</v>
      </c>
      <c r="Y1939">
        <v>-0.24899009999999999</v>
      </c>
      <c r="Z1939">
        <v>-1.421336E-3</v>
      </c>
      <c r="AA1939">
        <v>0.96850499999999995</v>
      </c>
      <c r="AB1939">
        <v>32</v>
      </c>
      <c r="AC1939">
        <v>-43.9042999999999</v>
      </c>
      <c r="AD1939">
        <v>0.50420599999999904</v>
      </c>
      <c r="AE1939">
        <v>-13.171999999999899</v>
      </c>
      <c r="AF1939">
        <v>-11.4836670699541</v>
      </c>
      <c r="AG1939">
        <v>0.50420599999999904</v>
      </c>
      <c r="AH1939">
        <v>44.370104552513098</v>
      </c>
      <c r="AI1939">
        <v>89.369705629748196</v>
      </c>
      <c r="AJ1939">
        <v>104.510623823686</v>
      </c>
      <c r="AK1939">
        <v>45.834866761723397</v>
      </c>
      <c r="AL1939">
        <v>77.450710954136696</v>
      </c>
      <c r="AM1939">
        <v>90.761720211187694</v>
      </c>
      <c r="AN1939">
        <v>1.0000000074667199</v>
      </c>
    </row>
    <row r="1940" spans="1:40" x14ac:dyDescent="0.25">
      <c r="A1940" t="str">
        <f>"20190303170800653"</f>
        <v>20190303170800653</v>
      </c>
      <c r="B1940" t="str">
        <f>"1551604080644708"</f>
        <v>1551604080644708</v>
      </c>
      <c r="C1940" t="s">
        <v>40</v>
      </c>
      <c r="D1940">
        <v>4.2802049999999996</v>
      </c>
      <c r="E1940">
        <v>0.4071515</v>
      </c>
      <c r="F1940" t="s">
        <v>70</v>
      </c>
      <c r="G1940">
        <v>-512.82569999999998</v>
      </c>
      <c r="H1940">
        <v>1.6282909999999999</v>
      </c>
      <c r="I1940">
        <v>271.46910000000003</v>
      </c>
      <c r="J1940">
        <v>-469.22890000000001</v>
      </c>
      <c r="K1940">
        <v>1.1244609999999999</v>
      </c>
      <c r="L1940">
        <v>284.86149999999998</v>
      </c>
      <c r="M1940">
        <v>-0.99901410000000002</v>
      </c>
      <c r="N1940">
        <v>-1.449521E-2</v>
      </c>
      <c r="O1940">
        <v>-4.1963140000000003E-2</v>
      </c>
      <c r="P1940">
        <v>-0.97797970000000001</v>
      </c>
      <c r="Q1940">
        <v>0.2020469</v>
      </c>
      <c r="R1940">
        <v>-5.2282049999999997E-2</v>
      </c>
      <c r="S1940">
        <v>-3.0145870000000001</v>
      </c>
      <c r="T1940">
        <v>3.4605860000000002E-2</v>
      </c>
      <c r="U1940">
        <v>-0.92062379999999999</v>
      </c>
      <c r="V1940">
        <v>-1.282909E-2</v>
      </c>
      <c r="W1940">
        <v>0.21613009999999999</v>
      </c>
      <c r="X1940">
        <v>0.97628029999999999</v>
      </c>
      <c r="Y1940">
        <v>-0.25169619999999998</v>
      </c>
      <c r="Z1940">
        <v>-1.5184319999999999E-3</v>
      </c>
      <c r="AA1940">
        <v>0.96780509999999997</v>
      </c>
      <c r="AB1940">
        <v>32</v>
      </c>
      <c r="AC1940">
        <v>-43.596799999999902</v>
      </c>
      <c r="AD1940">
        <v>0.503829999999999</v>
      </c>
      <c r="AE1940">
        <v>-13.392399999999901</v>
      </c>
      <c r="AF1940">
        <v>-11.5495407901058</v>
      </c>
      <c r="AG1940">
        <v>0.503829999999999</v>
      </c>
      <c r="AH1940">
        <v>44.115052523160799</v>
      </c>
      <c r="AI1940">
        <v>89.366996055057896</v>
      </c>
      <c r="AJ1940">
        <v>104.67104333096999</v>
      </c>
      <c r="AK1940">
        <v>45.6046444592264</v>
      </c>
      <c r="AL1940">
        <v>77.518163962711597</v>
      </c>
      <c r="AM1940">
        <v>90.7528682148793</v>
      </c>
      <c r="AN1940">
        <v>1.00000001492216</v>
      </c>
    </row>
    <row r="1941" spans="1:40" x14ac:dyDescent="0.25">
      <c r="A1941" t="str">
        <f>"20190303170800675"</f>
        <v>20190303170800675</v>
      </c>
      <c r="B1941" t="str">
        <f>"1551604080664228"</f>
        <v>1551604080664228</v>
      </c>
      <c r="C1941" t="s">
        <v>40</v>
      </c>
      <c r="D1941">
        <v>4.2696870000000002</v>
      </c>
      <c r="E1941">
        <v>0.40634900000000002</v>
      </c>
      <c r="F1941" t="s">
        <v>70</v>
      </c>
      <c r="G1941">
        <v>-512.82569999999998</v>
      </c>
      <c r="H1941">
        <v>1.578025</v>
      </c>
      <c r="I1941">
        <v>271.26900000000001</v>
      </c>
      <c r="J1941">
        <v>-469.54719999999998</v>
      </c>
      <c r="K1941">
        <v>1.1245320000000001</v>
      </c>
      <c r="L1941">
        <v>284.84399999999999</v>
      </c>
      <c r="M1941">
        <v>-0.99883949999999999</v>
      </c>
      <c r="N1941">
        <v>-1.449692E-2</v>
      </c>
      <c r="O1941">
        <v>-4.5930070000000003E-2</v>
      </c>
      <c r="P1941">
        <v>-0.97766520000000001</v>
      </c>
      <c r="Q1941">
        <v>0.2023085</v>
      </c>
      <c r="R1941">
        <v>-5.6939370000000003E-2</v>
      </c>
      <c r="S1941">
        <v>-3.0108950000000001</v>
      </c>
      <c r="T1941">
        <v>3.1329509999999998E-2</v>
      </c>
      <c r="U1941">
        <v>-0.93872069999999996</v>
      </c>
      <c r="V1941">
        <v>-1.364902E-2</v>
      </c>
      <c r="W1941">
        <v>0.2163842</v>
      </c>
      <c r="X1941">
        <v>0.97621290000000005</v>
      </c>
      <c r="Y1941">
        <v>-0.25349539999999998</v>
      </c>
      <c r="Z1941">
        <v>-1.709545E-3</v>
      </c>
      <c r="AA1941">
        <v>0.9673351</v>
      </c>
      <c r="AB1941">
        <v>32</v>
      </c>
      <c r="AC1941">
        <v>-43.278500000000001</v>
      </c>
      <c r="AD1941">
        <v>0.45349299999999998</v>
      </c>
      <c r="AE1941">
        <v>-13.5749999999999</v>
      </c>
      <c r="AF1941">
        <v>-11.571520616815601</v>
      </c>
      <c r="AG1941">
        <v>0.45349299999999998</v>
      </c>
      <c r="AH1941">
        <v>43.851999358393698</v>
      </c>
      <c r="AI1941">
        <v>89.427108504278095</v>
      </c>
      <c r="AJ1941">
        <v>104.782072814975</v>
      </c>
      <c r="AK1941">
        <v>45.355303912717801</v>
      </c>
      <c r="AL1941">
        <v>77.503252330038904</v>
      </c>
      <c r="AM1941">
        <v>90.801034577557601</v>
      </c>
      <c r="AN1941">
        <v>1.0000000219415</v>
      </c>
    </row>
    <row r="1942" spans="1:40" x14ac:dyDescent="0.25">
      <c r="A1942" t="str">
        <f>"20190303170800700"</f>
        <v>20190303170800700</v>
      </c>
      <c r="B1942" t="str">
        <f>"1551604080694484"</f>
        <v>1551604080694484</v>
      </c>
      <c r="C1942" t="s">
        <v>40</v>
      </c>
      <c r="D1942">
        <v>4.2812749999999999</v>
      </c>
      <c r="E1942">
        <v>0.40542440000000002</v>
      </c>
      <c r="F1942" t="s">
        <v>70</v>
      </c>
      <c r="G1942">
        <v>-512.82569999999998</v>
      </c>
      <c r="H1942">
        <v>1.583577</v>
      </c>
      <c r="I1942">
        <v>271.04149999999998</v>
      </c>
      <c r="J1942">
        <v>-469.8732</v>
      </c>
      <c r="K1942">
        <v>1.1245940000000001</v>
      </c>
      <c r="L1942">
        <v>284.82479999999998</v>
      </c>
      <c r="M1942">
        <v>-0.99864160000000002</v>
      </c>
      <c r="N1942">
        <v>-1.4498189999999999E-2</v>
      </c>
      <c r="O1942">
        <v>-5.0051070000000003E-2</v>
      </c>
      <c r="P1942">
        <v>-0.97738619999999998</v>
      </c>
      <c r="Q1942">
        <v>0.20235919999999999</v>
      </c>
      <c r="R1942">
        <v>-6.1377250000000001E-2</v>
      </c>
      <c r="S1942">
        <v>-3.0061040000000001</v>
      </c>
      <c r="T1942">
        <v>3.1890389999999998E-2</v>
      </c>
      <c r="U1942">
        <v>-0.9587097</v>
      </c>
      <c r="V1942">
        <v>-1.4088299999999899E-2</v>
      </c>
      <c r="W1942">
        <v>0.21643029999999999</v>
      </c>
      <c r="X1942">
        <v>0.97619639999999996</v>
      </c>
      <c r="Y1942">
        <v>-0.25579229999999997</v>
      </c>
      <c r="Z1942">
        <v>-1.802007E-3</v>
      </c>
      <c r="AA1942">
        <v>0.96673010000000004</v>
      </c>
      <c r="AB1942">
        <v>32</v>
      </c>
      <c r="AC1942">
        <v>-42.952499999999901</v>
      </c>
      <c r="AD1942">
        <v>0.45898299999999898</v>
      </c>
      <c r="AE1942">
        <v>-13.783299999999899</v>
      </c>
      <c r="AF1942">
        <v>-11.614774588143099</v>
      </c>
      <c r="AG1942">
        <v>0.45898299999999898</v>
      </c>
      <c r="AH1942">
        <v>43.584083804036297</v>
      </c>
      <c r="AI1942">
        <v>89.416987284034505</v>
      </c>
      <c r="AJ1942">
        <v>104.9220304685</v>
      </c>
      <c r="AK1942">
        <v>45.107494002271103</v>
      </c>
      <c r="AL1942">
        <v>77.500546391668294</v>
      </c>
      <c r="AM1942">
        <v>90.826825520889102</v>
      </c>
      <c r="AN1942">
        <v>0.99999998316396899</v>
      </c>
    </row>
    <row r="1943" spans="1:40" x14ac:dyDescent="0.25">
      <c r="A1943" t="str">
        <f>"20190303170800722"</f>
        <v>20190303170800722</v>
      </c>
      <c r="B1943" t="str">
        <f>"1551604080714980"</f>
        <v>1551604080714980</v>
      </c>
      <c r="C1943" t="s">
        <v>40</v>
      </c>
      <c r="D1943">
        <v>4.2817100000000003</v>
      </c>
      <c r="E1943">
        <v>0.40495120000000001</v>
      </c>
      <c r="F1943" t="s">
        <v>70</v>
      </c>
      <c r="G1943">
        <v>-512.82569999999998</v>
      </c>
      <c r="H1943">
        <v>1.613075</v>
      </c>
      <c r="I1943">
        <v>270.7928</v>
      </c>
      <c r="J1943">
        <v>-470.2063</v>
      </c>
      <c r="K1943">
        <v>1.1246510000000001</v>
      </c>
      <c r="L1943">
        <v>284.80369999999999</v>
      </c>
      <c r="M1943">
        <v>-0.99841840000000004</v>
      </c>
      <c r="N1943">
        <v>-1.449954E-2</v>
      </c>
      <c r="O1943">
        <v>-5.4319340000000001E-2</v>
      </c>
      <c r="P1943">
        <v>-0.97720790000000002</v>
      </c>
      <c r="Q1943">
        <v>0.2019947</v>
      </c>
      <c r="R1943">
        <v>-6.5295000000000006E-2</v>
      </c>
      <c r="S1943">
        <v>-3.0007929999999998</v>
      </c>
      <c r="T1943">
        <v>3.4132240000000001E-2</v>
      </c>
      <c r="U1943">
        <v>-0.98031619999999997</v>
      </c>
      <c r="V1943">
        <v>-1.38525E-2</v>
      </c>
      <c r="W1943">
        <v>0.2160686</v>
      </c>
      <c r="X1943">
        <v>0.97627989999999998</v>
      </c>
      <c r="Y1943">
        <v>-0.25845849999999998</v>
      </c>
      <c r="Z1943">
        <v>-1.8590499999999999E-3</v>
      </c>
      <c r="AA1943">
        <v>0.96602060000000001</v>
      </c>
      <c r="AB1943">
        <v>32</v>
      </c>
      <c r="AC1943">
        <v>-42.619399999999899</v>
      </c>
      <c r="AD1943">
        <v>0.48842400000000002</v>
      </c>
      <c r="AE1943">
        <v>-14.0108999999999</v>
      </c>
      <c r="AF1943">
        <v>-11.673525633069399</v>
      </c>
      <c r="AG1943">
        <v>0.48842400000000002</v>
      </c>
      <c r="AH1943">
        <v>43.3124732989073</v>
      </c>
      <c r="AI1943">
        <v>89.376175522642001</v>
      </c>
      <c r="AJ1943">
        <v>105.083874381337</v>
      </c>
      <c r="AK1943">
        <v>44.860674337088</v>
      </c>
      <c r="AL1943">
        <v>77.521772579043997</v>
      </c>
      <c r="AM1943">
        <v>90.812919048854397</v>
      </c>
      <c r="AN1943">
        <v>0.99999998740310903</v>
      </c>
    </row>
    <row r="1944" spans="1:40" x14ac:dyDescent="0.25">
      <c r="A1944" t="str">
        <f>"20190303170800745"</f>
        <v>20190303170800745</v>
      </c>
      <c r="B1944" t="str">
        <f>"1551604080734500"</f>
        <v>1551604080734500</v>
      </c>
      <c r="C1944" t="s">
        <v>40</v>
      </c>
      <c r="D1944">
        <v>4.3101479999999999</v>
      </c>
      <c r="E1944">
        <v>0.40465760000000001</v>
      </c>
      <c r="F1944" t="s">
        <v>70</v>
      </c>
      <c r="G1944">
        <v>-512.82569999999998</v>
      </c>
      <c r="H1944">
        <v>1.6094649999999999</v>
      </c>
      <c r="I1944">
        <v>270.62479999999999</v>
      </c>
      <c r="J1944">
        <v>-470.52249999999998</v>
      </c>
      <c r="K1944">
        <v>1.1247049999999901</v>
      </c>
      <c r="L1944">
        <v>284.78219999999999</v>
      </c>
      <c r="M1944">
        <v>-0.99818620000000002</v>
      </c>
      <c r="N1944">
        <v>-1.450099E-2</v>
      </c>
      <c r="O1944">
        <v>-5.8431820000000002E-2</v>
      </c>
      <c r="P1944">
        <v>-0.97735879999999997</v>
      </c>
      <c r="Q1944">
        <v>0.1998316</v>
      </c>
      <c r="R1944">
        <v>-6.954776E-2</v>
      </c>
      <c r="S1944">
        <v>-2.9963069999999998</v>
      </c>
      <c r="T1944">
        <v>3.4089679999999997E-2</v>
      </c>
      <c r="U1944">
        <v>-0.9968262</v>
      </c>
      <c r="V1944">
        <v>-1.4069299999999899E-2</v>
      </c>
      <c r="W1944">
        <v>0.21390970000000001</v>
      </c>
      <c r="X1944">
        <v>0.97675210000000001</v>
      </c>
      <c r="Y1944">
        <v>-0.25970710000000002</v>
      </c>
      <c r="Z1944">
        <v>-1.9669459999999998E-3</v>
      </c>
      <c r="AA1944">
        <v>0.96568540000000003</v>
      </c>
      <c r="AB1944">
        <v>32</v>
      </c>
      <c r="AC1944">
        <v>-42.303199999999997</v>
      </c>
      <c r="AD1944">
        <v>0.48476000000000002</v>
      </c>
      <c r="AE1944">
        <v>-14.1573999999999</v>
      </c>
      <c r="AF1944">
        <v>-11.659716148025799</v>
      </c>
      <c r="AG1944">
        <v>0.48476000000000002</v>
      </c>
      <c r="AH1944">
        <v>43.053151139814901</v>
      </c>
      <c r="AI1944">
        <v>89.377330131268906</v>
      </c>
      <c r="AJ1944">
        <v>105.15343288091999</v>
      </c>
      <c r="AK1944">
        <v>44.606701245192703</v>
      </c>
      <c r="AL1944">
        <v>77.648430142401196</v>
      </c>
      <c r="AM1944">
        <v>90.825240884525599</v>
      </c>
      <c r="AN1944">
        <v>0.99999998490549402</v>
      </c>
    </row>
    <row r="1945" spans="1:40" x14ac:dyDescent="0.25">
      <c r="A1945" t="str">
        <f>"20190303170800766"</f>
        <v>20190303170800766</v>
      </c>
      <c r="B1945" t="str">
        <f>"1551604080754995"</f>
        <v>1551604080754995</v>
      </c>
      <c r="C1945" t="s">
        <v>40</v>
      </c>
      <c r="D1945">
        <v>4.2979770000000004</v>
      </c>
      <c r="E1945">
        <v>0.40433999999999998</v>
      </c>
      <c r="F1945" t="s">
        <v>70</v>
      </c>
      <c r="G1945">
        <v>-512.82569999999998</v>
      </c>
      <c r="H1945">
        <v>1.4982799999999901</v>
      </c>
      <c r="I1945">
        <v>270.47949999999997</v>
      </c>
      <c r="J1945">
        <v>-470.82170000000002</v>
      </c>
      <c r="K1945">
        <v>1.1247590000000001</v>
      </c>
      <c r="L1945">
        <v>284.76069999999999</v>
      </c>
      <c r="M1945">
        <v>-0.99794649999999996</v>
      </c>
      <c r="N1945">
        <v>-1.450274E-2</v>
      </c>
      <c r="O1945">
        <v>-6.2390470000000003E-2</v>
      </c>
      <c r="P1945">
        <v>-0.97737589999999996</v>
      </c>
      <c r="Q1945">
        <v>0.19789490000000001</v>
      </c>
      <c r="R1945">
        <v>-7.4658829999999995E-2</v>
      </c>
      <c r="S1945">
        <v>-2.9920960000000001</v>
      </c>
      <c r="T1945">
        <v>2.6428340000000002E-2</v>
      </c>
      <c r="U1945">
        <v>-1.0116270000000001</v>
      </c>
      <c r="V1945">
        <v>-1.5299439999999999E-2</v>
      </c>
      <c r="W1945">
        <v>0.2119683</v>
      </c>
      <c r="X1945">
        <v>0.97715680000000005</v>
      </c>
      <c r="Y1945">
        <v>-0.26057629999999998</v>
      </c>
      <c r="Z1945">
        <v>-2.2387969999999998E-3</v>
      </c>
      <c r="AA1945">
        <v>0.96545060000000005</v>
      </c>
      <c r="AB1945">
        <v>32</v>
      </c>
      <c r="AC1945">
        <v>-42.003999999999898</v>
      </c>
      <c r="AD1945">
        <v>0.37352099999999899</v>
      </c>
      <c r="AE1945">
        <v>-14.2812</v>
      </c>
      <c r="AF1945">
        <v>-11.6316224777222</v>
      </c>
      <c r="AG1945">
        <v>0.37352099999999899</v>
      </c>
      <c r="AH1945">
        <v>42.810221230056101</v>
      </c>
      <c r="AI1945">
        <v>89.517592803356195</v>
      </c>
      <c r="AJ1945">
        <v>105.200427251267</v>
      </c>
      <c r="AK1945">
        <v>44.363827620799803</v>
      </c>
      <c r="AL1945">
        <v>77.762275637038798</v>
      </c>
      <c r="AM1945">
        <v>90.897012353291998</v>
      </c>
      <c r="AN1945">
        <v>1.0000000224277199</v>
      </c>
    </row>
    <row r="1946" spans="1:40" x14ac:dyDescent="0.25">
      <c r="A1946" t="str">
        <f>"20190303170800788"</f>
        <v>20190303170800788</v>
      </c>
      <c r="B1946" t="str">
        <f>"1551604080774515"</f>
        <v>1551604080774515</v>
      </c>
      <c r="C1946" t="s">
        <v>40</v>
      </c>
      <c r="D1946">
        <v>4.3057239999999997</v>
      </c>
      <c r="E1946">
        <v>0.40412310000000001</v>
      </c>
      <c r="F1946" t="s">
        <v>70</v>
      </c>
      <c r="G1946">
        <v>-512.82560000000001</v>
      </c>
      <c r="H1946">
        <v>1.4021330000000001</v>
      </c>
      <c r="I1946">
        <v>270.28930000000003</v>
      </c>
      <c r="J1946">
        <v>-471.11489999999998</v>
      </c>
      <c r="K1946">
        <v>1.1248069999999999</v>
      </c>
      <c r="L1946">
        <v>284.73829999999998</v>
      </c>
      <c r="M1946">
        <v>-0.99769129999999995</v>
      </c>
      <c r="N1946">
        <v>-1.4504929999999999E-2</v>
      </c>
      <c r="O1946">
        <v>-6.6344239999999999E-2</v>
      </c>
      <c r="P1946">
        <v>-0.97721139999999995</v>
      </c>
      <c r="Q1946">
        <v>0.19698779999999999</v>
      </c>
      <c r="R1946">
        <v>-7.9081499999999999E-2</v>
      </c>
      <c r="S1946">
        <v>-2.9868160000000001</v>
      </c>
      <c r="T1946">
        <v>1.972902E-2</v>
      </c>
      <c r="U1946">
        <v>-1.0290220000000001</v>
      </c>
      <c r="V1946">
        <v>-1.5865029999999999E-2</v>
      </c>
      <c r="W1946">
        <v>0.211059</v>
      </c>
      <c r="X1946">
        <v>0.97734460000000001</v>
      </c>
      <c r="Y1946">
        <v>-0.26230100000000001</v>
      </c>
      <c r="Z1946">
        <v>-2.4769000000000002E-3</v>
      </c>
      <c r="AA1946">
        <v>0.96498289999999998</v>
      </c>
      <c r="AB1946">
        <v>32</v>
      </c>
      <c r="AC1946">
        <v>-41.710700000000003</v>
      </c>
      <c r="AD1946">
        <v>0.27732600000000002</v>
      </c>
      <c r="AE1946">
        <v>-14.4489999999999</v>
      </c>
      <c r="AF1946">
        <v>-11.6491433629963</v>
      </c>
      <c r="AG1946">
        <v>0.27732600000000002</v>
      </c>
      <c r="AH1946">
        <v>42.5758117254883</v>
      </c>
      <c r="AI1946">
        <v>89.640028439530894</v>
      </c>
      <c r="AJ1946">
        <v>105.30215258715</v>
      </c>
      <c r="AK1946">
        <v>44.141581245874598</v>
      </c>
      <c r="AL1946">
        <v>77.8155808573147</v>
      </c>
      <c r="AM1946">
        <v>90.929988697925793</v>
      </c>
      <c r="AN1946">
        <v>1.00000003390352</v>
      </c>
    </row>
    <row r="1947" spans="1:40" x14ac:dyDescent="0.25">
      <c r="A1947" t="str">
        <f>"20190303170800810"</f>
        <v>20190303170800810</v>
      </c>
      <c r="B1947" t="str">
        <f>"1551604080804772"</f>
        <v>1551604080804772</v>
      </c>
      <c r="C1947" t="s">
        <v>40</v>
      </c>
      <c r="D1947">
        <v>4.3176439999999996</v>
      </c>
      <c r="E1947">
        <v>0.40382630000000003</v>
      </c>
      <c r="F1947" t="s">
        <v>70</v>
      </c>
      <c r="G1947">
        <v>-512.82560000000001</v>
      </c>
      <c r="H1947">
        <v>1.3484670000000001</v>
      </c>
      <c r="I1947">
        <v>270.13940000000002</v>
      </c>
      <c r="J1947">
        <v>-471.42880000000002</v>
      </c>
      <c r="K1947">
        <v>1.1248800000000001</v>
      </c>
      <c r="L1947">
        <v>284.71289999999999</v>
      </c>
      <c r="M1947">
        <v>-0.99739440000000001</v>
      </c>
      <c r="N1947">
        <v>-1.4507829999999999E-2</v>
      </c>
      <c r="O1947">
        <v>-7.066865E-2</v>
      </c>
      <c r="P1947">
        <v>-0.9768578</v>
      </c>
      <c r="Q1947">
        <v>0.1969583</v>
      </c>
      <c r="R1947">
        <v>-8.3405110000000005E-2</v>
      </c>
      <c r="S1947">
        <v>-2.9822389999999999</v>
      </c>
      <c r="T1947">
        <v>1.5996929999999999E-2</v>
      </c>
      <c r="U1947">
        <v>-1.043793</v>
      </c>
      <c r="V1947">
        <v>-1.5991430000000001E-2</v>
      </c>
      <c r="W1947">
        <v>0.21102870000000001</v>
      </c>
      <c r="X1947">
        <v>0.97734900000000002</v>
      </c>
      <c r="Y1947">
        <v>-0.26283679999999998</v>
      </c>
      <c r="Z1947">
        <v>-2.6434369999999998E-3</v>
      </c>
      <c r="AA1947">
        <v>0.96483669999999999</v>
      </c>
      <c r="AB1947">
        <v>31</v>
      </c>
      <c r="AC1947">
        <v>-41.396799999999899</v>
      </c>
      <c r="AD1947">
        <v>0.22358700000000001</v>
      </c>
      <c r="AE1947">
        <v>-14.5734999999999</v>
      </c>
      <c r="AF1947">
        <v>-11.6109912546031</v>
      </c>
      <c r="AG1947">
        <v>0.22358700000000001</v>
      </c>
      <c r="AH1947">
        <v>42.322179246522602</v>
      </c>
      <c r="AI1947">
        <v>89.708096491709099</v>
      </c>
      <c r="AJ1947">
        <v>105.34149750038701</v>
      </c>
      <c r="AK1947">
        <v>43.886580696561801</v>
      </c>
      <c r="AL1947">
        <v>77.817355920782802</v>
      </c>
      <c r="AM1947">
        <v>90.937392575395293</v>
      </c>
      <c r="AN1947">
        <v>0.99999995292906596</v>
      </c>
    </row>
    <row r="1948" spans="1:40" x14ac:dyDescent="0.25">
      <c r="A1948" t="str">
        <f>"20190303170800833"</f>
        <v>20190303170800833</v>
      </c>
      <c r="B1948" t="str">
        <f>"1551604080824293"</f>
        <v>1551604080824293</v>
      </c>
      <c r="C1948" t="s">
        <v>40</v>
      </c>
      <c r="D1948">
        <v>4.2966709999999999</v>
      </c>
      <c r="E1948">
        <v>0.40375470000000002</v>
      </c>
      <c r="F1948" t="s">
        <v>70</v>
      </c>
      <c r="G1948">
        <v>-512.82560000000001</v>
      </c>
      <c r="H1948">
        <v>1.3456939999999999</v>
      </c>
      <c r="I1948">
        <v>269.98439999999999</v>
      </c>
      <c r="J1948">
        <v>-471.73840000000001</v>
      </c>
      <c r="K1948">
        <v>1.1249530000000001</v>
      </c>
      <c r="L1948">
        <v>284.68639999999999</v>
      </c>
      <c r="M1948">
        <v>-0.99707520000000005</v>
      </c>
      <c r="N1948">
        <v>-1.4511110000000001E-2</v>
      </c>
      <c r="O1948">
        <v>-7.503746E-2</v>
      </c>
      <c r="P1948">
        <v>-0.97653380000000001</v>
      </c>
      <c r="Q1948">
        <v>0.19627020000000001</v>
      </c>
      <c r="R1948">
        <v>-8.8656890000000002E-2</v>
      </c>
      <c r="S1948">
        <v>-2.977417</v>
      </c>
      <c r="T1948">
        <v>1.588738E-2</v>
      </c>
      <c r="U1948">
        <v>-1.059326</v>
      </c>
      <c r="V1948">
        <v>-1.6990410000000001E-2</v>
      </c>
      <c r="W1948">
        <v>0.2103342</v>
      </c>
      <c r="X1948">
        <v>0.97748190000000001</v>
      </c>
      <c r="Y1948">
        <v>-0.26357309999999901</v>
      </c>
      <c r="Z1948">
        <v>-2.7349739999999998E-3</v>
      </c>
      <c r="AA1948">
        <v>0.96463560000000004</v>
      </c>
      <c r="AB1948">
        <v>31</v>
      </c>
      <c r="AC1948">
        <v>-41.087200000000003</v>
      </c>
      <c r="AD1948">
        <v>0.22074099999999899</v>
      </c>
      <c r="AE1948">
        <v>-14.7019999999999</v>
      </c>
      <c r="AF1948">
        <v>-11.576842365189499</v>
      </c>
      <c r="AG1948">
        <v>0.22074099999999899</v>
      </c>
      <c r="AH1948">
        <v>42.073579349202497</v>
      </c>
      <c r="AI1948">
        <v>89.710169166263299</v>
      </c>
      <c r="AJ1948">
        <v>105.38461705463</v>
      </c>
      <c r="AK1948">
        <v>43.637805684878003</v>
      </c>
      <c r="AL1948">
        <v>77.858062158351004</v>
      </c>
      <c r="AM1948">
        <v>90.995804387503199</v>
      </c>
      <c r="AN1948">
        <v>1.0000000072746</v>
      </c>
    </row>
    <row r="1949" spans="1:40" x14ac:dyDescent="0.25">
      <c r="A1949" t="str">
        <f>"20190303170800854"</f>
        <v>20190303170800854</v>
      </c>
      <c r="B1949" t="str">
        <f>"1551604080844788"</f>
        <v>1551604080844788</v>
      </c>
      <c r="C1949" t="s">
        <v>40</v>
      </c>
      <c r="D1949">
        <v>4.3275350000000001</v>
      </c>
      <c r="E1949">
        <v>0.40373219999999999</v>
      </c>
      <c r="F1949" t="s">
        <v>70</v>
      </c>
      <c r="G1949">
        <v>-512.82560000000001</v>
      </c>
      <c r="H1949">
        <v>1.3102149999999999</v>
      </c>
      <c r="I1949">
        <v>269.80970000000002</v>
      </c>
      <c r="J1949">
        <v>-472.04790000000003</v>
      </c>
      <c r="K1949">
        <v>1.1250169999999999</v>
      </c>
      <c r="L1949">
        <v>284.65839999999997</v>
      </c>
      <c r="M1949">
        <v>-0.99672989999999995</v>
      </c>
      <c r="N1949">
        <v>-1.4514310000000001E-2</v>
      </c>
      <c r="O1949">
        <v>-7.9493010000000003E-2</v>
      </c>
      <c r="P1949">
        <v>-0.97618570000000005</v>
      </c>
      <c r="Q1949">
        <v>0.1952036</v>
      </c>
      <c r="R1949">
        <v>-9.4642030000000002E-2</v>
      </c>
      <c r="S1949">
        <v>-2.9717410000000002</v>
      </c>
      <c r="T1949">
        <v>1.3405200000000001E-2</v>
      </c>
      <c r="U1949">
        <v>-1.0759890000000001</v>
      </c>
      <c r="V1949">
        <v>-1.8627999999999999E-2</v>
      </c>
      <c r="W1949">
        <v>0.20925630000000001</v>
      </c>
      <c r="X1949">
        <v>0.97768339999999998</v>
      </c>
      <c r="Y1949">
        <v>-0.2646328</v>
      </c>
      <c r="Z1949">
        <v>-2.870633E-3</v>
      </c>
      <c r="AA1949">
        <v>0.96434500000000001</v>
      </c>
      <c r="AB1949">
        <v>31</v>
      </c>
      <c r="AC1949">
        <v>-40.777699999999903</v>
      </c>
      <c r="AD1949">
        <v>0.185198</v>
      </c>
      <c r="AE1949">
        <v>-14.8486999999999</v>
      </c>
      <c r="AF1949">
        <v>-11.5596066020791</v>
      </c>
      <c r="AG1949">
        <v>0.185198</v>
      </c>
      <c r="AH1949">
        <v>41.828358914265401</v>
      </c>
      <c r="AI1949">
        <v>89.755485903756096</v>
      </c>
      <c r="AJ1949">
        <v>105.448569623517</v>
      </c>
      <c r="AK1949">
        <v>43.396663610865701</v>
      </c>
      <c r="AL1949">
        <v>77.921227101667796</v>
      </c>
      <c r="AM1949">
        <v>91.091536029113399</v>
      </c>
      <c r="AN1949">
        <v>1.0000000160546201</v>
      </c>
    </row>
    <row r="1950" spans="1:40" x14ac:dyDescent="0.25">
      <c r="A1950" t="str">
        <f>"20190303170800878"</f>
        <v>20190303170800878</v>
      </c>
      <c r="B1950" t="str">
        <f>"1551604080875044"</f>
        <v>1551604080875044</v>
      </c>
      <c r="C1950" t="s">
        <v>40</v>
      </c>
      <c r="D1950">
        <v>4.3166349999999998</v>
      </c>
      <c r="E1950">
        <v>0.40373300000000001</v>
      </c>
      <c r="F1950" t="s">
        <v>70</v>
      </c>
      <c r="G1950">
        <v>-512.82560000000001</v>
      </c>
      <c r="H1950">
        <v>1.2410219999999901</v>
      </c>
      <c r="I1950">
        <v>269.62090000000001</v>
      </c>
      <c r="J1950">
        <v>-472.36700000000002</v>
      </c>
      <c r="K1950">
        <v>1.1250789999999999</v>
      </c>
      <c r="L1950">
        <v>284.62799999999999</v>
      </c>
      <c r="M1950">
        <v>-0.99634449999999997</v>
      </c>
      <c r="N1950">
        <v>-1.451731E-2</v>
      </c>
      <c r="O1950">
        <v>-8.4184300000000004E-2</v>
      </c>
      <c r="P1950">
        <v>-0.97574850000000002</v>
      </c>
      <c r="Q1950">
        <v>0.19424640000000001</v>
      </c>
      <c r="R1950">
        <v>-0.1009133</v>
      </c>
      <c r="S1950">
        <v>-2.9654850000000001</v>
      </c>
      <c r="T1950">
        <v>8.4419249999999994E-3</v>
      </c>
      <c r="U1950">
        <v>-1.093567</v>
      </c>
      <c r="V1950">
        <v>-2.0322239999999998E-2</v>
      </c>
      <c r="W1950">
        <v>0.20828579999999999</v>
      </c>
      <c r="X1950">
        <v>0.97785690000000003</v>
      </c>
      <c r="Y1950">
        <v>-0.26578230000000003</v>
      </c>
      <c r="Z1950">
        <v>-3.044541E-3</v>
      </c>
      <c r="AA1950">
        <v>0.9640282</v>
      </c>
      <c r="AB1950">
        <v>31</v>
      </c>
      <c r="AC1950">
        <v>-40.458599999999997</v>
      </c>
      <c r="AD1950">
        <v>0.11594299999999901</v>
      </c>
      <c r="AE1950">
        <v>-15.0070999999999</v>
      </c>
      <c r="AF1950">
        <v>-11.547395514128601</v>
      </c>
      <c r="AG1950">
        <v>0.11594299999999901</v>
      </c>
      <c r="AH1950">
        <v>41.578144931477098</v>
      </c>
      <c r="AI1950">
        <v>89.846054701275406</v>
      </c>
      <c r="AJ1950">
        <v>105.521438233591</v>
      </c>
      <c r="AK1950">
        <v>43.152032650639804</v>
      </c>
      <c r="AL1950">
        <v>77.9780858808478</v>
      </c>
      <c r="AM1950">
        <v>91.190573989274498</v>
      </c>
      <c r="AN1950">
        <v>1.0000000423989299</v>
      </c>
    </row>
    <row r="1951" spans="1:40" x14ac:dyDescent="0.25">
      <c r="A1951" t="str">
        <f>"20190303170800900"</f>
        <v>20190303170800900</v>
      </c>
      <c r="B1951" t="str">
        <f>"1551604080894564"</f>
        <v>1551604080894564</v>
      </c>
      <c r="C1951" t="s">
        <v>40</v>
      </c>
      <c r="D1951">
        <v>4.2844199999999999</v>
      </c>
      <c r="E1951">
        <v>0.40375800000000001</v>
      </c>
      <c r="F1951" t="s">
        <v>70</v>
      </c>
      <c r="G1951">
        <v>-512.82560000000001</v>
      </c>
      <c r="H1951">
        <v>1.179556</v>
      </c>
      <c r="I1951">
        <v>269.42750000000001</v>
      </c>
      <c r="J1951">
        <v>-472.67320000000001</v>
      </c>
      <c r="K1951">
        <v>1.1251420000000001</v>
      </c>
      <c r="L1951">
        <v>284.59739999999999</v>
      </c>
      <c r="M1951">
        <v>-0.99594530000000003</v>
      </c>
      <c r="N1951">
        <v>-1.452025E-2</v>
      </c>
      <c r="O1951">
        <v>-8.8781390000000002E-2</v>
      </c>
      <c r="P1951">
        <v>-0.97515200000000002</v>
      </c>
      <c r="Q1951">
        <v>0.1943558</v>
      </c>
      <c r="R1951">
        <v>-0.1063229</v>
      </c>
      <c r="S1951">
        <v>-2.9588009999999998</v>
      </c>
      <c r="T1951">
        <v>3.9896970000000004E-3</v>
      </c>
      <c r="U1951">
        <v>-1.1116330000000001</v>
      </c>
      <c r="V1951">
        <v>-2.1271109999999999E-2</v>
      </c>
      <c r="W1951">
        <v>0.2083856</v>
      </c>
      <c r="X1951">
        <v>0.9778154</v>
      </c>
      <c r="Y1951">
        <v>-0.26720490000000002</v>
      </c>
      <c r="Z1951">
        <v>-3.1983300000000001E-3</v>
      </c>
      <c r="AA1951">
        <v>0.9636344</v>
      </c>
      <c r="AB1951">
        <v>31</v>
      </c>
      <c r="AC1951">
        <v>-40.1524</v>
      </c>
      <c r="AD1951">
        <v>5.44139999999999E-2</v>
      </c>
      <c r="AE1951">
        <v>-15.169899999999901</v>
      </c>
      <c r="AF1951">
        <v>-11.5448031966624</v>
      </c>
      <c r="AG1951">
        <v>5.44139999999999E-2</v>
      </c>
      <c r="AH1951">
        <v>41.340690477637303</v>
      </c>
      <c r="AI1951">
        <v>89.927364533416807</v>
      </c>
      <c r="AJ1951">
        <v>105.60292497965899</v>
      </c>
      <c r="AK1951">
        <v>42.922466505326497</v>
      </c>
      <c r="AL1951">
        <v>77.972238805989093</v>
      </c>
      <c r="AM1951">
        <v>91.246199064547397</v>
      </c>
      <c r="AN1951">
        <v>0.99999998744257601</v>
      </c>
    </row>
    <row r="1952" spans="1:40" x14ac:dyDescent="0.25">
      <c r="A1952" t="str">
        <f>"20190303170800922"</f>
        <v>20190303170800922</v>
      </c>
      <c r="B1952" t="str">
        <f>"1551604080915060"</f>
        <v>1551604080915060</v>
      </c>
      <c r="C1952" t="s">
        <v>40</v>
      </c>
      <c r="D1952">
        <v>4.3197559999999999</v>
      </c>
      <c r="E1952">
        <v>0.40384809999999999</v>
      </c>
      <c r="F1952" t="s">
        <v>70</v>
      </c>
      <c r="G1952">
        <v>-512.82560000000001</v>
      </c>
      <c r="H1952">
        <v>1.178204</v>
      </c>
      <c r="I1952">
        <v>269.26260000000002</v>
      </c>
      <c r="J1952">
        <v>-472.97910000000002</v>
      </c>
      <c r="K1952">
        <v>1.1252120000000001</v>
      </c>
      <c r="L1952">
        <v>284.5652</v>
      </c>
      <c r="M1952">
        <v>-0.99551590000000001</v>
      </c>
      <c r="N1952">
        <v>-1.4523680000000001E-2</v>
      </c>
      <c r="O1952">
        <v>-9.3473169999999994E-2</v>
      </c>
      <c r="P1952">
        <v>-0.97454830000000003</v>
      </c>
      <c r="Q1952">
        <v>0.19495870000000001</v>
      </c>
      <c r="R1952">
        <v>-0.110664899999999</v>
      </c>
      <c r="S1952">
        <v>-2.952728</v>
      </c>
      <c r="T1952">
        <v>3.9078000000000003E-3</v>
      </c>
      <c r="U1952">
        <v>-1.127686</v>
      </c>
      <c r="V1952">
        <v>-2.1070169999999999E-2</v>
      </c>
      <c r="W1952">
        <v>0.20898900000000001</v>
      </c>
      <c r="X1952">
        <v>0.97769099999999998</v>
      </c>
      <c r="Y1952">
        <v>-0.2678973</v>
      </c>
      <c r="Z1952">
        <v>-3.2783230000000001E-3</v>
      </c>
      <c r="AA1952">
        <v>0.96344189999999996</v>
      </c>
      <c r="AB1952">
        <v>31</v>
      </c>
      <c r="AC1952">
        <v>-39.846499999999899</v>
      </c>
      <c r="AD1952">
        <v>5.29919999999999E-2</v>
      </c>
      <c r="AE1952">
        <v>-15.302599999999901</v>
      </c>
      <c r="AF1952">
        <v>-11.5105988258832</v>
      </c>
      <c r="AG1952">
        <v>5.29919999999999E-2</v>
      </c>
      <c r="AH1952">
        <v>41.102477144187098</v>
      </c>
      <c r="AI1952">
        <v>89.928867256909598</v>
      </c>
      <c r="AJ1952">
        <v>105.6447091822</v>
      </c>
      <c r="AK1952">
        <v>42.683841449322699</v>
      </c>
      <c r="AL1952">
        <v>77.936888629969204</v>
      </c>
      <c r="AM1952">
        <v>91.234587379567898</v>
      </c>
      <c r="AN1952">
        <v>1.00000002283291</v>
      </c>
    </row>
    <row r="1953" spans="1:40" x14ac:dyDescent="0.25">
      <c r="A1953" t="str">
        <f>"20190303170800945"</f>
        <v>20190303170800945</v>
      </c>
      <c r="B1953" t="str">
        <f>"1551604080934580"</f>
        <v>1551604080934580</v>
      </c>
      <c r="C1953" t="s">
        <v>40</v>
      </c>
      <c r="D1953">
        <v>4.3866870000000002</v>
      </c>
      <c r="E1953">
        <v>0.40391470000000002</v>
      </c>
      <c r="F1953" t="s">
        <v>70</v>
      </c>
      <c r="G1953">
        <v>-512.82560000000001</v>
      </c>
      <c r="H1953">
        <v>1.200091</v>
      </c>
      <c r="I1953">
        <v>269.15039999999999</v>
      </c>
      <c r="J1953">
        <v>-473.28379999999999</v>
      </c>
      <c r="K1953">
        <v>1.125291</v>
      </c>
      <c r="L1953">
        <v>284.53160000000003</v>
      </c>
      <c r="M1953">
        <v>-0.99505600000000005</v>
      </c>
      <c r="N1953">
        <v>-1.452762E-2</v>
      </c>
      <c r="O1953">
        <v>-9.824774E-2</v>
      </c>
      <c r="P1953">
        <v>-0.97406760000000003</v>
      </c>
      <c r="Q1953">
        <v>0.19468659999999999</v>
      </c>
      <c r="R1953">
        <v>-0.11527949999999999</v>
      </c>
      <c r="S1953">
        <v>-2.9477540000000002</v>
      </c>
      <c r="T1953">
        <v>5.5451390000000001E-3</v>
      </c>
      <c r="U1953">
        <v>-1.14035</v>
      </c>
      <c r="V1953">
        <v>-2.1040650000000001E-2</v>
      </c>
      <c r="W1953">
        <v>0.2087186</v>
      </c>
      <c r="X1953">
        <v>0.97774930000000004</v>
      </c>
      <c r="Y1953">
        <v>-0.26742500000000002</v>
      </c>
      <c r="Z1953">
        <v>-3.3310369999999998E-3</v>
      </c>
      <c r="AA1953">
        <v>0.96357289999999995</v>
      </c>
      <c r="AB1953">
        <v>31</v>
      </c>
      <c r="AC1953">
        <v>-39.541800000000002</v>
      </c>
      <c r="AD1953">
        <v>7.4799999999999894E-2</v>
      </c>
      <c r="AE1953">
        <v>-15.3812</v>
      </c>
      <c r="AF1953">
        <v>-11.421432039318701</v>
      </c>
      <c r="AG1953">
        <v>7.4799999999999894E-2</v>
      </c>
      <c r="AH1953">
        <v>40.861656364168503</v>
      </c>
      <c r="AI1953">
        <v>89.898988095205098</v>
      </c>
      <c r="AJ1953">
        <v>105.616456990242</v>
      </c>
      <c r="AK1953">
        <v>42.427934968510598</v>
      </c>
      <c r="AL1953">
        <v>77.952729621274401</v>
      </c>
      <c r="AM1953">
        <v>91.232784727711007</v>
      </c>
      <c r="AN1953">
        <v>0.99999992829443296</v>
      </c>
    </row>
    <row r="1954" spans="1:40" x14ac:dyDescent="0.25">
      <c r="A1954" t="str">
        <f>"20190303170800966"</f>
        <v>20190303170800966</v>
      </c>
      <c r="B1954" t="str">
        <f>"1551604080955076"</f>
        <v>1551604080955076</v>
      </c>
      <c r="C1954" t="s">
        <v>40</v>
      </c>
      <c r="D1954">
        <v>4.1338119999999998</v>
      </c>
      <c r="E1954">
        <v>0.4390522</v>
      </c>
      <c r="F1954" t="s">
        <v>70</v>
      </c>
      <c r="G1954">
        <v>-512.82560000000001</v>
      </c>
      <c r="H1954">
        <v>1.186768</v>
      </c>
      <c r="I1954">
        <v>269.02640000000002</v>
      </c>
      <c r="J1954">
        <v>-473.58449999999999</v>
      </c>
      <c r="K1954">
        <v>1.12537</v>
      </c>
      <c r="L1954">
        <v>284.49689999999998</v>
      </c>
      <c r="M1954">
        <v>-0.99456880000000003</v>
      </c>
      <c r="N1954">
        <v>-1.4531840000000001E-2</v>
      </c>
      <c r="O1954">
        <v>-0.1030618</v>
      </c>
      <c r="P1954">
        <v>-0.97368969999999999</v>
      </c>
      <c r="Q1954">
        <v>0.1937333</v>
      </c>
      <c r="R1954">
        <v>-0.1199827</v>
      </c>
      <c r="S1954">
        <v>-2.9424130000000002</v>
      </c>
      <c r="T1954">
        <v>4.5804979999999997E-3</v>
      </c>
      <c r="U1954">
        <v>-1.153778</v>
      </c>
      <c r="V1954">
        <v>-2.10422E-2</v>
      </c>
      <c r="W1954">
        <v>0.2077686</v>
      </c>
      <c r="X1954">
        <v>0.97795160000000003</v>
      </c>
      <c r="Y1954">
        <v>-0.26716719999999999</v>
      </c>
      <c r="Z1954">
        <v>-3.4177019999999999E-3</v>
      </c>
      <c r="AA1954">
        <v>0.9636441</v>
      </c>
      <c r="AB1954">
        <v>31</v>
      </c>
      <c r="AC1954">
        <v>-39.241100000000003</v>
      </c>
      <c r="AD1954">
        <v>6.1398000000000001E-2</v>
      </c>
      <c r="AE1954">
        <v>-15.4704999999999</v>
      </c>
      <c r="AF1954">
        <v>-11.3433919297239</v>
      </c>
      <c r="AG1954">
        <v>6.1398000000000001E-2</v>
      </c>
      <c r="AH1954">
        <v>40.626594978952198</v>
      </c>
      <c r="AI1954">
        <v>89.916600192375796</v>
      </c>
      <c r="AJ1954">
        <v>105.60031765418999</v>
      </c>
      <c r="AK1954">
        <v>42.180523109245001</v>
      </c>
      <c r="AL1954">
        <v>78.008380903925698</v>
      </c>
      <c r="AM1954">
        <v>91.23262056003</v>
      </c>
      <c r="AN1954">
        <v>0.999999948634678</v>
      </c>
    </row>
    <row r="1955" spans="1:40" x14ac:dyDescent="0.25">
      <c r="A1955" t="str">
        <f>"20190303170800990"</f>
        <v>20190303170800990</v>
      </c>
      <c r="B1955" t="str">
        <f>"1551604080974597"</f>
        <v>1551604080974597</v>
      </c>
      <c r="C1955" t="s">
        <v>40</v>
      </c>
      <c r="D1955">
        <v>4.2769469999999998</v>
      </c>
      <c r="E1955">
        <v>0.45836060000000001</v>
      </c>
      <c r="F1955" t="s">
        <v>70</v>
      </c>
      <c r="G1955">
        <v>-512.82529999999997</v>
      </c>
      <c r="H1955">
        <v>0.46980230000000001</v>
      </c>
      <c r="I1955">
        <v>272.73649999999998</v>
      </c>
      <c r="J1955">
        <v>-473.89550000000003</v>
      </c>
      <c r="K1955">
        <v>1.1254569999999999</v>
      </c>
      <c r="L1955">
        <v>284.45949999999999</v>
      </c>
      <c r="M1955">
        <v>-0.99402829999999998</v>
      </c>
      <c r="N1955">
        <v>-1.4536240000000001E-2</v>
      </c>
      <c r="O1955">
        <v>-0.1081511</v>
      </c>
      <c r="P1955">
        <v>-0.97322200000000003</v>
      </c>
      <c r="Q1955">
        <v>0.1929382</v>
      </c>
      <c r="R1955">
        <v>-0.124957399999999</v>
      </c>
      <c r="S1955">
        <v>-2.980896</v>
      </c>
      <c r="T1955">
        <v>-4.9793360000000002E-2</v>
      </c>
      <c r="U1955">
        <v>-0.89337160000000004</v>
      </c>
      <c r="V1955">
        <v>-2.1050949999999999E-2</v>
      </c>
      <c r="W1955">
        <v>0.2069761</v>
      </c>
      <c r="X1955">
        <v>0.97811950000000003</v>
      </c>
      <c r="Y1955">
        <v>-0.18174470000000001</v>
      </c>
      <c r="Z1955">
        <v>-2.6237919999999998E-3</v>
      </c>
      <c r="AA1955">
        <v>0.98334219999999894</v>
      </c>
      <c r="AB1955">
        <v>31</v>
      </c>
      <c r="AC1955">
        <v>-38.929799999999901</v>
      </c>
      <c r="AD1955">
        <v>-0.65565469999999904</v>
      </c>
      <c r="AE1955">
        <v>-11.723000000000001</v>
      </c>
      <c r="AF1955">
        <v>-7.4415433737868799</v>
      </c>
      <c r="AG1955">
        <v>-0.65565469999999904</v>
      </c>
      <c r="AH1955">
        <v>39.9590047219179</v>
      </c>
      <c r="AI1955">
        <v>90.924149349094904</v>
      </c>
      <c r="AJ1955">
        <v>100.54931419089399</v>
      </c>
      <c r="AK1955">
        <v>40.651303905727801</v>
      </c>
      <c r="AL1955">
        <v>78.054797449143194</v>
      </c>
      <c r="AM1955">
        <v>91.232921354463997</v>
      </c>
      <c r="AN1955">
        <v>1.0000000023736799</v>
      </c>
    </row>
    <row r="1956" spans="1:40" x14ac:dyDescent="0.25">
      <c r="A1956" t="str">
        <f>"20190303170801011"</f>
        <v>20190303170801011</v>
      </c>
      <c r="B1956" t="str">
        <f>"1551604081004852"</f>
        <v>1551604081004852</v>
      </c>
      <c r="C1956" t="s">
        <v>40</v>
      </c>
      <c r="D1956">
        <v>4.2409160000000004</v>
      </c>
      <c r="E1956">
        <v>0.47281590000000001</v>
      </c>
      <c r="F1956" t="s">
        <v>70</v>
      </c>
      <c r="G1956">
        <v>-512.82529999999997</v>
      </c>
      <c r="H1956">
        <v>0.33087030000000001</v>
      </c>
      <c r="I1956">
        <v>274.63819999999998</v>
      </c>
      <c r="J1956">
        <v>-474.2056</v>
      </c>
      <c r="K1956">
        <v>1.125537</v>
      </c>
      <c r="L1956">
        <v>284.42020000000002</v>
      </c>
      <c r="M1956">
        <v>-0.99344840000000001</v>
      </c>
      <c r="N1956">
        <v>-1.4540859999999999E-2</v>
      </c>
      <c r="O1956">
        <v>-0.1133528</v>
      </c>
      <c r="P1956">
        <v>-0.97258310000000003</v>
      </c>
      <c r="Q1956">
        <v>0.19301199999999999</v>
      </c>
      <c r="R1956">
        <v>-0.1297256</v>
      </c>
      <c r="S1956">
        <v>-2.9975589999999999</v>
      </c>
      <c r="T1956">
        <v>-6.1176059999999997E-2</v>
      </c>
      <c r="U1956">
        <v>-0.75622559999999905</v>
      </c>
      <c r="V1956">
        <v>-2.0769360000000001E-2</v>
      </c>
      <c r="W1956">
        <v>0.20705299999999999</v>
      </c>
      <c r="X1956">
        <v>0.97810920000000001</v>
      </c>
      <c r="Y1956">
        <v>-0.13307469999999999</v>
      </c>
      <c r="Z1956">
        <v>-1.685109E-3</v>
      </c>
      <c r="AA1956">
        <v>0.9911046</v>
      </c>
      <c r="AB1956">
        <v>31</v>
      </c>
      <c r="AC1956">
        <v>-38.619699999999902</v>
      </c>
      <c r="AD1956">
        <v>-0.79466669999999995</v>
      </c>
      <c r="AE1956">
        <v>-9.7820000000000302</v>
      </c>
      <c r="AF1956">
        <v>-5.3387015879915403</v>
      </c>
      <c r="AG1956">
        <v>-0.79466669999999995</v>
      </c>
      <c r="AH1956">
        <v>39.463968128983197</v>
      </c>
      <c r="AI1956">
        <v>91.143171058905594</v>
      </c>
      <c r="AJ1956">
        <v>97.704225638683994</v>
      </c>
      <c r="AK1956">
        <v>39.831369676363302</v>
      </c>
      <c r="AL1956">
        <v>78.050293321600904</v>
      </c>
      <c r="AM1956">
        <v>91.216446861597007</v>
      </c>
      <c r="AN1956">
        <v>0.99999995912422401</v>
      </c>
    </row>
    <row r="1957" spans="1:40" x14ac:dyDescent="0.25">
      <c r="A1957" t="str">
        <f>"20190303170801033"</f>
        <v>20190303170801033</v>
      </c>
      <c r="B1957" t="str">
        <f>"1551604081024372"</f>
        <v>1551604081024372</v>
      </c>
      <c r="C1957" t="s">
        <v>40</v>
      </c>
      <c r="D1957">
        <v>4.2370089999999996</v>
      </c>
      <c r="E1957">
        <v>0.47818660000000002</v>
      </c>
      <c r="F1957" t="s">
        <v>70</v>
      </c>
      <c r="G1957">
        <v>-511.95870000000002</v>
      </c>
      <c r="H1957">
        <v>0.35518870000000002</v>
      </c>
      <c r="I1957">
        <v>276.17899999999997</v>
      </c>
      <c r="J1957">
        <v>-474.49900000000002</v>
      </c>
      <c r="K1957">
        <v>1.1256139999999999</v>
      </c>
      <c r="L1957">
        <v>284.38139999999999</v>
      </c>
      <c r="M1957">
        <v>-0.99286129999999995</v>
      </c>
      <c r="N1957">
        <v>-1.45459E-2</v>
      </c>
      <c r="O1957">
        <v>-0.11838410000000001</v>
      </c>
      <c r="P1957">
        <v>-0.97202960000000005</v>
      </c>
      <c r="Q1957">
        <v>0.1930547</v>
      </c>
      <c r="R1957">
        <v>-0.13374759999999999</v>
      </c>
      <c r="S1957">
        <v>-3.009125</v>
      </c>
      <c r="T1957">
        <v>-6.13941E-2</v>
      </c>
      <c r="U1957">
        <v>-0.65686040000000001</v>
      </c>
      <c r="V1957">
        <v>-1.9898820000000001E-2</v>
      </c>
      <c r="W1957">
        <v>0.2071067</v>
      </c>
      <c r="X1957">
        <v>0.97811599999999999</v>
      </c>
      <c r="Y1957">
        <v>-9.6063389999999999E-2</v>
      </c>
      <c r="Z1957">
        <v>-1.010819E-3</v>
      </c>
      <c r="AA1957">
        <v>0.99537469999999995</v>
      </c>
      <c r="AB1957">
        <v>31</v>
      </c>
      <c r="AC1957">
        <v>-37.459699999999998</v>
      </c>
      <c r="AD1957">
        <v>-0.77042529999999898</v>
      </c>
      <c r="AE1957">
        <v>-8.2023999999999493</v>
      </c>
      <c r="AF1957">
        <v>-3.7081084960177901</v>
      </c>
      <c r="AG1957">
        <v>-0.77042529999999898</v>
      </c>
      <c r="AH1957">
        <v>38.151959704660896</v>
      </c>
      <c r="AI1957">
        <v>91.151426428993503</v>
      </c>
      <c r="AJ1957">
        <v>95.551319948374399</v>
      </c>
      <c r="AK1957">
        <v>38.339479040112003</v>
      </c>
      <c r="AL1957">
        <v>78.047149213834302</v>
      </c>
      <c r="AM1957">
        <v>91.165466214428406</v>
      </c>
      <c r="AN1957">
        <v>1.00000002883914</v>
      </c>
    </row>
    <row r="1958" spans="1:40" x14ac:dyDescent="0.25">
      <c r="A1958" t="str">
        <f>"20190303170801055"</f>
        <v>20190303170801055</v>
      </c>
      <c r="B1958" t="str">
        <f>"1551604081044868"</f>
        <v>1551604081044868</v>
      </c>
      <c r="C1958" t="s">
        <v>40</v>
      </c>
      <c r="D1958">
        <v>4.1262349999999897</v>
      </c>
      <c r="E1958">
        <v>0.48194789999999998</v>
      </c>
      <c r="F1958" t="s">
        <v>70</v>
      </c>
      <c r="G1958">
        <v>-511.95870000000002</v>
      </c>
      <c r="H1958">
        <v>0.33674169999999998</v>
      </c>
      <c r="I1958">
        <v>276.58</v>
      </c>
      <c r="J1958">
        <v>-474.80130000000003</v>
      </c>
      <c r="K1958">
        <v>1.125685</v>
      </c>
      <c r="L1958">
        <v>284.33980000000003</v>
      </c>
      <c r="M1958">
        <v>-0.99221760000000003</v>
      </c>
      <c r="N1958">
        <v>-1.455097E-2</v>
      </c>
      <c r="O1958">
        <v>-0.1236622</v>
      </c>
      <c r="P1958">
        <v>-0.97158199999999995</v>
      </c>
      <c r="Q1958">
        <v>0.19222500000000001</v>
      </c>
      <c r="R1958">
        <v>-0.13812289999999999</v>
      </c>
      <c r="S1958">
        <v>-3.0126040000000001</v>
      </c>
      <c r="T1958">
        <v>-6.3436389999999995E-2</v>
      </c>
      <c r="U1958">
        <v>-0.62741089999999999</v>
      </c>
      <c r="V1958">
        <v>-1.910837E-2</v>
      </c>
      <c r="W1958">
        <v>0.2062898</v>
      </c>
      <c r="X1958">
        <v>0.97830430000000002</v>
      </c>
      <c r="Y1958">
        <v>-8.1217419999999999E-2</v>
      </c>
      <c r="Z1958">
        <v>-6.699195E-4</v>
      </c>
      <c r="AA1958">
        <v>0.99669620000000003</v>
      </c>
      <c r="AB1958">
        <v>31</v>
      </c>
      <c r="AC1958">
        <v>-37.157400000000003</v>
      </c>
      <c r="AD1958">
        <v>-0.78894330000000001</v>
      </c>
      <c r="AE1958">
        <v>-7.7598000000000402</v>
      </c>
      <c r="AF1958">
        <v>-3.10343264703282</v>
      </c>
      <c r="AG1958">
        <v>-0.78894330000000001</v>
      </c>
      <c r="AH1958">
        <v>37.815493117372803</v>
      </c>
      <c r="AI1958">
        <v>91.1911829549299</v>
      </c>
      <c r="AJ1958">
        <v>94.6916220072724</v>
      </c>
      <c r="AK1958">
        <v>37.950826676573897</v>
      </c>
      <c r="AL1958">
        <v>78.094986347245595</v>
      </c>
      <c r="AM1958">
        <v>91.118966520889501</v>
      </c>
      <c r="AN1958">
        <v>0.99999995739329195</v>
      </c>
    </row>
    <row r="1959" spans="1:40" x14ac:dyDescent="0.25">
      <c r="A1959" t="str">
        <f>"20190303170801078"</f>
        <v>20190303170801078</v>
      </c>
      <c r="B1959" t="str">
        <f>"1551604081064388"</f>
        <v>1551604081064388</v>
      </c>
      <c r="C1959" t="s">
        <v>40</v>
      </c>
      <c r="D1959">
        <v>4.3732530000000001</v>
      </c>
      <c r="E1959">
        <v>0.48480440000000002</v>
      </c>
      <c r="F1959" t="s">
        <v>70</v>
      </c>
      <c r="G1959">
        <v>-511.95870000000002</v>
      </c>
      <c r="H1959">
        <v>0.31298429999999999</v>
      </c>
      <c r="I1959">
        <v>276.81020000000001</v>
      </c>
      <c r="J1959">
        <v>-475.10550000000001</v>
      </c>
      <c r="K1959">
        <v>1.1257490000000001</v>
      </c>
      <c r="L1959">
        <v>284.2962</v>
      </c>
      <c r="M1959">
        <v>-0.99152810000000002</v>
      </c>
      <c r="N1959">
        <v>-1.4555530000000001E-2</v>
      </c>
      <c r="O1959">
        <v>-0.12907460000000001</v>
      </c>
      <c r="P1959">
        <v>-0.9709219</v>
      </c>
      <c r="Q1959">
        <v>0.1913764</v>
      </c>
      <c r="R1959">
        <v>-0.14382739999999999</v>
      </c>
      <c r="S1959">
        <v>-3.0139469999999999</v>
      </c>
      <c r="T1959">
        <v>-6.5913680000000002E-2</v>
      </c>
      <c r="U1959">
        <v>-0.61074830000000002</v>
      </c>
      <c r="V1959">
        <v>-1.9521980000000001E-2</v>
      </c>
      <c r="W1959">
        <v>0.2054405</v>
      </c>
      <c r="X1959">
        <v>0.97847490000000004</v>
      </c>
      <c r="Y1959">
        <v>-7.0401530000000004E-2</v>
      </c>
      <c r="Z1959">
        <v>-3.7037749999999998E-4</v>
      </c>
      <c r="AA1959">
        <v>0.99751869999999998</v>
      </c>
      <c r="AB1959">
        <v>31</v>
      </c>
      <c r="AC1959">
        <v>-36.853200000000001</v>
      </c>
      <c r="AD1959">
        <v>-0.81276469999999901</v>
      </c>
      <c r="AE1959">
        <v>-7.48599999999999</v>
      </c>
      <c r="AF1959">
        <v>-2.6648048662207602</v>
      </c>
      <c r="AG1959">
        <v>-0.81276469999999901</v>
      </c>
      <c r="AH1959">
        <v>37.493694316157999</v>
      </c>
      <c r="AI1959">
        <v>91.238703650954406</v>
      </c>
      <c r="AJ1959">
        <v>94.065370554322996</v>
      </c>
      <c r="AK1959">
        <v>37.597059524730099</v>
      </c>
      <c r="AL1959">
        <v>78.144713511444394</v>
      </c>
      <c r="AM1959">
        <v>91.142981474142005</v>
      </c>
      <c r="AN1959">
        <v>1.0000000183366899</v>
      </c>
    </row>
    <row r="1960" spans="1:40" x14ac:dyDescent="0.25">
      <c r="A1960" t="str">
        <f>"20190303170801100"</f>
        <v>20190303170801100</v>
      </c>
      <c r="B1960" t="str">
        <f>"1551604081094644"</f>
        <v>1551604081094644</v>
      </c>
      <c r="C1960" t="s">
        <v>40</v>
      </c>
      <c r="D1960">
        <v>4.2231899999999998</v>
      </c>
      <c r="E1960">
        <v>0.4881354</v>
      </c>
      <c r="F1960" t="s">
        <v>70</v>
      </c>
      <c r="G1960">
        <v>-511.95870000000002</v>
      </c>
      <c r="H1960">
        <v>0.28205380000000002</v>
      </c>
      <c r="I1960">
        <v>276.8972</v>
      </c>
      <c r="J1960">
        <v>-475.41539999999998</v>
      </c>
      <c r="K1960">
        <v>1.1258159999999999</v>
      </c>
      <c r="L1960">
        <v>284.24990000000003</v>
      </c>
      <c r="M1960">
        <v>-0.99077999999999999</v>
      </c>
      <c r="N1960">
        <v>-1.4560129999999999E-2</v>
      </c>
      <c r="O1960">
        <v>-0.1346956</v>
      </c>
      <c r="P1960">
        <v>-0.97004809999999997</v>
      </c>
      <c r="Q1960">
        <v>0.19090480000000001</v>
      </c>
      <c r="R1960">
        <v>-0.15020739999999999</v>
      </c>
      <c r="S1960">
        <v>-3.0137939999999999</v>
      </c>
      <c r="T1960">
        <v>-6.8989040000000001E-2</v>
      </c>
      <c r="U1960">
        <v>-0.60507200000000005</v>
      </c>
      <c r="V1960">
        <v>-2.042735E-2</v>
      </c>
      <c r="W1960">
        <v>0.2049617</v>
      </c>
      <c r="X1960">
        <v>0.9785568</v>
      </c>
      <c r="Y1960">
        <v>-6.2949190000000002E-2</v>
      </c>
      <c r="Z1960" s="1">
        <v>-9.3801560000000004E-5</v>
      </c>
      <c r="AA1960">
        <v>0.99801669999999998</v>
      </c>
      <c r="AB1960">
        <v>31</v>
      </c>
      <c r="AC1960">
        <v>-36.543300000000002</v>
      </c>
      <c r="AD1960">
        <v>-0.84376219999999902</v>
      </c>
      <c r="AE1960">
        <v>-7.35270000000002</v>
      </c>
      <c r="AF1960">
        <v>-2.3617268799355302</v>
      </c>
      <c r="AG1960">
        <v>-0.84376219999999902</v>
      </c>
      <c r="AH1960">
        <v>37.181641203871202</v>
      </c>
      <c r="AI1960">
        <v>91.297375120436996</v>
      </c>
      <c r="AJ1960">
        <v>93.634466727419706</v>
      </c>
      <c r="AK1960">
        <v>37.266125786281698</v>
      </c>
      <c r="AL1960">
        <v>78.172742902639897</v>
      </c>
      <c r="AM1960">
        <v>91.195874352542305</v>
      </c>
      <c r="AN1960">
        <v>0.99999999296057596</v>
      </c>
    </row>
    <row r="1961" spans="1:40" x14ac:dyDescent="0.25">
      <c r="A1961" t="str">
        <f>"20190303170801123"</f>
        <v>20190303170801123</v>
      </c>
      <c r="B1961" t="str">
        <f>"1551604081114164"</f>
        <v>1551604081114164</v>
      </c>
      <c r="C1961" t="s">
        <v>40</v>
      </c>
      <c r="D1961">
        <v>4.2176999999999998</v>
      </c>
      <c r="E1961">
        <v>0.48905720000000003</v>
      </c>
      <c r="F1961" t="s">
        <v>70</v>
      </c>
      <c r="G1961">
        <v>-511.95870000000002</v>
      </c>
      <c r="H1961">
        <v>0.2759645</v>
      </c>
      <c r="I1961">
        <v>276.98880000000003</v>
      </c>
      <c r="J1961">
        <v>-475.71890000000002</v>
      </c>
      <c r="K1961">
        <v>1.1258919999999999</v>
      </c>
      <c r="L1961">
        <v>284.20269999999999</v>
      </c>
      <c r="M1961">
        <v>-0.98999979999999999</v>
      </c>
      <c r="N1961">
        <v>-1.456523E-2</v>
      </c>
      <c r="O1961">
        <v>-0.14031569999999999</v>
      </c>
      <c r="P1961">
        <v>-0.96904429999999997</v>
      </c>
      <c r="Q1961">
        <v>0.19056619999999999</v>
      </c>
      <c r="R1961">
        <v>-0.15696499999999999</v>
      </c>
      <c r="S1961">
        <v>-3.0137330000000002</v>
      </c>
      <c r="T1961">
        <v>-7.0080400000000001E-2</v>
      </c>
      <c r="U1961">
        <v>-0.59881589999999996</v>
      </c>
      <c r="V1961">
        <v>-2.172381E-2</v>
      </c>
      <c r="W1961">
        <v>0.20461070000000001</v>
      </c>
      <c r="X1961">
        <v>0.97860230000000004</v>
      </c>
      <c r="Y1961">
        <v>-5.529891E-2</v>
      </c>
      <c r="Z1961">
        <v>1.3221000000000001E-4</v>
      </c>
      <c r="AA1961">
        <v>0.99846979999999996</v>
      </c>
      <c r="AB1961">
        <v>31</v>
      </c>
      <c r="AC1961">
        <v>-36.239800000000002</v>
      </c>
      <c r="AD1961">
        <v>-0.84992749999999995</v>
      </c>
      <c r="AE1961">
        <v>-7.2138999999999598</v>
      </c>
      <c r="AF1961">
        <v>-2.0558768909731202</v>
      </c>
      <c r="AG1961">
        <v>-0.84992749999999995</v>
      </c>
      <c r="AH1961">
        <v>36.874018220288598</v>
      </c>
      <c r="AI1961">
        <v>91.318358228713095</v>
      </c>
      <c r="AJ1961">
        <v>93.191169499350906</v>
      </c>
      <c r="AK1961">
        <v>36.9410642274457</v>
      </c>
      <c r="AL1961">
        <v>78.1932887934462</v>
      </c>
      <c r="AM1961">
        <v>91.271689463398502</v>
      </c>
      <c r="AN1961">
        <v>0.99999996202034702</v>
      </c>
    </row>
    <row r="1962" spans="1:40" x14ac:dyDescent="0.25">
      <c r="A1962" t="str">
        <f>"20190303170801167"</f>
        <v>20190303170801167</v>
      </c>
      <c r="B1962" t="str">
        <f>"1551604081155156"</f>
        <v>1551604081155156</v>
      </c>
      <c r="C1962" t="s">
        <v>40</v>
      </c>
      <c r="D1962">
        <v>4.2099789999999997</v>
      </c>
      <c r="E1962">
        <v>0.50719959999999997</v>
      </c>
      <c r="F1962" t="s">
        <v>70</v>
      </c>
      <c r="G1962">
        <v>-511.95870000000002</v>
      </c>
      <c r="H1962">
        <v>0.27130349999999998</v>
      </c>
      <c r="I1962">
        <v>276.8227</v>
      </c>
      <c r="J1962">
        <v>-476.31939999999997</v>
      </c>
      <c r="K1962">
        <v>1.1260829999999999</v>
      </c>
      <c r="L1962">
        <v>284.10379999999998</v>
      </c>
      <c r="M1962">
        <v>-0.9882995</v>
      </c>
      <c r="N1962">
        <v>-1.4578850000000001E-2</v>
      </c>
      <c r="O1962">
        <v>-0.15182660000000001</v>
      </c>
      <c r="P1962">
        <v>-0.96702809999999995</v>
      </c>
      <c r="Q1962">
        <v>0.1889265</v>
      </c>
      <c r="R1962">
        <v>-0.17077300000000001</v>
      </c>
      <c r="S1962">
        <v>-3.0104980000000001</v>
      </c>
      <c r="T1962">
        <v>-7.098496E-2</v>
      </c>
      <c r="U1962">
        <v>-0.61306759999999905</v>
      </c>
      <c r="V1962">
        <v>-2.433101E-2</v>
      </c>
      <c r="W1962">
        <v>0.20294880000000001</v>
      </c>
      <c r="X1962">
        <v>0.97888699999999995</v>
      </c>
      <c r="Y1962">
        <v>-4.8429380000000001E-2</v>
      </c>
      <c r="Z1962">
        <v>3.9153819999999999E-4</v>
      </c>
      <c r="AA1962">
        <v>0.99882649999999995</v>
      </c>
      <c r="AB1962">
        <v>31</v>
      </c>
      <c r="AC1962">
        <v>-35.639299999999999</v>
      </c>
      <c r="AD1962">
        <v>-0.85477950000000003</v>
      </c>
      <c r="AE1962">
        <v>-7.2810999999999799</v>
      </c>
      <c r="AF1962">
        <v>-1.7841184945630399</v>
      </c>
      <c r="AG1962">
        <v>-0.85477950000000003</v>
      </c>
      <c r="AH1962">
        <v>36.311581573879998</v>
      </c>
      <c r="AI1962">
        <v>91.346877110069698</v>
      </c>
      <c r="AJ1962">
        <v>92.812885466602097</v>
      </c>
      <c r="AK1962">
        <v>36.365432531358699</v>
      </c>
      <c r="AL1962">
        <v>78.290549797414997</v>
      </c>
      <c r="AM1962">
        <v>91.423838708234598</v>
      </c>
      <c r="AN1962">
        <v>0.99999998611902996</v>
      </c>
    </row>
    <row r="1963" spans="1:40" x14ac:dyDescent="0.25">
      <c r="A1963" t="str">
        <f>"20190303170801190"</f>
        <v>20190303170801190</v>
      </c>
      <c r="B1963" t="str">
        <f>"1551604081184436"</f>
        <v>1551604081184436</v>
      </c>
      <c r="C1963" t="s">
        <v>40</v>
      </c>
      <c r="D1963">
        <v>4.163392</v>
      </c>
      <c r="E1963">
        <v>0.50827</v>
      </c>
      <c r="F1963" t="s">
        <v>70</v>
      </c>
      <c r="G1963">
        <v>-511.95870000000002</v>
      </c>
      <c r="H1963">
        <v>0.191388</v>
      </c>
      <c r="I1963">
        <v>278.06319999999999</v>
      </c>
      <c r="J1963">
        <v>-476.61380000000003</v>
      </c>
      <c r="K1963">
        <v>1.12618</v>
      </c>
      <c r="L1963">
        <v>284.05239999999998</v>
      </c>
      <c r="M1963">
        <v>-0.98738550000000003</v>
      </c>
      <c r="N1963">
        <v>-1.458711E-2</v>
      </c>
      <c r="O1963">
        <v>-0.15766189999999999</v>
      </c>
      <c r="P1963">
        <v>-0.96565939999999995</v>
      </c>
      <c r="Q1963">
        <v>0.1883088</v>
      </c>
      <c r="R1963">
        <v>-0.1790023</v>
      </c>
      <c r="S1963">
        <v>-3.0272220000000001</v>
      </c>
      <c r="T1963">
        <v>-7.9386349999999994E-2</v>
      </c>
      <c r="U1963">
        <v>-0.51309199999999999</v>
      </c>
      <c r="V1963">
        <v>-2.6914420000000001E-2</v>
      </c>
      <c r="W1963">
        <v>0.20230390000000001</v>
      </c>
      <c r="X1963">
        <v>0.97895290000000001</v>
      </c>
      <c r="Y1963">
        <v>-9.5623530000000009E-3</v>
      </c>
      <c r="Z1963">
        <v>1.5849919999999999E-3</v>
      </c>
      <c r="AA1963">
        <v>0.99995299999999998</v>
      </c>
      <c r="AB1963">
        <v>31</v>
      </c>
      <c r="AC1963">
        <v>-35.344900000000003</v>
      </c>
      <c r="AD1963">
        <v>-0.93479199999999996</v>
      </c>
      <c r="AE1963">
        <v>-5.9891999999999799</v>
      </c>
      <c r="AF1963">
        <v>-0.34090960828538402</v>
      </c>
      <c r="AG1963">
        <v>-0.93479199999999996</v>
      </c>
      <c r="AH1963">
        <v>35.8227631824128</v>
      </c>
      <c r="AI1963">
        <v>91.494721679239703</v>
      </c>
      <c r="AJ1963">
        <v>90.545242476795494</v>
      </c>
      <c r="AK1963">
        <v>35.836579321518897</v>
      </c>
      <c r="AL1963">
        <v>78.328282938507598</v>
      </c>
      <c r="AM1963">
        <v>91.574840130440407</v>
      </c>
      <c r="AN1963">
        <v>1.00000001718877</v>
      </c>
    </row>
    <row r="1964" spans="1:40" x14ac:dyDescent="0.25">
      <c r="A1964" t="str">
        <f>"20190303170801211"</f>
        <v>20190303170801211</v>
      </c>
      <c r="B1964" t="str">
        <f>"1551604081204932"</f>
        <v>1551604081204932</v>
      </c>
      <c r="C1964" t="s">
        <v>40</v>
      </c>
      <c r="D1964">
        <v>4.3128549999999999</v>
      </c>
      <c r="E1964">
        <v>0.50867839999999998</v>
      </c>
      <c r="F1964" t="s">
        <v>70</v>
      </c>
      <c r="G1964">
        <v>-511.95870000000002</v>
      </c>
      <c r="H1964">
        <v>0.1746125</v>
      </c>
      <c r="I1964">
        <v>277.86790000000002</v>
      </c>
      <c r="J1964">
        <v>-476.91090000000003</v>
      </c>
      <c r="K1964">
        <v>1.126285</v>
      </c>
      <c r="L1964">
        <v>283.99849999999998</v>
      </c>
      <c r="M1964">
        <v>-0.98639770000000004</v>
      </c>
      <c r="N1964">
        <v>-1.459556E-2</v>
      </c>
      <c r="O1964">
        <v>-0.16372719999999999</v>
      </c>
      <c r="P1964">
        <v>-0.96424779999999999</v>
      </c>
      <c r="Q1964">
        <v>0.1879574</v>
      </c>
      <c r="R1964">
        <v>-0.1868107</v>
      </c>
      <c r="S1964">
        <v>-3.0244749999999998</v>
      </c>
      <c r="T1964">
        <v>-8.1418749999999998E-2</v>
      </c>
      <c r="U1964">
        <v>-0.52920529999999999</v>
      </c>
      <c r="V1964">
        <v>-2.886553E-2</v>
      </c>
      <c r="W1964">
        <v>0.20193030000000001</v>
      </c>
      <c r="X1964">
        <v>0.97897440000000002</v>
      </c>
      <c r="Y1964">
        <v>-8.7420250000000005E-3</v>
      </c>
      <c r="Z1964">
        <v>1.77389E-3</v>
      </c>
      <c r="AA1964">
        <v>0.99996019999999997</v>
      </c>
      <c r="AB1964">
        <v>31</v>
      </c>
      <c r="AC1964">
        <v>-35.047799999999903</v>
      </c>
      <c r="AD1964">
        <v>-0.95167250000000003</v>
      </c>
      <c r="AE1964">
        <v>-6.1305999999999496</v>
      </c>
      <c r="AF1964">
        <v>-0.308743599983269</v>
      </c>
      <c r="AG1964">
        <v>-0.95167250000000003</v>
      </c>
      <c r="AH1964">
        <v>35.553168627894799</v>
      </c>
      <c r="AI1964">
        <v>91.533245787799999</v>
      </c>
      <c r="AJ1964">
        <v>90.497543855095998</v>
      </c>
      <c r="AK1964">
        <v>35.5672433939054</v>
      </c>
      <c r="AL1964">
        <v>78.350139182921495</v>
      </c>
      <c r="AM1964">
        <v>91.688904228168994</v>
      </c>
      <c r="AN1964">
        <v>0.99999997036781496</v>
      </c>
    </row>
    <row r="1965" spans="1:40" x14ac:dyDescent="0.25">
      <c r="A1965" t="str">
        <f>"20190303170801234"</f>
        <v>20190303170801234</v>
      </c>
      <c r="B1965" t="str">
        <f>"1551604081224452"</f>
        <v>1551604081224452</v>
      </c>
      <c r="C1965" t="s">
        <v>40</v>
      </c>
      <c r="D1965">
        <v>4.1832820000000002</v>
      </c>
      <c r="E1965">
        <v>0.50923890000000005</v>
      </c>
      <c r="F1965" t="s">
        <v>70</v>
      </c>
      <c r="G1965">
        <v>-511.95870000000002</v>
      </c>
      <c r="H1965">
        <v>0.1870783</v>
      </c>
      <c r="I1965">
        <v>277.62079999999997</v>
      </c>
      <c r="J1965">
        <v>-477.20859999999999</v>
      </c>
      <c r="K1965">
        <v>1.126398</v>
      </c>
      <c r="L1965">
        <v>283.94229999999999</v>
      </c>
      <c r="M1965">
        <v>-0.98534149999999998</v>
      </c>
      <c r="N1965">
        <v>-1.4605740000000001E-2</v>
      </c>
      <c r="O1965">
        <v>-0.16996749999999999</v>
      </c>
      <c r="P1965">
        <v>-0.96261759999999996</v>
      </c>
      <c r="Q1965">
        <v>0.18769250000000001</v>
      </c>
      <c r="R1965">
        <v>-0.19529250000000001</v>
      </c>
      <c r="S1965">
        <v>-3.0205690000000001</v>
      </c>
      <c r="T1965">
        <v>-8.0937499999999996E-2</v>
      </c>
      <c r="U1965">
        <v>-0.54965209999999998</v>
      </c>
      <c r="V1965">
        <v>-3.1340079999999999E-2</v>
      </c>
      <c r="W1965">
        <v>0.20163700000000001</v>
      </c>
      <c r="X1965">
        <v>0.97895880000000002</v>
      </c>
      <c r="Y1965">
        <v>-9.1916050000000003E-3</v>
      </c>
      <c r="Z1965">
        <v>1.812003E-3</v>
      </c>
      <c r="AA1965">
        <v>0.99995610000000001</v>
      </c>
      <c r="AB1965">
        <v>31</v>
      </c>
      <c r="AC1965">
        <v>-34.750100000000003</v>
      </c>
      <c r="AD1965">
        <v>-0.93931969999999998</v>
      </c>
      <c r="AE1965">
        <v>-6.3215000000000101</v>
      </c>
      <c r="AF1965">
        <v>-0.32225512905070203</v>
      </c>
      <c r="AG1965">
        <v>-0.93931969999999998</v>
      </c>
      <c r="AH1965">
        <v>35.293968198649999</v>
      </c>
      <c r="AI1965">
        <v>91.524456273229802</v>
      </c>
      <c r="AJ1965">
        <v>90.523130344688795</v>
      </c>
      <c r="AK1965">
        <v>35.307936233576797</v>
      </c>
      <c r="AL1965">
        <v>78.367297392385893</v>
      </c>
      <c r="AM1965">
        <v>91.833622875114301</v>
      </c>
      <c r="AN1965">
        <v>1.00000000624042</v>
      </c>
    </row>
    <row r="1966" spans="1:40" x14ac:dyDescent="0.25">
      <c r="A1966" t="str">
        <f>"20190303170801256"</f>
        <v>20190303170801256</v>
      </c>
      <c r="B1966" t="str">
        <f>"1551604081244948"</f>
        <v>1551604081244948</v>
      </c>
      <c r="C1966" t="s">
        <v>40</v>
      </c>
      <c r="D1966">
        <v>4.1744960000000004</v>
      </c>
      <c r="E1966">
        <v>0.50953079999999995</v>
      </c>
      <c r="F1966" t="s">
        <v>70</v>
      </c>
      <c r="G1966">
        <v>-511.95870000000002</v>
      </c>
      <c r="H1966">
        <v>0.2137067</v>
      </c>
      <c r="I1966">
        <v>277.35520000000002</v>
      </c>
      <c r="J1966">
        <v>-477.50450000000001</v>
      </c>
      <c r="K1966">
        <v>1.1265080000000001</v>
      </c>
      <c r="L1966">
        <v>283.88440000000003</v>
      </c>
      <c r="M1966">
        <v>-0.98422030000000005</v>
      </c>
      <c r="N1966">
        <v>-1.4616870000000001E-2</v>
      </c>
      <c r="O1966">
        <v>-0.17634250000000001</v>
      </c>
      <c r="P1966">
        <v>-0.96028659999999999</v>
      </c>
      <c r="Q1966">
        <v>0.18705749999999999</v>
      </c>
      <c r="R1966">
        <v>-0.20702419999999999</v>
      </c>
      <c r="S1966">
        <v>-3.01593</v>
      </c>
      <c r="T1966">
        <v>-7.9204319999999995E-2</v>
      </c>
      <c r="U1966">
        <v>-0.57168580000000002</v>
      </c>
      <c r="V1966">
        <v>-3.6994260000000001E-2</v>
      </c>
      <c r="W1966">
        <v>0.20093079999999999</v>
      </c>
      <c r="X1966">
        <v>0.97890659999999896</v>
      </c>
      <c r="Y1966">
        <v>-1.004966E-2</v>
      </c>
      <c r="Z1966">
        <v>1.77186799999999E-3</v>
      </c>
      <c r="AA1966">
        <v>0.9999479</v>
      </c>
      <c r="AB1966">
        <v>31</v>
      </c>
      <c r="AC1966">
        <v>-34.4542</v>
      </c>
      <c r="AD1966">
        <v>-0.91280130000000004</v>
      </c>
      <c r="AE1966">
        <v>-6.5292000000000003</v>
      </c>
      <c r="AF1966">
        <v>-0.35023157139163802</v>
      </c>
      <c r="AG1966">
        <v>-0.91280130000000004</v>
      </c>
      <c r="AH1966">
        <v>35.041903027712699</v>
      </c>
      <c r="AI1966">
        <v>91.492077282268596</v>
      </c>
      <c r="AJ1966">
        <v>90.572632220903799</v>
      </c>
      <c r="AK1966">
        <v>35.055539307939704</v>
      </c>
      <c r="AL1966">
        <v>78.408604419119399</v>
      </c>
      <c r="AM1966">
        <v>92.164258323127498</v>
      </c>
      <c r="AN1966">
        <v>0.99999994659257196</v>
      </c>
    </row>
    <row r="1967" spans="1:40" x14ac:dyDescent="0.25">
      <c r="A1967" t="str">
        <f>"20190303170801279"</f>
        <v>20190303170801279</v>
      </c>
      <c r="B1967" t="str">
        <f>"1551604081274228"</f>
        <v>1551604081274228</v>
      </c>
      <c r="C1967" t="s">
        <v>40</v>
      </c>
      <c r="D1967">
        <v>4.1270470000000001</v>
      </c>
      <c r="E1967">
        <v>0.51724150000000002</v>
      </c>
      <c r="F1967" t="s">
        <v>70</v>
      </c>
      <c r="G1967">
        <v>-511.95870000000002</v>
      </c>
      <c r="H1967">
        <v>0.20874509999999999</v>
      </c>
      <c r="I1967">
        <v>276.94450000000001</v>
      </c>
      <c r="J1967">
        <v>-477.80579999999998</v>
      </c>
      <c r="K1967">
        <v>1.12664599999999</v>
      </c>
      <c r="L1967">
        <v>283.82330000000002</v>
      </c>
      <c r="M1967">
        <v>-0.98299749999999997</v>
      </c>
      <c r="N1967">
        <v>-1.4629400000000001E-2</v>
      </c>
      <c r="O1967">
        <v>-0.183036</v>
      </c>
      <c r="P1967">
        <v>-0.9576749</v>
      </c>
      <c r="Q1967">
        <v>0.1865686</v>
      </c>
      <c r="R1967">
        <v>-0.21920529999999999</v>
      </c>
      <c r="S1967">
        <v>-3.0090029999999999</v>
      </c>
      <c r="T1967">
        <v>-8.0143809999999996E-2</v>
      </c>
      <c r="U1967">
        <v>-0.60607909999999998</v>
      </c>
      <c r="V1967">
        <v>-4.282685E-2</v>
      </c>
      <c r="W1967">
        <v>0.2003646</v>
      </c>
      <c r="X1967">
        <v>0.97878489999999996</v>
      </c>
      <c r="Y1967">
        <v>-1.4672370000000001E-2</v>
      </c>
      <c r="Z1967">
        <v>1.8068120000000001E-3</v>
      </c>
      <c r="AA1967">
        <v>0.99989070000000002</v>
      </c>
      <c r="AB1967">
        <v>31</v>
      </c>
      <c r="AC1967">
        <v>-34.152900000000002</v>
      </c>
      <c r="AD1967">
        <v>-0.91790089999999902</v>
      </c>
      <c r="AE1967">
        <v>-6.8788000000000098</v>
      </c>
      <c r="AF1967">
        <v>-0.51033331951261895</v>
      </c>
      <c r="AG1967">
        <v>-0.91790089999999902</v>
      </c>
      <c r="AH1967">
        <v>34.810841653295299</v>
      </c>
      <c r="AI1967">
        <v>91.510277105985296</v>
      </c>
      <c r="AJ1967">
        <v>90.839906462333602</v>
      </c>
      <c r="AK1967">
        <v>34.826680559163599</v>
      </c>
      <c r="AL1967">
        <v>78.441719303808398</v>
      </c>
      <c r="AM1967">
        <v>92.505385617106199</v>
      </c>
      <c r="AN1967">
        <v>0.99999999624104596</v>
      </c>
    </row>
    <row r="1968" spans="1:40" x14ac:dyDescent="0.25">
      <c r="A1968" t="str">
        <f>"20190303170801302"</f>
        <v>20190303170801302</v>
      </c>
      <c r="B1968" t="str">
        <f>"1551604081294724"</f>
        <v>1551604081294724</v>
      </c>
      <c r="C1968" t="s">
        <v>40</v>
      </c>
      <c r="D1968">
        <v>4.0853080000000004</v>
      </c>
      <c r="E1968">
        <v>0.51803929999999998</v>
      </c>
      <c r="F1968" t="s">
        <v>70</v>
      </c>
      <c r="G1968">
        <v>-511.95870000000002</v>
      </c>
      <c r="H1968">
        <v>0.32647399999999999</v>
      </c>
      <c r="I1968">
        <v>277.20940000000002</v>
      </c>
      <c r="J1968">
        <v>-478.10899999999998</v>
      </c>
      <c r="K1968">
        <v>1.126808</v>
      </c>
      <c r="L1968">
        <v>283.75940000000003</v>
      </c>
      <c r="M1968">
        <v>-0.98167510000000002</v>
      </c>
      <c r="N1968">
        <v>-1.4644269999999999E-2</v>
      </c>
      <c r="O1968">
        <v>-0.18999840000000001</v>
      </c>
      <c r="P1968">
        <v>-0.9549879</v>
      </c>
      <c r="Q1968">
        <v>0.18748600000000001</v>
      </c>
      <c r="R1968">
        <v>-0.22988539999999999</v>
      </c>
      <c r="S1968">
        <v>-3.0127869999999999</v>
      </c>
      <c r="T1968">
        <v>-7.0579290000000003E-2</v>
      </c>
      <c r="U1968">
        <v>-0.58343509999999998</v>
      </c>
      <c r="V1968">
        <v>-4.695179E-2</v>
      </c>
      <c r="W1968">
        <v>0.20122039999999999</v>
      </c>
      <c r="X1968">
        <v>0.97842010000000001</v>
      </c>
      <c r="Y1968">
        <v>-1.1041909999999999E-4</v>
      </c>
      <c r="Z1968">
        <v>1.584804E-3</v>
      </c>
      <c r="AA1968">
        <v>0.99999870000000002</v>
      </c>
      <c r="AB1968">
        <v>31</v>
      </c>
      <c r="AC1968">
        <v>-33.849699999999899</v>
      </c>
      <c r="AD1968">
        <v>-0.80033399999999999</v>
      </c>
      <c r="AE1968">
        <v>-6.5500000000000096</v>
      </c>
      <c r="AF1968">
        <v>1.4163243583569199E-3</v>
      </c>
      <c r="AG1968">
        <v>-0.80033399999999999</v>
      </c>
      <c r="AH1968">
        <v>34.459028624950101</v>
      </c>
      <c r="AI1968">
        <v>91.330493618329996</v>
      </c>
      <c r="AJ1968">
        <v>89.997645046556798</v>
      </c>
      <c r="AK1968">
        <v>34.468321547366699</v>
      </c>
      <c r="AL1968">
        <v>78.391666296718498</v>
      </c>
      <c r="AM1968">
        <v>92.747365183454406</v>
      </c>
      <c r="AN1968">
        <v>1.0000000060221801</v>
      </c>
    </row>
    <row r="1969" spans="1:40" x14ac:dyDescent="0.25">
      <c r="A1969" t="str">
        <f>"20190303170801324"</f>
        <v>20190303170801324</v>
      </c>
      <c r="B1969" t="str">
        <f>"1551604081314244"</f>
        <v>1551604081314244</v>
      </c>
      <c r="C1969" t="s">
        <v>40</v>
      </c>
      <c r="D1969">
        <v>4.0881410000000002</v>
      </c>
      <c r="E1969">
        <v>0.51889870000000005</v>
      </c>
      <c r="F1969" t="s">
        <v>70</v>
      </c>
      <c r="G1969">
        <v>-511.95870000000002</v>
      </c>
      <c r="H1969">
        <v>0.33882269999999998</v>
      </c>
      <c r="I1969">
        <v>276.8716</v>
      </c>
      <c r="J1969">
        <v>-478.3981</v>
      </c>
      <c r="K1969">
        <v>1.126978</v>
      </c>
      <c r="L1969">
        <v>283.6961</v>
      </c>
      <c r="M1969">
        <v>-0.98031999999999997</v>
      </c>
      <c r="N1969">
        <v>-1.466104E-2</v>
      </c>
      <c r="O1969">
        <v>-0.1968703</v>
      </c>
      <c r="P1969">
        <v>-0.95240290000000005</v>
      </c>
      <c r="Q1969">
        <v>0.18799950000000001</v>
      </c>
      <c r="R1969">
        <v>-0.2399693</v>
      </c>
      <c r="S1969">
        <v>-3.0078429999999998</v>
      </c>
      <c r="T1969">
        <v>-7.001185E-2</v>
      </c>
      <c r="U1969">
        <v>-0.61202999999999996</v>
      </c>
      <c r="V1969">
        <v>-5.0560939999999999E-2</v>
      </c>
      <c r="W1969">
        <v>0.20167860000000001</v>
      </c>
      <c r="X1969">
        <v>0.97814579999999995</v>
      </c>
      <c r="Y1969">
        <v>-2.5566539999999998E-3</v>
      </c>
      <c r="Z1969">
        <v>1.556527E-3</v>
      </c>
      <c r="AA1969">
        <v>0.99999550000000004</v>
      </c>
      <c r="AB1969">
        <v>31</v>
      </c>
      <c r="AC1969">
        <v>-33.560600000000001</v>
      </c>
      <c r="AD1969">
        <v>-0.7881553</v>
      </c>
      <c r="AE1969">
        <v>-6.8244999999999996</v>
      </c>
      <c r="AF1969">
        <v>-8.3073378774795203E-2</v>
      </c>
      <c r="AG1969">
        <v>-0.7881553</v>
      </c>
      <c r="AH1969">
        <v>34.229218223058403</v>
      </c>
      <c r="AI1969">
        <v>91.319044474728301</v>
      </c>
      <c r="AJ1969">
        <v>90.139055020696205</v>
      </c>
      <c r="AK1969">
        <v>34.238391757279302</v>
      </c>
      <c r="AL1969">
        <v>78.364863068017499</v>
      </c>
      <c r="AM1969">
        <v>92.959019484032893</v>
      </c>
      <c r="AN1969">
        <v>0.99999993620463901</v>
      </c>
    </row>
    <row r="1970" spans="1:40" x14ac:dyDescent="0.25">
      <c r="A1970" t="str">
        <f>"20190303170801346"</f>
        <v>20190303170801346</v>
      </c>
      <c r="B1970" t="str">
        <f>"1551604081335717"</f>
        <v>1551604081335717</v>
      </c>
      <c r="C1970" t="s">
        <v>40</v>
      </c>
      <c r="D1970">
        <v>4.0902209999999997</v>
      </c>
      <c r="E1970">
        <v>0.51925959999999904</v>
      </c>
      <c r="F1970" t="s">
        <v>70</v>
      </c>
      <c r="G1970">
        <v>-511.95870000000002</v>
      </c>
      <c r="H1970">
        <v>0.32884010000000002</v>
      </c>
      <c r="I1970">
        <v>276.57780000000002</v>
      </c>
      <c r="J1970">
        <v>-478.69139999999999</v>
      </c>
      <c r="K1970">
        <v>1.127165</v>
      </c>
      <c r="L1970">
        <v>283.62950000000001</v>
      </c>
      <c r="M1970">
        <v>-0.97884150000000003</v>
      </c>
      <c r="N1970">
        <v>-1.4680449999999999E-2</v>
      </c>
      <c r="O1970">
        <v>-0.204093</v>
      </c>
      <c r="P1970">
        <v>-0.94972040000000002</v>
      </c>
      <c r="Q1970">
        <v>0.1878957</v>
      </c>
      <c r="R1970">
        <v>-0.2504535</v>
      </c>
      <c r="S1970">
        <v>-3.0035400000000001</v>
      </c>
      <c r="T1970">
        <v>-7.1422579999999999E-2</v>
      </c>
      <c r="U1970">
        <v>-0.63705440000000002</v>
      </c>
      <c r="V1970">
        <v>-5.4226580000000003E-2</v>
      </c>
      <c r="W1970">
        <v>0.20151749999999999</v>
      </c>
      <c r="X1970">
        <v>0.97798269999999998</v>
      </c>
      <c r="Y1970">
        <v>-3.4500640000000001E-3</v>
      </c>
      <c r="Z1970">
        <v>1.6866940000000001E-3</v>
      </c>
      <c r="AA1970">
        <v>0.99999260000000001</v>
      </c>
      <c r="AB1970">
        <v>30</v>
      </c>
      <c r="AC1970">
        <v>-33.267299999999999</v>
      </c>
      <c r="AD1970">
        <v>-0.7983249</v>
      </c>
      <c r="AE1970">
        <v>-7.0516999999999799</v>
      </c>
      <c r="AF1970">
        <v>-0.11282352523716099</v>
      </c>
      <c r="AG1970">
        <v>-0.7983249</v>
      </c>
      <c r="AH1970">
        <v>33.9875477295205</v>
      </c>
      <c r="AI1970">
        <v>91.345551220460905</v>
      </c>
      <c r="AJ1970">
        <v>90.190195777968597</v>
      </c>
      <c r="AK1970">
        <v>33.997109472133701</v>
      </c>
      <c r="AL1970">
        <v>78.374287576942805</v>
      </c>
      <c r="AM1970">
        <v>93.173651244297005</v>
      </c>
      <c r="AN1970">
        <v>0.99999999314201804</v>
      </c>
    </row>
    <row r="1971" spans="1:40" x14ac:dyDescent="0.25">
      <c r="A1971" t="str">
        <f>"20190303170801369"</f>
        <v>20190303170801369</v>
      </c>
      <c r="B1971" t="str">
        <f>"1551604081364996"</f>
        <v>1551604081364996</v>
      </c>
      <c r="C1971" t="s">
        <v>40</v>
      </c>
      <c r="D1971">
        <v>3.9758610000000001</v>
      </c>
      <c r="E1971">
        <v>0.47710770000000002</v>
      </c>
      <c r="F1971" t="s">
        <v>70</v>
      </c>
      <c r="G1971">
        <v>-511.95870000000002</v>
      </c>
      <c r="H1971">
        <v>0.33401439999999999</v>
      </c>
      <c r="I1971">
        <v>276.23329999999999</v>
      </c>
      <c r="J1971">
        <v>-478.98329999999999</v>
      </c>
      <c r="K1971">
        <v>1.1273580000000001</v>
      </c>
      <c r="L1971">
        <v>283.5607</v>
      </c>
      <c r="M1971">
        <v>-0.9772554</v>
      </c>
      <c r="N1971">
        <v>-1.470221E-2</v>
      </c>
      <c r="O1971">
        <v>-0.2115551</v>
      </c>
      <c r="P1971">
        <v>-0.94706460000000003</v>
      </c>
      <c r="Q1971">
        <v>0.18735370000000001</v>
      </c>
      <c r="R1971">
        <v>-0.26070539999999998</v>
      </c>
      <c r="S1971">
        <v>-2.9971920000000001</v>
      </c>
      <c r="T1971">
        <v>-7.1450710000000001E-2</v>
      </c>
      <c r="U1971">
        <v>-0.66635129999999998</v>
      </c>
      <c r="V1971">
        <v>-5.7412930000000001E-2</v>
      </c>
      <c r="W1971">
        <v>0.20092380000000001</v>
      </c>
      <c r="X1971">
        <v>0.97792299999999999</v>
      </c>
      <c r="Y1971">
        <v>-5.5829060000000003E-3</v>
      </c>
      <c r="Z1971">
        <v>1.708488E-3</v>
      </c>
      <c r="AA1971">
        <v>0.99998299999999996</v>
      </c>
      <c r="AB1971">
        <v>30</v>
      </c>
      <c r="AC1971">
        <v>-32.9754</v>
      </c>
      <c r="AD1971">
        <v>-0.79334359999999904</v>
      </c>
      <c r="AE1971">
        <v>-7.3274000000000097</v>
      </c>
      <c r="AF1971">
        <v>-0.18454535404129299</v>
      </c>
      <c r="AG1971">
        <v>-0.79334359999999904</v>
      </c>
      <c r="AH1971">
        <v>33.7605685900213</v>
      </c>
      <c r="AI1971">
        <v>91.346132455927801</v>
      </c>
      <c r="AJ1971">
        <v>90.313192728782596</v>
      </c>
      <c r="AK1971">
        <v>33.770392988191396</v>
      </c>
      <c r="AL1971">
        <v>78.409014536605696</v>
      </c>
      <c r="AM1971">
        <v>93.359924032642894</v>
      </c>
      <c r="AN1971">
        <v>1.0000000059333101</v>
      </c>
    </row>
    <row r="1972" spans="1:40" x14ac:dyDescent="0.25">
      <c r="A1972" t="str">
        <f>"20190303170801391"</f>
        <v>20190303170801391</v>
      </c>
      <c r="B1972" t="str">
        <f>"1551604081384516"</f>
        <v>1551604081384516</v>
      </c>
      <c r="C1972" t="s">
        <v>40</v>
      </c>
      <c r="D1972">
        <v>4.1109119999999999</v>
      </c>
      <c r="E1972">
        <v>0.45980910000000003</v>
      </c>
      <c r="F1972" t="s">
        <v>70</v>
      </c>
      <c r="G1972">
        <v>-512.82560000000001</v>
      </c>
      <c r="H1972">
        <v>1.3610599999999999</v>
      </c>
      <c r="I1972">
        <v>271.66109999999998</v>
      </c>
      <c r="J1972">
        <v>-479.27539999999999</v>
      </c>
      <c r="K1972">
        <v>1.1275630000000001</v>
      </c>
      <c r="L1972">
        <v>283.48899999999998</v>
      </c>
      <c r="M1972">
        <v>-0.97553829999999997</v>
      </c>
      <c r="N1972">
        <v>-1.472738E-2</v>
      </c>
      <c r="O1972">
        <v>-0.2193358</v>
      </c>
      <c r="P1972">
        <v>-0.94442340000000002</v>
      </c>
      <c r="Q1972">
        <v>0.18729580000000001</v>
      </c>
      <c r="R1972">
        <v>-0.27015679999999997</v>
      </c>
      <c r="S1972">
        <v>-2.8845209999999999</v>
      </c>
      <c r="T1972">
        <v>1.9926070000000001E-2</v>
      </c>
      <c r="U1972">
        <v>-1.0142519999999999</v>
      </c>
      <c r="V1972">
        <v>-5.9498379999999997E-2</v>
      </c>
      <c r="W1972">
        <v>0.20082849999999999</v>
      </c>
      <c r="X1972">
        <v>0.97781790000000002</v>
      </c>
      <c r="Y1972">
        <v>-0.1167407</v>
      </c>
      <c r="Z1972">
        <v>-5.1289020000000003E-3</v>
      </c>
      <c r="AA1972">
        <v>0.99314919999999995</v>
      </c>
      <c r="AB1972">
        <v>30</v>
      </c>
      <c r="AC1972">
        <v>-33.550199999999997</v>
      </c>
      <c r="AD1972">
        <v>0.23349700000000001</v>
      </c>
      <c r="AE1972">
        <v>-11.8279</v>
      </c>
      <c r="AF1972">
        <v>-4.1800826474185104</v>
      </c>
      <c r="AG1972">
        <v>0.23349700000000001</v>
      </c>
      <c r="AH1972">
        <v>35.326095352570697</v>
      </c>
      <c r="AI1972">
        <v>89.623917835422901</v>
      </c>
      <c r="AJ1972">
        <v>96.748342478702398</v>
      </c>
      <c r="AK1972">
        <v>35.573313377406599</v>
      </c>
      <c r="AL1972">
        <v>78.414588306045701</v>
      </c>
      <c r="AM1972">
        <v>93.482047229135901</v>
      </c>
      <c r="AN1972">
        <v>0.99999999459764199</v>
      </c>
    </row>
    <row r="1973" spans="1:40" x14ac:dyDescent="0.25">
      <c r="A1973" t="str">
        <f>"20190303170801412"</f>
        <v>20190303170801412</v>
      </c>
      <c r="B1973" t="str">
        <f>"1551604081405012"</f>
        <v>1551604081405012</v>
      </c>
      <c r="C1973" t="s">
        <v>40</v>
      </c>
      <c r="D1973">
        <v>4.083437</v>
      </c>
      <c r="E1973">
        <v>0.44966070000000002</v>
      </c>
      <c r="F1973" t="s">
        <v>70</v>
      </c>
      <c r="G1973">
        <v>-512.82579999999996</v>
      </c>
      <c r="H1973">
        <v>1.9873989999999999</v>
      </c>
      <c r="I1973">
        <v>269.59989999999999</v>
      </c>
      <c r="J1973">
        <v>-479.55869999999999</v>
      </c>
      <c r="K1973">
        <v>1.1277710000000001</v>
      </c>
      <c r="L1973">
        <v>283.41680000000002</v>
      </c>
      <c r="M1973">
        <v>-0.97374499999999997</v>
      </c>
      <c r="N1973">
        <v>-1.475394E-2</v>
      </c>
      <c r="O1973">
        <v>-0.22716310000000001</v>
      </c>
      <c r="P1973">
        <v>-0.94181729999999997</v>
      </c>
      <c r="Q1973">
        <v>0.18654850000000001</v>
      </c>
      <c r="R1973">
        <v>-0.27960639999999998</v>
      </c>
      <c r="S1973">
        <v>-2.8273929999999998</v>
      </c>
      <c r="T1973">
        <v>7.2467089999999998E-2</v>
      </c>
      <c r="U1973">
        <v>-1.17047099999999</v>
      </c>
      <c r="V1973">
        <v>-6.1505289999999997E-2</v>
      </c>
      <c r="W1973">
        <v>0.20004739999999999</v>
      </c>
      <c r="X1973">
        <v>0.9778538</v>
      </c>
      <c r="Y1973">
        <v>-0.16272220000000001</v>
      </c>
      <c r="Z1973">
        <v>-8.0179919999999998E-3</v>
      </c>
      <c r="AA1973">
        <v>0.9866393</v>
      </c>
      <c r="AB1973">
        <v>30</v>
      </c>
      <c r="AC1973">
        <v>-33.2670999999999</v>
      </c>
      <c r="AD1973">
        <v>0.85962799999999995</v>
      </c>
      <c r="AE1973">
        <v>-13.8169</v>
      </c>
      <c r="AF1973">
        <v>-5.8943647169376501</v>
      </c>
      <c r="AG1973">
        <v>0.85962799999999995</v>
      </c>
      <c r="AH1973">
        <v>35.5160030622406</v>
      </c>
      <c r="AI1973">
        <v>88.632188066726698</v>
      </c>
      <c r="AJ1973">
        <v>99.4231252714672</v>
      </c>
      <c r="AK1973">
        <v>36.012066994713699</v>
      </c>
      <c r="AL1973">
        <v>78.460268646585007</v>
      </c>
      <c r="AM1973">
        <v>93.599062906296297</v>
      </c>
      <c r="AN1973">
        <v>0.99999995855959101</v>
      </c>
    </row>
    <row r="1974" spans="1:40" x14ac:dyDescent="0.25">
      <c r="A1974" t="str">
        <f>"20190303170801436"</f>
        <v>20190303170801436</v>
      </c>
      <c r="B1974" t="str">
        <f>"1551604081424535"</f>
        <v>1551604081424535</v>
      </c>
      <c r="C1974" t="s">
        <v>40</v>
      </c>
      <c r="D1974">
        <v>4.0515990000000004</v>
      </c>
      <c r="E1974">
        <v>0.445104</v>
      </c>
      <c r="F1974" t="s">
        <v>70</v>
      </c>
      <c r="G1974">
        <v>-512.82590000000005</v>
      </c>
      <c r="H1974">
        <v>2.2939229999999999</v>
      </c>
      <c r="I1974">
        <v>268.21510000000001</v>
      </c>
      <c r="J1974">
        <v>-479.85059999999999</v>
      </c>
      <c r="K1974">
        <v>1.1279539999999999</v>
      </c>
      <c r="L1974">
        <v>283.33960000000002</v>
      </c>
      <c r="M1974">
        <v>-0.97176739999999995</v>
      </c>
      <c r="N1974">
        <v>-1.4781860000000001E-2</v>
      </c>
      <c r="O1974">
        <v>-0.23547709999999999</v>
      </c>
      <c r="P1974">
        <v>-0.93886159999999996</v>
      </c>
      <c r="Q1974">
        <v>0.18621969999999999</v>
      </c>
      <c r="R1974">
        <v>-0.28958850000000003</v>
      </c>
      <c r="S1974">
        <v>-2.7877809999999998</v>
      </c>
      <c r="T1974">
        <v>9.7729330000000003E-2</v>
      </c>
      <c r="U1974">
        <v>-1.273895</v>
      </c>
      <c r="V1974">
        <v>-6.3607739999999996E-2</v>
      </c>
      <c r="W1974">
        <v>0.19968340000000001</v>
      </c>
      <c r="X1974">
        <v>0.97779380000000005</v>
      </c>
      <c r="Y1974">
        <v>-0.1899198</v>
      </c>
      <c r="Z1974">
        <v>-9.3939160000000004E-3</v>
      </c>
      <c r="AA1974">
        <v>0.98175469999999998</v>
      </c>
      <c r="AB1974">
        <v>30</v>
      </c>
      <c r="AC1974">
        <v>-32.975299999999997</v>
      </c>
      <c r="AD1974">
        <v>1.16596899999999</v>
      </c>
      <c r="AE1974">
        <v>-15.124499999999999</v>
      </c>
      <c r="AF1974">
        <v>-6.9261717014055497</v>
      </c>
      <c r="AG1974">
        <v>1.16596899999999</v>
      </c>
      <c r="AH1974">
        <v>35.572943306896001</v>
      </c>
      <c r="AI1974">
        <v>88.157275809444101</v>
      </c>
      <c r="AJ1974">
        <v>101.017834655453</v>
      </c>
      <c r="AK1974">
        <v>36.259697098320501</v>
      </c>
      <c r="AL1974">
        <v>78.481554958917698</v>
      </c>
      <c r="AM1974">
        <v>93.721978180904898</v>
      </c>
      <c r="AN1974">
        <v>1.00000006007095</v>
      </c>
    </row>
    <row r="1975" spans="1:40" x14ac:dyDescent="0.25">
      <c r="A1975" t="str">
        <f>"20190303170801457"</f>
        <v>20190303170801457</v>
      </c>
      <c r="B1975" t="str">
        <f>"1551604081445028"</f>
        <v>1551604081445028</v>
      </c>
      <c r="C1975" t="s">
        <v>40</v>
      </c>
      <c r="D1975">
        <v>3.9710260000000002</v>
      </c>
      <c r="E1975">
        <v>0.44297530000000002</v>
      </c>
      <c r="F1975" t="s">
        <v>70</v>
      </c>
      <c r="G1975">
        <v>-512.82590000000005</v>
      </c>
      <c r="H1975">
        <v>2.4028260000000001</v>
      </c>
      <c r="I1975">
        <v>267.36869999999999</v>
      </c>
      <c r="J1975">
        <v>-480.13240000000002</v>
      </c>
      <c r="K1975">
        <v>1.1281219999999901</v>
      </c>
      <c r="L1975">
        <v>283.26229999999998</v>
      </c>
      <c r="M1975">
        <v>-0.96972789999999998</v>
      </c>
      <c r="N1975">
        <v>-1.480709E-2</v>
      </c>
      <c r="O1975">
        <v>-0.24373890000000001</v>
      </c>
      <c r="P1975">
        <v>-0.93591060000000004</v>
      </c>
      <c r="Q1975">
        <v>0.1855858</v>
      </c>
      <c r="R1975">
        <v>-0.29938140000000002</v>
      </c>
      <c r="S1975">
        <v>-2.7616269999999998</v>
      </c>
      <c r="T1975">
        <v>0.10677440000000001</v>
      </c>
      <c r="U1975">
        <v>-1.3375239999999999</v>
      </c>
      <c r="V1975">
        <v>-6.5550689999999995E-2</v>
      </c>
      <c r="W1975">
        <v>0.1990162</v>
      </c>
      <c r="X1975">
        <v>0.97780140000000004</v>
      </c>
      <c r="Y1975">
        <v>-0.20356369999999999</v>
      </c>
      <c r="Z1975">
        <v>-1.0093619999999999E-2</v>
      </c>
      <c r="AA1975">
        <v>0.97900969999999998</v>
      </c>
      <c r="AB1975">
        <v>30</v>
      </c>
      <c r="AC1975">
        <v>-32.6935</v>
      </c>
      <c r="AD1975">
        <v>1.2747039999999901</v>
      </c>
      <c r="AE1975">
        <v>-15.8935999999999</v>
      </c>
      <c r="AF1975">
        <v>-7.4354628233078701</v>
      </c>
      <c r="AG1975">
        <v>1.2747039999999901</v>
      </c>
      <c r="AH1975">
        <v>35.537889627936103</v>
      </c>
      <c r="AI1975">
        <v>87.989248418670101</v>
      </c>
      <c r="AJ1975">
        <v>101.817317720665</v>
      </c>
      <c r="AK1975">
        <v>36.329775348765601</v>
      </c>
      <c r="AL1975">
        <v>78.520564537719807</v>
      </c>
      <c r="AM1975">
        <v>93.835304989339903</v>
      </c>
      <c r="AN1975">
        <v>0.99999995933193697</v>
      </c>
    </row>
    <row r="1976" spans="1:40" x14ac:dyDescent="0.25">
      <c r="A1976" t="str">
        <f>"20190303170801480"</f>
        <v>20190303170801480</v>
      </c>
      <c r="B1976" t="str">
        <f>"1551604081474316"</f>
        <v>1551604081474316</v>
      </c>
      <c r="C1976" t="s">
        <v>40</v>
      </c>
      <c r="D1976">
        <v>3.9799630000000001</v>
      </c>
      <c r="E1976">
        <v>0.44155139999999998</v>
      </c>
      <c r="F1976" t="s">
        <v>70</v>
      </c>
      <c r="G1976">
        <v>-512.82600000000002</v>
      </c>
      <c r="H1976">
        <v>2.4783140000000001</v>
      </c>
      <c r="I1976">
        <v>266.78440000000001</v>
      </c>
      <c r="J1976">
        <v>-480.42720000000003</v>
      </c>
      <c r="K1976">
        <v>1.128301</v>
      </c>
      <c r="L1976">
        <v>283.17840000000001</v>
      </c>
      <c r="M1976">
        <v>-0.96744750000000002</v>
      </c>
      <c r="N1976">
        <v>-1.483313E-2</v>
      </c>
      <c r="O1976">
        <v>-0.25263720000000001</v>
      </c>
      <c r="P1976">
        <v>-0.93235979999999996</v>
      </c>
      <c r="Q1976">
        <v>0.18537790000000001</v>
      </c>
      <c r="R1976">
        <v>-0.31038759999999999</v>
      </c>
      <c r="S1976">
        <v>-2.7410890000000001</v>
      </c>
      <c r="T1976">
        <v>0.1132087</v>
      </c>
      <c r="U1976">
        <v>-1.3815309999999901</v>
      </c>
      <c r="V1976">
        <v>-6.8166950000000004E-2</v>
      </c>
      <c r="W1976">
        <v>0.1987601</v>
      </c>
      <c r="X1976">
        <v>0.97767459999999995</v>
      </c>
      <c r="Y1976">
        <v>-0.2100736</v>
      </c>
      <c r="Z1976">
        <v>-1.0795600000000001E-2</v>
      </c>
      <c r="AA1976">
        <v>0.977626</v>
      </c>
      <c r="AB1976">
        <v>30</v>
      </c>
      <c r="AC1976">
        <v>-32.398799999999902</v>
      </c>
      <c r="AD1976">
        <v>1.3500129999999999</v>
      </c>
      <c r="AE1976">
        <v>-16.393999999999998</v>
      </c>
      <c r="AF1976">
        <v>-7.6654395495780996</v>
      </c>
      <c r="AG1976">
        <v>1.3500129999999999</v>
      </c>
      <c r="AH1976">
        <v>35.440781423588497</v>
      </c>
      <c r="AI1976">
        <v>87.867795403847794</v>
      </c>
      <c r="AJ1976">
        <v>102.20443467147901</v>
      </c>
      <c r="AK1976">
        <v>36.285403215383802</v>
      </c>
      <c r="AL1976">
        <v>78.535537195150397</v>
      </c>
      <c r="AM1976">
        <v>93.988410812293097</v>
      </c>
      <c r="AN1976">
        <v>0.99999996695473503</v>
      </c>
    </row>
    <row r="1977" spans="1:40" x14ac:dyDescent="0.25">
      <c r="A1977" t="str">
        <f>"20190303170801501"</f>
        <v>20190303170801501</v>
      </c>
      <c r="B1977" t="str">
        <f>"1551604081494804"</f>
        <v>1551604081494804</v>
      </c>
      <c r="C1977" t="s">
        <v>40</v>
      </c>
      <c r="D1977">
        <v>4.100778</v>
      </c>
      <c r="E1977">
        <v>0.44096479999999999</v>
      </c>
      <c r="F1977" t="s">
        <v>70</v>
      </c>
      <c r="G1977">
        <v>-512.82600000000002</v>
      </c>
      <c r="H1977">
        <v>2.5718589999999999</v>
      </c>
      <c r="I1977">
        <v>266.226</v>
      </c>
      <c r="J1977">
        <v>-480.69839999999999</v>
      </c>
      <c r="K1977">
        <v>1.128463</v>
      </c>
      <c r="L1977">
        <v>283.09840000000003</v>
      </c>
      <c r="M1977">
        <v>-0.96521060000000003</v>
      </c>
      <c r="N1977">
        <v>-1.4858649999999999E-2</v>
      </c>
      <c r="O1977">
        <v>-0.26105139999999999</v>
      </c>
      <c r="P1977">
        <v>-0.92847939999999995</v>
      </c>
      <c r="Q1977">
        <v>0.18603359999999999</v>
      </c>
      <c r="R1977">
        <v>-0.32143119999999997</v>
      </c>
      <c r="S1977">
        <v>-2.7197879999999999</v>
      </c>
      <c r="T1977">
        <v>0.12118859999999999</v>
      </c>
      <c r="U1977">
        <v>-1.4230959999999999</v>
      </c>
      <c r="V1977">
        <v>-7.1390380000000003E-2</v>
      </c>
      <c r="W1977">
        <v>0.19935359999999999</v>
      </c>
      <c r="X1977">
        <v>0.97732370000000002</v>
      </c>
      <c r="Y1977">
        <v>-0.21645629999999999</v>
      </c>
      <c r="Z1977">
        <v>-1.157791E-2</v>
      </c>
      <c r="AA1977">
        <v>0.97622359999999997</v>
      </c>
      <c r="AB1977">
        <v>30</v>
      </c>
      <c r="AC1977">
        <v>-32.127600000000001</v>
      </c>
      <c r="AD1977">
        <v>1.4433959999999999</v>
      </c>
      <c r="AE1977">
        <v>-16.872399999999999</v>
      </c>
      <c r="AF1977">
        <v>-7.8868582471670097</v>
      </c>
      <c r="AG1977">
        <v>1.4433959999999999</v>
      </c>
      <c r="AH1977">
        <v>35.362425171459101</v>
      </c>
      <c r="AI1977">
        <v>87.718632840621694</v>
      </c>
      <c r="AJ1977">
        <v>102.572868249077</v>
      </c>
      <c r="AK1977">
        <v>36.259992264626398</v>
      </c>
      <c r="AL1977">
        <v>78.500838468533303</v>
      </c>
      <c r="AM1977">
        <v>94.177853762638193</v>
      </c>
      <c r="AN1977">
        <v>1.00000002938559</v>
      </c>
    </row>
    <row r="1978" spans="1:40" x14ac:dyDescent="0.25">
      <c r="A1978" t="str">
        <f>"20190303170801525"</f>
        <v>20190303170801525</v>
      </c>
      <c r="B1978" t="str">
        <f>"1551604081514325"</f>
        <v>1551604081514325</v>
      </c>
      <c r="C1978" t="s">
        <v>40</v>
      </c>
      <c r="D1978">
        <v>3.9270550000000002</v>
      </c>
      <c r="E1978">
        <v>0.44116260000000002</v>
      </c>
      <c r="F1978" t="s">
        <v>70</v>
      </c>
      <c r="G1978">
        <v>-512.82600000000002</v>
      </c>
      <c r="H1978">
        <v>2.6341320000000001</v>
      </c>
      <c r="I1978">
        <v>265.74329999999998</v>
      </c>
      <c r="J1978">
        <v>-480.9864</v>
      </c>
      <c r="K1978">
        <v>1.1286369999999999</v>
      </c>
      <c r="L1978">
        <v>283.01049999999998</v>
      </c>
      <c r="M1978">
        <v>-0.96268220000000004</v>
      </c>
      <c r="N1978">
        <v>-1.488746E-2</v>
      </c>
      <c r="O1978">
        <v>-0.27022479999999999</v>
      </c>
      <c r="P1978">
        <v>-0.92466590000000004</v>
      </c>
      <c r="Q1978">
        <v>0.18583279999999999</v>
      </c>
      <c r="R1978">
        <v>-0.33235419999999999</v>
      </c>
      <c r="S1978">
        <v>-2.700653</v>
      </c>
      <c r="T1978">
        <v>0.12657260000000001</v>
      </c>
      <c r="U1978">
        <v>-1.4588620000000001</v>
      </c>
      <c r="V1978">
        <v>-7.3689069999999995E-2</v>
      </c>
      <c r="W1978">
        <v>0.1991087</v>
      </c>
      <c r="X1978">
        <v>0.97720300000000004</v>
      </c>
      <c r="Y1978">
        <v>-0.22008749999999999</v>
      </c>
      <c r="Z1978">
        <v>-1.233475E-2</v>
      </c>
      <c r="AA1978">
        <v>0.9754022</v>
      </c>
      <c r="AB1978">
        <v>30</v>
      </c>
      <c r="AC1978">
        <v>-31.839600000000001</v>
      </c>
      <c r="AD1978">
        <v>1.505495</v>
      </c>
      <c r="AE1978">
        <v>-17.267199999999999</v>
      </c>
      <c r="AF1978">
        <v>-8.00603342881967</v>
      </c>
      <c r="AG1978">
        <v>1.505495</v>
      </c>
      <c r="AH1978">
        <v>35.260437355366797</v>
      </c>
      <c r="AI1978">
        <v>87.615772130981696</v>
      </c>
      <c r="AJ1978">
        <v>102.79236446537</v>
      </c>
      <c r="AK1978">
        <v>36.189246040089699</v>
      </c>
      <c r="AL1978">
        <v>78.515157247906899</v>
      </c>
      <c r="AM1978">
        <v>94.312407062154193</v>
      </c>
      <c r="AN1978">
        <v>1.0000000283310699</v>
      </c>
    </row>
    <row r="1979" spans="1:40" x14ac:dyDescent="0.25">
      <c r="A1979" t="str">
        <f>"20190303170801547"</f>
        <v>20190303170801547</v>
      </c>
      <c r="B1979" t="str">
        <f>"1551604081534821"</f>
        <v>1551604081534821</v>
      </c>
      <c r="C1979" t="s">
        <v>40</v>
      </c>
      <c r="D1979">
        <v>3.892204</v>
      </c>
      <c r="E1979">
        <v>0.44142199999999998</v>
      </c>
      <c r="F1979" t="s">
        <v>70</v>
      </c>
      <c r="G1979">
        <v>-512.82600000000002</v>
      </c>
      <c r="H1979">
        <v>2.644129</v>
      </c>
      <c r="I1979">
        <v>265.33710000000002</v>
      </c>
      <c r="J1979">
        <v>-481.2706</v>
      </c>
      <c r="K1979">
        <v>1.128822</v>
      </c>
      <c r="L1979">
        <v>282.92059999999998</v>
      </c>
      <c r="M1979">
        <v>-0.96002569999999998</v>
      </c>
      <c r="N1979">
        <v>-1.4917059999999999E-2</v>
      </c>
      <c r="O1979">
        <v>-0.279514599999999</v>
      </c>
      <c r="P1979">
        <v>-0.92089240000000006</v>
      </c>
      <c r="Q1979">
        <v>0.18498819999999999</v>
      </c>
      <c r="R1979">
        <v>-0.34312809999999999</v>
      </c>
      <c r="S1979">
        <v>-2.6833800000000001</v>
      </c>
      <c r="T1979">
        <v>0.12772849999999999</v>
      </c>
      <c r="U1979">
        <v>-1.489471</v>
      </c>
      <c r="V1979">
        <v>-7.5685909999999995E-2</v>
      </c>
      <c r="W1979">
        <v>0.1982255</v>
      </c>
      <c r="X1979">
        <v>0.97722989999999998</v>
      </c>
      <c r="Y1979">
        <v>-0.2218446</v>
      </c>
      <c r="Z1979">
        <v>-1.29176E-2</v>
      </c>
      <c r="AA1979">
        <v>0.97499639999999999</v>
      </c>
      <c r="AB1979">
        <v>30</v>
      </c>
      <c r="AC1979">
        <v>-31.555399999999999</v>
      </c>
      <c r="AD1979">
        <v>1.515307</v>
      </c>
      <c r="AE1979">
        <v>-17.583499999999901</v>
      </c>
      <c r="AF1979">
        <v>-8.0471528730802895</v>
      </c>
      <c r="AG1979">
        <v>1.515307</v>
      </c>
      <c r="AH1979">
        <v>35.150901184437203</v>
      </c>
      <c r="AI1979">
        <v>87.593759967286005</v>
      </c>
      <c r="AJ1979">
        <v>102.894612991945</v>
      </c>
      <c r="AK1979">
        <v>36.092086095777802</v>
      </c>
      <c r="AL1979">
        <v>78.566789651249707</v>
      </c>
      <c r="AM1979">
        <v>94.428685213139502</v>
      </c>
      <c r="AN1979">
        <v>0.99999999163839404</v>
      </c>
    </row>
    <row r="1980" spans="1:40" x14ac:dyDescent="0.25">
      <c r="A1980" t="str">
        <f>"20190303170801570"</f>
        <v>20190303170801570</v>
      </c>
      <c r="B1980" t="str">
        <f>"1551604081565076"</f>
        <v>1551604081565076</v>
      </c>
      <c r="C1980" t="s">
        <v>40</v>
      </c>
      <c r="D1980">
        <v>3.8679929999999998</v>
      </c>
      <c r="E1980">
        <v>0.44224390000000002</v>
      </c>
      <c r="F1980" t="s">
        <v>70</v>
      </c>
      <c r="G1980">
        <v>-512.82600000000002</v>
      </c>
      <c r="H1980">
        <v>2.6272340000000001</v>
      </c>
      <c r="I1980">
        <v>264.94819999999999</v>
      </c>
      <c r="J1980">
        <v>-481.56</v>
      </c>
      <c r="K1980">
        <v>1.129008</v>
      </c>
      <c r="L1980">
        <v>282.82549999999998</v>
      </c>
      <c r="M1980">
        <v>-0.9571404</v>
      </c>
      <c r="N1980">
        <v>-1.494885E-2</v>
      </c>
      <c r="O1980">
        <v>-0.2892381</v>
      </c>
      <c r="P1980">
        <v>-0.91657999999999995</v>
      </c>
      <c r="Q1980">
        <v>0.18408099999999999</v>
      </c>
      <c r="R1980">
        <v>-0.35495870000000002</v>
      </c>
      <c r="S1980">
        <v>-2.6664119999999998</v>
      </c>
      <c r="T1980">
        <v>0.1266205</v>
      </c>
      <c r="U1980">
        <v>-1.5186459999999999</v>
      </c>
      <c r="V1980">
        <v>-7.8385609999999994E-2</v>
      </c>
      <c r="W1980">
        <v>0.19726540000000001</v>
      </c>
      <c r="X1980">
        <v>0.97721139999999995</v>
      </c>
      <c r="Y1980">
        <v>-0.22268589999999999</v>
      </c>
      <c r="Z1980">
        <v>-1.341299E-2</v>
      </c>
      <c r="AA1980">
        <v>0.97479800000000005</v>
      </c>
      <c r="AB1980">
        <v>30</v>
      </c>
      <c r="AC1980">
        <v>-31.265999999999998</v>
      </c>
      <c r="AD1980">
        <v>1.4982260000000001</v>
      </c>
      <c r="AE1980">
        <v>-17.877299999999899</v>
      </c>
      <c r="AF1980">
        <v>-8.0547313007902197</v>
      </c>
      <c r="AG1980">
        <v>1.4982260000000001</v>
      </c>
      <c r="AH1980">
        <v>35.040036798132199</v>
      </c>
      <c r="AI1980">
        <v>87.6138223368784</v>
      </c>
      <c r="AJ1980">
        <v>102.945811293585</v>
      </c>
      <c r="AK1980">
        <v>35.985101865764697</v>
      </c>
      <c r="AL1980">
        <v>78.622907922784293</v>
      </c>
      <c r="AM1980">
        <v>94.586079602797099</v>
      </c>
      <c r="AN1980">
        <v>1.0000000310910899</v>
      </c>
    </row>
    <row r="1981" spans="1:40" x14ac:dyDescent="0.25">
      <c r="A1981" t="str">
        <f>"20190303170801591"</f>
        <v>20190303170801591</v>
      </c>
      <c r="B1981" t="str">
        <f>"1551604081584596"</f>
        <v>1551604081584596</v>
      </c>
      <c r="C1981" t="s">
        <v>40</v>
      </c>
      <c r="D1981">
        <v>3.840875</v>
      </c>
      <c r="E1981">
        <v>0.4430481</v>
      </c>
      <c r="F1981" t="s">
        <v>70</v>
      </c>
      <c r="G1981">
        <v>-512.82600000000002</v>
      </c>
      <c r="H1981">
        <v>2.5927210000000001</v>
      </c>
      <c r="I1981">
        <v>264.57929999999999</v>
      </c>
      <c r="J1981">
        <v>-481.82670000000002</v>
      </c>
      <c r="K1981">
        <v>1.1291800000000001</v>
      </c>
      <c r="L1981">
        <v>282.7346</v>
      </c>
      <c r="M1981">
        <v>-0.95431279999999996</v>
      </c>
      <c r="N1981">
        <v>-1.497951E-2</v>
      </c>
      <c r="O1981">
        <v>-0.29843399999999998</v>
      </c>
      <c r="P1981">
        <v>-0.91220310000000004</v>
      </c>
      <c r="Q1981">
        <v>0.18418470000000001</v>
      </c>
      <c r="R1981">
        <v>-0.36600880000000002</v>
      </c>
      <c r="S1981">
        <v>-2.649384</v>
      </c>
      <c r="T1981">
        <v>0.1240362</v>
      </c>
      <c r="U1981">
        <v>-1.5461119999999999</v>
      </c>
      <c r="V1981">
        <v>-8.0889559999999999E-2</v>
      </c>
      <c r="W1981">
        <v>0.1973163</v>
      </c>
      <c r="X1981">
        <v>0.976997</v>
      </c>
      <c r="Y1981">
        <v>-0.22357389999999999</v>
      </c>
      <c r="Z1981">
        <v>-1.3781450000000001E-2</v>
      </c>
      <c r="AA1981">
        <v>0.9745895</v>
      </c>
      <c r="AB1981">
        <v>30</v>
      </c>
      <c r="AC1981">
        <v>-30.999300000000002</v>
      </c>
      <c r="AD1981">
        <v>1.463541</v>
      </c>
      <c r="AE1981">
        <v>-18.1553</v>
      </c>
      <c r="AF1981">
        <v>-8.0621148720645195</v>
      </c>
      <c r="AG1981">
        <v>1.463541</v>
      </c>
      <c r="AH1981">
        <v>34.947110885574702</v>
      </c>
      <c r="AI1981">
        <v>87.663230928277599</v>
      </c>
      <c r="AJ1981">
        <v>102.99056484807799</v>
      </c>
      <c r="AK1981">
        <v>35.894849320169797</v>
      </c>
      <c r="AL1981">
        <v>78.619932630401394</v>
      </c>
      <c r="AM1981">
        <v>94.7329560134812</v>
      </c>
      <c r="AN1981">
        <v>0.99999999058584099</v>
      </c>
    </row>
    <row r="1982" spans="1:40" x14ac:dyDescent="0.25">
      <c r="A1982" t="str">
        <f>"20190303170801613"</f>
        <v>20190303170801613</v>
      </c>
      <c r="B1982" t="str">
        <f>"1551604081605093"</f>
        <v>1551604081605093</v>
      </c>
      <c r="C1982" t="s">
        <v>40</v>
      </c>
      <c r="D1982">
        <v>3.7810890000000001</v>
      </c>
      <c r="E1982">
        <v>0.4437912</v>
      </c>
      <c r="F1982" t="s">
        <v>70</v>
      </c>
      <c r="G1982">
        <v>-512.82600000000002</v>
      </c>
      <c r="H1982">
        <v>2.5814210000000002</v>
      </c>
      <c r="I1982">
        <v>264.23570000000001</v>
      </c>
      <c r="J1982">
        <v>-482.1035</v>
      </c>
      <c r="K1982">
        <v>1.1293409999999999</v>
      </c>
      <c r="L1982">
        <v>282.63690000000003</v>
      </c>
      <c r="M1982">
        <v>-0.9512079</v>
      </c>
      <c r="N1982">
        <v>-1.501151E-2</v>
      </c>
      <c r="O1982">
        <v>-0.3081856</v>
      </c>
      <c r="P1982">
        <v>-0.9071186</v>
      </c>
      <c r="Q1982">
        <v>0.185526</v>
      </c>
      <c r="R1982">
        <v>-0.37777769999999999</v>
      </c>
      <c r="S1982">
        <v>-2.6333009999999999</v>
      </c>
      <c r="T1982">
        <v>0.12336949999999999</v>
      </c>
      <c r="U1982">
        <v>-1.5714109999999999</v>
      </c>
      <c r="V1982">
        <v>-8.3723370000000005E-2</v>
      </c>
      <c r="W1982">
        <v>0.1985961</v>
      </c>
      <c r="X1982">
        <v>0.9764988</v>
      </c>
      <c r="Y1982">
        <v>-0.2231303</v>
      </c>
      <c r="Z1982">
        <v>-1.4308420000000001E-2</v>
      </c>
      <c r="AA1982">
        <v>0.97468359999999998</v>
      </c>
      <c r="AB1982">
        <v>30</v>
      </c>
      <c r="AC1982">
        <v>-30.7225</v>
      </c>
      <c r="AD1982">
        <v>1.45207999999999</v>
      </c>
      <c r="AE1982">
        <v>-18.401199999999999</v>
      </c>
      <c r="AF1982">
        <v>-8.0228490155507508</v>
      </c>
      <c r="AG1982">
        <v>1.45207999999999</v>
      </c>
      <c r="AH1982">
        <v>34.841116026586597</v>
      </c>
      <c r="AI1982">
        <v>87.674248310978498</v>
      </c>
      <c r="AJ1982">
        <v>102.967433198384</v>
      </c>
      <c r="AK1982">
        <v>35.782370081239698</v>
      </c>
      <c r="AL1982">
        <v>78.545124754215493</v>
      </c>
      <c r="AM1982">
        <v>94.900459669103398</v>
      </c>
      <c r="AN1982">
        <v>0.99999996001040203</v>
      </c>
    </row>
    <row r="1983" spans="1:40" x14ac:dyDescent="0.25">
      <c r="A1983" t="str">
        <f>"20190303170801636"</f>
        <v>20190303170801636</v>
      </c>
      <c r="B1983" t="str">
        <f>"1551604081624612"</f>
        <v>1551604081624612</v>
      </c>
      <c r="C1983" t="s">
        <v>40</v>
      </c>
      <c r="D1983">
        <v>3.7979150000000002</v>
      </c>
      <c r="E1983">
        <v>0.44461519999999999</v>
      </c>
      <c r="F1983" t="s">
        <v>70</v>
      </c>
      <c r="G1983">
        <v>-512.82600000000002</v>
      </c>
      <c r="H1983">
        <v>2.6399539999999999</v>
      </c>
      <c r="I1983">
        <v>263.83980000000003</v>
      </c>
      <c r="J1983">
        <v>-482.38209999999998</v>
      </c>
      <c r="K1983">
        <v>1.129491</v>
      </c>
      <c r="L1983">
        <v>282.53519999999997</v>
      </c>
      <c r="M1983">
        <v>-0.94790229999999998</v>
      </c>
      <c r="N1983">
        <v>-1.5041809999999999E-2</v>
      </c>
      <c r="O1983">
        <v>-0.3182064</v>
      </c>
      <c r="P1983">
        <v>-0.90228359999999996</v>
      </c>
      <c r="Q1983">
        <v>0.1858708</v>
      </c>
      <c r="R1983">
        <v>-0.38902009999999998</v>
      </c>
      <c r="S1983">
        <v>-2.614655</v>
      </c>
      <c r="T1983">
        <v>0.1285675</v>
      </c>
      <c r="U1983">
        <v>-1.599731</v>
      </c>
      <c r="V1983">
        <v>-8.5659979999999997E-2</v>
      </c>
      <c r="W1983">
        <v>0.19889889999999999</v>
      </c>
      <c r="X1983">
        <v>0.97626919999999995</v>
      </c>
      <c r="Y1983">
        <v>-0.2236437</v>
      </c>
      <c r="Z1983">
        <v>-1.5238089999999999E-2</v>
      </c>
      <c r="AA1983">
        <v>0.97455190000000003</v>
      </c>
      <c r="AB1983">
        <v>30</v>
      </c>
      <c r="AC1983">
        <v>-30.443899999999999</v>
      </c>
      <c r="AD1983">
        <v>1.5104630000000001</v>
      </c>
      <c r="AE1983">
        <v>-18.6953999999999</v>
      </c>
      <c r="AF1983">
        <v>-8.0205396268504998</v>
      </c>
      <c r="AG1983">
        <v>1.5104630000000001</v>
      </c>
      <c r="AH1983">
        <v>34.748657255902799</v>
      </c>
      <c r="AI1983">
        <v>87.574707519562907</v>
      </c>
      <c r="AJ1983">
        <v>102.997150864484</v>
      </c>
      <c r="AK1983">
        <v>35.694253535666697</v>
      </c>
      <c r="AL1983">
        <v>78.527422649247995</v>
      </c>
      <c r="AM1983">
        <v>95.014414310861895</v>
      </c>
      <c r="AN1983">
        <v>0.999999977731724</v>
      </c>
    </row>
    <row r="1984" spans="1:40" x14ac:dyDescent="0.25">
      <c r="A1984" t="str">
        <f>"20190303170801659"</f>
        <v>20190303170801659</v>
      </c>
      <c r="B1984" t="str">
        <f>"1551604081654869"</f>
        <v>1551604081654869</v>
      </c>
      <c r="C1984" t="s">
        <v>40</v>
      </c>
      <c r="D1984">
        <v>3.7911800000000002</v>
      </c>
      <c r="E1984">
        <v>0.46143519999999999</v>
      </c>
      <c r="F1984" t="s">
        <v>70</v>
      </c>
      <c r="G1984">
        <v>-512.82600000000002</v>
      </c>
      <c r="H1984">
        <v>2.6534529999999998</v>
      </c>
      <c r="I1984">
        <v>263.47269999999997</v>
      </c>
      <c r="J1984">
        <v>-482.65929999999997</v>
      </c>
      <c r="K1984">
        <v>1.1296330000000001</v>
      </c>
      <c r="L1984">
        <v>282.43049999999999</v>
      </c>
      <c r="M1984">
        <v>-0.94441900000000001</v>
      </c>
      <c r="N1984">
        <v>-1.507176E-2</v>
      </c>
      <c r="O1984">
        <v>-0.32839829999999998</v>
      </c>
      <c r="P1984">
        <v>-0.89731959999999999</v>
      </c>
      <c r="Q1984">
        <v>0.1856603</v>
      </c>
      <c r="R1984">
        <v>-0.40043459999999997</v>
      </c>
      <c r="S1984">
        <v>-2.5970460000000002</v>
      </c>
      <c r="T1984">
        <v>0.1300086</v>
      </c>
      <c r="U1984">
        <v>-1.6261289999999999</v>
      </c>
      <c r="V1984">
        <v>-8.7586520000000001E-2</v>
      </c>
      <c r="W1984">
        <v>0.19864699999999999</v>
      </c>
      <c r="X1984">
        <v>0.97614959999999995</v>
      </c>
      <c r="Y1984">
        <v>-0.22324869999999999</v>
      </c>
      <c r="Z1984">
        <v>-1.5954670000000001E-2</v>
      </c>
      <c r="AA1984">
        <v>0.97463100000000003</v>
      </c>
      <c r="AB1984">
        <v>30</v>
      </c>
      <c r="AC1984">
        <v>-30.166699999999999</v>
      </c>
      <c r="AD1984">
        <v>1.52382</v>
      </c>
      <c r="AE1984">
        <v>-18.957799999999999</v>
      </c>
      <c r="AF1984">
        <v>-7.98371886451344</v>
      </c>
      <c r="AG1984">
        <v>1.52382</v>
      </c>
      <c r="AH1984">
        <v>34.656267244645697</v>
      </c>
      <c r="AI1984">
        <v>87.546532036848802</v>
      </c>
      <c r="AJ1984">
        <v>102.972825909816</v>
      </c>
      <c r="AK1984">
        <v>35.596610142431999</v>
      </c>
      <c r="AL1984">
        <v>78.542149987799903</v>
      </c>
      <c r="AM1984">
        <v>95.1272216099118</v>
      </c>
      <c r="AN1984">
        <v>1.0000000353374301</v>
      </c>
    </row>
    <row r="1985" spans="1:40" x14ac:dyDescent="0.25">
      <c r="A1985" t="str">
        <f>"20190303170801681"</f>
        <v>20190303170801681</v>
      </c>
      <c r="B1985" t="str">
        <f>"1551604081674388"</f>
        <v>1551604081674388</v>
      </c>
      <c r="C1985" t="s">
        <v>40</v>
      </c>
      <c r="D1985">
        <v>3.7871329999999999</v>
      </c>
      <c r="E1985">
        <v>0.4624875</v>
      </c>
      <c r="F1985" t="s">
        <v>70</v>
      </c>
      <c r="G1985">
        <v>-512.82600000000002</v>
      </c>
      <c r="H1985">
        <v>2.58223</v>
      </c>
      <c r="I1985">
        <v>264.81599999999997</v>
      </c>
      <c r="J1985">
        <v>-482.93209999999999</v>
      </c>
      <c r="K1985">
        <v>1.12978</v>
      </c>
      <c r="L1985">
        <v>282.32380000000001</v>
      </c>
      <c r="M1985">
        <v>-0.9407896</v>
      </c>
      <c r="N1985">
        <v>-1.5103170000000001E-2</v>
      </c>
      <c r="O1985">
        <v>-0.33865440000000002</v>
      </c>
      <c r="P1985">
        <v>-0.89192139999999998</v>
      </c>
      <c r="Q1985">
        <v>0.1859121</v>
      </c>
      <c r="R1985">
        <v>-0.41220509999999999</v>
      </c>
      <c r="S1985">
        <v>-2.6314389999999999</v>
      </c>
      <c r="T1985">
        <v>0.12671579999999999</v>
      </c>
      <c r="U1985">
        <v>-1.5364990000000001</v>
      </c>
      <c r="V1985">
        <v>-8.991035E-2</v>
      </c>
      <c r="W1985">
        <v>0.198847</v>
      </c>
      <c r="X1985">
        <v>0.97589760000000003</v>
      </c>
      <c r="Y1985">
        <v>-0.18234330000000001</v>
      </c>
      <c r="Z1985">
        <v>-1.6898949999999999E-2</v>
      </c>
      <c r="AA1985">
        <v>0.98308969999999996</v>
      </c>
      <c r="AB1985">
        <v>30</v>
      </c>
      <c r="AC1985">
        <v>-29.893899999999999</v>
      </c>
      <c r="AD1985">
        <v>1.45245</v>
      </c>
      <c r="AE1985">
        <v>-17.5078</v>
      </c>
      <c r="AF1985">
        <v>-6.3370405111732602</v>
      </c>
      <c r="AG1985">
        <v>1.45245</v>
      </c>
      <c r="AH1985">
        <v>33.997089760382003</v>
      </c>
      <c r="AI1985">
        <v>87.595026484319405</v>
      </c>
      <c r="AJ1985">
        <v>100.558730570865</v>
      </c>
      <c r="AK1985">
        <v>34.613144983058397</v>
      </c>
      <c r="AL1985">
        <v>78.530457900788704</v>
      </c>
      <c r="AM1985">
        <v>95.263853425002395</v>
      </c>
      <c r="AN1985">
        <v>1.00000006306593</v>
      </c>
    </row>
    <row r="1986" spans="1:40" x14ac:dyDescent="0.25">
      <c r="A1986" t="str">
        <f>"20190303170801703"</f>
        <v>20190303170801703</v>
      </c>
      <c r="B1986" t="str">
        <f>"1551604081694884"</f>
        <v>1551604081694884</v>
      </c>
      <c r="C1986" t="s">
        <v>40</v>
      </c>
      <c r="D1986">
        <v>3.76667</v>
      </c>
      <c r="E1986">
        <v>0.46425050000000001</v>
      </c>
      <c r="F1986" t="s">
        <v>70</v>
      </c>
      <c r="G1986">
        <v>-512.82600000000002</v>
      </c>
      <c r="H1986">
        <v>2.5859580000000002</v>
      </c>
      <c r="I1986">
        <v>264.44839999999999</v>
      </c>
      <c r="J1986">
        <v>-483.19690000000003</v>
      </c>
      <c r="K1986">
        <v>1.1299360000000001</v>
      </c>
      <c r="L1986">
        <v>282.21690000000001</v>
      </c>
      <c r="M1986">
        <v>-0.93706590000000001</v>
      </c>
      <c r="N1986">
        <v>-1.5136230000000001E-2</v>
      </c>
      <c r="O1986">
        <v>-0.34882410000000003</v>
      </c>
      <c r="P1986">
        <v>-0.88683579999999995</v>
      </c>
      <c r="Q1986">
        <v>0.1846756</v>
      </c>
      <c r="R1986">
        <v>-0.42357689999999998</v>
      </c>
      <c r="S1986">
        <v>-2.6144409999999998</v>
      </c>
      <c r="T1986">
        <v>0.12735959999999999</v>
      </c>
      <c r="U1986">
        <v>-1.5633239999999999</v>
      </c>
      <c r="V1986">
        <v>-9.1784530000000003E-2</v>
      </c>
      <c r="W1986">
        <v>0.19757160000000001</v>
      </c>
      <c r="X1986">
        <v>0.97598209999999996</v>
      </c>
      <c r="Y1986">
        <v>-0.18195320000000001</v>
      </c>
      <c r="Z1986">
        <v>-1.756247E-2</v>
      </c>
      <c r="AA1986">
        <v>0.98315039999999998</v>
      </c>
      <c r="AB1986">
        <v>30</v>
      </c>
      <c r="AC1986">
        <v>-29.629099999999902</v>
      </c>
      <c r="AD1986">
        <v>1.4560219999999999</v>
      </c>
      <c r="AE1986">
        <v>-17.7685</v>
      </c>
      <c r="AF1986">
        <v>-6.3044377313751596</v>
      </c>
      <c r="AG1986">
        <v>1.4560219999999999</v>
      </c>
      <c r="AH1986">
        <v>33.906171906416603</v>
      </c>
      <c r="AI1986">
        <v>87.582461305144093</v>
      </c>
      <c r="AJ1986">
        <v>100.533161187538</v>
      </c>
      <c r="AK1986">
        <v>34.518030484382301</v>
      </c>
      <c r="AL1986">
        <v>78.605011367666805</v>
      </c>
      <c r="AM1986">
        <v>95.372480268684498</v>
      </c>
      <c r="AN1986">
        <v>0.99999999829714503</v>
      </c>
    </row>
    <row r="1987" spans="1:40" x14ac:dyDescent="0.25">
      <c r="A1987" t="str">
        <f>"20190303170801726"</f>
        <v>20190303170801726</v>
      </c>
      <c r="B1987" t="str">
        <f>"1551604081714408"</f>
        <v>1551604081714408</v>
      </c>
      <c r="C1987" t="s">
        <v>40</v>
      </c>
      <c r="D1987">
        <v>3.783423</v>
      </c>
      <c r="E1987">
        <v>0.4657927</v>
      </c>
      <c r="F1987" t="s">
        <v>70</v>
      </c>
      <c r="G1987">
        <v>-512.82600000000002</v>
      </c>
      <c r="H1987">
        <v>2.49763</v>
      </c>
      <c r="I1987">
        <v>264.17149999999998</v>
      </c>
      <c r="J1987">
        <v>-483.46530000000001</v>
      </c>
      <c r="K1987">
        <v>1.1301049999999999</v>
      </c>
      <c r="L1987">
        <v>282.10469999999998</v>
      </c>
      <c r="M1987">
        <v>-0.93307379999999995</v>
      </c>
      <c r="N1987">
        <v>-1.5171820000000001E-2</v>
      </c>
      <c r="O1987">
        <v>-0.35936499999999999</v>
      </c>
      <c r="P1987">
        <v>-0.88087059999999995</v>
      </c>
      <c r="Q1987">
        <v>0.18599979999999999</v>
      </c>
      <c r="R1987">
        <v>-0.43528260000000002</v>
      </c>
      <c r="S1987">
        <v>-2.6011350000000002</v>
      </c>
      <c r="T1987">
        <v>0.1200759</v>
      </c>
      <c r="U1987">
        <v>-1.584198</v>
      </c>
      <c r="V1987">
        <v>-9.3920450000000003E-2</v>
      </c>
      <c r="W1987">
        <v>0.19884279999999999</v>
      </c>
      <c r="X1987">
        <v>0.97552059999999996</v>
      </c>
      <c r="Y1987">
        <v>-0.1788419</v>
      </c>
      <c r="Z1987">
        <v>-1.7572830000000001E-2</v>
      </c>
      <c r="AA1987">
        <v>0.98372090000000001</v>
      </c>
      <c r="AB1987">
        <v>30</v>
      </c>
      <c r="AC1987">
        <v>-29.360700000000001</v>
      </c>
      <c r="AD1987">
        <v>1.3675250000000001</v>
      </c>
      <c r="AE1987">
        <v>-17.933199999999999</v>
      </c>
      <c r="AF1987">
        <v>-6.17274967180738</v>
      </c>
      <c r="AG1987">
        <v>1.3675250000000001</v>
      </c>
      <c r="AH1987">
        <v>33.790769812456602</v>
      </c>
      <c r="AI1987">
        <v>87.720169668237801</v>
      </c>
      <c r="AJ1987">
        <v>100.352394535911</v>
      </c>
      <c r="AK1987">
        <v>34.377159388972998</v>
      </c>
      <c r="AL1987">
        <v>78.530702428774504</v>
      </c>
      <c r="AM1987">
        <v>95.4993307642128</v>
      </c>
      <c r="AN1987">
        <v>0.99999997553219999</v>
      </c>
    </row>
    <row r="1988" spans="1:40" x14ac:dyDescent="0.25">
      <c r="A1988" t="str">
        <f>"20190303170801748"</f>
        <v>20190303170801748</v>
      </c>
      <c r="B1988" t="str">
        <f>"1551604081734901"</f>
        <v>1551604081734901</v>
      </c>
      <c r="C1988" t="s">
        <v>40</v>
      </c>
      <c r="D1988">
        <v>3.7735750000000001</v>
      </c>
      <c r="E1988">
        <v>0.47461900000000001</v>
      </c>
      <c r="F1988" t="s">
        <v>70</v>
      </c>
      <c r="G1988">
        <v>-512.82600000000002</v>
      </c>
      <c r="H1988">
        <v>2.5177079999999998</v>
      </c>
      <c r="I1988">
        <v>263.83530000000002</v>
      </c>
      <c r="J1988">
        <v>-483.73790000000002</v>
      </c>
      <c r="K1988">
        <v>1.130282</v>
      </c>
      <c r="L1988">
        <v>281.9871</v>
      </c>
      <c r="M1988">
        <v>-0.92878479999999997</v>
      </c>
      <c r="N1988">
        <v>-1.5209790000000001E-2</v>
      </c>
      <c r="O1988">
        <v>-0.37030760000000001</v>
      </c>
      <c r="P1988">
        <v>-0.87486209999999898</v>
      </c>
      <c r="Q1988">
        <v>0.187777</v>
      </c>
      <c r="R1988">
        <v>-0.44649369999999999</v>
      </c>
      <c r="S1988">
        <v>-2.5850520000000001</v>
      </c>
      <c r="T1988">
        <v>0.1221772</v>
      </c>
      <c r="U1988">
        <v>-1.6085210000000001</v>
      </c>
      <c r="V1988">
        <v>-9.5176709999999998E-2</v>
      </c>
      <c r="W1988">
        <v>0.2005847</v>
      </c>
      <c r="X1988">
        <v>0.97504219999999997</v>
      </c>
      <c r="Y1988">
        <v>-0.17671539999999999</v>
      </c>
      <c r="Z1988">
        <v>-1.8422640000000001E-2</v>
      </c>
      <c r="AA1988">
        <v>0.98408960000000001</v>
      </c>
      <c r="AB1988">
        <v>30</v>
      </c>
      <c r="AC1988">
        <v>-29.088100000000001</v>
      </c>
      <c r="AD1988">
        <v>1.387426</v>
      </c>
      <c r="AE1988">
        <v>-18.151799999999898</v>
      </c>
      <c r="AF1988">
        <v>-6.0783221825603997</v>
      </c>
      <c r="AG1988">
        <v>1.387426</v>
      </c>
      <c r="AH1988">
        <v>33.6870737479192</v>
      </c>
      <c r="AI1988">
        <v>87.679003079177704</v>
      </c>
      <c r="AJ1988">
        <v>100.22810518446001</v>
      </c>
      <c r="AK1988">
        <v>34.259157741518301</v>
      </c>
      <c r="AL1988">
        <v>78.428847931021195</v>
      </c>
      <c r="AM1988">
        <v>95.575145558047794</v>
      </c>
      <c r="AN1988">
        <v>1.00000005989067</v>
      </c>
    </row>
    <row r="1989" spans="1:40" x14ac:dyDescent="0.25">
      <c r="A1989" t="str">
        <f>"20190303170801772"</f>
        <v>20190303170801772</v>
      </c>
      <c r="B1989" t="str">
        <f>"1551604081764884"</f>
        <v>1551604081764884</v>
      </c>
      <c r="C1989" t="s">
        <v>40</v>
      </c>
      <c r="D1989">
        <v>3.7234660000000002</v>
      </c>
      <c r="E1989">
        <v>0.47695650000000001</v>
      </c>
      <c r="F1989" t="s">
        <v>70</v>
      </c>
      <c r="G1989">
        <v>-512.82600000000002</v>
      </c>
      <c r="H1989">
        <v>2.423152</v>
      </c>
      <c r="I1989">
        <v>264.27210000000002</v>
      </c>
      <c r="J1989">
        <v>-484.0138</v>
      </c>
      <c r="K1989">
        <v>1.1304590000000001</v>
      </c>
      <c r="L1989">
        <v>281.86340000000001</v>
      </c>
      <c r="M1989">
        <v>-0.92416909999999997</v>
      </c>
      <c r="N1989">
        <v>-1.525084E-2</v>
      </c>
      <c r="O1989">
        <v>-0.38167899999999999</v>
      </c>
      <c r="P1989">
        <v>-0.86856499999999903</v>
      </c>
      <c r="Q1989">
        <v>0.18725749999999999</v>
      </c>
      <c r="R1989">
        <v>-0.45883449999999998</v>
      </c>
      <c r="S1989">
        <v>-2.5971069999999998</v>
      </c>
      <c r="T1989">
        <v>0.1154391</v>
      </c>
      <c r="U1989">
        <v>-1.5816650000000001</v>
      </c>
      <c r="V1989">
        <v>-9.7054660000000001E-2</v>
      </c>
      <c r="W1989">
        <v>0.20002120000000001</v>
      </c>
      <c r="X1989">
        <v>0.97497279999999997</v>
      </c>
      <c r="Y1989">
        <v>-0.15514700000000001</v>
      </c>
      <c r="Z1989">
        <v>-1.8664699999999999E-2</v>
      </c>
      <c r="AA1989">
        <v>0.98771509999999996</v>
      </c>
      <c r="AB1989">
        <v>30</v>
      </c>
      <c r="AC1989">
        <v>-28.812200000000001</v>
      </c>
      <c r="AD1989">
        <v>1.2926930000000001</v>
      </c>
      <c r="AE1989">
        <v>-17.591299999999901</v>
      </c>
      <c r="AF1989">
        <v>-5.253233015328</v>
      </c>
      <c r="AG1989">
        <v>1.2926930000000001</v>
      </c>
      <c r="AH1989">
        <v>33.296628564686003</v>
      </c>
      <c r="AI1989">
        <v>87.803829584020505</v>
      </c>
      <c r="AJ1989">
        <v>98.965693602029404</v>
      </c>
      <c r="AK1989">
        <v>33.733262310073798</v>
      </c>
      <c r="AL1989">
        <v>78.461801528523594</v>
      </c>
      <c r="AM1989">
        <v>95.684838272082501</v>
      </c>
      <c r="AN1989">
        <v>1.0000000241084901</v>
      </c>
    </row>
    <row r="1990" spans="1:40" x14ac:dyDescent="0.25">
      <c r="A1990" t="str">
        <f>"20190303170801793"</f>
        <v>20190303170801793</v>
      </c>
      <c r="B1990" t="str">
        <f>"1551604081784405"</f>
        <v>1551604081784405</v>
      </c>
      <c r="C1990" t="s">
        <v>40</v>
      </c>
      <c r="D1990">
        <v>3.7503630000000001</v>
      </c>
      <c r="E1990">
        <v>0.47831780000000002</v>
      </c>
      <c r="F1990" t="s">
        <v>70</v>
      </c>
      <c r="G1990">
        <v>-512.82600000000002</v>
      </c>
      <c r="H1990">
        <v>2.4598749999999998</v>
      </c>
      <c r="I1990">
        <v>264.00099999999998</v>
      </c>
      <c r="J1990">
        <v>-484.26459999999997</v>
      </c>
      <c r="K1990">
        <v>1.130609</v>
      </c>
      <c r="L1990">
        <v>281.74709999999999</v>
      </c>
      <c r="M1990">
        <v>-0.91973249999999995</v>
      </c>
      <c r="N1990">
        <v>-1.5290049999999999E-2</v>
      </c>
      <c r="O1990">
        <v>-0.39224779999999998</v>
      </c>
      <c r="P1990">
        <v>-0.86283690000000002</v>
      </c>
      <c r="Q1990">
        <v>0.1863438</v>
      </c>
      <c r="R1990">
        <v>-0.4698814</v>
      </c>
      <c r="S1990">
        <v>-2.5825200000000001</v>
      </c>
      <c r="T1990">
        <v>0.1191657</v>
      </c>
      <c r="U1990">
        <v>-1.6010439999999999</v>
      </c>
      <c r="V1990">
        <v>-9.8306249999999998E-2</v>
      </c>
      <c r="W1990">
        <v>0.1990807</v>
      </c>
      <c r="X1990">
        <v>0.97503989999999996</v>
      </c>
      <c r="Y1990">
        <v>-0.1517001</v>
      </c>
      <c r="Z1990">
        <v>-1.9692899999999999E-2</v>
      </c>
      <c r="AA1990">
        <v>0.98823039999999995</v>
      </c>
      <c r="AB1990">
        <v>30</v>
      </c>
      <c r="AC1990">
        <v>-28.561399999999999</v>
      </c>
      <c r="AD1990">
        <v>1.3292659999999901</v>
      </c>
      <c r="AE1990">
        <v>-17.746099999999998</v>
      </c>
      <c r="AF1990">
        <v>-5.11112970731822</v>
      </c>
      <c r="AG1990">
        <v>1.3292659999999901</v>
      </c>
      <c r="AH1990">
        <v>33.181747372145303</v>
      </c>
      <c r="AI1990">
        <v>87.732660769959196</v>
      </c>
      <c r="AJ1990">
        <v>98.756696876897394</v>
      </c>
      <c r="AK1990">
        <v>33.5993891857078</v>
      </c>
      <c r="AL1990">
        <v>78.516794267213996</v>
      </c>
      <c r="AM1990">
        <v>95.7572653657149</v>
      </c>
      <c r="AN1990">
        <v>1.00000002524678</v>
      </c>
    </row>
    <row r="1991" spans="1:40" x14ac:dyDescent="0.25">
      <c r="A1991" t="str">
        <f>"20190303170801816"</f>
        <v>20190303170801816</v>
      </c>
      <c r="B1991" t="str">
        <f>"1551604081804901"</f>
        <v>1551604081804901</v>
      </c>
      <c r="C1991" t="s">
        <v>40</v>
      </c>
      <c r="D1991">
        <v>3.6826270000000001</v>
      </c>
      <c r="E1991">
        <v>0.47867300000000002</v>
      </c>
      <c r="F1991" t="s">
        <v>70</v>
      </c>
      <c r="G1991">
        <v>-512.82600000000002</v>
      </c>
      <c r="H1991">
        <v>2.4254359999999999</v>
      </c>
      <c r="I1991">
        <v>263.67680000000001</v>
      </c>
      <c r="J1991">
        <v>-484.53199999999998</v>
      </c>
      <c r="K1991">
        <v>1.1307659999999999</v>
      </c>
      <c r="L1991">
        <v>281.6191</v>
      </c>
      <c r="M1991">
        <v>-0.91474809999999995</v>
      </c>
      <c r="N1991">
        <v>-1.533169E-2</v>
      </c>
      <c r="O1991">
        <v>-0.40373379999999998</v>
      </c>
      <c r="P1991">
        <v>-0.85644869999999995</v>
      </c>
      <c r="Q1991">
        <v>0.1864355</v>
      </c>
      <c r="R1991">
        <v>-0.48139130000000002</v>
      </c>
      <c r="S1991">
        <v>-2.5672299999999999</v>
      </c>
      <c r="T1991">
        <v>0.1163917</v>
      </c>
      <c r="U1991">
        <v>-1.6242369999999999</v>
      </c>
      <c r="V1991">
        <v>-9.9242490000000003E-2</v>
      </c>
      <c r="W1991">
        <v>0.1991531</v>
      </c>
      <c r="X1991">
        <v>0.97493019999999997</v>
      </c>
      <c r="Y1991">
        <v>-0.148357399999999</v>
      </c>
      <c r="Z1991">
        <v>-2.0081539999999998E-2</v>
      </c>
      <c r="AA1991">
        <v>0.98872990000000005</v>
      </c>
      <c r="AB1991">
        <v>29</v>
      </c>
      <c r="AC1991">
        <v>-28.294</v>
      </c>
      <c r="AD1991">
        <v>1.29467</v>
      </c>
      <c r="AE1991">
        <v>-17.9422999999999</v>
      </c>
      <c r="AF1991">
        <v>-4.9825865004977601</v>
      </c>
      <c r="AG1991">
        <v>1.29467</v>
      </c>
      <c r="AH1991">
        <v>33.080289452836702</v>
      </c>
      <c r="AI1991">
        <v>87.783720981677803</v>
      </c>
      <c r="AJ1991">
        <v>98.565560543398405</v>
      </c>
      <c r="AK1991">
        <v>33.478469034997701</v>
      </c>
      <c r="AL1991">
        <v>78.512560553854797</v>
      </c>
      <c r="AM1991">
        <v>95.812371772965705</v>
      </c>
      <c r="AN1991">
        <v>0.99999996196652396</v>
      </c>
    </row>
    <row r="1992" spans="1:40" x14ac:dyDescent="0.25">
      <c r="A1992" t="str">
        <f>"20190303170801838"</f>
        <v>20190303170801838</v>
      </c>
      <c r="B1992" t="str">
        <f>"1551604081834181"</f>
        <v>1551604081834181</v>
      </c>
      <c r="C1992" t="s">
        <v>40</v>
      </c>
      <c r="D1992">
        <v>3.4796649999999998</v>
      </c>
      <c r="E1992">
        <v>0.43479659999999898</v>
      </c>
      <c r="F1992" t="s">
        <v>70</v>
      </c>
      <c r="G1992">
        <v>-512.82600000000002</v>
      </c>
      <c r="H1992">
        <v>2.4504920000000001</v>
      </c>
      <c r="I1992">
        <v>263.21449999999999</v>
      </c>
      <c r="J1992">
        <v>-484.7851</v>
      </c>
      <c r="K1992">
        <v>1.1309089999999999</v>
      </c>
      <c r="L1992">
        <v>281.49380000000002</v>
      </c>
      <c r="M1992">
        <v>-0.90977600000000003</v>
      </c>
      <c r="N1992">
        <v>-1.5369280000000001E-2</v>
      </c>
      <c r="O1992">
        <v>-0.41481509999999999</v>
      </c>
      <c r="P1992">
        <v>-0.85003240000000002</v>
      </c>
      <c r="Q1992">
        <v>0.18684210000000001</v>
      </c>
      <c r="R1992">
        <v>-0.49247879999999999</v>
      </c>
      <c r="S1992">
        <v>-2.5460820000000002</v>
      </c>
      <c r="T1992">
        <v>0.11876399999999999</v>
      </c>
      <c r="U1992">
        <v>-1.656158</v>
      </c>
      <c r="V1992">
        <v>-0.100186</v>
      </c>
      <c r="W1992">
        <v>0.1995391</v>
      </c>
      <c r="X1992">
        <v>0.97475480000000003</v>
      </c>
      <c r="Y1992">
        <v>-0.14883289999999999</v>
      </c>
      <c r="Z1992">
        <v>-2.097005E-2</v>
      </c>
      <c r="AA1992">
        <v>0.98863999999999996</v>
      </c>
      <c r="AB1992">
        <v>29</v>
      </c>
      <c r="AC1992">
        <v>-28.040900000000001</v>
      </c>
      <c r="AD1992">
        <v>1.31958299999999</v>
      </c>
      <c r="AE1992">
        <v>-18.279299999999999</v>
      </c>
      <c r="AF1992">
        <v>-4.9911128594197702</v>
      </c>
      <c r="AG1992">
        <v>1.31958299999999</v>
      </c>
      <c r="AH1992">
        <v>33.046016053750002</v>
      </c>
      <c r="AI1992">
        <v>87.738915094589203</v>
      </c>
      <c r="AJ1992">
        <v>98.588766266722004</v>
      </c>
      <c r="AK1992">
        <v>33.446848639207602</v>
      </c>
      <c r="AL1992">
        <v>78.489991885192595</v>
      </c>
      <c r="AM1992">
        <v>95.868295370425997</v>
      </c>
      <c r="AN1992">
        <v>1.00000000357392</v>
      </c>
    </row>
    <row r="1993" spans="1:40" x14ac:dyDescent="0.25">
      <c r="A1993" t="str">
        <f>"20190303170801860"</f>
        <v>20190303170801860</v>
      </c>
      <c r="B1993" t="str">
        <f>"1551604081854381"</f>
        <v>1551604081854381</v>
      </c>
      <c r="C1993" t="s">
        <v>40</v>
      </c>
      <c r="D1993">
        <v>3.7043400000000002</v>
      </c>
      <c r="E1993">
        <v>0.41835610000000001</v>
      </c>
      <c r="F1993" t="s">
        <v>70</v>
      </c>
      <c r="G1993">
        <v>-512.82600000000002</v>
      </c>
      <c r="H1993">
        <v>2.4579529999999998</v>
      </c>
      <c r="I1993">
        <v>257.70030000000003</v>
      </c>
      <c r="J1993">
        <v>-485.0471</v>
      </c>
      <c r="K1993">
        <v>1.1310439999999999</v>
      </c>
      <c r="L1993">
        <v>281.35989999999998</v>
      </c>
      <c r="M1993">
        <v>-0.90435600000000005</v>
      </c>
      <c r="N1993">
        <v>-1.540745E-2</v>
      </c>
      <c r="O1993">
        <v>-0.42650090000000002</v>
      </c>
      <c r="P1993">
        <v>-0.84309639999999997</v>
      </c>
      <c r="Q1993">
        <v>0.1870522</v>
      </c>
      <c r="R1993">
        <v>-0.50418229999999997</v>
      </c>
      <c r="S1993">
        <v>-2.3497309999999998</v>
      </c>
      <c r="T1993">
        <v>0.1112075</v>
      </c>
      <c r="U1993">
        <v>-1.993805</v>
      </c>
      <c r="V1993">
        <v>-0.1011999</v>
      </c>
      <c r="W1993">
        <v>0.1997274</v>
      </c>
      <c r="X1993">
        <v>0.97461149999999996</v>
      </c>
      <c r="Y1993">
        <v>-0.26031260000000001</v>
      </c>
      <c r="Z1993">
        <v>-1.9478260000000001E-2</v>
      </c>
      <c r="AA1993">
        <v>0.96532790000000002</v>
      </c>
      <c r="AB1993">
        <v>29</v>
      </c>
      <c r="AC1993">
        <v>-27.7789</v>
      </c>
      <c r="AD1993">
        <v>1.3269089999999899</v>
      </c>
      <c r="AE1993">
        <v>-23.659599999999902</v>
      </c>
      <c r="AF1993">
        <v>-9.5374958284707603</v>
      </c>
      <c r="AG1993">
        <v>1.3269089999999899</v>
      </c>
      <c r="AH1993">
        <v>35.170523572329898</v>
      </c>
      <c r="AI1993">
        <v>87.914623756281799</v>
      </c>
      <c r="AJ1993">
        <v>105.172500652344</v>
      </c>
      <c r="AK1993">
        <v>36.464917969525096</v>
      </c>
      <c r="AL1993">
        <v>78.478981591062194</v>
      </c>
      <c r="AM1993">
        <v>95.928128139204702</v>
      </c>
      <c r="AN1993">
        <v>1.0000000150015</v>
      </c>
    </row>
    <row r="1994" spans="1:40" x14ac:dyDescent="0.25">
      <c r="A1994" t="str">
        <f>"20190303170801882"</f>
        <v>20190303170801882</v>
      </c>
      <c r="B1994" t="str">
        <f>"1551604081874861"</f>
        <v>1551604081874861</v>
      </c>
      <c r="C1994" t="s">
        <v>40</v>
      </c>
      <c r="D1994">
        <v>3.6601300000000001</v>
      </c>
      <c r="E1994">
        <v>0.37371369999999998</v>
      </c>
      <c r="F1994" t="s">
        <v>70</v>
      </c>
      <c r="G1994">
        <v>-512.82600000000002</v>
      </c>
      <c r="H1994">
        <v>2.4653939999999999</v>
      </c>
      <c r="I1994">
        <v>254.98869999999999</v>
      </c>
      <c r="J1994">
        <v>-485.29270000000002</v>
      </c>
      <c r="K1994">
        <v>1.1311639999999901</v>
      </c>
      <c r="L1994">
        <v>281.23020000000002</v>
      </c>
      <c r="M1994">
        <v>-0.89901049999999905</v>
      </c>
      <c r="N1994">
        <v>-1.5444050000000001E-2</v>
      </c>
      <c r="O1994">
        <v>-0.43765480000000001</v>
      </c>
      <c r="P1994">
        <v>-0.83660709999999905</v>
      </c>
      <c r="Q1994">
        <v>0.1864286</v>
      </c>
      <c r="R1994">
        <v>-0.51510529999999999</v>
      </c>
      <c r="S1994">
        <v>-2.2544249999999999</v>
      </c>
      <c r="T1994">
        <v>0.1082962</v>
      </c>
      <c r="U1994">
        <v>-2.1401669999999999</v>
      </c>
      <c r="V1994">
        <v>-0.1018109</v>
      </c>
      <c r="W1994">
        <v>0.19909470000000001</v>
      </c>
      <c r="X1994">
        <v>0.97467729999999997</v>
      </c>
      <c r="Y1994">
        <v>-0.30193209999999998</v>
      </c>
      <c r="Z1994">
        <v>-1.930457E-2</v>
      </c>
      <c r="AA1994">
        <v>0.95313389999999998</v>
      </c>
      <c r="AB1994">
        <v>29</v>
      </c>
      <c r="AC1994">
        <v>-27.533300000000001</v>
      </c>
      <c r="AD1994">
        <v>1.33423</v>
      </c>
      <c r="AE1994">
        <v>-26.241499999999998</v>
      </c>
      <c r="AF1994">
        <v>-11.528493218567201</v>
      </c>
      <c r="AG1994">
        <v>1.33423</v>
      </c>
      <c r="AH1994">
        <v>36.197223603744703</v>
      </c>
      <c r="AI1994">
        <v>87.988500868610004</v>
      </c>
      <c r="AJ1994">
        <v>107.66621373722</v>
      </c>
      <c r="AK1994">
        <v>38.012173342272099</v>
      </c>
      <c r="AL1994">
        <v>78.515975435636904</v>
      </c>
      <c r="AM1994">
        <v>95.963262658422707</v>
      </c>
      <c r="AN1994">
        <v>0.99999999903109404</v>
      </c>
    </row>
    <row r="1995" spans="1:40" x14ac:dyDescent="0.25">
      <c r="A1995" t="str">
        <f>"20190303170801904"</f>
        <v>20190303170801904</v>
      </c>
      <c r="B1995" t="str">
        <f>"1551604081894384"</f>
        <v>1551604081894384</v>
      </c>
      <c r="C1995" t="s">
        <v>40</v>
      </c>
      <c r="D1995">
        <v>3.6649949999999998</v>
      </c>
      <c r="E1995">
        <v>0.37478709999999998</v>
      </c>
      <c r="F1995" t="s">
        <v>70</v>
      </c>
      <c r="G1995">
        <v>-511.95960000000002</v>
      </c>
      <c r="H1995">
        <v>2.974307</v>
      </c>
      <c r="I1995">
        <v>248.89879999999999</v>
      </c>
      <c r="J1995">
        <v>-485.54390000000001</v>
      </c>
      <c r="K1995">
        <v>1.1312990000000001</v>
      </c>
      <c r="L1995">
        <v>281.09339999999997</v>
      </c>
      <c r="M1995">
        <v>-0.89326539999999999</v>
      </c>
      <c r="N1995">
        <v>-1.5482910000000001E-2</v>
      </c>
      <c r="O1995">
        <v>-0.44926309999999903</v>
      </c>
      <c r="P1995">
        <v>-0.82981159999999998</v>
      </c>
      <c r="Q1995">
        <v>0.1861949</v>
      </c>
      <c r="R1995">
        <v>-0.52606489999999995</v>
      </c>
      <c r="S1995">
        <v>-2.0352779999999999</v>
      </c>
      <c r="T1995">
        <v>0.14067750000000001</v>
      </c>
      <c r="U1995">
        <v>-2.46759</v>
      </c>
      <c r="V1995">
        <v>-0.1020436</v>
      </c>
      <c r="W1995">
        <v>0.19886100000000001</v>
      </c>
      <c r="X1995">
        <v>0.97470069999999998</v>
      </c>
      <c r="Y1995">
        <v>-0.40366750000000001</v>
      </c>
      <c r="Z1995">
        <v>-2.133668E-2</v>
      </c>
      <c r="AA1995">
        <v>0.91465689999999999</v>
      </c>
      <c r="AB1995">
        <v>29</v>
      </c>
      <c r="AC1995">
        <v>-26.415700000000001</v>
      </c>
      <c r="AD1995">
        <v>1.843008</v>
      </c>
      <c r="AE1995">
        <v>-32.194599999999902</v>
      </c>
      <c r="AF1995">
        <v>-16.859726150812499</v>
      </c>
      <c r="AG1995">
        <v>1.843008</v>
      </c>
      <c r="AH1995">
        <v>37.990231093084901</v>
      </c>
      <c r="AI1995">
        <v>87.461042581030696</v>
      </c>
      <c r="AJ1995">
        <v>113.931221805409</v>
      </c>
      <c r="AK1995">
        <v>41.6041428571056</v>
      </c>
      <c r="AL1995">
        <v>78.529638961024304</v>
      </c>
      <c r="AM1995">
        <v>95.976651353297399</v>
      </c>
      <c r="AN1995">
        <v>1.0000000241012199</v>
      </c>
    </row>
    <row r="1996" spans="1:40" x14ac:dyDescent="0.25">
      <c r="A1996" t="str">
        <f>"20190303170801926"</f>
        <v>20190303170801926</v>
      </c>
      <c r="B1996" t="str">
        <f>"1551604081914877"</f>
        <v>1551604081914877</v>
      </c>
      <c r="C1996" t="s">
        <v>40</v>
      </c>
      <c r="D1996">
        <v>3.625124</v>
      </c>
      <c r="E1996">
        <v>0.37646170000000001</v>
      </c>
      <c r="F1996" t="s">
        <v>70</v>
      </c>
      <c r="G1996">
        <v>-511.95960000000002</v>
      </c>
      <c r="H1996">
        <v>2.8829479999999998</v>
      </c>
      <c r="I1996">
        <v>248.35749999999999</v>
      </c>
      <c r="J1996">
        <v>-485.79059999999998</v>
      </c>
      <c r="K1996">
        <v>1.1314340000000001</v>
      </c>
      <c r="L1996">
        <v>280.95460000000003</v>
      </c>
      <c r="M1996">
        <v>-0.8873373</v>
      </c>
      <c r="N1996">
        <v>-1.552195E-2</v>
      </c>
      <c r="O1996">
        <v>-0.46085989999999999</v>
      </c>
      <c r="P1996">
        <v>-0.82314940000000003</v>
      </c>
      <c r="Q1996">
        <v>0.1863407</v>
      </c>
      <c r="R1996">
        <v>-0.53637919999999994</v>
      </c>
      <c r="S1996">
        <v>-2.0079349999999998</v>
      </c>
      <c r="T1996">
        <v>0.1331531</v>
      </c>
      <c r="U1996">
        <v>-2.4883419999999998</v>
      </c>
      <c r="V1996">
        <v>-0.1015954</v>
      </c>
      <c r="W1996">
        <v>0.1990246</v>
      </c>
      <c r="X1996">
        <v>0.97471410000000003</v>
      </c>
      <c r="Y1996">
        <v>-0.40155400000000002</v>
      </c>
      <c r="Z1996">
        <v>-2.1476269999999999E-2</v>
      </c>
      <c r="AA1996">
        <v>0.91558349999999999</v>
      </c>
      <c r="AB1996">
        <v>29</v>
      </c>
      <c r="AC1996">
        <v>-26.169</v>
      </c>
      <c r="AD1996">
        <v>1.75151399999999</v>
      </c>
      <c r="AE1996">
        <v>-32.597099999999998</v>
      </c>
      <c r="AF1996">
        <v>-16.836850088313099</v>
      </c>
      <c r="AG1996">
        <v>1.75151399999999</v>
      </c>
      <c r="AH1996">
        <v>38.180996400655197</v>
      </c>
      <c r="AI1996">
        <v>87.596475352789199</v>
      </c>
      <c r="AJ1996">
        <v>113.796261507728</v>
      </c>
      <c r="AK1996">
        <v>41.7652464177499</v>
      </c>
      <c r="AL1996">
        <v>78.520073863765205</v>
      </c>
      <c r="AM1996">
        <v>95.950508017108206</v>
      </c>
      <c r="AN1996">
        <v>0.99999999672256401</v>
      </c>
    </row>
    <row r="1997" spans="1:40" x14ac:dyDescent="0.25">
      <c r="A1997" t="str">
        <f>"20190303170801950"</f>
        <v>20190303170801950</v>
      </c>
      <c r="B1997" t="str">
        <f>"1551604081945133"</f>
        <v>1551604081945133</v>
      </c>
      <c r="C1997" t="s">
        <v>40</v>
      </c>
      <c r="D1997">
        <v>3.6547960000000002</v>
      </c>
      <c r="E1997">
        <v>0.37835540000000001</v>
      </c>
      <c r="F1997" t="s">
        <v>70</v>
      </c>
      <c r="G1997">
        <v>-511.95960000000002</v>
      </c>
      <c r="H1997">
        <v>2.8596710000000001</v>
      </c>
      <c r="I1997">
        <v>247.9487</v>
      </c>
      <c r="J1997">
        <v>-486.05239999999998</v>
      </c>
      <c r="K1997">
        <v>1.1315660000000001</v>
      </c>
      <c r="L1997">
        <v>280.80239999999998</v>
      </c>
      <c r="M1997">
        <v>-0.8807199</v>
      </c>
      <c r="N1997">
        <v>-1.5563840000000001E-2</v>
      </c>
      <c r="O1997">
        <v>-0.47338190000000002</v>
      </c>
      <c r="P1997">
        <v>-0.81526239999999905</v>
      </c>
      <c r="Q1997">
        <v>0.18646370000000001</v>
      </c>
      <c r="R1997">
        <v>-0.54825100000000004</v>
      </c>
      <c r="S1997">
        <v>-1.9841610000000001</v>
      </c>
      <c r="T1997">
        <v>0.13104209999999999</v>
      </c>
      <c r="U1997">
        <v>-2.5025330000000001</v>
      </c>
      <c r="V1997">
        <v>-0.10200090000000001</v>
      </c>
      <c r="W1997">
        <v>0.19914380000000001</v>
      </c>
      <c r="X1997">
        <v>0.97464740000000005</v>
      </c>
      <c r="Y1997">
        <v>-0.39644289999999999</v>
      </c>
      <c r="Z1997">
        <v>-2.2144210000000001E-2</v>
      </c>
      <c r="AA1997">
        <v>0.91779230000000001</v>
      </c>
      <c r="AB1997">
        <v>29</v>
      </c>
      <c r="AC1997">
        <v>-25.9072</v>
      </c>
      <c r="AD1997">
        <v>1.728105</v>
      </c>
      <c r="AE1997">
        <v>-32.853699999999897</v>
      </c>
      <c r="AF1997">
        <v>-16.644530929545098</v>
      </c>
      <c r="AG1997">
        <v>1.728105</v>
      </c>
      <c r="AH1997">
        <v>38.308625149707296</v>
      </c>
      <c r="AI1997">
        <v>87.630818662652899</v>
      </c>
      <c r="AJ1997">
        <v>113.48423329758801</v>
      </c>
      <c r="AK1997">
        <v>41.8040370971082</v>
      </c>
      <c r="AL1997">
        <v>78.513104686621503</v>
      </c>
      <c r="AM1997">
        <v>95.974492866067095</v>
      </c>
      <c r="AN1997">
        <v>0.999999995503004</v>
      </c>
    </row>
    <row r="1998" spans="1:40" x14ac:dyDescent="0.25">
      <c r="A1998" t="str">
        <f>"20190303170801972"</f>
        <v>20190303170801972</v>
      </c>
      <c r="B1998" t="str">
        <f>"1551604081964653"</f>
        <v>1551604081964653</v>
      </c>
      <c r="C1998" t="s">
        <v>40</v>
      </c>
      <c r="D1998">
        <v>3.6869290000000001</v>
      </c>
      <c r="E1998">
        <v>0.37925229999999999</v>
      </c>
      <c r="F1998" t="s">
        <v>70</v>
      </c>
      <c r="G1998">
        <v>-512.8261</v>
      </c>
      <c r="H1998">
        <v>2.9053650000000002</v>
      </c>
      <c r="I1998">
        <v>246.31469999999999</v>
      </c>
      <c r="J1998">
        <v>-486.29230000000001</v>
      </c>
      <c r="K1998">
        <v>1.131691</v>
      </c>
      <c r="L1998">
        <v>280.65800000000002</v>
      </c>
      <c r="M1998">
        <v>-0.8743398</v>
      </c>
      <c r="N1998">
        <v>-1.5602700000000001E-2</v>
      </c>
      <c r="O1998">
        <v>-0.48506369999999999</v>
      </c>
      <c r="P1998">
        <v>-0.80721409999999905</v>
      </c>
      <c r="Q1998">
        <v>0.18697150000000001</v>
      </c>
      <c r="R1998">
        <v>-0.55986320000000001</v>
      </c>
      <c r="S1998">
        <v>-1.9558720000000001</v>
      </c>
      <c r="T1998">
        <v>0.129584</v>
      </c>
      <c r="U1998">
        <v>-2.5193789999999998</v>
      </c>
      <c r="V1998">
        <v>-0.10311240000000001</v>
      </c>
      <c r="W1998">
        <v>0.19962779999999999</v>
      </c>
      <c r="X1998">
        <v>0.97443139999999995</v>
      </c>
      <c r="Y1998">
        <v>-0.393619</v>
      </c>
      <c r="Z1998">
        <v>-2.2776930000000001E-2</v>
      </c>
      <c r="AA1998">
        <v>0.91899149999999996</v>
      </c>
      <c r="AB1998">
        <v>29</v>
      </c>
      <c r="AC1998">
        <v>-26.5337999999999</v>
      </c>
      <c r="AD1998">
        <v>1.773674</v>
      </c>
      <c r="AE1998">
        <v>-34.343299999999999</v>
      </c>
      <c r="AF1998">
        <v>-17.1306045088341</v>
      </c>
      <c r="AG1998">
        <v>1.773674</v>
      </c>
      <c r="AH1998">
        <v>39.796621413597499</v>
      </c>
      <c r="AI1998">
        <v>87.655795930124597</v>
      </c>
      <c r="AJ1998">
        <v>113.28964174964599</v>
      </c>
      <c r="AK1998">
        <v>43.363286386453296</v>
      </c>
      <c r="AL1998">
        <v>78.484805236815404</v>
      </c>
      <c r="AM1998">
        <v>96.040446917723202</v>
      </c>
      <c r="AN1998">
        <v>0.99999998943627899</v>
      </c>
    </row>
    <row r="1999" spans="1:40" x14ac:dyDescent="0.25">
      <c r="A1999" t="str">
        <f>"20190303170801993"</f>
        <v>20190303170801993</v>
      </c>
      <c r="B1999" t="str">
        <f>"1551604081985149"</f>
        <v>1551604081985149</v>
      </c>
      <c r="C1999" t="s">
        <v>40</v>
      </c>
      <c r="D1999">
        <v>3.4220079999999999</v>
      </c>
      <c r="E1999">
        <v>0.38049300000000003</v>
      </c>
      <c r="F1999" t="s">
        <v>70</v>
      </c>
      <c r="G1999">
        <v>-512.8261</v>
      </c>
      <c r="H1999">
        <v>2.9518580000000001</v>
      </c>
      <c r="I1999">
        <v>245.59989999999999</v>
      </c>
      <c r="J1999">
        <v>-486.52460000000002</v>
      </c>
      <c r="K1999">
        <v>1.1317969999999999</v>
      </c>
      <c r="L1999">
        <v>280.51389999999998</v>
      </c>
      <c r="M1999">
        <v>-0.86788299999999996</v>
      </c>
      <c r="N1999">
        <v>-1.563939E-2</v>
      </c>
      <c r="O1999">
        <v>-0.49652279999999999</v>
      </c>
      <c r="P1999">
        <v>-0.79929469999999903</v>
      </c>
      <c r="Q1999">
        <v>0.18774450000000001</v>
      </c>
      <c r="R1999">
        <v>-0.57085959999999902</v>
      </c>
      <c r="S1999">
        <v>-1.92337</v>
      </c>
      <c r="T1999">
        <v>0.1319437</v>
      </c>
      <c r="U1999">
        <v>-2.5412599999999999</v>
      </c>
      <c r="V1999">
        <v>-0.103797</v>
      </c>
      <c r="W1999">
        <v>0.20038990000000001</v>
      </c>
      <c r="X1999">
        <v>0.97420229999999997</v>
      </c>
      <c r="Y1999">
        <v>-0.39281749999999999</v>
      </c>
      <c r="Z1999">
        <v>-2.3733839999999999E-2</v>
      </c>
      <c r="AA1999">
        <v>0.91931010000000002</v>
      </c>
      <c r="AB1999">
        <v>29</v>
      </c>
      <c r="AC1999">
        <v>-26.301499999999901</v>
      </c>
      <c r="AD1999">
        <v>1.8200609999999999</v>
      </c>
      <c r="AE1999">
        <v>-34.913999999999902</v>
      </c>
      <c r="AF1999">
        <v>-17.214234519536198</v>
      </c>
      <c r="AG1999">
        <v>1.8200609999999999</v>
      </c>
      <c r="AH1999">
        <v>40.097610568657402</v>
      </c>
      <c r="AI1999">
        <v>87.611602861905894</v>
      </c>
      <c r="AJ1999">
        <v>113.23424627174801</v>
      </c>
      <c r="AK1999">
        <v>43.674487580886698</v>
      </c>
      <c r="AL1999">
        <v>78.440240053013099</v>
      </c>
      <c r="AM1999">
        <v>96.081671320401895</v>
      </c>
      <c r="AN1999">
        <v>1.00000002527814</v>
      </c>
    </row>
    <row r="2000" spans="1:40" x14ac:dyDescent="0.25">
      <c r="A2000" t="str">
        <f>"20190303170802016"</f>
        <v>20190303170802016</v>
      </c>
      <c r="B2000" t="str">
        <f>"1551604082004669"</f>
        <v>1551604082004669</v>
      </c>
      <c r="C2000" t="s">
        <v>40</v>
      </c>
      <c r="D2000">
        <v>3.6680069999999998</v>
      </c>
      <c r="E2000">
        <v>0.38159399999999999</v>
      </c>
      <c r="F2000" t="s">
        <v>70</v>
      </c>
      <c r="G2000">
        <v>-512.8261</v>
      </c>
      <c r="H2000">
        <v>2.9642230000000001</v>
      </c>
      <c r="I2000">
        <v>244.94710000000001</v>
      </c>
      <c r="J2000">
        <v>-486.76440000000002</v>
      </c>
      <c r="K2000">
        <v>1.131901</v>
      </c>
      <c r="L2000">
        <v>280.36020000000002</v>
      </c>
      <c r="M2000">
        <v>-0.86090869999999997</v>
      </c>
      <c r="N2000">
        <v>-1.567503E-2</v>
      </c>
      <c r="O2000">
        <v>-0.50851800000000003</v>
      </c>
      <c r="P2000">
        <v>-0.79109010000000002</v>
      </c>
      <c r="Q2000">
        <v>0.18753020000000001</v>
      </c>
      <c r="R2000">
        <v>-0.58224489999999995</v>
      </c>
      <c r="S2000">
        <v>-1.8935550000000001</v>
      </c>
      <c r="T2000">
        <v>0.13192799999999999</v>
      </c>
      <c r="U2000">
        <v>-2.5605769999999999</v>
      </c>
      <c r="V2000">
        <v>-0.104247699999999</v>
      </c>
      <c r="W2000">
        <v>0.20017399999999999</v>
      </c>
      <c r="X2000">
        <v>0.97419849999999997</v>
      </c>
      <c r="Y2000">
        <v>-0.39029570000000002</v>
      </c>
      <c r="Z2000">
        <v>-2.4518910000000001E-2</v>
      </c>
      <c r="AA2000">
        <v>0.92036300000000004</v>
      </c>
      <c r="AB2000">
        <v>29</v>
      </c>
      <c r="AC2000">
        <v>-26.061699999999899</v>
      </c>
      <c r="AD2000">
        <v>1.832322</v>
      </c>
      <c r="AE2000">
        <v>-35.4131</v>
      </c>
      <c r="AF2000">
        <v>-17.206837877922499</v>
      </c>
      <c r="AG2000">
        <v>1.832322</v>
      </c>
      <c r="AH2000">
        <v>40.379787420104797</v>
      </c>
      <c r="AI2000">
        <v>87.609568607281304</v>
      </c>
      <c r="AJ2000">
        <v>113.080067343835</v>
      </c>
      <c r="AK2000">
        <v>43.931308946600303</v>
      </c>
      <c r="AL2000">
        <v>78.452865333441807</v>
      </c>
      <c r="AM2000">
        <v>96.107903184489999</v>
      </c>
      <c r="AN2000">
        <v>0.99999996531676905</v>
      </c>
    </row>
    <row r="2001" spans="1:40" x14ac:dyDescent="0.25">
      <c r="A2001" t="str">
        <f>"20190303170802039"</f>
        <v>20190303170802039</v>
      </c>
      <c r="B2001" t="str">
        <f>"1551604082034925"</f>
        <v>1551604082034925</v>
      </c>
      <c r="C2001" t="s">
        <v>40</v>
      </c>
      <c r="D2001">
        <v>3.6584430000000001</v>
      </c>
      <c r="E2001">
        <v>0.39344109999999999</v>
      </c>
      <c r="F2001" t="s">
        <v>70</v>
      </c>
      <c r="G2001">
        <v>-512.8261</v>
      </c>
      <c r="H2001">
        <v>2.9423349999999999</v>
      </c>
      <c r="I2001">
        <v>244.24799999999999</v>
      </c>
      <c r="J2001">
        <v>-487.01060000000001</v>
      </c>
      <c r="K2001">
        <v>1.1319939999999999</v>
      </c>
      <c r="L2001">
        <v>280.19749999999999</v>
      </c>
      <c r="M2001">
        <v>-0.85341739999999999</v>
      </c>
      <c r="N2001">
        <v>-1.5709959999999999E-2</v>
      </c>
      <c r="O2001">
        <v>-0.52099129999999905</v>
      </c>
      <c r="P2001">
        <v>-0.78184759999999998</v>
      </c>
      <c r="Q2001">
        <v>0.18628110000000001</v>
      </c>
      <c r="R2001">
        <v>-0.59499029999999997</v>
      </c>
      <c r="S2001">
        <v>-1.8623050000000001</v>
      </c>
      <c r="T2001">
        <v>0.12937360000000001</v>
      </c>
      <c r="U2001">
        <v>-2.5804749999999999</v>
      </c>
      <c r="V2001">
        <v>-0.1057263</v>
      </c>
      <c r="W2001">
        <v>0.19889699999999999</v>
      </c>
      <c r="X2001">
        <v>0.97430070000000002</v>
      </c>
      <c r="Y2001">
        <v>-0.38758880000000001</v>
      </c>
      <c r="Z2001">
        <v>-2.5058899999999999E-2</v>
      </c>
      <c r="AA2001">
        <v>0.92149170000000002</v>
      </c>
      <c r="AB2001">
        <v>29</v>
      </c>
      <c r="AC2001">
        <v>-25.815499999999901</v>
      </c>
      <c r="AD2001">
        <v>1.810341</v>
      </c>
      <c r="AE2001">
        <v>-35.9495</v>
      </c>
      <c r="AF2001">
        <v>-17.203620720949999</v>
      </c>
      <c r="AG2001">
        <v>1.810341</v>
      </c>
      <c r="AH2001">
        <v>40.6977120867802</v>
      </c>
      <c r="AI2001">
        <v>87.653770884399293</v>
      </c>
      <c r="AJ2001">
        <v>112.91461405424999</v>
      </c>
      <c r="AK2001">
        <v>44.221552093351903</v>
      </c>
      <c r="AL2001">
        <v>78.527533531059703</v>
      </c>
      <c r="AM2001">
        <v>96.193221418568697</v>
      </c>
      <c r="AN2001">
        <v>0.99999996057058904</v>
      </c>
    </row>
    <row r="2002" spans="1:40" x14ac:dyDescent="0.25">
      <c r="A2002" t="str">
        <f>"20190303170802061"</f>
        <v>20190303170802061</v>
      </c>
      <c r="B2002" t="str">
        <f>"1551604082054797"</f>
        <v>1551604082054797</v>
      </c>
      <c r="C2002" t="s">
        <v>40</v>
      </c>
      <c r="D2002">
        <v>3.667497</v>
      </c>
      <c r="E2002">
        <v>0.39488529999999999</v>
      </c>
      <c r="F2002" t="s">
        <v>70</v>
      </c>
      <c r="G2002">
        <v>-512.82590000000005</v>
      </c>
      <c r="H2002">
        <v>2.3623639999999999</v>
      </c>
      <c r="I2002">
        <v>245.34440000000001</v>
      </c>
      <c r="J2002">
        <v>-487.23970000000003</v>
      </c>
      <c r="K2002">
        <v>1.1320699999999999</v>
      </c>
      <c r="L2002">
        <v>280.0412</v>
      </c>
      <c r="M2002">
        <v>-0.8461303</v>
      </c>
      <c r="N2002">
        <v>-1.574219E-2</v>
      </c>
      <c r="O2002">
        <v>-0.53274390000000005</v>
      </c>
      <c r="P2002">
        <v>-0.77321189999999995</v>
      </c>
      <c r="Q2002">
        <v>0.18478839999999999</v>
      </c>
      <c r="R2002">
        <v>-0.60662729999999998</v>
      </c>
      <c r="S2002">
        <v>-1.88205</v>
      </c>
      <c r="T2002">
        <v>8.9704039999999999E-2</v>
      </c>
      <c r="U2002">
        <v>-2.540924</v>
      </c>
      <c r="V2002">
        <v>-0.10665230000000001</v>
      </c>
      <c r="W2002">
        <v>0.1973925</v>
      </c>
      <c r="X2002">
        <v>0.97450579999999998</v>
      </c>
      <c r="Y2002">
        <v>-0.36317129999999997</v>
      </c>
      <c r="Z2002">
        <v>-2.1486080000000001E-2</v>
      </c>
      <c r="AA2002">
        <v>0.93147460000000004</v>
      </c>
      <c r="AB2002">
        <v>29</v>
      </c>
      <c r="AC2002">
        <v>-25.586200000000002</v>
      </c>
      <c r="AD2002">
        <v>1.23029399999999</v>
      </c>
      <c r="AE2002">
        <v>-34.696800000000003</v>
      </c>
      <c r="AF2002">
        <v>-15.716268341690601</v>
      </c>
      <c r="AG2002">
        <v>1.23029399999999</v>
      </c>
      <c r="AH2002">
        <v>40.106070832453703</v>
      </c>
      <c r="AI2002">
        <v>88.3640002162672</v>
      </c>
      <c r="AJ2002">
        <v>111.39860188645</v>
      </c>
      <c r="AK2002">
        <v>43.093057811348899</v>
      </c>
      <c r="AL2002">
        <v>78.615479592415696</v>
      </c>
      <c r="AM2002">
        <v>96.245733101517501</v>
      </c>
      <c r="AN2002">
        <v>1.00000003319258</v>
      </c>
    </row>
    <row r="2003" spans="1:40" x14ac:dyDescent="0.25">
      <c r="A2003" t="str">
        <f>"20190303170802083"</f>
        <v>20190303170802083</v>
      </c>
      <c r="B2003" t="str">
        <f>"1551604082074317"</f>
        <v>1551604082074317</v>
      </c>
      <c r="C2003" t="s">
        <v>40</v>
      </c>
      <c r="D2003">
        <v>3.6310739999999999</v>
      </c>
      <c r="E2003">
        <v>0.39592280000000002</v>
      </c>
      <c r="F2003" t="s">
        <v>70</v>
      </c>
      <c r="G2003">
        <v>-512.82590000000005</v>
      </c>
      <c r="H2003">
        <v>2.2358509999999998</v>
      </c>
      <c r="I2003">
        <v>244.69659999999999</v>
      </c>
      <c r="J2003">
        <v>-487.46530000000001</v>
      </c>
      <c r="K2003">
        <v>1.132145</v>
      </c>
      <c r="L2003">
        <v>279.88249999999999</v>
      </c>
      <c r="M2003">
        <v>-0.83864189999999905</v>
      </c>
      <c r="N2003">
        <v>-1.5773820000000001E-2</v>
      </c>
      <c r="O2003">
        <v>-0.54445489999999996</v>
      </c>
      <c r="P2003">
        <v>-0.76442739999999998</v>
      </c>
      <c r="Q2003">
        <v>0.18423539999999999</v>
      </c>
      <c r="R2003">
        <v>-0.61782559999999997</v>
      </c>
      <c r="S2003">
        <v>-1.852814</v>
      </c>
      <c r="T2003">
        <v>7.9934359999999996E-2</v>
      </c>
      <c r="U2003">
        <v>-2.5594480000000002</v>
      </c>
      <c r="V2003">
        <v>-0.1072543</v>
      </c>
      <c r="W2003">
        <v>0.19683439999999999</v>
      </c>
      <c r="X2003">
        <v>0.97455259999999999</v>
      </c>
      <c r="Y2003">
        <v>-0.36036509999999999</v>
      </c>
      <c r="Z2003">
        <v>-2.086855E-2</v>
      </c>
      <c r="AA2003">
        <v>0.93257789999999996</v>
      </c>
      <c r="AB2003">
        <v>29</v>
      </c>
      <c r="AC2003">
        <v>-25.360600000000002</v>
      </c>
      <c r="AD2003">
        <v>1.1037059999999901</v>
      </c>
      <c r="AE2003">
        <v>-35.185899999999997</v>
      </c>
      <c r="AF2003">
        <v>-15.692457673303601</v>
      </c>
      <c r="AG2003">
        <v>1.1037059999999901</v>
      </c>
      <c r="AH2003">
        <v>40.404460074174999</v>
      </c>
      <c r="AI2003">
        <v>88.541370569328393</v>
      </c>
      <c r="AJ2003">
        <v>111.22538801703701</v>
      </c>
      <c r="AK2003">
        <v>43.358872086903602</v>
      </c>
      <c r="AL2003">
        <v>78.648096109052304</v>
      </c>
      <c r="AM2003">
        <v>96.280407045952401</v>
      </c>
      <c r="AN2003">
        <v>1.0000000180293001</v>
      </c>
    </row>
    <row r="2004" spans="1:40" x14ac:dyDescent="0.25">
      <c r="A2004" t="str">
        <f>"20190303170802106"</f>
        <v>20190303170802106</v>
      </c>
      <c r="B2004" t="str">
        <f>"1551604082094813"</f>
        <v>1551604082094813</v>
      </c>
      <c r="C2004" t="s">
        <v>40</v>
      </c>
      <c r="D2004">
        <v>3.4412600000000002</v>
      </c>
      <c r="E2004">
        <v>0.39592280000000002</v>
      </c>
      <c r="F2004" t="s">
        <v>70</v>
      </c>
      <c r="G2004">
        <v>-512.82590000000005</v>
      </c>
      <c r="H2004">
        <v>2.1713119999999999</v>
      </c>
      <c r="I2004">
        <v>243.95189999999999</v>
      </c>
      <c r="J2004">
        <v>-487.69760000000002</v>
      </c>
      <c r="K2004">
        <v>1.132225</v>
      </c>
      <c r="L2004">
        <v>279.71409999999997</v>
      </c>
      <c r="M2004">
        <v>-0.83060279999999997</v>
      </c>
      <c r="N2004">
        <v>-1.580558E-2</v>
      </c>
      <c r="O2004">
        <v>-0.55664099999999905</v>
      </c>
      <c r="P2004">
        <v>-0.75507939999999996</v>
      </c>
      <c r="Q2004">
        <v>0.18349099999999999</v>
      </c>
      <c r="R2004">
        <v>-0.62943340000000003</v>
      </c>
      <c r="S2004">
        <v>-1.821167</v>
      </c>
      <c r="T2004">
        <v>7.4628349999999996E-2</v>
      </c>
      <c r="U2004">
        <v>-2.5802</v>
      </c>
      <c r="V2004">
        <v>-0.1078363</v>
      </c>
      <c r="W2004">
        <v>0.1960858</v>
      </c>
      <c r="X2004">
        <v>0.97463920000000004</v>
      </c>
      <c r="Y2004">
        <v>-0.3578943</v>
      </c>
      <c r="Z2004">
        <v>-2.0745300000000001E-2</v>
      </c>
      <c r="AA2004">
        <v>0.93353160000000002</v>
      </c>
      <c r="AB2004">
        <v>29</v>
      </c>
      <c r="AC2004">
        <v>-25.128299999999999</v>
      </c>
      <c r="AD2004">
        <v>1.0390870000000001</v>
      </c>
      <c r="AE2004">
        <v>-35.762199999999901</v>
      </c>
      <c r="AF2004">
        <v>-15.7098258038972</v>
      </c>
      <c r="AG2004">
        <v>1.0390870000000001</v>
      </c>
      <c r="AH2004">
        <v>40.760400006067201</v>
      </c>
      <c r="AI2004">
        <v>88.637364491407496</v>
      </c>
      <c r="AJ2004">
        <v>111.077602186663</v>
      </c>
      <c r="AK2004">
        <v>43.695406363106002</v>
      </c>
      <c r="AL2004">
        <v>78.691839321881503</v>
      </c>
      <c r="AM2004">
        <v>96.313655734643305</v>
      </c>
      <c r="AN2004">
        <v>0.99999993936798304</v>
      </c>
    </row>
    <row r="2005" spans="1:40" x14ac:dyDescent="0.25">
      <c r="A2005" t="str">
        <f>"20190303170802128"</f>
        <v>20190303170802128</v>
      </c>
      <c r="B2005" t="str">
        <f>"1551604082125069"</f>
        <v>1551604082125069</v>
      </c>
      <c r="C2005" t="s">
        <v>40</v>
      </c>
      <c r="D2005">
        <v>3.4577830000000001</v>
      </c>
      <c r="E2005">
        <v>0.40385120000000002</v>
      </c>
      <c r="F2005" t="s">
        <v>70</v>
      </c>
      <c r="G2005">
        <v>-512.82590000000005</v>
      </c>
      <c r="H2005">
        <v>2.180825</v>
      </c>
      <c r="I2005">
        <v>242.91069999999999</v>
      </c>
      <c r="J2005">
        <v>-487.92169999999999</v>
      </c>
      <c r="K2005">
        <v>1.132298</v>
      </c>
      <c r="L2005">
        <v>279.54660000000001</v>
      </c>
      <c r="M2005">
        <v>-0.82251819999999898</v>
      </c>
      <c r="N2005">
        <v>-1.583505E-2</v>
      </c>
      <c r="O2005">
        <v>-0.56851830000000003</v>
      </c>
      <c r="P2005">
        <v>-0.74539200000000005</v>
      </c>
      <c r="Q2005">
        <v>0.1822753</v>
      </c>
      <c r="R2005">
        <v>-0.64122259999999998</v>
      </c>
      <c r="S2005">
        <v>-1.780823</v>
      </c>
      <c r="T2005">
        <v>7.4318170000000003E-2</v>
      </c>
      <c r="U2005">
        <v>-2.608215</v>
      </c>
      <c r="V2005">
        <v>-0.1089864</v>
      </c>
      <c r="W2005">
        <v>0.1948512</v>
      </c>
      <c r="X2005">
        <v>0.97475889999999998</v>
      </c>
      <c r="Y2005">
        <v>-0.3589984</v>
      </c>
      <c r="Z2005">
        <v>-2.1201790000000002E-2</v>
      </c>
      <c r="AA2005">
        <v>0.93309730000000002</v>
      </c>
      <c r="AB2005">
        <v>29</v>
      </c>
      <c r="AC2005">
        <v>-24.904199999999999</v>
      </c>
      <c r="AD2005">
        <v>1.048527</v>
      </c>
      <c r="AE2005">
        <v>-36.635899999999999</v>
      </c>
      <c r="AF2005">
        <v>-15.9682584005928</v>
      </c>
      <c r="AG2005">
        <v>1.048527</v>
      </c>
      <c r="AH2005">
        <v>41.294383380352201</v>
      </c>
      <c r="AI2005">
        <v>88.643344359983999</v>
      </c>
      <c r="AJ2005">
        <v>111.141148700996</v>
      </c>
      <c r="AK2005">
        <v>44.2866885641875</v>
      </c>
      <c r="AL2005">
        <v>78.763968406857899</v>
      </c>
      <c r="AM2005">
        <v>96.379662909342201</v>
      </c>
      <c r="AN2005">
        <v>0.99999996932780399</v>
      </c>
    </row>
    <row r="2006" spans="1:40" x14ac:dyDescent="0.25">
      <c r="A2006" t="str">
        <f>"20190303170802141"</f>
        <v>20190303170802141</v>
      </c>
      <c r="B2006" t="str">
        <f>"1551604082134830"</f>
        <v>1551604082134830</v>
      </c>
      <c r="C2006" t="s">
        <v>40</v>
      </c>
      <c r="D2006">
        <v>3.6767400000000001</v>
      </c>
      <c r="E2006">
        <v>0.40420139999999999</v>
      </c>
      <c r="F2006" t="s">
        <v>70</v>
      </c>
      <c r="G2006">
        <v>-512.82590000000005</v>
      </c>
      <c r="H2006">
        <v>2.1917140000000002</v>
      </c>
      <c r="I2006">
        <v>243.36</v>
      </c>
      <c r="J2006">
        <v>-488.0505</v>
      </c>
      <c r="K2006">
        <v>1.1323350000000001</v>
      </c>
      <c r="L2006">
        <v>279.44729999999998</v>
      </c>
      <c r="M2006">
        <v>-0.81770180000000003</v>
      </c>
      <c r="N2006">
        <v>-1.5851649999999998E-2</v>
      </c>
      <c r="O2006">
        <v>-0.57542409999999999</v>
      </c>
      <c r="P2006">
        <v>-0.73971779999999998</v>
      </c>
      <c r="Q2006">
        <v>0.1815495</v>
      </c>
      <c r="R2006">
        <v>-0.64796409999999904</v>
      </c>
      <c r="S2006">
        <v>-1.7805789999999999</v>
      </c>
      <c r="T2006">
        <v>7.5749869999999997E-2</v>
      </c>
      <c r="U2006">
        <v>-2.5872190000000002</v>
      </c>
      <c r="V2006">
        <v>-0.10952779999999999</v>
      </c>
      <c r="W2006">
        <v>0.19411829999999999</v>
      </c>
      <c r="X2006">
        <v>0.9748445</v>
      </c>
      <c r="Y2006">
        <v>-0.34766540000000001</v>
      </c>
      <c r="Z2006">
        <v>-2.1783050000000002E-2</v>
      </c>
      <c r="AA2006">
        <v>0.93736560000000002</v>
      </c>
      <c r="AB2006">
        <v>29</v>
      </c>
      <c r="AC2006">
        <v>-24.775400000000001</v>
      </c>
      <c r="AD2006">
        <v>1.0593790000000001</v>
      </c>
      <c r="AE2006">
        <v>-36.0872999999999</v>
      </c>
      <c r="AF2006">
        <v>-15.245272177638901</v>
      </c>
      <c r="AG2006">
        <v>1.0593790000000001</v>
      </c>
      <c r="AH2006">
        <v>41.005520913686603</v>
      </c>
      <c r="AI2006">
        <v>88.612820105580298</v>
      </c>
      <c r="AJ2006">
        <v>110.39442161428801</v>
      </c>
      <c r="AK2006">
        <v>43.760637027341303</v>
      </c>
      <c r="AL2006">
        <v>78.806778556013001</v>
      </c>
      <c r="AM2006">
        <v>96.410532986923798</v>
      </c>
      <c r="AN2006">
        <v>1.0000000262739801</v>
      </c>
    </row>
    <row r="2007" spans="1:40" x14ac:dyDescent="0.25">
      <c r="A2007" t="str">
        <f>"20190303170802163"</f>
        <v>20190303170802163</v>
      </c>
      <c r="B2007" t="str">
        <f>"1551604082154855"</f>
        <v>1551604082154855</v>
      </c>
      <c r="C2007" t="s">
        <v>40</v>
      </c>
      <c r="D2007">
        <v>3.4600170000000001</v>
      </c>
      <c r="E2007">
        <v>0.41105219999999998</v>
      </c>
      <c r="F2007" t="s">
        <v>70</v>
      </c>
      <c r="G2007">
        <v>-512.82590000000005</v>
      </c>
      <c r="H2007">
        <v>2.158166</v>
      </c>
      <c r="I2007">
        <v>242.82550000000001</v>
      </c>
      <c r="J2007">
        <v>-488.26459999999997</v>
      </c>
      <c r="K2007">
        <v>1.132393</v>
      </c>
      <c r="L2007">
        <v>279.27910000000003</v>
      </c>
      <c r="M2007">
        <v>-0.80946779999999996</v>
      </c>
      <c r="N2007">
        <v>-1.5877849999999999E-2</v>
      </c>
      <c r="O2007">
        <v>-0.58694990000000002</v>
      </c>
      <c r="P2007">
        <v>-0.73021020000000003</v>
      </c>
      <c r="Q2007">
        <v>0.1810687</v>
      </c>
      <c r="R2007">
        <v>-0.65879259999999995</v>
      </c>
      <c r="S2007">
        <v>-1.7595209999999999</v>
      </c>
      <c r="T2007">
        <v>7.2858099999999995E-2</v>
      </c>
      <c r="U2007">
        <v>-2.6008300000000002</v>
      </c>
      <c r="V2007">
        <v>-0.110028</v>
      </c>
      <c r="W2007">
        <v>0.19363420000000001</v>
      </c>
      <c r="X2007">
        <v>0.97488450000000004</v>
      </c>
      <c r="Y2007">
        <v>-0.34185140000000003</v>
      </c>
      <c r="Z2007">
        <v>-2.1889720000000001E-2</v>
      </c>
      <c r="AA2007">
        <v>0.93949910000000003</v>
      </c>
      <c r="AB2007">
        <v>29</v>
      </c>
      <c r="AC2007">
        <v>-24.561299999999999</v>
      </c>
      <c r="AD2007">
        <v>1.025773</v>
      </c>
      <c r="AE2007">
        <v>-36.453600000000002</v>
      </c>
      <c r="AF2007">
        <v>-15.085447089274499</v>
      </c>
      <c r="AG2007">
        <v>1.025773</v>
      </c>
      <c r="AH2007">
        <v>41.260743983679802</v>
      </c>
      <c r="AI2007">
        <v>88.662437391186899</v>
      </c>
      <c r="AJ2007">
        <v>110.083048071923</v>
      </c>
      <c r="AK2007">
        <v>43.943963387678203</v>
      </c>
      <c r="AL2007">
        <v>78.835052466411398</v>
      </c>
      <c r="AM2007">
        <v>96.439301736142895</v>
      </c>
      <c r="AN2007">
        <v>1.0000000762669401</v>
      </c>
    </row>
    <row r="2008" spans="1:40" x14ac:dyDescent="0.25">
      <c r="A2008" t="str">
        <f>"20190303170802185"</f>
        <v>20190303170802185</v>
      </c>
      <c r="B2008" t="str">
        <f>"1551604082174375"</f>
        <v>1551604082174375</v>
      </c>
      <c r="C2008" t="s">
        <v>40</v>
      </c>
      <c r="D2008">
        <v>3.6517979999999999</v>
      </c>
      <c r="E2008">
        <v>0.41200130000000001</v>
      </c>
      <c r="F2008" t="s">
        <v>70</v>
      </c>
      <c r="G2008">
        <v>-512.82579999999996</v>
      </c>
      <c r="H2008">
        <v>1.9474309999999999</v>
      </c>
      <c r="I2008">
        <v>243.1379</v>
      </c>
      <c r="J2008">
        <v>-488.47579999999999</v>
      </c>
      <c r="K2008">
        <v>1.132436</v>
      </c>
      <c r="L2008">
        <v>279.10820000000001</v>
      </c>
      <c r="M2008">
        <v>-0.80103449999999998</v>
      </c>
      <c r="N2008">
        <v>-1.590169E-2</v>
      </c>
      <c r="O2008">
        <v>-0.59840709999999997</v>
      </c>
      <c r="P2008">
        <v>-0.72038559999999996</v>
      </c>
      <c r="Q2008">
        <v>0.18153900000000001</v>
      </c>
      <c r="R2008">
        <v>-0.66939419999999905</v>
      </c>
      <c r="S2008">
        <v>-1.7588809999999999</v>
      </c>
      <c r="T2008">
        <v>5.8371310000000003E-2</v>
      </c>
      <c r="U2008">
        <v>-2.5881349999999999</v>
      </c>
      <c r="V2008">
        <v>-0.1105131</v>
      </c>
      <c r="W2008">
        <v>0.19410050000000001</v>
      </c>
      <c r="X2008">
        <v>0.97473679999999996</v>
      </c>
      <c r="Y2008">
        <v>-0.3264106</v>
      </c>
      <c r="Z2008">
        <v>-2.0306399999999999E-2</v>
      </c>
      <c r="AA2008">
        <v>0.94500989999999996</v>
      </c>
      <c r="AB2008">
        <v>29</v>
      </c>
      <c r="AC2008">
        <v>-24.349999999999898</v>
      </c>
      <c r="AD2008">
        <v>0.81499500000000002</v>
      </c>
      <c r="AE2008">
        <v>-35.970300000000002</v>
      </c>
      <c r="AF2008">
        <v>-14.2390253880811</v>
      </c>
      <c r="AG2008">
        <v>0.81499500000000002</v>
      </c>
      <c r="AH2008">
        <v>41.020816734236</v>
      </c>
      <c r="AI2008">
        <v>88.924728236836501</v>
      </c>
      <c r="AJ2008">
        <v>109.142760314179</v>
      </c>
      <c r="AK2008">
        <v>43.429499955631798</v>
      </c>
      <c r="AL2008">
        <v>78.807817776005294</v>
      </c>
      <c r="AM2008">
        <v>96.468423505037904</v>
      </c>
      <c r="AN2008">
        <v>0.99999998932304901</v>
      </c>
    </row>
    <row r="2009" spans="1:40" x14ac:dyDescent="0.25">
      <c r="A2009" t="str">
        <f>"20190303170802206"</f>
        <v>20190303170802206</v>
      </c>
      <c r="B2009" t="str">
        <f>"1551604082194871"</f>
        <v>1551604082194871</v>
      </c>
      <c r="C2009" t="s">
        <v>40</v>
      </c>
      <c r="D2009">
        <v>3.677613</v>
      </c>
      <c r="E2009">
        <v>0.41324149999999998</v>
      </c>
      <c r="F2009" t="s">
        <v>70</v>
      </c>
      <c r="G2009">
        <v>-512.82579999999996</v>
      </c>
      <c r="H2009">
        <v>1.9884040000000001</v>
      </c>
      <c r="I2009">
        <v>242.32769999999999</v>
      </c>
      <c r="J2009">
        <v>-488.68619999999999</v>
      </c>
      <c r="K2009">
        <v>1.1324829999999999</v>
      </c>
      <c r="L2009">
        <v>278.93279999999999</v>
      </c>
      <c r="M2009">
        <v>-0.79231859999999998</v>
      </c>
      <c r="N2009">
        <v>-1.5922619999999998E-2</v>
      </c>
      <c r="O2009">
        <v>-0.60989989999999905</v>
      </c>
      <c r="P2009">
        <v>-0.71014149999999998</v>
      </c>
      <c r="Q2009">
        <v>0.18232619999999999</v>
      </c>
      <c r="R2009">
        <v>-0.68004140000000002</v>
      </c>
      <c r="S2009">
        <v>-1.7262569999999999</v>
      </c>
      <c r="T2009">
        <v>6.0687070000000003E-2</v>
      </c>
      <c r="U2009">
        <v>-2.6074830000000002</v>
      </c>
      <c r="V2009">
        <v>-0.1111222</v>
      </c>
      <c r="W2009">
        <v>0.19487879999999999</v>
      </c>
      <c r="X2009">
        <v>0.97451220000000005</v>
      </c>
      <c r="Y2009">
        <v>-0.32422630000000002</v>
      </c>
      <c r="Z2009">
        <v>-2.1085240000000002E-2</v>
      </c>
      <c r="AA2009">
        <v>0.94574449999999999</v>
      </c>
      <c r="AB2009">
        <v>29</v>
      </c>
      <c r="AC2009">
        <v>-24.139599999999898</v>
      </c>
      <c r="AD2009">
        <v>0.85592100000000004</v>
      </c>
      <c r="AE2009">
        <v>-36.605099999999901</v>
      </c>
      <c r="AF2009">
        <v>-14.2765313521999</v>
      </c>
      <c r="AG2009">
        <v>0.85592100000000004</v>
      </c>
      <c r="AH2009">
        <v>41.441162172654799</v>
      </c>
      <c r="AI2009">
        <v>88.881293801070797</v>
      </c>
      <c r="AJ2009">
        <v>109.008892661109</v>
      </c>
      <c r="AK2009">
        <v>43.839729360807702</v>
      </c>
      <c r="AL2009">
        <v>78.762356018445303</v>
      </c>
      <c r="AM2009">
        <v>96.505256108572397</v>
      </c>
      <c r="AN2009">
        <v>0.99999995898555905</v>
      </c>
    </row>
    <row r="2010" spans="1:40" x14ac:dyDescent="0.25">
      <c r="A2010" t="str">
        <f>"20190303170802220"</f>
        <v>20190303170802220</v>
      </c>
      <c r="B2010" t="str">
        <f>"1551604082214391"</f>
        <v>1551604082214391</v>
      </c>
      <c r="C2010" t="s">
        <v>40</v>
      </c>
      <c r="D2010">
        <v>3.6469309999999999</v>
      </c>
      <c r="E2010">
        <v>0.41440700000000003</v>
      </c>
      <c r="F2010" t="s">
        <v>70</v>
      </c>
      <c r="G2010">
        <v>-512.82579999999996</v>
      </c>
      <c r="H2010">
        <v>1.9730220000000001</v>
      </c>
      <c r="I2010">
        <v>241.499</v>
      </c>
      <c r="J2010">
        <v>-488.81439999999998</v>
      </c>
      <c r="K2010">
        <v>1.1324970000000001</v>
      </c>
      <c r="L2010">
        <v>278.82299999999998</v>
      </c>
      <c r="M2010">
        <v>-0.7868463</v>
      </c>
      <c r="N2010">
        <v>-1.593367E-2</v>
      </c>
      <c r="O2010">
        <v>-0.61694309999999997</v>
      </c>
      <c r="P2010">
        <v>-0.70350849999999998</v>
      </c>
      <c r="Q2010">
        <v>0.18241299999999999</v>
      </c>
      <c r="R2010">
        <v>-0.68687779999999998</v>
      </c>
      <c r="S2010">
        <v>-1.6939090000000001</v>
      </c>
      <c r="T2010">
        <v>5.8986429999999999E-2</v>
      </c>
      <c r="U2010">
        <v>-2.62677</v>
      </c>
      <c r="V2010">
        <v>-0.1118798</v>
      </c>
      <c r="W2010">
        <v>0.1949504</v>
      </c>
      <c r="X2010">
        <v>0.97441120000000003</v>
      </c>
      <c r="Y2010">
        <v>-0.3271656</v>
      </c>
      <c r="Z2010">
        <v>-2.108231E-2</v>
      </c>
      <c r="AA2010">
        <v>0.94473180000000001</v>
      </c>
      <c r="AB2010">
        <v>29</v>
      </c>
      <c r="AC2010">
        <v>-24.011399999999899</v>
      </c>
      <c r="AD2010">
        <v>0.84052499999999997</v>
      </c>
      <c r="AE2010">
        <v>-37.323999999999899</v>
      </c>
      <c r="AF2010">
        <v>-14.551213998602501</v>
      </c>
      <c r="AG2010">
        <v>0.84052499999999997</v>
      </c>
      <c r="AH2010">
        <v>41.910359965438197</v>
      </c>
      <c r="AI2010">
        <v>88.9146122317795</v>
      </c>
      <c r="AJ2010">
        <v>109.146924361248</v>
      </c>
      <c r="AK2010">
        <v>44.3725431268183</v>
      </c>
      <c r="AL2010">
        <v>78.758173514900307</v>
      </c>
      <c r="AM2010">
        <v>96.549896039759204</v>
      </c>
      <c r="AN2010">
        <v>0.99999996739681896</v>
      </c>
    </row>
    <row r="2011" spans="1:40" x14ac:dyDescent="0.25">
      <c r="A2011" t="str">
        <f>"20190303170802232"</f>
        <v>20190303170802232</v>
      </c>
      <c r="B2011" t="str">
        <f>"1551604082225127"</f>
        <v>1551604082225127</v>
      </c>
      <c r="C2011" t="s">
        <v>40</v>
      </c>
      <c r="D2011">
        <v>3.6979739999999999</v>
      </c>
      <c r="E2011">
        <v>0.41433150000000002</v>
      </c>
      <c r="F2011" t="s">
        <v>70</v>
      </c>
      <c r="G2011">
        <v>-512.82579999999996</v>
      </c>
      <c r="H2011">
        <v>1.947065</v>
      </c>
      <c r="I2011">
        <v>241.04239999999999</v>
      </c>
      <c r="J2011">
        <v>-488.93520000000001</v>
      </c>
      <c r="K2011">
        <v>1.1325050000000001</v>
      </c>
      <c r="L2011">
        <v>278.71820000000002</v>
      </c>
      <c r="M2011">
        <v>-0.78159369999999995</v>
      </c>
      <c r="N2011">
        <v>-1.594315E-2</v>
      </c>
      <c r="O2011">
        <v>-0.62358409999999997</v>
      </c>
      <c r="P2011">
        <v>-0.697291199999999</v>
      </c>
      <c r="Q2011">
        <v>0.18229119999999999</v>
      </c>
      <c r="R2011">
        <v>-0.69322069999999902</v>
      </c>
      <c r="S2011">
        <v>-1.6755979999999999</v>
      </c>
      <c r="T2011">
        <v>5.6847929999999998E-2</v>
      </c>
      <c r="U2011">
        <v>-2.636444</v>
      </c>
      <c r="V2011">
        <v>-0.1124357</v>
      </c>
      <c r="W2011">
        <v>0.19481950000000001</v>
      </c>
      <c r="X2011">
        <v>0.9743735</v>
      </c>
      <c r="Y2011">
        <v>-0.32539639999999997</v>
      </c>
      <c r="Z2011">
        <v>-2.0993370000000001E-2</v>
      </c>
      <c r="AA2011">
        <v>0.94534459999999998</v>
      </c>
      <c r="AB2011">
        <v>29</v>
      </c>
      <c r="AC2011">
        <v>-23.8905999999999</v>
      </c>
      <c r="AD2011">
        <v>0.81455999999999995</v>
      </c>
      <c r="AE2011">
        <v>-37.675800000000002</v>
      </c>
      <c r="AF2011">
        <v>-14.5463693832611</v>
      </c>
      <c r="AG2011">
        <v>0.81455999999999995</v>
      </c>
      <c r="AH2011">
        <v>42.158077032649103</v>
      </c>
      <c r="AI2011">
        <v>88.953616420574093</v>
      </c>
      <c r="AJ2011">
        <v>109.03666029231999</v>
      </c>
      <c r="AK2011">
        <v>44.604527004763199</v>
      </c>
      <c r="AL2011">
        <v>78.765821325850297</v>
      </c>
      <c r="AM2011">
        <v>96.582408225939304</v>
      </c>
      <c r="AN2011">
        <v>1.00000007085849</v>
      </c>
    </row>
    <row r="2012" spans="1:40" x14ac:dyDescent="0.25">
      <c r="A2012" t="str">
        <f>"20190303170802245"</f>
        <v>20190303170802245</v>
      </c>
      <c r="B2012" t="str">
        <f>"1551604082234887"</f>
        <v>1551604082234887</v>
      </c>
      <c r="C2012" t="s">
        <v>40</v>
      </c>
      <c r="D2012">
        <v>3.7539180000000001</v>
      </c>
      <c r="E2012">
        <v>0.41433150000000002</v>
      </c>
      <c r="F2012" t="s">
        <v>70</v>
      </c>
      <c r="G2012">
        <v>-512.82579999999996</v>
      </c>
      <c r="H2012">
        <v>1.9271450000000001</v>
      </c>
      <c r="I2012">
        <v>240.34479999999999</v>
      </c>
      <c r="J2012">
        <v>-489.0634</v>
      </c>
      <c r="K2012">
        <v>1.132509</v>
      </c>
      <c r="L2012">
        <v>278.60469999999998</v>
      </c>
      <c r="M2012">
        <v>-0.77589779999999997</v>
      </c>
      <c r="N2012">
        <v>-1.595181E-2</v>
      </c>
      <c r="O2012">
        <v>-0.63065700000000002</v>
      </c>
      <c r="P2012">
        <v>-0.69035009999999997</v>
      </c>
      <c r="Q2012">
        <v>0.1820117</v>
      </c>
      <c r="R2012">
        <v>-0.70020629999999995</v>
      </c>
      <c r="S2012">
        <v>-1.65127599999999</v>
      </c>
      <c r="T2012">
        <v>5.4928539999999998E-2</v>
      </c>
      <c r="U2012">
        <v>-2.6522830000000002</v>
      </c>
      <c r="V2012">
        <v>-0.1133475</v>
      </c>
      <c r="W2012">
        <v>0.1945211</v>
      </c>
      <c r="X2012">
        <v>0.97432739999999995</v>
      </c>
      <c r="Y2012">
        <v>-0.3255847</v>
      </c>
      <c r="Z2012">
        <v>-2.0934600000000001E-2</v>
      </c>
      <c r="AA2012">
        <v>0.94528109999999999</v>
      </c>
      <c r="AB2012">
        <v>28</v>
      </c>
      <c r="AC2012">
        <v>-23.7623999999999</v>
      </c>
      <c r="AD2012">
        <v>0.79463600000000001</v>
      </c>
      <c r="AE2012">
        <v>-38.259899999999902</v>
      </c>
      <c r="AF2012">
        <v>-14.6971430696412</v>
      </c>
      <c r="AG2012">
        <v>0.79463600000000001</v>
      </c>
      <c r="AH2012">
        <v>42.558234033649498</v>
      </c>
      <c r="AI2012">
        <v>88.988894464812404</v>
      </c>
      <c r="AJ2012">
        <v>109.05194031458601</v>
      </c>
      <c r="AK2012">
        <v>45.031552769640101</v>
      </c>
      <c r="AL2012">
        <v>78.783251028278698</v>
      </c>
      <c r="AM2012">
        <v>96.635625464415796</v>
      </c>
      <c r="AN2012">
        <v>0.99999999824610997</v>
      </c>
    </row>
    <row r="2013" spans="1:40" x14ac:dyDescent="0.25">
      <c r="A2013" t="str">
        <f>"20190303170802262"</f>
        <v>20190303170802262</v>
      </c>
      <c r="B2013" t="str">
        <f>"1551604082254917"</f>
        <v>1551604082254917</v>
      </c>
      <c r="C2013" t="s">
        <v>40</v>
      </c>
      <c r="D2013">
        <v>3.6666289999999999</v>
      </c>
      <c r="E2013">
        <v>0.37839600000000001</v>
      </c>
      <c r="F2013" t="s">
        <v>70</v>
      </c>
      <c r="G2013">
        <v>-512.82579999999996</v>
      </c>
      <c r="H2013">
        <v>1.92014</v>
      </c>
      <c r="I2013">
        <v>239.57300000000001</v>
      </c>
      <c r="J2013">
        <v>-489.21350000000001</v>
      </c>
      <c r="K2013">
        <v>1.132512</v>
      </c>
      <c r="L2013">
        <v>278.46879999999999</v>
      </c>
      <c r="M2013">
        <v>-0.76906450000000004</v>
      </c>
      <c r="N2013">
        <v>-1.5960479999999999E-2</v>
      </c>
      <c r="O2013">
        <v>-0.63897199999999998</v>
      </c>
      <c r="P2013">
        <v>-0.68116949999999998</v>
      </c>
      <c r="Q2013">
        <v>0.1825088</v>
      </c>
      <c r="R2013">
        <v>-0.70901289999999995</v>
      </c>
      <c r="S2013">
        <v>-1.624695</v>
      </c>
      <c r="T2013">
        <v>5.3856609999999999E-2</v>
      </c>
      <c r="U2013">
        <v>-2.6686709999999998</v>
      </c>
      <c r="V2013">
        <v>-0.11547499999999999</v>
      </c>
      <c r="W2013">
        <v>0.19496260000000001</v>
      </c>
      <c r="X2013">
        <v>0.97398929999999995</v>
      </c>
      <c r="Y2013">
        <v>-0.3248529</v>
      </c>
      <c r="Z2013">
        <v>-2.104731E-2</v>
      </c>
      <c r="AA2013">
        <v>0.94553039999999999</v>
      </c>
      <c r="AB2013">
        <v>28</v>
      </c>
      <c r="AC2013">
        <v>-23.612299999999902</v>
      </c>
      <c r="AD2013">
        <v>0.78762799999999999</v>
      </c>
      <c r="AE2013">
        <v>-38.895800000000001</v>
      </c>
      <c r="AF2013">
        <v>-14.8232264831181</v>
      </c>
      <c r="AG2013">
        <v>0.78762799999999999</v>
      </c>
      <c r="AH2013">
        <v>43.005299292474</v>
      </c>
      <c r="AI2013">
        <v>89.008024725436201</v>
      </c>
      <c r="AJ2013">
        <v>109.018238692129</v>
      </c>
      <c r="AK2013">
        <v>45.495100488640098</v>
      </c>
      <c r="AL2013">
        <v>78.757461473344193</v>
      </c>
      <c r="AM2013">
        <v>96.761356953104496</v>
      </c>
      <c r="AN2013">
        <v>1.00000002376912</v>
      </c>
    </row>
    <row r="2014" spans="1:40" x14ac:dyDescent="0.25">
      <c r="A2014" t="str">
        <f>"20190303170802275"</f>
        <v>20190303170802275</v>
      </c>
      <c r="B2014" t="str">
        <f>"1551604082264677"</f>
        <v>1551604082264677</v>
      </c>
      <c r="C2014" t="s">
        <v>40</v>
      </c>
      <c r="D2014">
        <v>3.6798289999999998</v>
      </c>
      <c r="E2014">
        <v>0.36907689999999999</v>
      </c>
      <c r="F2014" t="s">
        <v>70</v>
      </c>
      <c r="G2014">
        <v>-512.82619999999997</v>
      </c>
      <c r="H2014">
        <v>3.221333</v>
      </c>
      <c r="I2014">
        <v>229.17339999999999</v>
      </c>
      <c r="J2014">
        <v>-489.3304</v>
      </c>
      <c r="K2014">
        <v>1.132512</v>
      </c>
      <c r="L2014">
        <v>278.36110000000002</v>
      </c>
      <c r="M2014">
        <v>-0.76363329999999996</v>
      </c>
      <c r="N2014">
        <v>-1.5966359999999999E-2</v>
      </c>
      <c r="O2014">
        <v>-0.64545319999999995</v>
      </c>
      <c r="P2014">
        <v>-0.67426830000000004</v>
      </c>
      <c r="Q2014">
        <v>0.1832587</v>
      </c>
      <c r="R2014">
        <v>-0.71538729999999995</v>
      </c>
      <c r="S2014">
        <v>-1.3777469999999901</v>
      </c>
      <c r="T2014">
        <v>0.1218809</v>
      </c>
      <c r="U2014">
        <v>-2.8762509999999999</v>
      </c>
      <c r="V2014">
        <v>-0.11655069999999999</v>
      </c>
      <c r="W2014">
        <v>0.19568459999999999</v>
      </c>
      <c r="X2014">
        <v>0.97371629999999998</v>
      </c>
      <c r="Y2014">
        <v>-0.41029880000000002</v>
      </c>
      <c r="Z2014">
        <v>-3.1309940000000001E-2</v>
      </c>
      <c r="AA2014">
        <v>0.91141349999999999</v>
      </c>
      <c r="AB2014">
        <v>28</v>
      </c>
      <c r="AC2014">
        <v>-23.4957999999999</v>
      </c>
      <c r="AD2014">
        <v>2.0888209999999998</v>
      </c>
      <c r="AE2014">
        <v>-49.1877</v>
      </c>
      <c r="AF2014">
        <v>-22.3659341201754</v>
      </c>
      <c r="AG2014">
        <v>2.0888209999999998</v>
      </c>
      <c r="AH2014">
        <v>49.623988916091399</v>
      </c>
      <c r="AI2014">
        <v>87.802335227093593</v>
      </c>
      <c r="AJ2014">
        <v>114.26147571787401</v>
      </c>
      <c r="AK2014">
        <v>54.471446264831599</v>
      </c>
      <c r="AL2014">
        <v>78.7152809920659</v>
      </c>
      <c r="AM2014">
        <v>96.8256458624234</v>
      </c>
      <c r="AN2014">
        <v>0.99999998061666895</v>
      </c>
    </row>
    <row r="2015" spans="1:40" x14ac:dyDescent="0.25">
      <c r="A2015" t="str">
        <f>"20190303170802290"</f>
        <v>20190303170802290</v>
      </c>
      <c r="B2015" t="str">
        <f>"1551604082285173"</f>
        <v>1551604082285173</v>
      </c>
      <c r="C2015" t="s">
        <v>40</v>
      </c>
      <c r="D2015">
        <v>3.6441370000000002</v>
      </c>
      <c r="E2015">
        <v>0.3592146</v>
      </c>
      <c r="F2015" t="s">
        <v>41</v>
      </c>
      <c r="G2015">
        <v>-502.14429999999999</v>
      </c>
      <c r="H2015">
        <v>2.6964790000000001</v>
      </c>
      <c r="I2015">
        <v>249.28110000000001</v>
      </c>
      <c r="J2015">
        <v>-489.45659999999998</v>
      </c>
      <c r="K2015">
        <v>1.1325080000000001</v>
      </c>
      <c r="L2015">
        <v>278.2432</v>
      </c>
      <c r="M2015">
        <v>-0.75766630000000001</v>
      </c>
      <c r="N2015">
        <v>-1.597202E-2</v>
      </c>
      <c r="O2015">
        <v>-0.65244690000000005</v>
      </c>
      <c r="P2015">
        <v>-0.66719050000000002</v>
      </c>
      <c r="Q2015">
        <v>0.183868</v>
      </c>
      <c r="R2015">
        <v>-0.72183779999999997</v>
      </c>
      <c r="S2015">
        <v>-1.292999</v>
      </c>
      <c r="T2015">
        <v>0.15781400000000001</v>
      </c>
      <c r="U2015">
        <v>-2.9343569999999999</v>
      </c>
      <c r="V2015">
        <v>-0.1170861</v>
      </c>
      <c r="W2015">
        <v>0.1962836</v>
      </c>
      <c r="X2015">
        <v>0.97353149999999999</v>
      </c>
      <c r="Y2015">
        <v>-0.4308052</v>
      </c>
      <c r="Z2015">
        <v>-3.6794979999999998E-2</v>
      </c>
      <c r="AA2015">
        <v>0.90169449999999995</v>
      </c>
      <c r="AB2015">
        <v>28</v>
      </c>
      <c r="AC2015">
        <v>-12.6877</v>
      </c>
      <c r="AD2015">
        <v>1.563971</v>
      </c>
      <c r="AE2015">
        <v>-28.9620999999999</v>
      </c>
      <c r="AF2015">
        <v>-13.6339420786076</v>
      </c>
      <c r="AG2015">
        <v>1.563971</v>
      </c>
      <c r="AH2015">
        <v>28.443320391491401</v>
      </c>
      <c r="AI2015">
        <v>87.161397454916397</v>
      </c>
      <c r="AJ2015">
        <v>115.61013423303299</v>
      </c>
      <c r="AK2015">
        <v>31.5808938566453</v>
      </c>
      <c r="AL2015">
        <v>78.6802822407885</v>
      </c>
      <c r="AM2015">
        <v>96.857992231002598</v>
      </c>
      <c r="AN2015">
        <v>0.99999999396720995</v>
      </c>
    </row>
    <row r="2016" spans="1:40" x14ac:dyDescent="0.25">
      <c r="A2016" t="str">
        <f>"20190303170802306"</f>
        <v>20190303170802306</v>
      </c>
      <c r="B2016" t="str">
        <f>"1551604082294933"</f>
        <v>1551604082294933</v>
      </c>
      <c r="C2016" t="s">
        <v>40</v>
      </c>
      <c r="D2016">
        <v>3.7325140000000001</v>
      </c>
      <c r="E2016">
        <v>0.35885709999999998</v>
      </c>
      <c r="F2016" t="s">
        <v>70</v>
      </c>
      <c r="G2016">
        <v>-511.96019999999999</v>
      </c>
      <c r="H2016">
        <v>4.6847219999999998</v>
      </c>
      <c r="I2016">
        <v>222.28800000000001</v>
      </c>
      <c r="J2016">
        <v>-489.60969999999998</v>
      </c>
      <c r="K2016">
        <v>1.1324970000000001</v>
      </c>
      <c r="L2016">
        <v>278.09629999999999</v>
      </c>
      <c r="M2016">
        <v>-0.7502375</v>
      </c>
      <c r="N2016">
        <v>-1.5977129999999999E-2</v>
      </c>
      <c r="O2016">
        <v>-0.66097550000000005</v>
      </c>
      <c r="P2016">
        <v>-0.6577693</v>
      </c>
      <c r="Q2016">
        <v>0.18496940000000001</v>
      </c>
      <c r="R2016">
        <v>-0.73015479999999999</v>
      </c>
      <c r="S2016">
        <v>-1.204315</v>
      </c>
      <c r="T2016">
        <v>0.19010450000000001</v>
      </c>
      <c r="U2016">
        <v>-2.994507</v>
      </c>
      <c r="V2016">
        <v>-0.1185262</v>
      </c>
      <c r="W2016">
        <v>0.1973472</v>
      </c>
      <c r="X2016">
        <v>0.97314210000000001</v>
      </c>
      <c r="Y2016">
        <v>-0.45006869999999999</v>
      </c>
      <c r="Z2016">
        <v>-4.1781680000000002E-2</v>
      </c>
      <c r="AA2016">
        <v>0.89201589999999997</v>
      </c>
      <c r="AB2016">
        <v>28</v>
      </c>
      <c r="AC2016">
        <v>-22.3505</v>
      </c>
      <c r="AD2016">
        <v>3.552225</v>
      </c>
      <c r="AE2016">
        <v>-55.808300000000003</v>
      </c>
      <c r="AF2016">
        <v>-27.005516096218798</v>
      </c>
      <c r="AG2016">
        <v>3.552225</v>
      </c>
      <c r="AH2016">
        <v>53.476240037937401</v>
      </c>
      <c r="AI2016">
        <v>86.606656657779993</v>
      </c>
      <c r="AJ2016">
        <v>116.793788329468</v>
      </c>
      <c r="AK2016">
        <v>60.013535562145101</v>
      </c>
      <c r="AL2016">
        <v>78.618126351574901</v>
      </c>
      <c r="AM2016">
        <v>96.944274548014505</v>
      </c>
      <c r="AN2016">
        <v>0.99999996211334397</v>
      </c>
    </row>
    <row r="2017" spans="1:40" x14ac:dyDescent="0.25">
      <c r="A2017" t="str">
        <f>"20190303170802330"</f>
        <v>20190303170802330</v>
      </c>
      <c r="B2017" t="str">
        <f>"1551604082325188"</f>
        <v>1551604082325188</v>
      </c>
      <c r="C2017" t="s">
        <v>40</v>
      </c>
      <c r="D2017">
        <v>3.7934350000000001</v>
      </c>
      <c r="E2017">
        <v>0.35845359999999998</v>
      </c>
      <c r="F2017" t="s">
        <v>70</v>
      </c>
      <c r="G2017">
        <v>-511.96019999999999</v>
      </c>
      <c r="H2017">
        <v>4.6625649999999998</v>
      </c>
      <c r="I2017">
        <v>220.28710000000001</v>
      </c>
      <c r="J2017">
        <v>-489.81580000000002</v>
      </c>
      <c r="K2017">
        <v>1.1324780000000001</v>
      </c>
      <c r="L2017">
        <v>277.89370000000002</v>
      </c>
      <c r="M2017">
        <v>-0.73995540000000004</v>
      </c>
      <c r="N2017">
        <v>-1.5982449999999999E-2</v>
      </c>
      <c r="O2017">
        <v>-0.67246600000000001</v>
      </c>
      <c r="P2017">
        <v>-0.64560509999999904</v>
      </c>
      <c r="Q2017">
        <v>0.18562600000000001</v>
      </c>
      <c r="R2017">
        <v>-0.74076779999999998</v>
      </c>
      <c r="S2017">
        <v>-1.164825</v>
      </c>
      <c r="T2017">
        <v>0.18397640000000001</v>
      </c>
      <c r="U2017">
        <v>-3.0127869999999999</v>
      </c>
      <c r="V2017">
        <v>-0.1195035</v>
      </c>
      <c r="W2017">
        <v>0.19798289999999999</v>
      </c>
      <c r="X2017">
        <v>0.97289349999999997</v>
      </c>
      <c r="Y2017">
        <v>-0.44828659999999998</v>
      </c>
      <c r="Z2017">
        <v>-4.1821410000000003E-2</v>
      </c>
      <c r="AA2017">
        <v>0.89291100000000001</v>
      </c>
      <c r="AB2017">
        <v>28</v>
      </c>
      <c r="AC2017">
        <v>-22.144399999999901</v>
      </c>
      <c r="AD2017">
        <v>3.530087</v>
      </c>
      <c r="AE2017">
        <v>-57.6066</v>
      </c>
      <c r="AF2017">
        <v>-27.6480464922099</v>
      </c>
      <c r="AG2017">
        <v>3.530087</v>
      </c>
      <c r="AH2017">
        <v>54.951606808184501</v>
      </c>
      <c r="AI2017">
        <v>86.715637706087804</v>
      </c>
      <c r="AJ2017">
        <v>116.70854359378001</v>
      </c>
      <c r="AK2017">
        <v>61.616191702054103</v>
      </c>
      <c r="AL2017">
        <v>78.580971206922797</v>
      </c>
      <c r="AM2017">
        <v>97.002738338501899</v>
      </c>
      <c r="AN2017">
        <v>1.00000003877345</v>
      </c>
    </row>
    <row r="2018" spans="1:40" x14ac:dyDescent="0.25">
      <c r="A2018" t="str">
        <f>"20190303170802340"</f>
        <v>20190303170802340</v>
      </c>
      <c r="B2018" t="str">
        <f>"1551604082334949"</f>
        <v>1551604082334949</v>
      </c>
      <c r="C2018" t="s">
        <v>40</v>
      </c>
      <c r="D2018">
        <v>3.8542640000000001</v>
      </c>
      <c r="E2018">
        <v>0.35850670000000001</v>
      </c>
      <c r="F2018" t="s">
        <v>75</v>
      </c>
      <c r="G2018">
        <v>-514.57730000000004</v>
      </c>
      <c r="H2018">
        <v>5.0768079999999998</v>
      </c>
      <c r="I2018">
        <v>210.4255</v>
      </c>
      <c r="J2018">
        <v>-489.91890000000001</v>
      </c>
      <c r="K2018">
        <v>1.132458</v>
      </c>
      <c r="L2018">
        <v>277.7894</v>
      </c>
      <c r="M2018">
        <v>-0.73466769999999904</v>
      </c>
      <c r="N2018">
        <v>-1.598424E-2</v>
      </c>
      <c r="O2018">
        <v>-0.67823909999999998</v>
      </c>
      <c r="P2018">
        <v>-0.63962839999999999</v>
      </c>
      <c r="Q2018">
        <v>0.18523500000000001</v>
      </c>
      <c r="R2018">
        <v>-0.74603209999999998</v>
      </c>
      <c r="S2018">
        <v>-1.1137699999999999</v>
      </c>
      <c r="T2018">
        <v>0.1774174</v>
      </c>
      <c r="U2018">
        <v>-3.0346980000000001</v>
      </c>
      <c r="V2018">
        <v>-0.1197646</v>
      </c>
      <c r="W2018">
        <v>0.19758980000000001</v>
      </c>
      <c r="X2018">
        <v>0.97294130000000001</v>
      </c>
      <c r="Y2018">
        <v>-0.45658359999999898</v>
      </c>
      <c r="Z2018">
        <v>-4.1113320000000002E-2</v>
      </c>
      <c r="AA2018">
        <v>0.88873009999999997</v>
      </c>
      <c r="AB2018">
        <v>28</v>
      </c>
      <c r="AC2018">
        <v>-24.6584</v>
      </c>
      <c r="AD2018">
        <v>3.94435</v>
      </c>
      <c r="AE2018">
        <v>-67.363900000000001</v>
      </c>
      <c r="AF2018">
        <v>-32.671194325873998</v>
      </c>
      <c r="AG2018">
        <v>3.94435</v>
      </c>
      <c r="AH2018">
        <v>63.620354643405499</v>
      </c>
      <c r="AI2018">
        <v>86.843270548214704</v>
      </c>
      <c r="AJ2018">
        <v>117.18202505476</v>
      </c>
      <c r="AK2018">
        <v>71.627608926685596</v>
      </c>
      <c r="AL2018">
        <v>78.603947990385706</v>
      </c>
      <c r="AM2018">
        <v>97.017544682053597</v>
      </c>
      <c r="AN2018">
        <v>1.0000000308614401</v>
      </c>
    </row>
    <row r="2019" spans="1:40" x14ac:dyDescent="0.25">
      <c r="A2019" t="str">
        <f>"20190303170802352"</f>
        <v>20190303170802352</v>
      </c>
      <c r="B2019" t="str">
        <f>"1551604082344709"</f>
        <v>1551604082344709</v>
      </c>
      <c r="C2019" t="s">
        <v>40</v>
      </c>
      <c r="D2019">
        <v>3.8445420000000001</v>
      </c>
      <c r="E2019">
        <v>0.35871330000000001</v>
      </c>
      <c r="F2019" t="s">
        <v>75</v>
      </c>
      <c r="G2019">
        <v>-514.02480000000003</v>
      </c>
      <c r="H2019">
        <v>4.996143</v>
      </c>
      <c r="I2019">
        <v>210.4255</v>
      </c>
      <c r="J2019">
        <v>-490.0129</v>
      </c>
      <c r="K2019">
        <v>1.1324459999999901</v>
      </c>
      <c r="L2019">
        <v>277.69349999999997</v>
      </c>
      <c r="M2019">
        <v>-0.7297863</v>
      </c>
      <c r="N2019">
        <v>-1.5985699999999999E-2</v>
      </c>
      <c r="O2019">
        <v>-0.6834886</v>
      </c>
      <c r="P2019">
        <v>-0.63415759999999999</v>
      </c>
      <c r="Q2019">
        <v>0.18467130000000001</v>
      </c>
      <c r="R2019">
        <v>-0.75082709999999997</v>
      </c>
      <c r="S2019">
        <v>-1.089294</v>
      </c>
      <c r="T2019">
        <v>0.174593</v>
      </c>
      <c r="U2019">
        <v>-3.044006</v>
      </c>
      <c r="V2019">
        <v>-0.11998399999999999</v>
      </c>
      <c r="W2019">
        <v>0.1970256</v>
      </c>
      <c r="X2019">
        <v>0.97302869999999997</v>
      </c>
      <c r="Y2019">
        <v>-0.45739659999999899</v>
      </c>
      <c r="Z2019">
        <v>-4.1073720000000001E-2</v>
      </c>
      <c r="AA2019">
        <v>0.88831380000000004</v>
      </c>
      <c r="AB2019">
        <v>28</v>
      </c>
      <c r="AC2019">
        <v>-24.011900000000001</v>
      </c>
      <c r="AD2019">
        <v>3.8636970000000002</v>
      </c>
      <c r="AE2019">
        <v>-67.267999999999901</v>
      </c>
      <c r="AF2019">
        <v>-32.588217537029699</v>
      </c>
      <c r="AG2019">
        <v>3.8636970000000002</v>
      </c>
      <c r="AH2019">
        <v>63.323277497892597</v>
      </c>
      <c r="AI2019">
        <v>86.894598029584202</v>
      </c>
      <c r="AJ2019">
        <v>117.231823346113</v>
      </c>
      <c r="AK2019">
        <v>71.321508325495302</v>
      </c>
      <c r="AL2019">
        <v>78.636922705104993</v>
      </c>
      <c r="AM2019">
        <v>97.029646622793194</v>
      </c>
      <c r="AN2019">
        <v>1.0000000491675201</v>
      </c>
    </row>
    <row r="2020" spans="1:40" x14ac:dyDescent="0.25">
      <c r="A2020" t="str">
        <f>"20190303170802367"</f>
        <v>20190303170802367</v>
      </c>
      <c r="B2020" t="str">
        <f>"1551604082354469"</f>
        <v>1551604082354469</v>
      </c>
      <c r="C2020" t="s">
        <v>40</v>
      </c>
      <c r="D2020">
        <v>3.825062</v>
      </c>
      <c r="E2020">
        <v>0.3587553</v>
      </c>
      <c r="F2020" t="s">
        <v>75</v>
      </c>
      <c r="G2020">
        <v>-513.55529999999999</v>
      </c>
      <c r="H2020">
        <v>4.9237690000000001</v>
      </c>
      <c r="I2020">
        <v>210.4255</v>
      </c>
      <c r="J2020">
        <v>-490.1354</v>
      </c>
      <c r="K2020">
        <v>1.1324320000000001</v>
      </c>
      <c r="L2020">
        <v>277.56610000000001</v>
      </c>
      <c r="M2020">
        <v>-0.72330300000000003</v>
      </c>
      <c r="N2020">
        <v>-1.5986899999999998E-2</v>
      </c>
      <c r="O2020">
        <v>-0.69034580000000001</v>
      </c>
      <c r="P2020">
        <v>-0.62677260000000001</v>
      </c>
      <c r="Q2020">
        <v>0.184198</v>
      </c>
      <c r="R2020">
        <v>-0.75711809999999902</v>
      </c>
      <c r="S2020">
        <v>-1.0679320000000001</v>
      </c>
      <c r="T2020">
        <v>0.17198359999999999</v>
      </c>
      <c r="U2020">
        <v>-3.0513919999999999</v>
      </c>
      <c r="V2020">
        <v>-0.12039619999999999</v>
      </c>
      <c r="W2020">
        <v>0.1965459</v>
      </c>
      <c r="X2020">
        <v>0.97307469999999996</v>
      </c>
      <c r="Y2020">
        <v>-0.45520909999999898</v>
      </c>
      <c r="Z2020">
        <v>-4.123578E-2</v>
      </c>
      <c r="AA2020">
        <v>0.88942919999999903</v>
      </c>
      <c r="AB2020">
        <v>28</v>
      </c>
      <c r="AC2020">
        <v>-23.419899999999899</v>
      </c>
      <c r="AD2020">
        <v>3.791337</v>
      </c>
      <c r="AE2020">
        <v>-67.140600000000006</v>
      </c>
      <c r="AF2020">
        <v>-32.3074623074614</v>
      </c>
      <c r="AG2020">
        <v>3.791337</v>
      </c>
      <c r="AH2020">
        <v>63.118566346817303</v>
      </c>
      <c r="AI2020">
        <v>86.939334480831704</v>
      </c>
      <c r="AJ2020">
        <v>117.105797885276</v>
      </c>
      <c r="AK2020">
        <v>71.007744469692895</v>
      </c>
      <c r="AL2020">
        <v>78.664954535289894</v>
      </c>
      <c r="AM2020">
        <v>97.053223739950894</v>
      </c>
      <c r="AN2020">
        <v>0.99999995378066797</v>
      </c>
    </row>
    <row r="2021" spans="1:40" x14ac:dyDescent="0.25">
      <c r="A2021" t="str">
        <f>"20190303170802386"</f>
        <v>20190303170802386</v>
      </c>
      <c r="B2021" t="str">
        <f>"1551604082374965"</f>
        <v>1551604082374965</v>
      </c>
      <c r="C2021" t="s">
        <v>40</v>
      </c>
      <c r="D2021">
        <v>3.8662139999999998</v>
      </c>
      <c r="E2021">
        <v>0.35921209999999998</v>
      </c>
      <c r="F2021" t="s">
        <v>75</v>
      </c>
      <c r="G2021">
        <v>-512.91989999999998</v>
      </c>
      <c r="H2021">
        <v>4.8416399999999999</v>
      </c>
      <c r="I2021">
        <v>210.4255</v>
      </c>
      <c r="J2021">
        <v>-490.29669999999999</v>
      </c>
      <c r="K2021">
        <v>1.1324160000000001</v>
      </c>
      <c r="L2021">
        <v>277.39449999999999</v>
      </c>
      <c r="M2021">
        <v>-0.71455999999999997</v>
      </c>
      <c r="N2021">
        <v>-1.5987589999999999E-2</v>
      </c>
      <c r="O2021">
        <v>-0.69939130000000005</v>
      </c>
      <c r="P2021">
        <v>-0.61621110000000001</v>
      </c>
      <c r="Q2021">
        <v>0.184387</v>
      </c>
      <c r="R2021">
        <v>-0.7656927</v>
      </c>
      <c r="S2021">
        <v>-1.0388489999999999</v>
      </c>
      <c r="T2021">
        <v>0.16912079999999999</v>
      </c>
      <c r="U2021">
        <v>-3.0612180000000002</v>
      </c>
      <c r="V2021">
        <v>-0.12161669999999999</v>
      </c>
      <c r="W2021">
        <v>0.19670480000000001</v>
      </c>
      <c r="X2021">
        <v>0.9728909</v>
      </c>
      <c r="Y2021">
        <v>-0.45244699999999999</v>
      </c>
      <c r="Z2021">
        <v>-4.1518480000000003E-2</v>
      </c>
      <c r="AA2021">
        <v>0.89082430000000001</v>
      </c>
      <c r="AB2021">
        <v>28</v>
      </c>
      <c r="AC2021">
        <v>-22.623200000000001</v>
      </c>
      <c r="AD2021">
        <v>3.7092239999999999</v>
      </c>
      <c r="AE2021">
        <v>-66.968999999999994</v>
      </c>
      <c r="AF2021">
        <v>-31.9470307057422</v>
      </c>
      <c r="AG2021">
        <v>3.7092239999999999</v>
      </c>
      <c r="AH2021">
        <v>62.8382042896136</v>
      </c>
      <c r="AI2021">
        <v>86.987966322898501</v>
      </c>
      <c r="AJ2021">
        <v>116.948847218476</v>
      </c>
      <c r="AK2021">
        <v>70.590445755350203</v>
      </c>
      <c r="AL2021">
        <v>78.655670094482304</v>
      </c>
      <c r="AM2021">
        <v>97.125325850362699</v>
      </c>
      <c r="AN2021">
        <v>1.0000000516823599</v>
      </c>
    </row>
    <row r="2022" spans="1:40" x14ac:dyDescent="0.25">
      <c r="A2022" t="str">
        <f>"20190303170802408"</f>
        <v>20190303170802408</v>
      </c>
      <c r="B2022" t="str">
        <f>"1551604082404244"</f>
        <v>1551604082404244</v>
      </c>
      <c r="C2022" t="s">
        <v>40</v>
      </c>
      <c r="D2022">
        <v>3.8103919999999998</v>
      </c>
      <c r="E2022">
        <v>0.35950120000000002</v>
      </c>
      <c r="F2022" t="s">
        <v>75</v>
      </c>
      <c r="G2022">
        <v>-512.06479999999999</v>
      </c>
      <c r="H2022">
        <v>4.7536889999999996</v>
      </c>
      <c r="I2022">
        <v>210.4254</v>
      </c>
      <c r="J2022">
        <v>-490.48200000000003</v>
      </c>
      <c r="K2022">
        <v>1.132414</v>
      </c>
      <c r="L2022">
        <v>277.19229999999999</v>
      </c>
      <c r="M2022">
        <v>-0.70423100000000005</v>
      </c>
      <c r="N2022">
        <v>-1.5987350000000001E-2</v>
      </c>
      <c r="O2022">
        <v>-0.7097909</v>
      </c>
      <c r="P2022">
        <v>-0.60460649999999905</v>
      </c>
      <c r="Q2022">
        <v>0.186477</v>
      </c>
      <c r="R2022">
        <v>-0.77438839999999998</v>
      </c>
      <c r="S2022">
        <v>-0.99917599999999995</v>
      </c>
      <c r="T2022">
        <v>0.16622100000000001</v>
      </c>
      <c r="U2022">
        <v>-3.0739139999999998</v>
      </c>
      <c r="V2022">
        <v>-0.12170540000000001</v>
      </c>
      <c r="W2022">
        <v>0.19879330000000001</v>
      </c>
      <c r="X2022">
        <v>0.97245510000000002</v>
      </c>
      <c r="Y2022">
        <v>-0.450849</v>
      </c>
      <c r="Z2022">
        <v>-4.1860969999999997E-2</v>
      </c>
      <c r="AA2022">
        <v>0.89161809999999997</v>
      </c>
      <c r="AB2022">
        <v>28</v>
      </c>
      <c r="AC2022">
        <v>-21.582799999999999</v>
      </c>
      <c r="AD2022">
        <v>3.6212749999999998</v>
      </c>
      <c r="AE2022">
        <v>-66.766899999999893</v>
      </c>
      <c r="AF2022">
        <v>-31.619880874876099</v>
      </c>
      <c r="AG2022">
        <v>3.6212749999999998</v>
      </c>
      <c r="AH2022">
        <v>62.431534255547398</v>
      </c>
      <c r="AI2022">
        <v>87.037835652849694</v>
      </c>
      <c r="AJ2022">
        <v>116.860978705986</v>
      </c>
      <c r="AK2022">
        <v>70.075865807484405</v>
      </c>
      <c r="AL2022">
        <v>78.533596057881894</v>
      </c>
      <c r="AM2022">
        <v>97.133631730813093</v>
      </c>
      <c r="AN2022">
        <v>0.99999995101502803</v>
      </c>
    </row>
    <row r="2023" spans="1:40" x14ac:dyDescent="0.25">
      <c r="A2023" t="str">
        <f>"20190303170802422"</f>
        <v>20190303170802422</v>
      </c>
      <c r="B2023" t="str">
        <f>"1551604082414981"</f>
        <v>1551604082414981</v>
      </c>
      <c r="C2023" t="s">
        <v>40</v>
      </c>
      <c r="D2023">
        <v>3.8343910000000001</v>
      </c>
      <c r="E2023">
        <v>0.35943979999999998</v>
      </c>
      <c r="F2023" t="s">
        <v>75</v>
      </c>
      <c r="G2023">
        <v>-511.1524</v>
      </c>
      <c r="H2023">
        <v>4.9252099999999999</v>
      </c>
      <c r="I2023">
        <v>210.4255</v>
      </c>
      <c r="J2023">
        <v>-490.5951</v>
      </c>
      <c r="K2023">
        <v>1.1324050000000001</v>
      </c>
      <c r="L2023">
        <v>277.06509999999997</v>
      </c>
      <c r="M2023">
        <v>-0.69774369999999997</v>
      </c>
      <c r="N2023">
        <v>-1.598654E-2</v>
      </c>
      <c r="O2023">
        <v>-0.7161691</v>
      </c>
      <c r="P2023">
        <v>-0.59740109999999902</v>
      </c>
      <c r="Q2023">
        <v>0.18722079999999999</v>
      </c>
      <c r="R2023">
        <v>-0.77978269999999905</v>
      </c>
      <c r="S2023">
        <v>-0.95538330000000005</v>
      </c>
      <c r="T2023">
        <v>0.1753043</v>
      </c>
      <c r="U2023">
        <v>-3.0859380000000001</v>
      </c>
      <c r="V2023">
        <v>-0.1217622</v>
      </c>
      <c r="W2023">
        <v>0.1995372</v>
      </c>
      <c r="X2023">
        <v>0.97229560000000004</v>
      </c>
      <c r="Y2023">
        <v>-0.45527859999999998</v>
      </c>
      <c r="Z2023">
        <v>-4.3829199999999999E-2</v>
      </c>
      <c r="AA2023">
        <v>0.88926959999999999</v>
      </c>
      <c r="AB2023">
        <v>28</v>
      </c>
      <c r="AC2023">
        <v>-20.557300000000001</v>
      </c>
      <c r="AD2023">
        <v>3.792805</v>
      </c>
      <c r="AE2023">
        <v>-66.639599999999902</v>
      </c>
      <c r="AF2023">
        <v>-31.685198459883701</v>
      </c>
      <c r="AG2023">
        <v>3.792805</v>
      </c>
      <c r="AH2023">
        <v>61.893808079772697</v>
      </c>
      <c r="AI2023">
        <v>86.877776947241998</v>
      </c>
      <c r="AJ2023">
        <v>117.10919624334799</v>
      </c>
      <c r="AK2023">
        <v>69.636058546029105</v>
      </c>
      <c r="AL2023">
        <v>78.490102130557105</v>
      </c>
      <c r="AM2023">
        <v>97.138085378411304</v>
      </c>
      <c r="AN2023">
        <v>0.999999930656017</v>
      </c>
    </row>
    <row r="2024" spans="1:40" x14ac:dyDescent="0.25">
      <c r="A2024" t="str">
        <f>"20190303170802436"</f>
        <v>20190303170802436</v>
      </c>
      <c r="B2024" t="str">
        <f>"1551604082424742"</f>
        <v>1551604082424742</v>
      </c>
      <c r="C2024" t="s">
        <v>40</v>
      </c>
      <c r="D2024">
        <v>3.831045</v>
      </c>
      <c r="E2024">
        <v>0.35951080000000002</v>
      </c>
      <c r="F2024" t="s">
        <v>75</v>
      </c>
      <c r="G2024">
        <v>-511.06029999999998</v>
      </c>
      <c r="H2024">
        <v>5.1039379999999896</v>
      </c>
      <c r="I2024">
        <v>208.73519999999999</v>
      </c>
      <c r="J2024">
        <v>-490.70569999999998</v>
      </c>
      <c r="K2024">
        <v>1.1323909999999999</v>
      </c>
      <c r="L2024">
        <v>276.93900000000002</v>
      </c>
      <c r="M2024">
        <v>-0.69129030000000002</v>
      </c>
      <c r="N2024">
        <v>-1.598552E-2</v>
      </c>
      <c r="O2024">
        <v>-0.72240039999999905</v>
      </c>
      <c r="P2024">
        <v>-0.58974389999999999</v>
      </c>
      <c r="Q2024">
        <v>0.1881419</v>
      </c>
      <c r="R2024">
        <v>-0.78536930000000005</v>
      </c>
      <c r="S2024">
        <v>-0.92669679999999999</v>
      </c>
      <c r="T2024">
        <v>0.1798382</v>
      </c>
      <c r="U2024">
        <v>-3.094055</v>
      </c>
      <c r="V2024">
        <v>-0.1224184</v>
      </c>
      <c r="W2024">
        <v>0.2004398</v>
      </c>
      <c r="X2024">
        <v>0.97202759999999999</v>
      </c>
      <c r="Y2024">
        <v>-0.4555167</v>
      </c>
      <c r="Z2024">
        <v>-4.5102910000000003E-2</v>
      </c>
      <c r="AA2024">
        <v>0.88908399999999999</v>
      </c>
      <c r="AB2024">
        <v>28</v>
      </c>
      <c r="AC2024">
        <v>-20.354600000000001</v>
      </c>
      <c r="AD2024">
        <v>3.9715469999999899</v>
      </c>
      <c r="AE2024">
        <v>-68.203800000000001</v>
      </c>
      <c r="AF2024">
        <v>-32.347882837107598</v>
      </c>
      <c r="AG2024">
        <v>3.9715469999999899</v>
      </c>
      <c r="AH2024">
        <v>63.152853462429</v>
      </c>
      <c r="AI2024">
        <v>86.796357985513197</v>
      </c>
      <c r="AJ2024">
        <v>117.122237253111</v>
      </c>
      <c r="AK2024">
        <v>71.066459107398103</v>
      </c>
      <c r="AL2024">
        <v>78.437321683853696</v>
      </c>
      <c r="AM2024">
        <v>97.1781118324472</v>
      </c>
      <c r="AN2024">
        <v>1.0000000166221701</v>
      </c>
    </row>
    <row r="2025" spans="1:40" x14ac:dyDescent="0.25">
      <c r="A2025" t="str">
        <f>"20190303170802453"</f>
        <v>20190303170802453</v>
      </c>
      <c r="B2025" t="str">
        <f>"1551604082444260"</f>
        <v>1551604082444260</v>
      </c>
      <c r="C2025" t="s">
        <v>40</v>
      </c>
      <c r="D2025">
        <v>3.910361</v>
      </c>
      <c r="E2025">
        <v>0.3599001</v>
      </c>
      <c r="F2025" t="s">
        <v>75</v>
      </c>
      <c r="G2025">
        <v>-511.92700000000002</v>
      </c>
      <c r="H2025">
        <v>5.5124129999999996</v>
      </c>
      <c r="I2025">
        <v>203.5256</v>
      </c>
      <c r="J2025">
        <v>-490.8424</v>
      </c>
      <c r="K2025">
        <v>1.1323730000000001</v>
      </c>
      <c r="L2025">
        <v>276.78019999999998</v>
      </c>
      <c r="M2025">
        <v>-0.68315109999999901</v>
      </c>
      <c r="N2025">
        <v>-1.5983810000000001E-2</v>
      </c>
      <c r="O2025">
        <v>-0.73010209999999998</v>
      </c>
      <c r="P2025">
        <v>-0.58021579999999995</v>
      </c>
      <c r="Q2025">
        <v>0.18825410000000001</v>
      </c>
      <c r="R2025">
        <v>-0.79240769999999905</v>
      </c>
      <c r="S2025">
        <v>-0.89672850000000004</v>
      </c>
      <c r="T2025">
        <v>0.1850839</v>
      </c>
      <c r="U2025">
        <v>-3.1021420000000002</v>
      </c>
      <c r="V2025">
        <v>-0.1232409</v>
      </c>
      <c r="W2025">
        <v>0.2005323</v>
      </c>
      <c r="X2025">
        <v>0.97190460000000001</v>
      </c>
      <c r="Y2025">
        <v>-0.45410660000000003</v>
      </c>
      <c r="Z2025">
        <v>-4.6674399999999998E-2</v>
      </c>
      <c r="AA2025">
        <v>0.88972399999999996</v>
      </c>
      <c r="AB2025">
        <v>28</v>
      </c>
      <c r="AC2025">
        <v>-21.084599999999899</v>
      </c>
      <c r="AD2025">
        <v>4.3800399999999904</v>
      </c>
      <c r="AE2025">
        <v>-73.254599999999897</v>
      </c>
      <c r="AF2025">
        <v>-34.5404395249994</v>
      </c>
      <c r="AG2025">
        <v>4.3800399999999904</v>
      </c>
      <c r="AH2025">
        <v>67.672553529938497</v>
      </c>
      <c r="AI2025">
        <v>86.7006078534137</v>
      </c>
      <c r="AJ2025">
        <v>117.04001365488099</v>
      </c>
      <c r="AK2025">
        <v>76.103884357134703</v>
      </c>
      <c r="AL2025">
        <v>78.431912229519597</v>
      </c>
      <c r="AM2025">
        <v>97.226736577052705</v>
      </c>
      <c r="AN2025">
        <v>1.00000003713862</v>
      </c>
    </row>
    <row r="2026" spans="1:40" x14ac:dyDescent="0.25">
      <c r="A2026" t="str">
        <f>"20190303170802464"</f>
        <v>20190303170802464</v>
      </c>
      <c r="B2026" t="str">
        <f>"1551604082454997"</f>
        <v>1551604082454997</v>
      </c>
      <c r="C2026" t="s">
        <v>40</v>
      </c>
      <c r="D2026">
        <v>3.9545270000000001</v>
      </c>
      <c r="E2026">
        <v>0.36027940000000003</v>
      </c>
      <c r="F2026" t="s">
        <v>75</v>
      </c>
      <c r="G2026">
        <v>-511.06849999999997</v>
      </c>
      <c r="H2026">
        <v>5.5253459999999999</v>
      </c>
      <c r="I2026">
        <v>203.75839999999999</v>
      </c>
      <c r="J2026">
        <v>-490.94170000000003</v>
      </c>
      <c r="K2026">
        <v>1.1323559999999999</v>
      </c>
      <c r="L2026">
        <v>276.66230000000002</v>
      </c>
      <c r="M2026">
        <v>-0.67711060000000001</v>
      </c>
      <c r="N2026">
        <v>-1.5982150000000001E-2</v>
      </c>
      <c r="O2026">
        <v>-0.73570769999999996</v>
      </c>
      <c r="P2026">
        <v>-0.57372780000000001</v>
      </c>
      <c r="Q2026">
        <v>0.1877288</v>
      </c>
      <c r="R2026">
        <v>-0.79724200000000001</v>
      </c>
      <c r="S2026">
        <v>-0.8616028</v>
      </c>
      <c r="T2026">
        <v>0.1871353</v>
      </c>
      <c r="U2026">
        <v>-3.1105960000000001</v>
      </c>
      <c r="V2026">
        <v>-0.1232265</v>
      </c>
      <c r="W2026">
        <v>0.20001140000000001</v>
      </c>
      <c r="X2026">
        <v>0.97201369999999998</v>
      </c>
      <c r="Y2026">
        <v>-0.4567214</v>
      </c>
      <c r="Z2026">
        <v>-4.7475490000000002E-2</v>
      </c>
      <c r="AA2026">
        <v>0.88834210000000002</v>
      </c>
      <c r="AB2026">
        <v>28</v>
      </c>
      <c r="AC2026">
        <v>-20.1267999999999</v>
      </c>
      <c r="AD2026">
        <v>4.3929900000000002</v>
      </c>
      <c r="AE2026">
        <v>-72.903899999999993</v>
      </c>
      <c r="AF2026">
        <v>-34.444765969980899</v>
      </c>
      <c r="AG2026">
        <v>4.3929900000000002</v>
      </c>
      <c r="AH2026">
        <v>67.046420783739507</v>
      </c>
      <c r="AI2026">
        <v>86.664552800178896</v>
      </c>
      <c r="AJ2026">
        <v>117.19160736511</v>
      </c>
      <c r="AK2026">
        <v>75.504720407250801</v>
      </c>
      <c r="AL2026">
        <v>78.462374111704705</v>
      </c>
      <c r="AM2026">
        <v>97.225098626750594</v>
      </c>
      <c r="AN2026">
        <v>0.99999998170994897</v>
      </c>
    </row>
    <row r="2027" spans="1:40" x14ac:dyDescent="0.25">
      <c r="A2027" t="str">
        <f>"20190303170802477"</f>
        <v>20190303170802477</v>
      </c>
      <c r="B2027" t="str">
        <f>"1551604082464758"</f>
        <v>1551604082464758</v>
      </c>
      <c r="C2027" t="s">
        <v>40</v>
      </c>
      <c r="D2027">
        <v>3.9536739999999999</v>
      </c>
      <c r="E2027">
        <v>0.36058079999999998</v>
      </c>
      <c r="F2027" t="s">
        <v>75</v>
      </c>
      <c r="G2027">
        <v>-510.81529999999998</v>
      </c>
      <c r="H2027">
        <v>5.5254310000000002</v>
      </c>
      <c r="I2027">
        <v>202.76179999999999</v>
      </c>
      <c r="J2027">
        <v>-491.0367</v>
      </c>
      <c r="K2027">
        <v>1.132342</v>
      </c>
      <c r="L2027">
        <v>276.54739999999998</v>
      </c>
      <c r="M2027">
        <v>-0.67121980000000003</v>
      </c>
      <c r="N2027">
        <v>-1.598041E-2</v>
      </c>
      <c r="O2027">
        <v>-0.74108609999999997</v>
      </c>
      <c r="P2027">
        <v>-0.56711020000000001</v>
      </c>
      <c r="Q2027">
        <v>0.18747530000000001</v>
      </c>
      <c r="R2027">
        <v>-0.80202189999999995</v>
      </c>
      <c r="S2027">
        <v>-0.83804319999999899</v>
      </c>
      <c r="T2027">
        <v>0.18525</v>
      </c>
      <c r="U2027">
        <v>-3.116241</v>
      </c>
      <c r="V2027">
        <v>-0.12354229999999999</v>
      </c>
      <c r="W2027">
        <v>0.19975209999999999</v>
      </c>
      <c r="X2027">
        <v>0.97202690000000003</v>
      </c>
      <c r="Y2027">
        <v>-0.456287</v>
      </c>
      <c r="Z2027">
        <v>-4.7609110000000003E-2</v>
      </c>
      <c r="AA2027">
        <v>0.88855810000000002</v>
      </c>
      <c r="AB2027">
        <v>28</v>
      </c>
      <c r="AC2027">
        <v>-19.778599999999901</v>
      </c>
      <c r="AD2027">
        <v>4.3930889999999998</v>
      </c>
      <c r="AE2027">
        <v>-73.785599999999903</v>
      </c>
      <c r="AF2027">
        <v>-34.758210654506001</v>
      </c>
      <c r="AG2027">
        <v>4.3930889999999998</v>
      </c>
      <c r="AH2027">
        <v>67.741912832916597</v>
      </c>
      <c r="AI2027">
        <v>86.697780069868301</v>
      </c>
      <c r="AJ2027">
        <v>117.162248947226</v>
      </c>
      <c r="AK2027">
        <v>76.265321038643805</v>
      </c>
      <c r="AL2027">
        <v>78.477536496471799</v>
      </c>
      <c r="AM2027">
        <v>97.243321091718897</v>
      </c>
      <c r="AN2027">
        <v>0.99999994783365298</v>
      </c>
    </row>
    <row r="2028" spans="1:40" x14ac:dyDescent="0.25">
      <c r="A2028" t="str">
        <f>"20190303170802490"</f>
        <v>20190303170802490</v>
      </c>
      <c r="B2028" t="str">
        <f>"1551604082474517"</f>
        <v>1551604082474517</v>
      </c>
      <c r="C2028" t="s">
        <v>40</v>
      </c>
      <c r="D2028">
        <v>3.9477959999999999</v>
      </c>
      <c r="E2028">
        <v>0.36091269999999998</v>
      </c>
      <c r="F2028" t="s">
        <v>75</v>
      </c>
      <c r="G2028">
        <v>-510.45389999999998</v>
      </c>
      <c r="H2028">
        <v>5.5255510000000001</v>
      </c>
      <c r="I2028">
        <v>202.12649999999999</v>
      </c>
      <c r="J2028">
        <v>-491.13510000000002</v>
      </c>
      <c r="K2028">
        <v>1.1323240000000001</v>
      </c>
      <c r="L2028">
        <v>276.42700000000002</v>
      </c>
      <c r="M2028">
        <v>-0.66502899999999998</v>
      </c>
      <c r="N2028">
        <v>-1.5978630000000001E-2</v>
      </c>
      <c r="O2028">
        <v>-0.74664649999999999</v>
      </c>
      <c r="P2028">
        <v>-0.56009240000000005</v>
      </c>
      <c r="Q2028">
        <v>0.1874593</v>
      </c>
      <c r="R2028">
        <v>-0.80694219999999905</v>
      </c>
      <c r="S2028">
        <v>-0.81445310000000004</v>
      </c>
      <c r="T2028">
        <v>0.18427360000000001</v>
      </c>
      <c r="U2028">
        <v>-3.1215519999999999</v>
      </c>
      <c r="V2028">
        <v>-0.1239272</v>
      </c>
      <c r="W2028">
        <v>0.1997283</v>
      </c>
      <c r="X2028">
        <v>0.97198280000000004</v>
      </c>
      <c r="Y2028">
        <v>-0.4555362</v>
      </c>
      <c r="Z2028">
        <v>-4.7921600000000002E-2</v>
      </c>
      <c r="AA2028">
        <v>0.88892649999999995</v>
      </c>
      <c r="AB2028">
        <v>28</v>
      </c>
      <c r="AC2028">
        <v>-19.3187999999999</v>
      </c>
      <c r="AD2028">
        <v>4.3932269999999898</v>
      </c>
      <c r="AE2028">
        <v>-74.3005</v>
      </c>
      <c r="AF2028">
        <v>-34.877926946295901</v>
      </c>
      <c r="AG2028">
        <v>4.3932269999999898</v>
      </c>
      <c r="AH2028">
        <v>68.109459287513801</v>
      </c>
      <c r="AI2028">
        <v>86.714112598519193</v>
      </c>
      <c r="AJ2028">
        <v>117.116367892721</v>
      </c>
      <c r="AK2028">
        <v>76.646387233725406</v>
      </c>
      <c r="AL2028">
        <v>78.478928253344506</v>
      </c>
      <c r="AM2028">
        <v>97.265973238331796</v>
      </c>
      <c r="AN2028">
        <v>0.99999995410828402</v>
      </c>
    </row>
    <row r="2029" spans="1:40" x14ac:dyDescent="0.25">
      <c r="A2029" t="str">
        <f>"20190303170802501"</f>
        <v>20190303170802501</v>
      </c>
      <c r="B2029" t="str">
        <f>"1551604082495013"</f>
        <v>1551604082495013</v>
      </c>
      <c r="C2029" t="s">
        <v>40</v>
      </c>
      <c r="D2029">
        <v>3.9671189999999998</v>
      </c>
      <c r="E2029">
        <v>0.36174820000000002</v>
      </c>
      <c r="F2029" t="s">
        <v>75</v>
      </c>
      <c r="G2029">
        <v>-510.17559999999997</v>
      </c>
      <c r="H2029">
        <v>5.5783719999999999</v>
      </c>
      <c r="I2029">
        <v>200.96039999999999</v>
      </c>
      <c r="J2029">
        <v>-491.2294</v>
      </c>
      <c r="K2029">
        <v>1.132307</v>
      </c>
      <c r="L2029">
        <v>276.30889999999999</v>
      </c>
      <c r="M2029">
        <v>-0.6589663</v>
      </c>
      <c r="N2029">
        <v>-1.597635E-2</v>
      </c>
      <c r="O2029">
        <v>-0.75200299999999998</v>
      </c>
      <c r="P2029">
        <v>-0.55295909999999904</v>
      </c>
      <c r="Q2029">
        <v>0.18784439999999999</v>
      </c>
      <c r="R2029">
        <v>-0.81175790000000003</v>
      </c>
      <c r="S2029">
        <v>-0.78903199999999996</v>
      </c>
      <c r="T2029">
        <v>0.18424380000000001</v>
      </c>
      <c r="U2029">
        <v>-3.1272890000000002</v>
      </c>
      <c r="V2029">
        <v>-0.1245744</v>
      </c>
      <c r="W2029">
        <v>0.200096</v>
      </c>
      <c r="X2029">
        <v>0.97182449999999998</v>
      </c>
      <c r="Y2029">
        <v>-0.45551550000000002</v>
      </c>
      <c r="Z2029">
        <v>-4.8373069999999997E-2</v>
      </c>
      <c r="AA2029">
        <v>0.8889127</v>
      </c>
      <c r="AB2029">
        <v>28</v>
      </c>
      <c r="AC2029">
        <v>-18.946199999999902</v>
      </c>
      <c r="AD2029">
        <v>4.4460649999999999</v>
      </c>
      <c r="AE2029">
        <v>-75.348500000000001</v>
      </c>
      <c r="AF2029">
        <v>-35.2934593386221</v>
      </c>
      <c r="AG2029">
        <v>4.4460649999999999</v>
      </c>
      <c r="AH2029">
        <v>68.930291181534002</v>
      </c>
      <c r="AI2029">
        <v>86.714099287411301</v>
      </c>
      <c r="AJ2029">
        <v>117.113203948302</v>
      </c>
      <c r="AK2029">
        <v>77.567910945456404</v>
      </c>
      <c r="AL2029">
        <v>78.457427381636194</v>
      </c>
      <c r="AM2029">
        <v>97.304687357577194</v>
      </c>
      <c r="AN2029">
        <v>1.0000000245758001</v>
      </c>
    </row>
    <row r="2030" spans="1:40" x14ac:dyDescent="0.25">
      <c r="A2030" t="str">
        <f>"20190303170802513"</f>
        <v>20190303170802513</v>
      </c>
      <c r="B2030" t="str">
        <f>"1551604082504774"</f>
        <v>1551604082504774</v>
      </c>
      <c r="C2030" t="s">
        <v>40</v>
      </c>
      <c r="D2030">
        <v>3.98197</v>
      </c>
      <c r="E2030">
        <v>0.36229250000000002</v>
      </c>
      <c r="F2030" t="s">
        <v>75</v>
      </c>
      <c r="G2030">
        <v>-510.17559999999997</v>
      </c>
      <c r="H2030">
        <v>5.6669830000000001</v>
      </c>
      <c r="I2030">
        <v>199.03720000000001</v>
      </c>
      <c r="J2030">
        <v>-491.31240000000003</v>
      </c>
      <c r="K2030">
        <v>1.1322920000000001</v>
      </c>
      <c r="L2030">
        <v>276.20370000000003</v>
      </c>
      <c r="M2030">
        <v>-0.65355249999999998</v>
      </c>
      <c r="N2030">
        <v>-1.5974370000000002E-2</v>
      </c>
      <c r="O2030">
        <v>-0.75671250000000001</v>
      </c>
      <c r="P2030">
        <v>-0.54681230000000003</v>
      </c>
      <c r="Q2030">
        <v>0.18833800000000001</v>
      </c>
      <c r="R2030">
        <v>-0.81579699999999999</v>
      </c>
      <c r="S2030">
        <v>-0.7675476</v>
      </c>
      <c r="T2030">
        <v>0.18370939999999999</v>
      </c>
      <c r="U2030">
        <v>-3.1304020000000001</v>
      </c>
      <c r="V2030">
        <v>-0.1248726</v>
      </c>
      <c r="W2030">
        <v>0.20058190000000001</v>
      </c>
      <c r="X2030">
        <v>0.97168600000000005</v>
      </c>
      <c r="Y2030">
        <v>-0.45508359999999898</v>
      </c>
      <c r="Z2030">
        <v>-4.8699279999999998E-2</v>
      </c>
      <c r="AA2030">
        <v>0.88911600000000002</v>
      </c>
      <c r="AB2030">
        <v>28</v>
      </c>
      <c r="AC2030">
        <v>-18.8631999999999</v>
      </c>
      <c r="AD2030">
        <v>4.5346909999999996</v>
      </c>
      <c r="AE2030">
        <v>-77.166499999999999</v>
      </c>
      <c r="AF2030">
        <v>-36.045498436320699</v>
      </c>
      <c r="AG2030">
        <v>4.5346909999999996</v>
      </c>
      <c r="AH2030">
        <v>70.500243890969301</v>
      </c>
      <c r="AI2030">
        <v>86.722236757597599</v>
      </c>
      <c r="AJ2030">
        <v>117.079838219149</v>
      </c>
      <c r="AK2030">
        <v>79.310313129343001</v>
      </c>
      <c r="AL2030">
        <v>78.429010676376393</v>
      </c>
      <c r="AM2030">
        <v>97.323015743522802</v>
      </c>
      <c r="AN2030">
        <v>0.99999997371718397</v>
      </c>
    </row>
    <row r="2031" spans="1:40" x14ac:dyDescent="0.25">
      <c r="A2031" t="str">
        <f>"20190303170802524"</f>
        <v>20190303170802524</v>
      </c>
      <c r="B2031" t="str">
        <f>"1551604082514533"</f>
        <v>1551604082514533</v>
      </c>
      <c r="C2031" t="s">
        <v>40</v>
      </c>
      <c r="D2031">
        <v>3.9701740000000001</v>
      </c>
      <c r="E2031">
        <v>0.36286030000000002</v>
      </c>
      <c r="F2031" t="s">
        <v>75</v>
      </c>
      <c r="G2031">
        <v>-510.17570000000001</v>
      </c>
      <c r="H2031">
        <v>5.7575120000000002</v>
      </c>
      <c r="I2031">
        <v>197.15209999999999</v>
      </c>
      <c r="J2031">
        <v>-491.40010000000001</v>
      </c>
      <c r="K2031">
        <v>1.13228</v>
      </c>
      <c r="L2031">
        <v>276.0908</v>
      </c>
      <c r="M2031">
        <v>-0.6477444</v>
      </c>
      <c r="N2031">
        <v>-1.5972139999999999E-2</v>
      </c>
      <c r="O2031">
        <v>-0.76169049999999905</v>
      </c>
      <c r="P2031">
        <v>-0.54015930000000001</v>
      </c>
      <c r="Q2031">
        <v>0.18869830000000001</v>
      </c>
      <c r="R2031">
        <v>-0.82013519999999895</v>
      </c>
      <c r="S2031">
        <v>-0.74780269999999904</v>
      </c>
      <c r="T2031">
        <v>0.1833603</v>
      </c>
      <c r="U2031">
        <v>-3.1338499999999998</v>
      </c>
      <c r="V2031">
        <v>-0.1252916</v>
      </c>
      <c r="W2031">
        <v>0.20093130000000001</v>
      </c>
      <c r="X2031">
        <v>0.97155990000000003</v>
      </c>
      <c r="Y2031">
        <v>-0.45379160000000002</v>
      </c>
      <c r="Z2031">
        <v>-4.9085740000000003E-2</v>
      </c>
      <c r="AA2031">
        <v>0.88975490000000002</v>
      </c>
      <c r="AB2031">
        <v>28</v>
      </c>
      <c r="AC2031">
        <v>-18.775600000000001</v>
      </c>
      <c r="AD2031">
        <v>4.6252319999999996</v>
      </c>
      <c r="AE2031">
        <v>-78.938699999999997</v>
      </c>
      <c r="AF2031">
        <v>-36.716295727273099</v>
      </c>
      <c r="AG2031">
        <v>4.6252319999999996</v>
      </c>
      <c r="AH2031">
        <v>72.063702602532899</v>
      </c>
      <c r="AI2031">
        <v>86.726950643422001</v>
      </c>
      <c r="AJ2031">
        <v>116.998740907677</v>
      </c>
      <c r="AK2031">
        <v>81.010223896571901</v>
      </c>
      <c r="AL2031">
        <v>78.408575870843706</v>
      </c>
      <c r="AM2031">
        <v>97.348262681997696</v>
      </c>
      <c r="AN2031">
        <v>1.0000000058191201</v>
      </c>
    </row>
    <row r="2032" spans="1:40" x14ac:dyDescent="0.25">
      <c r="A2032" t="str">
        <f>"20190303170802537"</f>
        <v>20190303170802537</v>
      </c>
      <c r="B2032" t="str">
        <f>"1551604082524292"</f>
        <v>1551604082524292</v>
      </c>
      <c r="C2032" t="s">
        <v>40</v>
      </c>
      <c r="D2032">
        <v>3.9920369999999998</v>
      </c>
      <c r="E2032">
        <v>0.36344359999999998</v>
      </c>
      <c r="F2032" t="s">
        <v>75</v>
      </c>
      <c r="G2032">
        <v>-510.17570000000001</v>
      </c>
      <c r="H2032">
        <v>5.8365470000000004</v>
      </c>
      <c r="I2032">
        <v>195.042</v>
      </c>
      <c r="J2032">
        <v>-491.49290000000002</v>
      </c>
      <c r="K2032">
        <v>1.1322680000000001</v>
      </c>
      <c r="L2032">
        <v>275.96899999999999</v>
      </c>
      <c r="M2032">
        <v>-0.64147310000000002</v>
      </c>
      <c r="N2032">
        <v>-1.5969509999999999E-2</v>
      </c>
      <c r="O2032">
        <v>-0.76697959999999998</v>
      </c>
      <c r="P2032">
        <v>-0.53301009999999904</v>
      </c>
      <c r="Q2032">
        <v>0.18903700000000001</v>
      </c>
      <c r="R2032">
        <v>-0.824721699999999</v>
      </c>
      <c r="S2032">
        <v>-0.72680659999999997</v>
      </c>
      <c r="T2032">
        <v>0.18210380000000001</v>
      </c>
      <c r="U2032">
        <v>-3.1373899999999999</v>
      </c>
      <c r="V2032">
        <v>-0.125717</v>
      </c>
      <c r="W2032">
        <v>0.20125960000000001</v>
      </c>
      <c r="X2032">
        <v>0.97143699999999999</v>
      </c>
      <c r="Y2032">
        <v>-0.45234809999999998</v>
      </c>
      <c r="Z2032">
        <v>-4.9328410000000003E-2</v>
      </c>
      <c r="AA2032">
        <v>0.89047619999999905</v>
      </c>
      <c r="AB2032">
        <v>28</v>
      </c>
      <c r="AC2032">
        <v>-18.682799999999901</v>
      </c>
      <c r="AD2032">
        <v>4.7042789999999997</v>
      </c>
      <c r="AE2032">
        <v>-80.926999999999893</v>
      </c>
      <c r="AF2032">
        <v>-37.467750986337698</v>
      </c>
      <c r="AG2032">
        <v>4.7042789999999997</v>
      </c>
      <c r="AH2032">
        <v>73.826455827871598</v>
      </c>
      <c r="AI2032">
        <v>86.747844800478802</v>
      </c>
      <c r="AJ2032">
        <v>116.908302450436</v>
      </c>
      <c r="AK2032">
        <v>82.923508035952807</v>
      </c>
      <c r="AL2032">
        <v>78.3893735328367</v>
      </c>
      <c r="AM2032">
        <v>97.373860540528099</v>
      </c>
      <c r="AN2032">
        <v>1.0000000178250701</v>
      </c>
    </row>
    <row r="2033" spans="1:40" x14ac:dyDescent="0.25">
      <c r="A2033" t="str">
        <f>"20190303170802552"</f>
        <v>20190303170802552</v>
      </c>
      <c r="B2033" t="str">
        <f>"1551604082544789"</f>
        <v>1551604082544789</v>
      </c>
      <c r="C2033" t="s">
        <v>40</v>
      </c>
      <c r="D2033">
        <v>4.0091190000000001</v>
      </c>
      <c r="E2033">
        <v>0.3646509</v>
      </c>
      <c r="F2033" t="s">
        <v>75</v>
      </c>
      <c r="G2033">
        <v>-510.17570000000001</v>
      </c>
      <c r="H2033">
        <v>5.943079</v>
      </c>
      <c r="I2033">
        <v>192.52119999999999</v>
      </c>
      <c r="J2033">
        <v>-491.60469999999998</v>
      </c>
      <c r="K2033">
        <v>1.1322559999999999</v>
      </c>
      <c r="L2033">
        <v>275.82010000000002</v>
      </c>
      <c r="M2033">
        <v>-0.63379129999999995</v>
      </c>
      <c r="N2033">
        <v>-1.5966259999999999E-2</v>
      </c>
      <c r="O2033">
        <v>-0.77333949999999996</v>
      </c>
      <c r="P2033">
        <v>-0.52278449999999999</v>
      </c>
      <c r="Q2033">
        <v>0.19008359999999999</v>
      </c>
      <c r="R2033">
        <v>-0.83100239999999903</v>
      </c>
      <c r="S2033">
        <v>-0.70333859999999904</v>
      </c>
      <c r="T2033">
        <v>0.18110989999999999</v>
      </c>
      <c r="U2033">
        <v>-3.1414789999999999</v>
      </c>
      <c r="V2033">
        <v>-0.12789700000000001</v>
      </c>
      <c r="W2033">
        <v>0.20224320000000001</v>
      </c>
      <c r="X2033">
        <v>0.97094800000000003</v>
      </c>
      <c r="Y2033">
        <v>-0.45003110000000002</v>
      </c>
      <c r="Z2033">
        <v>-4.9717310000000001E-2</v>
      </c>
      <c r="AA2033">
        <v>0.89162779999999997</v>
      </c>
      <c r="AB2033">
        <v>28</v>
      </c>
      <c r="AC2033">
        <v>-18.571000000000002</v>
      </c>
      <c r="AD2033">
        <v>4.8108230000000001</v>
      </c>
      <c r="AE2033">
        <v>-83.298900000000003</v>
      </c>
      <c r="AF2033">
        <v>-38.315573842238102</v>
      </c>
      <c r="AG2033">
        <v>4.8108230000000001</v>
      </c>
      <c r="AH2033">
        <v>75.956811681037607</v>
      </c>
      <c r="AI2033">
        <v>86.763431349927998</v>
      </c>
      <c r="AJ2033">
        <v>116.768155882893</v>
      </c>
      <c r="AK2033">
        <v>85.209532668275699</v>
      </c>
      <c r="AL2033">
        <v>78.331833838591507</v>
      </c>
      <c r="AM2033">
        <v>97.504017998903507</v>
      </c>
      <c r="AN2033">
        <v>0.99999998662961898</v>
      </c>
    </row>
    <row r="2034" spans="1:40" x14ac:dyDescent="0.25">
      <c r="A2034" t="str">
        <f>"20190303170802566"</f>
        <v>20190303170802566</v>
      </c>
      <c r="B2034" t="str">
        <f>"1551604082554549"</f>
        <v>1551604082554549</v>
      </c>
      <c r="C2034" t="s">
        <v>40</v>
      </c>
      <c r="D2034">
        <v>4.0036170000000002</v>
      </c>
      <c r="E2034">
        <v>0.36527989999999999</v>
      </c>
      <c r="F2034" t="s">
        <v>75</v>
      </c>
      <c r="G2034">
        <v>-510.17579999999998</v>
      </c>
      <c r="H2034">
        <v>6.0904509999999998</v>
      </c>
      <c r="I2034">
        <v>189.0949</v>
      </c>
      <c r="J2034">
        <v>-491.69929999999999</v>
      </c>
      <c r="K2034">
        <v>1.1322399999999999</v>
      </c>
      <c r="L2034">
        <v>275.69130000000001</v>
      </c>
      <c r="M2034">
        <v>-0.62714360000000002</v>
      </c>
      <c r="N2034">
        <v>-1.5963330000000001E-2</v>
      </c>
      <c r="O2034">
        <v>-0.77873999999999999</v>
      </c>
      <c r="P2034">
        <v>-0.51433660000000003</v>
      </c>
      <c r="Q2034">
        <v>0.19078410000000001</v>
      </c>
      <c r="R2034">
        <v>-0.83609750000000005</v>
      </c>
      <c r="S2034">
        <v>-0.67352290000000004</v>
      </c>
      <c r="T2034">
        <v>0.1798207</v>
      </c>
      <c r="U2034">
        <v>-3.1452640000000001</v>
      </c>
      <c r="V2034">
        <v>-0.12933259999999999</v>
      </c>
      <c r="W2034">
        <v>0.202903</v>
      </c>
      <c r="X2034">
        <v>0.97062020000000004</v>
      </c>
      <c r="Y2034">
        <v>-0.4506751</v>
      </c>
      <c r="Z2034">
        <v>-4.9936139999999997E-2</v>
      </c>
      <c r="AA2034">
        <v>0.89129029999999998</v>
      </c>
      <c r="AB2034">
        <v>28</v>
      </c>
      <c r="AC2034">
        <v>-18.476499999999898</v>
      </c>
      <c r="AD2034">
        <v>4.9582110000000004</v>
      </c>
      <c r="AE2034">
        <v>-86.596400000000003</v>
      </c>
      <c r="AF2034">
        <v>-39.80028102971</v>
      </c>
      <c r="AG2034">
        <v>4.9582110000000004</v>
      </c>
      <c r="AH2034">
        <v>78.786532812511794</v>
      </c>
      <c r="AI2034">
        <v>86.784975457248393</v>
      </c>
      <c r="AJ2034">
        <v>116.801355503831</v>
      </c>
      <c r="AK2034">
        <v>88.407940700942802</v>
      </c>
      <c r="AL2034">
        <v>78.293230587922494</v>
      </c>
      <c r="AM2034">
        <v>97.589804652692905</v>
      </c>
      <c r="AN2034">
        <v>1.00000006073989</v>
      </c>
    </row>
    <row r="2035" spans="1:40" x14ac:dyDescent="0.25">
      <c r="A2035" t="str">
        <f>"20190303170802588"</f>
        <v>20190303170802588</v>
      </c>
      <c r="B2035" t="str">
        <f>"1551604082575045"</f>
        <v>1551604082575045</v>
      </c>
      <c r="C2035" t="s">
        <v>40</v>
      </c>
      <c r="D2035">
        <v>4.021916</v>
      </c>
      <c r="E2035">
        <v>0.38824950000000003</v>
      </c>
      <c r="F2035" t="s">
        <v>75</v>
      </c>
      <c r="G2035">
        <v>-510.17579999999998</v>
      </c>
      <c r="H2035">
        <v>6.2658209999999999</v>
      </c>
      <c r="I2035">
        <v>185.68219999999999</v>
      </c>
      <c r="J2035">
        <v>-491.85340000000002</v>
      </c>
      <c r="K2035">
        <v>1.132207</v>
      </c>
      <c r="L2035">
        <v>275.47680000000003</v>
      </c>
      <c r="M2035">
        <v>-0.61606119999999898</v>
      </c>
      <c r="N2035">
        <v>-1.5958110000000001E-2</v>
      </c>
      <c r="O2035">
        <v>-0.78753689999999998</v>
      </c>
      <c r="P2035">
        <v>-0.50064470000000005</v>
      </c>
      <c r="Q2035">
        <v>0.19105330000000001</v>
      </c>
      <c r="R2035">
        <v>-0.84430689999999997</v>
      </c>
      <c r="S2035">
        <v>-0.64648439999999996</v>
      </c>
      <c r="T2035">
        <v>0.17962210000000001</v>
      </c>
      <c r="U2035">
        <v>-3.1493530000000001</v>
      </c>
      <c r="V2035">
        <v>-0.13137389999999999</v>
      </c>
      <c r="W2035">
        <v>0.20311679999999999</v>
      </c>
      <c r="X2035">
        <v>0.97030119999999997</v>
      </c>
      <c r="Y2035">
        <v>-0.44560640000000001</v>
      </c>
      <c r="Z2035">
        <v>-5.0718619999999999E-2</v>
      </c>
      <c r="AA2035">
        <v>0.89379109999999995</v>
      </c>
      <c r="AB2035">
        <v>28</v>
      </c>
      <c r="AC2035">
        <v>-18.322399999999899</v>
      </c>
      <c r="AD2035">
        <v>5.1336139999999997</v>
      </c>
      <c r="AE2035">
        <v>-89.794600000000003</v>
      </c>
      <c r="AF2035">
        <v>-40.766682411961298</v>
      </c>
      <c r="AG2035">
        <v>5.1336139999999997</v>
      </c>
      <c r="AH2035">
        <v>81.758162896802403</v>
      </c>
      <c r="AI2035">
        <v>86.783808805259596</v>
      </c>
      <c r="AJ2035">
        <v>116.502001510182</v>
      </c>
      <c r="AK2035">
        <v>91.502314658366899</v>
      </c>
      <c r="AL2035">
        <v>78.280719253438505</v>
      </c>
      <c r="AM2035">
        <v>97.710671559130603</v>
      </c>
      <c r="AN2035">
        <v>0.99999997738244395</v>
      </c>
    </row>
    <row r="2036" spans="1:40" x14ac:dyDescent="0.25">
      <c r="A2036" t="str">
        <f>"20190303170802610"</f>
        <v>20190303170802610</v>
      </c>
      <c r="B2036" t="str">
        <f>"1551604082604325"</f>
        <v>1551604082604325</v>
      </c>
      <c r="C2036" t="s">
        <v>40</v>
      </c>
      <c r="D2036">
        <v>4.0336889999999999</v>
      </c>
      <c r="E2036">
        <v>0.3904125</v>
      </c>
      <c r="F2036" t="s">
        <v>75</v>
      </c>
      <c r="G2036">
        <v>-511.92649999999998</v>
      </c>
      <c r="H2036">
        <v>4.0176280000000002</v>
      </c>
      <c r="I2036">
        <v>193.73060000000001</v>
      </c>
      <c r="J2036">
        <v>-492.00889999999998</v>
      </c>
      <c r="K2036">
        <v>1.132174</v>
      </c>
      <c r="L2036">
        <v>275.25330000000002</v>
      </c>
      <c r="M2036">
        <v>-0.6044967</v>
      </c>
      <c r="N2036">
        <v>-1.5952270000000001E-2</v>
      </c>
      <c r="O2036">
        <v>-0.79644789999999999</v>
      </c>
      <c r="P2036">
        <v>-0.48698989999999998</v>
      </c>
      <c r="Q2036">
        <v>0.19083159999999999</v>
      </c>
      <c r="R2036">
        <v>-0.85230509999999904</v>
      </c>
      <c r="S2036">
        <v>-0.75634769999999996</v>
      </c>
      <c r="T2036">
        <v>0.10872270000000001</v>
      </c>
      <c r="U2036">
        <v>-3.080139</v>
      </c>
      <c r="V2036">
        <v>-0.13283610000000001</v>
      </c>
      <c r="W2036">
        <v>0.20285819999999999</v>
      </c>
      <c r="X2036">
        <v>0.97015629999999997</v>
      </c>
      <c r="Y2036">
        <v>-0.39744010000000002</v>
      </c>
      <c r="Z2036">
        <v>-3.7692759999999999E-2</v>
      </c>
      <c r="AA2036">
        <v>0.91685369999999999</v>
      </c>
      <c r="AB2036">
        <v>28</v>
      </c>
      <c r="AC2036">
        <v>-19.9176</v>
      </c>
      <c r="AD2036">
        <v>2.8854540000000002</v>
      </c>
      <c r="AE2036">
        <v>-81.5227</v>
      </c>
      <c r="AF2036">
        <v>-33.381661394878599</v>
      </c>
      <c r="AG2036">
        <v>2.8854540000000002</v>
      </c>
      <c r="AH2036">
        <v>76.887605503082</v>
      </c>
      <c r="AI2036">
        <v>88.028439786822702</v>
      </c>
      <c r="AJ2036">
        <v>113.468644251697</v>
      </c>
      <c r="AK2036">
        <v>83.871121622797006</v>
      </c>
      <c r="AL2036">
        <v>78.295851976044005</v>
      </c>
      <c r="AM2036">
        <v>97.796592334295298</v>
      </c>
      <c r="AN2036">
        <v>1.00000006260006</v>
      </c>
    </row>
    <row r="2037" spans="1:40" x14ac:dyDescent="0.25">
      <c r="A2037" t="str">
        <f>"20190303170802622"</f>
        <v>20190303170802622</v>
      </c>
      <c r="B2037" t="str">
        <f>"1551604082615061"</f>
        <v>1551604082615061</v>
      </c>
      <c r="C2037" t="s">
        <v>40</v>
      </c>
      <c r="D2037">
        <v>3.9882759999999999</v>
      </c>
      <c r="E2037">
        <v>0.39119969999999998</v>
      </c>
      <c r="F2037" t="s">
        <v>75</v>
      </c>
      <c r="G2037">
        <v>-511.92649999999998</v>
      </c>
      <c r="H2037">
        <v>3.7827899999999999</v>
      </c>
      <c r="I2037">
        <v>190.08320000000001</v>
      </c>
      <c r="J2037">
        <v>-492.09930000000003</v>
      </c>
      <c r="K2037">
        <v>1.1321559999999999</v>
      </c>
      <c r="L2037">
        <v>275.11959999999999</v>
      </c>
      <c r="M2037">
        <v>-0.59758199999999995</v>
      </c>
      <c r="N2037">
        <v>-1.5948509999999999E-2</v>
      </c>
      <c r="O2037">
        <v>-0.80164930000000001</v>
      </c>
      <c r="P2037">
        <v>-0.47890939999999999</v>
      </c>
      <c r="Q2037">
        <v>0.19079280000000001</v>
      </c>
      <c r="R2037">
        <v>-0.85688069999999905</v>
      </c>
      <c r="S2037">
        <v>-0.72167969999999904</v>
      </c>
      <c r="T2037">
        <v>9.6041799999999997E-2</v>
      </c>
      <c r="U2037">
        <v>-3.0859679999999998</v>
      </c>
      <c r="V2037">
        <v>-0.1336108</v>
      </c>
      <c r="W2037">
        <v>0.2027989</v>
      </c>
      <c r="X2037">
        <v>0.97006230000000004</v>
      </c>
      <c r="Y2037">
        <v>-0.39960329999999999</v>
      </c>
      <c r="Z2037">
        <v>-3.5277059999999999E-2</v>
      </c>
      <c r="AA2037">
        <v>0.91600910000000002</v>
      </c>
      <c r="AB2037">
        <v>28</v>
      </c>
      <c r="AC2037">
        <v>-19.827199999999898</v>
      </c>
      <c r="AD2037">
        <v>2.6506340000000002</v>
      </c>
      <c r="AE2037">
        <v>-85.036399999999901</v>
      </c>
      <c r="AF2037">
        <v>-34.894044423025797</v>
      </c>
      <c r="AG2037">
        <v>2.6506340000000002</v>
      </c>
      <c r="AH2037">
        <v>79.954240204784497</v>
      </c>
      <c r="AI2037">
        <v>88.259641851377694</v>
      </c>
      <c r="AJ2037">
        <v>113.577668743281</v>
      </c>
      <c r="AK2037">
        <v>87.277148919533502</v>
      </c>
      <c r="AL2037">
        <v>78.299321620783203</v>
      </c>
      <c r="AM2037">
        <v>97.842248393503993</v>
      </c>
      <c r="AN2037">
        <v>1.0000000527995601</v>
      </c>
    </row>
    <row r="2038" spans="1:40" x14ac:dyDescent="0.25">
      <c r="A2038" t="str">
        <f>"20190303170802635"</f>
        <v>20190303170802635</v>
      </c>
      <c r="B2038" t="str">
        <f>"1551604082624821"</f>
        <v>1551604082624821</v>
      </c>
      <c r="C2038" t="s">
        <v>40</v>
      </c>
      <c r="D2038">
        <v>4.0516139999999998</v>
      </c>
      <c r="E2038">
        <v>0.39215749999999999</v>
      </c>
      <c r="F2038" t="s">
        <v>75</v>
      </c>
      <c r="G2038">
        <v>-511.9264</v>
      </c>
      <c r="H2038">
        <v>3.7414190000000001</v>
      </c>
      <c r="I2038">
        <v>187.35890000000001</v>
      </c>
      <c r="J2038">
        <v>-492.17829999999998</v>
      </c>
      <c r="K2038">
        <v>1.132142</v>
      </c>
      <c r="L2038">
        <v>275.00099999999998</v>
      </c>
      <c r="M2038">
        <v>-0.59143749999999995</v>
      </c>
      <c r="N2038">
        <v>-1.594516E-2</v>
      </c>
      <c r="O2038">
        <v>-0.80619319999999906</v>
      </c>
      <c r="P2038">
        <v>-0.4713794</v>
      </c>
      <c r="Q2038">
        <v>0.19045239999999999</v>
      </c>
      <c r="R2038">
        <v>-0.86112119999999903</v>
      </c>
      <c r="S2038">
        <v>-0.69818119999999995</v>
      </c>
      <c r="T2038">
        <v>9.1882229999999995E-2</v>
      </c>
      <c r="U2038">
        <v>-3.0903320000000001</v>
      </c>
      <c r="V2038">
        <v>-0.13472999999999999</v>
      </c>
      <c r="W2038">
        <v>0.20242950000000001</v>
      </c>
      <c r="X2038">
        <v>0.96998459999999997</v>
      </c>
      <c r="Y2038">
        <v>-0.39948860000000003</v>
      </c>
      <c r="Z2038">
        <v>-3.4614480000000003E-2</v>
      </c>
      <c r="AA2038">
        <v>0.91608440000000002</v>
      </c>
      <c r="AB2038">
        <v>28</v>
      </c>
      <c r="AC2038">
        <v>-19.748100000000001</v>
      </c>
      <c r="AD2038">
        <v>2.6092770000000001</v>
      </c>
      <c r="AE2038">
        <v>-87.6420999999999</v>
      </c>
      <c r="AF2038">
        <v>-35.888332985257001</v>
      </c>
      <c r="AG2038">
        <v>2.6092770000000001</v>
      </c>
      <c r="AH2038">
        <v>82.277294915349401</v>
      </c>
      <c r="AI2038">
        <v>88.334979088532805</v>
      </c>
      <c r="AJ2038">
        <v>113.566231199969</v>
      </c>
      <c r="AK2038">
        <v>89.801637120437803</v>
      </c>
      <c r="AL2038">
        <v>78.320934343307698</v>
      </c>
      <c r="AM2038">
        <v>97.907737381640899</v>
      </c>
      <c r="AN2038">
        <v>0.99999999980370502</v>
      </c>
    </row>
    <row r="2039" spans="1:40" x14ac:dyDescent="0.25">
      <c r="A2039" t="str">
        <f>"20190303170802649"</f>
        <v>20190303170802649</v>
      </c>
      <c r="B2039" t="str">
        <f>"1551604082644341"</f>
        <v>1551604082644341</v>
      </c>
      <c r="C2039" t="s">
        <v>40</v>
      </c>
      <c r="D2039">
        <v>4.0288909999999998</v>
      </c>
      <c r="E2039">
        <v>0.39364179999999999</v>
      </c>
      <c r="F2039" t="s">
        <v>75</v>
      </c>
      <c r="G2039">
        <v>-511.9264</v>
      </c>
      <c r="H2039">
        <v>3.6950699999999999</v>
      </c>
      <c r="I2039">
        <v>184.94280000000001</v>
      </c>
      <c r="J2039">
        <v>-492.2713</v>
      </c>
      <c r="K2039">
        <v>1.1321190000000001</v>
      </c>
      <c r="L2039">
        <v>274.85950000000003</v>
      </c>
      <c r="M2039">
        <v>-0.58408890000000002</v>
      </c>
      <c r="N2039">
        <v>-1.5941210000000001E-2</v>
      </c>
      <c r="O2039">
        <v>-0.81153330000000001</v>
      </c>
      <c r="P2039">
        <v>-0.46288479999999999</v>
      </c>
      <c r="Q2039">
        <v>0.19060769999999999</v>
      </c>
      <c r="R2039">
        <v>-0.86568259999999897</v>
      </c>
      <c r="S2039">
        <v>-0.678253199999999</v>
      </c>
      <c r="T2039">
        <v>8.8025569999999997E-2</v>
      </c>
      <c r="U2039">
        <v>-3.093048</v>
      </c>
      <c r="V2039">
        <v>-0.13543649999999999</v>
      </c>
      <c r="W2039">
        <v>0.20256679999999999</v>
      </c>
      <c r="X2039">
        <v>0.96985750000000004</v>
      </c>
      <c r="Y2039">
        <v>-0.39694479999999999</v>
      </c>
      <c r="Z2039">
        <v>-3.4052510000000001E-2</v>
      </c>
      <c r="AA2039">
        <v>0.91721059999999999</v>
      </c>
      <c r="AB2039">
        <v>28</v>
      </c>
      <c r="AC2039">
        <v>-19.655100000000001</v>
      </c>
      <c r="AD2039">
        <v>2.562951</v>
      </c>
      <c r="AE2039">
        <v>-89.916700000000006</v>
      </c>
      <c r="AF2039">
        <v>-36.544883668813398</v>
      </c>
      <c r="AG2039">
        <v>2.562951</v>
      </c>
      <c r="AH2039">
        <v>84.396002282970997</v>
      </c>
      <c r="AI2039">
        <v>88.403712104457199</v>
      </c>
      <c r="AJ2039">
        <v>113.413420362257</v>
      </c>
      <c r="AK2039">
        <v>92.004252301416798</v>
      </c>
      <c r="AL2039">
        <v>78.312900761181297</v>
      </c>
      <c r="AM2039">
        <v>97.949703847194698</v>
      </c>
      <c r="AN2039">
        <v>0.99999996215036902</v>
      </c>
    </row>
    <row r="2040" spans="1:40" x14ac:dyDescent="0.25">
      <c r="A2040" t="str">
        <f>"20190303170802661"</f>
        <v>20190303170802661</v>
      </c>
      <c r="B2040" t="str">
        <f>"1551604082655078"</f>
        <v>1551604082655078</v>
      </c>
      <c r="C2040" t="s">
        <v>40</v>
      </c>
      <c r="D2040">
        <v>4.068988</v>
      </c>
      <c r="E2040">
        <v>0.39364179999999999</v>
      </c>
      <c r="F2040" t="s">
        <v>75</v>
      </c>
      <c r="G2040">
        <v>-511.90190000000001</v>
      </c>
      <c r="H2040">
        <v>3.6638579999999998</v>
      </c>
      <c r="I2040">
        <v>182.61779999999999</v>
      </c>
      <c r="J2040">
        <v>-492.35520000000002</v>
      </c>
      <c r="K2040">
        <v>1.132101</v>
      </c>
      <c r="L2040">
        <v>274.72809999999998</v>
      </c>
      <c r="M2040">
        <v>-0.57727839999999997</v>
      </c>
      <c r="N2040">
        <v>-1.5937340000000001E-2</v>
      </c>
      <c r="O2040">
        <v>-0.8163918</v>
      </c>
      <c r="P2040">
        <v>-0.45446779999999998</v>
      </c>
      <c r="Q2040">
        <v>0.1904921</v>
      </c>
      <c r="R2040">
        <v>-0.87015619999999905</v>
      </c>
      <c r="S2040">
        <v>-0.65859990000000002</v>
      </c>
      <c r="T2040">
        <v>8.4940429999999997E-2</v>
      </c>
      <c r="U2040">
        <v>-3.0946660000000001</v>
      </c>
      <c r="V2040">
        <v>-0.136733299999999</v>
      </c>
      <c r="W2040">
        <v>0.20241690000000001</v>
      </c>
      <c r="X2040">
        <v>0.96970679999999998</v>
      </c>
      <c r="Y2040">
        <v>-0.394922</v>
      </c>
      <c r="Z2040">
        <v>-3.3622440000000003E-2</v>
      </c>
      <c r="AA2040">
        <v>0.9180992</v>
      </c>
      <c r="AB2040">
        <v>28</v>
      </c>
      <c r="AC2040">
        <v>-19.546699999999898</v>
      </c>
      <c r="AD2040">
        <v>2.5317569999999998</v>
      </c>
      <c r="AE2040">
        <v>-92.110299999999995</v>
      </c>
      <c r="AF2040">
        <v>-37.193361446121997</v>
      </c>
      <c r="AG2040">
        <v>2.5317569999999998</v>
      </c>
      <c r="AH2040">
        <v>86.430486591580902</v>
      </c>
      <c r="AI2040">
        <v>88.4587235621659</v>
      </c>
      <c r="AJ2040">
        <v>113.283509096839</v>
      </c>
      <c r="AK2040">
        <v>94.127493016792798</v>
      </c>
      <c r="AL2040">
        <v>78.321670791670201</v>
      </c>
      <c r="AM2040">
        <v>98.026065913847205</v>
      </c>
      <c r="AN2040">
        <v>0.99999993735036796</v>
      </c>
    </row>
    <row r="2041" spans="1:40" x14ac:dyDescent="0.25">
      <c r="A2041" t="str">
        <f>"20190303170802676"</f>
        <v>20190303170802676</v>
      </c>
      <c r="B2041" t="str">
        <f>"1551604082664837"</f>
        <v>1551604082664837</v>
      </c>
      <c r="C2041" t="s">
        <v>40</v>
      </c>
      <c r="D2041">
        <v>4.0664999999999996</v>
      </c>
      <c r="E2041">
        <v>0.40426469999999998</v>
      </c>
      <c r="F2041" t="s">
        <v>75</v>
      </c>
      <c r="G2041">
        <v>-511.05990000000003</v>
      </c>
      <c r="H2041">
        <v>3.6272479999999998</v>
      </c>
      <c r="I2041">
        <v>182.52529999999999</v>
      </c>
      <c r="J2041">
        <v>-492.44490000000002</v>
      </c>
      <c r="K2041">
        <v>1.1320760000000001</v>
      </c>
      <c r="L2041">
        <v>274.58569999999997</v>
      </c>
      <c r="M2041">
        <v>-0.56988329999999998</v>
      </c>
      <c r="N2041">
        <v>-1.5933180000000002E-2</v>
      </c>
      <c r="O2041">
        <v>-0.82157139999999995</v>
      </c>
      <c r="P2041">
        <v>-0.44516889999999998</v>
      </c>
      <c r="Q2041">
        <v>0.19020339999999999</v>
      </c>
      <c r="R2041">
        <v>-0.87501299999999904</v>
      </c>
      <c r="S2041">
        <v>-0.62902829999999998</v>
      </c>
      <c r="T2041">
        <v>8.3911659999999999E-2</v>
      </c>
      <c r="U2041">
        <v>-3.100708</v>
      </c>
      <c r="V2041">
        <v>-0.1383334</v>
      </c>
      <c r="W2041">
        <v>0.2020853</v>
      </c>
      <c r="X2041">
        <v>0.96954910000000005</v>
      </c>
      <c r="Y2041">
        <v>-0.39538230000000002</v>
      </c>
      <c r="Z2041">
        <v>-3.3626980000000001E-2</v>
      </c>
      <c r="AA2041">
        <v>0.91790090000000002</v>
      </c>
      <c r="AB2041">
        <v>28</v>
      </c>
      <c r="AC2041">
        <v>-18.614999999999998</v>
      </c>
      <c r="AD2041">
        <v>2.4951720000000002</v>
      </c>
      <c r="AE2041">
        <v>-92.060400000000001</v>
      </c>
      <c r="AF2041">
        <v>-37.148626687313403</v>
      </c>
      <c r="AG2041">
        <v>2.4951720000000002</v>
      </c>
      <c r="AH2041">
        <v>86.192670286837796</v>
      </c>
      <c r="AI2041">
        <v>88.477165589667194</v>
      </c>
      <c r="AJ2041">
        <v>113.31581000076901</v>
      </c>
      <c r="AK2041">
        <v>93.890482793723606</v>
      </c>
      <c r="AL2041">
        <v>78.341072071968696</v>
      </c>
      <c r="AM2041">
        <v>98.1200475123632</v>
      </c>
      <c r="AN2041">
        <v>1.00000002767122</v>
      </c>
    </row>
    <row r="2042" spans="1:40" x14ac:dyDescent="0.25">
      <c r="A2042" t="str">
        <f>"20190303170802688"</f>
        <v>20190303170802688</v>
      </c>
      <c r="B2042" t="str">
        <f>"1551604082684357"</f>
        <v>1551604082684357</v>
      </c>
      <c r="C2042" t="s">
        <v>40</v>
      </c>
      <c r="D2042">
        <v>4.0511220000000003</v>
      </c>
      <c r="E2042">
        <v>0.40557769999999999</v>
      </c>
      <c r="F2042" t="s">
        <v>75</v>
      </c>
      <c r="G2042">
        <v>-511.92610000000002</v>
      </c>
      <c r="H2042">
        <v>2.6346270000000001</v>
      </c>
      <c r="I2042">
        <v>185.50749999999999</v>
      </c>
      <c r="J2042">
        <v>-492.52429999999998</v>
      </c>
      <c r="K2042">
        <v>1.132061</v>
      </c>
      <c r="L2042">
        <v>274.45780000000002</v>
      </c>
      <c r="M2042">
        <v>-0.56322620000000001</v>
      </c>
      <c r="N2042">
        <v>-1.5929490000000001E-2</v>
      </c>
      <c r="O2042">
        <v>-0.82614959999999904</v>
      </c>
      <c r="P2042">
        <v>-0.43744100000000002</v>
      </c>
      <c r="Q2042">
        <v>0.1905202</v>
      </c>
      <c r="R2042">
        <v>-0.87883339999999999</v>
      </c>
      <c r="S2042">
        <v>-0.67251590000000006</v>
      </c>
      <c r="T2042">
        <v>5.1871420000000001E-2</v>
      </c>
      <c r="U2042">
        <v>-3.0750730000000002</v>
      </c>
      <c r="V2042">
        <v>-0.13900599999999999</v>
      </c>
      <c r="W2042">
        <v>0.20238419999999999</v>
      </c>
      <c r="X2042">
        <v>0.96939050000000004</v>
      </c>
      <c r="Y2042">
        <v>-0.37385620000000003</v>
      </c>
      <c r="Z2042">
        <v>-2.6712409999999999E-2</v>
      </c>
      <c r="AA2042">
        <v>0.92710190000000003</v>
      </c>
      <c r="AB2042">
        <v>28</v>
      </c>
      <c r="AC2042">
        <v>-19.401800000000001</v>
      </c>
      <c r="AD2042">
        <v>1.5025660000000001</v>
      </c>
      <c r="AE2042">
        <v>-88.950299999999999</v>
      </c>
      <c r="AF2042">
        <v>-34.065383358239004</v>
      </c>
      <c r="AG2042">
        <v>1.5025660000000001</v>
      </c>
      <c r="AH2042">
        <v>84.401550963576</v>
      </c>
      <c r="AI2042">
        <v>89.054209811046206</v>
      </c>
      <c r="AJ2042">
        <v>111.979538475078</v>
      </c>
      <c r="AK2042">
        <v>91.029280195908697</v>
      </c>
      <c r="AL2042">
        <v>78.323584548499895</v>
      </c>
      <c r="AM2042">
        <v>98.160315118044096</v>
      </c>
      <c r="AN2042">
        <v>0.99999998696794501</v>
      </c>
    </row>
    <row r="2043" spans="1:40" x14ac:dyDescent="0.25">
      <c r="A2043" t="str">
        <f>"20190303170802700"</f>
        <v>20190303170802700</v>
      </c>
      <c r="B2043" t="str">
        <f>"1551604082695094"</f>
        <v>1551604082695094</v>
      </c>
      <c r="C2043" t="s">
        <v>40</v>
      </c>
      <c r="D2043">
        <v>4.0755100000000004</v>
      </c>
      <c r="E2043">
        <v>0.40522449999999999</v>
      </c>
      <c r="F2043" t="s">
        <v>75</v>
      </c>
      <c r="G2043">
        <v>-511.92610000000002</v>
      </c>
      <c r="H2043">
        <v>2.7298770000000001</v>
      </c>
      <c r="I2043">
        <v>183.43520000000001</v>
      </c>
      <c r="J2043">
        <v>-492.6001</v>
      </c>
      <c r="K2043">
        <v>1.1320460000000001</v>
      </c>
      <c r="L2043">
        <v>274.33229999999998</v>
      </c>
      <c r="M2043">
        <v>-0.556706699999999</v>
      </c>
      <c r="N2043">
        <v>-1.5925709999999999E-2</v>
      </c>
      <c r="O2043">
        <v>-0.83055650000000003</v>
      </c>
      <c r="P2043">
        <v>-0.4300504</v>
      </c>
      <c r="Q2043">
        <v>0.19080050000000001</v>
      </c>
      <c r="R2043">
        <v>-0.88241229999999904</v>
      </c>
      <c r="S2043">
        <v>-0.65557860000000001</v>
      </c>
      <c r="T2043">
        <v>5.3990839999999998E-2</v>
      </c>
      <c r="U2043">
        <v>-3.0755919999999999</v>
      </c>
      <c r="V2043">
        <v>-0.1394775</v>
      </c>
      <c r="W2043">
        <v>0.2026522</v>
      </c>
      <c r="X2043">
        <v>0.96926679999999998</v>
      </c>
      <c r="Y2043">
        <v>-0.37147170000000002</v>
      </c>
      <c r="Z2043">
        <v>-2.7351540000000001E-2</v>
      </c>
      <c r="AA2043">
        <v>0.92804129999999996</v>
      </c>
      <c r="AB2043">
        <v>28</v>
      </c>
      <c r="AC2043">
        <v>-19.326000000000001</v>
      </c>
      <c r="AD2043">
        <v>1.597831</v>
      </c>
      <c r="AE2043">
        <v>-90.897099999999895</v>
      </c>
      <c r="AF2043">
        <v>-34.545857725049501</v>
      </c>
      <c r="AG2043">
        <v>1.597831</v>
      </c>
      <c r="AH2043">
        <v>86.239532200130895</v>
      </c>
      <c r="AI2043">
        <v>89.014654990850801</v>
      </c>
      <c r="AJ2043">
        <v>111.830066482688</v>
      </c>
      <c r="AK2043">
        <v>92.915156266140698</v>
      </c>
      <c r="AL2043">
        <v>78.307904616181105</v>
      </c>
      <c r="AM2043">
        <v>98.188650505661599</v>
      </c>
      <c r="AN2043">
        <v>1.00000000837666</v>
      </c>
    </row>
    <row r="2044" spans="1:40" x14ac:dyDescent="0.25">
      <c r="A2044" t="str">
        <f>"20190303170802714"</f>
        <v>20190303170802714</v>
      </c>
      <c r="B2044" t="str">
        <f>"1551604082704853"</f>
        <v>1551604082704853</v>
      </c>
      <c r="C2044" t="s">
        <v>40</v>
      </c>
      <c r="D2044">
        <v>4.0779809999999896</v>
      </c>
      <c r="E2044">
        <v>0.40522449999999999</v>
      </c>
      <c r="F2044" t="s">
        <v>75</v>
      </c>
      <c r="G2044">
        <v>-511.27179999999998</v>
      </c>
      <c r="H2044">
        <v>2.865577</v>
      </c>
      <c r="I2044">
        <v>182.61779999999999</v>
      </c>
      <c r="J2044">
        <v>-492.68180000000001</v>
      </c>
      <c r="K2044">
        <v>1.132034</v>
      </c>
      <c r="L2044">
        <v>274.1952</v>
      </c>
      <c r="M2044">
        <v>-0.54957119999999904</v>
      </c>
      <c r="N2044">
        <v>-1.5921580000000001E-2</v>
      </c>
      <c r="O2044">
        <v>-0.83529529999999996</v>
      </c>
      <c r="P2044">
        <v>-0.42176829999999998</v>
      </c>
      <c r="Q2044">
        <v>0.19137960000000001</v>
      </c>
      <c r="R2044">
        <v>-0.88627649999999902</v>
      </c>
      <c r="S2044">
        <v>-0.62734990000000002</v>
      </c>
      <c r="T2044">
        <v>5.8246140000000002E-2</v>
      </c>
      <c r="U2044">
        <v>-3.0814819999999998</v>
      </c>
      <c r="V2044">
        <v>-0.14019019999999999</v>
      </c>
      <c r="W2044">
        <v>0.20321210000000001</v>
      </c>
      <c r="X2044">
        <v>0.96904670000000004</v>
      </c>
      <c r="Y2044">
        <v>-0.3720386</v>
      </c>
      <c r="Z2044">
        <v>-2.849194E-2</v>
      </c>
      <c r="AA2044">
        <v>0.92777989999999999</v>
      </c>
      <c r="AB2044">
        <v>28</v>
      </c>
      <c r="AC2044">
        <v>-18.5899999999999</v>
      </c>
      <c r="AD2044">
        <v>1.7335430000000001</v>
      </c>
      <c r="AE2044">
        <v>-91.577399999999997</v>
      </c>
      <c r="AF2044">
        <v>-34.792595455890897</v>
      </c>
      <c r="AG2044">
        <v>1.7335430000000001</v>
      </c>
      <c r="AH2044">
        <v>86.691847084113505</v>
      </c>
      <c r="AI2044">
        <v>88.936837200350695</v>
      </c>
      <c r="AJ2044">
        <v>111.86738867428799</v>
      </c>
      <c r="AK2044">
        <v>93.429150808221806</v>
      </c>
      <c r="AL2044">
        <v>78.275142674250304</v>
      </c>
      <c r="AM2044">
        <v>98.231764661587903</v>
      </c>
      <c r="AN2044">
        <v>0.99999997827166898</v>
      </c>
    </row>
    <row r="2045" spans="1:40" x14ac:dyDescent="0.25">
      <c r="A2045" t="str">
        <f>"20190303170802729"</f>
        <v>20190303170802729</v>
      </c>
      <c r="B2045" t="str">
        <f>"1551604082724375"</f>
        <v>1551604082724375</v>
      </c>
      <c r="C2045" t="s">
        <v>40</v>
      </c>
      <c r="D2045">
        <v>4.0202619999999998</v>
      </c>
      <c r="E2045">
        <v>0.37760070000000001</v>
      </c>
      <c r="F2045" t="s">
        <v>75</v>
      </c>
      <c r="G2045">
        <v>-511.05959999999999</v>
      </c>
      <c r="H2045">
        <v>2.9675379999999998</v>
      </c>
      <c r="I2045">
        <v>179.4676</v>
      </c>
      <c r="J2045">
        <v>-492.77359999999999</v>
      </c>
      <c r="K2045">
        <v>1.1320110000000001</v>
      </c>
      <c r="L2045">
        <v>274.03829999999999</v>
      </c>
      <c r="M2045">
        <v>-0.54139740000000003</v>
      </c>
      <c r="N2045">
        <v>-1.5916610000000001E-2</v>
      </c>
      <c r="O2045">
        <v>-0.84061620000000004</v>
      </c>
      <c r="P2045">
        <v>-0.41241990000000001</v>
      </c>
      <c r="Q2045">
        <v>0.19150239999999999</v>
      </c>
      <c r="R2045">
        <v>-0.89063859999999995</v>
      </c>
      <c r="S2045">
        <v>-0.59890750000000004</v>
      </c>
      <c r="T2045">
        <v>5.9817549999999997E-2</v>
      </c>
      <c r="U2045">
        <v>-3.0870060000000001</v>
      </c>
      <c r="V2045">
        <v>-0.14091239999999999</v>
      </c>
      <c r="W2045">
        <v>0.2033171</v>
      </c>
      <c r="X2045">
        <v>0.96891989999999995</v>
      </c>
      <c r="Y2045">
        <v>-0.37153659999999999</v>
      </c>
      <c r="Z2045">
        <v>-2.9043179999999998E-2</v>
      </c>
      <c r="AA2045">
        <v>0.92796389999999995</v>
      </c>
      <c r="AB2045">
        <v>28</v>
      </c>
      <c r="AC2045">
        <v>-18.285999999999898</v>
      </c>
      <c r="AD2045">
        <v>1.8355269999999999</v>
      </c>
      <c r="AE2045">
        <v>-94.570700000000002</v>
      </c>
      <c r="AF2045">
        <v>-35.8203535178409</v>
      </c>
      <c r="AG2045">
        <v>1.8355269999999999</v>
      </c>
      <c r="AH2045">
        <v>89.376522186804294</v>
      </c>
      <c r="AI2045">
        <v>88.907902482230497</v>
      </c>
      <c r="AJ2045">
        <v>111.83994269164199</v>
      </c>
      <c r="AK2045">
        <v>96.304878400417294</v>
      </c>
      <c r="AL2045">
        <v>78.2689981313857</v>
      </c>
      <c r="AM2045">
        <v>98.274653370950602</v>
      </c>
      <c r="AN2045">
        <v>0.99999996012108905</v>
      </c>
    </row>
    <row r="2046" spans="1:40" x14ac:dyDescent="0.25">
      <c r="A2046" t="str">
        <f>"20190303170802742"</f>
        <v>20190303170802742</v>
      </c>
      <c r="B2046" t="str">
        <f>"1551604082735109"</f>
        <v>1551604082735109</v>
      </c>
      <c r="C2046" t="s">
        <v>40</v>
      </c>
      <c r="D2046">
        <v>4.0289510000000002</v>
      </c>
      <c r="E2046">
        <v>0.37254199999999998</v>
      </c>
      <c r="F2046" t="s">
        <v>45</v>
      </c>
      <c r="G2046">
        <v>0</v>
      </c>
      <c r="H2046">
        <v>0</v>
      </c>
      <c r="I2046">
        <v>0</v>
      </c>
      <c r="J2046">
        <v>-492.8605</v>
      </c>
      <c r="K2046">
        <v>1.131988</v>
      </c>
      <c r="L2046">
        <v>273.88510000000002</v>
      </c>
      <c r="M2046">
        <v>-0.53342429999999996</v>
      </c>
      <c r="N2046">
        <v>-1.5911160000000001E-2</v>
      </c>
      <c r="O2046">
        <v>-0.84569799999999995</v>
      </c>
      <c r="P2046">
        <v>-0.40227049999999998</v>
      </c>
      <c r="Q2046">
        <v>0.19166459999999999</v>
      </c>
      <c r="R2046">
        <v>-0.89523379999999997</v>
      </c>
      <c r="S2046">
        <v>-0.36453249999999998</v>
      </c>
      <c r="T2046">
        <v>0.114472699999999</v>
      </c>
      <c r="U2046">
        <v>-3.174957</v>
      </c>
      <c r="V2046">
        <v>-0.1427416</v>
      </c>
      <c r="W2046">
        <v>0.20342969999999999</v>
      </c>
      <c r="X2046">
        <v>0.9686285</v>
      </c>
      <c r="Y2046">
        <v>-0.43370710000000001</v>
      </c>
      <c r="Z2046">
        <v>-4.1302859999999997E-2</v>
      </c>
      <c r="AA2046">
        <v>0.90010679999999998</v>
      </c>
      <c r="AB2046">
        <v>27</v>
      </c>
      <c r="AC2046">
        <v>-0.36453249999999998</v>
      </c>
      <c r="AD2046">
        <v>0.114472699999999</v>
      </c>
      <c r="AE2046">
        <v>-3.174957</v>
      </c>
      <c r="AF2046">
        <v>-1.38371500513246</v>
      </c>
      <c r="AG2046">
        <v>0.114472699999999</v>
      </c>
      <c r="AH2046">
        <v>2.8761799378057198</v>
      </c>
      <c r="AI2046">
        <v>87.945937635380005</v>
      </c>
      <c r="AJ2046">
        <v>115.691962023202</v>
      </c>
      <c r="AK2046">
        <v>3.1937724166117598</v>
      </c>
      <c r="AL2046">
        <v>78.262409265198599</v>
      </c>
      <c r="AM2046">
        <v>98.383037014864499</v>
      </c>
      <c r="AN2046">
        <v>0.99999998911244903</v>
      </c>
    </row>
    <row r="2047" spans="1:40" x14ac:dyDescent="0.25">
      <c r="A2047" t="str">
        <f>"20190303170802755"</f>
        <v>20190303170802755</v>
      </c>
      <c r="B2047" t="str">
        <f>"1551604082744869"</f>
        <v>1551604082744869</v>
      </c>
      <c r="C2047" t="s">
        <v>40</v>
      </c>
      <c r="D2047">
        <v>4.0606019999999896</v>
      </c>
      <c r="E2047">
        <v>0.36846580000000001</v>
      </c>
      <c r="F2047" t="s">
        <v>45</v>
      </c>
      <c r="G2047">
        <v>0</v>
      </c>
      <c r="H2047">
        <v>0</v>
      </c>
      <c r="I2047">
        <v>0</v>
      </c>
      <c r="J2047">
        <v>-492.93090000000001</v>
      </c>
      <c r="K2047">
        <v>1.1319669999999999</v>
      </c>
      <c r="L2047">
        <v>273.75909999999999</v>
      </c>
      <c r="M2047">
        <v>-0.5268621</v>
      </c>
      <c r="N2047">
        <v>-1.5906529999999999E-2</v>
      </c>
      <c r="O2047">
        <v>-0.8498019</v>
      </c>
      <c r="P2047">
        <v>-0.3944164</v>
      </c>
      <c r="Q2047">
        <v>0.19163630000000001</v>
      </c>
      <c r="R2047">
        <v>-0.89872770000000002</v>
      </c>
      <c r="S2047">
        <v>-0.29028320000000002</v>
      </c>
      <c r="T2047">
        <v>0.13349800000000001</v>
      </c>
      <c r="U2047">
        <v>-3.192078</v>
      </c>
      <c r="V2047">
        <v>-0.1437196</v>
      </c>
      <c r="W2047">
        <v>0.203376</v>
      </c>
      <c r="X2047">
        <v>0.9684952</v>
      </c>
      <c r="Y2047">
        <v>-0.44797890000000001</v>
      </c>
      <c r="Z2047">
        <v>-4.5668350000000003E-2</v>
      </c>
      <c r="AA2047">
        <v>0.89287700000000003</v>
      </c>
      <c r="AB2047">
        <v>27</v>
      </c>
      <c r="AC2047">
        <v>-0.29028320000000002</v>
      </c>
      <c r="AD2047">
        <v>0.13349800000000001</v>
      </c>
      <c r="AE2047">
        <v>-3.192078</v>
      </c>
      <c r="AF2047">
        <v>-1.4327978379583599</v>
      </c>
      <c r="AG2047">
        <v>0.13349800000000001</v>
      </c>
      <c r="AH2047">
        <v>2.8609728677591</v>
      </c>
      <c r="AI2047">
        <v>87.610888473494796</v>
      </c>
      <c r="AJ2047">
        <v>116.602071002785</v>
      </c>
      <c r="AK2047">
        <v>3.20248296022256</v>
      </c>
      <c r="AL2047">
        <v>78.265552306946503</v>
      </c>
      <c r="AM2047">
        <v>98.440794147126098</v>
      </c>
      <c r="AN2047">
        <v>1.00000003661159</v>
      </c>
    </row>
    <row r="2048" spans="1:40" x14ac:dyDescent="0.25">
      <c r="A2048" t="str">
        <f>"20190303170802768"</f>
        <v>20190303170802768</v>
      </c>
      <c r="B2048" t="str">
        <f>"1551604082754630"</f>
        <v>1551604082754630</v>
      </c>
      <c r="C2048" t="s">
        <v>40</v>
      </c>
      <c r="D2048">
        <v>4.0536949999999896</v>
      </c>
      <c r="E2048">
        <v>0.36637999999999998</v>
      </c>
      <c r="F2048" t="s">
        <v>45</v>
      </c>
      <c r="G2048">
        <v>0</v>
      </c>
      <c r="H2048">
        <v>0</v>
      </c>
      <c r="I2048">
        <v>0</v>
      </c>
      <c r="J2048">
        <v>-493.00259999999997</v>
      </c>
      <c r="K2048">
        <v>1.131945</v>
      </c>
      <c r="L2048">
        <v>273.62900000000002</v>
      </c>
      <c r="M2048">
        <v>-0.52007689999999995</v>
      </c>
      <c r="N2048">
        <v>-1.5901720000000001E-2</v>
      </c>
      <c r="O2048">
        <v>-0.85397149999999999</v>
      </c>
      <c r="P2048">
        <v>-0.3864107</v>
      </c>
      <c r="Q2048">
        <v>0.19152050000000001</v>
      </c>
      <c r="R2048">
        <v>-0.90222360000000001</v>
      </c>
      <c r="S2048">
        <v>-0.23233029999999999</v>
      </c>
      <c r="T2048">
        <v>0.15394160000000001</v>
      </c>
      <c r="U2048">
        <v>-3.2032470000000002</v>
      </c>
      <c r="V2048">
        <v>-0.14461740000000001</v>
      </c>
      <c r="W2048">
        <v>0.2032378</v>
      </c>
      <c r="X2048">
        <v>0.96839050000000004</v>
      </c>
      <c r="Y2048">
        <v>-0.45719720000000003</v>
      </c>
      <c r="Z2048">
        <v>-5.0428979999999998E-2</v>
      </c>
      <c r="AA2048">
        <v>0.88793449999999996</v>
      </c>
      <c r="AB2048">
        <v>27</v>
      </c>
      <c r="AC2048">
        <v>-0.23233029999999999</v>
      </c>
      <c r="AD2048">
        <v>0.15394160000000001</v>
      </c>
      <c r="AE2048">
        <v>-3.2032470000000002</v>
      </c>
      <c r="AF2048">
        <v>-1.46435244284349</v>
      </c>
      <c r="AG2048">
        <v>0.15394160000000001</v>
      </c>
      <c r="AH2048">
        <v>2.8501241096737902</v>
      </c>
      <c r="AI2048">
        <v>87.249499486219605</v>
      </c>
      <c r="AJ2048">
        <v>117.193441579373</v>
      </c>
      <c r="AK2048">
        <v>3.2079952514952499</v>
      </c>
      <c r="AL2048">
        <v>78.273638787821895</v>
      </c>
      <c r="AM2048">
        <v>98.493661031632698</v>
      </c>
      <c r="AN2048">
        <v>0.999999978110924</v>
      </c>
    </row>
    <row r="2049" spans="1:40" x14ac:dyDescent="0.25">
      <c r="A2049" t="str">
        <f>"20190303170802790"</f>
        <v>20190303170802790</v>
      </c>
      <c r="B2049" t="str">
        <f>"1551604082775125"</f>
        <v>1551604082775125</v>
      </c>
      <c r="C2049" t="s">
        <v>40</v>
      </c>
      <c r="D2049">
        <v>3.9802789999999999</v>
      </c>
      <c r="E2049">
        <v>0.36427349999999997</v>
      </c>
      <c r="F2049" t="s">
        <v>45</v>
      </c>
      <c r="G2049">
        <v>0</v>
      </c>
      <c r="H2049">
        <v>0</v>
      </c>
      <c r="I2049">
        <v>0</v>
      </c>
      <c r="J2049">
        <v>-493.12490000000003</v>
      </c>
      <c r="K2049">
        <v>1.131896</v>
      </c>
      <c r="L2049">
        <v>273.40010000000001</v>
      </c>
      <c r="M2049">
        <v>-0.50814989999999904</v>
      </c>
      <c r="N2049">
        <v>-1.5892369999999999E-2</v>
      </c>
      <c r="O2049">
        <v>-0.86112230000000001</v>
      </c>
      <c r="P2049">
        <v>-0.37252299999999999</v>
      </c>
      <c r="Q2049">
        <v>0.1916533</v>
      </c>
      <c r="R2049">
        <v>-0.90801759999999998</v>
      </c>
      <c r="S2049">
        <v>-0.18826290000000001</v>
      </c>
      <c r="T2049">
        <v>0.1634612</v>
      </c>
      <c r="U2049">
        <v>-3.2098080000000002</v>
      </c>
      <c r="V2049">
        <v>-0.1459791</v>
      </c>
      <c r="W2049">
        <v>0.20333680000000001</v>
      </c>
      <c r="X2049">
        <v>0.96816539999999995</v>
      </c>
      <c r="Y2049">
        <v>-0.45711210000000002</v>
      </c>
      <c r="Z2049">
        <v>-5.3104510000000001E-2</v>
      </c>
      <c r="AA2049">
        <v>0.88782229999999995</v>
      </c>
      <c r="AB2049">
        <v>27</v>
      </c>
      <c r="AC2049">
        <v>-0.18826290000000001</v>
      </c>
      <c r="AD2049">
        <v>0.1634612</v>
      </c>
      <c r="AE2049">
        <v>-3.2098080000000002</v>
      </c>
      <c r="AF2049">
        <v>-1.4653441911543601</v>
      </c>
      <c r="AG2049">
        <v>0.1634612</v>
      </c>
      <c r="AH2049">
        <v>2.8526906684911202</v>
      </c>
      <c r="AI2049">
        <v>87.082184234368299</v>
      </c>
      <c r="AJ2049">
        <v>117.18824663502301</v>
      </c>
      <c r="AK2049">
        <v>3.2111987189446198</v>
      </c>
      <c r="AL2049">
        <v>78.267845759965695</v>
      </c>
      <c r="AM2049">
        <v>98.574417031373898</v>
      </c>
      <c r="AN2049">
        <v>0.99999999681410401</v>
      </c>
    </row>
    <row r="2050" spans="1:40" x14ac:dyDescent="0.25">
      <c r="A2050" t="str">
        <f>"20190303170802812"</f>
        <v>20190303170802812</v>
      </c>
      <c r="B2050" t="str">
        <f>"1551604082804405"</f>
        <v>1551604082804405</v>
      </c>
      <c r="C2050" t="s">
        <v>40</v>
      </c>
      <c r="D2050">
        <v>4.0661899999999997</v>
      </c>
      <c r="E2050">
        <v>0.36488159999999997</v>
      </c>
      <c r="F2050" t="s">
        <v>41</v>
      </c>
      <c r="G2050">
        <v>-498.60419999999999</v>
      </c>
      <c r="H2050">
        <v>9.0318159999999992</v>
      </c>
      <c r="I2050">
        <v>130.80590000000001</v>
      </c>
      <c r="J2050">
        <v>-493.24650000000003</v>
      </c>
      <c r="K2050">
        <v>1.13185</v>
      </c>
      <c r="L2050">
        <v>273.16430000000003</v>
      </c>
      <c r="M2050">
        <v>-0.49588149999999998</v>
      </c>
      <c r="N2050">
        <v>-1.5881670000000001E-2</v>
      </c>
      <c r="O2050">
        <v>-0.86824519999999905</v>
      </c>
      <c r="P2050">
        <v>-0.35866589999999998</v>
      </c>
      <c r="Q2050">
        <v>0.19167329999999999</v>
      </c>
      <c r="R2050">
        <v>-0.91357580000000005</v>
      </c>
      <c r="S2050">
        <v>-0.1235657</v>
      </c>
      <c r="T2050">
        <v>0.17815010000000001</v>
      </c>
      <c r="U2050">
        <v>-3.2156069999999999</v>
      </c>
      <c r="V2050">
        <v>-0.1469481</v>
      </c>
      <c r="W2050">
        <v>0.20333590000000001</v>
      </c>
      <c r="X2050">
        <v>0.96801899999999996</v>
      </c>
      <c r="Y2050">
        <v>-0.46241910000000003</v>
      </c>
      <c r="Z2050">
        <v>-5.6977380000000001E-2</v>
      </c>
      <c r="AA2050">
        <v>0.88482890000000003</v>
      </c>
      <c r="AB2050">
        <v>27</v>
      </c>
      <c r="AC2050">
        <v>-5.3576999999999604</v>
      </c>
      <c r="AD2050">
        <v>7.899966</v>
      </c>
      <c r="AE2050">
        <v>-142.35839999999999</v>
      </c>
      <c r="AF2050">
        <v>-65.747219455988798</v>
      </c>
      <c r="AG2050">
        <v>7.899966</v>
      </c>
      <c r="AH2050">
        <v>125.887555445396</v>
      </c>
      <c r="AI2050">
        <v>86.816216226333495</v>
      </c>
      <c r="AJ2050">
        <v>117.57668829461301</v>
      </c>
      <c r="AK2050">
        <v>142.241987278766</v>
      </c>
      <c r="AL2050">
        <v>78.267898563590705</v>
      </c>
      <c r="AM2050">
        <v>98.631764774551797</v>
      </c>
      <c r="AN2050">
        <v>1.0000000083417</v>
      </c>
    </row>
    <row r="2051" spans="1:40" x14ac:dyDescent="0.25">
      <c r="A2051" t="str">
        <f>"20190303170802833"</f>
        <v>20190303170802833</v>
      </c>
      <c r="B2051" t="str">
        <f>"1551604082824901"</f>
        <v>1551604082824901</v>
      </c>
      <c r="C2051" t="s">
        <v>40</v>
      </c>
      <c r="D2051">
        <v>4.0620699999999896</v>
      </c>
      <c r="E2051">
        <v>0.3656431</v>
      </c>
      <c r="F2051" t="s">
        <v>45</v>
      </c>
      <c r="G2051">
        <v>0</v>
      </c>
      <c r="H2051">
        <v>0</v>
      </c>
      <c r="I2051">
        <v>0</v>
      </c>
      <c r="J2051">
        <v>-493.36149999999998</v>
      </c>
      <c r="K2051">
        <v>1.131802</v>
      </c>
      <c r="L2051">
        <v>272.93349999999998</v>
      </c>
      <c r="M2051">
        <v>-0.483879</v>
      </c>
      <c r="N2051">
        <v>-1.5869899999999999E-2</v>
      </c>
      <c r="O2051">
        <v>-0.87499119999999997</v>
      </c>
      <c r="P2051">
        <v>-0.3459834</v>
      </c>
      <c r="Q2051">
        <v>0.19201460000000001</v>
      </c>
      <c r="R2051">
        <v>-0.91838249999999999</v>
      </c>
      <c r="S2051">
        <v>-7.9132079999999994E-2</v>
      </c>
      <c r="T2051">
        <v>0.17803250000000001</v>
      </c>
      <c r="U2051">
        <v>-3.2153930000000002</v>
      </c>
      <c r="V2051">
        <v>-0.14697009999999999</v>
      </c>
      <c r="W2051">
        <v>0.20368130000000001</v>
      </c>
      <c r="X2051">
        <v>0.967943</v>
      </c>
      <c r="Y2051">
        <v>-0.46242309999999998</v>
      </c>
      <c r="Z2051">
        <v>-5.7554470000000003E-2</v>
      </c>
      <c r="AA2051">
        <v>0.88478950000000001</v>
      </c>
      <c r="AB2051">
        <v>27</v>
      </c>
      <c r="AC2051">
        <v>-7.9132079999999994E-2</v>
      </c>
      <c r="AD2051">
        <v>0.17803250000000001</v>
      </c>
      <c r="AE2051">
        <v>-3.2153930000000002</v>
      </c>
      <c r="AF2051">
        <v>-1.4822668204084799</v>
      </c>
      <c r="AG2051">
        <v>0.17803250000000001</v>
      </c>
      <c r="AH2051">
        <v>2.8433779395950398</v>
      </c>
      <c r="AI2051">
        <v>86.822106820101496</v>
      </c>
      <c r="AJ2051">
        <v>117.533251430112</v>
      </c>
      <c r="AK2051">
        <v>3.2114807496411801</v>
      </c>
      <c r="AL2051">
        <v>78.247685112391807</v>
      </c>
      <c r="AM2051">
        <v>98.6337052168588</v>
      </c>
      <c r="AN2051">
        <v>0.99999996675634895</v>
      </c>
    </row>
    <row r="2052" spans="1:40" x14ac:dyDescent="0.25">
      <c r="A2052" t="str">
        <f>"20190303170802856"</f>
        <v>20190303170802856</v>
      </c>
      <c r="B2052" t="str">
        <f>"1551604082844422"</f>
        <v>1551604082844422</v>
      </c>
      <c r="C2052" t="s">
        <v>40</v>
      </c>
      <c r="D2052">
        <v>4.0658529999999997</v>
      </c>
      <c r="E2052">
        <v>0.36709700000000001</v>
      </c>
      <c r="F2052" t="s">
        <v>45</v>
      </c>
      <c r="G2052">
        <v>0</v>
      </c>
      <c r="H2052">
        <v>0</v>
      </c>
      <c r="I2052">
        <v>0</v>
      </c>
      <c r="J2052">
        <v>-493.47539999999998</v>
      </c>
      <c r="K2052">
        <v>1.1317459999999999</v>
      </c>
      <c r="L2052">
        <v>272.6968</v>
      </c>
      <c r="M2052">
        <v>-0.47158840000000002</v>
      </c>
      <c r="N2052">
        <v>-1.585688E-2</v>
      </c>
      <c r="O2052">
        <v>-0.88167619999999902</v>
      </c>
      <c r="P2052">
        <v>-0.33297320000000002</v>
      </c>
      <c r="Q2052">
        <v>0.19148409999999999</v>
      </c>
      <c r="R2052">
        <v>-0.92328880000000002</v>
      </c>
      <c r="S2052">
        <v>-4.0252690000000001E-2</v>
      </c>
      <c r="T2052">
        <v>0.181675</v>
      </c>
      <c r="U2052">
        <v>-3.2133790000000002</v>
      </c>
      <c r="V2052">
        <v>-0.14711299999999999</v>
      </c>
      <c r="W2052">
        <v>0.20315510000000001</v>
      </c>
      <c r="X2052">
        <v>0.96803189999999995</v>
      </c>
      <c r="Y2052">
        <v>-0.46070689999999997</v>
      </c>
      <c r="Z2052">
        <v>-5.9054339999999997E-2</v>
      </c>
      <c r="AA2052">
        <v>0.88558549999999903</v>
      </c>
      <c r="AB2052">
        <v>27</v>
      </c>
      <c r="AC2052">
        <v>-4.0252690000000001E-2</v>
      </c>
      <c r="AD2052">
        <v>0.181675</v>
      </c>
      <c r="AE2052">
        <v>-3.2133790000000002</v>
      </c>
      <c r="AF2052">
        <v>-1.4753733240838101</v>
      </c>
      <c r="AG2052">
        <v>0.181675</v>
      </c>
      <c r="AH2052">
        <v>2.8434137810721798</v>
      </c>
      <c r="AI2052">
        <v>86.754044435953702</v>
      </c>
      <c r="AJ2052">
        <v>117.423622456742</v>
      </c>
      <c r="AK2052">
        <v>3.2085408181032</v>
      </c>
      <c r="AL2052">
        <v>78.278478300715804</v>
      </c>
      <c r="AM2052">
        <v>98.641191483619906</v>
      </c>
      <c r="AN2052">
        <v>0.99999999442130905</v>
      </c>
    </row>
    <row r="2053" spans="1:40" x14ac:dyDescent="0.25">
      <c r="A2053" t="str">
        <f>"20190303170802878"</f>
        <v>20190303170802878</v>
      </c>
      <c r="B2053" t="str">
        <f>"1551604082864916"</f>
        <v>1551604082864916</v>
      </c>
      <c r="C2053" t="s">
        <v>40</v>
      </c>
      <c r="D2053">
        <v>4.0822589999999996</v>
      </c>
      <c r="E2053">
        <v>0.36890210000000001</v>
      </c>
      <c r="F2053" t="s">
        <v>45</v>
      </c>
      <c r="G2053">
        <v>0</v>
      </c>
      <c r="H2053">
        <v>0</v>
      </c>
      <c r="I2053">
        <v>0</v>
      </c>
      <c r="J2053">
        <v>-493.58960000000002</v>
      </c>
      <c r="K2053">
        <v>1.13168</v>
      </c>
      <c r="L2053">
        <v>272.45089999999999</v>
      </c>
      <c r="M2053">
        <v>-0.4588486</v>
      </c>
      <c r="N2053">
        <v>-1.584203E-2</v>
      </c>
      <c r="O2053">
        <v>-0.88837310000000003</v>
      </c>
      <c r="P2053">
        <v>-0.31971539999999998</v>
      </c>
      <c r="Q2053">
        <v>0.19127930000000001</v>
      </c>
      <c r="R2053">
        <v>-0.92800579999999999</v>
      </c>
      <c r="S2053">
        <v>-5.6457520000000004E-3</v>
      </c>
      <c r="T2053">
        <v>0.1769037</v>
      </c>
      <c r="U2053">
        <v>-3.2105100000000002</v>
      </c>
      <c r="V2053">
        <v>-0.1470244</v>
      </c>
      <c r="W2053">
        <v>0.2029618</v>
      </c>
      <c r="X2053">
        <v>0.96808590000000005</v>
      </c>
      <c r="Y2053">
        <v>-0.45745960000000002</v>
      </c>
      <c r="Z2053">
        <v>-5.857913E-2</v>
      </c>
      <c r="AA2053">
        <v>0.88729880000000005</v>
      </c>
      <c r="AB2053">
        <v>27</v>
      </c>
      <c r="AC2053">
        <v>-5.6457520000000004E-3</v>
      </c>
      <c r="AD2053">
        <v>0.1769037</v>
      </c>
      <c r="AE2053">
        <v>-3.2105100000000002</v>
      </c>
      <c r="AF2053">
        <v>-1.4638623954421901</v>
      </c>
      <c r="AG2053">
        <v>0.1769037</v>
      </c>
      <c r="AH2053">
        <v>2.8464376478511699</v>
      </c>
      <c r="AI2053">
        <v>86.836558397057004</v>
      </c>
      <c r="AJ2053">
        <v>117.215795994248</v>
      </c>
      <c r="AK2053">
        <v>3.2056817239033499</v>
      </c>
      <c r="AL2053">
        <v>78.289789144801702</v>
      </c>
      <c r="AM2053">
        <v>98.635591285449806</v>
      </c>
      <c r="AN2053">
        <v>0.99999998811670499</v>
      </c>
    </row>
    <row r="2054" spans="1:40" x14ac:dyDescent="0.25">
      <c r="A2054" t="str">
        <f>"20190303170802892"</f>
        <v>20190303170802892</v>
      </c>
      <c r="B2054" t="str">
        <f>"1551604082884437"</f>
        <v>1551604082884437</v>
      </c>
      <c r="C2054" t="s">
        <v>40</v>
      </c>
      <c r="D2054">
        <v>4.1223280000000004</v>
      </c>
      <c r="E2054">
        <v>0.37080340000000001</v>
      </c>
      <c r="F2054" t="s">
        <v>45</v>
      </c>
      <c r="G2054">
        <v>0</v>
      </c>
      <c r="H2054">
        <v>0</v>
      </c>
      <c r="I2054">
        <v>0</v>
      </c>
      <c r="J2054">
        <v>-493.65359999999998</v>
      </c>
      <c r="K2054">
        <v>1.1316379999999999</v>
      </c>
      <c r="L2054">
        <v>272.30930000000001</v>
      </c>
      <c r="M2054">
        <v>-0.45152439999999999</v>
      </c>
      <c r="N2054">
        <v>-1.5832780000000001E-2</v>
      </c>
      <c r="O2054">
        <v>-0.89211849999999904</v>
      </c>
      <c r="P2054">
        <v>-0.31197320000000001</v>
      </c>
      <c r="Q2054">
        <v>0.19124340000000001</v>
      </c>
      <c r="R2054">
        <v>-0.93064460000000004</v>
      </c>
      <c r="S2054">
        <v>2.5665279999999999E-2</v>
      </c>
      <c r="T2054">
        <v>0.16915910000000001</v>
      </c>
      <c r="U2054">
        <v>-3.206696</v>
      </c>
      <c r="V2054">
        <v>-0.14710709999999999</v>
      </c>
      <c r="W2054">
        <v>0.2029282</v>
      </c>
      <c r="X2054">
        <v>0.96808039999999995</v>
      </c>
      <c r="Y2054">
        <v>-0.45880080000000001</v>
      </c>
      <c r="Z2054">
        <v>-5.706017E-2</v>
      </c>
      <c r="AA2054">
        <v>0.88670509999999902</v>
      </c>
      <c r="AB2054">
        <v>27</v>
      </c>
      <c r="AC2054">
        <v>2.5665279999999999E-2</v>
      </c>
      <c r="AD2054">
        <v>0.16915910000000001</v>
      </c>
      <c r="AE2054">
        <v>-3.206696</v>
      </c>
      <c r="AF2054">
        <v>-1.46690029769591</v>
      </c>
      <c r="AG2054">
        <v>0.16915910000000001</v>
      </c>
      <c r="AH2054">
        <v>2.8416139503795801</v>
      </c>
      <c r="AI2054">
        <v>86.972051358757597</v>
      </c>
      <c r="AJ2054">
        <v>117.303725072087</v>
      </c>
      <c r="AK2054">
        <v>3.20237117266019</v>
      </c>
      <c r="AL2054">
        <v>78.291755421029706</v>
      </c>
      <c r="AM2054">
        <v>98.640423792119194</v>
      </c>
      <c r="AN2054">
        <v>1.0000000070449</v>
      </c>
    </row>
    <row r="2055" spans="1:40" x14ac:dyDescent="0.25">
      <c r="A2055" t="str">
        <f>"20190303170802912"</f>
        <v>20190303170802912</v>
      </c>
      <c r="B2055" t="str">
        <f>"1551604082904933"</f>
        <v>1551604082904933</v>
      </c>
      <c r="C2055" t="s">
        <v>40</v>
      </c>
      <c r="D2055">
        <v>4.0807409999999997</v>
      </c>
      <c r="E2055">
        <v>0.38876080000000002</v>
      </c>
      <c r="F2055" t="s">
        <v>45</v>
      </c>
      <c r="G2055">
        <v>0</v>
      </c>
      <c r="H2055">
        <v>0</v>
      </c>
      <c r="I2055">
        <v>0</v>
      </c>
      <c r="J2055">
        <v>-493.75670000000002</v>
      </c>
      <c r="K2055">
        <v>1.1315649999999999</v>
      </c>
      <c r="L2055">
        <v>272.07389999999998</v>
      </c>
      <c r="M2055">
        <v>-0.43941000000000002</v>
      </c>
      <c r="N2055">
        <v>-1.5814669999999999E-2</v>
      </c>
      <c r="O2055">
        <v>-0.89814749999999999</v>
      </c>
      <c r="P2055">
        <v>-0.30021340000000002</v>
      </c>
      <c r="Q2055">
        <v>0.19041540000000001</v>
      </c>
      <c r="R2055">
        <v>-0.93467330000000004</v>
      </c>
      <c r="S2055">
        <v>3.8574219999999999E-2</v>
      </c>
      <c r="T2055">
        <v>0.16409480000000001</v>
      </c>
      <c r="U2055">
        <v>-3.20282</v>
      </c>
      <c r="V2055">
        <v>-0.1462244</v>
      </c>
      <c r="W2055">
        <v>0.20213719999999999</v>
      </c>
      <c r="X2055">
        <v>0.96837960000000001</v>
      </c>
      <c r="Y2055">
        <v>-0.45033279999999998</v>
      </c>
      <c r="Z2055">
        <v>-5.644474E-2</v>
      </c>
      <c r="AA2055">
        <v>0.89107479999999994</v>
      </c>
      <c r="AB2055">
        <v>27</v>
      </c>
      <c r="AC2055">
        <v>3.8574219999999999E-2</v>
      </c>
      <c r="AD2055">
        <v>0.16409480000000001</v>
      </c>
      <c r="AE2055">
        <v>-3.20282</v>
      </c>
      <c r="AF2055">
        <v>-1.43840148608477</v>
      </c>
      <c r="AG2055">
        <v>0.16409480000000001</v>
      </c>
      <c r="AH2055">
        <v>2.8525255755658399</v>
      </c>
      <c r="AI2055">
        <v>87.059573918051498</v>
      </c>
      <c r="AJ2055">
        <v>116.759773124327</v>
      </c>
      <c r="AK2055">
        <v>3.1988791940014201</v>
      </c>
      <c r="AL2055">
        <v>78.338035860712495</v>
      </c>
      <c r="AM2055">
        <v>98.586739168469904</v>
      </c>
      <c r="AN2055">
        <v>1.00000003623767</v>
      </c>
    </row>
    <row r="2056" spans="1:40" x14ac:dyDescent="0.25">
      <c r="A2056" t="str">
        <f>"20190303170802934"</f>
        <v>20190303170802934</v>
      </c>
      <c r="B2056" t="str">
        <f>"1551604082924456"</f>
        <v>1551604082924456</v>
      </c>
      <c r="C2056" t="s">
        <v>40</v>
      </c>
      <c r="D2056">
        <v>4.1094239999999997</v>
      </c>
      <c r="E2056">
        <v>0.39047579999999998</v>
      </c>
      <c r="F2056" t="s">
        <v>45</v>
      </c>
      <c r="G2056">
        <v>0</v>
      </c>
      <c r="H2056">
        <v>0</v>
      </c>
      <c r="I2056">
        <v>0</v>
      </c>
      <c r="J2056">
        <v>-493.85309999999998</v>
      </c>
      <c r="K2056">
        <v>1.13147999999999</v>
      </c>
      <c r="L2056">
        <v>271.84530000000001</v>
      </c>
      <c r="M2056">
        <v>-0.4277107</v>
      </c>
      <c r="N2056">
        <v>-1.579446E-2</v>
      </c>
      <c r="O2056">
        <v>-0.90377779999999996</v>
      </c>
      <c r="P2056">
        <v>-0.28899799999999998</v>
      </c>
      <c r="Q2056">
        <v>0.18985640000000001</v>
      </c>
      <c r="R2056">
        <v>-0.93831469999999995</v>
      </c>
      <c r="S2056">
        <v>-5.8105469999999999E-2</v>
      </c>
      <c r="T2056">
        <v>0.11034770000000001</v>
      </c>
      <c r="U2056">
        <v>-3.168488</v>
      </c>
      <c r="V2056">
        <v>-0.1452359</v>
      </c>
      <c r="W2056">
        <v>0.2016165</v>
      </c>
      <c r="X2056">
        <v>0.96863690000000002</v>
      </c>
      <c r="Y2056">
        <v>-0.4111937</v>
      </c>
      <c r="Z2056">
        <v>-4.3970380000000003E-2</v>
      </c>
      <c r="AA2056">
        <v>0.91048689999999999</v>
      </c>
      <c r="AB2056">
        <v>27</v>
      </c>
      <c r="AC2056">
        <v>-5.8105469999999999E-2</v>
      </c>
      <c r="AD2056">
        <v>0.11034770000000001</v>
      </c>
      <c r="AE2056">
        <v>-3.168488</v>
      </c>
      <c r="AF2056">
        <v>-1.3012663945026499</v>
      </c>
      <c r="AG2056">
        <v>0.11034770000000001</v>
      </c>
      <c r="AH2056">
        <v>2.8853230690741598</v>
      </c>
      <c r="AI2056">
        <v>88.003307279877504</v>
      </c>
      <c r="AJ2056">
        <v>114.275138572907</v>
      </c>
      <c r="AK2056">
        <v>3.1671059434898599</v>
      </c>
      <c r="AL2056">
        <v>78.368497240573106</v>
      </c>
      <c r="AM2056">
        <v>98.527315734214397</v>
      </c>
      <c r="AN2056">
        <v>1.0000000618813301</v>
      </c>
    </row>
    <row r="2057" spans="1:40" x14ac:dyDescent="0.25">
      <c r="A2057" t="str">
        <f>"20190303170802956"</f>
        <v>20190303170802956</v>
      </c>
      <c r="B2057" t="str">
        <f>"1551604082944949"</f>
        <v>1551604082944949</v>
      </c>
      <c r="C2057" t="s">
        <v>40</v>
      </c>
      <c r="D2057">
        <v>4.1318089999999996</v>
      </c>
      <c r="E2057">
        <v>0.3929222</v>
      </c>
      <c r="F2057" t="s">
        <v>45</v>
      </c>
      <c r="G2057">
        <v>0</v>
      </c>
      <c r="H2057">
        <v>0</v>
      </c>
      <c r="I2057">
        <v>0</v>
      </c>
      <c r="J2057">
        <v>-493.95209999999997</v>
      </c>
      <c r="K2057">
        <v>1.1313789999999999</v>
      </c>
      <c r="L2057">
        <v>271.60199999999998</v>
      </c>
      <c r="M2057">
        <v>-0.41534090000000001</v>
      </c>
      <c r="N2057">
        <v>-1.5770300000000001E-2</v>
      </c>
      <c r="O2057">
        <v>-0.90952920000000004</v>
      </c>
      <c r="P2057">
        <v>-0.27725420000000001</v>
      </c>
      <c r="Q2057">
        <v>0.1901804</v>
      </c>
      <c r="R2057">
        <v>-0.94178629999999997</v>
      </c>
      <c r="S2057">
        <v>-3.2806399999999999E-2</v>
      </c>
      <c r="T2057">
        <v>0.1041222</v>
      </c>
      <c r="U2057">
        <v>-3.166077</v>
      </c>
      <c r="V2057">
        <v>-0.14404690000000001</v>
      </c>
      <c r="W2057">
        <v>0.20198350000000001</v>
      </c>
      <c r="X2057">
        <v>0.96873790000000004</v>
      </c>
      <c r="Y2057">
        <v>-0.40600510000000001</v>
      </c>
      <c r="Z2057">
        <v>-4.2724810000000002E-2</v>
      </c>
      <c r="AA2057">
        <v>0.91287149999999995</v>
      </c>
      <c r="AB2057">
        <v>27</v>
      </c>
      <c r="AC2057">
        <v>-3.2806399999999999E-2</v>
      </c>
      <c r="AD2057">
        <v>0.1041222</v>
      </c>
      <c r="AE2057">
        <v>-3.166077</v>
      </c>
      <c r="AF2057">
        <v>-1.28393416815921</v>
      </c>
      <c r="AG2057">
        <v>0.1041222</v>
      </c>
      <c r="AH2057">
        <v>2.8904991158232902</v>
      </c>
      <c r="AI2057">
        <v>88.114468604466097</v>
      </c>
      <c r="AJ2057">
        <v>113.95036967310401</v>
      </c>
      <c r="AK2057">
        <v>3.1645400170126998</v>
      </c>
      <c r="AL2057">
        <v>78.347027046278598</v>
      </c>
      <c r="AM2057">
        <v>98.457650168198498</v>
      </c>
      <c r="AN2057">
        <v>0.99999998128413403</v>
      </c>
    </row>
    <row r="2058" spans="1:40" x14ac:dyDescent="0.25">
      <c r="A2058" t="str">
        <f>"20190303170802968"</f>
        <v>20190303170802968</v>
      </c>
      <c r="B2058" t="str">
        <f>"1551604082964470"</f>
        <v>1551604082964470</v>
      </c>
      <c r="C2058" t="s">
        <v>40</v>
      </c>
      <c r="D2058">
        <v>4.1293439999999997</v>
      </c>
      <c r="E2058">
        <v>0.39466560000000001</v>
      </c>
      <c r="F2058" t="s">
        <v>45</v>
      </c>
      <c r="G2058">
        <v>0</v>
      </c>
      <c r="H2058">
        <v>0</v>
      </c>
      <c r="I2058">
        <v>0</v>
      </c>
      <c r="J2058">
        <v>-494.00529999999998</v>
      </c>
      <c r="K2058">
        <v>1.1313219999999999</v>
      </c>
      <c r="L2058">
        <v>271.46820000000002</v>
      </c>
      <c r="M2058">
        <v>-0.40856379999999998</v>
      </c>
      <c r="N2058">
        <v>-1.5756559999999999E-2</v>
      </c>
      <c r="O2058">
        <v>-0.91259389999999996</v>
      </c>
      <c r="P2058">
        <v>-0.2708217</v>
      </c>
      <c r="Q2058">
        <v>0.1907606</v>
      </c>
      <c r="R2058">
        <v>-0.94353929999999997</v>
      </c>
      <c r="S2058">
        <v>-1.217651E-2</v>
      </c>
      <c r="T2058">
        <v>9.8283289999999995E-2</v>
      </c>
      <c r="U2058">
        <v>-3.1619570000000001</v>
      </c>
      <c r="V2058">
        <v>-0.14338509999999999</v>
      </c>
      <c r="W2058">
        <v>0.20258689999999999</v>
      </c>
      <c r="X2058">
        <v>0.96871010000000002</v>
      </c>
      <c r="Y2058">
        <v>-0.40514480000000003</v>
      </c>
      <c r="Z2058">
        <v>-4.1402349999999997E-2</v>
      </c>
      <c r="AA2058">
        <v>0.91331459999999998</v>
      </c>
      <c r="AB2058">
        <v>27</v>
      </c>
      <c r="AC2058">
        <v>-1.217651E-2</v>
      </c>
      <c r="AD2058">
        <v>9.8283289999999995E-2</v>
      </c>
      <c r="AE2058">
        <v>-3.1619570000000001</v>
      </c>
      <c r="AF2058">
        <v>-1.2796714533484099</v>
      </c>
      <c r="AG2058">
        <v>9.8283289999999995E-2</v>
      </c>
      <c r="AH2058">
        <v>2.8881257002032399</v>
      </c>
      <c r="AI2058">
        <v>88.2179394709012</v>
      </c>
      <c r="AJ2058">
        <v>113.89718608821001</v>
      </c>
      <c r="AK2058">
        <v>3.1604570387497</v>
      </c>
      <c r="AL2058">
        <v>78.311725162271202</v>
      </c>
      <c r="AM2058">
        <v>98.419589235618901</v>
      </c>
      <c r="AN2058">
        <v>0.99999999839781495</v>
      </c>
    </row>
    <row r="2059" spans="1:40" x14ac:dyDescent="0.25">
      <c r="A2059" t="str">
        <f>"20190303170802991"</f>
        <v>20190303170802991</v>
      </c>
      <c r="B2059" t="str">
        <f>"1551604082984966"</f>
        <v>1551604082984966</v>
      </c>
      <c r="C2059" t="s">
        <v>40</v>
      </c>
      <c r="D2059">
        <v>4.1794330000000004</v>
      </c>
      <c r="E2059">
        <v>0.39545350000000001</v>
      </c>
      <c r="F2059" t="s">
        <v>45</v>
      </c>
      <c r="G2059">
        <v>0</v>
      </c>
      <c r="H2059">
        <v>0</v>
      </c>
      <c r="I2059">
        <v>0</v>
      </c>
      <c r="J2059">
        <v>-494.1037</v>
      </c>
      <c r="K2059">
        <v>1.131195</v>
      </c>
      <c r="L2059">
        <v>271.21109999999999</v>
      </c>
      <c r="M2059">
        <v>-0.39568730000000002</v>
      </c>
      <c r="N2059">
        <v>-1.5726090000000002E-2</v>
      </c>
      <c r="O2059">
        <v>-0.91825080000000003</v>
      </c>
      <c r="P2059">
        <v>-0.258772</v>
      </c>
      <c r="Q2059">
        <v>0.19128790000000001</v>
      </c>
      <c r="R2059">
        <v>-0.94680850000000005</v>
      </c>
      <c r="S2059">
        <v>-3.9672850000000001E-3</v>
      </c>
      <c r="T2059">
        <v>9.7099299999999999E-2</v>
      </c>
      <c r="U2059">
        <v>-3.158722</v>
      </c>
      <c r="V2059">
        <v>-0.142007299999999</v>
      </c>
      <c r="W2059">
        <v>0.20316500000000001</v>
      </c>
      <c r="X2059">
        <v>0.96879199999999999</v>
      </c>
      <c r="Y2059">
        <v>-0.39462629999999999</v>
      </c>
      <c r="Z2059">
        <v>-4.1428439999999997E-2</v>
      </c>
      <c r="AA2059">
        <v>0.91790720000000003</v>
      </c>
      <c r="AB2059">
        <v>27</v>
      </c>
      <c r="AC2059">
        <v>-3.9672850000000001E-3</v>
      </c>
      <c r="AD2059">
        <v>9.7099299999999999E-2</v>
      </c>
      <c r="AE2059">
        <v>-3.158722</v>
      </c>
      <c r="AF2059">
        <v>-1.2452005202280301</v>
      </c>
      <c r="AG2059">
        <v>9.7099299999999999E-2</v>
      </c>
      <c r="AH2059">
        <v>2.8996872629710602</v>
      </c>
      <c r="AI2059">
        <v>88.237617472823999</v>
      </c>
      <c r="AJ2059">
        <v>113.239933572995</v>
      </c>
      <c r="AK2059">
        <v>3.1572359482105901</v>
      </c>
      <c r="AL2059">
        <v>78.277899234428702</v>
      </c>
      <c r="AM2059">
        <v>98.339132856093798</v>
      </c>
      <c r="AN2059">
        <v>1.0000000148711401</v>
      </c>
    </row>
    <row r="2060" spans="1:40" x14ac:dyDescent="0.25">
      <c r="A2060" t="str">
        <f>"20190303170803015"</f>
        <v>20190303170803015</v>
      </c>
      <c r="B2060" t="str">
        <f>"1551604083004485"</f>
        <v>1551604083004485</v>
      </c>
      <c r="C2060" t="s">
        <v>40</v>
      </c>
      <c r="D2060">
        <v>4.1789180000000004</v>
      </c>
      <c r="E2060">
        <v>0.40597480000000002</v>
      </c>
      <c r="F2060" t="s">
        <v>45</v>
      </c>
      <c r="G2060">
        <v>0</v>
      </c>
      <c r="H2060">
        <v>0</v>
      </c>
      <c r="I2060">
        <v>0</v>
      </c>
      <c r="J2060">
        <v>-494.20089999999999</v>
      </c>
      <c r="K2060">
        <v>1.1310209999999901</v>
      </c>
      <c r="L2060">
        <v>270.94639999999998</v>
      </c>
      <c r="M2060">
        <v>-0.38263570000000002</v>
      </c>
      <c r="N2060">
        <v>-1.5688029999999999E-2</v>
      </c>
      <c r="O2060">
        <v>-0.92376630000000004</v>
      </c>
      <c r="P2060">
        <v>-0.24704029999999999</v>
      </c>
      <c r="Q2060">
        <v>0.1898223</v>
      </c>
      <c r="R2060">
        <v>-0.95023069999999998</v>
      </c>
      <c r="S2060">
        <v>3.067017E-2</v>
      </c>
      <c r="T2060">
        <v>9.7510700000000006E-2</v>
      </c>
      <c r="U2060">
        <v>-3.1571959999999999</v>
      </c>
      <c r="V2060">
        <v>-0.1402485</v>
      </c>
      <c r="W2060">
        <v>0.20177059999999999</v>
      </c>
      <c r="X2060">
        <v>0.96933939999999996</v>
      </c>
      <c r="Y2060">
        <v>-0.39167289999999999</v>
      </c>
      <c r="Z2060">
        <v>-4.1817649999999998E-2</v>
      </c>
      <c r="AA2060">
        <v>0.91915369999999996</v>
      </c>
      <c r="AB2060">
        <v>27</v>
      </c>
      <c r="AC2060">
        <v>3.067017E-2</v>
      </c>
      <c r="AD2060">
        <v>9.7510700000000006E-2</v>
      </c>
      <c r="AE2060">
        <v>-3.1571959999999999</v>
      </c>
      <c r="AF2060">
        <v>-1.2353616199822499</v>
      </c>
      <c r="AG2060">
        <v>9.7510700000000006E-2</v>
      </c>
      <c r="AH2060">
        <v>2.9023644514744298</v>
      </c>
      <c r="AI2060">
        <v>88.229366717686005</v>
      </c>
      <c r="AJ2060">
        <v>113.05653095544901</v>
      </c>
      <c r="AK2060">
        <v>3.1558431643416802</v>
      </c>
      <c r="AL2060">
        <v>78.359481316297803</v>
      </c>
      <c r="AM2060">
        <v>98.232688432401105</v>
      </c>
      <c r="AN2060">
        <v>0.99999994458448305</v>
      </c>
    </row>
    <row r="2061" spans="1:40" x14ac:dyDescent="0.25">
      <c r="A2061" t="str">
        <f>"20190303170803034"</f>
        <v>20190303170803034</v>
      </c>
      <c r="B2061" t="str">
        <f>"1551604083024981"</f>
        <v>1551604083024981</v>
      </c>
      <c r="C2061" t="s">
        <v>40</v>
      </c>
      <c r="D2061">
        <v>4.1929600000000002</v>
      </c>
      <c r="E2061">
        <v>0.40659109999999998</v>
      </c>
      <c r="F2061" t="s">
        <v>45</v>
      </c>
      <c r="G2061">
        <v>0</v>
      </c>
      <c r="H2061">
        <v>0</v>
      </c>
      <c r="I2061">
        <v>0</v>
      </c>
      <c r="J2061">
        <v>-494.27620000000002</v>
      </c>
      <c r="K2061">
        <v>1.1308659999999999</v>
      </c>
      <c r="L2061">
        <v>270.73379999999997</v>
      </c>
      <c r="M2061">
        <v>-0.37228529999999999</v>
      </c>
      <c r="N2061">
        <v>-1.565333E-2</v>
      </c>
      <c r="O2061">
        <v>-0.92798630000000004</v>
      </c>
      <c r="P2061">
        <v>-0.23867550000000001</v>
      </c>
      <c r="Q2061">
        <v>0.18873509999999999</v>
      </c>
      <c r="R2061">
        <v>-0.9525825</v>
      </c>
      <c r="S2061">
        <v>-1.135254E-2</v>
      </c>
      <c r="T2061">
        <v>6.7976590000000003E-2</v>
      </c>
      <c r="U2061">
        <v>-3.1405940000000001</v>
      </c>
      <c r="V2061">
        <v>-0.1379099</v>
      </c>
      <c r="W2061">
        <v>0.2007613</v>
      </c>
      <c r="X2061">
        <v>0.96988439999999998</v>
      </c>
      <c r="Y2061">
        <v>-0.3689924</v>
      </c>
      <c r="Z2061">
        <v>-3.417916E-2</v>
      </c>
      <c r="AA2061">
        <v>0.92880370000000001</v>
      </c>
      <c r="AB2061">
        <v>27</v>
      </c>
      <c r="AC2061">
        <v>-1.135254E-2</v>
      </c>
      <c r="AD2061">
        <v>6.7976590000000003E-2</v>
      </c>
      <c r="AE2061">
        <v>-3.1405940000000001</v>
      </c>
      <c r="AF2061">
        <v>-1.1582613675009099</v>
      </c>
      <c r="AG2061">
        <v>6.7976590000000003E-2</v>
      </c>
      <c r="AH2061">
        <v>2.9176454572449901</v>
      </c>
      <c r="AI2061">
        <v>88.759482446284196</v>
      </c>
      <c r="AJ2061">
        <v>111.652333262978</v>
      </c>
      <c r="AK2061">
        <v>3.13987981082325</v>
      </c>
      <c r="AL2061">
        <v>78.418518631721199</v>
      </c>
      <c r="AM2061">
        <v>98.092756839972196</v>
      </c>
      <c r="AN2061">
        <v>0.99999999472952905</v>
      </c>
    </row>
    <row r="2062" spans="1:40" x14ac:dyDescent="0.25">
      <c r="A2062" t="str">
        <f>"20190303170803057"</f>
        <v>20190303170803057</v>
      </c>
      <c r="B2062" t="str">
        <f>"1551604083044501"</f>
        <v>1551604083044501</v>
      </c>
      <c r="C2062" t="s">
        <v>40</v>
      </c>
      <c r="D2062">
        <v>4.2288249999999996</v>
      </c>
      <c r="E2062">
        <v>0.41137679999999999</v>
      </c>
      <c r="F2062" t="s">
        <v>45</v>
      </c>
      <c r="G2062">
        <v>0</v>
      </c>
      <c r="H2062">
        <v>0</v>
      </c>
      <c r="I2062">
        <v>0</v>
      </c>
      <c r="J2062">
        <v>-494.36160000000001</v>
      </c>
      <c r="K2062">
        <v>1.1306719999999999</v>
      </c>
      <c r="L2062">
        <v>270.48349999999999</v>
      </c>
      <c r="M2062">
        <v>-0.36029660000000002</v>
      </c>
      <c r="N2062">
        <v>-1.5609680000000001E-2</v>
      </c>
      <c r="O2062">
        <v>-0.93270739999999996</v>
      </c>
      <c r="P2062">
        <v>-0.22836909999999999</v>
      </c>
      <c r="Q2062">
        <v>0.18745590000000001</v>
      </c>
      <c r="R2062">
        <v>-0.95535789999999998</v>
      </c>
      <c r="S2062">
        <v>1.1810299999999999E-2</v>
      </c>
      <c r="T2062">
        <v>6.5193650000000006E-2</v>
      </c>
      <c r="U2062">
        <v>-3.1393740000000001</v>
      </c>
      <c r="V2062">
        <v>-0.13585229999999901</v>
      </c>
      <c r="W2062">
        <v>0.19955680000000001</v>
      </c>
      <c r="X2062">
        <v>0.97042320000000004</v>
      </c>
      <c r="Y2062">
        <v>-0.36385879999999998</v>
      </c>
      <c r="Z2062">
        <v>-3.3572820000000003E-2</v>
      </c>
      <c r="AA2062">
        <v>0.93084880000000003</v>
      </c>
      <c r="AB2062">
        <v>27</v>
      </c>
      <c r="AC2062">
        <v>1.1810299999999999E-2</v>
      </c>
      <c r="AD2062">
        <v>6.5193650000000006E-2</v>
      </c>
      <c r="AE2062">
        <v>-3.1393740000000001</v>
      </c>
      <c r="AF2062">
        <v>-1.1417679023463601</v>
      </c>
      <c r="AG2062">
        <v>6.5193650000000006E-2</v>
      </c>
      <c r="AH2062">
        <v>2.9229573591909301</v>
      </c>
      <c r="AI2062">
        <v>88.809836649313894</v>
      </c>
      <c r="AJ2062">
        <v>111.336649832582</v>
      </c>
      <c r="AK2062">
        <v>3.13872010196468</v>
      </c>
      <c r="AL2062">
        <v>78.488956607115796</v>
      </c>
      <c r="AM2062">
        <v>97.969208055562703</v>
      </c>
      <c r="AN2062">
        <v>0.99999997546988395</v>
      </c>
    </row>
    <row r="2063" spans="1:40" x14ac:dyDescent="0.25">
      <c r="A2063" t="str">
        <f>"20190303170803081"</f>
        <v>20190303170803081</v>
      </c>
      <c r="B2063" t="str">
        <f>"1551604083074757"</f>
        <v>1551604083074757</v>
      </c>
      <c r="C2063" t="s">
        <v>40</v>
      </c>
      <c r="D2063">
        <v>4.2670949999999896</v>
      </c>
      <c r="E2063">
        <v>0.41316770000000003</v>
      </c>
      <c r="F2063" t="s">
        <v>45</v>
      </c>
      <c r="G2063">
        <v>0</v>
      </c>
      <c r="H2063">
        <v>0</v>
      </c>
      <c r="I2063">
        <v>0</v>
      </c>
      <c r="J2063">
        <v>-494.44990000000001</v>
      </c>
      <c r="K2063">
        <v>1.1304479999999999</v>
      </c>
      <c r="L2063">
        <v>270.21379999999999</v>
      </c>
      <c r="M2063">
        <v>-0.34763490000000002</v>
      </c>
      <c r="N2063">
        <v>-1.5560050000000001E-2</v>
      </c>
      <c r="O2063">
        <v>-0.93750080000000002</v>
      </c>
      <c r="P2063">
        <v>-0.21691859999999999</v>
      </c>
      <c r="Q2063">
        <v>0.18667220000000001</v>
      </c>
      <c r="R2063">
        <v>-0.95817509999999995</v>
      </c>
      <c r="S2063">
        <v>8.6669920000000001E-3</v>
      </c>
      <c r="T2063">
        <v>5.3893919999999998E-2</v>
      </c>
      <c r="U2063">
        <v>-3.1316830000000002</v>
      </c>
      <c r="V2063">
        <v>-0.13424990000000001</v>
      </c>
      <c r="W2063">
        <v>0.19883670000000001</v>
      </c>
      <c r="X2063">
        <v>0.97079400000000005</v>
      </c>
      <c r="Y2063">
        <v>-0.35027350000000002</v>
      </c>
      <c r="Z2063">
        <v>-3.0614860000000001E-2</v>
      </c>
      <c r="AA2063">
        <v>0.93614699999999995</v>
      </c>
      <c r="AB2063">
        <v>27</v>
      </c>
      <c r="AC2063">
        <v>8.6669920000000001E-3</v>
      </c>
      <c r="AD2063">
        <v>5.3893919999999998E-2</v>
      </c>
      <c r="AE2063">
        <v>-3.1316830000000002</v>
      </c>
      <c r="AF2063">
        <v>-1.0966157110404799</v>
      </c>
      <c r="AG2063">
        <v>5.3893919999999998E-2</v>
      </c>
      <c r="AH2063">
        <v>2.93242919469479</v>
      </c>
      <c r="AI2063">
        <v>89.013791696396794</v>
      </c>
      <c r="AJ2063">
        <v>110.503863127727</v>
      </c>
      <c r="AK2063">
        <v>3.1312316353492702</v>
      </c>
      <c r="AL2063">
        <v>78.531059683533698</v>
      </c>
      <c r="AM2063">
        <v>97.873425919143401</v>
      </c>
      <c r="AN2063">
        <v>1.00000002967644</v>
      </c>
    </row>
    <row r="2064" spans="1:40" x14ac:dyDescent="0.25">
      <c r="A2064" t="str">
        <f>"20190303170803103"</f>
        <v>20190303170803103</v>
      </c>
      <c r="B2064" t="str">
        <f>"1551604083094277"</f>
        <v>1551604083094277</v>
      </c>
      <c r="C2064" t="s">
        <v>40</v>
      </c>
      <c r="D2064">
        <v>4.2934140000000003</v>
      </c>
      <c r="E2064">
        <v>0.41439500000000001</v>
      </c>
      <c r="F2064" t="s">
        <v>45</v>
      </c>
      <c r="G2064">
        <v>0</v>
      </c>
      <c r="H2064">
        <v>0</v>
      </c>
      <c r="I2064">
        <v>0</v>
      </c>
      <c r="J2064">
        <v>-494.52809999999999</v>
      </c>
      <c r="K2064">
        <v>1.130231</v>
      </c>
      <c r="L2064">
        <v>269.96499999999997</v>
      </c>
      <c r="M2064">
        <v>-0.33621200000000001</v>
      </c>
      <c r="N2064">
        <v>-1.551081E-2</v>
      </c>
      <c r="O2064">
        <v>-0.94165849999999995</v>
      </c>
      <c r="P2064">
        <v>-0.20627860000000001</v>
      </c>
      <c r="Q2064">
        <v>0.18583910000000001</v>
      </c>
      <c r="R2064">
        <v>-0.96068370000000003</v>
      </c>
      <c r="S2064">
        <v>3.1463619999999998E-2</v>
      </c>
      <c r="T2064">
        <v>4.6927690000000001E-2</v>
      </c>
      <c r="U2064">
        <v>-3.1289370000000001</v>
      </c>
      <c r="V2064">
        <v>-0.13314129999999999</v>
      </c>
      <c r="W2064">
        <v>0.19805300000000001</v>
      </c>
      <c r="X2064">
        <v>0.97110680000000005</v>
      </c>
      <c r="Y2064">
        <v>-0.34569949999999999</v>
      </c>
      <c r="Z2064">
        <v>-2.8757580000000001E-2</v>
      </c>
      <c r="AA2064">
        <v>0.93790450000000003</v>
      </c>
      <c r="AB2064">
        <v>27</v>
      </c>
      <c r="AC2064">
        <v>3.1463619999999998E-2</v>
      </c>
      <c r="AD2064">
        <v>4.6927690000000001E-2</v>
      </c>
      <c r="AE2064">
        <v>-3.1289370000000001</v>
      </c>
      <c r="AF2064">
        <v>-1.08150113315767</v>
      </c>
      <c r="AG2064">
        <v>4.6927690000000001E-2</v>
      </c>
      <c r="AH2064">
        <v>2.9355049101722201</v>
      </c>
      <c r="AI2064">
        <v>89.140594494365004</v>
      </c>
      <c r="AJ2064">
        <v>110.22484781626601</v>
      </c>
      <c r="AK2064">
        <v>3.12874351565533</v>
      </c>
      <c r="AL2064">
        <v>78.576873264159005</v>
      </c>
      <c r="AM2064">
        <v>97.806730366971095</v>
      </c>
      <c r="AN2064">
        <v>1.00000000679046</v>
      </c>
    </row>
    <row r="2065" spans="1:40" x14ac:dyDescent="0.25">
      <c r="A2065" t="str">
        <f>"20190303170803123"</f>
        <v>20190303170803123</v>
      </c>
      <c r="B2065" t="str">
        <f>"1551604083114773"</f>
        <v>1551604083114773</v>
      </c>
      <c r="C2065" t="s">
        <v>40</v>
      </c>
      <c r="D2065">
        <v>4.3378410000000001</v>
      </c>
      <c r="E2065">
        <v>0.41505239999999999</v>
      </c>
      <c r="F2065" t="s">
        <v>45</v>
      </c>
      <c r="G2065">
        <v>0</v>
      </c>
      <c r="H2065">
        <v>0</v>
      </c>
      <c r="I2065">
        <v>0</v>
      </c>
      <c r="J2065">
        <v>-494.59870000000001</v>
      </c>
      <c r="K2065">
        <v>1.1300239999999999</v>
      </c>
      <c r="L2065">
        <v>269.73180000000002</v>
      </c>
      <c r="M2065">
        <v>-0.32575349999999997</v>
      </c>
      <c r="N2065">
        <v>-1.5461809999999999E-2</v>
      </c>
      <c r="O2065">
        <v>-0.94532839999999996</v>
      </c>
      <c r="P2065">
        <v>-0.19751389999999999</v>
      </c>
      <c r="Q2065">
        <v>0.18638270000000001</v>
      </c>
      <c r="R2065">
        <v>-0.96241860000000001</v>
      </c>
      <c r="S2065">
        <v>5.6579589999999999E-2</v>
      </c>
      <c r="T2065">
        <v>4.2584419999999998E-2</v>
      </c>
      <c r="U2065">
        <v>-3.126709</v>
      </c>
      <c r="V2065">
        <v>-0.1310963</v>
      </c>
      <c r="W2065">
        <v>0.1986619</v>
      </c>
      <c r="X2065">
        <v>0.97126060000000003</v>
      </c>
      <c r="Y2065">
        <v>-0.34283269999999999</v>
      </c>
      <c r="Z2065">
        <v>-2.7594859999999999E-2</v>
      </c>
      <c r="AA2065">
        <v>0.93899109999999997</v>
      </c>
      <c r="AB2065">
        <v>27</v>
      </c>
      <c r="AC2065">
        <v>5.6579589999999999E-2</v>
      </c>
      <c r="AD2065">
        <v>4.2584419999999998E-2</v>
      </c>
      <c r="AE2065">
        <v>-3.126709</v>
      </c>
      <c r="AF2065">
        <v>-1.0719519812584799</v>
      </c>
      <c r="AG2065">
        <v>4.2584419999999998E-2</v>
      </c>
      <c r="AH2065">
        <v>2.9371420655908702</v>
      </c>
      <c r="AI2065">
        <v>89.2196876423573</v>
      </c>
      <c r="AJ2065">
        <v>110.05027684809301</v>
      </c>
      <c r="AK2065">
        <v>3.1269310827733499</v>
      </c>
      <c r="AL2065">
        <v>78.541278181464904</v>
      </c>
      <c r="AM2065">
        <v>97.687064212987906</v>
      </c>
      <c r="AN2065">
        <v>0.99999997174882904</v>
      </c>
    </row>
    <row r="2066" spans="1:40" x14ac:dyDescent="0.25">
      <c r="A2066" t="str">
        <f>"20190303170803136"</f>
        <v>20190303170803136</v>
      </c>
      <c r="B2066" t="str">
        <f>"1551604083124535"</f>
        <v>1551604083124535</v>
      </c>
      <c r="C2066" t="s">
        <v>40</v>
      </c>
      <c r="D2066">
        <v>4.3172199999999998</v>
      </c>
      <c r="E2066">
        <v>0.42147669999999998</v>
      </c>
      <c r="F2066" t="s">
        <v>45</v>
      </c>
      <c r="G2066">
        <v>0</v>
      </c>
      <c r="H2066">
        <v>0</v>
      </c>
      <c r="I2066">
        <v>0</v>
      </c>
      <c r="J2066">
        <v>-494.63709999999998</v>
      </c>
      <c r="K2066">
        <v>1.1299049999999999</v>
      </c>
      <c r="L2066">
        <v>269.60109999999997</v>
      </c>
      <c r="M2066">
        <v>-0.31999729999999998</v>
      </c>
      <c r="N2066">
        <v>-1.543341E-2</v>
      </c>
      <c r="O2066">
        <v>-0.94729280000000005</v>
      </c>
      <c r="P2066">
        <v>-0.1924623</v>
      </c>
      <c r="Q2066">
        <v>0.1866324</v>
      </c>
      <c r="R2066">
        <v>-0.96339330000000001</v>
      </c>
      <c r="S2066">
        <v>8.1085210000000005E-2</v>
      </c>
      <c r="T2066">
        <v>4.36362E-2</v>
      </c>
      <c r="U2066">
        <v>-3.125305</v>
      </c>
      <c r="V2066">
        <v>-0.1302121</v>
      </c>
      <c r="W2066">
        <v>0.19894100000000001</v>
      </c>
      <c r="X2066">
        <v>0.97132249999999998</v>
      </c>
      <c r="Y2066">
        <v>-0.34448519999999999</v>
      </c>
      <c r="Z2066">
        <v>-2.7924859999999999E-2</v>
      </c>
      <c r="AA2066">
        <v>0.9383764</v>
      </c>
      <c r="AB2066">
        <v>27</v>
      </c>
      <c r="AC2066">
        <v>8.1085210000000005E-2</v>
      </c>
      <c r="AD2066">
        <v>4.36362E-2</v>
      </c>
      <c r="AE2066">
        <v>-3.125305</v>
      </c>
      <c r="AF2066">
        <v>-1.0768190361351999</v>
      </c>
      <c r="AG2066">
        <v>4.36362E-2</v>
      </c>
      <c r="AH2066">
        <v>2.9344096159825002</v>
      </c>
      <c r="AI2066">
        <v>89.200188917823994</v>
      </c>
      <c r="AJ2066">
        <v>110.151256096694</v>
      </c>
      <c r="AK2066">
        <v>3.1260523266420499</v>
      </c>
      <c r="AL2066">
        <v>78.524962216085399</v>
      </c>
      <c r="AM2066">
        <v>97.635350464088106</v>
      </c>
      <c r="AN2066">
        <v>1.00000005573682</v>
      </c>
    </row>
    <row r="2067" spans="1:40" x14ac:dyDescent="0.25">
      <c r="A2067" t="str">
        <f>"20190303170803158"</f>
        <v>20190303170803158</v>
      </c>
      <c r="B2067" t="str">
        <f>"1551604083154789"</f>
        <v>1551604083154789</v>
      </c>
      <c r="C2067" t="s">
        <v>40</v>
      </c>
      <c r="D2067">
        <v>4.3615599999999999</v>
      </c>
      <c r="E2067">
        <v>0.42574600000000001</v>
      </c>
      <c r="F2067" t="s">
        <v>45</v>
      </c>
      <c r="G2067">
        <v>0</v>
      </c>
      <c r="H2067">
        <v>0</v>
      </c>
      <c r="I2067">
        <v>0</v>
      </c>
      <c r="J2067">
        <v>-494.70940000000002</v>
      </c>
      <c r="K2067">
        <v>1.129675</v>
      </c>
      <c r="L2067">
        <v>269.34780000000001</v>
      </c>
      <c r="M2067">
        <v>-0.30904769999999998</v>
      </c>
      <c r="N2067">
        <v>-1.5377790000000001E-2</v>
      </c>
      <c r="O2067">
        <v>-0.95092220000000005</v>
      </c>
      <c r="P2067">
        <v>-0.18175069999999999</v>
      </c>
      <c r="Q2067">
        <v>0.18679109999999999</v>
      </c>
      <c r="R2067">
        <v>-0.96544070000000004</v>
      </c>
      <c r="S2067">
        <v>4.6997070000000002E-2</v>
      </c>
      <c r="T2067">
        <v>2.6232479999999999E-2</v>
      </c>
      <c r="U2067">
        <v>-3.1182859999999999</v>
      </c>
      <c r="V2067">
        <v>-0.1296725</v>
      </c>
      <c r="W2067">
        <v>0.19912830000000001</v>
      </c>
      <c r="X2067">
        <v>0.9713562</v>
      </c>
      <c r="Y2067">
        <v>-0.32335979999999998</v>
      </c>
      <c r="Z2067">
        <v>-2.2980509999999999E-2</v>
      </c>
      <c r="AA2067">
        <v>0.94599699999999998</v>
      </c>
      <c r="AB2067">
        <v>27</v>
      </c>
      <c r="AC2067">
        <v>4.6997070000000002E-2</v>
      </c>
      <c r="AD2067">
        <v>2.6232479999999999E-2</v>
      </c>
      <c r="AE2067">
        <v>-3.1182859999999999</v>
      </c>
      <c r="AF2067">
        <v>-1.0084375804315899</v>
      </c>
      <c r="AG2067">
        <v>2.6232479999999999E-2</v>
      </c>
      <c r="AH2067">
        <v>2.95086323112336</v>
      </c>
      <c r="AI2067">
        <v>89.518033112580198</v>
      </c>
      <c r="AJ2067">
        <v>108.86751650131001</v>
      </c>
      <c r="AK2067">
        <v>3.1185298307743499</v>
      </c>
      <c r="AL2067">
        <v>78.514010417235994</v>
      </c>
      <c r="AM2067">
        <v>97.603819772353802</v>
      </c>
      <c r="AN2067">
        <v>0.99999995219778803</v>
      </c>
    </row>
    <row r="2068" spans="1:40" x14ac:dyDescent="0.25">
      <c r="A2068" t="str">
        <f>"20190303170803182"</f>
        <v>20190303170803182</v>
      </c>
      <c r="B2068" t="str">
        <f>"1551604083174309"</f>
        <v>1551604083174309</v>
      </c>
      <c r="C2068" t="s">
        <v>40</v>
      </c>
      <c r="D2068">
        <v>4.3784280000000004</v>
      </c>
      <c r="E2068">
        <v>0.42679230000000001</v>
      </c>
      <c r="F2068" t="s">
        <v>45</v>
      </c>
      <c r="G2068">
        <v>0</v>
      </c>
      <c r="H2068">
        <v>0</v>
      </c>
      <c r="I2068">
        <v>0</v>
      </c>
      <c r="J2068">
        <v>-494.78359999999998</v>
      </c>
      <c r="K2068">
        <v>1.1294360000000001</v>
      </c>
      <c r="L2068">
        <v>269.07659999999998</v>
      </c>
      <c r="M2068">
        <v>-0.29759089999999999</v>
      </c>
      <c r="N2068">
        <v>-1.531954E-2</v>
      </c>
      <c r="O2068">
        <v>-0.95457080000000005</v>
      </c>
      <c r="P2068">
        <v>-0.17052519999999999</v>
      </c>
      <c r="Q2068">
        <v>0.18499470000000001</v>
      </c>
      <c r="R2068">
        <v>-0.96783189999999997</v>
      </c>
      <c r="S2068">
        <v>4.8431399999999999E-2</v>
      </c>
      <c r="T2068">
        <v>2.1454569999999999E-2</v>
      </c>
      <c r="U2068">
        <v>-3.1123660000000002</v>
      </c>
      <c r="V2068">
        <v>-0.12922539999999999</v>
      </c>
      <c r="W2068">
        <v>0.1973617</v>
      </c>
      <c r="X2068">
        <v>0.97177630000000004</v>
      </c>
      <c r="Y2068">
        <v>-0.31241999999999998</v>
      </c>
      <c r="Z2068">
        <v>-2.1606090000000001E-2</v>
      </c>
      <c r="AA2068">
        <v>0.9496983</v>
      </c>
      <c r="AB2068">
        <v>27</v>
      </c>
      <c r="AC2068">
        <v>4.8431399999999999E-2</v>
      </c>
      <c r="AD2068">
        <v>2.1454569999999999E-2</v>
      </c>
      <c r="AE2068">
        <v>-3.1123660000000002</v>
      </c>
      <c r="AF2068">
        <v>-0.97251071321364302</v>
      </c>
      <c r="AG2068">
        <v>2.1454569999999999E-2</v>
      </c>
      <c r="AH2068">
        <v>2.9567668321320602</v>
      </c>
      <c r="AI2068">
        <v>89.605076512220705</v>
      </c>
      <c r="AJ2068">
        <v>108.206561796465</v>
      </c>
      <c r="AK2068">
        <v>3.11266886858937</v>
      </c>
      <c r="AL2068">
        <v>78.617279458308104</v>
      </c>
      <c r="AM2068">
        <v>97.574669729370697</v>
      </c>
      <c r="AN2068">
        <v>1.0000000109368701</v>
      </c>
    </row>
    <row r="2069" spans="1:40" x14ac:dyDescent="0.25">
      <c r="A2069" t="str">
        <f>"20190303170803204"</f>
        <v>20190303170803204</v>
      </c>
      <c r="B2069" t="str">
        <f>"1551604083194805"</f>
        <v>1551604083194805</v>
      </c>
      <c r="C2069" t="s">
        <v>40</v>
      </c>
      <c r="D2069">
        <v>4.3924880000000002</v>
      </c>
      <c r="E2069">
        <v>0.4302339</v>
      </c>
      <c r="F2069" t="s">
        <v>45</v>
      </c>
      <c r="G2069">
        <v>0</v>
      </c>
      <c r="H2069">
        <v>0</v>
      </c>
      <c r="I2069">
        <v>0</v>
      </c>
      <c r="J2069">
        <v>-494.8503</v>
      </c>
      <c r="K2069">
        <v>1.1292359999999999</v>
      </c>
      <c r="L2069">
        <v>268.82220000000001</v>
      </c>
      <c r="M2069">
        <v>-0.28706340000000002</v>
      </c>
      <c r="N2069">
        <v>-1.5268199999999999E-2</v>
      </c>
      <c r="O2069">
        <v>-0.95778980000000002</v>
      </c>
      <c r="P2069">
        <v>-0.16082589999999999</v>
      </c>
      <c r="Q2069">
        <v>0.1832394</v>
      </c>
      <c r="R2069">
        <v>-0.96982400000000002</v>
      </c>
      <c r="S2069">
        <v>7.6538090000000003E-2</v>
      </c>
      <c r="T2069">
        <v>1.407719E-2</v>
      </c>
      <c r="U2069">
        <v>-3.110535</v>
      </c>
      <c r="V2069">
        <v>-0.12822229999999901</v>
      </c>
      <c r="W2069">
        <v>0.19564110000000001</v>
      </c>
      <c r="X2069">
        <v>0.97225700000000004</v>
      </c>
      <c r="Y2069">
        <v>-0.31054300000000001</v>
      </c>
      <c r="Z2069">
        <v>-1.9449709999999999E-2</v>
      </c>
      <c r="AA2069">
        <v>0.95036030000000005</v>
      </c>
      <c r="AB2069">
        <v>27</v>
      </c>
      <c r="AC2069">
        <v>7.6538090000000003E-2</v>
      </c>
      <c r="AD2069">
        <v>1.407719E-2</v>
      </c>
      <c r="AE2069">
        <v>-3.110535</v>
      </c>
      <c r="AF2069">
        <v>-0.96632110698359497</v>
      </c>
      <c r="AG2069">
        <v>1.407719E-2</v>
      </c>
      <c r="AH2069">
        <v>2.9575519033916899</v>
      </c>
      <c r="AI2069">
        <v>89.740774330691494</v>
      </c>
      <c r="AJ2069">
        <v>108.09377118955599</v>
      </c>
      <c r="AK2069">
        <v>3.11144466612153</v>
      </c>
      <c r="AL2069">
        <v>78.717823117045796</v>
      </c>
      <c r="AM2069">
        <v>97.512873109834601</v>
      </c>
      <c r="AN2069">
        <v>1.0000000361377399</v>
      </c>
    </row>
    <row r="2070" spans="1:40" x14ac:dyDescent="0.25">
      <c r="A2070" t="str">
        <f>"20190303170803225"</f>
        <v>20190303170803225</v>
      </c>
      <c r="B2070" t="str">
        <f>"1551604083214325"</f>
        <v>1551604083214325</v>
      </c>
      <c r="C2070" t="s">
        <v>40</v>
      </c>
      <c r="D2070">
        <v>4.4581189999999999</v>
      </c>
      <c r="E2070">
        <v>0.43156709999999898</v>
      </c>
      <c r="F2070" t="s">
        <v>45</v>
      </c>
      <c r="G2070">
        <v>0</v>
      </c>
      <c r="H2070">
        <v>0</v>
      </c>
      <c r="I2070">
        <v>0</v>
      </c>
      <c r="J2070">
        <v>-494.90949999999998</v>
      </c>
      <c r="K2070">
        <v>1.1290830000000001</v>
      </c>
      <c r="L2070">
        <v>268.58730000000003</v>
      </c>
      <c r="M2070">
        <v>-0.27751710000000002</v>
      </c>
      <c r="N2070">
        <v>-1.522429E-2</v>
      </c>
      <c r="O2070">
        <v>-0.96060029999999996</v>
      </c>
      <c r="P2070">
        <v>-0.15397369999999999</v>
      </c>
      <c r="Q2070">
        <v>0.18393989999999999</v>
      </c>
      <c r="R2070">
        <v>-0.97080330000000004</v>
      </c>
      <c r="S2070">
        <v>8.1329349999999995E-2</v>
      </c>
      <c r="T2070">
        <v>3.3925769999999999E-3</v>
      </c>
      <c r="U2070">
        <v>-3.106201</v>
      </c>
      <c r="V2070">
        <v>-0.12530549999999999</v>
      </c>
      <c r="W2070">
        <v>0.19640469999999999</v>
      </c>
      <c r="X2070">
        <v>0.97248330000000005</v>
      </c>
      <c r="Y2070">
        <v>-0.30256359999999999</v>
      </c>
      <c r="Z2070">
        <v>-1.6282660000000001E-2</v>
      </c>
      <c r="AA2070">
        <v>0.95299009999999995</v>
      </c>
      <c r="AB2070">
        <v>27</v>
      </c>
      <c r="AC2070">
        <v>8.1329349999999995E-2</v>
      </c>
      <c r="AD2070">
        <v>3.3925769999999999E-3</v>
      </c>
      <c r="AE2070">
        <v>-3.106201</v>
      </c>
      <c r="AF2070">
        <v>-0.94025652852022401</v>
      </c>
      <c r="AG2070">
        <v>3.3925769999999999E-3</v>
      </c>
      <c r="AH2070">
        <v>2.96158635819239</v>
      </c>
      <c r="AI2070">
        <v>89.937443229117704</v>
      </c>
      <c r="AJ2070">
        <v>107.613814822325</v>
      </c>
      <c r="AK2070">
        <v>3.1072636846645101</v>
      </c>
      <c r="AL2070">
        <v>78.673206300455206</v>
      </c>
      <c r="AM2070">
        <v>97.342167027438293</v>
      </c>
      <c r="AN2070">
        <v>1.00000002164561</v>
      </c>
    </row>
    <row r="2071" spans="1:40" x14ac:dyDescent="0.25">
      <c r="A2071" t="str">
        <f>"20190303170803248"</f>
        <v>20190303170803248</v>
      </c>
      <c r="B2071" t="str">
        <f>"1551604083244581"</f>
        <v>1551604083244581</v>
      </c>
      <c r="C2071" t="s">
        <v>40</v>
      </c>
      <c r="D2071">
        <v>4.46868</v>
      </c>
      <c r="E2071">
        <v>0.43377909999999997</v>
      </c>
      <c r="F2071" t="s">
        <v>45</v>
      </c>
      <c r="G2071">
        <v>0</v>
      </c>
      <c r="H2071">
        <v>0</v>
      </c>
      <c r="I2071">
        <v>0</v>
      </c>
      <c r="J2071">
        <v>-494.97089999999997</v>
      </c>
      <c r="K2071">
        <v>1.1289549999999999</v>
      </c>
      <c r="L2071">
        <v>268.3331</v>
      </c>
      <c r="M2071">
        <v>-0.26734540000000001</v>
      </c>
      <c r="N2071">
        <v>-1.517924E-2</v>
      </c>
      <c r="O2071">
        <v>-0.96348140000000004</v>
      </c>
      <c r="P2071">
        <v>-0.1471307</v>
      </c>
      <c r="Q2071">
        <v>0.1850137</v>
      </c>
      <c r="R2071">
        <v>-0.97165990000000002</v>
      </c>
      <c r="S2071">
        <v>9.2926030000000007E-2</v>
      </c>
      <c r="T2071">
        <v>3.0523540000000002E-3</v>
      </c>
      <c r="U2071">
        <v>-3.1044010000000002</v>
      </c>
      <c r="V2071">
        <v>-0.12175800000000001</v>
      </c>
      <c r="W2071">
        <v>0.19754859999999999</v>
      </c>
      <c r="X2071">
        <v>0.97270219999999996</v>
      </c>
      <c r="Y2071">
        <v>-0.29605160000000003</v>
      </c>
      <c r="Z2071">
        <v>-1.6148320000000001E-2</v>
      </c>
      <c r="AA2071">
        <v>0.95503539999999998</v>
      </c>
      <c r="AB2071">
        <v>27</v>
      </c>
      <c r="AC2071">
        <v>9.2926030000000007E-2</v>
      </c>
      <c r="AD2071">
        <v>3.0523540000000002E-3</v>
      </c>
      <c r="AE2071">
        <v>-3.1044010000000002</v>
      </c>
      <c r="AF2071">
        <v>-0.91958471211295501</v>
      </c>
      <c r="AG2071">
        <v>3.0523540000000002E-3</v>
      </c>
      <c r="AH2071">
        <v>2.96652762323188</v>
      </c>
      <c r="AI2071">
        <v>89.943690001525894</v>
      </c>
      <c r="AJ2071">
        <v>107.222751603793</v>
      </c>
      <c r="AK2071">
        <v>3.1057899959615098</v>
      </c>
      <c r="AL2071">
        <v>78.606355857430401</v>
      </c>
      <c r="AM2071">
        <v>97.134888762376406</v>
      </c>
      <c r="AN2071">
        <v>1.00000001490539</v>
      </c>
    </row>
    <row r="2072" spans="1:40" x14ac:dyDescent="0.25">
      <c r="A2072" t="str">
        <f>"20190303170803271"</f>
        <v>20190303170803271</v>
      </c>
      <c r="B2072" t="str">
        <f>"1551604083265077"</f>
        <v>1551604083265077</v>
      </c>
      <c r="C2072" t="s">
        <v>40</v>
      </c>
      <c r="D2072">
        <v>4.4540810000000004</v>
      </c>
      <c r="E2072">
        <v>0.43493480000000001</v>
      </c>
      <c r="F2072" t="s">
        <v>45</v>
      </c>
      <c r="G2072">
        <v>0</v>
      </c>
      <c r="H2072">
        <v>0</v>
      </c>
      <c r="I2072">
        <v>0</v>
      </c>
      <c r="J2072">
        <v>-495.03339999999997</v>
      </c>
      <c r="K2072">
        <v>1.1288229999999999</v>
      </c>
      <c r="L2072">
        <v>268.06169999999997</v>
      </c>
      <c r="M2072">
        <v>-0.25666909999999998</v>
      </c>
      <c r="N2072">
        <v>-1.5133000000000001E-2</v>
      </c>
      <c r="O2072">
        <v>-0.96638100000000005</v>
      </c>
      <c r="P2072">
        <v>-0.1388684</v>
      </c>
      <c r="Q2072">
        <v>0.1872268</v>
      </c>
      <c r="R2072">
        <v>-0.97245130000000002</v>
      </c>
      <c r="S2072">
        <v>9.8052979999999998E-2</v>
      </c>
      <c r="T2072">
        <v>4.4941900000000003E-3</v>
      </c>
      <c r="U2072">
        <v>-3.1015009999999998</v>
      </c>
      <c r="V2072">
        <v>-0.1191147</v>
      </c>
      <c r="W2072">
        <v>0.19980629999999999</v>
      </c>
      <c r="X2072">
        <v>0.97256830000000005</v>
      </c>
      <c r="Y2072">
        <v>-0.28707630000000001</v>
      </c>
      <c r="Z2072">
        <v>-1.6540659999999999E-2</v>
      </c>
      <c r="AA2072">
        <v>0.95776490000000003</v>
      </c>
      <c r="AB2072">
        <v>27</v>
      </c>
      <c r="AC2072">
        <v>9.8052979999999998E-2</v>
      </c>
      <c r="AD2072">
        <v>4.4941900000000003E-3</v>
      </c>
      <c r="AE2072">
        <v>-3.1015009999999998</v>
      </c>
      <c r="AF2072">
        <v>-0.89091603668977903</v>
      </c>
      <c r="AG2072">
        <v>4.4941900000000003E-3</v>
      </c>
      <c r="AH2072">
        <v>2.97239820012333</v>
      </c>
      <c r="AI2072">
        <v>89.917017633580599</v>
      </c>
      <c r="AJ2072">
        <v>106.685035156146</v>
      </c>
      <c r="AK2072">
        <v>3.1030473155063598</v>
      </c>
      <c r="AL2072">
        <v>78.474367593794696</v>
      </c>
      <c r="AM2072">
        <v>96.982491266125095</v>
      </c>
      <c r="AN2072">
        <v>0.99999998372033405</v>
      </c>
    </row>
    <row r="2073" spans="1:40" x14ac:dyDescent="0.25">
      <c r="A2073" t="str">
        <f>"20190303170803293"</f>
        <v>20190303170803293</v>
      </c>
      <c r="B2073" t="str">
        <f>"1551604083284597"</f>
        <v>1551604083284597</v>
      </c>
      <c r="C2073" t="s">
        <v>40</v>
      </c>
      <c r="D2073">
        <v>4.5226620000000004</v>
      </c>
      <c r="E2073">
        <v>0.44209799999999999</v>
      </c>
      <c r="F2073" t="s">
        <v>45</v>
      </c>
      <c r="G2073">
        <v>0</v>
      </c>
      <c r="H2073">
        <v>0</v>
      </c>
      <c r="I2073">
        <v>0</v>
      </c>
      <c r="J2073">
        <v>-495.08789999999999</v>
      </c>
      <c r="K2073">
        <v>1.1286969999999901</v>
      </c>
      <c r="L2073">
        <v>267.81360000000001</v>
      </c>
      <c r="M2073">
        <v>-0.24705060000000001</v>
      </c>
      <c r="N2073">
        <v>-1.509196E-2</v>
      </c>
      <c r="O2073">
        <v>-0.96888510000000005</v>
      </c>
      <c r="P2073">
        <v>-0.1315482</v>
      </c>
      <c r="Q2073">
        <v>0.18773290000000001</v>
      </c>
      <c r="R2073">
        <v>-0.97337130000000005</v>
      </c>
      <c r="S2073">
        <v>0.1155701</v>
      </c>
      <c r="T2073">
        <v>9.9990370000000005E-3</v>
      </c>
      <c r="U2073">
        <v>-3.099548</v>
      </c>
      <c r="V2073">
        <v>-0.116676</v>
      </c>
      <c r="W2073">
        <v>0.2003576</v>
      </c>
      <c r="X2073">
        <v>0.97275049999999996</v>
      </c>
      <c r="Y2073">
        <v>-0.28298060000000003</v>
      </c>
      <c r="Z2073">
        <v>-1.8170990000000001E-2</v>
      </c>
      <c r="AA2073">
        <v>0.95895350000000001</v>
      </c>
      <c r="AB2073">
        <v>27</v>
      </c>
      <c r="AC2073">
        <v>0.1155701</v>
      </c>
      <c r="AD2073">
        <v>9.9990370000000005E-3</v>
      </c>
      <c r="AE2073">
        <v>-3.099548</v>
      </c>
      <c r="AF2073">
        <v>-0.87781014808930102</v>
      </c>
      <c r="AG2073">
        <v>9.9990370000000005E-3</v>
      </c>
      <c r="AH2073">
        <v>2.97486195274077</v>
      </c>
      <c r="AI2073">
        <v>89.815292823239901</v>
      </c>
      <c r="AJ2073">
        <v>106.440061157419</v>
      </c>
      <c r="AK2073">
        <v>3.1016857150095198</v>
      </c>
      <c r="AL2073">
        <v>78.4421286732412</v>
      </c>
      <c r="AM2073">
        <v>96.839634416175699</v>
      </c>
      <c r="AN2073">
        <v>0.99999999605200496</v>
      </c>
    </row>
    <row r="2074" spans="1:40" x14ac:dyDescent="0.25">
      <c r="A2074" t="str">
        <f>"20190303170803316"</f>
        <v>20190303170803316</v>
      </c>
      <c r="B2074" t="str">
        <f>"1551604083305093"</f>
        <v>1551604083305093</v>
      </c>
      <c r="C2074" t="s">
        <v>40</v>
      </c>
      <c r="D2074">
        <v>4.5083719999999996</v>
      </c>
      <c r="E2074">
        <v>0.44368580000000002</v>
      </c>
      <c r="F2074" t="s">
        <v>45</v>
      </c>
      <c r="G2074">
        <v>0</v>
      </c>
      <c r="H2074">
        <v>0</v>
      </c>
      <c r="I2074">
        <v>0</v>
      </c>
      <c r="J2074">
        <v>-495.14249999999998</v>
      </c>
      <c r="K2074">
        <v>1.128557</v>
      </c>
      <c r="L2074">
        <v>267.55279999999999</v>
      </c>
      <c r="M2074">
        <v>-0.23706360000000001</v>
      </c>
      <c r="N2074">
        <v>-1.505096E-2</v>
      </c>
      <c r="O2074">
        <v>-0.97137770000000001</v>
      </c>
      <c r="P2074">
        <v>-0.1241844</v>
      </c>
      <c r="Q2074">
        <v>0.18555740000000001</v>
      </c>
      <c r="R2074">
        <v>-0.97475480000000003</v>
      </c>
      <c r="S2074">
        <v>8.4289550000000005E-2</v>
      </c>
      <c r="T2074">
        <v>-8.0847739999999996E-4</v>
      </c>
      <c r="U2074">
        <v>-3.0936279999999998</v>
      </c>
      <c r="V2074">
        <v>-0.1140034</v>
      </c>
      <c r="W2074">
        <v>0.19823669999999999</v>
      </c>
      <c r="X2074">
        <v>0.97350159999999997</v>
      </c>
      <c r="Y2074">
        <v>-0.26342860000000001</v>
      </c>
      <c r="Z2074">
        <v>-1.4854890000000001E-2</v>
      </c>
      <c r="AA2074">
        <v>0.96456450000000005</v>
      </c>
      <c r="AB2074">
        <v>26</v>
      </c>
      <c r="AC2074">
        <v>8.4289550000000005E-2</v>
      </c>
      <c r="AD2074">
        <v>-8.0847739999999996E-4</v>
      </c>
      <c r="AE2074">
        <v>-3.0936279999999998</v>
      </c>
      <c r="AF2074">
        <v>-0.81535575176967501</v>
      </c>
      <c r="AG2074">
        <v>-8.0847739999999996E-4</v>
      </c>
      <c r="AH2074">
        <v>2.9854367555532</v>
      </c>
      <c r="AI2074">
        <v>90.0149679149295</v>
      </c>
      <c r="AJ2074">
        <v>105.27558295141699</v>
      </c>
      <c r="AK2074">
        <v>3.09477596555673</v>
      </c>
      <c r="AL2074">
        <v>78.566134635324005</v>
      </c>
      <c r="AM2074">
        <v>96.679288002581501</v>
      </c>
      <c r="AN2074">
        <v>0.99999996482050402</v>
      </c>
    </row>
    <row r="2075" spans="1:40" x14ac:dyDescent="0.25">
      <c r="A2075" t="str">
        <f>"20190303170803337"</f>
        <v>20190303170803337</v>
      </c>
      <c r="B2075" t="str">
        <f>"1551604083324614"</f>
        <v>1551604083324614</v>
      </c>
      <c r="C2075" t="s">
        <v>40</v>
      </c>
      <c r="D2075">
        <v>4.5644010000000002</v>
      </c>
      <c r="E2075">
        <v>0.44505859999999903</v>
      </c>
      <c r="F2075" t="s">
        <v>46</v>
      </c>
      <c r="G2075">
        <v>-487.19940000000003</v>
      </c>
      <c r="H2075">
        <v>-0.05</v>
      </c>
      <c r="I2075">
        <v>11.850429999999999</v>
      </c>
      <c r="J2075">
        <v>-495.18970000000002</v>
      </c>
      <c r="K2075">
        <v>1.128444</v>
      </c>
      <c r="L2075">
        <v>267.3168</v>
      </c>
      <c r="M2075">
        <v>-0.228135</v>
      </c>
      <c r="N2075">
        <v>-1.5016069999999999E-2</v>
      </c>
      <c r="O2075">
        <v>-0.97351399999999999</v>
      </c>
      <c r="P2075">
        <v>-0.1176909</v>
      </c>
      <c r="Q2075">
        <v>0.1859536</v>
      </c>
      <c r="R2075">
        <v>-0.97548480000000004</v>
      </c>
      <c r="S2075">
        <v>9.6069340000000003E-2</v>
      </c>
      <c r="T2075">
        <v>-1.4254330000000001E-2</v>
      </c>
      <c r="U2075">
        <v>-3.092651</v>
      </c>
      <c r="V2075">
        <v>-0.11147079999999999</v>
      </c>
      <c r="W2075">
        <v>0.19867969999999999</v>
      </c>
      <c r="X2075">
        <v>0.97370460000000003</v>
      </c>
      <c r="Y2075">
        <v>-0.25824049999999998</v>
      </c>
      <c r="Z2075">
        <v>-1.0723150000000001E-2</v>
      </c>
      <c r="AA2075">
        <v>0.96602120000000002</v>
      </c>
      <c r="AB2075">
        <v>26</v>
      </c>
      <c r="AC2075">
        <v>7.9902999999999897</v>
      </c>
      <c r="AD2075">
        <v>-1.178444</v>
      </c>
      <c r="AE2075">
        <v>-255.46637000000001</v>
      </c>
      <c r="AF2075">
        <v>-66.065514893972406</v>
      </c>
      <c r="AG2075">
        <v>-1.178444</v>
      </c>
      <c r="AH2075">
        <v>246.89973970197201</v>
      </c>
      <c r="AI2075">
        <v>90.264174974904407</v>
      </c>
      <c r="AJ2075">
        <v>104.98027987993601</v>
      </c>
      <c r="AK2075">
        <v>255.588580443979</v>
      </c>
      <c r="AL2075">
        <v>78.540237962521502</v>
      </c>
      <c r="AM2075">
        <v>96.530853480959294</v>
      </c>
      <c r="AN2075">
        <v>1.0000000052529401</v>
      </c>
    </row>
    <row r="2076" spans="1:40" x14ac:dyDescent="0.25">
      <c r="A2076" t="str">
        <f>"20190303170803359"</f>
        <v>20190303170803359</v>
      </c>
      <c r="B2076" t="str">
        <f>"1551604083354870"</f>
        <v>1551604083354870</v>
      </c>
      <c r="C2076" t="s">
        <v>40</v>
      </c>
      <c r="D2076">
        <v>4.5970810000000002</v>
      </c>
      <c r="E2076">
        <v>0.4466349</v>
      </c>
      <c r="F2076" t="s">
        <v>46</v>
      </c>
      <c r="G2076">
        <v>-489.01870000000002</v>
      </c>
      <c r="H2076">
        <v>-0.05</v>
      </c>
      <c r="I2076">
        <v>86.353070000000002</v>
      </c>
      <c r="J2076">
        <v>-495.24040000000002</v>
      </c>
      <c r="K2076">
        <v>1.128312</v>
      </c>
      <c r="L2076">
        <v>267.05070000000001</v>
      </c>
      <c r="M2076">
        <v>-0.21822939999999999</v>
      </c>
      <c r="N2076">
        <v>-1.497736E-2</v>
      </c>
      <c r="O2076">
        <v>-0.97578260000000006</v>
      </c>
      <c r="P2076">
        <v>-0.1121564</v>
      </c>
      <c r="Q2076">
        <v>0.18720120000000001</v>
      </c>
      <c r="R2076">
        <v>-0.97589780000000004</v>
      </c>
      <c r="S2076">
        <v>0.1054382</v>
      </c>
      <c r="T2076">
        <v>-2.0134929999999999E-2</v>
      </c>
      <c r="U2076">
        <v>-3.0919490000000001</v>
      </c>
      <c r="V2076">
        <v>-0.1069819</v>
      </c>
      <c r="W2076">
        <v>0.20000770000000001</v>
      </c>
      <c r="X2076">
        <v>0.97393629999999998</v>
      </c>
      <c r="Y2076">
        <v>-0.25134459999999997</v>
      </c>
      <c r="Z2076">
        <v>-8.8644309999999903E-3</v>
      </c>
      <c r="AA2076">
        <v>0.96785710000000003</v>
      </c>
      <c r="AB2076">
        <v>26</v>
      </c>
      <c r="AC2076">
        <v>6.2216999999999896</v>
      </c>
      <c r="AD2076">
        <v>-1.178312</v>
      </c>
      <c r="AE2076">
        <v>-180.69763</v>
      </c>
      <c r="AF2076">
        <v>-45.507732159345402</v>
      </c>
      <c r="AG2076">
        <v>-1.178312</v>
      </c>
      <c r="AH2076">
        <v>174.97603461839401</v>
      </c>
      <c r="AI2076">
        <v>90.373409609501707</v>
      </c>
      <c r="AJ2076">
        <v>104.57849882972501</v>
      </c>
      <c r="AK2076">
        <v>180.80087056270901</v>
      </c>
      <c r="AL2076">
        <v>78.462591413819595</v>
      </c>
      <c r="AM2076">
        <v>96.268515945920797</v>
      </c>
      <c r="AN2076">
        <v>1.0000000617222899</v>
      </c>
    </row>
    <row r="2077" spans="1:40" x14ac:dyDescent="0.25">
      <c r="A2077" t="str">
        <f>"20190303170803384"</f>
        <v>20190303170803384</v>
      </c>
      <c r="B2077" t="str">
        <f>"1551604083374389"</f>
        <v>1551604083374389</v>
      </c>
      <c r="C2077" t="s">
        <v>40</v>
      </c>
      <c r="D2077">
        <v>4.5593949999999897</v>
      </c>
      <c r="E2077">
        <v>0.44749670000000003</v>
      </c>
      <c r="F2077" t="s">
        <v>46</v>
      </c>
      <c r="G2077">
        <v>-488.21080000000001</v>
      </c>
      <c r="H2077">
        <v>-0.05</v>
      </c>
      <c r="I2077">
        <v>73.755420000000001</v>
      </c>
      <c r="J2077">
        <v>-495.2894</v>
      </c>
      <c r="K2077">
        <v>1.1281650000000001</v>
      </c>
      <c r="L2077">
        <v>266.78039999999999</v>
      </c>
      <c r="M2077">
        <v>-0.2083576</v>
      </c>
      <c r="N2077">
        <v>-1.493675E-2</v>
      </c>
      <c r="O2077">
        <v>-0.977939</v>
      </c>
      <c r="P2077">
        <v>-0.10776429999999999</v>
      </c>
      <c r="Q2077">
        <v>0.187053</v>
      </c>
      <c r="R2077">
        <v>-0.9764216</v>
      </c>
      <c r="S2077">
        <v>0.1123962</v>
      </c>
      <c r="T2077">
        <v>-1.884007E-2</v>
      </c>
      <c r="U2077">
        <v>-3.0906069999999999</v>
      </c>
      <c r="V2077">
        <v>-0.1014283</v>
      </c>
      <c r="W2077">
        <v>0.1999628</v>
      </c>
      <c r="X2077">
        <v>0.9745395</v>
      </c>
      <c r="Y2077">
        <v>-0.2437484</v>
      </c>
      <c r="Z2077">
        <v>-9.1934640000000001E-3</v>
      </c>
      <c r="AA2077">
        <v>0.96979490000000002</v>
      </c>
      <c r="AB2077">
        <v>26</v>
      </c>
      <c r="AC2077">
        <v>7.07859999999999</v>
      </c>
      <c r="AD2077">
        <v>-1.1781649999999999</v>
      </c>
      <c r="AE2077">
        <v>-193.02498</v>
      </c>
      <c r="AF2077">
        <v>-47.144150032810401</v>
      </c>
      <c r="AG2077">
        <v>-1.1781649999999999</v>
      </c>
      <c r="AH2077">
        <v>187.30563955479801</v>
      </c>
      <c r="AI2077">
        <v>90.349489533774502</v>
      </c>
      <c r="AJ2077">
        <v>104.127684526897</v>
      </c>
      <c r="AK2077">
        <v>193.15113658509799</v>
      </c>
      <c r="AL2077">
        <v>78.465216654768895</v>
      </c>
      <c r="AM2077">
        <v>95.941847662786003</v>
      </c>
      <c r="AN2077">
        <v>1.00000002924248</v>
      </c>
    </row>
    <row r="2078" spans="1:40" x14ac:dyDescent="0.25">
      <c r="A2078" t="str">
        <f>"20190303170803409"</f>
        <v>20190303170803409</v>
      </c>
      <c r="B2078" t="str">
        <f>"1551604083404646"</f>
        <v>1551604083404646</v>
      </c>
      <c r="C2078" t="s">
        <v>40</v>
      </c>
      <c r="D2078">
        <v>4.5913510000000004</v>
      </c>
      <c r="E2078">
        <v>0.45265450000000002</v>
      </c>
      <c r="F2078" t="s">
        <v>46</v>
      </c>
      <c r="G2078">
        <v>-488.51769999999999</v>
      </c>
      <c r="H2078">
        <v>-0.05</v>
      </c>
      <c r="I2078">
        <v>94.036060000000006</v>
      </c>
      <c r="J2078">
        <v>-495.3372</v>
      </c>
      <c r="K2078">
        <v>1.1279809999999999</v>
      </c>
      <c r="L2078">
        <v>266.50150000000002</v>
      </c>
      <c r="M2078">
        <v>-0.1984031</v>
      </c>
      <c r="N2078">
        <v>-1.489303E-2</v>
      </c>
      <c r="O2078">
        <v>-0.98000739999999997</v>
      </c>
      <c r="P2078">
        <v>-0.10297290000000001</v>
      </c>
      <c r="Q2078">
        <v>0.18897700000000001</v>
      </c>
      <c r="R2078">
        <v>-0.97656750000000003</v>
      </c>
      <c r="S2078">
        <v>0.1211243</v>
      </c>
      <c r="T2078">
        <v>-2.107382E-2</v>
      </c>
      <c r="U2078">
        <v>-3.089874</v>
      </c>
      <c r="V2078">
        <v>-9.6148639999999994E-2</v>
      </c>
      <c r="W2078">
        <v>0.20197799999999999</v>
      </c>
      <c r="X2078">
        <v>0.9746591</v>
      </c>
      <c r="Y2078">
        <v>-0.23662449999999999</v>
      </c>
      <c r="Z2078">
        <v>-8.4349100000000003E-3</v>
      </c>
      <c r="AA2078">
        <v>0.9715646</v>
      </c>
      <c r="AB2078">
        <v>26</v>
      </c>
      <c r="AC2078">
        <v>6.8194999999999997</v>
      </c>
      <c r="AD2078">
        <v>-1.1779809999999999</v>
      </c>
      <c r="AE2078">
        <v>-172.46544</v>
      </c>
      <c r="AF2078">
        <v>-40.903467875791897</v>
      </c>
      <c r="AG2078">
        <v>-1.1779809999999999</v>
      </c>
      <c r="AH2078">
        <v>167.675176474632</v>
      </c>
      <c r="AI2078">
        <v>90.391050707118794</v>
      </c>
      <c r="AJ2078">
        <v>103.70924551556099</v>
      </c>
      <c r="AK2078">
        <v>172.59619384361099</v>
      </c>
      <c r="AL2078">
        <v>78.347349230657599</v>
      </c>
      <c r="AM2078">
        <v>95.633913301214704</v>
      </c>
      <c r="AN2078">
        <v>1.0000000173353201</v>
      </c>
    </row>
    <row r="2079" spans="1:40" x14ac:dyDescent="0.25">
      <c r="A2079" t="str">
        <f>"20190303170803428"</f>
        <v>20190303170803428</v>
      </c>
      <c r="B2079" t="str">
        <f>"1551604083414407"</f>
        <v>1551604083414407</v>
      </c>
      <c r="C2079" t="s">
        <v>40</v>
      </c>
      <c r="D2079">
        <v>4.5907280000000004</v>
      </c>
      <c r="E2079">
        <v>0.45300879999999999</v>
      </c>
      <c r="F2079" t="s">
        <v>59</v>
      </c>
      <c r="G2079">
        <v>-491.12990000000002</v>
      </c>
      <c r="H2079" s="1">
        <v>-1.002435E-5</v>
      </c>
      <c r="I2079">
        <v>131.77250000000001</v>
      </c>
      <c r="J2079">
        <v>-495.37299999999999</v>
      </c>
      <c r="K2079">
        <v>1.127815</v>
      </c>
      <c r="L2079">
        <v>266.28140000000002</v>
      </c>
      <c r="M2079">
        <v>-0.1907624</v>
      </c>
      <c r="N2079">
        <v>-1.485714E-2</v>
      </c>
      <c r="O2079">
        <v>-0.9815239</v>
      </c>
      <c r="P2079">
        <v>-0.10030459999999999</v>
      </c>
      <c r="Q2079">
        <v>0.18854170000000001</v>
      </c>
      <c r="R2079">
        <v>-0.97692939999999995</v>
      </c>
      <c r="S2079">
        <v>9.6405030000000003E-2</v>
      </c>
      <c r="T2079">
        <v>-2.5846600000000001E-2</v>
      </c>
      <c r="U2079">
        <v>-3.0871580000000001</v>
      </c>
      <c r="V2079">
        <v>-9.1128130000000002E-2</v>
      </c>
      <c r="W2079">
        <v>0.2016338</v>
      </c>
      <c r="X2079">
        <v>0.97521250000000004</v>
      </c>
      <c r="Y2079">
        <v>-0.2212906</v>
      </c>
      <c r="Z2079">
        <v>-6.8668679999999999E-3</v>
      </c>
      <c r="AA2079">
        <v>0.97518369999999999</v>
      </c>
      <c r="AB2079">
        <v>26</v>
      </c>
      <c r="AC2079">
        <v>4.2431000000000196</v>
      </c>
      <c r="AD2079">
        <v>-1.1278250243500001</v>
      </c>
      <c r="AE2079">
        <v>-134.50890000000001</v>
      </c>
      <c r="AF2079">
        <v>-29.8251391342273</v>
      </c>
      <c r="AG2079">
        <v>-1.1278250243500001</v>
      </c>
      <c r="AH2079">
        <v>131.21953148010999</v>
      </c>
      <c r="AI2079">
        <v>90.4801950688327</v>
      </c>
      <c r="AJ2079">
        <v>102.805311663564</v>
      </c>
      <c r="AK2079">
        <v>134.57108290981799</v>
      </c>
      <c r="AL2079">
        <v>78.367484188858199</v>
      </c>
      <c r="AM2079">
        <v>95.338466525945194</v>
      </c>
      <c r="AN2079">
        <v>0.99999997276799302</v>
      </c>
    </row>
    <row r="2080" spans="1:40" x14ac:dyDescent="0.25">
      <c r="A2080" t="str">
        <f>"20190303170803450"</f>
        <v>20190303170803450</v>
      </c>
      <c r="B2080" t="str">
        <f>"1551604083444662"</f>
        <v>1551604083444662</v>
      </c>
      <c r="C2080" t="s">
        <v>40</v>
      </c>
      <c r="D2080">
        <v>4.6325609999999999</v>
      </c>
      <c r="E2080">
        <v>0.45396249999999999</v>
      </c>
      <c r="F2080" t="s">
        <v>59</v>
      </c>
      <c r="G2080">
        <v>-491.21820000000002</v>
      </c>
      <c r="H2080" s="1">
        <v>-9.5871289999999994E-6</v>
      </c>
      <c r="I2080">
        <v>140.3503</v>
      </c>
      <c r="J2080">
        <v>-495.41199999999998</v>
      </c>
      <c r="K2080">
        <v>1.1275949999999999</v>
      </c>
      <c r="L2080">
        <v>266.03070000000002</v>
      </c>
      <c r="M2080">
        <v>-0.18228620000000001</v>
      </c>
      <c r="N2080">
        <v>-1.480827E-2</v>
      </c>
      <c r="O2080">
        <v>-0.98313399999999995</v>
      </c>
      <c r="P2080">
        <v>-9.5584859999999994E-2</v>
      </c>
      <c r="Q2080">
        <v>0.18540480000000001</v>
      </c>
      <c r="R2080">
        <v>-0.9780025</v>
      </c>
      <c r="S2080">
        <v>0.1018372</v>
      </c>
      <c r="T2080">
        <v>-2.7643319999999999E-2</v>
      </c>
      <c r="U2080">
        <v>-3.0866090000000002</v>
      </c>
      <c r="V2080">
        <v>-8.7371569999999996E-2</v>
      </c>
      <c r="W2080">
        <v>0.19856480000000001</v>
      </c>
      <c r="X2080">
        <v>0.97618559999999999</v>
      </c>
      <c r="Y2080">
        <v>-0.21459120000000001</v>
      </c>
      <c r="Z2080">
        <v>-6.2300749999999998E-3</v>
      </c>
      <c r="AA2080">
        <v>0.97668410000000005</v>
      </c>
      <c r="AB2080">
        <v>26</v>
      </c>
      <c r="AC2080">
        <v>4.1937999999999498</v>
      </c>
      <c r="AD2080">
        <v>-1.1276045871289999</v>
      </c>
      <c r="AE2080">
        <v>-125.68040000000001</v>
      </c>
      <c r="AF2080">
        <v>-27.033660559534098</v>
      </c>
      <c r="AG2080">
        <v>-1.1276045871289999</v>
      </c>
      <c r="AH2080">
        <v>122.79979406261501</v>
      </c>
      <c r="AI2080">
        <v>90.513799332913905</v>
      </c>
      <c r="AJ2080">
        <v>102.415298088113</v>
      </c>
      <c r="AK2080">
        <v>125.74529699823201</v>
      </c>
      <c r="AL2080">
        <v>78.546955578786296</v>
      </c>
      <c r="AM2080">
        <v>95.114517867648502</v>
      </c>
      <c r="AN2080">
        <v>1.00000004834533</v>
      </c>
    </row>
    <row r="2081" spans="1:40" x14ac:dyDescent="0.25">
      <c r="A2081" t="str">
        <f>"20190303170803483"</f>
        <v>20190303170803483</v>
      </c>
      <c r="B2081" t="str">
        <f>"1551604083474877"</f>
        <v>1551604083474877</v>
      </c>
      <c r="C2081" t="s">
        <v>40</v>
      </c>
      <c r="D2081">
        <v>4.6394330000000004</v>
      </c>
      <c r="E2081">
        <v>0.4583604</v>
      </c>
      <c r="F2081" t="s">
        <v>43</v>
      </c>
      <c r="G2081">
        <v>-492.54930000000002</v>
      </c>
      <c r="H2081" s="1">
        <v>-3.2502639999999999E-6</v>
      </c>
      <c r="I2081">
        <v>185.58439999999999</v>
      </c>
      <c r="J2081">
        <v>-495.46910000000003</v>
      </c>
      <c r="K2081">
        <v>1.1272599999999999</v>
      </c>
      <c r="L2081">
        <v>265.63780000000003</v>
      </c>
      <c r="M2081">
        <v>-0.16954540000000001</v>
      </c>
      <c r="N2081">
        <v>-1.471942E-2</v>
      </c>
      <c r="O2081">
        <v>-0.98541259999999997</v>
      </c>
      <c r="P2081">
        <v>-8.9959109999999995E-2</v>
      </c>
      <c r="Q2081">
        <v>0.18445349999999999</v>
      </c>
      <c r="R2081">
        <v>-0.97871589999999997</v>
      </c>
      <c r="S2081">
        <v>0.10983279999999999</v>
      </c>
      <c r="T2081">
        <v>-4.3261769999999998E-2</v>
      </c>
      <c r="U2081">
        <v>-3.0864259999999999</v>
      </c>
      <c r="V2081">
        <v>-8.0183320000000002E-2</v>
      </c>
      <c r="W2081">
        <v>0.19770989999999999</v>
      </c>
      <c r="X2081">
        <v>0.9769757</v>
      </c>
      <c r="Y2081">
        <v>-0.20446120000000001</v>
      </c>
      <c r="Z2081">
        <v>-1.205883E-3</v>
      </c>
      <c r="AA2081">
        <v>0.97887389999999996</v>
      </c>
      <c r="AB2081">
        <v>26</v>
      </c>
      <c r="AC2081">
        <v>2.9198</v>
      </c>
      <c r="AD2081">
        <v>-1.1272632502640001</v>
      </c>
      <c r="AE2081">
        <v>-80.053399999999996</v>
      </c>
      <c r="AF2081">
        <v>-16.448416163296699</v>
      </c>
      <c r="AG2081">
        <v>-1.1272632502640001</v>
      </c>
      <c r="AH2081">
        <v>78.383550564787001</v>
      </c>
      <c r="AI2081">
        <v>90.806374597745503</v>
      </c>
      <c r="AJ2081">
        <v>101.851287112504</v>
      </c>
      <c r="AK2081">
        <v>80.098702335674005</v>
      </c>
      <c r="AL2081">
        <v>78.596928438006202</v>
      </c>
      <c r="AM2081">
        <v>94.691920092920299</v>
      </c>
      <c r="AN2081">
        <v>1.00000004387736</v>
      </c>
    </row>
    <row r="2082" spans="1:40" x14ac:dyDescent="0.25">
      <c r="A2082" t="str">
        <f>"20190303170803504"</f>
        <v>20190303170803504</v>
      </c>
      <c r="B2082" t="str">
        <f>"1551604083494397"</f>
        <v>1551604083494397</v>
      </c>
      <c r="C2082" t="s">
        <v>40</v>
      </c>
      <c r="D2082">
        <v>4.6678550000000003</v>
      </c>
      <c r="E2082">
        <v>0.4572909</v>
      </c>
      <c r="F2082" t="s">
        <v>57</v>
      </c>
      <c r="G2082">
        <v>-493.98039999999997</v>
      </c>
      <c r="H2082" s="1">
        <v>2.6978639999999999E-6</v>
      </c>
      <c r="I2082">
        <v>216.7895</v>
      </c>
      <c r="J2082">
        <v>-495.50130000000001</v>
      </c>
      <c r="K2082">
        <v>1.1270849999999999</v>
      </c>
      <c r="L2082">
        <v>265.40100000000001</v>
      </c>
      <c r="M2082">
        <v>-0.1621292</v>
      </c>
      <c r="N2082">
        <v>-1.466518E-2</v>
      </c>
      <c r="O2082">
        <v>-0.9866606</v>
      </c>
      <c r="P2082">
        <v>-8.7485809999999997E-2</v>
      </c>
      <c r="Q2082">
        <v>0.18585989999999999</v>
      </c>
      <c r="R2082">
        <v>-0.97867400000000004</v>
      </c>
      <c r="S2082">
        <v>9.408569E-2</v>
      </c>
      <c r="T2082">
        <v>-7.1244959999999996E-2</v>
      </c>
      <c r="U2082">
        <v>-3.0873110000000001</v>
      </c>
      <c r="V2082">
        <v>-7.5179140000000005E-2</v>
      </c>
      <c r="W2082">
        <v>0.19916900000000001</v>
      </c>
      <c r="X2082">
        <v>0.97707719999999998</v>
      </c>
      <c r="Y2082">
        <v>-0.19207450000000001</v>
      </c>
      <c r="Z2082">
        <v>7.6920859999999999E-3</v>
      </c>
      <c r="AA2082">
        <v>0.98135019999999995</v>
      </c>
      <c r="AB2082">
        <v>26</v>
      </c>
      <c r="AC2082">
        <v>1.5209000000000299</v>
      </c>
      <c r="AD2082">
        <v>-1.1270823021359999</v>
      </c>
      <c r="AE2082">
        <v>-48.611499999999999</v>
      </c>
      <c r="AF2082">
        <v>-9.3779280131960494</v>
      </c>
      <c r="AG2082">
        <v>-1.1270823021359999</v>
      </c>
      <c r="AH2082">
        <v>47.695984646301397</v>
      </c>
      <c r="AI2082">
        <v>91.328257106067795</v>
      </c>
      <c r="AJ2082">
        <v>101.12353539978599</v>
      </c>
      <c r="AK2082">
        <v>48.622245934517402</v>
      </c>
      <c r="AL2082">
        <v>78.511631652277799</v>
      </c>
      <c r="AM2082">
        <v>94.399833676029402</v>
      </c>
      <c r="AN2082">
        <v>1.0000000242059801</v>
      </c>
    </row>
    <row r="2083" spans="1:40" x14ac:dyDescent="0.25">
      <c r="A2083" t="str">
        <f>"20190303170803527"</f>
        <v>20190303170803527</v>
      </c>
      <c r="B2083" t="str">
        <f>"1551604083514890"</f>
        <v>1551604083514890</v>
      </c>
      <c r="C2083" t="s">
        <v>40</v>
      </c>
      <c r="D2083">
        <v>4.6732559999999896</v>
      </c>
      <c r="E2083">
        <v>0.45724870000000001</v>
      </c>
      <c r="F2083" t="s">
        <v>57</v>
      </c>
      <c r="G2083">
        <v>-493.4588</v>
      </c>
      <c r="H2083" s="1">
        <v>2.341311E-6</v>
      </c>
      <c r="I2083">
        <v>208.59270000000001</v>
      </c>
      <c r="J2083">
        <v>-495.53550000000001</v>
      </c>
      <c r="K2083">
        <v>1.1268750000000001</v>
      </c>
      <c r="L2083">
        <v>265.1377</v>
      </c>
      <c r="M2083">
        <v>-0.1541556</v>
      </c>
      <c r="N2083">
        <v>-1.458478E-2</v>
      </c>
      <c r="O2083">
        <v>-0.98793889999999995</v>
      </c>
      <c r="P2083">
        <v>-8.346874E-2</v>
      </c>
      <c r="Q2083">
        <v>0.1845002</v>
      </c>
      <c r="R2083">
        <v>-0.97928159999999997</v>
      </c>
      <c r="S2083">
        <v>0.1109924</v>
      </c>
      <c r="T2083">
        <v>-6.1245920000000002E-2</v>
      </c>
      <c r="U2083">
        <v>-3.0869749999999998</v>
      </c>
      <c r="V2083">
        <v>-7.1210099999999998E-2</v>
      </c>
      <c r="W2083">
        <v>0.19782820000000001</v>
      </c>
      <c r="X2083">
        <v>0.97764669999999998</v>
      </c>
      <c r="Y2083">
        <v>-0.18952640000000001</v>
      </c>
      <c r="Z2083">
        <v>4.6694869999999999E-3</v>
      </c>
      <c r="AA2083">
        <v>0.98186450000000003</v>
      </c>
      <c r="AB2083">
        <v>26</v>
      </c>
      <c r="AC2083">
        <v>2.07670000000001</v>
      </c>
      <c r="AD2083">
        <v>-1.1268726586890001</v>
      </c>
      <c r="AE2083">
        <v>-56.544999999999902</v>
      </c>
      <c r="AF2083">
        <v>-10.7652572224656</v>
      </c>
      <c r="AG2083">
        <v>-1.1268726586890001</v>
      </c>
      <c r="AH2083">
        <v>55.526757252574001</v>
      </c>
      <c r="AI2083">
        <v>91.141367050182794</v>
      </c>
      <c r="AJ2083">
        <v>100.972106490638</v>
      </c>
      <c r="AK2083">
        <v>56.571913314303103</v>
      </c>
      <c r="AL2083">
        <v>78.590012948689605</v>
      </c>
      <c r="AM2083">
        <v>94.165968789520306</v>
      </c>
      <c r="AN2083">
        <v>0.99999997253906903</v>
      </c>
    </row>
    <row r="2084" spans="1:40" x14ac:dyDescent="0.25">
      <c r="A2084" t="str">
        <f>"20190303170803550"</f>
        <v>20190303170803550</v>
      </c>
      <c r="B2084" t="str">
        <f>"1551604083534413"</f>
        <v>1551604083534413</v>
      </c>
      <c r="C2084" t="s">
        <v>40</v>
      </c>
      <c r="D2084">
        <v>4.6397309999999896</v>
      </c>
      <c r="E2084">
        <v>0.45724209999999899</v>
      </c>
      <c r="F2084" t="s">
        <v>57</v>
      </c>
      <c r="G2084">
        <v>-493.30759999999998</v>
      </c>
      <c r="H2084" s="1">
        <v>2.508701E-6</v>
      </c>
      <c r="I2084">
        <v>209.73150000000001</v>
      </c>
      <c r="J2084">
        <v>-495.56709999999998</v>
      </c>
      <c r="K2084">
        <v>1.1266350000000001</v>
      </c>
      <c r="L2084">
        <v>264.87920000000003</v>
      </c>
      <c r="M2084">
        <v>-0.1466614</v>
      </c>
      <c r="N2084">
        <v>-1.447059E-2</v>
      </c>
      <c r="O2084">
        <v>-0.98908090000000004</v>
      </c>
      <c r="P2084">
        <v>-7.9503039999999997E-2</v>
      </c>
      <c r="Q2084">
        <v>0.18236830000000001</v>
      </c>
      <c r="R2084">
        <v>-0.98001090000000002</v>
      </c>
      <c r="S2084">
        <v>0.1240845</v>
      </c>
      <c r="T2084">
        <v>-6.2762380000000006E-2</v>
      </c>
      <c r="U2084">
        <v>-3.0859070000000002</v>
      </c>
      <c r="V2084">
        <v>-6.7672250000000003E-2</v>
      </c>
      <c r="W2084">
        <v>0.19567570000000001</v>
      </c>
      <c r="X2084">
        <v>0.97833099999999995</v>
      </c>
      <c r="Y2084">
        <v>-0.18625359999999999</v>
      </c>
      <c r="Z2084">
        <v>5.3054510000000001E-3</v>
      </c>
      <c r="AA2084">
        <v>0.98248740000000001</v>
      </c>
      <c r="AB2084">
        <v>26</v>
      </c>
      <c r="AC2084">
        <v>2.2595000000000001</v>
      </c>
      <c r="AD2084">
        <v>-1.126632491299</v>
      </c>
      <c r="AE2084">
        <v>-55.1477</v>
      </c>
      <c r="AF2084">
        <v>-10.3196484127857</v>
      </c>
      <c r="AG2084">
        <v>-1.126632491299</v>
      </c>
      <c r="AH2084">
        <v>54.197250819145196</v>
      </c>
      <c r="AI2084">
        <v>91.169859864078802</v>
      </c>
      <c r="AJ2084">
        <v>100.780587037617</v>
      </c>
      <c r="AK2084">
        <v>55.182483094613403</v>
      </c>
      <c r="AL2084">
        <v>78.715801533270906</v>
      </c>
      <c r="AM2084">
        <v>93.956910411294402</v>
      </c>
      <c r="AN2084">
        <v>1.00000002927577</v>
      </c>
    </row>
    <row r="2085" spans="1:40" x14ac:dyDescent="0.25">
      <c r="A2085" t="str">
        <f>"20190303170803573"</f>
        <v>20190303170803573</v>
      </c>
      <c r="B2085" t="str">
        <f>"1551604083564665"</f>
        <v>1551604083564665</v>
      </c>
      <c r="C2085" t="s">
        <v>40</v>
      </c>
      <c r="D2085">
        <v>4.6535229999999999</v>
      </c>
      <c r="E2085">
        <v>0.45766279999999998</v>
      </c>
      <c r="F2085" t="s">
        <v>57</v>
      </c>
      <c r="G2085">
        <v>-493.2697</v>
      </c>
      <c r="H2085" s="1">
        <v>2.6840130000000002E-6</v>
      </c>
      <c r="I2085">
        <v>213.58869999999999</v>
      </c>
      <c r="J2085">
        <v>-495.59809999999999</v>
      </c>
      <c r="K2085">
        <v>1.1263620000000001</v>
      </c>
      <c r="L2085">
        <v>264.61169999999998</v>
      </c>
      <c r="M2085">
        <v>-0.13925609999999999</v>
      </c>
      <c r="N2085">
        <v>-1.432632E-2</v>
      </c>
      <c r="O2085">
        <v>-0.9901529</v>
      </c>
      <c r="P2085">
        <v>-7.6456120000000002E-2</v>
      </c>
      <c r="Q2085">
        <v>0.18024760000000001</v>
      </c>
      <c r="R2085">
        <v>-0.98064560000000001</v>
      </c>
      <c r="S2085">
        <v>0.13818359999999999</v>
      </c>
      <c r="T2085">
        <v>-6.7765240000000004E-2</v>
      </c>
      <c r="U2085">
        <v>-3.0850520000000001</v>
      </c>
      <c r="V2085">
        <v>-6.3290260000000001E-2</v>
      </c>
      <c r="W2085">
        <v>0.1935172</v>
      </c>
      <c r="X2085">
        <v>0.97905330000000002</v>
      </c>
      <c r="Y2085">
        <v>-0.1833921</v>
      </c>
      <c r="Z2085">
        <v>7.0720419999999997E-3</v>
      </c>
      <c r="AA2085">
        <v>0.98301439999999995</v>
      </c>
      <c r="AB2085">
        <v>26</v>
      </c>
      <c r="AC2085">
        <v>2.3283999999999798</v>
      </c>
      <c r="AD2085">
        <v>-1.126359315987</v>
      </c>
      <c r="AE2085">
        <v>-51.023000000000003</v>
      </c>
      <c r="AF2085">
        <v>-9.4071257907409507</v>
      </c>
      <c r="AG2085">
        <v>-1.126359315987</v>
      </c>
      <c r="AH2085">
        <v>50.177070849599701</v>
      </c>
      <c r="AI2085">
        <v>91.263928650384599</v>
      </c>
      <c r="AJ2085">
        <v>100.61846945562201</v>
      </c>
      <c r="AK2085">
        <v>51.063696889250799</v>
      </c>
      <c r="AL2085">
        <v>78.841884043980599</v>
      </c>
      <c r="AM2085">
        <v>93.698701750131306</v>
      </c>
      <c r="AN2085">
        <v>0.99999996397379798</v>
      </c>
    </row>
    <row r="2086" spans="1:40" x14ac:dyDescent="0.25">
      <c r="A2086" t="str">
        <f>"20190303170803596"</f>
        <v>20190303170803596</v>
      </c>
      <c r="B2086" t="str">
        <f>"1551604083585162"</f>
        <v>1551604083585162</v>
      </c>
      <c r="C2086" t="s">
        <v>40</v>
      </c>
      <c r="D2086">
        <v>4.7256269999999896</v>
      </c>
      <c r="E2086">
        <v>0.45786019999999999</v>
      </c>
      <c r="F2086" t="s">
        <v>57</v>
      </c>
      <c r="G2086">
        <v>-493.37310000000002</v>
      </c>
      <c r="H2086" s="1">
        <v>2.825122E-6</v>
      </c>
      <c r="I2086">
        <v>217.23650000000001</v>
      </c>
      <c r="J2086">
        <v>-495.6268</v>
      </c>
      <c r="K2086">
        <v>1.1261110000000001</v>
      </c>
      <c r="L2086">
        <v>264.34949999999998</v>
      </c>
      <c r="M2086">
        <v>-0.1322651</v>
      </c>
      <c r="N2086">
        <v>-1.4180079999999999E-2</v>
      </c>
      <c r="O2086">
        <v>-0.99111309999999997</v>
      </c>
      <c r="P2086">
        <v>-7.3614219999999994E-2</v>
      </c>
      <c r="Q2086">
        <v>0.18057380000000001</v>
      </c>
      <c r="R2086">
        <v>-0.98080270000000003</v>
      </c>
      <c r="S2086">
        <v>0.1448364</v>
      </c>
      <c r="T2086">
        <v>-7.3323369999999999E-2</v>
      </c>
      <c r="U2086">
        <v>-3.084015</v>
      </c>
      <c r="V2086">
        <v>-5.909184E-2</v>
      </c>
      <c r="W2086">
        <v>0.19378709999999999</v>
      </c>
      <c r="X2086">
        <v>0.97926239999999998</v>
      </c>
      <c r="Y2086">
        <v>-0.17858199999999999</v>
      </c>
      <c r="Z2086">
        <v>9.0284430000000006E-3</v>
      </c>
      <c r="AA2086">
        <v>0.98388359999999997</v>
      </c>
      <c r="AB2086">
        <v>26</v>
      </c>
      <c r="AC2086">
        <v>2.2536999999999798</v>
      </c>
      <c r="AD2086">
        <v>-1.126108174878</v>
      </c>
      <c r="AE2086">
        <v>-47.1129999999999</v>
      </c>
      <c r="AF2086">
        <v>-8.4611041753212</v>
      </c>
      <c r="AG2086">
        <v>-1.126108174878</v>
      </c>
      <c r="AH2086">
        <v>46.374449608321797</v>
      </c>
      <c r="AI2086">
        <v>91.368455086655601</v>
      </c>
      <c r="AJ2086">
        <v>100.33998731093401</v>
      </c>
      <c r="AK2086">
        <v>47.153451410919502</v>
      </c>
      <c r="AL2086">
        <v>78.826122696644504</v>
      </c>
      <c r="AM2086">
        <v>93.453224101325404</v>
      </c>
      <c r="AN2086">
        <v>1.0000000668673701</v>
      </c>
    </row>
    <row r="2087" spans="1:40" x14ac:dyDescent="0.25">
      <c r="A2087" t="str">
        <f>"20190303170803617"</f>
        <v>20190303170803617</v>
      </c>
      <c r="B2087" t="str">
        <f>"1551604083604682"</f>
        <v>1551604083604682</v>
      </c>
      <c r="C2087" t="s">
        <v>40</v>
      </c>
      <c r="D2087">
        <v>4.745101</v>
      </c>
      <c r="E2087">
        <v>0.45650030000000003</v>
      </c>
      <c r="F2087" t="s">
        <v>57</v>
      </c>
      <c r="G2087">
        <v>-493.27190000000002</v>
      </c>
      <c r="H2087" s="1">
        <v>2.8114680000000001E-6</v>
      </c>
      <c r="I2087">
        <v>216.51310000000001</v>
      </c>
      <c r="J2087">
        <v>-495.65170000000001</v>
      </c>
      <c r="K2087">
        <v>1.1258889999999999</v>
      </c>
      <c r="L2087">
        <v>264.11079999999998</v>
      </c>
      <c r="M2087">
        <v>-0.1261391</v>
      </c>
      <c r="N2087">
        <v>-1.40366E-2</v>
      </c>
      <c r="O2087">
        <v>-0.99191339999999995</v>
      </c>
      <c r="P2087">
        <v>-7.0976230000000001E-2</v>
      </c>
      <c r="Q2087">
        <v>0.18042430000000001</v>
      </c>
      <c r="R2087">
        <v>-0.98102520000000004</v>
      </c>
      <c r="S2087">
        <v>0.1517944</v>
      </c>
      <c r="T2087">
        <v>-7.2586540000000005E-2</v>
      </c>
      <c r="U2087">
        <v>-3.0834350000000001</v>
      </c>
      <c r="V2087">
        <v>-5.5570319999999999E-2</v>
      </c>
      <c r="W2087">
        <v>0.1935682</v>
      </c>
      <c r="X2087">
        <v>0.97951169999999999</v>
      </c>
      <c r="Y2087">
        <v>-0.1747272</v>
      </c>
      <c r="Z2087">
        <v>8.9782330000000004E-3</v>
      </c>
      <c r="AA2087">
        <v>0.98457589999999995</v>
      </c>
      <c r="AB2087">
        <v>26</v>
      </c>
      <c r="AC2087">
        <v>2.3797999999999799</v>
      </c>
      <c r="AD2087">
        <v>-1.125886188532</v>
      </c>
      <c r="AE2087">
        <v>-47.597699999999897</v>
      </c>
      <c r="AF2087">
        <v>-8.36064316413988</v>
      </c>
      <c r="AG2087">
        <v>-1.125886188532</v>
      </c>
      <c r="AH2087">
        <v>46.891054804636603</v>
      </c>
      <c r="AI2087">
        <v>91.354099134785301</v>
      </c>
      <c r="AJ2087">
        <v>100.109562034348</v>
      </c>
      <c r="AK2087">
        <v>47.643876778858299</v>
      </c>
      <c r="AL2087">
        <v>78.838905366144203</v>
      </c>
      <c r="AM2087">
        <v>93.247062224189193</v>
      </c>
      <c r="AN2087">
        <v>0.999999939476514</v>
      </c>
    </row>
    <row r="2088" spans="1:40" x14ac:dyDescent="0.25">
      <c r="A2088" t="str">
        <f>"20190303170803639"</f>
        <v>20190303170803639</v>
      </c>
      <c r="B2088" t="str">
        <f>"1551604083634938"</f>
        <v>1551604083634938</v>
      </c>
      <c r="C2088" t="s">
        <v>40</v>
      </c>
      <c r="D2088">
        <v>4.7041629999999897</v>
      </c>
      <c r="E2088">
        <v>0.42293239999999999</v>
      </c>
      <c r="F2088" t="s">
        <v>57</v>
      </c>
      <c r="G2088">
        <v>-492.9477</v>
      </c>
      <c r="H2088" s="1">
        <v>2.825596E-6</v>
      </c>
      <c r="I2088">
        <v>215.52070000000001</v>
      </c>
      <c r="J2088">
        <v>-495.6771</v>
      </c>
      <c r="K2088">
        <v>1.1256520000000001</v>
      </c>
      <c r="L2088">
        <v>263.85410000000002</v>
      </c>
      <c r="M2088">
        <v>-0.11985179999999999</v>
      </c>
      <c r="N2088">
        <v>-1.386243E-2</v>
      </c>
      <c r="O2088">
        <v>-0.99269510000000005</v>
      </c>
      <c r="P2088">
        <v>-6.7932649999999997E-2</v>
      </c>
      <c r="Q2088">
        <v>0.17993399999999901</v>
      </c>
      <c r="R2088">
        <v>-0.98133020000000004</v>
      </c>
      <c r="S2088">
        <v>0.17160029999999901</v>
      </c>
      <c r="T2088">
        <v>-7.1450109999999997E-2</v>
      </c>
      <c r="U2088">
        <v>-3.0835880000000002</v>
      </c>
      <c r="V2088">
        <v>-5.229603E-2</v>
      </c>
      <c r="W2088">
        <v>0.19297500000000001</v>
      </c>
      <c r="X2088">
        <v>0.97980900000000004</v>
      </c>
      <c r="Y2088">
        <v>-0.174793899999999</v>
      </c>
      <c r="Z2088">
        <v>8.8108930000000002E-3</v>
      </c>
      <c r="AA2088">
        <v>0.98456560000000004</v>
      </c>
      <c r="AB2088">
        <v>26</v>
      </c>
      <c r="AC2088">
        <v>2.7293999999999898</v>
      </c>
      <c r="AD2088">
        <v>-1.125649174404</v>
      </c>
      <c r="AE2088">
        <v>-48.333399999999997</v>
      </c>
      <c r="AF2088">
        <v>-8.49852840743036</v>
      </c>
      <c r="AG2088">
        <v>-1.125649174404</v>
      </c>
      <c r="AH2088">
        <v>47.632027842925602</v>
      </c>
      <c r="AI2088">
        <v>91.332733746831096</v>
      </c>
      <c r="AJ2088">
        <v>100.116288979231</v>
      </c>
      <c r="AK2088">
        <v>48.397336162075902</v>
      </c>
      <c r="AL2088">
        <v>78.873546500281904</v>
      </c>
      <c r="AM2088">
        <v>93.055188694733801</v>
      </c>
      <c r="AN2088">
        <v>0.99999995092987903</v>
      </c>
    </row>
    <row r="2089" spans="1:40" x14ac:dyDescent="0.25">
      <c r="A2089" t="str">
        <f>"20190303170803662"</f>
        <v>20190303170803662</v>
      </c>
      <c r="B2089" t="str">
        <f>"1551604083654458"</f>
        <v>1551604083654458</v>
      </c>
      <c r="C2089" t="s">
        <v>40</v>
      </c>
      <c r="D2089">
        <v>4.6679279999999999</v>
      </c>
      <c r="E2089">
        <v>0.42167379999999999</v>
      </c>
      <c r="F2089" t="s">
        <v>76</v>
      </c>
      <c r="G2089">
        <v>-473.47309999999999</v>
      </c>
      <c r="H2089">
        <v>0.2395023</v>
      </c>
      <c r="I2089">
        <v>109.7255</v>
      </c>
      <c r="J2089">
        <v>-495.70209999999997</v>
      </c>
      <c r="K2089">
        <v>1.1254040000000001</v>
      </c>
      <c r="L2089">
        <v>263.58690000000001</v>
      </c>
      <c r="M2089">
        <v>-0.11365699999999999</v>
      </c>
      <c r="N2089">
        <v>-1.365507E-2</v>
      </c>
      <c r="O2089">
        <v>-0.99342629999999998</v>
      </c>
      <c r="P2089">
        <v>-6.2985079999999999E-2</v>
      </c>
      <c r="Q2089">
        <v>0.1803969</v>
      </c>
      <c r="R2089">
        <v>-0.98157550000000005</v>
      </c>
      <c r="S2089">
        <v>0.4453125</v>
      </c>
      <c r="T2089">
        <v>-1.7771840000000001E-2</v>
      </c>
      <c r="U2089">
        <v>-3.0911559999999998</v>
      </c>
      <c r="V2089">
        <v>-5.1003409999999999E-2</v>
      </c>
      <c r="W2089">
        <v>0.1932758</v>
      </c>
      <c r="X2089">
        <v>0.97981790000000002</v>
      </c>
      <c r="Y2089">
        <v>-0.25413200000000002</v>
      </c>
      <c r="Z2089">
        <v>-8.1974230000000006E-3</v>
      </c>
      <c r="AA2089">
        <v>0.96713479999999996</v>
      </c>
      <c r="AB2089">
        <v>26</v>
      </c>
      <c r="AC2089">
        <v>22.2289999999999</v>
      </c>
      <c r="AD2089">
        <v>-0.88590170000000001</v>
      </c>
      <c r="AE2089">
        <v>-153.8614</v>
      </c>
      <c r="AF2089">
        <v>-39.572699216424397</v>
      </c>
      <c r="AG2089">
        <v>-0.88590170000000001</v>
      </c>
      <c r="AH2089">
        <v>150.33260045811301</v>
      </c>
      <c r="AI2089">
        <v>90.326514201532007</v>
      </c>
      <c r="AJ2089">
        <v>104.747657772753</v>
      </c>
      <c r="AK2089">
        <v>155.45634147758099</v>
      </c>
      <c r="AL2089">
        <v>78.855981799872495</v>
      </c>
      <c r="AM2089">
        <v>92.9797832821138</v>
      </c>
      <c r="AN2089">
        <v>0.99999999992883903</v>
      </c>
    </row>
    <row r="2090" spans="1:40" x14ac:dyDescent="0.25">
      <c r="A2090" t="str">
        <f>"20190303170803683"</f>
        <v>20190303170803683</v>
      </c>
      <c r="B2090" t="str">
        <f>"1551604083674953"</f>
        <v>1551604083674953</v>
      </c>
      <c r="C2090" t="s">
        <v>40</v>
      </c>
      <c r="D2090">
        <v>4.6765589999999904</v>
      </c>
      <c r="E2090">
        <v>0.42135669999999997</v>
      </c>
      <c r="F2090" t="s">
        <v>76</v>
      </c>
      <c r="G2090">
        <v>-473.57749999999999</v>
      </c>
      <c r="H2090">
        <v>0.55558609999999997</v>
      </c>
      <c r="I2090">
        <v>118.9072</v>
      </c>
      <c r="J2090">
        <v>-495.7244</v>
      </c>
      <c r="K2090">
        <v>1.1251519999999999</v>
      </c>
      <c r="L2090">
        <v>263.33780000000002</v>
      </c>
      <c r="M2090">
        <v>-0.10820920000000001</v>
      </c>
      <c r="N2090">
        <v>-1.344251E-2</v>
      </c>
      <c r="O2090">
        <v>-0.99403739999999996</v>
      </c>
      <c r="P2090">
        <v>-6.148518E-2</v>
      </c>
      <c r="Q2090">
        <v>0.1821538</v>
      </c>
      <c r="R2090">
        <v>-0.98134589999999999</v>
      </c>
      <c r="S2090">
        <v>0.47235110000000002</v>
      </c>
      <c r="T2090">
        <v>-1.216483E-2</v>
      </c>
      <c r="U2090">
        <v>-3.088867</v>
      </c>
      <c r="V2090">
        <v>-4.6989290000000003E-2</v>
      </c>
      <c r="W2090">
        <v>0.1948896</v>
      </c>
      <c r="X2090">
        <v>0.97969899999999999</v>
      </c>
      <c r="Y2090">
        <v>-0.2572139</v>
      </c>
      <c r="Z2090">
        <v>-9.7390789999999994E-3</v>
      </c>
      <c r="AA2090">
        <v>0.96630539999999998</v>
      </c>
      <c r="AB2090">
        <v>26</v>
      </c>
      <c r="AC2090">
        <v>22.146899999999999</v>
      </c>
      <c r="AD2090">
        <v>-0.56956589999999996</v>
      </c>
      <c r="AE2090">
        <v>-144.4306</v>
      </c>
      <c r="AF2090">
        <v>-37.646390789602499</v>
      </c>
      <c r="AG2090">
        <v>-0.56956589999999996</v>
      </c>
      <c r="AH2090">
        <v>141.183511291667</v>
      </c>
      <c r="AI2090">
        <v>90.223339284930304</v>
      </c>
      <c r="AJ2090">
        <v>104.930452708552</v>
      </c>
      <c r="AK2090">
        <v>146.11762044819301</v>
      </c>
      <c r="AL2090">
        <v>78.761726050713094</v>
      </c>
      <c r="AM2090">
        <v>92.745972339059506</v>
      </c>
      <c r="AN2090">
        <v>1.00000004008193</v>
      </c>
    </row>
    <row r="2091" spans="1:40" x14ac:dyDescent="0.25">
      <c r="A2091" t="str">
        <f>"20190303170803705"</f>
        <v>20190303170803705</v>
      </c>
      <c r="B2091" t="str">
        <f>"1551604083694474"</f>
        <v>1551604083694474</v>
      </c>
      <c r="C2091" t="s">
        <v>40</v>
      </c>
      <c r="D2091">
        <v>4.6770250000000004</v>
      </c>
      <c r="E2091">
        <v>0.42116959999999998</v>
      </c>
      <c r="F2091" t="s">
        <v>76</v>
      </c>
      <c r="G2091">
        <v>-473.40980000000002</v>
      </c>
      <c r="H2091">
        <v>0.78168400000000005</v>
      </c>
      <c r="I2091">
        <v>119.8177</v>
      </c>
      <c r="J2091">
        <v>-495.74540000000002</v>
      </c>
      <c r="K2091">
        <v>1.124871</v>
      </c>
      <c r="L2091">
        <v>263.0924</v>
      </c>
      <c r="M2091">
        <v>-0.10316599999999999</v>
      </c>
      <c r="N2091">
        <v>-1.322711E-2</v>
      </c>
      <c r="O2091">
        <v>-0.99457629999999997</v>
      </c>
      <c r="P2091">
        <v>-5.9866059999999999E-2</v>
      </c>
      <c r="Q2091">
        <v>0.1808343</v>
      </c>
      <c r="R2091">
        <v>-0.98169010000000001</v>
      </c>
      <c r="S2091">
        <v>0.48019410000000001</v>
      </c>
      <c r="T2091">
        <v>-7.3906179999999998E-3</v>
      </c>
      <c r="U2091">
        <v>-3.08847</v>
      </c>
      <c r="V2091">
        <v>-4.3522940000000003E-2</v>
      </c>
      <c r="W2091">
        <v>0.19342309999999999</v>
      </c>
      <c r="X2091">
        <v>0.98014959999999995</v>
      </c>
      <c r="Y2091">
        <v>-0.25472850000000002</v>
      </c>
      <c r="Z2091">
        <v>-1.101308E-2</v>
      </c>
      <c r="AA2091">
        <v>0.96694990000000003</v>
      </c>
      <c r="AB2091">
        <v>26</v>
      </c>
      <c r="AC2091">
        <v>22.335599999999999</v>
      </c>
      <c r="AD2091">
        <v>-0.34318699999999902</v>
      </c>
      <c r="AE2091">
        <v>-143.2747</v>
      </c>
      <c r="AF2091">
        <v>-36.998561956109697</v>
      </c>
      <c r="AG2091">
        <v>-0.34318699999999902</v>
      </c>
      <c r="AH2091">
        <v>140.20481285596099</v>
      </c>
      <c r="AI2091">
        <v>90.135603655080999</v>
      </c>
      <c r="AJ2091">
        <v>104.782752662002</v>
      </c>
      <c r="AK2091">
        <v>145.004830650955</v>
      </c>
      <c r="AL2091">
        <v>78.847379701184593</v>
      </c>
      <c r="AM2091">
        <v>92.542513652076593</v>
      </c>
      <c r="AN2091">
        <v>0.99999999015000596</v>
      </c>
    </row>
    <row r="2092" spans="1:40" x14ac:dyDescent="0.25">
      <c r="A2092" t="str">
        <f>"20190303170803719"</f>
        <v>20190303170803719</v>
      </c>
      <c r="B2092" t="str">
        <f>"1551604083714970"</f>
        <v>1551604083714970</v>
      </c>
      <c r="C2092" t="s">
        <v>40</v>
      </c>
      <c r="D2092">
        <v>4.6921790000000003</v>
      </c>
      <c r="E2092">
        <v>0.42147770000000001</v>
      </c>
      <c r="F2092" t="s">
        <v>76</v>
      </c>
      <c r="G2092">
        <v>-473.15879999999999</v>
      </c>
      <c r="H2092">
        <v>0.608471599999999</v>
      </c>
      <c r="I2092">
        <v>119.8177</v>
      </c>
      <c r="J2092">
        <v>-495.75819999999999</v>
      </c>
      <c r="K2092">
        <v>1.12469</v>
      </c>
      <c r="L2092">
        <v>262.93490000000003</v>
      </c>
      <c r="M2092">
        <v>-0.1001218</v>
      </c>
      <c r="N2092">
        <v>-1.3090269999999999E-2</v>
      </c>
      <c r="O2092">
        <v>-0.99488920000000003</v>
      </c>
      <c r="P2092">
        <v>-5.849646E-2</v>
      </c>
      <c r="Q2092">
        <v>0.17997779999999899</v>
      </c>
      <c r="R2092">
        <v>-0.98192979999999996</v>
      </c>
      <c r="S2092">
        <v>0.4867554</v>
      </c>
      <c r="T2092">
        <v>-1.112819E-2</v>
      </c>
      <c r="U2092">
        <v>-3.0876769999999998</v>
      </c>
      <c r="V2092">
        <v>-4.1817050000000001E-2</v>
      </c>
      <c r="W2092">
        <v>0.19246730000000001</v>
      </c>
      <c r="X2092">
        <v>0.98041199999999995</v>
      </c>
      <c r="Y2092">
        <v>-0.25381279999999901</v>
      </c>
      <c r="Z2092">
        <v>-9.6976240000000002E-3</v>
      </c>
      <c r="AA2092">
        <v>0.96720470000000003</v>
      </c>
      <c r="AB2092">
        <v>26</v>
      </c>
      <c r="AC2092">
        <v>22.599399999999999</v>
      </c>
      <c r="AD2092">
        <v>-0.51621839999999997</v>
      </c>
      <c r="AE2092">
        <v>-143.1172</v>
      </c>
      <c r="AF2092">
        <v>-36.815733185618001</v>
      </c>
      <c r="AG2092">
        <v>-0.51621839999999997</v>
      </c>
      <c r="AH2092">
        <v>140.13327461199199</v>
      </c>
      <c r="AI2092">
        <v>90.204136086910694</v>
      </c>
      <c r="AJ2092">
        <v>104.720064884357</v>
      </c>
      <c r="AK2092">
        <v>144.88961089364199</v>
      </c>
      <c r="AL2092">
        <v>78.903191950638401</v>
      </c>
      <c r="AM2092">
        <v>92.442329481701407</v>
      </c>
      <c r="AN2092">
        <v>1.00000000849199</v>
      </c>
    </row>
    <row r="2093" spans="1:40" x14ac:dyDescent="0.25">
      <c r="A2093" t="str">
        <f>"20190303170803742"</f>
        <v>20190303170803742</v>
      </c>
      <c r="B2093" t="str">
        <f>"1551604083734490"</f>
        <v>1551604083734490</v>
      </c>
      <c r="C2093" t="s">
        <v>40</v>
      </c>
      <c r="D2093">
        <v>4.6912279999999997</v>
      </c>
      <c r="E2093">
        <v>0.42196240000000002</v>
      </c>
      <c r="F2093" t="s">
        <v>76</v>
      </c>
      <c r="G2093">
        <v>-473.09230000000002</v>
      </c>
      <c r="H2093">
        <v>0.45552890000000001</v>
      </c>
      <c r="I2093">
        <v>119.8177</v>
      </c>
      <c r="J2093">
        <v>-495.77890000000002</v>
      </c>
      <c r="K2093">
        <v>1.12439</v>
      </c>
      <c r="L2093">
        <v>262.67450000000002</v>
      </c>
      <c r="M2093">
        <v>-9.5356440000000001E-2</v>
      </c>
      <c r="N2093">
        <v>-1.286524E-2</v>
      </c>
      <c r="O2093">
        <v>-0.99536009999999997</v>
      </c>
      <c r="P2093">
        <v>-5.6512279999999998E-2</v>
      </c>
      <c r="Q2093">
        <v>0.17990989999999901</v>
      </c>
      <c r="R2093">
        <v>-0.98205849999999995</v>
      </c>
      <c r="S2093">
        <v>0.48889159999999998</v>
      </c>
      <c r="T2093">
        <v>-1.443291E-2</v>
      </c>
      <c r="U2093">
        <v>-3.0869749999999998</v>
      </c>
      <c r="V2093">
        <v>-3.8969330000000003E-2</v>
      </c>
      <c r="W2093">
        <v>0.1922296</v>
      </c>
      <c r="X2093">
        <v>0.98057589999999994</v>
      </c>
      <c r="Y2093">
        <v>-0.2498669</v>
      </c>
      <c r="Z2093">
        <v>-8.4217319999999995E-3</v>
      </c>
      <c r="AA2093">
        <v>0.96824350000000003</v>
      </c>
      <c r="AB2093">
        <v>26</v>
      </c>
      <c r="AC2093">
        <v>22.686599999999999</v>
      </c>
      <c r="AD2093">
        <v>-0.66886109999999999</v>
      </c>
      <c r="AE2093">
        <v>-142.85679999999999</v>
      </c>
      <c r="AF2093">
        <v>-36.205872947759097</v>
      </c>
      <c r="AG2093">
        <v>-0.66886109999999999</v>
      </c>
      <c r="AH2093">
        <v>140.039234388957</v>
      </c>
      <c r="AI2093">
        <v>90.264944805190098</v>
      </c>
      <c r="AJ2093">
        <v>104.495882922319</v>
      </c>
      <c r="AK2093">
        <v>144.64542778576001</v>
      </c>
      <c r="AL2093">
        <v>78.9170697874506</v>
      </c>
      <c r="AM2093">
        <v>92.275809340544896</v>
      </c>
      <c r="AN2093">
        <v>0.99999996172880801</v>
      </c>
    </row>
    <row r="2094" spans="1:40" x14ac:dyDescent="0.25">
      <c r="A2094" t="str">
        <f>"20190303170803762"</f>
        <v>20190303170803762</v>
      </c>
      <c r="B2094" t="str">
        <f>"1551604083754986"</f>
        <v>1551604083754986</v>
      </c>
      <c r="C2094" t="s">
        <v>40</v>
      </c>
      <c r="D2094">
        <v>4.6823499999999996</v>
      </c>
      <c r="E2094">
        <v>0.42261379999999998</v>
      </c>
      <c r="F2094" t="s">
        <v>76</v>
      </c>
      <c r="G2094">
        <v>-473.03620000000001</v>
      </c>
      <c r="H2094">
        <v>0.41883710000000002</v>
      </c>
      <c r="I2094">
        <v>119.8177</v>
      </c>
      <c r="J2094">
        <v>-495.79790000000003</v>
      </c>
      <c r="K2094">
        <v>1.124118</v>
      </c>
      <c r="L2094">
        <v>262.42540000000002</v>
      </c>
      <c r="M2094">
        <v>-9.1116539999999996E-2</v>
      </c>
      <c r="N2094">
        <v>-1.265054E-2</v>
      </c>
      <c r="O2094">
        <v>-0.99575999999999998</v>
      </c>
      <c r="P2094">
        <v>-5.4399169999999997E-2</v>
      </c>
      <c r="Q2094">
        <v>0.1789232</v>
      </c>
      <c r="R2094">
        <v>-0.98235839999999996</v>
      </c>
      <c r="S2094">
        <v>0.49127199999999999</v>
      </c>
      <c r="T2094">
        <v>-1.524031E-2</v>
      </c>
      <c r="U2094">
        <v>-3.0859070000000002</v>
      </c>
      <c r="V2094">
        <v>-3.6793649999999997E-2</v>
      </c>
      <c r="W2094">
        <v>0.19107360000000001</v>
      </c>
      <c r="X2094">
        <v>0.98088589999999998</v>
      </c>
      <c r="Y2094">
        <v>-0.2465231</v>
      </c>
      <c r="Z2094">
        <v>-7.9411910000000002E-3</v>
      </c>
      <c r="AA2094">
        <v>0.96910430000000003</v>
      </c>
      <c r="AB2094">
        <v>26</v>
      </c>
      <c r="AC2094">
        <v>22.761700000000001</v>
      </c>
      <c r="AD2094">
        <v>-0.70528089999999999</v>
      </c>
      <c r="AE2094">
        <v>-142.60769999999999</v>
      </c>
      <c r="AF2094">
        <v>-35.661109506099301</v>
      </c>
      <c r="AG2094">
        <v>-0.70528089999999999</v>
      </c>
      <c r="AH2094">
        <v>139.93691988988999</v>
      </c>
      <c r="AI2094">
        <v>90.279824690135598</v>
      </c>
      <c r="AJ2094">
        <v>104.296784285697</v>
      </c>
      <c r="AK2094">
        <v>144.41105809675199</v>
      </c>
      <c r="AL2094">
        <v>78.984555343148998</v>
      </c>
      <c r="AM2094">
        <v>92.148193739658396</v>
      </c>
      <c r="AN2094">
        <v>1.00000002105804</v>
      </c>
    </row>
    <row r="2095" spans="1:40" x14ac:dyDescent="0.25">
      <c r="A2095" t="str">
        <f>"20190303170803784"</f>
        <v>20190303170803784</v>
      </c>
      <c r="B2095" t="str">
        <f>"1551604083774508"</f>
        <v>1551604083774508</v>
      </c>
      <c r="C2095" t="s">
        <v>40</v>
      </c>
      <c r="D2095">
        <v>4.6758040000000003</v>
      </c>
      <c r="E2095">
        <v>0.42308040000000002</v>
      </c>
      <c r="F2095" t="s">
        <v>76</v>
      </c>
      <c r="G2095">
        <v>-473.01010000000002</v>
      </c>
      <c r="H2095">
        <v>0.17369570000000001</v>
      </c>
      <c r="I2095">
        <v>119.8177</v>
      </c>
      <c r="J2095">
        <v>-495.81580000000002</v>
      </c>
      <c r="K2095">
        <v>1.123891</v>
      </c>
      <c r="L2095">
        <v>262.18180000000001</v>
      </c>
      <c r="M2095">
        <v>-8.7253209999999998E-2</v>
      </c>
      <c r="N2095">
        <v>-1.2444780000000001E-2</v>
      </c>
      <c r="O2095">
        <v>-0.99610849999999995</v>
      </c>
      <c r="P2095">
        <v>-5.1263030000000001E-2</v>
      </c>
      <c r="Q2095">
        <v>0.17894370000000001</v>
      </c>
      <c r="R2095">
        <v>-0.98252340000000005</v>
      </c>
      <c r="S2095">
        <v>0.49295040000000001</v>
      </c>
      <c r="T2095">
        <v>-2.0559190000000001E-2</v>
      </c>
      <c r="U2095">
        <v>-3.0849299999999999</v>
      </c>
      <c r="V2095">
        <v>-3.6021619999999997E-2</v>
      </c>
      <c r="W2095">
        <v>0.1909159</v>
      </c>
      <c r="X2095">
        <v>0.98094519999999996</v>
      </c>
      <c r="Y2095">
        <v>-0.2433247</v>
      </c>
      <c r="Z2095">
        <v>-6.0469349999999998E-3</v>
      </c>
      <c r="AA2095">
        <v>0.96992610000000001</v>
      </c>
      <c r="AB2095">
        <v>26</v>
      </c>
      <c r="AC2095">
        <v>22.805700000000002</v>
      </c>
      <c r="AD2095">
        <v>-0.95019529999999996</v>
      </c>
      <c r="AE2095">
        <v>-142.36410000000001</v>
      </c>
      <c r="AF2095">
        <v>-35.139868981442902</v>
      </c>
      <c r="AG2095">
        <v>-0.95019529999999996</v>
      </c>
      <c r="AH2095">
        <v>139.82496524114401</v>
      </c>
      <c r="AI2095">
        <v>90.3776117705589</v>
      </c>
      <c r="AJ2095">
        <v>104.107040116767</v>
      </c>
      <c r="AK2095">
        <v>144.17605268500199</v>
      </c>
      <c r="AL2095">
        <v>78.993759680115701</v>
      </c>
      <c r="AM2095">
        <v>92.103032727801804</v>
      </c>
      <c r="AN2095">
        <v>0.99999996169163596</v>
      </c>
    </row>
    <row r="2096" spans="1:40" x14ac:dyDescent="0.25">
      <c r="A2096" t="str">
        <f>"20190303170803807"</f>
        <v>20190303170803807</v>
      </c>
      <c r="B2096" t="str">
        <f>"1551604083804765"</f>
        <v>1551604083804765</v>
      </c>
      <c r="C2096" t="s">
        <v>40</v>
      </c>
      <c r="D2096">
        <v>4.6472009999999999</v>
      </c>
      <c r="E2096">
        <v>0.4236743</v>
      </c>
      <c r="F2096" t="s">
        <v>76</v>
      </c>
      <c r="G2096">
        <v>-472.75060000000002</v>
      </c>
      <c r="H2096">
        <v>0.1852724</v>
      </c>
      <c r="I2096">
        <v>119.8177</v>
      </c>
      <c r="J2096">
        <v>-495.83530000000002</v>
      </c>
      <c r="K2096">
        <v>1.123672</v>
      </c>
      <c r="L2096">
        <v>261.9067</v>
      </c>
      <c r="M2096">
        <v>-8.3182740000000005E-2</v>
      </c>
      <c r="N2096">
        <v>-1.222504E-2</v>
      </c>
      <c r="O2096">
        <v>-0.9964594</v>
      </c>
      <c r="P2096">
        <v>-4.8351789999999999E-2</v>
      </c>
      <c r="Q2096">
        <v>0.1777987</v>
      </c>
      <c r="R2096">
        <v>-0.98287840000000004</v>
      </c>
      <c r="S2096">
        <v>0.4995117</v>
      </c>
      <c r="T2096">
        <v>-2.0326730000000001E-2</v>
      </c>
      <c r="U2096">
        <v>-3.0831300000000001</v>
      </c>
      <c r="V2096">
        <v>-3.4834249999999997E-2</v>
      </c>
      <c r="W2096">
        <v>0.18958269999999999</v>
      </c>
      <c r="X2096">
        <v>0.98124670000000003</v>
      </c>
      <c r="Y2096">
        <v>-0.2414627</v>
      </c>
      <c r="Z2096">
        <v>-5.8885159999999999E-3</v>
      </c>
      <c r="AA2096">
        <v>0.97039219999999904</v>
      </c>
      <c r="AB2096">
        <v>26</v>
      </c>
      <c r="AC2096">
        <v>23.084700000000002</v>
      </c>
      <c r="AD2096">
        <v>-0.938399599999999</v>
      </c>
      <c r="AE2096">
        <v>-142.089</v>
      </c>
      <c r="AF2096">
        <v>-34.823438531632597</v>
      </c>
      <c r="AG2096">
        <v>-0.938399599999999</v>
      </c>
      <c r="AH2096">
        <v>139.67016269970301</v>
      </c>
      <c r="AI2096">
        <v>90.373512337741204</v>
      </c>
      <c r="AJ2096">
        <v>103.99990569012201</v>
      </c>
      <c r="AK2096">
        <v>143.948972950616</v>
      </c>
      <c r="AL2096">
        <v>79.071568559831604</v>
      </c>
      <c r="AM2096">
        <v>92.033145910862004</v>
      </c>
      <c r="AN2096">
        <v>1.00000005568661</v>
      </c>
    </row>
    <row r="2097" spans="1:40" x14ac:dyDescent="0.25">
      <c r="A2097" t="str">
        <f>"20190303170803830"</f>
        <v>20190303170803830</v>
      </c>
      <c r="B2097" t="str">
        <f>"1551604083825261"</f>
        <v>1551604083825261</v>
      </c>
      <c r="C2097" t="s">
        <v>40</v>
      </c>
      <c r="D2097">
        <v>4.6641879999999896</v>
      </c>
      <c r="E2097">
        <v>0.4239561</v>
      </c>
      <c r="F2097" t="s">
        <v>59</v>
      </c>
      <c r="G2097">
        <v>-473.6619</v>
      </c>
      <c r="H2097">
        <v>7.9986760000000004E-2</v>
      </c>
      <c r="I2097">
        <v>126.1148</v>
      </c>
      <c r="J2097">
        <v>-495.85239999999999</v>
      </c>
      <c r="K2097">
        <v>1.123497</v>
      </c>
      <c r="L2097">
        <v>261.65339999999998</v>
      </c>
      <c r="M2097">
        <v>-7.9693920000000001E-2</v>
      </c>
      <c r="N2097">
        <v>-1.204146E-2</v>
      </c>
      <c r="O2097">
        <v>-0.99674700000000005</v>
      </c>
      <c r="P2097">
        <v>-4.5457209999999998E-2</v>
      </c>
      <c r="Q2097">
        <v>0.17620920000000001</v>
      </c>
      <c r="R2097">
        <v>-0.98330280000000003</v>
      </c>
      <c r="S2097">
        <v>0.50314329999999996</v>
      </c>
      <c r="T2097">
        <v>-2.368259E-2</v>
      </c>
      <c r="U2097">
        <v>-3.081299</v>
      </c>
      <c r="V2097">
        <v>-3.4226939999999997E-2</v>
      </c>
      <c r="W2097">
        <v>0.18783320000000001</v>
      </c>
      <c r="X2097">
        <v>0.98160440000000004</v>
      </c>
      <c r="Y2097">
        <v>-0.2392705</v>
      </c>
      <c r="Z2097">
        <v>-4.6321340000000004E-3</v>
      </c>
      <c r="AA2097">
        <v>0.97094190000000002</v>
      </c>
      <c r="AB2097">
        <v>26</v>
      </c>
      <c r="AC2097">
        <v>22.190499999999901</v>
      </c>
      <c r="AD2097">
        <v>-1.04351024</v>
      </c>
      <c r="AE2097">
        <v>-135.53859999999901</v>
      </c>
      <c r="AF2097">
        <v>-32.920391631833901</v>
      </c>
      <c r="AG2097">
        <v>-1.04351024</v>
      </c>
      <c r="AH2097">
        <v>133.331168735369</v>
      </c>
      <c r="AI2097">
        <v>90.435340605050598</v>
      </c>
      <c r="AJ2097">
        <v>103.869328146988</v>
      </c>
      <c r="AK2097">
        <v>137.33914829775901</v>
      </c>
      <c r="AL2097">
        <v>79.173640801877298</v>
      </c>
      <c r="AM2097">
        <v>91.997001065925204</v>
      </c>
      <c r="AN2097">
        <v>0.99999999627168101</v>
      </c>
    </row>
    <row r="2098" spans="1:40" x14ac:dyDescent="0.25">
      <c r="A2098" t="str">
        <f>"20190303170803852"</f>
        <v>20190303170803852</v>
      </c>
      <c r="B2098" t="str">
        <f>"1551604083844781"</f>
        <v>1551604083844781</v>
      </c>
      <c r="C2098" t="s">
        <v>40</v>
      </c>
      <c r="D2098">
        <v>4.6502869999999996</v>
      </c>
      <c r="E2098">
        <v>0.42428500000000002</v>
      </c>
      <c r="F2098" t="s">
        <v>59</v>
      </c>
      <c r="G2098">
        <v>-477.49919999999997</v>
      </c>
      <c r="H2098">
        <v>7.998711E-2</v>
      </c>
      <c r="I2098">
        <v>150.7724</v>
      </c>
      <c r="J2098">
        <v>-495.86989999999997</v>
      </c>
      <c r="K2098">
        <v>1.1233390000000001</v>
      </c>
      <c r="L2098">
        <v>261.38209999999998</v>
      </c>
      <c r="M2098">
        <v>-7.6200539999999997E-2</v>
      </c>
      <c r="N2098">
        <v>-1.186593E-2</v>
      </c>
      <c r="O2098">
        <v>-0.99702199999999996</v>
      </c>
      <c r="P2098">
        <v>-4.352205E-2</v>
      </c>
      <c r="Q2098">
        <v>0.1762396</v>
      </c>
      <c r="R2098">
        <v>-0.98338499999999995</v>
      </c>
      <c r="S2098">
        <v>0.50976560000000004</v>
      </c>
      <c r="T2098">
        <v>-2.8983709999999999E-2</v>
      </c>
      <c r="U2098">
        <v>-3.079742</v>
      </c>
      <c r="V2098">
        <v>-3.2646059999999998E-2</v>
      </c>
      <c r="W2098">
        <v>0.18771280000000001</v>
      </c>
      <c r="X2098">
        <v>0.98168129999999998</v>
      </c>
      <c r="Y2098">
        <v>-0.2379781</v>
      </c>
      <c r="Z2098">
        <v>-2.768773E-3</v>
      </c>
      <c r="AA2098">
        <v>0.97126659999999998</v>
      </c>
      <c r="AB2098">
        <v>26</v>
      </c>
      <c r="AC2098">
        <v>18.370699999999999</v>
      </c>
      <c r="AD2098">
        <v>-1.0433518899999901</v>
      </c>
      <c r="AE2098">
        <v>-110.60969999999899</v>
      </c>
      <c r="AF2098">
        <v>-26.744075669672799</v>
      </c>
      <c r="AG2098">
        <v>-1.0433518899999901</v>
      </c>
      <c r="AH2098">
        <v>108.878675072596</v>
      </c>
      <c r="AI2098">
        <v>90.533183278746407</v>
      </c>
      <c r="AJ2098">
        <v>103.80045066189599</v>
      </c>
      <c r="AK2098">
        <v>112.120025205828</v>
      </c>
      <c r="AL2098">
        <v>79.180664375776104</v>
      </c>
      <c r="AM2098">
        <v>91.904683713238697</v>
      </c>
      <c r="AN2098">
        <v>1.00000001764352</v>
      </c>
    </row>
    <row r="2099" spans="1:40" x14ac:dyDescent="0.25">
      <c r="A2099" t="str">
        <f>"20190303170803875"</f>
        <v>20190303170803875</v>
      </c>
      <c r="B2099" t="str">
        <f>"1551604083865243"</f>
        <v>1551604083865243</v>
      </c>
      <c r="C2099" t="s">
        <v>40</v>
      </c>
      <c r="D2099">
        <v>4.6227419999999997</v>
      </c>
      <c r="E2099">
        <v>0.424655</v>
      </c>
      <c r="F2099" t="s">
        <v>59</v>
      </c>
      <c r="G2099">
        <v>-475.16800000000001</v>
      </c>
      <c r="H2099" s="1">
        <v>-5.49708899999999E-6</v>
      </c>
      <c r="I2099">
        <v>137.1046</v>
      </c>
      <c r="J2099">
        <v>-495.88589999999999</v>
      </c>
      <c r="K2099">
        <v>1.1232200000000001</v>
      </c>
      <c r="L2099">
        <v>261.1259</v>
      </c>
      <c r="M2099">
        <v>-7.3052660000000005E-2</v>
      </c>
      <c r="N2099">
        <v>-1.1717470000000001E-2</v>
      </c>
      <c r="O2099">
        <v>-0.99725929999999996</v>
      </c>
      <c r="P2099">
        <v>-4.2400699999999902E-2</v>
      </c>
      <c r="Q2099">
        <v>0.17616180000000001</v>
      </c>
      <c r="R2099">
        <v>-0.98344779999999998</v>
      </c>
      <c r="S2099">
        <v>0.51278690000000005</v>
      </c>
      <c r="T2099">
        <v>-2.782536E-2</v>
      </c>
      <c r="U2099">
        <v>-3.0783689999999999</v>
      </c>
      <c r="V2099">
        <v>-3.0608150000000001E-2</v>
      </c>
      <c r="W2099">
        <v>0.18751100000000001</v>
      </c>
      <c r="X2099">
        <v>0.98178549999999998</v>
      </c>
      <c r="Y2099">
        <v>-0.23590990000000001</v>
      </c>
      <c r="Z2099">
        <v>-2.9746769999999998E-3</v>
      </c>
      <c r="AA2099">
        <v>0.97177040000000003</v>
      </c>
      <c r="AB2099">
        <v>26</v>
      </c>
      <c r="AC2099">
        <v>20.717899999999901</v>
      </c>
      <c r="AD2099">
        <v>-1.1232254970890001</v>
      </c>
      <c r="AE2099">
        <v>-124.0213</v>
      </c>
      <c r="AF2099">
        <v>-29.720871715618902</v>
      </c>
      <c r="AG2099">
        <v>-1.1232254970890001</v>
      </c>
      <c r="AH2099">
        <v>122.166529988872</v>
      </c>
      <c r="AI2099">
        <v>90.511846442127407</v>
      </c>
      <c r="AJ2099">
        <v>103.673383281865</v>
      </c>
      <c r="AK2099">
        <v>125.734851574953</v>
      </c>
      <c r="AL2099">
        <v>79.192435502075099</v>
      </c>
      <c r="AM2099">
        <v>91.785675153462506</v>
      </c>
      <c r="AN2099">
        <v>1.0000000009888299</v>
      </c>
    </row>
    <row r="2100" spans="1:40" x14ac:dyDescent="0.25">
      <c r="A2100" t="str">
        <f>"20190303170803896"</f>
        <v>20190303170803896</v>
      </c>
      <c r="B2100" t="str">
        <f>"1551604083884763"</f>
        <v>1551604083884763</v>
      </c>
      <c r="C2100" t="s">
        <v>40</v>
      </c>
      <c r="D2100">
        <v>4.657807</v>
      </c>
      <c r="E2100">
        <v>0.43046499999999999</v>
      </c>
      <c r="F2100" t="s">
        <v>59</v>
      </c>
      <c r="G2100">
        <v>-474.9212</v>
      </c>
      <c r="H2100" s="1">
        <v>-5.3472899999999998E-6</v>
      </c>
      <c r="I2100">
        <v>135.57310000000001</v>
      </c>
      <c r="J2100">
        <v>-495.90089999999998</v>
      </c>
      <c r="K2100">
        <v>1.123105</v>
      </c>
      <c r="L2100">
        <v>260.87329999999997</v>
      </c>
      <c r="M2100">
        <v>-7.0094320000000002E-2</v>
      </c>
      <c r="N2100">
        <v>-1.1586910000000001E-2</v>
      </c>
      <c r="O2100">
        <v>-0.9974731</v>
      </c>
      <c r="P2100">
        <v>-4.1593529999999997E-2</v>
      </c>
      <c r="Q2100">
        <v>0.17489070000000001</v>
      </c>
      <c r="R2100">
        <v>-0.98370880000000005</v>
      </c>
      <c r="S2100">
        <v>0.5138855</v>
      </c>
      <c r="T2100">
        <v>-2.7532460000000002E-2</v>
      </c>
      <c r="U2100">
        <v>-3.0775450000000002</v>
      </c>
      <c r="V2100">
        <v>-2.8457E-2</v>
      </c>
      <c r="W2100">
        <v>0.1861342</v>
      </c>
      <c r="X2100">
        <v>0.98211219999999999</v>
      </c>
      <c r="Y2100">
        <v>-0.23340720000000001</v>
      </c>
      <c r="Z2100">
        <v>-2.9258169999999998E-3</v>
      </c>
      <c r="AA2100">
        <v>0.97237470000000004</v>
      </c>
      <c r="AB2100">
        <v>26</v>
      </c>
      <c r="AC2100">
        <v>20.979699999999902</v>
      </c>
      <c r="AD2100">
        <v>-1.1231103472899999</v>
      </c>
      <c r="AE2100">
        <v>-125.30019999999899</v>
      </c>
      <c r="AF2100">
        <v>-29.7091906385347</v>
      </c>
      <c r="AG2100">
        <v>-1.1231103472899999</v>
      </c>
      <c r="AH2100">
        <v>123.511657205831</v>
      </c>
      <c r="AI2100">
        <v>90.506538017328694</v>
      </c>
      <c r="AJ2100">
        <v>103.524851306743</v>
      </c>
      <c r="AK2100">
        <v>127.039469657976</v>
      </c>
      <c r="AL2100">
        <v>79.272734713794506</v>
      </c>
      <c r="AM2100">
        <v>91.659698282419299</v>
      </c>
      <c r="AN2100">
        <v>1.00000005732373</v>
      </c>
    </row>
    <row r="2101" spans="1:40" x14ac:dyDescent="0.25">
      <c r="A2101" t="str">
        <f>"20190303170803917"</f>
        <v>20190303170803917</v>
      </c>
      <c r="B2101" t="str">
        <f>"1551604083915019"</f>
        <v>1551604083915019</v>
      </c>
      <c r="C2101" t="s">
        <v>40</v>
      </c>
      <c r="D2101">
        <v>4.6540229999999996</v>
      </c>
      <c r="E2101">
        <v>0.43067260000000002</v>
      </c>
      <c r="F2101" t="s">
        <v>46</v>
      </c>
      <c r="G2101">
        <v>-472.46780000000001</v>
      </c>
      <c r="H2101">
        <v>-0.05</v>
      </c>
      <c r="I2101">
        <v>107.3471</v>
      </c>
      <c r="J2101">
        <v>-495.91570000000002</v>
      </c>
      <c r="K2101">
        <v>1.122994</v>
      </c>
      <c r="L2101">
        <v>260.61680000000001</v>
      </c>
      <c r="M2101">
        <v>-6.7252960000000001E-2</v>
      </c>
      <c r="N2101">
        <v>-1.146908E-2</v>
      </c>
      <c r="O2101">
        <v>-0.99767019999999995</v>
      </c>
      <c r="P2101">
        <v>-4.0801200000000003E-2</v>
      </c>
      <c r="Q2101">
        <v>0.1746743</v>
      </c>
      <c r="R2101">
        <v>-0.98378060000000001</v>
      </c>
      <c r="S2101">
        <v>0.46914670000000003</v>
      </c>
      <c r="T2101">
        <v>-2.3486380000000001E-2</v>
      </c>
      <c r="U2101">
        <v>-3.0737000000000001</v>
      </c>
      <c r="V2101">
        <v>-2.6397049999999998E-2</v>
      </c>
      <c r="W2101">
        <v>0.18582080000000001</v>
      </c>
      <c r="X2101">
        <v>0.98222900000000002</v>
      </c>
      <c r="Y2101">
        <v>-0.217006</v>
      </c>
      <c r="Z2101">
        <v>-4.0474789999999997E-3</v>
      </c>
      <c r="AA2101">
        <v>0.97616190000000003</v>
      </c>
      <c r="AB2101">
        <v>26</v>
      </c>
      <c r="AC2101">
        <v>23.447900000000001</v>
      </c>
      <c r="AD2101">
        <v>-1.1729940000000001</v>
      </c>
      <c r="AE2101">
        <v>-153.2697</v>
      </c>
      <c r="AF2101">
        <v>-33.701394522298401</v>
      </c>
      <c r="AG2101">
        <v>-1.1729940000000001</v>
      </c>
      <c r="AH2101">
        <v>151.33693985977601</v>
      </c>
      <c r="AI2101">
        <v>90.433466031597106</v>
      </c>
      <c r="AJ2101">
        <v>102.554407434174</v>
      </c>
      <c r="AK2101">
        <v>155.04847394861099</v>
      </c>
      <c r="AL2101">
        <v>79.291009324948007</v>
      </c>
      <c r="AM2101">
        <v>91.539432857694095</v>
      </c>
      <c r="AN2101">
        <v>0.999999991201171</v>
      </c>
    </row>
    <row r="2102" spans="1:40" x14ac:dyDescent="0.25">
      <c r="A2102" t="str">
        <f>"20190303170803941"</f>
        <v>20190303170803941</v>
      </c>
      <c r="B2102" t="str">
        <f>"1551604083934540"</f>
        <v>1551604083934540</v>
      </c>
      <c r="C2102" t="s">
        <v>40</v>
      </c>
      <c r="D2102">
        <v>4.6855339999999996</v>
      </c>
      <c r="E2102">
        <v>0.43116490000000002</v>
      </c>
      <c r="F2102" t="s">
        <v>59</v>
      </c>
      <c r="G2102">
        <v>-475.87490000000003</v>
      </c>
      <c r="H2102">
        <v>4.7069380000000001E-2</v>
      </c>
      <c r="I2102">
        <v>129.6163</v>
      </c>
      <c r="J2102">
        <v>-495.93099999999998</v>
      </c>
      <c r="K2102">
        <v>1.1228560000000001</v>
      </c>
      <c r="L2102">
        <v>260.34019999999998</v>
      </c>
      <c r="M2102">
        <v>-6.4380510000000002E-2</v>
      </c>
      <c r="N2102">
        <v>-1.135683E-2</v>
      </c>
      <c r="O2102">
        <v>-0.99786079999999999</v>
      </c>
      <c r="P2102">
        <v>-3.9579879999999998E-2</v>
      </c>
      <c r="Q2102">
        <v>0.17581820000000001</v>
      </c>
      <c r="R2102">
        <v>-0.98362700000000003</v>
      </c>
      <c r="S2102">
        <v>0.4701843</v>
      </c>
      <c r="T2102">
        <v>-2.5242690000000002E-2</v>
      </c>
      <c r="U2102">
        <v>-3.0734560000000002</v>
      </c>
      <c r="V2102">
        <v>-2.471667E-2</v>
      </c>
      <c r="W2102">
        <v>0.1868688</v>
      </c>
      <c r="X2102">
        <v>0.98207390000000006</v>
      </c>
      <c r="Y2102">
        <v>-0.214529</v>
      </c>
      <c r="Z2102">
        <v>-3.367919E-3</v>
      </c>
      <c r="AA2102">
        <v>0.97671180000000002</v>
      </c>
      <c r="AB2102">
        <v>26</v>
      </c>
      <c r="AC2102">
        <v>20.056099999999901</v>
      </c>
      <c r="AD2102">
        <v>-1.0757866199999999</v>
      </c>
      <c r="AE2102">
        <v>-130.72389999999999</v>
      </c>
      <c r="AF2102">
        <v>-28.4292197728237</v>
      </c>
      <c r="AG2102">
        <v>-1.0757866199999999</v>
      </c>
      <c r="AH2102">
        <v>129.152817381315</v>
      </c>
      <c r="AI2102">
        <v>90.4660803465691</v>
      </c>
      <c r="AJ2102">
        <v>102.41401943879001</v>
      </c>
      <c r="AK2102">
        <v>132.24911376366401</v>
      </c>
      <c r="AL2102">
        <v>79.229892988652097</v>
      </c>
      <c r="AM2102">
        <v>91.441706148722403</v>
      </c>
      <c r="AN2102">
        <v>1.0000000036252601</v>
      </c>
    </row>
    <row r="2103" spans="1:40" x14ac:dyDescent="0.25">
      <c r="A2103" t="str">
        <f>"20190303170803963"</f>
        <v>20190303170803963</v>
      </c>
      <c r="B2103" t="str">
        <f>"1551604083955035"</f>
        <v>1551604083955035</v>
      </c>
      <c r="C2103" t="s">
        <v>40</v>
      </c>
      <c r="D2103">
        <v>4.6918959999999998</v>
      </c>
      <c r="E2103">
        <v>0.43136570000000002</v>
      </c>
      <c r="F2103" t="s">
        <v>59</v>
      </c>
      <c r="G2103">
        <v>-475.93389999999999</v>
      </c>
      <c r="H2103">
        <v>3.830716E-2</v>
      </c>
      <c r="I2103">
        <v>129.6163</v>
      </c>
      <c r="J2103">
        <v>-495.94490000000002</v>
      </c>
      <c r="K2103">
        <v>1.122717</v>
      </c>
      <c r="L2103">
        <v>260.0795</v>
      </c>
      <c r="M2103">
        <v>-6.1868369999999999E-2</v>
      </c>
      <c r="N2103">
        <v>-1.1267340000000001E-2</v>
      </c>
      <c r="O2103">
        <v>-0.99802089999999999</v>
      </c>
      <c r="P2103">
        <v>-3.8987679999999997E-2</v>
      </c>
      <c r="Q2103">
        <v>0.1773052</v>
      </c>
      <c r="R2103">
        <v>-0.98338329999999996</v>
      </c>
      <c r="S2103">
        <v>0.47015380000000001</v>
      </c>
      <c r="T2103">
        <v>-2.549887E-2</v>
      </c>
      <c r="U2103">
        <v>-3.0734560000000002</v>
      </c>
      <c r="V2103">
        <v>-2.2757610000000001E-2</v>
      </c>
      <c r="W2103">
        <v>0.1882818</v>
      </c>
      <c r="X2103">
        <v>0.98185129999999998</v>
      </c>
      <c r="Y2103">
        <v>-0.21206059999999999</v>
      </c>
      <c r="Z2103">
        <v>-3.189969E-3</v>
      </c>
      <c r="AA2103">
        <v>0.97725130000000004</v>
      </c>
      <c r="AB2103">
        <v>26</v>
      </c>
      <c r="AC2103">
        <v>20.010999999999999</v>
      </c>
      <c r="AD2103">
        <v>-1.08440984</v>
      </c>
      <c r="AE2103">
        <v>-130.4632</v>
      </c>
      <c r="AF2103">
        <v>-28.042823951781401</v>
      </c>
      <c r="AG2103">
        <v>-1.08440984</v>
      </c>
      <c r="AH2103">
        <v>128.96641054460201</v>
      </c>
      <c r="AI2103">
        <v>90.470758318559902</v>
      </c>
      <c r="AJ2103">
        <v>102.26759380982099</v>
      </c>
      <c r="AK2103">
        <v>131.98451033606401</v>
      </c>
      <c r="AL2103">
        <v>79.147470597080201</v>
      </c>
      <c r="AM2103">
        <v>91.3277790419247</v>
      </c>
      <c r="AN2103">
        <v>0.99999996016792003</v>
      </c>
    </row>
    <row r="2104" spans="1:40" x14ac:dyDescent="0.25">
      <c r="A2104" t="str">
        <f>"20190303170803985"</f>
        <v>20190303170803985</v>
      </c>
      <c r="B2104" t="str">
        <f>"1551604083974859"</f>
        <v>1551604083974859</v>
      </c>
      <c r="C2104" t="s">
        <v>40</v>
      </c>
      <c r="D2104">
        <v>4.6726089999999996</v>
      </c>
      <c r="E2104">
        <v>0.43353580000000003</v>
      </c>
      <c r="F2104" t="s">
        <v>46</v>
      </c>
      <c r="G2104">
        <v>-471.30650000000003</v>
      </c>
      <c r="H2104">
        <v>-0.05</v>
      </c>
      <c r="I2104">
        <v>98.987409999999997</v>
      </c>
      <c r="J2104">
        <v>-495.9581</v>
      </c>
      <c r="K2104">
        <v>1.1225780000000001</v>
      </c>
      <c r="L2104">
        <v>259.82589999999999</v>
      </c>
      <c r="M2104">
        <v>-5.9624249999999997E-2</v>
      </c>
      <c r="N2104">
        <v>-1.119999E-2</v>
      </c>
      <c r="O2104">
        <v>-0.9981584</v>
      </c>
      <c r="P2104">
        <v>-3.8766879999999997E-2</v>
      </c>
      <c r="Q2104">
        <v>0.1781327</v>
      </c>
      <c r="R2104">
        <v>-0.98324319999999998</v>
      </c>
      <c r="S2104">
        <v>0.47006229999999899</v>
      </c>
      <c r="T2104">
        <v>-2.237368E-2</v>
      </c>
      <c r="U2104">
        <v>-3.0733950000000001</v>
      </c>
      <c r="V2104">
        <v>-2.0692539999999999E-2</v>
      </c>
      <c r="W2104">
        <v>0.18905830000000001</v>
      </c>
      <c r="X2104">
        <v>0.98174779999999995</v>
      </c>
      <c r="Y2104">
        <v>-0.20983830000000001</v>
      </c>
      <c r="Z2104">
        <v>-4.1134709999999996E-3</v>
      </c>
      <c r="AA2104">
        <v>0.97772749999999997</v>
      </c>
      <c r="AB2104">
        <v>26</v>
      </c>
      <c r="AC2104">
        <v>24.651599999999899</v>
      </c>
      <c r="AD2104">
        <v>-1.1725779999999999</v>
      </c>
      <c r="AE2104">
        <v>-160.83848999999901</v>
      </c>
      <c r="AF2104">
        <v>-34.196433431148499</v>
      </c>
      <c r="AG2104">
        <v>-1.1725779999999999</v>
      </c>
      <c r="AH2104">
        <v>159.07411959361599</v>
      </c>
      <c r="AI2104">
        <v>90.412902304349004</v>
      </c>
      <c r="AJ2104">
        <v>102.132330165345</v>
      </c>
      <c r="AK2104">
        <v>162.71246578876901</v>
      </c>
      <c r="AL2104">
        <v>79.102167034335395</v>
      </c>
      <c r="AM2104">
        <v>91.207458462527299</v>
      </c>
      <c r="AN2104">
        <v>0.99999998240768995</v>
      </c>
    </row>
    <row r="2105" spans="1:40" x14ac:dyDescent="0.25">
      <c r="A2105" t="str">
        <f>"20190303170804009"</f>
        <v>20190303170804009</v>
      </c>
      <c r="B2105" t="str">
        <f>"1551604084005115"</f>
        <v>1551604084005115</v>
      </c>
      <c r="C2105" t="s">
        <v>40</v>
      </c>
      <c r="D2105">
        <v>4.6958320000000002</v>
      </c>
      <c r="E2105">
        <v>0.43327599999999999</v>
      </c>
      <c r="F2105" t="s">
        <v>59</v>
      </c>
      <c r="G2105">
        <v>-478.13299999999998</v>
      </c>
      <c r="H2105" s="1">
        <v>-4.3798699999999998E-6</v>
      </c>
      <c r="I2105">
        <v>139.21019999999999</v>
      </c>
      <c r="J2105">
        <v>-495.97190000000001</v>
      </c>
      <c r="K2105">
        <v>1.122401</v>
      </c>
      <c r="L2105">
        <v>259.55200000000002</v>
      </c>
      <c r="M2105">
        <v>-5.7448119999999998E-2</v>
      </c>
      <c r="N2105">
        <v>-1.1158120000000001E-2</v>
      </c>
      <c r="O2105">
        <v>-0.99828620000000001</v>
      </c>
      <c r="P2105">
        <v>-3.8246629999999997E-2</v>
      </c>
      <c r="Q2105">
        <v>0.17841789999999999</v>
      </c>
      <c r="R2105">
        <v>-0.98321130000000001</v>
      </c>
      <c r="S2105">
        <v>0.45431519999999997</v>
      </c>
      <c r="T2105">
        <v>-2.861178E-2</v>
      </c>
      <c r="U2105">
        <v>-3.0741879999999999</v>
      </c>
      <c r="V2105">
        <v>-1.8985189999999999E-2</v>
      </c>
      <c r="W2105">
        <v>0.18931719999999999</v>
      </c>
      <c r="X2105">
        <v>0.98173239999999995</v>
      </c>
      <c r="Y2105">
        <v>-0.20276569999999999</v>
      </c>
      <c r="Z2105">
        <v>-2.0681369999999998E-3</v>
      </c>
      <c r="AA2105">
        <v>0.97922509999999996</v>
      </c>
      <c r="AB2105">
        <v>26</v>
      </c>
      <c r="AC2105">
        <v>17.838899999999899</v>
      </c>
      <c r="AD2105">
        <v>-1.12240537987</v>
      </c>
      <c r="AE2105">
        <v>-120.34180000000001</v>
      </c>
      <c r="AF2105">
        <v>-24.7211711618367</v>
      </c>
      <c r="AG2105">
        <v>-1.12240537987</v>
      </c>
      <c r="AH2105">
        <v>119.10801656825799</v>
      </c>
      <c r="AI2105">
        <v>90.528640766530799</v>
      </c>
      <c r="AJ2105">
        <v>101.725406899948</v>
      </c>
      <c r="AK2105">
        <v>121.651616135068</v>
      </c>
      <c r="AL2105">
        <v>79.087060233767602</v>
      </c>
      <c r="AM2105">
        <v>91.107873887613394</v>
      </c>
      <c r="AN2105">
        <v>0.99999997243246697</v>
      </c>
    </row>
    <row r="2106" spans="1:40" x14ac:dyDescent="0.25">
      <c r="A2106" t="str">
        <f>"20190303170804031"</f>
        <v>20190303170804031</v>
      </c>
      <c r="B2106" t="str">
        <f>"1551604084024635"</f>
        <v>1551604084024635</v>
      </c>
      <c r="C2106" t="s">
        <v>40</v>
      </c>
      <c r="D2106">
        <v>4.7012919999999996</v>
      </c>
      <c r="E2106">
        <v>0.43318899999999999</v>
      </c>
      <c r="F2106" t="s">
        <v>59</v>
      </c>
      <c r="G2106">
        <v>-476.64139999999998</v>
      </c>
      <c r="H2106" s="1">
        <v>-3.3066409999999999E-6</v>
      </c>
      <c r="I2106">
        <v>129.7663</v>
      </c>
      <c r="J2106">
        <v>-495.98500000000001</v>
      </c>
      <c r="K2106">
        <v>1.1222179999999999</v>
      </c>
      <c r="L2106">
        <v>259.28480000000002</v>
      </c>
      <c r="M2106">
        <v>-5.5629060000000001E-2</v>
      </c>
      <c r="N2106">
        <v>-1.114944E-2</v>
      </c>
      <c r="O2106">
        <v>-0.99838939999999998</v>
      </c>
      <c r="P2106">
        <v>-3.7312600000000001E-2</v>
      </c>
      <c r="Q2106">
        <v>0.17708950000000001</v>
      </c>
      <c r="R2106">
        <v>-0.98348720000000001</v>
      </c>
      <c r="S2106">
        <v>0.45782469999999997</v>
      </c>
      <c r="T2106">
        <v>-2.6583079999999999E-2</v>
      </c>
      <c r="U2106">
        <v>-3.0738530000000002</v>
      </c>
      <c r="V2106">
        <v>-1.8049860000000001E-2</v>
      </c>
      <c r="W2106">
        <v>0.1879943</v>
      </c>
      <c r="X2106">
        <v>0.98200419999999999</v>
      </c>
      <c r="Y2106">
        <v>-0.2020914</v>
      </c>
      <c r="Z2106">
        <v>-2.7039809999999998E-3</v>
      </c>
      <c r="AA2106">
        <v>0.97936290000000004</v>
      </c>
      <c r="AB2106">
        <v>26</v>
      </c>
      <c r="AC2106">
        <v>19.343599999999999</v>
      </c>
      <c r="AD2106">
        <v>-1.1222213066409901</v>
      </c>
      <c r="AE2106">
        <v>-129.51849999999999</v>
      </c>
      <c r="AF2106">
        <v>-26.517134691550499</v>
      </c>
      <c r="AG2106">
        <v>-1.1222213066409901</v>
      </c>
      <c r="AH2106">
        <v>128.23236637863599</v>
      </c>
      <c r="AI2106">
        <v>90.491021216558593</v>
      </c>
      <c r="AJ2106">
        <v>101.683499114073</v>
      </c>
      <c r="AK2106">
        <v>130.95021038538101</v>
      </c>
      <c r="AL2106">
        <v>79.164242545083297</v>
      </c>
      <c r="AM2106">
        <v>91.053014189958105</v>
      </c>
      <c r="AN2106">
        <v>0.99999995154807297</v>
      </c>
    </row>
    <row r="2107" spans="1:40" x14ac:dyDescent="0.25">
      <c r="A2107" t="str">
        <f>"20190303170804053"</f>
        <v>20190303170804053</v>
      </c>
      <c r="B2107" t="str">
        <f>"1551604084045131"</f>
        <v>1551604084045131</v>
      </c>
      <c r="C2107" t="s">
        <v>40</v>
      </c>
      <c r="D2107">
        <v>4.7145089999999996</v>
      </c>
      <c r="E2107">
        <v>0.43306480000000003</v>
      </c>
      <c r="F2107" t="s">
        <v>59</v>
      </c>
      <c r="G2107">
        <v>-478.28750000000002</v>
      </c>
      <c r="H2107" s="1">
        <v>-2.2780539999999998E-6</v>
      </c>
      <c r="I2107">
        <v>141.4881</v>
      </c>
      <c r="J2107">
        <v>-495.9982</v>
      </c>
      <c r="K2107">
        <v>1.1220159999999999</v>
      </c>
      <c r="L2107">
        <v>259.01650000000001</v>
      </c>
      <c r="M2107">
        <v>-5.410396E-2</v>
      </c>
      <c r="N2107">
        <v>-1.115912E-2</v>
      </c>
      <c r="O2107">
        <v>-0.99847319999999995</v>
      </c>
      <c r="P2107">
        <v>-3.7108580000000002E-2</v>
      </c>
      <c r="Q2107">
        <v>0.17534449999999999</v>
      </c>
      <c r="R2107">
        <v>-0.98380800000000002</v>
      </c>
      <c r="S2107">
        <v>0.46170040000000001</v>
      </c>
      <c r="T2107">
        <v>-2.927685E-2</v>
      </c>
      <c r="U2107">
        <v>-3.0731199999999999</v>
      </c>
      <c r="V2107">
        <v>-1.6671700000000001E-2</v>
      </c>
      <c r="W2107">
        <v>0.18627479999999999</v>
      </c>
      <c r="X2107">
        <v>0.98235629999999996</v>
      </c>
      <c r="Y2107">
        <v>-0.20183680000000001</v>
      </c>
      <c r="Z2107">
        <v>-1.849584E-3</v>
      </c>
      <c r="AA2107">
        <v>0.97941739999999999</v>
      </c>
      <c r="AB2107">
        <v>26</v>
      </c>
      <c r="AC2107">
        <v>17.7106999999999</v>
      </c>
      <c r="AD2107">
        <v>-1.122018278054</v>
      </c>
      <c r="AE2107">
        <v>-117.5284</v>
      </c>
      <c r="AF2107">
        <v>-24.0417597506449</v>
      </c>
      <c r="AG2107">
        <v>-1.122018278054</v>
      </c>
      <c r="AH2107">
        <v>116.38758514397399</v>
      </c>
      <c r="AI2107">
        <v>90.540915760519994</v>
      </c>
      <c r="AJ2107">
        <v>101.67122595596599</v>
      </c>
      <c r="AK2107">
        <v>118.850053060863</v>
      </c>
      <c r="AL2107">
        <v>79.264535707141704</v>
      </c>
      <c r="AM2107">
        <v>90.972280990157302</v>
      </c>
      <c r="AN2107">
        <v>1.0000000734228001</v>
      </c>
    </row>
    <row r="2108" spans="1:40" x14ac:dyDescent="0.25">
      <c r="A2108" t="str">
        <f>"20190303170804074"</f>
        <v>20190303170804074</v>
      </c>
      <c r="B2108" t="str">
        <f>"1551604084064651"</f>
        <v>1551604084064651</v>
      </c>
      <c r="C2108" t="s">
        <v>40</v>
      </c>
      <c r="D2108">
        <v>4.704288</v>
      </c>
      <c r="E2108">
        <v>0.43305100000000002</v>
      </c>
      <c r="F2108" t="s">
        <v>59</v>
      </c>
      <c r="G2108">
        <v>-480.6327</v>
      </c>
      <c r="H2108" s="1">
        <v>-4.006059E-6</v>
      </c>
      <c r="I2108">
        <v>156.8801</v>
      </c>
      <c r="J2108">
        <v>-496.00990000000002</v>
      </c>
      <c r="K2108">
        <v>1.121845</v>
      </c>
      <c r="L2108">
        <v>258.77280000000002</v>
      </c>
      <c r="M2108">
        <v>-5.2932239999999998E-2</v>
      </c>
      <c r="N2108">
        <v>-1.117427E-2</v>
      </c>
      <c r="O2108">
        <v>-0.99853550000000002</v>
      </c>
      <c r="P2108">
        <v>-3.8224559999999998E-2</v>
      </c>
      <c r="Q2108">
        <v>0.17361779999999999</v>
      </c>
      <c r="R2108">
        <v>-0.98407109999999998</v>
      </c>
      <c r="S2108">
        <v>0.46228029999999998</v>
      </c>
      <c r="T2108">
        <v>-3.3756609999999999E-2</v>
      </c>
      <c r="U2108">
        <v>-3.0728300000000002</v>
      </c>
      <c r="V2108">
        <v>-1.4336079999999999E-2</v>
      </c>
      <c r="W2108">
        <v>0.18457850000000001</v>
      </c>
      <c r="X2108">
        <v>0.98271319999999995</v>
      </c>
      <c r="Y2108">
        <v>-0.20088049999999999</v>
      </c>
      <c r="Z2108">
        <v>-4.2958329999999998E-4</v>
      </c>
      <c r="AA2108">
        <v>0.97961569999999998</v>
      </c>
      <c r="AB2108">
        <v>26</v>
      </c>
      <c r="AC2108">
        <v>15.3772</v>
      </c>
      <c r="AD2108">
        <v>-1.1218490060590001</v>
      </c>
      <c r="AE2108">
        <v>-101.8927</v>
      </c>
      <c r="AF2108">
        <v>-20.746927176541799</v>
      </c>
      <c r="AG2108">
        <v>-1.1218490060590001</v>
      </c>
      <c r="AH2108">
        <v>100.92387707032</v>
      </c>
      <c r="AI2108">
        <v>90.623818307079503</v>
      </c>
      <c r="AJ2108">
        <v>101.616467318017</v>
      </c>
      <c r="AK2108">
        <v>103.04039254276</v>
      </c>
      <c r="AL2108">
        <v>79.363440860604996</v>
      </c>
      <c r="AM2108">
        <v>90.835786694431704</v>
      </c>
      <c r="AN2108">
        <v>0.99999998965312797</v>
      </c>
    </row>
    <row r="2109" spans="1:40" x14ac:dyDescent="0.25">
      <c r="A2109" t="str">
        <f>"20190303170804088"</f>
        <v>20190303170804088</v>
      </c>
      <c r="B2109" t="str">
        <f>"1551604084074411"</f>
        <v>1551604084074411</v>
      </c>
      <c r="C2109" t="s">
        <v>40</v>
      </c>
      <c r="D2109">
        <v>4.8370509999999998</v>
      </c>
      <c r="E2109">
        <v>0.43305100000000002</v>
      </c>
      <c r="F2109" t="s">
        <v>43</v>
      </c>
      <c r="G2109">
        <v>-482.6223</v>
      </c>
      <c r="H2109" s="1">
        <v>-5.8402119999999999E-6</v>
      </c>
      <c r="I2109">
        <v>169.2176</v>
      </c>
      <c r="J2109">
        <v>-496.01799999999997</v>
      </c>
      <c r="K2109">
        <v>1.121734</v>
      </c>
      <c r="L2109">
        <v>258.60559999999998</v>
      </c>
      <c r="M2109">
        <v>-5.2232340000000002E-2</v>
      </c>
      <c r="N2109">
        <v>-1.1186120000000001E-2</v>
      </c>
      <c r="O2109">
        <v>-0.99857229999999997</v>
      </c>
      <c r="P2109">
        <v>-3.9425189999999999E-2</v>
      </c>
      <c r="Q2109">
        <v>0.1726626</v>
      </c>
      <c r="R2109">
        <v>-0.98419199999999996</v>
      </c>
      <c r="S2109">
        <v>0.45941159999999998</v>
      </c>
      <c r="T2109">
        <v>-3.8497690000000001E-2</v>
      </c>
      <c r="U2109">
        <v>-3.0731959999999998</v>
      </c>
      <c r="V2109">
        <v>-1.240203E-2</v>
      </c>
      <c r="W2109">
        <v>0.1836449</v>
      </c>
      <c r="X2109">
        <v>0.98291439999999997</v>
      </c>
      <c r="Y2109">
        <v>-0.1992804</v>
      </c>
      <c r="Z2109">
        <v>1.0767019999999999E-3</v>
      </c>
      <c r="AA2109">
        <v>0.97994190000000003</v>
      </c>
      <c r="AB2109">
        <v>27</v>
      </c>
      <c r="AC2109">
        <v>13.3957</v>
      </c>
      <c r="AD2109">
        <v>-1.121739840212</v>
      </c>
      <c r="AE2109">
        <v>-89.387999999999906</v>
      </c>
      <c r="AF2109">
        <v>-18.043869482836602</v>
      </c>
      <c r="AG2109">
        <v>-1.121739840212</v>
      </c>
      <c r="AH2109">
        <v>88.552594977974906</v>
      </c>
      <c r="AI2109">
        <v>90.711143732712998</v>
      </c>
      <c r="AJ2109">
        <v>101.51717215544799</v>
      </c>
      <c r="AK2109">
        <v>90.379210018211793</v>
      </c>
      <c r="AL2109">
        <v>79.417862513331102</v>
      </c>
      <c r="AM2109">
        <v>90.722897406640698</v>
      </c>
      <c r="AN2109">
        <v>0.99999998868574502</v>
      </c>
    </row>
    <row r="2110" spans="1:40" x14ac:dyDescent="0.25">
      <c r="A2110" t="str">
        <f>"20190303170804108"</f>
        <v>20190303170804108</v>
      </c>
      <c r="B2110" t="str">
        <f>"1551604084095190"</f>
        <v>1551604084095190</v>
      </c>
      <c r="C2110" t="s">
        <v>40</v>
      </c>
      <c r="D2110">
        <v>4.7221390000000003</v>
      </c>
      <c r="E2110">
        <v>0.47771259999999999</v>
      </c>
      <c r="F2110" t="s">
        <v>43</v>
      </c>
      <c r="G2110">
        <v>-483.73840000000001</v>
      </c>
      <c r="H2110" s="1">
        <v>-3.7213139999999998E-6</v>
      </c>
      <c r="I2110">
        <v>175.6875</v>
      </c>
      <c r="J2110">
        <v>-496.02910000000003</v>
      </c>
      <c r="K2110">
        <v>1.121577</v>
      </c>
      <c r="L2110">
        <v>258.37380000000002</v>
      </c>
      <c r="M2110">
        <v>-5.1472339999999998E-2</v>
      </c>
      <c r="N2110">
        <v>-1.120377E-2</v>
      </c>
      <c r="O2110">
        <v>-0.99861180000000005</v>
      </c>
      <c r="P2110">
        <v>-4.1606659999999997E-2</v>
      </c>
      <c r="Q2110">
        <v>0.1711512</v>
      </c>
      <c r="R2110">
        <v>-0.98436619999999997</v>
      </c>
      <c r="S2110">
        <v>0.4552002</v>
      </c>
      <c r="T2110">
        <v>-4.1582470000000003E-2</v>
      </c>
      <c r="U2110">
        <v>-3.0737459999999999</v>
      </c>
      <c r="V2110">
        <v>-9.4120239999999997E-3</v>
      </c>
      <c r="W2110">
        <v>0.18216399999999999</v>
      </c>
      <c r="X2110">
        <v>0.98322310000000002</v>
      </c>
      <c r="Y2110">
        <v>-0.19719390000000001</v>
      </c>
      <c r="Z2110">
        <v>2.0486459999999999E-3</v>
      </c>
      <c r="AA2110">
        <v>0.98036239999999997</v>
      </c>
      <c r="AB2110">
        <v>27</v>
      </c>
      <c r="AC2110">
        <v>12.290699999999999</v>
      </c>
      <c r="AD2110">
        <v>-1.1215807213140001</v>
      </c>
      <c r="AE2110">
        <v>-82.686300000000003</v>
      </c>
      <c r="AF2110">
        <v>-16.527753984234501</v>
      </c>
      <c r="AG2110">
        <v>-1.1215807213140001</v>
      </c>
      <c r="AH2110">
        <v>81.929260065996104</v>
      </c>
      <c r="AI2110">
        <v>90.768822646099807</v>
      </c>
      <c r="AJ2110">
        <v>101.405320455186</v>
      </c>
      <c r="AK2110">
        <v>83.587249326912399</v>
      </c>
      <c r="AL2110">
        <v>79.504167731787803</v>
      </c>
      <c r="AM2110">
        <v>90.548454141061498</v>
      </c>
      <c r="AN2110">
        <v>0.99999998673269297</v>
      </c>
    </row>
    <row r="2111" spans="1:40" x14ac:dyDescent="0.25">
      <c r="A2111" t="str">
        <f>"20190303170804131"</f>
        <v>20190303170804131</v>
      </c>
      <c r="B2111" t="str">
        <f>"1551604084124470"</f>
        <v>1551604084124470</v>
      </c>
      <c r="C2111" t="s">
        <v>40</v>
      </c>
      <c r="D2111">
        <v>4.8425070000000003</v>
      </c>
      <c r="E2111">
        <v>0.49656339999999999</v>
      </c>
      <c r="F2111" t="s">
        <v>57</v>
      </c>
      <c r="G2111">
        <v>-494.93439999999998</v>
      </c>
      <c r="H2111" s="1">
        <v>3.573793E-6</v>
      </c>
      <c r="I2111">
        <v>222.77709999999999</v>
      </c>
      <c r="J2111">
        <v>-496.0421</v>
      </c>
      <c r="K2111">
        <v>1.1213820000000001</v>
      </c>
      <c r="L2111">
        <v>258.10579999999999</v>
      </c>
      <c r="M2111">
        <v>-5.0894740000000001E-2</v>
      </c>
      <c r="N2111">
        <v>-1.122533E-2</v>
      </c>
      <c r="O2111">
        <v>-0.99864109999999995</v>
      </c>
      <c r="P2111">
        <v>-4.3162499999999999E-2</v>
      </c>
      <c r="Q2111">
        <v>0.1708102</v>
      </c>
      <c r="R2111">
        <v>-0.98435799999999996</v>
      </c>
      <c r="S2111">
        <v>9.4360349999999996E-2</v>
      </c>
      <c r="T2111">
        <v>-9.6679089999999995E-2</v>
      </c>
      <c r="U2111">
        <v>-3.0684200000000001</v>
      </c>
      <c r="V2111">
        <v>-7.1999830000000001E-3</v>
      </c>
      <c r="W2111">
        <v>0.18185180000000001</v>
      </c>
      <c r="X2111">
        <v>0.98329960000000005</v>
      </c>
      <c r="Y2111">
        <v>-8.1545779999999998E-2</v>
      </c>
      <c r="Z2111">
        <v>2.0140539999999998E-2</v>
      </c>
      <c r="AA2111">
        <v>0.99646610000000002</v>
      </c>
      <c r="AB2111">
        <v>27</v>
      </c>
      <c r="AC2111">
        <v>1.1077000000000199</v>
      </c>
      <c r="AD2111">
        <v>-1.1213784262069999</v>
      </c>
      <c r="AE2111">
        <v>-35.328699999999998</v>
      </c>
      <c r="AF2111">
        <v>-2.9015018462467399</v>
      </c>
      <c r="AG2111">
        <v>-1.1213784262069999</v>
      </c>
      <c r="AH2111">
        <v>35.1911088606481</v>
      </c>
      <c r="AI2111">
        <v>91.818966797047594</v>
      </c>
      <c r="AJ2111">
        <v>94.713367586406406</v>
      </c>
      <c r="AK2111">
        <v>35.328322142163998</v>
      </c>
      <c r="AL2111">
        <v>79.522359575478703</v>
      </c>
      <c r="AM2111">
        <v>90.419527543838598</v>
      </c>
      <c r="AN2111">
        <v>1.0000000101393001</v>
      </c>
    </row>
    <row r="2112" spans="1:40" x14ac:dyDescent="0.25">
      <c r="A2112" t="str">
        <f>"20190303170804153"</f>
        <v>20190303170804153</v>
      </c>
      <c r="B2112" t="str">
        <f>"1551604084144966"</f>
        <v>1551604084144966</v>
      </c>
      <c r="C2112" t="s">
        <v>40</v>
      </c>
      <c r="D2112">
        <v>4.8486019999999996</v>
      </c>
      <c r="E2112">
        <v>0.50185020000000002</v>
      </c>
      <c r="F2112" t="s">
        <v>57</v>
      </c>
      <c r="G2112">
        <v>-496.73579999999998</v>
      </c>
      <c r="H2112" s="1">
        <v>3.4105490000000001E-6</v>
      </c>
      <c r="I2112">
        <v>223.84530000000001</v>
      </c>
      <c r="J2112">
        <v>-496.05560000000003</v>
      </c>
      <c r="K2112">
        <v>1.121176</v>
      </c>
      <c r="L2112">
        <v>257.83</v>
      </c>
      <c r="M2112">
        <v>-5.05858E-2</v>
      </c>
      <c r="N2112">
        <v>-1.124819E-2</v>
      </c>
      <c r="O2112">
        <v>-0.99865649999999995</v>
      </c>
      <c r="P2112">
        <v>-4.452772E-2</v>
      </c>
      <c r="Q2112">
        <v>0.17095969999999999</v>
      </c>
      <c r="R2112">
        <v>-0.98427140000000002</v>
      </c>
      <c r="S2112">
        <v>-6.2011719999999999E-2</v>
      </c>
      <c r="T2112">
        <v>-0.1002325</v>
      </c>
      <c r="U2112">
        <v>-3.0623170000000002</v>
      </c>
      <c r="V2112">
        <v>-5.4354199999999998E-3</v>
      </c>
      <c r="W2112">
        <v>0.182028</v>
      </c>
      <c r="X2112">
        <v>0.98327830000000005</v>
      </c>
      <c r="Y2112">
        <v>-3.035589E-2</v>
      </c>
      <c r="Z2112">
        <v>2.140125E-2</v>
      </c>
      <c r="AA2112">
        <v>0.99931000000000003</v>
      </c>
      <c r="AB2112">
        <v>27</v>
      </c>
      <c r="AC2112">
        <v>-0.68019999999995595</v>
      </c>
      <c r="AD2112">
        <v>-1.1211725894509901</v>
      </c>
      <c r="AE2112">
        <v>-33.984699999999897</v>
      </c>
      <c r="AF2112">
        <v>-1.03879260263622</v>
      </c>
      <c r="AG2112">
        <v>-1.1211725894509901</v>
      </c>
      <c r="AH2112">
        <v>33.938671996264901</v>
      </c>
      <c r="AI2112">
        <v>91.891207396245093</v>
      </c>
      <c r="AJ2112">
        <v>91.753158044640799</v>
      </c>
      <c r="AK2112">
        <v>33.973071320042301</v>
      </c>
      <c r="AL2112">
        <v>79.512092338497197</v>
      </c>
      <c r="AM2112">
        <v>90.316719543014798</v>
      </c>
      <c r="AN2112">
        <v>0.99999997591273304</v>
      </c>
    </row>
    <row r="2113" spans="1:40" x14ac:dyDescent="0.25">
      <c r="A2113" t="str">
        <f>"20190303170804175"</f>
        <v>20190303170804175</v>
      </c>
      <c r="B2113" t="str">
        <f>"1551604084164486"</f>
        <v>1551604084164486</v>
      </c>
      <c r="C2113" t="s">
        <v>40</v>
      </c>
      <c r="D2113">
        <v>4.8462820000000004</v>
      </c>
      <c r="E2113">
        <v>0.50500769999999995</v>
      </c>
      <c r="F2113" t="s">
        <v>57</v>
      </c>
      <c r="G2113">
        <v>-497.25810000000001</v>
      </c>
      <c r="H2113" s="1">
        <v>3.2745679999999999E-6</v>
      </c>
      <c r="I2113">
        <v>223.75399999999999</v>
      </c>
      <c r="J2113">
        <v>-496.06799999999998</v>
      </c>
      <c r="K2113">
        <v>1.1210039999999999</v>
      </c>
      <c r="L2113">
        <v>257.57889999999998</v>
      </c>
      <c r="M2113">
        <v>-5.0480230000000001E-2</v>
      </c>
      <c r="N2113">
        <v>-1.126825E-2</v>
      </c>
      <c r="O2113">
        <v>-0.99866140000000003</v>
      </c>
      <c r="P2113">
        <v>-4.7282919999999999E-2</v>
      </c>
      <c r="Q2113">
        <v>0.16924020000000001</v>
      </c>
      <c r="R2113">
        <v>-0.98444030000000005</v>
      </c>
      <c r="S2113">
        <v>-0.10800170000000001</v>
      </c>
      <c r="T2113">
        <v>-0.1006986</v>
      </c>
      <c r="U2113">
        <v>-3.0605470000000001</v>
      </c>
      <c r="V2113">
        <v>-2.5147099999999999E-3</v>
      </c>
      <c r="W2113">
        <v>0.18033469999999999</v>
      </c>
      <c r="X2113">
        <v>0.98360210000000003</v>
      </c>
      <c r="Y2113">
        <v>-1.5235E-2</v>
      </c>
      <c r="Z2113">
        <v>2.155518E-2</v>
      </c>
      <c r="AA2113">
        <v>0.99965159999999997</v>
      </c>
      <c r="AB2113">
        <v>27</v>
      </c>
      <c r="AC2113">
        <v>-1.19009999999997</v>
      </c>
      <c r="AD2113">
        <v>-1.121000725432</v>
      </c>
      <c r="AE2113">
        <v>-33.8248999999999</v>
      </c>
      <c r="AF2113">
        <v>-0.51844606961427897</v>
      </c>
      <c r="AG2113">
        <v>-1.121000725432</v>
      </c>
      <c r="AH2113">
        <v>33.804766763891202</v>
      </c>
      <c r="AI2113">
        <v>91.899067649048604</v>
      </c>
      <c r="AJ2113">
        <v>90.878646591503198</v>
      </c>
      <c r="AK2113">
        <v>33.8273215746473</v>
      </c>
      <c r="AL2113">
        <v>79.610744364435305</v>
      </c>
      <c r="AM2113">
        <v>90.146483985521499</v>
      </c>
      <c r="AN2113">
        <v>1.0000000094574399</v>
      </c>
    </row>
    <row r="2114" spans="1:40" x14ac:dyDescent="0.25">
      <c r="A2114" t="str">
        <f>"20190303170804211"</f>
        <v>20190303170804211</v>
      </c>
      <c r="B2114" t="str">
        <f>"1551604084204502"</f>
        <v>1551604084204502</v>
      </c>
      <c r="C2114" t="s">
        <v>40</v>
      </c>
      <c r="D2114">
        <v>4.782972</v>
      </c>
      <c r="E2114">
        <v>0.50825540000000002</v>
      </c>
      <c r="F2114" t="s">
        <v>57</v>
      </c>
      <c r="G2114">
        <v>-497.55360000000002</v>
      </c>
      <c r="H2114" s="1">
        <v>3.7005209999999999E-6</v>
      </c>
      <c r="I2114">
        <v>225.5874</v>
      </c>
      <c r="J2114">
        <v>-496.08870000000002</v>
      </c>
      <c r="K2114">
        <v>1.1207929999999999</v>
      </c>
      <c r="L2114">
        <v>257.16820000000001</v>
      </c>
      <c r="M2114">
        <v>-5.0619879999999999E-2</v>
      </c>
      <c r="N2114">
        <v>-1.129732E-2</v>
      </c>
      <c r="O2114">
        <v>-0.99865440000000005</v>
      </c>
      <c r="P2114">
        <v>-4.9356150000000001E-2</v>
      </c>
      <c r="Q2114">
        <v>0.1667197</v>
      </c>
      <c r="R2114">
        <v>-0.98476850000000005</v>
      </c>
      <c r="S2114">
        <v>-0.142059299999999</v>
      </c>
      <c r="T2114">
        <v>-0.1071898</v>
      </c>
      <c r="U2114">
        <v>-3.059021</v>
      </c>
      <c r="V2114">
        <v>-5.117632E-4</v>
      </c>
      <c r="W2114">
        <v>0.17784829999999999</v>
      </c>
      <c r="X2114">
        <v>0.98405779999999998</v>
      </c>
      <c r="Y2114">
        <v>-4.25049E-3</v>
      </c>
      <c r="Z2114">
        <v>2.365343E-2</v>
      </c>
      <c r="AA2114">
        <v>0.99971120000000002</v>
      </c>
      <c r="AB2114">
        <v>27</v>
      </c>
      <c r="AC2114">
        <v>-1.4649000000000001</v>
      </c>
      <c r="AD2114">
        <v>-1.1207892994790001</v>
      </c>
      <c r="AE2114">
        <v>-31.5808</v>
      </c>
      <c r="AF2114">
        <v>-0.13552576428275401</v>
      </c>
      <c r="AG2114">
        <v>-1.1207892994790001</v>
      </c>
      <c r="AH2114">
        <v>31.5747824136009</v>
      </c>
      <c r="AI2114">
        <v>92.032918378052699</v>
      </c>
      <c r="AJ2114">
        <v>90.245924311433399</v>
      </c>
      <c r="AK2114">
        <v>31.5949587806798</v>
      </c>
      <c r="AL2114">
        <v>79.7555457933653</v>
      </c>
      <c r="AM2114">
        <v>90.029796896916693</v>
      </c>
      <c r="AN2114">
        <v>1.0000000167276499</v>
      </c>
    </row>
    <row r="2115" spans="1:40" x14ac:dyDescent="0.25">
      <c r="A2115" t="str">
        <f>"20190303170804232"</f>
        <v>20190303170804232</v>
      </c>
      <c r="B2115" t="str">
        <f>"1551604084224998"</f>
        <v>1551604084224998</v>
      </c>
      <c r="C2115" t="s">
        <v>40</v>
      </c>
      <c r="D2115">
        <v>4.8988170000000002</v>
      </c>
      <c r="E2115">
        <v>0.50917970000000001</v>
      </c>
      <c r="F2115" t="s">
        <v>57</v>
      </c>
      <c r="G2115">
        <v>-497.77589999999998</v>
      </c>
      <c r="H2115" s="1">
        <v>4.138021E-6</v>
      </c>
      <c r="I2115">
        <v>227.74109999999999</v>
      </c>
      <c r="J2115">
        <v>-496.1028</v>
      </c>
      <c r="K2115">
        <v>1.1207149999999999</v>
      </c>
      <c r="L2115">
        <v>256.89510000000001</v>
      </c>
      <c r="M2115">
        <v>-5.0891470000000001E-2</v>
      </c>
      <c r="N2115">
        <v>-1.131395E-2</v>
      </c>
      <c r="O2115">
        <v>-0.99864030000000004</v>
      </c>
      <c r="P2115">
        <v>-5.1374639999999999E-2</v>
      </c>
      <c r="Q2115">
        <v>0.1660722</v>
      </c>
      <c r="R2115">
        <v>-0.98477479999999995</v>
      </c>
      <c r="S2115">
        <v>-0.175293</v>
      </c>
      <c r="T2115">
        <v>-0.1164457</v>
      </c>
      <c r="U2115">
        <v>-3.0573579999999998</v>
      </c>
      <c r="V2115">
        <v>1.2696929999999999E-3</v>
      </c>
      <c r="W2115">
        <v>0.17721809999999999</v>
      </c>
      <c r="X2115">
        <v>0.98417080000000001</v>
      </c>
      <c r="Y2115">
        <v>6.3331910000000002E-3</v>
      </c>
      <c r="Z2115">
        <v>2.66623E-2</v>
      </c>
      <c r="AA2115">
        <v>0.99962439999999997</v>
      </c>
      <c r="AB2115">
        <v>27</v>
      </c>
      <c r="AC2115">
        <v>-1.6730999999999701</v>
      </c>
      <c r="AD2115">
        <v>-1.1207108619789901</v>
      </c>
      <c r="AE2115">
        <v>-29.154</v>
      </c>
      <c r="AF2115">
        <v>0.18687187379070799</v>
      </c>
      <c r="AG2115">
        <v>-1.1207108619789901</v>
      </c>
      <c r="AH2115">
        <v>29.1584226542683</v>
      </c>
      <c r="AI2115">
        <v>92.201048220504504</v>
      </c>
      <c r="AJ2115">
        <v>89.632805134276197</v>
      </c>
      <c r="AK2115">
        <v>29.180550468048398</v>
      </c>
      <c r="AL2115">
        <v>79.792236416939005</v>
      </c>
      <c r="AM2115">
        <v>89.926081926209505</v>
      </c>
      <c r="AN2115">
        <v>1.0000000153302799</v>
      </c>
    </row>
    <row r="2116" spans="1:40" x14ac:dyDescent="0.25">
      <c r="A2116" t="str">
        <f>"20190303170804254"</f>
        <v>20190303170804254</v>
      </c>
      <c r="B2116" t="str">
        <f>"1551604084244521"</f>
        <v>1551604084244521</v>
      </c>
      <c r="C2116" t="s">
        <v>40</v>
      </c>
      <c r="D2116">
        <v>4.840554</v>
      </c>
      <c r="E2116">
        <v>0.5100363</v>
      </c>
      <c r="F2116" t="s">
        <v>57</v>
      </c>
      <c r="G2116">
        <v>-497.89350000000002</v>
      </c>
      <c r="H2116" s="1">
        <v>4.1363160000000001E-6</v>
      </c>
      <c r="I2116">
        <v>227.87479999999999</v>
      </c>
      <c r="J2116">
        <v>-496.11599999999999</v>
      </c>
      <c r="K2116">
        <v>1.1206659999999999</v>
      </c>
      <c r="L2116">
        <v>256.64060000000001</v>
      </c>
      <c r="M2116">
        <v>-5.1196220000000001E-2</v>
      </c>
      <c r="N2116">
        <v>-1.132799E-2</v>
      </c>
      <c r="O2116">
        <v>-0.99862439999999997</v>
      </c>
      <c r="P2116">
        <v>-5.4084029999999998E-2</v>
      </c>
      <c r="Q2116">
        <v>0.16557149999999901</v>
      </c>
      <c r="R2116">
        <v>-0.98471379999999997</v>
      </c>
      <c r="S2116">
        <v>-0.18859860000000001</v>
      </c>
      <c r="T2116">
        <v>-0.1180351</v>
      </c>
      <c r="U2116">
        <v>-3.0564580000000001</v>
      </c>
      <c r="V2116">
        <v>3.6972009999999998E-3</v>
      </c>
      <c r="W2116">
        <v>0.17673050000000001</v>
      </c>
      <c r="X2116">
        <v>0.98425229999999997</v>
      </c>
      <c r="Y2116">
        <v>1.0379040000000001E-2</v>
      </c>
      <c r="Z2116">
        <v>2.7171899999999999E-2</v>
      </c>
      <c r="AA2116">
        <v>0.99957689999999999</v>
      </c>
      <c r="AB2116">
        <v>27</v>
      </c>
      <c r="AC2116">
        <v>-1.7775000000000301</v>
      </c>
      <c r="AD2116">
        <v>-1.120661863684</v>
      </c>
      <c r="AE2116">
        <v>-28.765799999999999</v>
      </c>
      <c r="AF2116">
        <v>0.30191754862568398</v>
      </c>
      <c r="AG2116">
        <v>-1.120661863684</v>
      </c>
      <c r="AH2116">
        <v>28.775571597142001</v>
      </c>
      <c r="AI2116">
        <v>92.2301288994245</v>
      </c>
      <c r="AJ2116">
        <v>89.398866274207805</v>
      </c>
      <c r="AK2116">
        <v>28.798968001668499</v>
      </c>
      <c r="AL2116">
        <v>79.8206213671385</v>
      </c>
      <c r="AM2116">
        <v>89.784777727235394</v>
      </c>
      <c r="AN2116">
        <v>0.99999996449038597</v>
      </c>
    </row>
    <row r="2117" spans="1:40" x14ac:dyDescent="0.25">
      <c r="A2117" t="str">
        <f>"20190303170804275"</f>
        <v>20190303170804275</v>
      </c>
      <c r="B2117" t="str">
        <f>"1551604084265014"</f>
        <v>1551604084265014</v>
      </c>
      <c r="C2117" t="s">
        <v>40</v>
      </c>
      <c r="D2117">
        <v>4.8958009999999996</v>
      </c>
      <c r="E2117">
        <v>0.51065039999999995</v>
      </c>
      <c r="F2117" t="s">
        <v>57</v>
      </c>
      <c r="G2117">
        <v>-498.01830000000001</v>
      </c>
      <c r="H2117" s="1">
        <v>4.0989139999999998E-6</v>
      </c>
      <c r="I2117">
        <v>227.85589999999999</v>
      </c>
      <c r="J2117">
        <v>-496.12920000000003</v>
      </c>
      <c r="K2117">
        <v>1.120636</v>
      </c>
      <c r="L2117">
        <v>256.3886</v>
      </c>
      <c r="M2117">
        <v>-5.1510069999999998E-2</v>
      </c>
      <c r="N2117">
        <v>-1.134048E-2</v>
      </c>
      <c r="O2117">
        <v>-0.99860819999999995</v>
      </c>
      <c r="P2117">
        <v>-5.6709599999999999E-2</v>
      </c>
      <c r="Q2117">
        <v>0.16560150000000001</v>
      </c>
      <c r="R2117">
        <v>-0.98456080000000001</v>
      </c>
      <c r="S2117">
        <v>-0.2019348</v>
      </c>
      <c r="T2117">
        <v>-0.1189578</v>
      </c>
      <c r="U2117">
        <v>-3.0554809999999999</v>
      </c>
      <c r="V2117">
        <v>6.0274250000000003E-3</v>
      </c>
      <c r="W2117">
        <v>0.17677079999999901</v>
      </c>
      <c r="X2117">
        <v>0.98423360000000004</v>
      </c>
      <c r="Y2117">
        <v>1.442769E-2</v>
      </c>
      <c r="Z2117">
        <v>2.7466299999999999E-2</v>
      </c>
      <c r="AA2117">
        <v>0.99951860000000003</v>
      </c>
      <c r="AB2117">
        <v>27</v>
      </c>
      <c r="AC2117">
        <v>-1.88909999999998</v>
      </c>
      <c r="AD2117">
        <v>-1.120631901086</v>
      </c>
      <c r="AE2117">
        <v>-28.532699999999998</v>
      </c>
      <c r="AF2117">
        <v>0.41613701710337903</v>
      </c>
      <c r="AG2117">
        <v>-1.120631901086</v>
      </c>
      <c r="AH2117">
        <v>28.548286124866301</v>
      </c>
      <c r="AI2117">
        <v>92.247690817817201</v>
      </c>
      <c r="AJ2117">
        <v>89.164881345291505</v>
      </c>
      <c r="AK2117">
        <v>28.5733026887332</v>
      </c>
      <c r="AL2117">
        <v>79.818275905416101</v>
      </c>
      <c r="AM2117">
        <v>89.649126287960598</v>
      </c>
      <c r="AN2117">
        <v>1.00000001247686</v>
      </c>
    </row>
    <row r="2118" spans="1:40" x14ac:dyDescent="0.25">
      <c r="A2118" t="str">
        <f>"20190303170804297"</f>
        <v>20190303170804297</v>
      </c>
      <c r="B2118" t="str">
        <f>"1551604084284534"</f>
        <v>1551604084284534</v>
      </c>
      <c r="C2118" t="s">
        <v>40</v>
      </c>
      <c r="D2118">
        <v>4.837288</v>
      </c>
      <c r="E2118">
        <v>0.51122489999999998</v>
      </c>
      <c r="F2118" t="s">
        <v>57</v>
      </c>
      <c r="G2118">
        <v>-498.15289999999999</v>
      </c>
      <c r="H2118" s="1">
        <v>3.960866E-6</v>
      </c>
      <c r="I2118">
        <v>227.39349999999999</v>
      </c>
      <c r="J2118">
        <v>-496.14299999999997</v>
      </c>
      <c r="K2118">
        <v>1.1206240000000001</v>
      </c>
      <c r="L2118">
        <v>256.12759999999997</v>
      </c>
      <c r="M2118">
        <v>-5.1822979999999998E-2</v>
      </c>
      <c r="N2118">
        <v>-1.1352020000000001E-2</v>
      </c>
      <c r="O2118">
        <v>-0.99859200000000004</v>
      </c>
      <c r="P2118">
        <v>-5.888297E-2</v>
      </c>
      <c r="Q2118">
        <v>0.16530810000000001</v>
      </c>
      <c r="R2118">
        <v>-0.98448290000000005</v>
      </c>
      <c r="S2118">
        <v>-0.21319579999999999</v>
      </c>
      <c r="T2118">
        <v>-0.1180583</v>
      </c>
      <c r="U2118">
        <v>-3.0546259999999998</v>
      </c>
      <c r="V2118">
        <v>7.8951000000000004E-3</v>
      </c>
      <c r="W2118">
        <v>0.1764878</v>
      </c>
      <c r="X2118">
        <v>0.98427120000000001</v>
      </c>
      <c r="Y2118">
        <v>1.7800139999999999E-2</v>
      </c>
      <c r="Z2118">
        <v>2.716704E-2</v>
      </c>
      <c r="AA2118">
        <v>0.99947240000000004</v>
      </c>
      <c r="AB2118">
        <v>27</v>
      </c>
      <c r="AC2118">
        <v>-2.0098999999999498</v>
      </c>
      <c r="AD2118">
        <v>-1.120620039134</v>
      </c>
      <c r="AE2118">
        <v>-28.734099999999899</v>
      </c>
      <c r="AF2118">
        <v>0.51723375963514795</v>
      </c>
      <c r="AG2118">
        <v>-1.120620039134</v>
      </c>
      <c r="AH2118">
        <v>28.7561259941983</v>
      </c>
      <c r="AI2118">
        <v>92.231314389797902</v>
      </c>
      <c r="AJ2118">
        <v>88.969537269522704</v>
      </c>
      <c r="AK2118">
        <v>28.782600685629902</v>
      </c>
      <c r="AL2118">
        <v>79.834749857812</v>
      </c>
      <c r="AM2118">
        <v>89.540425232824205</v>
      </c>
      <c r="AN2118">
        <v>1.00000003565114</v>
      </c>
    </row>
    <row r="2119" spans="1:40" x14ac:dyDescent="0.25">
      <c r="A2119" t="str">
        <f>"20190303170804321"</f>
        <v>20190303170804321</v>
      </c>
      <c r="B2119" t="str">
        <f>"1551604084314790"</f>
        <v>1551604084314790</v>
      </c>
      <c r="C2119" t="s">
        <v>40</v>
      </c>
      <c r="D2119">
        <v>4.9017770000000001</v>
      </c>
      <c r="E2119">
        <v>0.51176809999999995</v>
      </c>
      <c r="F2119" t="s">
        <v>57</v>
      </c>
      <c r="G2119">
        <v>-498.25979999999998</v>
      </c>
      <c r="H2119" s="1">
        <v>3.8779690000000002E-6</v>
      </c>
      <c r="I2119">
        <v>227.1472</v>
      </c>
      <c r="J2119">
        <v>-496.15839999999997</v>
      </c>
      <c r="K2119">
        <v>1.120633</v>
      </c>
      <c r="L2119">
        <v>255.83869999999999</v>
      </c>
      <c r="M2119">
        <v>-5.2136729999999999E-2</v>
      </c>
      <c r="N2119">
        <v>-1.136329E-2</v>
      </c>
      <c r="O2119">
        <v>-0.99857530000000005</v>
      </c>
      <c r="P2119">
        <v>-6.0256339999999999E-2</v>
      </c>
      <c r="Q2119">
        <v>0.16445419999999999</v>
      </c>
      <c r="R2119">
        <v>-0.98454229999999998</v>
      </c>
      <c r="S2119">
        <v>-0.223053</v>
      </c>
      <c r="T2119">
        <v>-0.1180838</v>
      </c>
      <c r="U2119">
        <v>-3.0537719999999999</v>
      </c>
      <c r="V2119">
        <v>8.9477280000000003E-3</v>
      </c>
      <c r="W2119">
        <v>0.1756462</v>
      </c>
      <c r="X2119">
        <v>0.98441270000000003</v>
      </c>
      <c r="Y2119">
        <v>2.071427E-2</v>
      </c>
      <c r="Z2119">
        <v>2.7169479999999999E-2</v>
      </c>
      <c r="AA2119">
        <v>0.99941619999999998</v>
      </c>
      <c r="AB2119">
        <v>27</v>
      </c>
      <c r="AC2119">
        <v>-2.1014000000000101</v>
      </c>
      <c r="AD2119">
        <v>-1.1206291220310001</v>
      </c>
      <c r="AE2119">
        <v>-28.691499999999898</v>
      </c>
      <c r="AF2119">
        <v>0.60165112059526005</v>
      </c>
      <c r="AG2119">
        <v>-1.1206291220310001</v>
      </c>
      <c r="AH2119">
        <v>28.718463676729499</v>
      </c>
      <c r="AI2119">
        <v>92.234127031785206</v>
      </c>
      <c r="AJ2119">
        <v>88.799830367523995</v>
      </c>
      <c r="AK2119">
        <v>28.746616316562999</v>
      </c>
      <c r="AL2119">
        <v>79.883734929729201</v>
      </c>
      <c r="AM2119">
        <v>89.479229663598005</v>
      </c>
      <c r="AN2119">
        <v>1.0000000066660399</v>
      </c>
    </row>
    <row r="2120" spans="1:40" x14ac:dyDescent="0.25">
      <c r="A2120" t="str">
        <f>"20190303170804344"</f>
        <v>20190303170804344</v>
      </c>
      <c r="B2120" t="str">
        <f>"1551604084334310"</f>
        <v>1551604084334310</v>
      </c>
      <c r="C2120" t="s">
        <v>40</v>
      </c>
      <c r="D2120">
        <v>4.6421950000000001</v>
      </c>
      <c r="E2120">
        <v>0.51203160000000003</v>
      </c>
      <c r="F2120" t="s">
        <v>57</v>
      </c>
      <c r="G2120">
        <v>-498.3075</v>
      </c>
      <c r="H2120" s="1">
        <v>3.921873E-6</v>
      </c>
      <c r="I2120">
        <v>227.40309999999999</v>
      </c>
      <c r="J2120">
        <v>-496.17239999999998</v>
      </c>
      <c r="K2120">
        <v>1.1206510000000001</v>
      </c>
      <c r="L2120">
        <v>255.5753</v>
      </c>
      <c r="M2120">
        <v>-5.2380580000000003E-2</v>
      </c>
      <c r="N2120">
        <v>-1.137234E-2</v>
      </c>
      <c r="O2120">
        <v>-0.99856259999999997</v>
      </c>
      <c r="P2120">
        <v>-6.0333650000000003E-2</v>
      </c>
      <c r="Q2120">
        <v>0.16374159999999999</v>
      </c>
      <c r="R2120">
        <v>-0.9846568</v>
      </c>
      <c r="S2120">
        <v>-0.23074339999999999</v>
      </c>
      <c r="T2120">
        <v>-0.1203197</v>
      </c>
      <c r="U2120">
        <v>-3.05307</v>
      </c>
      <c r="V2120">
        <v>8.7672129999999994E-3</v>
      </c>
      <c r="W2120">
        <v>0.17494479999999901</v>
      </c>
      <c r="X2120">
        <v>0.98453919999999995</v>
      </c>
      <c r="Y2120">
        <v>2.2988129999999999E-2</v>
      </c>
      <c r="Z2120">
        <v>2.7893149999999999E-2</v>
      </c>
      <c r="AA2120">
        <v>0.99934659999999997</v>
      </c>
      <c r="AB2120">
        <v>27</v>
      </c>
      <c r="AC2120">
        <v>-2.13510000000002</v>
      </c>
      <c r="AD2120">
        <v>-1.1206470781269999</v>
      </c>
      <c r="AE2120">
        <v>-28.1722</v>
      </c>
      <c r="AF2120">
        <v>0.65536609212182395</v>
      </c>
      <c r="AG2120">
        <v>-1.1206470781269999</v>
      </c>
      <c r="AH2120">
        <v>28.200996709821599</v>
      </c>
      <c r="AI2120">
        <v>92.275000410495593</v>
      </c>
      <c r="AJ2120">
        <v>88.668736639418796</v>
      </c>
      <c r="AK2120">
        <v>28.230862013331901</v>
      </c>
      <c r="AL2120">
        <v>79.924554089564495</v>
      </c>
      <c r="AM2120">
        <v>89.489800887551894</v>
      </c>
      <c r="AN2120">
        <v>0.99999999170373299</v>
      </c>
    </row>
    <row r="2121" spans="1:40" x14ac:dyDescent="0.25">
      <c r="A2121" t="str">
        <f>"20190303170804365"</f>
        <v>20190303170804365</v>
      </c>
      <c r="B2121" t="str">
        <f>"1551604084354806"</f>
        <v>1551604084354806</v>
      </c>
      <c r="C2121" t="s">
        <v>40</v>
      </c>
      <c r="D2121">
        <v>4.2529019999999997</v>
      </c>
      <c r="E2121">
        <v>0.51216539999999999</v>
      </c>
      <c r="F2121" t="s">
        <v>57</v>
      </c>
      <c r="G2121">
        <v>-498.2953</v>
      </c>
      <c r="H2121" s="1">
        <v>3.9854930000000002E-6</v>
      </c>
      <c r="I2121">
        <v>227.67619999999999</v>
      </c>
      <c r="J2121">
        <v>-496.18579999999997</v>
      </c>
      <c r="K2121">
        <v>1.1206780000000001</v>
      </c>
      <c r="L2121">
        <v>255.3235</v>
      </c>
      <c r="M2121">
        <v>-5.2570289999999999E-2</v>
      </c>
      <c r="N2121">
        <v>-1.1380029999999999E-2</v>
      </c>
      <c r="O2121">
        <v>-0.99855229999999995</v>
      </c>
      <c r="P2121">
        <v>-5.9512049999999997E-2</v>
      </c>
      <c r="Q2121">
        <v>0.16281209999999999</v>
      </c>
      <c r="R2121">
        <v>-0.98486079999999998</v>
      </c>
      <c r="S2121">
        <v>-0.2322998</v>
      </c>
      <c r="T2121">
        <v>-0.1226286</v>
      </c>
      <c r="U2121">
        <v>-3.052902</v>
      </c>
      <c r="V2121">
        <v>7.7344780000000004E-3</v>
      </c>
      <c r="W2121">
        <v>0.17402599999999999</v>
      </c>
      <c r="X2121">
        <v>0.98471070000000005</v>
      </c>
      <c r="Y2121">
        <v>2.3307080000000001E-2</v>
      </c>
      <c r="Z2121">
        <v>2.863841E-2</v>
      </c>
      <c r="AA2121">
        <v>0.99931809999999999</v>
      </c>
      <c r="AB2121">
        <v>27</v>
      </c>
      <c r="AC2121">
        <v>-2.1095000000000201</v>
      </c>
      <c r="AD2121">
        <v>-1.120674014507</v>
      </c>
      <c r="AE2121">
        <v>-27.647300000000001</v>
      </c>
      <c r="AF2121">
        <v>0.65199677178207205</v>
      </c>
      <c r="AG2121">
        <v>-1.120674014507</v>
      </c>
      <c r="AH2121">
        <v>27.6747612211941</v>
      </c>
      <c r="AI2121">
        <v>92.318251101845505</v>
      </c>
      <c r="AJ2121">
        <v>88.650403744439899</v>
      </c>
      <c r="AK2121">
        <v>27.705115388449698</v>
      </c>
      <c r="AL2121">
        <v>79.978017851009199</v>
      </c>
      <c r="AM2121">
        <v>89.549975608933394</v>
      </c>
      <c r="AN2121">
        <v>1.0000000167602101</v>
      </c>
    </row>
    <row r="2122" spans="1:40" x14ac:dyDescent="0.25">
      <c r="A2122" t="str">
        <f>"20190303170804387"</f>
        <v>20190303170804387</v>
      </c>
      <c r="B2122" t="str">
        <f>"1551604084374327"</f>
        <v>1551604084374327</v>
      </c>
      <c r="C2122" t="s">
        <v>40</v>
      </c>
      <c r="D2122">
        <v>4.8992380000000004</v>
      </c>
      <c r="E2122">
        <v>0.51237659999999996</v>
      </c>
      <c r="F2122" t="s">
        <v>57</v>
      </c>
      <c r="G2122">
        <v>-498.25200000000001</v>
      </c>
      <c r="H2122" s="1">
        <v>4.0800349999999998E-6</v>
      </c>
      <c r="I2122">
        <v>228.05170000000001</v>
      </c>
      <c r="J2122">
        <v>-496.19990000000001</v>
      </c>
      <c r="K2122">
        <v>1.120711</v>
      </c>
      <c r="L2122">
        <v>255.0607</v>
      </c>
      <c r="M2122">
        <v>-5.2725460000000002E-2</v>
      </c>
      <c r="N2122">
        <v>-1.138291E-2</v>
      </c>
      <c r="O2122">
        <v>-0.99854419999999999</v>
      </c>
      <c r="P2122">
        <v>-5.736604E-2</v>
      </c>
      <c r="Q2122">
        <v>0.1621485</v>
      </c>
      <c r="R2122">
        <v>-0.98509780000000002</v>
      </c>
      <c r="S2122">
        <v>-0.23129269999999999</v>
      </c>
      <c r="T2122">
        <v>-0.12545229999999999</v>
      </c>
      <c r="U2122">
        <v>-3.052902</v>
      </c>
      <c r="V2122">
        <v>5.4102209999999998E-3</v>
      </c>
      <c r="W2122">
        <v>0.1733681</v>
      </c>
      <c r="X2122">
        <v>0.9848422</v>
      </c>
      <c r="Y2122">
        <v>2.2821950000000001E-2</v>
      </c>
      <c r="Z2122">
        <v>2.9555390000000001E-2</v>
      </c>
      <c r="AA2122">
        <v>0.99930260000000004</v>
      </c>
      <c r="AB2122">
        <v>27</v>
      </c>
      <c r="AC2122">
        <v>-2.0520999999999301</v>
      </c>
      <c r="AD2122">
        <v>-1.1207069199649999</v>
      </c>
      <c r="AE2122">
        <v>-27.008999999999901</v>
      </c>
      <c r="AF2122">
        <v>0.62402284437755196</v>
      </c>
      <c r="AG2122">
        <v>-1.1207069199649999</v>
      </c>
      <c r="AH2122">
        <v>27.0333545532059</v>
      </c>
      <c r="AI2122">
        <v>92.373288799805806</v>
      </c>
      <c r="AJ2122">
        <v>88.677651090832299</v>
      </c>
      <c r="AK2122">
        <v>27.063770005490699</v>
      </c>
      <c r="AL2122">
        <v>80.016294049232101</v>
      </c>
      <c r="AM2122">
        <v>89.685249361446907</v>
      </c>
      <c r="AN2122">
        <v>0.999999963744858</v>
      </c>
    </row>
    <row r="2123" spans="1:40" x14ac:dyDescent="0.25">
      <c r="A2123" t="str">
        <f>"20190303170804413"</f>
        <v>20190303170804413</v>
      </c>
      <c r="B2123" t="str">
        <f>"1551604084404583"</f>
        <v>1551604084404583</v>
      </c>
      <c r="C2123" t="s">
        <v>40</v>
      </c>
      <c r="D2123">
        <v>4.7770010000000003</v>
      </c>
      <c r="E2123">
        <v>0.51263359999999902</v>
      </c>
      <c r="F2123" t="s">
        <v>57</v>
      </c>
      <c r="G2123">
        <v>-498.19420000000002</v>
      </c>
      <c r="H2123" s="1">
        <v>4.1362460000000003E-6</v>
      </c>
      <c r="I2123">
        <v>228.2364</v>
      </c>
      <c r="J2123">
        <v>-496.21589999999998</v>
      </c>
      <c r="K2123">
        <v>1.1207510000000001</v>
      </c>
      <c r="L2123">
        <v>254.7602</v>
      </c>
      <c r="M2123">
        <v>-5.2860869999999997E-2</v>
      </c>
      <c r="N2123">
        <v>-1.137933E-2</v>
      </c>
      <c r="O2123">
        <v>-0.99853729999999996</v>
      </c>
      <c r="P2123">
        <v>-5.4116249999999998E-2</v>
      </c>
      <c r="Q2123">
        <v>0.16291630000000001</v>
      </c>
      <c r="R2123">
        <v>-0.98515489999999994</v>
      </c>
      <c r="S2123">
        <v>-0.22698969999999999</v>
      </c>
      <c r="T2123">
        <v>-0.1275597</v>
      </c>
      <c r="U2123">
        <v>-3.0531619999999999</v>
      </c>
      <c r="V2123">
        <v>2.0133350000000002E-3</v>
      </c>
      <c r="W2123">
        <v>0.1741326</v>
      </c>
      <c r="X2123">
        <v>0.98472020000000005</v>
      </c>
      <c r="Y2123">
        <v>2.127834E-2</v>
      </c>
      <c r="Z2123">
        <v>3.0243820000000001E-2</v>
      </c>
      <c r="AA2123">
        <v>0.99931599999999998</v>
      </c>
      <c r="AB2123">
        <v>27</v>
      </c>
      <c r="AC2123">
        <v>-1.9783000000000399</v>
      </c>
      <c r="AD2123">
        <v>-1.1207468637539999</v>
      </c>
      <c r="AE2123">
        <v>-26.523799999999898</v>
      </c>
      <c r="AF2123">
        <v>0.57235592765198195</v>
      </c>
      <c r="AG2123">
        <v>-1.1207468637539999</v>
      </c>
      <c r="AH2123">
        <v>26.544162707409601</v>
      </c>
      <c r="AI2123">
        <v>92.417143559440504</v>
      </c>
      <c r="AJ2123">
        <v>88.764756737891503</v>
      </c>
      <c r="AK2123">
        <v>26.573976719301299</v>
      </c>
      <c r="AL2123">
        <v>79.971815696994497</v>
      </c>
      <c r="AM2123">
        <v>89.882854604275906</v>
      </c>
      <c r="AN2123">
        <v>1.00000004409431</v>
      </c>
    </row>
    <row r="2124" spans="1:40" x14ac:dyDescent="0.25">
      <c r="A2124" t="str">
        <f>"20190303170804434"</f>
        <v>20190303170804434</v>
      </c>
      <c r="B2124" t="str">
        <f>"1551604084425078"</f>
        <v>1551604084425078</v>
      </c>
      <c r="C2124" t="s">
        <v>40</v>
      </c>
      <c r="D2124">
        <v>4.8367599999999999</v>
      </c>
      <c r="E2124">
        <v>0.51275099999999996</v>
      </c>
      <c r="F2124" t="s">
        <v>57</v>
      </c>
      <c r="G2124">
        <v>-498.18329999999997</v>
      </c>
      <c r="H2124" s="1">
        <v>3.9451389999999997E-6</v>
      </c>
      <c r="I2124">
        <v>227.35900000000001</v>
      </c>
      <c r="J2124">
        <v>-496.22969999999998</v>
      </c>
      <c r="K2124">
        <v>1.1207819999999999</v>
      </c>
      <c r="L2124">
        <v>254.50139999999999</v>
      </c>
      <c r="M2124">
        <v>-5.2953140000000003E-2</v>
      </c>
      <c r="N2124">
        <v>-1.137489E-2</v>
      </c>
      <c r="O2124">
        <v>-0.99853250000000005</v>
      </c>
      <c r="P2124">
        <v>-5.0341360000000002E-2</v>
      </c>
      <c r="Q2124">
        <v>0.16522500000000001</v>
      </c>
      <c r="R2124">
        <v>-0.98497089999999998</v>
      </c>
      <c r="S2124">
        <v>-0.21926880000000001</v>
      </c>
      <c r="T2124">
        <v>-0.12490560000000001</v>
      </c>
      <c r="U2124">
        <v>-3.0538180000000001</v>
      </c>
      <c r="V2124">
        <v>-1.845808E-3</v>
      </c>
      <c r="W2124">
        <v>0.17643339999999999</v>
      </c>
      <c r="X2124">
        <v>0.98431089999999999</v>
      </c>
      <c r="Y2124">
        <v>1.865961E-2</v>
      </c>
      <c r="Z2124">
        <v>2.9378999999999999E-2</v>
      </c>
      <c r="AA2124">
        <v>0.99939420000000001</v>
      </c>
      <c r="AB2124">
        <v>27</v>
      </c>
      <c r="AC2124">
        <v>-1.95359999999999</v>
      </c>
      <c r="AD2124">
        <v>-1.120778054861</v>
      </c>
      <c r="AE2124">
        <v>-27.142399999999899</v>
      </c>
      <c r="AF2124">
        <v>0.51262130613342005</v>
      </c>
      <c r="AG2124">
        <v>-1.120778054861</v>
      </c>
      <c r="AH2124">
        <v>27.161696212178001</v>
      </c>
      <c r="AI2124">
        <v>92.3624456038076</v>
      </c>
      <c r="AJ2124">
        <v>88.918788037391707</v>
      </c>
      <c r="AK2124">
        <v>27.189642608434699</v>
      </c>
      <c r="AL2124">
        <v>79.837916583835394</v>
      </c>
      <c r="AM2124">
        <v>90.107442561316205</v>
      </c>
      <c r="AN2124">
        <v>1.0000000497507699</v>
      </c>
    </row>
    <row r="2125" spans="1:40" x14ac:dyDescent="0.25">
      <c r="A2125" t="str">
        <f>"20190303170804455"</f>
        <v>20190303170804455</v>
      </c>
      <c r="B2125" t="str">
        <f>"1551604084444598"</f>
        <v>1551604084444598</v>
      </c>
      <c r="C2125" t="s">
        <v>40</v>
      </c>
      <c r="D2125">
        <v>4.8351689999999996</v>
      </c>
      <c r="E2125">
        <v>0.51297490000000001</v>
      </c>
      <c r="F2125" t="s">
        <v>57</v>
      </c>
      <c r="G2125">
        <v>-498.22</v>
      </c>
      <c r="H2125" s="1">
        <v>3.4905689999999999E-6</v>
      </c>
      <c r="I2125">
        <v>225.38669999999999</v>
      </c>
      <c r="J2125">
        <v>-496.24310000000003</v>
      </c>
      <c r="K2125">
        <v>1.1208</v>
      </c>
      <c r="L2125">
        <v>254.25149999999999</v>
      </c>
      <c r="M2125">
        <v>-5.3029680000000003E-2</v>
      </c>
      <c r="N2125">
        <v>-1.13709E-2</v>
      </c>
      <c r="O2125">
        <v>-0.99852850000000004</v>
      </c>
      <c r="P2125">
        <v>-4.6257090000000001E-2</v>
      </c>
      <c r="Q2125">
        <v>0.166719799999999</v>
      </c>
      <c r="R2125">
        <v>-0.98491899999999999</v>
      </c>
      <c r="S2125">
        <v>-0.20883180000000001</v>
      </c>
      <c r="T2125">
        <v>-0.117596699999999</v>
      </c>
      <c r="U2125">
        <v>-3.05484</v>
      </c>
      <c r="V2125">
        <v>-6.0031069999999997E-3</v>
      </c>
      <c r="W2125">
        <v>0.177922</v>
      </c>
      <c r="X2125">
        <v>0.98402630000000002</v>
      </c>
      <c r="Y2125">
        <v>1.516701E-2</v>
      </c>
      <c r="Z2125">
        <v>2.699433E-2</v>
      </c>
      <c r="AA2125">
        <v>0.99952050000000003</v>
      </c>
      <c r="AB2125">
        <v>27</v>
      </c>
      <c r="AC2125">
        <v>-1.9769000000000001</v>
      </c>
      <c r="AD2125">
        <v>-1.120796509431</v>
      </c>
      <c r="AE2125">
        <v>-28.864799999999999</v>
      </c>
      <c r="AF2125">
        <v>0.44266411972073499</v>
      </c>
      <c r="AG2125">
        <v>-1.120796509431</v>
      </c>
      <c r="AH2125">
        <v>28.885673534530099</v>
      </c>
      <c r="AI2125">
        <v>92.221765195557396</v>
      </c>
      <c r="AJ2125">
        <v>89.122028413168593</v>
      </c>
      <c r="AK2125">
        <v>28.9107985341446</v>
      </c>
      <c r="AL2125">
        <v>79.751254661489696</v>
      </c>
      <c r="AM2125">
        <v>90.3495317434339</v>
      </c>
      <c r="AN2125">
        <v>1.0000000172346699</v>
      </c>
    </row>
    <row r="2126" spans="1:40" x14ac:dyDescent="0.25">
      <c r="A2126" t="str">
        <f>"20190303170804487"</f>
        <v>20190303170804487</v>
      </c>
      <c r="B2126" t="str">
        <f>"1551604084474855"</f>
        <v>1551604084474855</v>
      </c>
      <c r="C2126" t="s">
        <v>40</v>
      </c>
      <c r="D2126">
        <v>4.6175680000000003</v>
      </c>
      <c r="E2126">
        <v>0.49066929999999997</v>
      </c>
      <c r="F2126" t="s">
        <v>57</v>
      </c>
      <c r="G2126">
        <v>-498.21620000000001</v>
      </c>
      <c r="H2126" s="1">
        <v>3.0950750000000002E-6</v>
      </c>
      <c r="I2126">
        <v>223.90309999999999</v>
      </c>
      <c r="J2126">
        <v>-496.26389999999998</v>
      </c>
      <c r="K2126">
        <v>1.1208149999999999</v>
      </c>
      <c r="L2126">
        <v>253.86269999999999</v>
      </c>
      <c r="M2126">
        <v>-5.3139829999999999E-2</v>
      </c>
      <c r="N2126">
        <v>-1.136479E-2</v>
      </c>
      <c r="O2126">
        <v>-0.99852249999999998</v>
      </c>
      <c r="P2126">
        <v>-4.005148E-2</v>
      </c>
      <c r="Q2126">
        <v>0.167958</v>
      </c>
      <c r="R2126">
        <v>-0.98498059999999998</v>
      </c>
      <c r="S2126">
        <v>-0.1986694</v>
      </c>
      <c r="T2126">
        <v>-0.11285100000000001</v>
      </c>
      <c r="U2126">
        <v>-3.0557249999999998</v>
      </c>
      <c r="V2126">
        <v>-1.231492E-2</v>
      </c>
      <c r="W2126">
        <v>0.17915210000000001</v>
      </c>
      <c r="X2126">
        <v>0.98374430000000002</v>
      </c>
      <c r="Y2126">
        <v>1.173127E-2</v>
      </c>
      <c r="Z2126">
        <v>2.54478E-2</v>
      </c>
      <c r="AA2126">
        <v>0.99960729999999998</v>
      </c>
      <c r="AB2126">
        <v>27</v>
      </c>
      <c r="AC2126">
        <v>-1.9523000000000299</v>
      </c>
      <c r="AD2126">
        <v>-1.1208119049249901</v>
      </c>
      <c r="AE2126">
        <v>-29.959599999999899</v>
      </c>
      <c r="AF2126">
        <v>0.35689309050509499</v>
      </c>
      <c r="AG2126">
        <v>-1.1208119049249901</v>
      </c>
      <c r="AH2126">
        <v>29.979235123004202</v>
      </c>
      <c r="AI2126">
        <v>92.1409269821755</v>
      </c>
      <c r="AJ2126">
        <v>89.317944509692893</v>
      </c>
      <c r="AK2126">
        <v>30.0023020877506</v>
      </c>
      <c r="AL2126">
        <v>79.679623962740493</v>
      </c>
      <c r="AM2126">
        <v>90.717214917038504</v>
      </c>
      <c r="AN2126">
        <v>0.99999998998575301</v>
      </c>
    </row>
    <row r="2127" spans="1:40" x14ac:dyDescent="0.25">
      <c r="A2127" t="str">
        <f>"20190303170804510"</f>
        <v>20190303170804510</v>
      </c>
      <c r="B2127" t="str">
        <f>"1551604084505110"</f>
        <v>1551604084505110</v>
      </c>
      <c r="C2127" t="s">
        <v>40</v>
      </c>
      <c r="D2127">
        <v>4.6952809999999996</v>
      </c>
      <c r="E2127">
        <v>0.47524369999999999</v>
      </c>
      <c r="F2127" t="s">
        <v>57</v>
      </c>
      <c r="G2127">
        <v>-496.33390000000003</v>
      </c>
      <c r="H2127" s="1">
        <v>1.9699570000000001E-6</v>
      </c>
      <c r="I2127">
        <v>209.68770000000001</v>
      </c>
      <c r="J2127">
        <v>-496.27850000000001</v>
      </c>
      <c r="K2127">
        <v>1.1208320000000001</v>
      </c>
      <c r="L2127">
        <v>253.5899</v>
      </c>
      <c r="M2127">
        <v>-5.322006E-2</v>
      </c>
      <c r="N2127">
        <v>-1.136039E-2</v>
      </c>
      <c r="O2127">
        <v>-0.99851849999999998</v>
      </c>
      <c r="P2127">
        <v>-3.6585079999999999E-2</v>
      </c>
      <c r="Q2127">
        <v>0.17061519999999999</v>
      </c>
      <c r="R2127">
        <v>-0.98465879999999995</v>
      </c>
      <c r="S2127">
        <v>-4.8522950000000004E-3</v>
      </c>
      <c r="T2127">
        <v>-7.7607869999999995E-2</v>
      </c>
      <c r="U2127">
        <v>-3.058792</v>
      </c>
      <c r="V2127">
        <v>-1.583828E-2</v>
      </c>
      <c r="W2127">
        <v>0.18179970000000001</v>
      </c>
      <c r="X2127">
        <v>0.98320799999999997</v>
      </c>
      <c r="Y2127">
        <v>-5.1628689999999998E-2</v>
      </c>
      <c r="Z2127">
        <v>1.393517E-2</v>
      </c>
      <c r="AA2127">
        <v>0.99856909999999999</v>
      </c>
      <c r="AB2127">
        <v>27</v>
      </c>
      <c r="AC2127">
        <v>-5.54000000000201E-2</v>
      </c>
      <c r="AD2127">
        <v>-1.1208300300430001</v>
      </c>
      <c r="AE2127">
        <v>-43.902199999999901</v>
      </c>
      <c r="AF2127">
        <v>-2.2798203332603602</v>
      </c>
      <c r="AG2127">
        <v>-1.1208300300430001</v>
      </c>
      <c r="AH2127">
        <v>43.814365083239899</v>
      </c>
      <c r="AI2127">
        <v>91.463404157294306</v>
      </c>
      <c r="AJ2127">
        <v>92.978620958504294</v>
      </c>
      <c r="AK2127">
        <v>43.887953111937499</v>
      </c>
      <c r="AL2127">
        <v>79.525394933808698</v>
      </c>
      <c r="AM2127">
        <v>90.922885205671705</v>
      </c>
      <c r="AN2127">
        <v>0.99999997664872398</v>
      </c>
    </row>
    <row r="2128" spans="1:40" x14ac:dyDescent="0.25">
      <c r="A2128" t="str">
        <f>"20190303170804533"</f>
        <v>20190303170804533</v>
      </c>
      <c r="B2128" t="str">
        <f>"1551604084524630"</f>
        <v>1551604084524630</v>
      </c>
      <c r="C2128" t="s">
        <v>40</v>
      </c>
      <c r="D2128">
        <v>4.6216249999999999</v>
      </c>
      <c r="E2128">
        <v>0.47209010000000001</v>
      </c>
      <c r="F2128" t="s">
        <v>57</v>
      </c>
      <c r="G2128">
        <v>-494.28059999999999</v>
      </c>
      <c r="H2128" s="1">
        <v>1.725169E-6</v>
      </c>
      <c r="I2128">
        <v>206.4228</v>
      </c>
      <c r="J2128">
        <v>-496.29360000000003</v>
      </c>
      <c r="K2128">
        <v>1.1208419999999999</v>
      </c>
      <c r="L2128">
        <v>253.30869999999999</v>
      </c>
      <c r="M2128">
        <v>-5.3309769999999999E-2</v>
      </c>
      <c r="N2128">
        <v>-1.135632E-2</v>
      </c>
      <c r="O2128">
        <v>-0.99851350000000005</v>
      </c>
      <c r="P2128">
        <v>-3.255135E-2</v>
      </c>
      <c r="Q2128">
        <v>0.17335500000000001</v>
      </c>
      <c r="R2128">
        <v>-0.98432140000000001</v>
      </c>
      <c r="S2128">
        <v>0.1297913</v>
      </c>
      <c r="T2128">
        <v>-7.2813630000000004E-2</v>
      </c>
      <c r="U2128">
        <v>-3.0641630000000002</v>
      </c>
      <c r="V2128">
        <v>-1.9936639999999999E-2</v>
      </c>
      <c r="W2128">
        <v>0.18452979999999999</v>
      </c>
      <c r="X2128">
        <v>0.98262470000000002</v>
      </c>
      <c r="Y2128">
        <v>-9.5502859999999995E-2</v>
      </c>
      <c r="Z2128">
        <v>1.227321E-2</v>
      </c>
      <c r="AA2128">
        <v>0.9953535</v>
      </c>
      <c r="AB2128">
        <v>27</v>
      </c>
      <c r="AC2128">
        <v>2.0130000000000301</v>
      </c>
      <c r="AD2128">
        <v>-1.120840274831</v>
      </c>
      <c r="AE2128">
        <v>-46.8858999999999</v>
      </c>
      <c r="AF2128">
        <v>-4.5072037432449399</v>
      </c>
      <c r="AG2128">
        <v>-1.120840274831</v>
      </c>
      <c r="AH2128">
        <v>46.685270531697299</v>
      </c>
      <c r="AI2128">
        <v>91.368955119294398</v>
      </c>
      <c r="AJ2128">
        <v>95.514498634587696</v>
      </c>
      <c r="AK2128">
        <v>46.9157292719891</v>
      </c>
      <c r="AL2128">
        <v>79.366280140503903</v>
      </c>
      <c r="AM2128">
        <v>91.162324362111207</v>
      </c>
      <c r="AN2128">
        <v>1.0000000088763099</v>
      </c>
    </row>
    <row r="2129" spans="1:40" x14ac:dyDescent="0.25">
      <c r="A2129" t="str">
        <f>"20190303170804554"</f>
        <v>20190303170804554</v>
      </c>
      <c r="B2129" t="str">
        <f>"1551604084545126"</f>
        <v>1551604084545126</v>
      </c>
      <c r="C2129" t="s">
        <v>40</v>
      </c>
      <c r="D2129">
        <v>4.6245529999999997</v>
      </c>
      <c r="E2129">
        <v>0.4705549</v>
      </c>
      <c r="F2129" t="s">
        <v>43</v>
      </c>
      <c r="G2129">
        <v>-493.3082</v>
      </c>
      <c r="H2129" s="1">
        <v>-4.5680210000000001E-6</v>
      </c>
      <c r="I2129">
        <v>198.6857</v>
      </c>
      <c r="J2129">
        <v>-496.30669999999998</v>
      </c>
      <c r="K2129">
        <v>1.1208549999999999</v>
      </c>
      <c r="L2129">
        <v>253.06440000000001</v>
      </c>
      <c r="M2129">
        <v>-5.3392250000000002E-2</v>
      </c>
      <c r="N2129">
        <v>-1.1353200000000001E-2</v>
      </c>
      <c r="O2129">
        <v>-0.99850919999999999</v>
      </c>
      <c r="P2129">
        <v>-2.7794200000000002E-2</v>
      </c>
      <c r="Q2129">
        <v>0.17390220000000001</v>
      </c>
      <c r="R2129">
        <v>-0.98437079999999999</v>
      </c>
      <c r="S2129">
        <v>0.1674805</v>
      </c>
      <c r="T2129">
        <v>-6.2880400000000003E-2</v>
      </c>
      <c r="U2129">
        <v>-3.0643919999999998</v>
      </c>
      <c r="V2129">
        <v>-2.4770670000000002E-2</v>
      </c>
      <c r="W2129">
        <v>0.18507290000000001</v>
      </c>
      <c r="X2129">
        <v>0.98241259999999997</v>
      </c>
      <c r="Y2129">
        <v>-0.1077888</v>
      </c>
      <c r="Z2129">
        <v>9.027785E-3</v>
      </c>
      <c r="AA2129">
        <v>0.99413280000000004</v>
      </c>
      <c r="AB2129">
        <v>27</v>
      </c>
      <c r="AC2129">
        <v>2.9984999999999702</v>
      </c>
      <c r="AD2129">
        <v>-1.1208595680209901</v>
      </c>
      <c r="AE2129">
        <v>-54.378700000000002</v>
      </c>
      <c r="AF2129">
        <v>-5.8953132717513599</v>
      </c>
      <c r="AG2129">
        <v>-1.1208595680209901</v>
      </c>
      <c r="AH2129">
        <v>54.118095315287597</v>
      </c>
      <c r="AI2129">
        <v>91.179528201344496</v>
      </c>
      <c r="AJ2129">
        <v>96.216957681995595</v>
      </c>
      <c r="AK2129">
        <v>54.449786825091103</v>
      </c>
      <c r="AL2129">
        <v>79.334617782329303</v>
      </c>
      <c r="AM2129">
        <v>91.444356675327896</v>
      </c>
      <c r="AN2129">
        <v>1.0000000405227001</v>
      </c>
    </row>
    <row r="2130" spans="1:40" x14ac:dyDescent="0.25">
      <c r="A2130" t="str">
        <f>"20190303170804576"</f>
        <v>20190303170804576</v>
      </c>
      <c r="B2130" t="str">
        <f>"1551604084564647"</f>
        <v>1551604084564647</v>
      </c>
      <c r="C2130" t="s">
        <v>40</v>
      </c>
      <c r="D2130">
        <v>4.6338010000000001</v>
      </c>
      <c r="E2130">
        <v>0.47021479999999999</v>
      </c>
      <c r="F2130" t="s">
        <v>43</v>
      </c>
      <c r="G2130">
        <v>-492.66800000000001</v>
      </c>
      <c r="H2130" s="1">
        <v>-3.3201760000000002E-6</v>
      </c>
      <c r="I2130">
        <v>195.6737</v>
      </c>
      <c r="J2130">
        <v>-496.32080000000002</v>
      </c>
      <c r="K2130">
        <v>1.120854</v>
      </c>
      <c r="L2130">
        <v>252.8014</v>
      </c>
      <c r="M2130">
        <v>-5.3479720000000001E-2</v>
      </c>
      <c r="N2130">
        <v>-1.1352020000000001E-2</v>
      </c>
      <c r="O2130">
        <v>-0.99850459999999996</v>
      </c>
      <c r="P2130">
        <v>-2.3070239999999999E-2</v>
      </c>
      <c r="Q2130">
        <v>0.1740389</v>
      </c>
      <c r="R2130">
        <v>-0.98446880000000003</v>
      </c>
      <c r="S2130">
        <v>0.19424440000000001</v>
      </c>
      <c r="T2130">
        <v>-5.983484E-2</v>
      </c>
      <c r="U2130">
        <v>-3.0636899999999998</v>
      </c>
      <c r="V2130">
        <v>-2.958011E-2</v>
      </c>
      <c r="W2130">
        <v>0.18520700000000001</v>
      </c>
      <c r="X2130">
        <v>0.98225430000000002</v>
      </c>
      <c r="Y2130">
        <v>-0.116538</v>
      </c>
      <c r="Z2130">
        <v>8.0282959999999903E-3</v>
      </c>
      <c r="AA2130">
        <v>0.99315379999999998</v>
      </c>
      <c r="AB2130">
        <v>27</v>
      </c>
      <c r="AC2130">
        <v>3.6528000000000098</v>
      </c>
      <c r="AD2130">
        <v>-1.1208573201759999</v>
      </c>
      <c r="AE2130">
        <v>-57.127699999999997</v>
      </c>
      <c r="AF2130">
        <v>-6.7003728020650302</v>
      </c>
      <c r="AG2130">
        <v>-1.1208573201759999</v>
      </c>
      <c r="AH2130">
        <v>56.828785500000201</v>
      </c>
      <c r="AI2130">
        <v>91.122150679152696</v>
      </c>
      <c r="AJ2130">
        <v>96.724388540318301</v>
      </c>
      <c r="AK2130">
        <v>57.233400896887801</v>
      </c>
      <c r="AL2130">
        <v>79.326799493863504</v>
      </c>
      <c r="AM2130">
        <v>91.724913197641598</v>
      </c>
      <c r="AN2130">
        <v>1.0000000628125401</v>
      </c>
    </row>
    <row r="2131" spans="1:40" x14ac:dyDescent="0.25">
      <c r="A2131" t="str">
        <f>"20190303170804599"</f>
        <v>20190303170804599</v>
      </c>
      <c r="B2131" t="str">
        <f>"1551604084594902"</f>
        <v>1551604084594902</v>
      </c>
      <c r="C2131" t="s">
        <v>40</v>
      </c>
      <c r="D2131">
        <v>4.5799909999999997</v>
      </c>
      <c r="E2131">
        <v>0.47013830000000001</v>
      </c>
      <c r="F2131" t="s">
        <v>43</v>
      </c>
      <c r="G2131">
        <v>-492.6454</v>
      </c>
      <c r="H2131" s="1">
        <v>-4.6581240000000002E-6</v>
      </c>
      <c r="I2131">
        <v>199.29599999999999</v>
      </c>
      <c r="J2131">
        <v>-496.3356</v>
      </c>
      <c r="K2131">
        <v>1.1208769999999999</v>
      </c>
      <c r="L2131">
        <v>252.52780000000001</v>
      </c>
      <c r="M2131">
        <v>-5.355733E-2</v>
      </c>
      <c r="N2131">
        <v>-1.1359350000000001E-2</v>
      </c>
      <c r="O2131">
        <v>-0.99850030000000001</v>
      </c>
      <c r="P2131">
        <v>-1.9491479999999999E-2</v>
      </c>
      <c r="Q2131">
        <v>0.17557690000000001</v>
      </c>
      <c r="R2131">
        <v>-0.98427299999999995</v>
      </c>
      <c r="S2131">
        <v>0.2104492</v>
      </c>
      <c r="T2131">
        <v>-6.4178470000000001E-2</v>
      </c>
      <c r="U2131">
        <v>-3.0636290000000002</v>
      </c>
      <c r="V2131">
        <v>-3.32229E-2</v>
      </c>
      <c r="W2131">
        <v>0.186748</v>
      </c>
      <c r="X2131">
        <v>0.98184590000000005</v>
      </c>
      <c r="Y2131">
        <v>-0.1218424</v>
      </c>
      <c r="Z2131">
        <v>9.4171759999999993E-3</v>
      </c>
      <c r="AA2131">
        <v>0.99250479999999996</v>
      </c>
      <c r="AB2131">
        <v>27</v>
      </c>
      <c r="AC2131">
        <v>3.6901999999999999</v>
      </c>
      <c r="AD2131">
        <v>-1.120881658124</v>
      </c>
      <c r="AE2131">
        <v>-53.2318</v>
      </c>
      <c r="AF2131">
        <v>-6.53315687616705</v>
      </c>
      <c r="AG2131">
        <v>-1.120881658124</v>
      </c>
      <c r="AH2131">
        <v>52.934382770724298</v>
      </c>
      <c r="AI2131">
        <v>91.203920661073795</v>
      </c>
      <c r="AJ2131">
        <v>97.035859528076003</v>
      </c>
      <c r="AK2131">
        <v>53.347796522233999</v>
      </c>
      <c r="AL2131">
        <v>79.236938019606697</v>
      </c>
      <c r="AM2131">
        <v>91.937988400943993</v>
      </c>
      <c r="AN2131">
        <v>0.99999997396760898</v>
      </c>
    </row>
    <row r="2132" spans="1:40" x14ac:dyDescent="0.25">
      <c r="A2132" t="str">
        <f>"20190303170804624"</f>
        <v>20190303170804624</v>
      </c>
      <c r="B2132" t="str">
        <f>"1551604084614422"</f>
        <v>1551604084614422</v>
      </c>
      <c r="C2132" t="s">
        <v>40</v>
      </c>
      <c r="D2132">
        <v>4.5690650000000002</v>
      </c>
      <c r="E2132">
        <v>0.47051199999999999</v>
      </c>
      <c r="F2132" t="s">
        <v>43</v>
      </c>
      <c r="G2132">
        <v>-492.26499999999999</v>
      </c>
      <c r="H2132" s="1">
        <v>-3.555328E-6</v>
      </c>
      <c r="I2132">
        <v>196.4718</v>
      </c>
      <c r="J2132">
        <v>-496.35129999999998</v>
      </c>
      <c r="K2132">
        <v>1.120911</v>
      </c>
      <c r="L2132">
        <v>252.2363</v>
      </c>
      <c r="M2132">
        <v>-5.3617159999999997E-2</v>
      </c>
      <c r="N2132">
        <v>-1.138014E-2</v>
      </c>
      <c r="O2132">
        <v>-0.99849679999999996</v>
      </c>
      <c r="P2132">
        <v>-1.5972569999999998E-2</v>
      </c>
      <c r="Q2132">
        <v>0.17804489999999901</v>
      </c>
      <c r="R2132">
        <v>-0.98389260000000001</v>
      </c>
      <c r="S2132">
        <v>0.22244259999999999</v>
      </c>
      <c r="T2132">
        <v>-6.1252239999999999E-2</v>
      </c>
      <c r="U2132">
        <v>-3.0632630000000001</v>
      </c>
      <c r="V2132">
        <v>-3.678178E-2</v>
      </c>
      <c r="W2132">
        <v>0.1892287</v>
      </c>
      <c r="X2132">
        <v>0.98124389999999995</v>
      </c>
      <c r="Y2132">
        <v>-0.1257761</v>
      </c>
      <c r="Z2132">
        <v>8.4417759999999998E-3</v>
      </c>
      <c r="AA2132">
        <v>0.99202279999999998</v>
      </c>
      <c r="AB2132">
        <v>27</v>
      </c>
      <c r="AC2132">
        <v>4.0862999999999898</v>
      </c>
      <c r="AD2132">
        <v>-1.120914555328</v>
      </c>
      <c r="AE2132">
        <v>-55.764499999999998</v>
      </c>
      <c r="AF2132">
        <v>-7.0677084437815898</v>
      </c>
      <c r="AG2132">
        <v>-1.120914555328</v>
      </c>
      <c r="AH2132">
        <v>55.442884308562199</v>
      </c>
      <c r="AI2132">
        <v>91.148922494651799</v>
      </c>
      <c r="AJ2132">
        <v>97.264727869263496</v>
      </c>
      <c r="AK2132">
        <v>55.902793960045102</v>
      </c>
      <c r="AL2132">
        <v>79.092224510183598</v>
      </c>
      <c r="AM2132">
        <v>92.146718592091503</v>
      </c>
      <c r="AN2132">
        <v>0.99999999576543397</v>
      </c>
    </row>
    <row r="2133" spans="1:40" x14ac:dyDescent="0.25">
      <c r="A2133" t="str">
        <f>"20190303170804645"</f>
        <v>20190303170804645</v>
      </c>
      <c r="B2133" t="str">
        <f>"1551604084634918"</f>
        <v>1551604084634918</v>
      </c>
      <c r="C2133" t="s">
        <v>40</v>
      </c>
      <c r="D2133">
        <v>4.6653370000000001</v>
      </c>
      <c r="E2133">
        <v>0.47126109999999999</v>
      </c>
      <c r="F2133" t="s">
        <v>43</v>
      </c>
      <c r="G2133">
        <v>-491.67399999999998</v>
      </c>
      <c r="H2133" s="1">
        <v>-7.212165E-7</v>
      </c>
      <c r="I2133">
        <v>190.232</v>
      </c>
      <c r="J2133">
        <v>-496.36529999999999</v>
      </c>
      <c r="K2133">
        <v>1.12094</v>
      </c>
      <c r="L2133">
        <v>251.97540000000001</v>
      </c>
      <c r="M2133">
        <v>-5.3648920000000003E-2</v>
      </c>
      <c r="N2133">
        <v>-1.1409880000000001E-2</v>
      </c>
      <c r="O2133">
        <v>-0.99849489999999996</v>
      </c>
      <c r="P2133">
        <v>-1.1742529999999999E-2</v>
      </c>
      <c r="Q2133">
        <v>0.17940919999999999</v>
      </c>
      <c r="R2133">
        <v>-0.98370469999999999</v>
      </c>
      <c r="S2133">
        <v>0.23104859999999999</v>
      </c>
      <c r="T2133">
        <v>-5.5370450000000002E-2</v>
      </c>
      <c r="U2133">
        <v>-3.0628660000000001</v>
      </c>
      <c r="V2133">
        <v>-4.1034580000000001E-2</v>
      </c>
      <c r="W2133">
        <v>0.1906168</v>
      </c>
      <c r="X2133">
        <v>0.98080650000000003</v>
      </c>
      <c r="Y2133">
        <v>-0.1285905</v>
      </c>
      <c r="Z2133">
        <v>6.5031680000000001E-3</v>
      </c>
      <c r="AA2133">
        <v>0.99167640000000001</v>
      </c>
      <c r="AB2133">
        <v>27</v>
      </c>
      <c r="AC2133">
        <v>4.6912999999999503</v>
      </c>
      <c r="AD2133">
        <v>-1.1209407212164999</v>
      </c>
      <c r="AE2133">
        <v>-61.743400000000001</v>
      </c>
      <c r="AF2133">
        <v>-7.99460472165641</v>
      </c>
      <c r="AG2133">
        <v>-1.1209407212164999</v>
      </c>
      <c r="AH2133">
        <v>61.382654334503997</v>
      </c>
      <c r="AI2133">
        <v>91.037431841573294</v>
      </c>
      <c r="AJ2133">
        <v>97.420551491602296</v>
      </c>
      <c r="AK2133">
        <v>61.911230531343897</v>
      </c>
      <c r="AL2133">
        <v>79.011217831967897</v>
      </c>
      <c r="AM2133">
        <v>92.395720161203499</v>
      </c>
      <c r="AN2133">
        <v>0.99999999582013299</v>
      </c>
    </row>
    <row r="2134" spans="1:40" x14ac:dyDescent="0.25">
      <c r="A2134" t="str">
        <f>"20190303170804666"</f>
        <v>20190303170804666</v>
      </c>
      <c r="B2134" t="str">
        <f>"1551604084654438"</f>
        <v>1551604084654438</v>
      </c>
      <c r="C2134" t="s">
        <v>40</v>
      </c>
      <c r="D2134">
        <v>4.6577489999999999</v>
      </c>
      <c r="E2134">
        <v>0.47207529999999998</v>
      </c>
      <c r="F2134" t="s">
        <v>43</v>
      </c>
      <c r="G2134">
        <v>-491.29700000000003</v>
      </c>
      <c r="H2134" s="1">
        <v>-3.4142050000000002E-6</v>
      </c>
      <c r="I2134">
        <v>186.7432</v>
      </c>
      <c r="J2134">
        <v>-496.37830000000002</v>
      </c>
      <c r="K2134">
        <v>1.1209720000000001</v>
      </c>
      <c r="L2134">
        <v>251.73320000000001</v>
      </c>
      <c r="M2134">
        <v>-5.3643400000000001E-2</v>
      </c>
      <c r="N2134">
        <v>-1.145039E-2</v>
      </c>
      <c r="O2134">
        <v>-0.9984944</v>
      </c>
      <c r="P2134">
        <v>-7.378023E-3</v>
      </c>
      <c r="Q2134">
        <v>0.1793131</v>
      </c>
      <c r="R2134">
        <v>-0.98376459999999999</v>
      </c>
      <c r="S2134">
        <v>0.23791499999999999</v>
      </c>
      <c r="T2134">
        <v>-5.261946E-2</v>
      </c>
      <c r="U2134">
        <v>-3.0621339999999999</v>
      </c>
      <c r="V2134">
        <v>-4.5400549999999998E-2</v>
      </c>
      <c r="W2134">
        <v>0.1905559</v>
      </c>
      <c r="X2134">
        <v>0.98062590000000005</v>
      </c>
      <c r="Y2134">
        <v>-0.13081400000000001</v>
      </c>
      <c r="Z2134">
        <v>5.5710580000000003E-3</v>
      </c>
      <c r="AA2134">
        <v>0.99139129999999998</v>
      </c>
      <c r="AB2134">
        <v>27</v>
      </c>
      <c r="AC2134">
        <v>5.0813000000000503</v>
      </c>
      <c r="AD2134">
        <v>-1.1209754142049999</v>
      </c>
      <c r="AE2134">
        <v>-64.989999999999995</v>
      </c>
      <c r="AF2134">
        <v>-8.5579656599556504</v>
      </c>
      <c r="AG2134">
        <v>-1.1209754142049999</v>
      </c>
      <c r="AH2134">
        <v>64.604712490460699</v>
      </c>
      <c r="AI2134">
        <v>90.985449495064103</v>
      </c>
      <c r="AJ2134">
        <v>97.545844278063598</v>
      </c>
      <c r="AK2134">
        <v>65.178710006345796</v>
      </c>
      <c r="AL2134">
        <v>79.014771880100497</v>
      </c>
      <c r="AM2134">
        <v>92.650759808732104</v>
      </c>
      <c r="AN2134">
        <v>0.99999995835795996</v>
      </c>
    </row>
    <row r="2135" spans="1:40" x14ac:dyDescent="0.25">
      <c r="A2135" t="str">
        <f>"20190303170804690"</f>
        <v>20190303170804690</v>
      </c>
      <c r="B2135" t="str">
        <f>"1551604084684695"</f>
        <v>1551604084684695</v>
      </c>
      <c r="C2135" t="s">
        <v>40</v>
      </c>
      <c r="D2135">
        <v>4.5434549999999998</v>
      </c>
      <c r="E2135">
        <v>0.47307169999999998</v>
      </c>
      <c r="F2135" t="s">
        <v>43</v>
      </c>
      <c r="G2135">
        <v>-491.30619999999999</v>
      </c>
      <c r="H2135" s="1">
        <v>-4.1357299999999996E-6</v>
      </c>
      <c r="I2135">
        <v>188.459</v>
      </c>
      <c r="J2135">
        <v>-496.39359999999999</v>
      </c>
      <c r="K2135">
        <v>1.1210230000000001</v>
      </c>
      <c r="L2135">
        <v>251.44800000000001</v>
      </c>
      <c r="M2135">
        <v>-5.3559059999999999E-2</v>
      </c>
      <c r="N2135">
        <v>-1.151289E-2</v>
      </c>
      <c r="O2135">
        <v>-0.99849849999999996</v>
      </c>
      <c r="P2135">
        <v>-1.918545E-3</v>
      </c>
      <c r="Q2135">
        <v>0.17736089999999999</v>
      </c>
      <c r="R2135">
        <v>-0.98414440000000003</v>
      </c>
      <c r="S2135">
        <v>0.24539179999999999</v>
      </c>
      <c r="T2135">
        <v>-5.423331E-2</v>
      </c>
      <c r="U2135">
        <v>-3.0612339999999998</v>
      </c>
      <c r="V2135">
        <v>-5.0809699999999999E-2</v>
      </c>
      <c r="W2135">
        <v>0.1886612</v>
      </c>
      <c r="X2135">
        <v>0.98072700000000002</v>
      </c>
      <c r="Y2135">
        <v>-0.13315759999999999</v>
      </c>
      <c r="Z2135">
        <v>6.0312069999999898E-3</v>
      </c>
      <c r="AA2135">
        <v>0.99107650000000003</v>
      </c>
      <c r="AB2135">
        <v>27</v>
      </c>
      <c r="AC2135">
        <v>5.0873999999999997</v>
      </c>
      <c r="AD2135">
        <v>-1.1210271357299999</v>
      </c>
      <c r="AE2135">
        <v>-62.988999999999898</v>
      </c>
      <c r="AF2135">
        <v>-8.4512920949330397</v>
      </c>
      <c r="AG2135">
        <v>-1.1210271357299999</v>
      </c>
      <c r="AH2135">
        <v>62.606383092415001</v>
      </c>
      <c r="AI2135">
        <v>91.016607270205498</v>
      </c>
      <c r="AJ2135">
        <v>97.6879357958463</v>
      </c>
      <c r="AK2135">
        <v>63.184177163488897</v>
      </c>
      <c r="AL2135">
        <v>79.125337006515196</v>
      </c>
      <c r="AM2135">
        <v>92.965739631027304</v>
      </c>
      <c r="AN2135">
        <v>1.0000000612642601</v>
      </c>
    </row>
    <row r="2136" spans="1:40" x14ac:dyDescent="0.25">
      <c r="A2136" t="str">
        <f>"20190303170804712"</f>
        <v>20190303170804712</v>
      </c>
      <c r="B2136" t="str">
        <f>"1551604084705190"</f>
        <v>1551604084705190</v>
      </c>
      <c r="C2136" t="s">
        <v>40</v>
      </c>
      <c r="D2136">
        <v>4.7098589999999998</v>
      </c>
      <c r="E2136">
        <v>0.4733909</v>
      </c>
      <c r="F2136" t="s">
        <v>43</v>
      </c>
      <c r="G2136">
        <v>-491.76859999999999</v>
      </c>
      <c r="H2136" s="1">
        <v>-3.1139739999999999E-6</v>
      </c>
      <c r="I2136">
        <v>195.7509</v>
      </c>
      <c r="J2136">
        <v>-496.40780000000001</v>
      </c>
      <c r="K2136">
        <v>1.1210929999999999</v>
      </c>
      <c r="L2136">
        <v>251.1797</v>
      </c>
      <c r="M2136">
        <v>-5.3359219999999999E-2</v>
      </c>
      <c r="N2136">
        <v>-1.157674E-2</v>
      </c>
      <c r="O2136">
        <v>-0.99850830000000002</v>
      </c>
      <c r="P2136">
        <v>5.1326449999999999E-3</v>
      </c>
      <c r="Q2136">
        <v>0.17600370000000001</v>
      </c>
      <c r="R2136">
        <v>-0.98437620000000003</v>
      </c>
      <c r="S2136">
        <v>0.25408940000000002</v>
      </c>
      <c r="T2136">
        <v>-6.1587330000000003E-2</v>
      </c>
      <c r="U2136">
        <v>-3.0599059999999998</v>
      </c>
      <c r="V2136">
        <v>-5.7698439999999997E-2</v>
      </c>
      <c r="W2136">
        <v>0.18735499999999999</v>
      </c>
      <c r="X2136">
        <v>0.98059620000000003</v>
      </c>
      <c r="Y2136">
        <v>-0.13578750000000001</v>
      </c>
      <c r="Z2136">
        <v>8.3511899999999997E-3</v>
      </c>
      <c r="AA2136">
        <v>0.99070279999999999</v>
      </c>
      <c r="AB2136">
        <v>27</v>
      </c>
      <c r="AC2136">
        <v>4.6392000000000104</v>
      </c>
      <c r="AD2136">
        <v>-1.1210961139740001</v>
      </c>
      <c r="AE2136">
        <v>-55.428800000000003</v>
      </c>
      <c r="AF2136">
        <v>-7.5873434096974304</v>
      </c>
      <c r="AG2136">
        <v>-1.1210961139740001</v>
      </c>
      <c r="AH2136">
        <v>55.079888198851798</v>
      </c>
      <c r="AI2136">
        <v>91.155132253463094</v>
      </c>
      <c r="AJ2136">
        <v>97.843224856178296</v>
      </c>
      <c r="AK2136">
        <v>55.611318277050998</v>
      </c>
      <c r="AL2136">
        <v>79.201534425241604</v>
      </c>
      <c r="AM2136">
        <v>93.3674103963058</v>
      </c>
      <c r="AN2136">
        <v>0.99999995672893505</v>
      </c>
    </row>
    <row r="2137" spans="1:40" x14ac:dyDescent="0.25">
      <c r="A2137" t="str">
        <f>"20190303170804734"</f>
        <v>20190303170804734</v>
      </c>
      <c r="B2137" t="str">
        <f>"1551604084724711"</f>
        <v>1551604084724711</v>
      </c>
      <c r="C2137" t="s">
        <v>40</v>
      </c>
      <c r="D2137">
        <v>4.682912</v>
      </c>
      <c r="E2137">
        <v>0.43048110000000001</v>
      </c>
      <c r="F2137" t="s">
        <v>57</v>
      </c>
      <c r="G2137">
        <v>-491.83120000000002</v>
      </c>
      <c r="H2137" s="1">
        <v>5.6986680000000003E-8</v>
      </c>
      <c r="I2137">
        <v>199.80029999999999</v>
      </c>
      <c r="J2137">
        <v>-496.42160000000001</v>
      </c>
      <c r="K2137">
        <v>1.121192</v>
      </c>
      <c r="L2137">
        <v>250.9153</v>
      </c>
      <c r="M2137">
        <v>-5.3065010000000003E-2</v>
      </c>
      <c r="N2137">
        <v>-1.163879E-2</v>
      </c>
      <c r="O2137">
        <v>-0.99852350000000001</v>
      </c>
      <c r="P2137">
        <v>1.0228340000000001E-2</v>
      </c>
      <c r="Q2137">
        <v>0.17737349999999999</v>
      </c>
      <c r="R2137">
        <v>-0.98409080000000004</v>
      </c>
      <c r="S2137">
        <v>0.27239989999999997</v>
      </c>
      <c r="T2137">
        <v>-6.6728229999999999E-2</v>
      </c>
      <c r="U2137">
        <v>-3.0581360000000002</v>
      </c>
      <c r="V2137">
        <v>-6.2520969999999995E-2</v>
      </c>
      <c r="W2137">
        <v>0.18876509999999999</v>
      </c>
      <c r="X2137">
        <v>0.98002999999999996</v>
      </c>
      <c r="Y2137">
        <v>-0.141425</v>
      </c>
      <c r="Z2137">
        <v>9.9511779999999998E-3</v>
      </c>
      <c r="AA2137">
        <v>0.98989899999999997</v>
      </c>
      <c r="AB2137">
        <v>27</v>
      </c>
      <c r="AC2137">
        <v>4.5903999999999803</v>
      </c>
      <c r="AD2137">
        <v>-1.1211919430133199</v>
      </c>
      <c r="AE2137">
        <v>-51.115000000000002</v>
      </c>
      <c r="AF2137">
        <v>-7.29305167904469</v>
      </c>
      <c r="AG2137">
        <v>-1.1211919430133199</v>
      </c>
      <c r="AH2137">
        <v>50.775132204720997</v>
      </c>
      <c r="AI2137">
        <v>91.252126057492902</v>
      </c>
      <c r="AJ2137">
        <v>98.173736090602503</v>
      </c>
      <c r="AK2137">
        <v>51.3084761474475</v>
      </c>
      <c r="AL2137">
        <v>79.119274026264904</v>
      </c>
      <c r="AM2137">
        <v>93.650235148672806</v>
      </c>
      <c r="AN2137">
        <v>0.99999996778387401</v>
      </c>
    </row>
    <row r="2138" spans="1:40" x14ac:dyDescent="0.25">
      <c r="A2138" t="str">
        <f>"20190303170804755"</f>
        <v>20190303170804755</v>
      </c>
      <c r="B2138" t="str">
        <f>"1551604084745206"</f>
        <v>1551604084745206</v>
      </c>
      <c r="C2138" t="s">
        <v>40</v>
      </c>
      <c r="D2138">
        <v>4.5687009999999999</v>
      </c>
      <c r="E2138">
        <v>0.41577900000000001</v>
      </c>
      <c r="F2138" t="s">
        <v>76</v>
      </c>
      <c r="G2138">
        <v>-469.28469999999999</v>
      </c>
      <c r="H2138">
        <v>0.41127849999999999</v>
      </c>
      <c r="I2138">
        <v>119.395</v>
      </c>
      <c r="J2138">
        <v>-496.43459999999999</v>
      </c>
      <c r="K2138">
        <v>1.12131</v>
      </c>
      <c r="L2138">
        <v>250.66239999999999</v>
      </c>
      <c r="M2138">
        <v>-5.2658919999999998E-2</v>
      </c>
      <c r="N2138">
        <v>-1.171078E-2</v>
      </c>
      <c r="O2138">
        <v>-0.99854419999999999</v>
      </c>
      <c r="P2138">
        <v>1.703758E-2</v>
      </c>
      <c r="Q2138">
        <v>0.17880589999999999</v>
      </c>
      <c r="R2138">
        <v>-0.98373730000000004</v>
      </c>
      <c r="S2138">
        <v>0.62826539999999997</v>
      </c>
      <c r="T2138">
        <v>-1.6435149999999999E-2</v>
      </c>
      <c r="U2138">
        <v>-3.044937</v>
      </c>
      <c r="V2138">
        <v>-6.8948490000000001E-2</v>
      </c>
      <c r="W2138">
        <v>0.1902414</v>
      </c>
      <c r="X2138">
        <v>0.97931319999999999</v>
      </c>
      <c r="Y2138">
        <v>-0.25334099999999998</v>
      </c>
      <c r="Z2138">
        <v>-6.5312030000000002E-3</v>
      </c>
      <c r="AA2138">
        <v>0.96735499999999996</v>
      </c>
      <c r="AB2138">
        <v>27</v>
      </c>
      <c r="AC2138">
        <v>27.149899999999999</v>
      </c>
      <c r="AD2138">
        <v>-0.71003149999999904</v>
      </c>
      <c r="AE2138">
        <v>-131.26740000000001</v>
      </c>
      <c r="AF2138">
        <v>-34.024142669054399</v>
      </c>
      <c r="AG2138">
        <v>-0.71003149999999904</v>
      </c>
      <c r="AH2138">
        <v>129.65182930208601</v>
      </c>
      <c r="AI2138">
        <v>90.303497775918601</v>
      </c>
      <c r="AJ2138">
        <v>104.704391717354</v>
      </c>
      <c r="AK2138">
        <v>134.04381101144699</v>
      </c>
      <c r="AL2138">
        <v>79.0331277988561</v>
      </c>
      <c r="AM2138">
        <v>94.027260678465396</v>
      </c>
      <c r="AN2138">
        <v>1.0000000141207399</v>
      </c>
    </row>
    <row r="2139" spans="1:40" x14ac:dyDescent="0.25">
      <c r="A2139" t="str">
        <f>"20190303170804768"</f>
        <v>20190303170804768</v>
      </c>
      <c r="B2139" t="str">
        <f>"1551604084764727"</f>
        <v>1551604084764727</v>
      </c>
      <c r="C2139" t="s">
        <v>40</v>
      </c>
      <c r="D2139">
        <v>4.5677729999999999</v>
      </c>
      <c r="E2139">
        <v>0.41015810000000003</v>
      </c>
      <c r="F2139" t="s">
        <v>77</v>
      </c>
      <c r="G2139">
        <v>-473.87380000000002</v>
      </c>
      <c r="H2139">
        <v>1.555366</v>
      </c>
      <c r="I2139">
        <v>161.1865</v>
      </c>
      <c r="J2139">
        <v>-496.4427</v>
      </c>
      <c r="K2139">
        <v>1.1213949999999999</v>
      </c>
      <c r="L2139">
        <v>250.50190000000001</v>
      </c>
      <c r="M2139">
        <v>-5.2337809999999999E-2</v>
      </c>
      <c r="N2139">
        <v>-1.1767710000000001E-2</v>
      </c>
      <c r="O2139">
        <v>-0.99856009999999995</v>
      </c>
      <c r="P2139">
        <v>2.066277E-2</v>
      </c>
      <c r="Q2139">
        <v>0.1794084</v>
      </c>
      <c r="R2139">
        <v>-0.98355780000000004</v>
      </c>
      <c r="S2139">
        <v>0.76492309999999997</v>
      </c>
      <c r="T2139">
        <v>1.471663E-2</v>
      </c>
      <c r="U2139">
        <v>-3.0336759999999998</v>
      </c>
      <c r="V2139">
        <v>-7.2275939999999997E-2</v>
      </c>
      <c r="W2139">
        <v>0.19088079999999999</v>
      </c>
      <c r="X2139">
        <v>0.97894879999999995</v>
      </c>
      <c r="Y2139">
        <v>-0.29486420000000002</v>
      </c>
      <c r="Z2139">
        <v>-1.650424E-2</v>
      </c>
      <c r="AA2139">
        <v>0.95539669999999999</v>
      </c>
      <c r="AB2139">
        <v>27</v>
      </c>
      <c r="AC2139">
        <v>22.5688999999999</v>
      </c>
      <c r="AD2139">
        <v>0.433970999999999</v>
      </c>
      <c r="AE2139">
        <v>-89.315399999999997</v>
      </c>
      <c r="AF2139">
        <v>-27.2122558818401</v>
      </c>
      <c r="AG2139">
        <v>0.433970999999999</v>
      </c>
      <c r="AH2139">
        <v>88.009729036460897</v>
      </c>
      <c r="AI2139">
        <v>89.730087496154198</v>
      </c>
      <c r="AJ2139">
        <v>107.181399452419</v>
      </c>
      <c r="AK2139">
        <v>92.121699973887004</v>
      </c>
      <c r="AL2139">
        <v>78.995809112904894</v>
      </c>
      <c r="AM2139">
        <v>94.222495185398401</v>
      </c>
      <c r="AN2139">
        <v>1.00000002216648</v>
      </c>
    </row>
    <row r="2140" spans="1:40" x14ac:dyDescent="0.25">
      <c r="A2140" t="str">
        <f>"20190303170804791"</f>
        <v>20190303170804791</v>
      </c>
      <c r="B2140" t="str">
        <f>"1551604084785223"</f>
        <v>1551604084785223</v>
      </c>
      <c r="C2140" t="s">
        <v>40</v>
      </c>
      <c r="D2140">
        <v>4.594093</v>
      </c>
      <c r="E2140">
        <v>0.40807769999999999</v>
      </c>
      <c r="F2140" t="s">
        <v>77</v>
      </c>
      <c r="G2140">
        <v>-473.52499999999998</v>
      </c>
      <c r="H2140">
        <v>1.7991520000000001</v>
      </c>
      <c r="I2140">
        <v>165.9051</v>
      </c>
      <c r="J2140">
        <v>-496.45530000000002</v>
      </c>
      <c r="K2140">
        <v>1.1215569999999999</v>
      </c>
      <c r="L2140">
        <v>250.24969999999999</v>
      </c>
      <c r="M2140">
        <v>-5.1651919999999997E-2</v>
      </c>
      <c r="N2140">
        <v>-1.1888879999999999E-2</v>
      </c>
      <c r="O2140">
        <v>-0.9985946</v>
      </c>
      <c r="P2140">
        <v>2.771918E-2</v>
      </c>
      <c r="Q2140">
        <v>0.17927969999999999</v>
      </c>
      <c r="R2140">
        <v>-0.9834079</v>
      </c>
      <c r="S2140">
        <v>0.82043459999999901</v>
      </c>
      <c r="T2140">
        <v>2.4263139999999999E-2</v>
      </c>
      <c r="U2140">
        <v>-3.0284879999999998</v>
      </c>
      <c r="V2140">
        <v>-7.8700530000000005E-2</v>
      </c>
      <c r="W2140">
        <v>0.19083539999999999</v>
      </c>
      <c r="X2140">
        <v>0.9784621</v>
      </c>
      <c r="Y2140">
        <v>-0.31093189999999998</v>
      </c>
      <c r="Z2140">
        <v>-1.9628679999999999E-2</v>
      </c>
      <c r="AA2140">
        <v>0.95022949999999995</v>
      </c>
      <c r="AB2140">
        <v>27</v>
      </c>
      <c r="AC2140">
        <v>22.930299999999999</v>
      </c>
      <c r="AD2140">
        <v>0.67759499999999995</v>
      </c>
      <c r="AE2140">
        <v>-84.3445999999999</v>
      </c>
      <c r="AF2140">
        <v>-27.254916676928801</v>
      </c>
      <c r="AG2140">
        <v>0.67759499999999995</v>
      </c>
      <c r="AH2140">
        <v>83.042528483830694</v>
      </c>
      <c r="AI2140">
        <v>89.555809834741098</v>
      </c>
      <c r="AJ2140">
        <v>108.170059438305</v>
      </c>
      <c r="AK2140">
        <v>87.403381828383502</v>
      </c>
      <c r="AL2140">
        <v>78.998458831289597</v>
      </c>
      <c r="AM2140">
        <v>94.598565192680496</v>
      </c>
      <c r="AN2140">
        <v>1.0000000022259199</v>
      </c>
    </row>
    <row r="2141" spans="1:40" x14ac:dyDescent="0.25">
      <c r="A2141" t="str">
        <f>"20190303170804814"</f>
        <v>20190303170804814</v>
      </c>
      <c r="B2141" t="str">
        <f>"1551604084804743"</f>
        <v>1551604084804743</v>
      </c>
      <c r="C2141" t="s">
        <v>40</v>
      </c>
      <c r="D2141">
        <v>4.5879500000000002</v>
      </c>
      <c r="E2141">
        <v>0.40705809999999998</v>
      </c>
      <c r="F2141" t="s">
        <v>77</v>
      </c>
      <c r="G2141">
        <v>-473.87380000000002</v>
      </c>
      <c r="H2141">
        <v>1.787974</v>
      </c>
      <c r="I2141">
        <v>170.69099999999901</v>
      </c>
      <c r="J2141">
        <v>-496.46859999999998</v>
      </c>
      <c r="K2141">
        <v>1.1217649999999999</v>
      </c>
      <c r="L2141">
        <v>249.971</v>
      </c>
      <c r="M2141">
        <v>-5.0638540000000003E-2</v>
      </c>
      <c r="N2141">
        <v>-1.2057409999999999E-2</v>
      </c>
      <c r="O2141">
        <v>-0.99864450000000005</v>
      </c>
      <c r="P2141">
        <v>3.5351210000000001E-2</v>
      </c>
      <c r="Q2141">
        <v>0.17874760000000001</v>
      </c>
      <c r="R2141">
        <v>-0.98325969999999996</v>
      </c>
      <c r="S2141">
        <v>0.85769649999999997</v>
      </c>
      <c r="T2141">
        <v>2.5312069999999999E-2</v>
      </c>
      <c r="U2141">
        <v>-3.02182</v>
      </c>
      <c r="V2141">
        <v>-8.5399489999999995E-2</v>
      </c>
      <c r="W2141">
        <v>0.1904197</v>
      </c>
      <c r="X2141">
        <v>0.97798119999999999</v>
      </c>
      <c r="Y2141">
        <v>-0.32135340000000001</v>
      </c>
      <c r="Z2141">
        <v>-2.012193E-2</v>
      </c>
      <c r="AA2141">
        <v>0.94674550000000002</v>
      </c>
      <c r="AB2141">
        <v>27</v>
      </c>
      <c r="AC2141">
        <v>22.5947999999999</v>
      </c>
      <c r="AD2141">
        <v>0.66620900000000005</v>
      </c>
      <c r="AE2141">
        <v>-79.28</v>
      </c>
      <c r="AF2141">
        <v>-26.578986189285601</v>
      </c>
      <c r="AG2141">
        <v>0.66620900000000005</v>
      </c>
      <c r="AH2141">
        <v>78.028926035662494</v>
      </c>
      <c r="AI2141">
        <v>89.536947371184894</v>
      </c>
      <c r="AJ2141">
        <v>108.810378465711</v>
      </c>
      <c r="AK2141">
        <v>82.434214010693495</v>
      </c>
      <c r="AL2141">
        <v>79.022721374598802</v>
      </c>
      <c r="AM2141">
        <v>94.990535821212205</v>
      </c>
      <c r="AN2141">
        <v>0.99999998129689405</v>
      </c>
    </row>
    <row r="2142" spans="1:40" x14ac:dyDescent="0.25">
      <c r="A2142" t="str">
        <f>"20190303170804836"</f>
        <v>20190303170804836</v>
      </c>
      <c r="B2142" t="str">
        <f>"1551604084825238"</f>
        <v>1551604084825238</v>
      </c>
      <c r="C2142" t="s">
        <v>40</v>
      </c>
      <c r="D2142">
        <v>4.6021739999999998</v>
      </c>
      <c r="E2142">
        <v>0.4070551</v>
      </c>
      <c r="F2142" t="s">
        <v>77</v>
      </c>
      <c r="G2142">
        <v>-473.52499999999998</v>
      </c>
      <c r="H2142">
        <v>1.757846</v>
      </c>
      <c r="I2142">
        <v>172.077</v>
      </c>
      <c r="J2142">
        <v>-496.48110000000003</v>
      </c>
      <c r="K2142">
        <v>1.121974</v>
      </c>
      <c r="L2142">
        <v>249.69980000000001</v>
      </c>
      <c r="M2142">
        <v>-4.9439459999999998E-2</v>
      </c>
      <c r="N2142">
        <v>-1.223163E-2</v>
      </c>
      <c r="O2142">
        <v>-0.99870230000000004</v>
      </c>
      <c r="P2142">
        <v>4.2135699999999998E-2</v>
      </c>
      <c r="Q2142">
        <v>0.18018200000000001</v>
      </c>
      <c r="R2142">
        <v>-0.98273049999999995</v>
      </c>
      <c r="S2142">
        <v>0.88797000000000004</v>
      </c>
      <c r="T2142">
        <v>2.4617790000000001E-2</v>
      </c>
      <c r="U2142">
        <v>-3.0146790000000001</v>
      </c>
      <c r="V2142">
        <v>-9.1054220000000005E-2</v>
      </c>
      <c r="W2142">
        <v>0.19196849999999999</v>
      </c>
      <c r="X2142">
        <v>0.97716800000000004</v>
      </c>
      <c r="Y2142">
        <v>-0.32956429999999998</v>
      </c>
      <c r="Z2142">
        <v>-2.0076E-2</v>
      </c>
      <c r="AA2142">
        <v>0.94391970000000003</v>
      </c>
      <c r="AB2142">
        <v>27</v>
      </c>
      <c r="AC2142">
        <v>22.956099999999999</v>
      </c>
      <c r="AD2142">
        <v>0.63587199999999999</v>
      </c>
      <c r="AE2142">
        <v>-77.622799999999998</v>
      </c>
      <c r="AF2142">
        <v>-26.764287830369899</v>
      </c>
      <c r="AG2142">
        <v>0.63587199999999999</v>
      </c>
      <c r="AH2142">
        <v>76.388126776540901</v>
      </c>
      <c r="AI2142">
        <v>89.549894912587703</v>
      </c>
      <c r="AJ2142">
        <v>109.309050104051</v>
      </c>
      <c r="AK2142">
        <v>80.943667749220296</v>
      </c>
      <c r="AL2142">
        <v>78.932314480223098</v>
      </c>
      <c r="AM2142">
        <v>95.3235484300683</v>
      </c>
      <c r="AN2142">
        <v>1.0000000380980201</v>
      </c>
    </row>
    <row r="2143" spans="1:40" x14ac:dyDescent="0.25">
      <c r="A2143" t="str">
        <f>"20190303170804858"</f>
        <v>20190303170804858</v>
      </c>
      <c r="B2143" t="str">
        <f>"1551604084854519"</f>
        <v>1551604084854519</v>
      </c>
      <c r="C2143" t="s">
        <v>40</v>
      </c>
      <c r="D2143">
        <v>4.6034249999999997</v>
      </c>
      <c r="E2143">
        <v>0.40746179999999999</v>
      </c>
      <c r="F2143" t="s">
        <v>77</v>
      </c>
      <c r="G2143">
        <v>-473.52499999999998</v>
      </c>
      <c r="H2143">
        <v>1.827766</v>
      </c>
      <c r="I2143">
        <v>173.62029999999999</v>
      </c>
      <c r="J2143">
        <v>-496.4923</v>
      </c>
      <c r="K2143">
        <v>1.122166</v>
      </c>
      <c r="L2143">
        <v>249.44309999999999</v>
      </c>
      <c r="M2143">
        <v>-4.8116859999999997E-2</v>
      </c>
      <c r="N2143">
        <v>-1.239941E-2</v>
      </c>
      <c r="O2143">
        <v>-0.99876489999999996</v>
      </c>
      <c r="P2143">
        <v>4.8776529999999998E-2</v>
      </c>
      <c r="Q2143">
        <v>0.18312929999999999</v>
      </c>
      <c r="R2143">
        <v>-0.98187849999999999</v>
      </c>
      <c r="S2143">
        <v>0.90783689999999995</v>
      </c>
      <c r="T2143">
        <v>2.7911780000000001E-2</v>
      </c>
      <c r="U2143">
        <v>-3.0086979999999999</v>
      </c>
      <c r="V2143">
        <v>-9.6425170000000004E-2</v>
      </c>
      <c r="W2143">
        <v>0.19502149999999999</v>
      </c>
      <c r="X2143">
        <v>0.97604760000000002</v>
      </c>
      <c r="Y2143">
        <v>-0.33453539999999998</v>
      </c>
      <c r="Z2143">
        <v>-2.128393E-2</v>
      </c>
      <c r="AA2143">
        <v>0.94214279999999995</v>
      </c>
      <c r="AB2143">
        <v>27</v>
      </c>
      <c r="AC2143">
        <v>22.967300000000002</v>
      </c>
      <c r="AD2143">
        <v>0.7056</v>
      </c>
      <c r="AE2143">
        <v>-75.822800000000001</v>
      </c>
      <c r="AF2143">
        <v>-26.587219233647499</v>
      </c>
      <c r="AG2143">
        <v>0.7056</v>
      </c>
      <c r="AH2143">
        <v>74.623843497207602</v>
      </c>
      <c r="AI2143">
        <v>89.489680511729105</v>
      </c>
      <c r="AJ2143">
        <v>109.610127524844</v>
      </c>
      <c r="AK2143">
        <v>79.221815910983594</v>
      </c>
      <c r="AL2143">
        <v>78.754021097775805</v>
      </c>
      <c r="AM2143">
        <v>95.642026460075797</v>
      </c>
      <c r="AN2143">
        <v>1.00000005816876</v>
      </c>
    </row>
    <row r="2144" spans="1:40" x14ac:dyDescent="0.25">
      <c r="A2144" t="str">
        <f>"20190303170804879"</f>
        <v>20190303170804879</v>
      </c>
      <c r="B2144" t="str">
        <f>"1551604084875015"</f>
        <v>1551604084875015</v>
      </c>
      <c r="C2144" t="s">
        <v>40</v>
      </c>
      <c r="D2144">
        <v>4.6076240000000004</v>
      </c>
      <c r="E2144">
        <v>0.40815400000000002</v>
      </c>
      <c r="F2144" t="s">
        <v>77</v>
      </c>
      <c r="G2144">
        <v>-473.52499999999998</v>
      </c>
      <c r="H2144">
        <v>1.995555</v>
      </c>
      <c r="I2144">
        <v>174.8348</v>
      </c>
      <c r="J2144">
        <v>-496.50290000000001</v>
      </c>
      <c r="K2144">
        <v>1.1223179999999999</v>
      </c>
      <c r="L2144">
        <v>249.19149999999999</v>
      </c>
      <c r="M2144">
        <v>-4.6649509999999998E-2</v>
      </c>
      <c r="N2144">
        <v>-1.256383E-2</v>
      </c>
      <c r="O2144">
        <v>-0.99883230000000001</v>
      </c>
      <c r="P2144">
        <v>5.5351320000000002E-2</v>
      </c>
      <c r="Q2144">
        <v>0.1857647</v>
      </c>
      <c r="R2144">
        <v>-0.98103419999999997</v>
      </c>
      <c r="S2144">
        <v>0.92440800000000001</v>
      </c>
      <c r="T2144">
        <v>3.5152910000000002E-2</v>
      </c>
      <c r="U2144">
        <v>-3.0028990000000002</v>
      </c>
      <c r="V2144">
        <v>-0.1015823</v>
      </c>
      <c r="W2144">
        <v>0.19776179999999999</v>
      </c>
      <c r="X2144">
        <v>0.97497250000000002</v>
      </c>
      <c r="Y2144">
        <v>-0.33839570000000002</v>
      </c>
      <c r="Z2144">
        <v>-2.3734999999999999E-2</v>
      </c>
      <c r="AA2144">
        <v>0.94070450000000005</v>
      </c>
      <c r="AB2144">
        <v>27</v>
      </c>
      <c r="AC2144">
        <v>22.977900000000002</v>
      </c>
      <c r="AD2144">
        <v>0.87323700000000004</v>
      </c>
      <c r="AE2144">
        <v>-74.356699999999904</v>
      </c>
      <c r="AF2144">
        <v>-26.418531881171099</v>
      </c>
      <c r="AG2144">
        <v>0.87323700000000004</v>
      </c>
      <c r="AH2144">
        <v>73.194529158833205</v>
      </c>
      <c r="AI2144">
        <v>89.357066721328593</v>
      </c>
      <c r="AJ2144">
        <v>109.846332128355</v>
      </c>
      <c r="AK2144">
        <v>77.821208345784001</v>
      </c>
      <c r="AL2144">
        <v>78.593894782255106</v>
      </c>
      <c r="AM2144">
        <v>95.948180673284995</v>
      </c>
      <c r="AN2144">
        <v>1.00000003448438</v>
      </c>
    </row>
    <row r="2145" spans="1:40" x14ac:dyDescent="0.25">
      <c r="A2145" t="str">
        <f>"20190303170804902"</f>
        <v>20190303170804902</v>
      </c>
      <c r="B2145" t="str">
        <f>"1551604084894534"</f>
        <v>1551604084894534</v>
      </c>
      <c r="C2145" t="s">
        <v>40</v>
      </c>
      <c r="D2145">
        <v>4.595065</v>
      </c>
      <c r="E2145">
        <v>0.40894819999999998</v>
      </c>
      <c r="F2145" t="s">
        <v>77</v>
      </c>
      <c r="G2145">
        <v>-473.52499999999998</v>
      </c>
      <c r="H2145">
        <v>2.1069270000000002</v>
      </c>
      <c r="I2145">
        <v>175.73609999999999</v>
      </c>
      <c r="J2145">
        <v>-496.51400000000001</v>
      </c>
      <c r="K2145">
        <v>1.1224510000000001</v>
      </c>
      <c r="L2145">
        <v>248.91159999999999</v>
      </c>
      <c r="M2145">
        <v>-4.4849269999999997E-2</v>
      </c>
      <c r="N2145">
        <v>-1.273972E-2</v>
      </c>
      <c r="O2145">
        <v>-0.99891280000000005</v>
      </c>
      <c r="P2145">
        <v>6.1771810000000003E-2</v>
      </c>
      <c r="Q2145">
        <v>0.18626190000000001</v>
      </c>
      <c r="R2145">
        <v>-0.98055700000000001</v>
      </c>
      <c r="S2145">
        <v>0.93765259999999995</v>
      </c>
      <c r="T2145">
        <v>4.0178779999999997E-2</v>
      </c>
      <c r="U2145">
        <v>-2.9974820000000002</v>
      </c>
      <c r="V2145">
        <v>-0.10626910000000001</v>
      </c>
      <c r="W2145">
        <v>0.198382</v>
      </c>
      <c r="X2145">
        <v>0.97434670000000001</v>
      </c>
      <c r="Y2145">
        <v>-0.34095730000000002</v>
      </c>
      <c r="Z2145">
        <v>-2.5503359999999999E-2</v>
      </c>
      <c r="AA2145">
        <v>0.93973280000000003</v>
      </c>
      <c r="AB2145">
        <v>27</v>
      </c>
      <c r="AC2145">
        <v>22.989000000000001</v>
      </c>
      <c r="AD2145">
        <v>0.98447600000000002</v>
      </c>
      <c r="AE2145">
        <v>-73.1755</v>
      </c>
      <c r="AF2145">
        <v>-26.2436737556555</v>
      </c>
      <c r="AG2145">
        <v>0.98447600000000002</v>
      </c>
      <c r="AH2145">
        <v>72.058862063999499</v>
      </c>
      <c r="AI2145">
        <v>89.264520509119293</v>
      </c>
      <c r="AJ2145">
        <v>110.011508787022</v>
      </c>
      <c r="AK2145">
        <v>76.695366269067193</v>
      </c>
      <c r="AL2145">
        <v>78.557641457307099</v>
      </c>
      <c r="AM2145">
        <v>96.224476936564699</v>
      </c>
      <c r="AN2145">
        <v>1.0000000156698401</v>
      </c>
    </row>
    <row r="2146" spans="1:40" x14ac:dyDescent="0.25">
      <c r="A2146" t="str">
        <f>"20190303170804924"</f>
        <v>20190303170804924</v>
      </c>
      <c r="B2146" t="str">
        <f>"1551604084915031"</f>
        <v>1551604084915031</v>
      </c>
      <c r="C2146" t="s">
        <v>40</v>
      </c>
      <c r="D2146">
        <v>4.5801759999999998</v>
      </c>
      <c r="E2146">
        <v>0.40991519999999998</v>
      </c>
      <c r="F2146" t="s">
        <v>77</v>
      </c>
      <c r="G2146">
        <v>-473.52499999999998</v>
      </c>
      <c r="H2146">
        <v>2.0690469999999999</v>
      </c>
      <c r="I2146">
        <v>176.53049999999999</v>
      </c>
      <c r="J2146">
        <v>-496.52359999999999</v>
      </c>
      <c r="K2146">
        <v>1.1225350000000001</v>
      </c>
      <c r="L2146">
        <v>248.65430000000001</v>
      </c>
      <c r="M2146">
        <v>-4.3086340000000001E-2</v>
      </c>
      <c r="N2146">
        <v>-1.288856E-2</v>
      </c>
      <c r="O2146">
        <v>-0.99898819999999999</v>
      </c>
      <c r="P2146">
        <v>6.7937269999999994E-2</v>
      </c>
      <c r="Q2146">
        <v>0.1849557</v>
      </c>
      <c r="R2146">
        <v>-0.98039569999999998</v>
      </c>
      <c r="S2146">
        <v>0.95034790000000002</v>
      </c>
      <c r="T2146">
        <v>3.9131640000000002E-2</v>
      </c>
      <c r="U2146">
        <v>-2.9921880000000001</v>
      </c>
      <c r="V2146">
        <v>-0.11072990000000001</v>
      </c>
      <c r="W2146">
        <v>0.19718550000000001</v>
      </c>
      <c r="X2146">
        <v>0.97409279999999998</v>
      </c>
      <c r="Y2146">
        <v>-0.34339750000000002</v>
      </c>
      <c r="Z2146">
        <v>-2.5329620000000001E-2</v>
      </c>
      <c r="AA2146">
        <v>0.93884849999999997</v>
      </c>
      <c r="AB2146">
        <v>27</v>
      </c>
      <c r="AC2146">
        <v>22.9986</v>
      </c>
      <c r="AD2146">
        <v>0.94651200000000002</v>
      </c>
      <c r="AE2146">
        <v>-72.123800000000003</v>
      </c>
      <c r="AF2146">
        <v>-26.080970403228999</v>
      </c>
      <c r="AG2146">
        <v>0.94651200000000002</v>
      </c>
      <c r="AH2146">
        <v>71.0546955616839</v>
      </c>
      <c r="AI2146">
        <v>89.283547816888699</v>
      </c>
      <c r="AJ2146">
        <v>110.155906239158</v>
      </c>
      <c r="AK2146">
        <v>75.695988424115498</v>
      </c>
      <c r="AL2146">
        <v>78.627577305149302</v>
      </c>
      <c r="AM2146">
        <v>96.485253411237807</v>
      </c>
      <c r="AN2146">
        <v>1.00000000758805</v>
      </c>
    </row>
    <row r="2147" spans="1:40" x14ac:dyDescent="0.25">
      <c r="A2147" t="str">
        <f>"20190303170804946"</f>
        <v>20190303170804946</v>
      </c>
      <c r="B2147" t="str">
        <f>"1551604084934550"</f>
        <v>1551604084934550</v>
      </c>
      <c r="C2147" t="s">
        <v>40</v>
      </c>
      <c r="D2147">
        <v>4.5896790000000003</v>
      </c>
      <c r="E2147">
        <v>0.41038780000000002</v>
      </c>
      <c r="F2147" t="s">
        <v>77</v>
      </c>
      <c r="G2147">
        <v>-473.52499999999998</v>
      </c>
      <c r="H2147">
        <v>1.8508960000000001</v>
      </c>
      <c r="I2147">
        <v>177.1035</v>
      </c>
      <c r="J2147">
        <v>-496.5324</v>
      </c>
      <c r="K2147">
        <v>1.1225909999999999</v>
      </c>
      <c r="L2147">
        <v>248.40610000000001</v>
      </c>
      <c r="M2147">
        <v>-4.133125E-2</v>
      </c>
      <c r="N2147">
        <v>-1.3018399999999999E-2</v>
      </c>
      <c r="O2147">
        <v>-0.99906079999999997</v>
      </c>
      <c r="P2147">
        <v>7.3902220000000005E-2</v>
      </c>
      <c r="Q2147">
        <v>0.1843815</v>
      </c>
      <c r="R2147">
        <v>-0.98007270000000002</v>
      </c>
      <c r="S2147">
        <v>0.96032709999999999</v>
      </c>
      <c r="T2147">
        <v>3.0413389999999998E-2</v>
      </c>
      <c r="U2147">
        <v>-2.9876710000000002</v>
      </c>
      <c r="V2147">
        <v>-0.1149809</v>
      </c>
      <c r="W2147">
        <v>0.19670670000000001</v>
      </c>
      <c r="X2147">
        <v>0.97369700000000003</v>
      </c>
      <c r="Y2147">
        <v>-0.3450145</v>
      </c>
      <c r="Z2147">
        <v>-2.2712880000000001E-2</v>
      </c>
      <c r="AA2147">
        <v>0.93832249999999995</v>
      </c>
      <c r="AB2147">
        <v>27</v>
      </c>
      <c r="AC2147">
        <v>23.007400000000001</v>
      </c>
      <c r="AD2147">
        <v>0.72830499999999998</v>
      </c>
      <c r="AE2147">
        <v>-71.302599999999998</v>
      </c>
      <c r="AF2147">
        <v>-25.932561372973801</v>
      </c>
      <c r="AG2147">
        <v>0.72830499999999998</v>
      </c>
      <c r="AH2147">
        <v>70.284015082787505</v>
      </c>
      <c r="AI2147">
        <v>89.443006360138995</v>
      </c>
      <c r="AJ2147">
        <v>110.252453446773</v>
      </c>
      <c r="AK2147">
        <v>74.919095988229699</v>
      </c>
      <c r="AL2147">
        <v>78.655558359940002</v>
      </c>
      <c r="AM2147">
        <v>96.734694844838103</v>
      </c>
      <c r="AN2147">
        <v>0.99999999049934996</v>
      </c>
    </row>
    <row r="2148" spans="1:40" x14ac:dyDescent="0.25">
      <c r="A2148" t="str">
        <f>"20190303170804968"</f>
        <v>20190303170804968</v>
      </c>
      <c r="B2148" t="str">
        <f>"1551604084964807"</f>
        <v>1551604084964807</v>
      </c>
      <c r="C2148" t="s">
        <v>40</v>
      </c>
      <c r="D2148">
        <v>4.5578810000000001</v>
      </c>
      <c r="E2148">
        <v>0.42250120000000002</v>
      </c>
      <c r="F2148" t="s">
        <v>77</v>
      </c>
      <c r="G2148">
        <v>-473.52499999999998</v>
      </c>
      <c r="H2148">
        <v>1.7039770000000001</v>
      </c>
      <c r="I2148">
        <v>177.92679999999999</v>
      </c>
      <c r="J2148">
        <v>-496.54140000000001</v>
      </c>
      <c r="K2148">
        <v>1.122628</v>
      </c>
      <c r="L2148">
        <v>248.1343</v>
      </c>
      <c r="M2148">
        <v>-3.938461E-2</v>
      </c>
      <c r="N2148">
        <v>-1.3146089999999999E-2</v>
      </c>
      <c r="O2148">
        <v>-0.99913779999999996</v>
      </c>
      <c r="P2148">
        <v>7.8348370000000001E-2</v>
      </c>
      <c r="Q2148">
        <v>0.18462000000000001</v>
      </c>
      <c r="R2148">
        <v>-0.9796821</v>
      </c>
      <c r="S2148">
        <v>0.97375489999999998</v>
      </c>
      <c r="T2148">
        <v>2.4606349999999999E-2</v>
      </c>
      <c r="U2148">
        <v>-2.9829409999999998</v>
      </c>
      <c r="V2148">
        <v>-0.1175184</v>
      </c>
      <c r="W2148">
        <v>0.19705030000000001</v>
      </c>
      <c r="X2148">
        <v>0.97332450000000004</v>
      </c>
      <c r="Y2148">
        <v>-0.34744740000000002</v>
      </c>
      <c r="Z2148">
        <v>-2.1007729999999999E-2</v>
      </c>
      <c r="AA2148">
        <v>0.93746410000000002</v>
      </c>
      <c r="AB2148">
        <v>27</v>
      </c>
      <c r="AC2148">
        <v>23.016400000000001</v>
      </c>
      <c r="AD2148">
        <v>0.581349</v>
      </c>
      <c r="AE2148">
        <v>-70.207499999999996</v>
      </c>
      <c r="AF2148">
        <v>-25.7622776267064</v>
      </c>
      <c r="AG2148">
        <v>0.581349</v>
      </c>
      <c r="AH2148">
        <v>69.242161333554606</v>
      </c>
      <c r="AI2148">
        <v>89.549155271725496</v>
      </c>
      <c r="AJ2148">
        <v>110.408249236047</v>
      </c>
      <c r="AK2148">
        <v>73.881728602661298</v>
      </c>
      <c r="AL2148">
        <v>78.635478504245697</v>
      </c>
      <c r="AM2148">
        <v>96.884520322958295</v>
      </c>
      <c r="AN2148">
        <v>0.99999998868444995</v>
      </c>
    </row>
    <row r="2149" spans="1:40" x14ac:dyDescent="0.25">
      <c r="A2149" t="str">
        <f>"20190303170804992"</f>
        <v>20190303170804992</v>
      </c>
      <c r="B2149" t="str">
        <f>"1551604084985304"</f>
        <v>1551604084985304</v>
      </c>
      <c r="C2149" t="s">
        <v>40</v>
      </c>
      <c r="D2149">
        <v>4.5997260000000004</v>
      </c>
      <c r="E2149">
        <v>0.42344300000000001</v>
      </c>
      <c r="F2149" t="s">
        <v>77</v>
      </c>
      <c r="G2149">
        <v>-473.76010000000002</v>
      </c>
      <c r="H2149">
        <v>0.92588309999999996</v>
      </c>
      <c r="I2149">
        <v>171.7296</v>
      </c>
      <c r="J2149">
        <v>-496.55</v>
      </c>
      <c r="K2149">
        <v>1.122636</v>
      </c>
      <c r="L2149">
        <v>247.8605</v>
      </c>
      <c r="M2149">
        <v>-3.7421759999999998E-2</v>
      </c>
      <c r="N2149">
        <v>-1.325876E-2</v>
      </c>
      <c r="O2149">
        <v>-0.99921170000000004</v>
      </c>
      <c r="P2149">
        <v>8.1329789999999999E-2</v>
      </c>
      <c r="Q2149">
        <v>0.18507960000000001</v>
      </c>
      <c r="R2149">
        <v>-0.97935220000000001</v>
      </c>
      <c r="S2149">
        <v>0.89221189999999995</v>
      </c>
      <c r="T2149">
        <v>-7.7053310000000002E-3</v>
      </c>
      <c r="U2149">
        <v>-2.9923250000000001</v>
      </c>
      <c r="V2149">
        <v>-0.1185717</v>
      </c>
      <c r="W2149">
        <v>0.19761219999999999</v>
      </c>
      <c r="X2149">
        <v>0.97308280000000003</v>
      </c>
      <c r="Y2149">
        <v>-0.32135069999999999</v>
      </c>
      <c r="Z2149">
        <v>-1.0880829999999999E-2</v>
      </c>
      <c r="AA2149">
        <v>0.94689769999999895</v>
      </c>
      <c r="AB2149">
        <v>26</v>
      </c>
      <c r="AC2149">
        <v>22.7898999999999</v>
      </c>
      <c r="AD2149">
        <v>-0.19675290000000001</v>
      </c>
      <c r="AE2149">
        <v>-76.130899999999997</v>
      </c>
      <c r="AF2149">
        <v>-25.622979613549099</v>
      </c>
      <c r="AG2149">
        <v>-0.19675290000000001</v>
      </c>
      <c r="AH2149">
        <v>75.224191387134297</v>
      </c>
      <c r="AI2149">
        <v>90.141856349868902</v>
      </c>
      <c r="AJ2149">
        <v>108.809948461508</v>
      </c>
      <c r="AK2149">
        <v>79.468577222875993</v>
      </c>
      <c r="AL2149">
        <v>78.602638193132293</v>
      </c>
      <c r="AM2149">
        <v>96.947333491507806</v>
      </c>
      <c r="AN2149">
        <v>0.999999982642784</v>
      </c>
    </row>
    <row r="2150" spans="1:40" x14ac:dyDescent="0.25">
      <c r="A2150" t="str">
        <f>"20190303170805015"</f>
        <v>20190303170805015</v>
      </c>
      <c r="B2150" t="str">
        <f>"1551604085004823"</f>
        <v>1551604085004823</v>
      </c>
      <c r="C2150" t="s">
        <v>40</v>
      </c>
      <c r="D2150">
        <v>4.6094670000000004</v>
      </c>
      <c r="E2150">
        <v>0.4239618</v>
      </c>
      <c r="F2150" t="s">
        <v>77</v>
      </c>
      <c r="G2150">
        <v>-473.82760000000002</v>
      </c>
      <c r="H2150">
        <v>0.86078399999999999</v>
      </c>
      <c r="I2150">
        <v>171.7295</v>
      </c>
      <c r="J2150">
        <v>-496.55790000000002</v>
      </c>
      <c r="K2150">
        <v>1.122638</v>
      </c>
      <c r="L2150">
        <v>247.59229999999999</v>
      </c>
      <c r="M2150">
        <v>-3.5512769999999999E-2</v>
      </c>
      <c r="N2150">
        <v>-1.335589E-2</v>
      </c>
      <c r="O2150">
        <v>-0.99927999999999995</v>
      </c>
      <c r="P2150">
        <v>8.3957340000000005E-2</v>
      </c>
      <c r="Q2150">
        <v>0.18465909999999999</v>
      </c>
      <c r="R2150">
        <v>-0.97921000000000002</v>
      </c>
      <c r="S2150">
        <v>0.89273069999999899</v>
      </c>
      <c r="T2150">
        <v>-1.028776E-2</v>
      </c>
      <c r="U2150">
        <v>-2.9910739999999998</v>
      </c>
      <c r="V2150">
        <v>-0.1193234</v>
      </c>
      <c r="W2150">
        <v>0.19728599999999999</v>
      </c>
      <c r="X2150">
        <v>0.97305719999999996</v>
      </c>
      <c r="Y2150">
        <v>-0.31980069999999999</v>
      </c>
      <c r="Z2150">
        <v>-1.015105E-2</v>
      </c>
      <c r="AA2150">
        <v>0.94743040000000001</v>
      </c>
      <c r="AB2150">
        <v>26</v>
      </c>
      <c r="AC2150">
        <v>22.7303</v>
      </c>
      <c r="AD2150">
        <v>-0.26185399999999998</v>
      </c>
      <c r="AE2150">
        <v>-75.862799999999993</v>
      </c>
      <c r="AF2150">
        <v>-25.410020297727201</v>
      </c>
      <c r="AG2150">
        <v>-0.26185399999999998</v>
      </c>
      <c r="AH2150">
        <v>75.006831006337606</v>
      </c>
      <c r="AI2150">
        <v>90.189447045961799</v>
      </c>
      <c r="AJ2150">
        <v>108.71480830007</v>
      </c>
      <c r="AK2150">
        <v>79.194459381079895</v>
      </c>
      <c r="AL2150">
        <v>78.621704499400295</v>
      </c>
      <c r="AM2150">
        <v>96.991124592377105</v>
      </c>
      <c r="AN2150">
        <v>1.00000007702769</v>
      </c>
    </row>
    <row r="2151" spans="1:40" x14ac:dyDescent="0.25">
      <c r="A2151" t="str">
        <f>"20190303170805037"</f>
        <v>20190303170805037</v>
      </c>
      <c r="B2151" t="str">
        <f>"1551604085024344"</f>
        <v>1551604085024344</v>
      </c>
      <c r="C2151" t="s">
        <v>40</v>
      </c>
      <c r="D2151">
        <v>4.5948960000000003</v>
      </c>
      <c r="E2151">
        <v>0.42428349999999998</v>
      </c>
      <c r="F2151" t="s">
        <v>77</v>
      </c>
      <c r="G2151">
        <v>-473.83089999999999</v>
      </c>
      <c r="H2151">
        <v>0.80191619999999997</v>
      </c>
      <c r="I2151">
        <v>171.7295</v>
      </c>
      <c r="J2151">
        <v>-496.56490000000002</v>
      </c>
      <c r="K2151">
        <v>1.122633</v>
      </c>
      <c r="L2151">
        <v>247.3381</v>
      </c>
      <c r="M2151">
        <v>-3.372174E-2</v>
      </c>
      <c r="N2151">
        <v>-1.3436729999999999E-2</v>
      </c>
      <c r="O2151">
        <v>-0.99934120000000004</v>
      </c>
      <c r="P2151">
        <v>8.6185990000000004E-2</v>
      </c>
      <c r="Q2151">
        <v>0.1845376</v>
      </c>
      <c r="R2151">
        <v>-0.97903980000000002</v>
      </c>
      <c r="S2151">
        <v>0.89553830000000001</v>
      </c>
      <c r="T2151">
        <v>-1.263773E-2</v>
      </c>
      <c r="U2151">
        <v>-2.9893040000000002</v>
      </c>
      <c r="V2151">
        <v>-0.1197907</v>
      </c>
      <c r="W2151">
        <v>0.1972448</v>
      </c>
      <c r="X2151">
        <v>0.97300799999999998</v>
      </c>
      <c r="Y2151">
        <v>-0.319073</v>
      </c>
      <c r="Z2151">
        <v>-9.4784269999999993E-3</v>
      </c>
      <c r="AA2151">
        <v>0.94768269999999999</v>
      </c>
      <c r="AB2151">
        <v>26</v>
      </c>
      <c r="AC2151">
        <v>22.734000000000002</v>
      </c>
      <c r="AD2151">
        <v>-0.32071679999999902</v>
      </c>
      <c r="AE2151">
        <v>-75.608599999999996</v>
      </c>
      <c r="AF2151">
        <v>-25.270534018482898</v>
      </c>
      <c r="AG2151">
        <v>-0.32071679999999902</v>
      </c>
      <c r="AH2151">
        <v>74.797657362652998</v>
      </c>
      <c r="AI2151">
        <v>90.232746579340798</v>
      </c>
      <c r="AJ2151">
        <v>108.667639747866</v>
      </c>
      <c r="AK2151">
        <v>78.951835290802094</v>
      </c>
      <c r="AL2151">
        <v>78.624110884050793</v>
      </c>
      <c r="AM2151">
        <v>97.018582385043203</v>
      </c>
      <c r="AN2151">
        <v>0.99999994549876303</v>
      </c>
    </row>
    <row r="2152" spans="1:40" x14ac:dyDescent="0.25">
      <c r="A2152" t="str">
        <f>"20190303170805058"</f>
        <v>20190303170805058</v>
      </c>
      <c r="B2152" t="str">
        <f>"1551604085054599"</f>
        <v>1551604085054599</v>
      </c>
      <c r="C2152" t="s">
        <v>40</v>
      </c>
      <c r="D2152">
        <v>4.5958860000000001</v>
      </c>
      <c r="E2152">
        <v>0.4248324</v>
      </c>
      <c r="F2152" t="s">
        <v>77</v>
      </c>
      <c r="G2152">
        <v>-473.8331</v>
      </c>
      <c r="H2152">
        <v>0.77303599999999995</v>
      </c>
      <c r="I2152">
        <v>171.7295</v>
      </c>
      <c r="J2152">
        <v>-496.57150000000001</v>
      </c>
      <c r="K2152">
        <v>1.12263</v>
      </c>
      <c r="L2152">
        <v>247.0821</v>
      </c>
      <c r="M2152">
        <v>-3.1936050000000001E-2</v>
      </c>
      <c r="N2152">
        <v>-1.3507999999999999E-2</v>
      </c>
      <c r="O2152">
        <v>-0.99939880000000003</v>
      </c>
      <c r="P2152">
        <v>8.8379150000000004E-2</v>
      </c>
      <c r="Q2152">
        <v>0.1852722</v>
      </c>
      <c r="R2152">
        <v>-0.97870509999999999</v>
      </c>
      <c r="S2152">
        <v>0.89828490000000005</v>
      </c>
      <c r="T2152">
        <v>-1.381493E-2</v>
      </c>
      <c r="U2152">
        <v>-2.9878079999999998</v>
      </c>
      <c r="V2152">
        <v>-0.1202255</v>
      </c>
      <c r="W2152">
        <v>0.19804830000000001</v>
      </c>
      <c r="X2152">
        <v>0.97279119999999997</v>
      </c>
      <c r="Y2152">
        <v>-0.31830890000000001</v>
      </c>
      <c r="Z2152">
        <v>-9.169277E-3</v>
      </c>
      <c r="AA2152">
        <v>0.94794270000000003</v>
      </c>
      <c r="AB2152">
        <v>26</v>
      </c>
      <c r="AC2152">
        <v>22.738399999999999</v>
      </c>
      <c r="AD2152">
        <v>-0.34959400000000002</v>
      </c>
      <c r="AE2152">
        <v>-75.352599999999995</v>
      </c>
      <c r="AF2152">
        <v>-25.132987101961099</v>
      </c>
      <c r="AG2152">
        <v>-0.34959400000000002</v>
      </c>
      <c r="AH2152">
        <v>74.586444451763597</v>
      </c>
      <c r="AI2152">
        <v>90.254489539496504</v>
      </c>
      <c r="AJ2152">
        <v>108.62199204331</v>
      </c>
      <c r="AK2152">
        <v>78.707858264522699</v>
      </c>
      <c r="AL2152">
        <v>78.577148026370196</v>
      </c>
      <c r="AM2152">
        <v>97.045356064971699</v>
      </c>
      <c r="AN2152">
        <v>1.0000000093902801</v>
      </c>
    </row>
    <row r="2153" spans="1:40" x14ac:dyDescent="0.25">
      <c r="A2153" t="str">
        <f>"20190303170805081"</f>
        <v>20190303170805081</v>
      </c>
      <c r="B2153" t="str">
        <f>"1551604085075329"</f>
        <v>1551604085075329</v>
      </c>
      <c r="C2153" t="s">
        <v>40</v>
      </c>
      <c r="D2153">
        <v>4.6115870000000001</v>
      </c>
      <c r="E2153">
        <v>0.42517549999999998</v>
      </c>
      <c r="F2153" t="s">
        <v>77</v>
      </c>
      <c r="G2153">
        <v>-473.86110000000002</v>
      </c>
      <c r="H2153">
        <v>0.84585010000000005</v>
      </c>
      <c r="I2153">
        <v>171.7295</v>
      </c>
      <c r="J2153">
        <v>-496.57780000000002</v>
      </c>
      <c r="K2153">
        <v>1.1226339999999999</v>
      </c>
      <c r="L2153">
        <v>246.8186</v>
      </c>
      <c r="M2153">
        <v>-3.0113069999999999E-2</v>
      </c>
      <c r="N2153">
        <v>-1.357179E-2</v>
      </c>
      <c r="O2153">
        <v>-0.99945439999999997</v>
      </c>
      <c r="P2153">
        <v>8.9707079999999995E-2</v>
      </c>
      <c r="Q2153">
        <v>0.18638009999999999</v>
      </c>
      <c r="R2153">
        <v>-0.97837410000000002</v>
      </c>
      <c r="S2153">
        <v>0.89996339999999997</v>
      </c>
      <c r="T2153">
        <v>-1.0968210000000001E-2</v>
      </c>
      <c r="U2153">
        <v>-2.9860690000000001</v>
      </c>
      <c r="V2153">
        <v>-0.1197619</v>
      </c>
      <c r="W2153">
        <v>0.19922090000000001</v>
      </c>
      <c r="X2153">
        <v>0.9726089</v>
      </c>
      <c r="Y2153">
        <v>-0.31721939999999998</v>
      </c>
      <c r="Z2153">
        <v>-1.013438E-2</v>
      </c>
      <c r="AA2153">
        <v>0.94829799999999997</v>
      </c>
      <c r="AB2153">
        <v>26</v>
      </c>
      <c r="AC2153">
        <v>22.716699999999999</v>
      </c>
      <c r="AD2153">
        <v>-0.27678389999999897</v>
      </c>
      <c r="AE2153">
        <v>-75.089100000000002</v>
      </c>
      <c r="AF2153">
        <v>-24.967456757216901</v>
      </c>
      <c r="AG2153">
        <v>-0.27678389999999897</v>
      </c>
      <c r="AH2153">
        <v>74.369982418867906</v>
      </c>
      <c r="AI2153">
        <v>90.202149860556901</v>
      </c>
      <c r="AJ2153">
        <v>108.55790855124199</v>
      </c>
      <c r="AK2153">
        <v>78.449632193105401</v>
      </c>
      <c r="AL2153">
        <v>78.508596629198195</v>
      </c>
      <c r="AM2153">
        <v>97.019762401633997</v>
      </c>
      <c r="AN2153">
        <v>0.99999997602381396</v>
      </c>
    </row>
    <row r="2154" spans="1:40" x14ac:dyDescent="0.25">
      <c r="A2154" t="str">
        <f>"20190303170805103"</f>
        <v>20190303170805103</v>
      </c>
      <c r="B2154" t="str">
        <f>"1551604085094855"</f>
        <v>1551604085094855</v>
      </c>
      <c r="C2154" t="s">
        <v>40</v>
      </c>
      <c r="D2154">
        <v>4.6029939999999998</v>
      </c>
      <c r="E2154">
        <v>0.42542089999999999</v>
      </c>
      <c r="F2154" t="s">
        <v>77</v>
      </c>
      <c r="G2154">
        <v>-473.87380000000002</v>
      </c>
      <c r="H2154">
        <v>0.94443880000000002</v>
      </c>
      <c r="I2154">
        <v>171.60980000000001</v>
      </c>
      <c r="J2154">
        <v>-496.58370000000002</v>
      </c>
      <c r="K2154">
        <v>1.12263</v>
      </c>
      <c r="L2154">
        <v>246.54939999999999</v>
      </c>
      <c r="M2154">
        <v>-2.8259570000000001E-2</v>
      </c>
      <c r="N2154">
        <v>-1.362819E-2</v>
      </c>
      <c r="O2154">
        <v>-0.9995077</v>
      </c>
      <c r="P2154">
        <v>9.2513239999999997E-2</v>
      </c>
      <c r="Q2154">
        <v>0.18694379999999999</v>
      </c>
      <c r="R2154">
        <v>-0.97800480000000001</v>
      </c>
      <c r="S2154">
        <v>0.90112300000000001</v>
      </c>
      <c r="T2154">
        <v>-7.0725680000000004E-3</v>
      </c>
      <c r="U2154">
        <v>-2.9850460000000001</v>
      </c>
      <c r="V2154">
        <v>-0.1207439</v>
      </c>
      <c r="W2154">
        <v>0.19983670000000001</v>
      </c>
      <c r="X2154">
        <v>0.97236109999999998</v>
      </c>
      <c r="Y2154">
        <v>-0.31588630000000001</v>
      </c>
      <c r="Z2154">
        <v>-1.142839E-2</v>
      </c>
      <c r="AA2154">
        <v>0.94872820000000002</v>
      </c>
      <c r="AB2154">
        <v>26</v>
      </c>
      <c r="AC2154">
        <v>22.709900000000001</v>
      </c>
      <c r="AD2154">
        <v>-0.17819119999999899</v>
      </c>
      <c r="AE2154">
        <v>-74.939599999999899</v>
      </c>
      <c r="AF2154">
        <v>-24.818657473806699</v>
      </c>
      <c r="AG2154">
        <v>-0.17819119999999899</v>
      </c>
      <c r="AH2154">
        <v>74.267448748786293</v>
      </c>
      <c r="AI2154">
        <v>90.130382867965594</v>
      </c>
      <c r="AJ2154">
        <v>108.47857035958801</v>
      </c>
      <c r="AK2154">
        <v>78.304862266397606</v>
      </c>
      <c r="AL2154">
        <v>78.472589585415406</v>
      </c>
      <c r="AM2154">
        <v>97.078525562501099</v>
      </c>
      <c r="AN2154">
        <v>0.99999995242365303</v>
      </c>
    </row>
    <row r="2155" spans="1:40" x14ac:dyDescent="0.25">
      <c r="A2155" t="str">
        <f>"20190303170805126"</f>
        <v>20190303170805126</v>
      </c>
      <c r="B2155" t="str">
        <f>"1551604085114369"</f>
        <v>1551604085114369</v>
      </c>
      <c r="C2155" t="s">
        <v>40</v>
      </c>
      <c r="D2155">
        <v>4.6300470000000002</v>
      </c>
      <c r="E2155">
        <v>0.42547740000000001</v>
      </c>
      <c r="F2155" t="s">
        <v>77</v>
      </c>
      <c r="G2155">
        <v>-473.86529999999999</v>
      </c>
      <c r="H2155">
        <v>0.94785399999999997</v>
      </c>
      <c r="I2155">
        <v>171.7296</v>
      </c>
      <c r="J2155">
        <v>-496.58890000000002</v>
      </c>
      <c r="K2155">
        <v>1.12262</v>
      </c>
      <c r="L2155">
        <v>246.2962</v>
      </c>
      <c r="M2155">
        <v>-2.6520330000000002E-2</v>
      </c>
      <c r="N2155">
        <v>-1.3673930000000001E-2</v>
      </c>
      <c r="O2155">
        <v>-0.99955479999999997</v>
      </c>
      <c r="P2155">
        <v>9.5638570000000006E-2</v>
      </c>
      <c r="Q2155">
        <v>0.186559</v>
      </c>
      <c r="R2155">
        <v>-0.97777769999999997</v>
      </c>
      <c r="S2155">
        <v>0.90579219999999905</v>
      </c>
      <c r="T2155">
        <v>-6.9683790000000002E-3</v>
      </c>
      <c r="U2155">
        <v>-2.9830930000000002</v>
      </c>
      <c r="V2155">
        <v>-0.1221597</v>
      </c>
      <c r="W2155">
        <v>0.19949330000000001</v>
      </c>
      <c r="X2155">
        <v>0.97225479999999997</v>
      </c>
      <c r="Y2155">
        <v>-0.31576710000000002</v>
      </c>
      <c r="Z2155">
        <v>-1.150323E-2</v>
      </c>
      <c r="AA2155">
        <v>0.94876700000000003</v>
      </c>
      <c r="AB2155">
        <v>26</v>
      </c>
      <c r="AC2155">
        <v>22.723600000000001</v>
      </c>
      <c r="AD2155">
        <v>-0.174766</v>
      </c>
      <c r="AE2155">
        <v>-74.566599999999994</v>
      </c>
      <c r="AF2155">
        <v>-24.6931975506137</v>
      </c>
      <c r="AG2155">
        <v>-0.174766</v>
      </c>
      <c r="AH2155">
        <v>73.937302773345806</v>
      </c>
      <c r="AI2155">
        <v>90.128455546007103</v>
      </c>
      <c r="AJ2155">
        <v>108.468021600749</v>
      </c>
      <c r="AK2155">
        <v>77.951967838059105</v>
      </c>
      <c r="AL2155">
        <v>78.492669629300707</v>
      </c>
      <c r="AM2155">
        <v>97.1614439420987</v>
      </c>
      <c r="AN2155">
        <v>0.99999998258600897</v>
      </c>
    </row>
    <row r="2156" spans="1:40" x14ac:dyDescent="0.25">
      <c r="A2156" t="str">
        <f>"20190303170805146"</f>
        <v>20190303170805146</v>
      </c>
      <c r="B2156" t="str">
        <f>"1551604085134865"</f>
        <v>1551604085134865</v>
      </c>
      <c r="C2156" t="s">
        <v>40</v>
      </c>
      <c r="D2156">
        <v>4.6012659999999999</v>
      </c>
      <c r="E2156">
        <v>0.40207609999999999</v>
      </c>
      <c r="F2156" t="s">
        <v>77</v>
      </c>
      <c r="G2156">
        <v>-473.74020000000002</v>
      </c>
      <c r="H2156">
        <v>0.87156520000000004</v>
      </c>
      <c r="I2156">
        <v>171.7296</v>
      </c>
      <c r="J2156">
        <v>-496.59339999999997</v>
      </c>
      <c r="K2156">
        <v>1.122622</v>
      </c>
      <c r="L2156">
        <v>246.05240000000001</v>
      </c>
      <c r="M2156">
        <v>-2.484598E-2</v>
      </c>
      <c r="N2156">
        <v>-1.371204E-2</v>
      </c>
      <c r="O2156">
        <v>-0.99959739999999997</v>
      </c>
      <c r="P2156">
        <v>9.8787449999999999E-2</v>
      </c>
      <c r="Q2156">
        <v>0.1869285</v>
      </c>
      <c r="R2156">
        <v>-0.97739390000000004</v>
      </c>
      <c r="S2156">
        <v>0.91336059999999997</v>
      </c>
      <c r="T2156">
        <v>-1.003575E-2</v>
      </c>
      <c r="U2156">
        <v>-2.9807589999999999</v>
      </c>
      <c r="V2156">
        <v>-0.12366249999999999</v>
      </c>
      <c r="W2156">
        <v>0.19989370000000001</v>
      </c>
      <c r="X2156">
        <v>0.97198249999999997</v>
      </c>
      <c r="Y2156">
        <v>-0.3165886</v>
      </c>
      <c r="Z2156">
        <v>-1.055825E-2</v>
      </c>
      <c r="AA2156">
        <v>0.94850409999999996</v>
      </c>
      <c r="AB2156">
        <v>26</v>
      </c>
      <c r="AC2156">
        <v>22.853199999999902</v>
      </c>
      <c r="AD2156">
        <v>-0.25105680000000002</v>
      </c>
      <c r="AE2156">
        <v>-74.322800000000001</v>
      </c>
      <c r="AF2156">
        <v>-24.692682417951598</v>
      </c>
      <c r="AG2156">
        <v>-0.25105680000000002</v>
      </c>
      <c r="AH2156">
        <v>73.731219493669599</v>
      </c>
      <c r="AI2156">
        <v>90.184994269669204</v>
      </c>
      <c r="AJ2156">
        <v>108.51576564920499</v>
      </c>
      <c r="AK2156">
        <v>77.756570928342398</v>
      </c>
      <c r="AL2156">
        <v>78.469256361992507</v>
      </c>
      <c r="AM2156">
        <v>97.250621165172802</v>
      </c>
      <c r="AN2156">
        <v>0.99999994275609305</v>
      </c>
    </row>
    <row r="2157" spans="1:40" x14ac:dyDescent="0.25">
      <c r="A2157" t="str">
        <f>"20190303170805161"</f>
        <v>20190303170805161</v>
      </c>
      <c r="B2157" t="str">
        <f>"1551604085144624"</f>
        <v>1551604085144624</v>
      </c>
      <c r="C2157" t="s">
        <v>40</v>
      </c>
      <c r="D2157">
        <v>4.5824800000000003</v>
      </c>
      <c r="E2157">
        <v>0.40207609999999999</v>
      </c>
      <c r="F2157" t="s">
        <v>77</v>
      </c>
      <c r="G2157">
        <v>-472.09440000000001</v>
      </c>
      <c r="H2157">
        <v>1.330225</v>
      </c>
      <c r="I2157">
        <v>180.59039999999999</v>
      </c>
      <c r="J2157">
        <v>-496.59629999999999</v>
      </c>
      <c r="K2157">
        <v>1.122625</v>
      </c>
      <c r="L2157">
        <v>245.88740000000001</v>
      </c>
      <c r="M2157">
        <v>-2.3712879999999999E-2</v>
      </c>
      <c r="N2157">
        <v>-1.373456E-2</v>
      </c>
      <c r="O2157">
        <v>-0.99962450000000003</v>
      </c>
      <c r="P2157">
        <v>0.1000948</v>
      </c>
      <c r="Q2157">
        <v>0.18748890000000001</v>
      </c>
      <c r="R2157">
        <v>-0.97715370000000001</v>
      </c>
      <c r="S2157">
        <v>1.106201</v>
      </c>
      <c r="T2157">
        <v>9.3739029999999994E-3</v>
      </c>
      <c r="U2157">
        <v>-2.9557950000000002</v>
      </c>
      <c r="V2157">
        <v>-0.12385790000000001</v>
      </c>
      <c r="W2157">
        <v>0.20047490000000001</v>
      </c>
      <c r="X2157">
        <v>0.97183799999999998</v>
      </c>
      <c r="Y2157">
        <v>-0.3725424</v>
      </c>
      <c r="Z2157">
        <v>-1.6748989999999998E-2</v>
      </c>
      <c r="AA2157">
        <v>0.92786400000000002</v>
      </c>
      <c r="AB2157">
        <v>26</v>
      </c>
      <c r="AC2157">
        <v>24.5018999999999</v>
      </c>
      <c r="AD2157">
        <v>0.20760000000000001</v>
      </c>
      <c r="AE2157">
        <v>-65.296999999999997</v>
      </c>
      <c r="AF2157">
        <v>-26.043304184008498</v>
      </c>
      <c r="AG2157">
        <v>0.20760000000000001</v>
      </c>
      <c r="AH2157">
        <v>64.696997035525399</v>
      </c>
      <c r="AI2157">
        <v>89.829449137731302</v>
      </c>
      <c r="AJ2157">
        <v>111.92689086579099</v>
      </c>
      <c r="AK2157">
        <v>69.742370306690802</v>
      </c>
      <c r="AL2157">
        <v>78.435269111647401</v>
      </c>
      <c r="AM2157">
        <v>97.263023947005294</v>
      </c>
      <c r="AN2157">
        <v>1.0000000315832001</v>
      </c>
    </row>
    <row r="2158" spans="1:40" x14ac:dyDescent="0.25">
      <c r="A2158" t="str">
        <f>"20190303170805181"</f>
        <v>20190303170805181</v>
      </c>
      <c r="B2158" t="str">
        <f>"1551604085174882"</f>
        <v>1551604085174882</v>
      </c>
      <c r="C2158" t="s">
        <v>40</v>
      </c>
      <c r="D2158">
        <v>4.597931</v>
      </c>
      <c r="E2158">
        <v>0.38589580000000001</v>
      </c>
      <c r="F2158" t="s">
        <v>77</v>
      </c>
      <c r="G2158">
        <v>-472.06319999999999</v>
      </c>
      <c r="H2158">
        <v>1.354833</v>
      </c>
      <c r="I2158">
        <v>180.59039999999999</v>
      </c>
      <c r="J2158">
        <v>-496.60019999999997</v>
      </c>
      <c r="K2158">
        <v>1.122627</v>
      </c>
      <c r="L2158">
        <v>245.6397</v>
      </c>
      <c r="M2158">
        <v>-2.201239E-2</v>
      </c>
      <c r="N2158">
        <v>-1.3764800000000001E-2</v>
      </c>
      <c r="O2158">
        <v>-0.99966279999999996</v>
      </c>
      <c r="P2158">
        <v>0.1015832</v>
      </c>
      <c r="Q2158">
        <v>0.18881600000000001</v>
      </c>
      <c r="R2158">
        <v>-0.97674439999999996</v>
      </c>
      <c r="S2158">
        <v>1.1100159999999999</v>
      </c>
      <c r="T2158">
        <v>1.0506390000000001E-2</v>
      </c>
      <c r="U2158">
        <v>-2.9544069999999998</v>
      </c>
      <c r="V2158">
        <v>-0.12368</v>
      </c>
      <c r="W2158">
        <v>0.2018308</v>
      </c>
      <c r="X2158">
        <v>0.97157990000000005</v>
      </c>
      <c r="Y2158">
        <v>-0.37215579999999998</v>
      </c>
      <c r="Z2158">
        <v>-1.7133550000000001E-2</v>
      </c>
      <c r="AA2158">
        <v>0.92801210000000001</v>
      </c>
      <c r="AB2158">
        <v>26</v>
      </c>
      <c r="AC2158">
        <v>24.5369999999999</v>
      </c>
      <c r="AD2158">
        <v>0.232205999999999</v>
      </c>
      <c r="AE2158">
        <v>-65.049300000000002</v>
      </c>
      <c r="AF2158">
        <v>-25.962790304662601</v>
      </c>
      <c r="AG2158">
        <v>0.232205999999999</v>
      </c>
      <c r="AH2158">
        <v>64.492646725325997</v>
      </c>
      <c r="AI2158">
        <v>89.8086319086853</v>
      </c>
      <c r="AJ2158">
        <v>111.92822559539501</v>
      </c>
      <c r="AK2158">
        <v>69.522815547617299</v>
      </c>
      <c r="AL2158">
        <v>78.355959817946399</v>
      </c>
      <c r="AM2158">
        <v>97.254609211187997</v>
      </c>
      <c r="AN2158">
        <v>0.99999995815632403</v>
      </c>
    </row>
    <row r="2159" spans="1:40" x14ac:dyDescent="0.25">
      <c r="A2159" t="str">
        <f>"20190303170805205"</f>
        <v>20190303170805205</v>
      </c>
      <c r="B2159" t="str">
        <f>"1551604085195376"</f>
        <v>1551604085195376</v>
      </c>
      <c r="C2159" t="s">
        <v>40</v>
      </c>
      <c r="D2159">
        <v>4.6154029999999997</v>
      </c>
      <c r="E2159">
        <v>0.38558940000000003</v>
      </c>
      <c r="F2159" t="s">
        <v>77</v>
      </c>
      <c r="G2159">
        <v>-469.08929999999998</v>
      </c>
      <c r="H2159">
        <v>2.1466560000000001</v>
      </c>
      <c r="I2159">
        <v>180.5907</v>
      </c>
      <c r="J2159">
        <v>-496.60399999999998</v>
      </c>
      <c r="K2159">
        <v>1.122622</v>
      </c>
      <c r="L2159">
        <v>245.37049999999999</v>
      </c>
      <c r="M2159">
        <v>-2.0163569999999999E-2</v>
      </c>
      <c r="N2159">
        <v>-1.379302E-2</v>
      </c>
      <c r="O2159">
        <v>-0.99970159999999997</v>
      </c>
      <c r="P2159">
        <v>0.1029297</v>
      </c>
      <c r="Q2159">
        <v>0.18921879999999999</v>
      </c>
      <c r="R2159">
        <v>-0.97652510000000003</v>
      </c>
      <c r="S2159">
        <v>1.240631</v>
      </c>
      <c r="T2159">
        <v>4.6179650000000003E-2</v>
      </c>
      <c r="U2159">
        <v>-2.9334560000000001</v>
      </c>
      <c r="V2159">
        <v>-0.12321749999999999</v>
      </c>
      <c r="W2159">
        <v>0.20226420000000001</v>
      </c>
      <c r="X2159">
        <v>0.97154859999999998</v>
      </c>
      <c r="Y2159">
        <v>-0.40786080000000002</v>
      </c>
      <c r="Z2159">
        <v>-2.8278919999999999E-2</v>
      </c>
      <c r="AA2159">
        <v>0.91260609999999998</v>
      </c>
      <c r="AB2159">
        <v>26</v>
      </c>
      <c r="AC2159">
        <v>27.514700000000001</v>
      </c>
      <c r="AD2159">
        <v>1.0240340000000001</v>
      </c>
      <c r="AE2159">
        <v>-64.779799999999994</v>
      </c>
      <c r="AF2159">
        <v>-28.8093223812585</v>
      </c>
      <c r="AG2159">
        <v>1.0240340000000001</v>
      </c>
      <c r="AH2159">
        <v>64.198189402811593</v>
      </c>
      <c r="AI2159">
        <v>89.166236224931097</v>
      </c>
      <c r="AJ2159">
        <v>114.168444369149</v>
      </c>
      <c r="AK2159">
        <v>70.373526444961698</v>
      </c>
      <c r="AL2159">
        <v>78.330605637088198</v>
      </c>
      <c r="AM2159">
        <v>97.227998490980298</v>
      </c>
      <c r="AN2159">
        <v>1.00000002053492</v>
      </c>
    </row>
    <row r="2160" spans="1:40" x14ac:dyDescent="0.25">
      <c r="A2160" t="str">
        <f>"20190303170805227"</f>
        <v>20190303170805227</v>
      </c>
      <c r="B2160" t="str">
        <f>"1551604085214897"</f>
        <v>1551604085214897</v>
      </c>
      <c r="C2160" t="s">
        <v>40</v>
      </c>
      <c r="D2160">
        <v>4.624104</v>
      </c>
      <c r="E2160">
        <v>0.38570910000000003</v>
      </c>
      <c r="F2160" t="s">
        <v>77</v>
      </c>
      <c r="G2160">
        <v>-469.05189999999999</v>
      </c>
      <c r="H2160">
        <v>2.1625399999999999</v>
      </c>
      <c r="I2160">
        <v>180.5907</v>
      </c>
      <c r="J2160">
        <v>-496.6071</v>
      </c>
      <c r="K2160">
        <v>1.1226119999999999</v>
      </c>
      <c r="L2160">
        <v>245.11699999999999</v>
      </c>
      <c r="M2160">
        <v>-1.842191E-2</v>
      </c>
      <c r="N2160">
        <v>-1.3815579999999999E-2</v>
      </c>
      <c r="O2160">
        <v>-0.99973489999999998</v>
      </c>
      <c r="P2160">
        <v>0.1042565</v>
      </c>
      <c r="Q2160">
        <v>0.1886487</v>
      </c>
      <c r="R2160">
        <v>-0.9764948</v>
      </c>
      <c r="S2160">
        <v>1.2468570000000001</v>
      </c>
      <c r="T2160">
        <v>4.7060970000000001E-2</v>
      </c>
      <c r="U2160">
        <v>-2.9315799999999999</v>
      </c>
      <c r="V2160">
        <v>-0.1228419</v>
      </c>
      <c r="W2160">
        <v>0.2017206</v>
      </c>
      <c r="X2160">
        <v>0.97170909999999999</v>
      </c>
      <c r="Y2160">
        <v>-0.40811960000000003</v>
      </c>
      <c r="Z2160">
        <v>-2.857492E-2</v>
      </c>
      <c r="AA2160">
        <v>0.91248119999999999</v>
      </c>
      <c r="AB2160">
        <v>26</v>
      </c>
      <c r="AC2160">
        <v>27.555199999999999</v>
      </c>
      <c r="AD2160">
        <v>1.039928</v>
      </c>
      <c r="AE2160">
        <v>-64.526300000000006</v>
      </c>
      <c r="AF2160">
        <v>-28.733022182401701</v>
      </c>
      <c r="AG2160">
        <v>1.039928</v>
      </c>
      <c r="AH2160">
        <v>63.993622236927798</v>
      </c>
      <c r="AI2160">
        <v>89.150667881795201</v>
      </c>
      <c r="AJ2160">
        <v>114.1799951797</v>
      </c>
      <c r="AK2160">
        <v>70.155909950496707</v>
      </c>
      <c r="AL2160">
        <v>78.362406358423499</v>
      </c>
      <c r="AM2160">
        <v>97.205019819788902</v>
      </c>
      <c r="AN2160">
        <v>0.99999995394138896</v>
      </c>
    </row>
    <row r="2161" spans="1:40" x14ac:dyDescent="0.25">
      <c r="A2161" t="str">
        <f>"20190303170805250"</f>
        <v>20190303170805250</v>
      </c>
      <c r="B2161" t="str">
        <f>"1551604085235393"</f>
        <v>1551604085235393</v>
      </c>
      <c r="C2161" t="s">
        <v>40</v>
      </c>
      <c r="D2161">
        <v>4.6064819999999997</v>
      </c>
      <c r="E2161">
        <v>0.38564349999999997</v>
      </c>
      <c r="F2161" t="s">
        <v>77</v>
      </c>
      <c r="G2161">
        <v>-469.09390000000002</v>
      </c>
      <c r="H2161">
        <v>2.1038060000000001</v>
      </c>
      <c r="I2161">
        <v>180.5907</v>
      </c>
      <c r="J2161">
        <v>-496.60989999999998</v>
      </c>
      <c r="K2161">
        <v>1.122617</v>
      </c>
      <c r="L2161">
        <v>244.85749999999999</v>
      </c>
      <c r="M2161">
        <v>-1.6638299999999901E-2</v>
      </c>
      <c r="N2161">
        <v>-1.3835139999999999E-2</v>
      </c>
      <c r="O2161">
        <v>-0.99976580000000004</v>
      </c>
      <c r="P2161">
        <v>0.10534830000000001</v>
      </c>
      <c r="Q2161">
        <v>0.18798619999999999</v>
      </c>
      <c r="R2161">
        <v>-0.97650539999999997</v>
      </c>
      <c r="S2161">
        <v>1.24939</v>
      </c>
      <c r="T2161">
        <v>4.4556499999999999E-2</v>
      </c>
      <c r="U2161">
        <v>-2.9301759999999999</v>
      </c>
      <c r="V2161">
        <v>-0.12219099999999999</v>
      </c>
      <c r="W2161">
        <v>0.20108400000000001</v>
      </c>
      <c r="X2161">
        <v>0.97192310000000004</v>
      </c>
      <c r="Y2161">
        <v>-0.40732220000000002</v>
      </c>
      <c r="Z2161">
        <v>-2.7814330000000002E-2</v>
      </c>
      <c r="AA2161">
        <v>0.91286089999999998</v>
      </c>
      <c r="AB2161">
        <v>26</v>
      </c>
      <c r="AC2161">
        <v>27.515999999999899</v>
      </c>
      <c r="AD2161">
        <v>0.98118899999999998</v>
      </c>
      <c r="AE2161">
        <v>-64.266799999999904</v>
      </c>
      <c r="AF2161">
        <v>-28.575954026221201</v>
      </c>
      <c r="AG2161">
        <v>0.98118899999999998</v>
      </c>
      <c r="AH2161">
        <v>63.787473651209901</v>
      </c>
      <c r="AI2161">
        <v>89.195741765226302</v>
      </c>
      <c r="AJ2161">
        <v>114.131755561361</v>
      </c>
      <c r="AK2161">
        <v>69.902715792494206</v>
      </c>
      <c r="AL2161">
        <v>78.399644020682203</v>
      </c>
      <c r="AM2161">
        <v>97.165679087545797</v>
      </c>
      <c r="AN2161">
        <v>0.99999996392530399</v>
      </c>
    </row>
    <row r="2162" spans="1:40" x14ac:dyDescent="0.25">
      <c r="A2162" t="str">
        <f>"20190303170805283"</f>
        <v>20190303170805283</v>
      </c>
      <c r="B2162" t="str">
        <f>"1551604085274432"</f>
        <v>1551604085274432</v>
      </c>
      <c r="C2162" t="s">
        <v>40</v>
      </c>
      <c r="D2162">
        <v>4.6252399999999998</v>
      </c>
      <c r="E2162">
        <v>0.38507469999999999</v>
      </c>
      <c r="F2162" t="s">
        <v>77</v>
      </c>
      <c r="G2162">
        <v>-469.13990000000001</v>
      </c>
      <c r="H2162">
        <v>2.0196070000000002</v>
      </c>
      <c r="I2162">
        <v>180.5907</v>
      </c>
      <c r="J2162">
        <v>-496.61309999999997</v>
      </c>
      <c r="K2162">
        <v>1.122617</v>
      </c>
      <c r="L2162">
        <v>244.471</v>
      </c>
      <c r="M2162">
        <v>-1.398274E-2</v>
      </c>
      <c r="N2162">
        <v>-1.3858469999999999E-2</v>
      </c>
      <c r="O2162">
        <v>-0.99980619999999998</v>
      </c>
      <c r="P2162">
        <v>0.1066907</v>
      </c>
      <c r="Q2162">
        <v>0.1886977</v>
      </c>
      <c r="R2162">
        <v>-0.97622260000000005</v>
      </c>
      <c r="S2162">
        <v>1.2520450000000001</v>
      </c>
      <c r="T2162">
        <v>4.0883660000000002E-2</v>
      </c>
      <c r="U2162">
        <v>-2.9291990000000001</v>
      </c>
      <c r="V2162">
        <v>-0.1209398</v>
      </c>
      <c r="W2162">
        <v>0.2018238</v>
      </c>
      <c r="X2162">
        <v>0.97192630000000002</v>
      </c>
      <c r="Y2162">
        <v>-0.40571439999999998</v>
      </c>
      <c r="Z2162">
        <v>-2.668951E-2</v>
      </c>
      <c r="AA2162">
        <v>0.91361020000000004</v>
      </c>
      <c r="AB2162">
        <v>26</v>
      </c>
      <c r="AC2162">
        <v>27.473199999999899</v>
      </c>
      <c r="AD2162">
        <v>0.89698999999999995</v>
      </c>
      <c r="AE2162">
        <v>-63.880299999999899</v>
      </c>
      <c r="AF2162">
        <v>-28.359102249170899</v>
      </c>
      <c r="AG2162">
        <v>0.89698999999999995</v>
      </c>
      <c r="AH2162">
        <v>63.479303598717301</v>
      </c>
      <c r="AI2162">
        <v>89.260838946734793</v>
      </c>
      <c r="AJ2162">
        <v>114.07249552917401</v>
      </c>
      <c r="AK2162">
        <v>69.531757182004</v>
      </c>
      <c r="AL2162">
        <v>78.356369892698893</v>
      </c>
      <c r="AM2162">
        <v>97.093032706600397</v>
      </c>
      <c r="AN2162">
        <v>1.0000000070510799</v>
      </c>
    </row>
    <row r="2163" spans="1:40" x14ac:dyDescent="0.25">
      <c r="A2163" t="str">
        <f>"20190303170805304"</f>
        <v>20190303170805304</v>
      </c>
      <c r="B2163" t="str">
        <f>"1551604085294928"</f>
        <v>1551604085294928</v>
      </c>
      <c r="C2163" t="s">
        <v>40</v>
      </c>
      <c r="D2163">
        <v>4.6484670000000001</v>
      </c>
      <c r="E2163">
        <v>0.38492530000000003</v>
      </c>
      <c r="F2163" t="s">
        <v>77</v>
      </c>
      <c r="G2163">
        <v>-469.1266</v>
      </c>
      <c r="H2163">
        <v>2.0358770000000002</v>
      </c>
      <c r="I2163">
        <v>180.5907</v>
      </c>
      <c r="J2163">
        <v>-496.6146</v>
      </c>
      <c r="K2163">
        <v>1.122609</v>
      </c>
      <c r="L2163">
        <v>244.2159</v>
      </c>
      <c r="M2163">
        <v>-1.2229169999999999E-2</v>
      </c>
      <c r="N2163">
        <v>-1.387099E-2</v>
      </c>
      <c r="O2163">
        <v>-0.99982930000000003</v>
      </c>
      <c r="P2163">
        <v>0.10613309999999999</v>
      </c>
      <c r="Q2163">
        <v>0.18912660000000001</v>
      </c>
      <c r="R2163">
        <v>-0.97620050000000003</v>
      </c>
      <c r="S2163">
        <v>1.259552</v>
      </c>
      <c r="T2163">
        <v>4.1849730000000002E-2</v>
      </c>
      <c r="U2163">
        <v>-2.927292</v>
      </c>
      <c r="V2163">
        <v>-0.1186726</v>
      </c>
      <c r="W2163">
        <v>0.20227500000000001</v>
      </c>
      <c r="X2163">
        <v>0.97211190000000003</v>
      </c>
      <c r="Y2163">
        <v>-0.40630290000000002</v>
      </c>
      <c r="Z2163">
        <v>-2.699963E-2</v>
      </c>
      <c r="AA2163">
        <v>0.91333949999999997</v>
      </c>
      <c r="AB2163">
        <v>26</v>
      </c>
      <c r="AC2163">
        <v>27.488</v>
      </c>
      <c r="AD2163">
        <v>0.91326799999999997</v>
      </c>
      <c r="AE2163">
        <v>-63.6252</v>
      </c>
      <c r="AF2163">
        <v>-28.259195561278499</v>
      </c>
      <c r="AG2163">
        <v>0.91326799999999997</v>
      </c>
      <c r="AH2163">
        <v>63.273267678638703</v>
      </c>
      <c r="AI2163">
        <v>89.244941415082593</v>
      </c>
      <c r="AJ2163">
        <v>114.066561187286</v>
      </c>
      <c r="AK2163">
        <v>69.303121105351906</v>
      </c>
      <c r="AL2163">
        <v>78.329972993227003</v>
      </c>
      <c r="AM2163">
        <v>96.960063994820402</v>
      </c>
      <c r="AN2163">
        <v>0.99999995386868401</v>
      </c>
    </row>
    <row r="2164" spans="1:40" x14ac:dyDescent="0.25">
      <c r="A2164" t="str">
        <f>"20190303170805325"</f>
        <v>20190303170805325</v>
      </c>
      <c r="B2164" t="str">
        <f>"1551604085314448"</f>
        <v>1551604085314448</v>
      </c>
      <c r="C2164" t="s">
        <v>40</v>
      </c>
      <c r="D2164">
        <v>4.6475249999999999</v>
      </c>
      <c r="E2164">
        <v>0.38456079999999998</v>
      </c>
      <c r="F2164" t="s">
        <v>77</v>
      </c>
      <c r="G2164">
        <v>-469.24110000000002</v>
      </c>
      <c r="H2164">
        <v>2.0753309999999998</v>
      </c>
      <c r="I2164">
        <v>180.5907</v>
      </c>
      <c r="J2164">
        <v>-496.6157</v>
      </c>
      <c r="K2164">
        <v>1.122606</v>
      </c>
      <c r="L2164">
        <v>243.9777</v>
      </c>
      <c r="M2164">
        <v>-1.059127E-2</v>
      </c>
      <c r="N2164">
        <v>-1.3880760000000001E-2</v>
      </c>
      <c r="O2164">
        <v>-0.99984759999999995</v>
      </c>
      <c r="P2164">
        <v>0.1056845</v>
      </c>
      <c r="Q2164">
        <v>0.1874759</v>
      </c>
      <c r="R2164">
        <v>-0.97656759999999998</v>
      </c>
      <c r="S2164">
        <v>1.2595829999999999</v>
      </c>
      <c r="T2164">
        <v>4.3839339999999997E-2</v>
      </c>
      <c r="U2164">
        <v>-2.9277039999999999</v>
      </c>
      <c r="V2164">
        <v>-0.1166244</v>
      </c>
      <c r="W2164">
        <v>0.20064870000000001</v>
      </c>
      <c r="X2164">
        <v>0.97269669999999997</v>
      </c>
      <c r="Y2164">
        <v>-0.4047617</v>
      </c>
      <c r="Z2164">
        <v>-2.763053E-2</v>
      </c>
      <c r="AA2164">
        <v>0.91400459999999994</v>
      </c>
      <c r="AB2164">
        <v>26</v>
      </c>
      <c r="AC2164">
        <v>27.374599999999901</v>
      </c>
      <c r="AD2164">
        <v>0.95272500000000004</v>
      </c>
      <c r="AE2164">
        <v>-63.387</v>
      </c>
      <c r="AF2164">
        <v>-28.039139159550299</v>
      </c>
      <c r="AG2164">
        <v>0.95272500000000004</v>
      </c>
      <c r="AH2164">
        <v>63.081473649837399</v>
      </c>
      <c r="AI2164">
        <v>89.209303254562997</v>
      </c>
      <c r="AJ2164">
        <v>113.96471020624</v>
      </c>
      <c r="AK2164">
        <v>69.038926176247799</v>
      </c>
      <c r="AL2164">
        <v>78.425104329314394</v>
      </c>
      <c r="AM2164">
        <v>96.837012777463499</v>
      </c>
      <c r="AN2164">
        <v>1.0000000108389699</v>
      </c>
    </row>
    <row r="2165" spans="1:40" x14ac:dyDescent="0.25">
      <c r="A2165" t="str">
        <f>"20190303170805348"</f>
        <v>20190303170805348</v>
      </c>
      <c r="B2165" t="str">
        <f>"1551604085344705"</f>
        <v>1551604085344705</v>
      </c>
      <c r="C2165" t="s">
        <v>40</v>
      </c>
      <c r="D2165">
        <v>4.6228319999999998</v>
      </c>
      <c r="E2165">
        <v>0.3841676</v>
      </c>
      <c r="F2165" t="s">
        <v>77</v>
      </c>
      <c r="G2165">
        <v>-469.30169999999998</v>
      </c>
      <c r="H2165">
        <v>2.015501</v>
      </c>
      <c r="I2165">
        <v>180.5907</v>
      </c>
      <c r="J2165">
        <v>-496.61649999999997</v>
      </c>
      <c r="K2165">
        <v>1.1226</v>
      </c>
      <c r="L2165">
        <v>243.71360000000001</v>
      </c>
      <c r="M2165">
        <v>-8.7743609999999996E-3</v>
      </c>
      <c r="N2165">
        <v>-1.388987E-2</v>
      </c>
      <c r="O2165">
        <v>-0.99986520000000001</v>
      </c>
      <c r="P2165">
        <v>0.1078698</v>
      </c>
      <c r="Q2165">
        <v>0.18395690000000001</v>
      </c>
      <c r="R2165">
        <v>-0.97699760000000002</v>
      </c>
      <c r="S2165">
        <v>1.2615050000000001</v>
      </c>
      <c r="T2165">
        <v>4.1238669999999998E-2</v>
      </c>
      <c r="U2165">
        <v>-2.9275509999999998</v>
      </c>
      <c r="V2165">
        <v>-0.1170287</v>
      </c>
      <c r="W2165">
        <v>0.19714709999999999</v>
      </c>
      <c r="X2165">
        <v>0.97336389999999995</v>
      </c>
      <c r="Y2165">
        <v>-0.40362999999999999</v>
      </c>
      <c r="Z2165">
        <v>-2.6823590000000001E-2</v>
      </c>
      <c r="AA2165">
        <v>0.91452900000000004</v>
      </c>
      <c r="AB2165">
        <v>26</v>
      </c>
      <c r="AC2165">
        <v>27.314799999999899</v>
      </c>
      <c r="AD2165">
        <v>0.89290099999999994</v>
      </c>
      <c r="AE2165">
        <v>-63.122900000000001</v>
      </c>
      <c r="AF2165">
        <v>-27.862968866880099</v>
      </c>
      <c r="AG2165">
        <v>0.89290099999999994</v>
      </c>
      <c r="AH2165">
        <v>62.870180753647197</v>
      </c>
      <c r="AI2165">
        <v>89.256096389956198</v>
      </c>
      <c r="AJ2165">
        <v>113.90208686031799</v>
      </c>
      <c r="AK2165">
        <v>68.773555486602604</v>
      </c>
      <c r="AL2165">
        <v>78.629821299677303</v>
      </c>
      <c r="AM2165">
        <v>96.855831228850803</v>
      </c>
      <c r="AN2165">
        <v>0.99999998874265394</v>
      </c>
    </row>
    <row r="2166" spans="1:40" x14ac:dyDescent="0.25">
      <c r="A2166" t="str">
        <f>"20190303170805372"</f>
        <v>20190303170805372</v>
      </c>
      <c r="B2166" t="str">
        <f>"1551604085365200"</f>
        <v>1551604085365200</v>
      </c>
      <c r="C2166" t="s">
        <v>40</v>
      </c>
      <c r="D2166">
        <v>4.6422280000000002</v>
      </c>
      <c r="E2166">
        <v>0.37875370000000003</v>
      </c>
      <c r="F2166" t="s">
        <v>77</v>
      </c>
      <c r="G2166">
        <v>-469.17899999999997</v>
      </c>
      <c r="H2166">
        <v>1.7816189999999901</v>
      </c>
      <c r="I2166">
        <v>180.59059999999999</v>
      </c>
      <c r="J2166">
        <v>-496.61660000000001</v>
      </c>
      <c r="K2166">
        <v>1.122582</v>
      </c>
      <c r="L2166">
        <v>243.44450000000001</v>
      </c>
      <c r="M2166">
        <v>-6.9227749999999999E-3</v>
      </c>
      <c r="N2166">
        <v>-1.389718E-2</v>
      </c>
      <c r="O2166">
        <v>-0.99987939999999997</v>
      </c>
      <c r="P2166">
        <v>0.1115834</v>
      </c>
      <c r="Q2166">
        <v>0.1811702</v>
      </c>
      <c r="R2166">
        <v>-0.97710109999999994</v>
      </c>
      <c r="S2166">
        <v>1.2711790000000001</v>
      </c>
      <c r="T2166">
        <v>3.0532480000000001E-2</v>
      </c>
      <c r="U2166">
        <v>-2.9245000000000001</v>
      </c>
      <c r="V2166">
        <v>-0.1189255</v>
      </c>
      <c r="W2166">
        <v>0.1943667</v>
      </c>
      <c r="X2166">
        <v>0.97369309999999998</v>
      </c>
      <c r="Y2166">
        <v>-0.4048543</v>
      </c>
      <c r="Z2166">
        <v>-2.347579E-2</v>
      </c>
      <c r="AA2166">
        <v>0.9140798</v>
      </c>
      <c r="AB2166">
        <v>26</v>
      </c>
      <c r="AC2166">
        <v>27.4375999999999</v>
      </c>
      <c r="AD2166">
        <v>0.65903699999999898</v>
      </c>
      <c r="AE2166">
        <v>-62.853900000000003</v>
      </c>
      <c r="AF2166">
        <v>-27.869534294496901</v>
      </c>
      <c r="AG2166">
        <v>0.65903699999999898</v>
      </c>
      <c r="AH2166">
        <v>62.656644962448901</v>
      </c>
      <c r="AI2166">
        <v>89.449380477162904</v>
      </c>
      <c r="AJ2166">
        <v>113.979390326228</v>
      </c>
      <c r="AK2166">
        <v>68.578425393923197</v>
      </c>
      <c r="AL2166">
        <v>78.792269317362795</v>
      </c>
      <c r="AM2166">
        <v>96.9635353128307</v>
      </c>
      <c r="AN2166">
        <v>0.99999997080337399</v>
      </c>
    </row>
    <row r="2167" spans="1:40" x14ac:dyDescent="0.25">
      <c r="A2167" t="str">
        <f>"20190303170805394"</f>
        <v>20190303170805394</v>
      </c>
      <c r="B2167" t="str">
        <f>"1551604085384721"</f>
        <v>1551604085384721</v>
      </c>
      <c r="C2167" t="s">
        <v>40</v>
      </c>
      <c r="D2167">
        <v>4.6514699999999998</v>
      </c>
      <c r="E2167">
        <v>0.3784285</v>
      </c>
      <c r="F2167" t="s">
        <v>78</v>
      </c>
      <c r="G2167">
        <v>-470.34609999999998</v>
      </c>
      <c r="H2167">
        <v>1.6207720000000001</v>
      </c>
      <c r="I2167">
        <v>185.54589999999999</v>
      </c>
      <c r="J2167">
        <v>-496.6164</v>
      </c>
      <c r="K2167">
        <v>1.122573</v>
      </c>
      <c r="L2167">
        <v>243.17869999999999</v>
      </c>
      <c r="M2167">
        <v>-5.093607E-3</v>
      </c>
      <c r="N2167">
        <v>-1.390308E-2</v>
      </c>
      <c r="O2167">
        <v>-0.99989030000000001</v>
      </c>
      <c r="P2167">
        <v>0.11299430000000001</v>
      </c>
      <c r="Q2167">
        <v>0.1810176</v>
      </c>
      <c r="R2167">
        <v>-0.97696719999999904</v>
      </c>
      <c r="S2167">
        <v>1.322479</v>
      </c>
      <c r="T2167">
        <v>2.508092E-2</v>
      </c>
      <c r="U2167">
        <v>-2.9146420000000002</v>
      </c>
      <c r="V2167">
        <v>-0.11854770000000001</v>
      </c>
      <c r="W2167">
        <v>0.19422310000000001</v>
      </c>
      <c r="X2167">
        <v>0.97376790000000002</v>
      </c>
      <c r="Y2167">
        <v>-0.41771140000000001</v>
      </c>
      <c r="Z2167">
        <v>-2.1744360000000001E-2</v>
      </c>
      <c r="AA2167">
        <v>0.90831949999999995</v>
      </c>
      <c r="AB2167">
        <v>26</v>
      </c>
      <c r="AC2167">
        <v>26.270299999999999</v>
      </c>
      <c r="AD2167">
        <v>0.498198999999999</v>
      </c>
      <c r="AE2167">
        <v>-57.632800000000003</v>
      </c>
      <c r="AF2167">
        <v>-26.5619029865926</v>
      </c>
      <c r="AG2167">
        <v>0.498198999999999</v>
      </c>
      <c r="AH2167">
        <v>57.494671485614298</v>
      </c>
      <c r="AI2167">
        <v>89.549306922850803</v>
      </c>
      <c r="AJ2167">
        <v>114.796415392729</v>
      </c>
      <c r="AK2167">
        <v>63.335773001925801</v>
      </c>
      <c r="AL2167">
        <v>78.800657688719298</v>
      </c>
      <c r="AM2167">
        <v>96.941101859102702</v>
      </c>
      <c r="AN2167">
        <v>1.0000000464096499</v>
      </c>
    </row>
    <row r="2168" spans="1:40" x14ac:dyDescent="0.25">
      <c r="A2168" t="str">
        <f>"20190303170805417"</f>
        <v>20190303170805417</v>
      </c>
      <c r="B2168" t="str">
        <f>"1551604085405216"</f>
        <v>1551604085405216</v>
      </c>
      <c r="C2168" t="s">
        <v>40</v>
      </c>
      <c r="D2168">
        <v>4.6355490000000001</v>
      </c>
      <c r="E2168">
        <v>0.37602799999999997</v>
      </c>
      <c r="F2168" t="s">
        <v>78</v>
      </c>
      <c r="G2168">
        <v>-470.34609999999998</v>
      </c>
      <c r="H2168">
        <v>1.693373</v>
      </c>
      <c r="I2168">
        <v>185.63640000000001</v>
      </c>
      <c r="J2168">
        <v>-496.6157</v>
      </c>
      <c r="K2168">
        <v>1.1225860000000001</v>
      </c>
      <c r="L2168">
        <v>242.9246</v>
      </c>
      <c r="M2168">
        <v>-3.3444289999999999E-3</v>
      </c>
      <c r="N2168">
        <v>-1.390752E-2</v>
      </c>
      <c r="O2168">
        <v>-0.9998977</v>
      </c>
      <c r="P2168">
        <v>0.11254840000000001</v>
      </c>
      <c r="Q2168">
        <v>0.18206739999999999</v>
      </c>
      <c r="R2168">
        <v>-0.97682360000000001</v>
      </c>
      <c r="S2168">
        <v>1.329285</v>
      </c>
      <c r="T2168">
        <v>2.888429E-2</v>
      </c>
      <c r="U2168">
        <v>-2.9116360000000001</v>
      </c>
      <c r="V2168">
        <v>-0.1163944</v>
      </c>
      <c r="W2168">
        <v>0.1952853</v>
      </c>
      <c r="X2168">
        <v>0.97381519999999999</v>
      </c>
      <c r="Y2168">
        <v>-0.41822530000000002</v>
      </c>
      <c r="Z2168">
        <v>-2.2933470000000001E-2</v>
      </c>
      <c r="AA2168">
        <v>0.90805380000000002</v>
      </c>
      <c r="AB2168">
        <v>26</v>
      </c>
      <c r="AC2168">
        <v>26.269600000000001</v>
      </c>
      <c r="AD2168">
        <v>0.57078699999999905</v>
      </c>
      <c r="AE2168">
        <v>-57.288199999999897</v>
      </c>
      <c r="AF2168">
        <v>-26.458897665450699</v>
      </c>
      <c r="AG2168">
        <v>0.57078699999999905</v>
      </c>
      <c r="AH2168">
        <v>57.195322905727501</v>
      </c>
      <c r="AI2168">
        <v>89.481063516218398</v>
      </c>
      <c r="AJ2168">
        <v>114.825542727905</v>
      </c>
      <c r="AK2168">
        <v>63.0214568679636</v>
      </c>
      <c r="AL2168">
        <v>78.738609774819295</v>
      </c>
      <c r="AM2168">
        <v>96.815892761653302</v>
      </c>
      <c r="AN2168">
        <v>1.0000000242492399</v>
      </c>
    </row>
    <row r="2169" spans="1:40" x14ac:dyDescent="0.25">
      <c r="A2169" t="str">
        <f>"20190303170805452"</f>
        <v>20190303170805452</v>
      </c>
      <c r="B2169" t="str">
        <f>"1551604085445233"</f>
        <v>1551604085445233</v>
      </c>
      <c r="C2169" t="s">
        <v>40</v>
      </c>
      <c r="D2169">
        <v>4.6734609999999996</v>
      </c>
      <c r="E2169">
        <v>0.37486150000000001</v>
      </c>
      <c r="F2169" t="s">
        <v>78</v>
      </c>
      <c r="G2169">
        <v>-470.34609999999998</v>
      </c>
      <c r="H2169">
        <v>2.0517539999999999</v>
      </c>
      <c r="I2169">
        <v>186.2747</v>
      </c>
      <c r="J2169">
        <v>-496.61380000000003</v>
      </c>
      <c r="K2169">
        <v>1.122571</v>
      </c>
      <c r="L2169">
        <v>242.5367</v>
      </c>
      <c r="M2169">
        <v>-6.7339059999999896E-4</v>
      </c>
      <c r="N2169">
        <v>-1.3912570000000001E-2</v>
      </c>
      <c r="O2169">
        <v>-0.99990299999999999</v>
      </c>
      <c r="P2169">
        <v>0.111679399999999</v>
      </c>
      <c r="Q2169">
        <v>0.1808893</v>
      </c>
      <c r="R2169">
        <v>-0.97714230000000002</v>
      </c>
      <c r="S2169">
        <v>1.3480219999999901</v>
      </c>
      <c r="T2169">
        <v>4.7681689999999999E-2</v>
      </c>
      <c r="U2169">
        <v>-2.9069669999999999</v>
      </c>
      <c r="V2169">
        <v>-0.11291089999999999</v>
      </c>
      <c r="W2169">
        <v>0.19413279999999999</v>
      </c>
      <c r="X2169">
        <v>0.97445550000000003</v>
      </c>
      <c r="Y2169">
        <v>-0.42112919999999998</v>
      </c>
      <c r="Z2169">
        <v>-2.8788270000000001E-2</v>
      </c>
      <c r="AA2169">
        <v>0.90654369999999995</v>
      </c>
      <c r="AB2169">
        <v>26</v>
      </c>
      <c r="AC2169">
        <v>26.267700000000001</v>
      </c>
      <c r="AD2169">
        <v>0.92918299999999998</v>
      </c>
      <c r="AE2169">
        <v>-56.262</v>
      </c>
      <c r="AF2169">
        <v>-26.299694446621199</v>
      </c>
      <c r="AG2169">
        <v>0.92918299999999998</v>
      </c>
      <c r="AH2169">
        <v>56.2317045542285</v>
      </c>
      <c r="AI2169">
        <v>89.142461323877797</v>
      </c>
      <c r="AJ2169">
        <v>115.06559752216199</v>
      </c>
      <c r="AK2169">
        <v>62.084957164414398</v>
      </c>
      <c r="AL2169">
        <v>78.805931000495903</v>
      </c>
      <c r="AM2169">
        <v>96.609431237265795</v>
      </c>
      <c r="AN2169">
        <v>0.99999996842744898</v>
      </c>
    </row>
    <row r="2170" spans="1:40" x14ac:dyDescent="0.25">
      <c r="A2170" t="str">
        <f>"20190303170805473"</f>
        <v>20190303170805473</v>
      </c>
      <c r="B2170" t="str">
        <f>"1551604085464753"</f>
        <v>1551604085464753</v>
      </c>
      <c r="C2170" t="s">
        <v>40</v>
      </c>
      <c r="D2170">
        <v>4.6590160000000003</v>
      </c>
      <c r="E2170">
        <v>0.37495250000000002</v>
      </c>
      <c r="F2170" t="s">
        <v>78</v>
      </c>
      <c r="G2170">
        <v>-470.34609999999998</v>
      </c>
      <c r="H2170">
        <v>2.1078709999999998</v>
      </c>
      <c r="I2170">
        <v>186.15559999999999</v>
      </c>
      <c r="J2170">
        <v>-496.61200000000002</v>
      </c>
      <c r="K2170">
        <v>1.1225639999999999</v>
      </c>
      <c r="L2170">
        <v>242.2824</v>
      </c>
      <c r="M2170">
        <v>1.0778129999999999E-3</v>
      </c>
      <c r="N2170">
        <v>-1.391479E-2</v>
      </c>
      <c r="O2170">
        <v>-0.99990270000000003</v>
      </c>
      <c r="P2170">
        <v>0.1131221</v>
      </c>
      <c r="Q2170">
        <v>0.1787087</v>
      </c>
      <c r="R2170">
        <v>-0.97737770000000002</v>
      </c>
      <c r="S2170">
        <v>1.353912</v>
      </c>
      <c r="T2170">
        <v>5.0786610000000003E-2</v>
      </c>
      <c r="U2170">
        <v>-2.906021</v>
      </c>
      <c r="V2170">
        <v>-0.1126346</v>
      </c>
      <c r="W2170">
        <v>0.19196240000000001</v>
      </c>
      <c r="X2170">
        <v>0.97491740000000005</v>
      </c>
      <c r="Y2170">
        <v>-0.4211551</v>
      </c>
      <c r="Z2170">
        <v>-2.9751389999999999E-2</v>
      </c>
      <c r="AA2170">
        <v>0.90650059999999999</v>
      </c>
      <c r="AB2170">
        <v>26</v>
      </c>
      <c r="AC2170">
        <v>26.265899999999899</v>
      </c>
      <c r="AD2170">
        <v>0.98530700000000004</v>
      </c>
      <c r="AE2170">
        <v>-56.126800000000003</v>
      </c>
      <c r="AF2170">
        <v>-26.198761314984299</v>
      </c>
      <c r="AG2170">
        <v>0.98530700000000004</v>
      </c>
      <c r="AH2170">
        <v>56.140886730690603</v>
      </c>
      <c r="AI2170">
        <v>89.088838746115002</v>
      </c>
      <c r="AJ2170">
        <v>115.01662600271401</v>
      </c>
      <c r="AK2170">
        <v>61.960835107606499</v>
      </c>
      <c r="AL2170">
        <v>78.932670477598805</v>
      </c>
      <c r="AM2170">
        <v>96.590303770671895</v>
      </c>
      <c r="AN2170">
        <v>1.0000000264768301</v>
      </c>
    </row>
    <row r="2171" spans="1:40" x14ac:dyDescent="0.25">
      <c r="A2171" t="str">
        <f>"20190303170805494"</f>
        <v>20190303170805494</v>
      </c>
      <c r="B2171" t="str">
        <f>"1551604085485249"</f>
        <v>1551604085485249</v>
      </c>
      <c r="C2171" t="s">
        <v>40</v>
      </c>
      <c r="D2171">
        <v>4.7427979999999996</v>
      </c>
      <c r="E2171">
        <v>0.37474469999999999</v>
      </c>
      <c r="F2171" t="s">
        <v>78</v>
      </c>
      <c r="G2171">
        <v>-470.34609999999998</v>
      </c>
      <c r="H2171">
        <v>1.935994</v>
      </c>
      <c r="I2171">
        <v>186.0795</v>
      </c>
      <c r="J2171">
        <v>-496.60989999999998</v>
      </c>
      <c r="K2171">
        <v>1.1225540000000001</v>
      </c>
      <c r="L2171">
        <v>242.03710000000001</v>
      </c>
      <c r="M2171">
        <v>2.7677869999999999E-3</v>
      </c>
      <c r="N2171">
        <v>-1.3916329999999999E-2</v>
      </c>
      <c r="O2171">
        <v>-0.9998996</v>
      </c>
      <c r="P2171">
        <v>0.1132162</v>
      </c>
      <c r="Q2171">
        <v>0.17640549999999999</v>
      </c>
      <c r="R2171">
        <v>-0.97778529999999997</v>
      </c>
      <c r="S2171">
        <v>1.357483</v>
      </c>
      <c r="T2171">
        <v>4.2041540000000002E-2</v>
      </c>
      <c r="U2171">
        <v>-2.9046780000000001</v>
      </c>
      <c r="V2171">
        <v>-0.1110665</v>
      </c>
      <c r="W2171">
        <v>0.18967439999999999</v>
      </c>
      <c r="X2171">
        <v>0.97554490000000005</v>
      </c>
      <c r="Y2171">
        <v>-0.42072280000000001</v>
      </c>
      <c r="Z2171">
        <v>-2.7024579999999999E-2</v>
      </c>
      <c r="AA2171">
        <v>0.9067866</v>
      </c>
      <c r="AB2171">
        <v>26</v>
      </c>
      <c r="AC2171">
        <v>26.2638</v>
      </c>
      <c r="AD2171">
        <v>0.81343999999999905</v>
      </c>
      <c r="AE2171">
        <v>-55.957599999999999</v>
      </c>
      <c r="AF2171">
        <v>-26.1042852601155</v>
      </c>
      <c r="AG2171">
        <v>0.81343999999999905</v>
      </c>
      <c r="AH2171">
        <v>56.020384269131902</v>
      </c>
      <c r="AI2171">
        <v>89.245937265947205</v>
      </c>
      <c r="AJ2171">
        <v>114.984499200362</v>
      </c>
      <c r="AK2171">
        <v>61.8092132876344</v>
      </c>
      <c r="AL2171">
        <v>79.066216815009</v>
      </c>
      <c r="AM2171">
        <v>96.495199164307806</v>
      </c>
      <c r="AN2171">
        <v>0.99999999867681</v>
      </c>
    </row>
    <row r="2172" spans="1:40" x14ac:dyDescent="0.25">
      <c r="A2172" t="str">
        <f>"20190303170805515"</f>
        <v>20190303170805515</v>
      </c>
      <c r="B2172" t="str">
        <f>"1551604085504769"</f>
        <v>1551604085504769</v>
      </c>
      <c r="C2172" t="s">
        <v>40</v>
      </c>
      <c r="D2172">
        <v>4.8367659999999999</v>
      </c>
      <c r="E2172">
        <v>0.40838150000000001</v>
      </c>
      <c r="F2172" t="s">
        <v>78</v>
      </c>
      <c r="G2172">
        <v>-470.34609999999998</v>
      </c>
      <c r="H2172">
        <v>1.804036</v>
      </c>
      <c r="I2172">
        <v>185.89840000000001</v>
      </c>
      <c r="J2172">
        <v>-496.60730000000001</v>
      </c>
      <c r="K2172">
        <v>1.122552</v>
      </c>
      <c r="L2172">
        <v>241.7979</v>
      </c>
      <c r="M2172">
        <v>4.4126230000000001E-3</v>
      </c>
      <c r="N2172">
        <v>-1.3917300000000001E-2</v>
      </c>
      <c r="O2172">
        <v>-0.99989349999999999</v>
      </c>
      <c r="P2172">
        <v>0.1126602</v>
      </c>
      <c r="Q2172">
        <v>0.17604890000000001</v>
      </c>
      <c r="R2172">
        <v>-0.97791340000000004</v>
      </c>
      <c r="S2172">
        <v>1.3588260000000001</v>
      </c>
      <c r="T2172">
        <v>3.525996E-2</v>
      </c>
      <c r="U2172">
        <v>-2.9044650000000001</v>
      </c>
      <c r="V2172">
        <v>-0.10889840000000001</v>
      </c>
      <c r="W2172">
        <v>0.18933079999999999</v>
      </c>
      <c r="X2172">
        <v>0.97585599999999995</v>
      </c>
      <c r="Y2172">
        <v>-0.41961730000000003</v>
      </c>
      <c r="Z2172">
        <v>-2.490769E-2</v>
      </c>
      <c r="AA2172">
        <v>0.90735929999999998</v>
      </c>
      <c r="AB2172">
        <v>26</v>
      </c>
      <c r="AC2172">
        <v>26.261199999999999</v>
      </c>
      <c r="AD2172">
        <v>0.68148399999999998</v>
      </c>
      <c r="AE2172">
        <v>-55.899499999999897</v>
      </c>
      <c r="AF2172">
        <v>-26.0110900266301</v>
      </c>
      <c r="AG2172">
        <v>0.68148399999999998</v>
      </c>
      <c r="AH2172">
        <v>56.008028442716501</v>
      </c>
      <c r="AI2172">
        <v>89.367733523990907</v>
      </c>
      <c r="AJ2172">
        <v>114.910964660969</v>
      </c>
      <c r="AK2172">
        <v>61.757108698965602</v>
      </c>
      <c r="AL2172">
        <v>79.086266665837101</v>
      </c>
      <c r="AM2172">
        <v>96.367446474568297</v>
      </c>
      <c r="AN2172">
        <v>0.999999973043599</v>
      </c>
    </row>
    <row r="2173" spans="1:40" x14ac:dyDescent="0.25">
      <c r="A2173" t="str">
        <f>"20190303170805549"</f>
        <v>20190303170805549</v>
      </c>
      <c r="B2173" t="str">
        <f>"1551604085544785"</f>
        <v>1551604085544785</v>
      </c>
      <c r="C2173" t="s">
        <v>40</v>
      </c>
      <c r="D2173">
        <v>4.8457109999999997</v>
      </c>
      <c r="E2173">
        <v>0.48809910000000001</v>
      </c>
      <c r="F2173" t="s">
        <v>77</v>
      </c>
      <c r="G2173">
        <v>-473.87380000000002</v>
      </c>
      <c r="H2173">
        <v>0.43573499999999998</v>
      </c>
      <c r="I2173">
        <v>180.57839999999999</v>
      </c>
      <c r="J2173">
        <v>-496.60250000000002</v>
      </c>
      <c r="K2173">
        <v>1.12253</v>
      </c>
      <c r="L2173">
        <v>241.4136</v>
      </c>
      <c r="M2173">
        <v>7.0228840000000001E-3</v>
      </c>
      <c r="N2173">
        <v>-1.391764E-2</v>
      </c>
      <c r="O2173">
        <v>-0.99987859999999995</v>
      </c>
      <c r="P2173">
        <v>0.1106581</v>
      </c>
      <c r="Q2173">
        <v>0.17733199999999999</v>
      </c>
      <c r="R2173">
        <v>-0.97791019999999895</v>
      </c>
      <c r="S2173">
        <v>1.0945739999999999</v>
      </c>
      <c r="T2173">
        <v>-3.3068899999999998E-2</v>
      </c>
      <c r="U2173">
        <v>-2.9476010000000001</v>
      </c>
      <c r="V2173">
        <v>-0.10433630000000001</v>
      </c>
      <c r="W2173">
        <v>0.190636</v>
      </c>
      <c r="X2173">
        <v>0.97610030000000003</v>
      </c>
      <c r="Y2173">
        <v>-0.34146579999999999</v>
      </c>
      <c r="Z2173">
        <v>-3.3708589999999999E-3</v>
      </c>
      <c r="AA2173">
        <v>0.93988819999999995</v>
      </c>
      <c r="AB2173">
        <v>26</v>
      </c>
      <c r="AC2173">
        <v>22.7287</v>
      </c>
      <c r="AD2173">
        <v>-0.68679499999999905</v>
      </c>
      <c r="AE2173">
        <v>-60.8352</v>
      </c>
      <c r="AF2173">
        <v>-22.2983656466171</v>
      </c>
      <c r="AG2173">
        <v>-0.68679499999999905</v>
      </c>
      <c r="AH2173">
        <v>60.986515195679203</v>
      </c>
      <c r="AI2173">
        <v>90.605973728409296</v>
      </c>
      <c r="AJ2173">
        <v>110.083817471787</v>
      </c>
      <c r="AK2173">
        <v>64.938769880519601</v>
      </c>
      <c r="AL2173">
        <v>79.010096936687205</v>
      </c>
      <c r="AM2173">
        <v>96.101234452088093</v>
      </c>
      <c r="AN2173">
        <v>0.99999997182688904</v>
      </c>
    </row>
    <row r="2174" spans="1:40" x14ac:dyDescent="0.25">
      <c r="A2174" t="str">
        <f>"20190303170805572"</f>
        <v>20190303170805572</v>
      </c>
      <c r="B2174" t="str">
        <f>"1551604085565281"</f>
        <v>1551604085565281</v>
      </c>
      <c r="C2174" t="s">
        <v>40</v>
      </c>
      <c r="D2174">
        <v>4.7803259999999996</v>
      </c>
      <c r="E2174">
        <v>0.4939788</v>
      </c>
      <c r="F2174" t="s">
        <v>57</v>
      </c>
      <c r="G2174">
        <v>-490.71370000000002</v>
      </c>
      <c r="H2174" s="1">
        <v>9.6770900000000011E-7</v>
      </c>
      <c r="I2174">
        <v>202.74010000000001</v>
      </c>
      <c r="J2174">
        <v>-496.59870000000001</v>
      </c>
      <c r="K2174">
        <v>1.1224970000000001</v>
      </c>
      <c r="L2174">
        <v>241.14920000000001</v>
      </c>
      <c r="M2174">
        <v>8.7721409999999903E-3</v>
      </c>
      <c r="N2174">
        <v>-1.391688E-2</v>
      </c>
      <c r="O2174">
        <v>-0.9998648</v>
      </c>
      <c r="P2174">
        <v>0.1100435</v>
      </c>
      <c r="Q2174">
        <v>0.1766317</v>
      </c>
      <c r="R2174">
        <v>-0.97810640000000004</v>
      </c>
      <c r="S2174">
        <v>0.46160889999999999</v>
      </c>
      <c r="T2174">
        <v>-8.7991120000000006E-2</v>
      </c>
      <c r="U2174">
        <v>-3.031479</v>
      </c>
      <c r="V2174">
        <v>-0.10199229999999999</v>
      </c>
      <c r="W2174">
        <v>0.18995390000000001</v>
      </c>
      <c r="X2174">
        <v>0.97648100000000004</v>
      </c>
      <c r="Y2174">
        <v>-0.14179949999999999</v>
      </c>
      <c r="Z2174">
        <v>1.479543E-2</v>
      </c>
      <c r="AA2174">
        <v>0.98978480000000002</v>
      </c>
      <c r="AB2174">
        <v>26</v>
      </c>
      <c r="AC2174">
        <v>5.88499999999999</v>
      </c>
      <c r="AD2174">
        <v>-1.12249603229099</v>
      </c>
      <c r="AE2174">
        <v>-38.409100000000002</v>
      </c>
      <c r="AF2174">
        <v>-5.54318513333246</v>
      </c>
      <c r="AG2174">
        <v>-1.12249603229099</v>
      </c>
      <c r="AH2174">
        <v>38.4271836410188</v>
      </c>
      <c r="AI2174">
        <v>91.656058903535595</v>
      </c>
      <c r="AJ2174">
        <v>98.208389121045101</v>
      </c>
      <c r="AK2174">
        <v>38.841155252457298</v>
      </c>
      <c r="AL2174">
        <v>79.049906445880296</v>
      </c>
      <c r="AM2174">
        <v>95.962855937007703</v>
      </c>
      <c r="AN2174">
        <v>1.0000000283727399</v>
      </c>
    </row>
    <row r="2175" spans="1:40" x14ac:dyDescent="0.25">
      <c r="A2175" t="str">
        <f>"20190303170805594"</f>
        <v>20190303170805594</v>
      </c>
      <c r="B2175" t="str">
        <f>"1551604085584801"</f>
        <v>1551604085584801</v>
      </c>
      <c r="C2175" t="s">
        <v>40</v>
      </c>
      <c r="D2175">
        <v>4.8968579999999999</v>
      </c>
      <c r="E2175">
        <v>0.4968554</v>
      </c>
      <c r="F2175" t="s">
        <v>57</v>
      </c>
      <c r="G2175">
        <v>-491.5702</v>
      </c>
      <c r="H2175" s="1">
        <v>1.3686769999999999E-6</v>
      </c>
      <c r="I2175">
        <v>204.33500000000001</v>
      </c>
      <c r="J2175">
        <v>-496.59460000000001</v>
      </c>
      <c r="K2175">
        <v>1.122458</v>
      </c>
      <c r="L2175">
        <v>240.89830000000001</v>
      </c>
      <c r="M2175">
        <v>1.040198E-2</v>
      </c>
      <c r="N2175">
        <v>-1.391571E-2</v>
      </c>
      <c r="O2175">
        <v>-0.99984930000000005</v>
      </c>
      <c r="P2175">
        <v>0.1109387</v>
      </c>
      <c r="Q2175">
        <v>0.17462649999999999</v>
      </c>
      <c r="R2175">
        <v>-0.9783655</v>
      </c>
      <c r="S2175">
        <v>0.414856</v>
      </c>
      <c r="T2175">
        <v>-9.2606900000000006E-2</v>
      </c>
      <c r="U2175">
        <v>-3.037201</v>
      </c>
      <c r="V2175">
        <v>-0.1012691</v>
      </c>
      <c r="W2175">
        <v>0.1879634</v>
      </c>
      <c r="X2175">
        <v>0.97694130000000001</v>
      </c>
      <c r="Y2175">
        <v>-0.12496409999999999</v>
      </c>
      <c r="Z2175">
        <v>1.631225E-2</v>
      </c>
      <c r="AA2175">
        <v>0.9920272</v>
      </c>
      <c r="AB2175">
        <v>25</v>
      </c>
      <c r="AC2175">
        <v>5.0244000000000097</v>
      </c>
      <c r="AD2175">
        <v>-1.122456631323</v>
      </c>
      <c r="AE2175">
        <v>-36.563299999999998</v>
      </c>
      <c r="AF2175">
        <v>-4.6394693278364896</v>
      </c>
      <c r="AG2175">
        <v>-1.122456631323</v>
      </c>
      <c r="AH2175">
        <v>36.579755338503801</v>
      </c>
      <c r="AI2175">
        <v>91.743620720011407</v>
      </c>
      <c r="AJ2175">
        <v>97.228322055804298</v>
      </c>
      <c r="AK2175">
        <v>36.889877814353497</v>
      </c>
      <c r="AL2175">
        <v>79.166045507837595</v>
      </c>
      <c r="AM2175">
        <v>95.918106453394898</v>
      </c>
      <c r="AN2175">
        <v>0.99999998700002901</v>
      </c>
    </row>
    <row r="2176" spans="1:40" x14ac:dyDescent="0.25">
      <c r="A2176" t="str">
        <f>"20190303170805617"</f>
        <v>20190303170805617</v>
      </c>
      <c r="B2176" t="str">
        <f>"1551604085605297"</f>
        <v>1551604085605297</v>
      </c>
      <c r="C2176" t="s">
        <v>40</v>
      </c>
      <c r="D2176">
        <v>4.8356510000000004</v>
      </c>
      <c r="E2176">
        <v>0.49836910000000001</v>
      </c>
      <c r="F2176" t="s">
        <v>57</v>
      </c>
      <c r="G2176">
        <v>-492.09710000000001</v>
      </c>
      <c r="H2176" s="1">
        <v>1.8954450000000001E-6</v>
      </c>
      <c r="I2176">
        <v>206.34739999999999</v>
      </c>
      <c r="J2176">
        <v>-496.59030000000001</v>
      </c>
      <c r="K2176">
        <v>1.1224149999999999</v>
      </c>
      <c r="L2176">
        <v>240.65469999999999</v>
      </c>
      <c r="M2176">
        <v>1.196186E-2</v>
      </c>
      <c r="N2176">
        <v>-1.3914259999999999E-2</v>
      </c>
      <c r="O2176">
        <v>-0.99983169999999999</v>
      </c>
      <c r="P2176">
        <v>0.1121158</v>
      </c>
      <c r="Q2176">
        <v>0.17325960000000001</v>
      </c>
      <c r="R2176">
        <v>-0.97847419999999996</v>
      </c>
      <c r="S2176">
        <v>0.39559939999999999</v>
      </c>
      <c r="T2176">
        <v>-9.8731520000000003E-2</v>
      </c>
      <c r="U2176">
        <v>-3.0391080000000001</v>
      </c>
      <c r="V2176">
        <v>-0.10090150000000001</v>
      </c>
      <c r="W2176">
        <v>0.18660640000000001</v>
      </c>
      <c r="X2176">
        <v>0.97723939999999998</v>
      </c>
      <c r="Y2176">
        <v>-0.1171493</v>
      </c>
      <c r="Z2176">
        <v>1.8319530000000001E-2</v>
      </c>
      <c r="AA2176">
        <v>0.99294530000000003</v>
      </c>
      <c r="AB2176">
        <v>25</v>
      </c>
      <c r="AC2176">
        <v>4.4931999999999999</v>
      </c>
      <c r="AD2176">
        <v>-1.1224131045550001</v>
      </c>
      <c r="AE2176">
        <v>-34.307299999999998</v>
      </c>
      <c r="AF2176">
        <v>-4.0781681214657999</v>
      </c>
      <c r="AG2176">
        <v>-1.1224131045550001</v>
      </c>
      <c r="AH2176">
        <v>34.322479128603497</v>
      </c>
      <c r="AI2176">
        <v>91.859944040482304</v>
      </c>
      <c r="AJ2176">
        <v>96.776067379920093</v>
      </c>
      <c r="AK2176">
        <v>34.582131801519097</v>
      </c>
      <c r="AL2176">
        <v>79.245196044042004</v>
      </c>
      <c r="AM2176">
        <v>95.894989673161504</v>
      </c>
      <c r="AN2176">
        <v>0.999999953067783</v>
      </c>
    </row>
    <row r="2177" spans="1:40" x14ac:dyDescent="0.25">
      <c r="A2177" t="str">
        <f>"20190303170805640"</f>
        <v>20190303170805640</v>
      </c>
      <c r="B2177" t="str">
        <f>"1551604085624816"</f>
        <v>1551604085624816</v>
      </c>
      <c r="C2177" t="s">
        <v>40</v>
      </c>
      <c r="D2177">
        <v>4.6644019999999999</v>
      </c>
      <c r="E2177">
        <v>0.49935449999999998</v>
      </c>
      <c r="F2177" t="s">
        <v>57</v>
      </c>
      <c r="G2177">
        <v>-492.41629999999998</v>
      </c>
      <c r="H2177" s="1">
        <v>2.320436E-6</v>
      </c>
      <c r="I2177">
        <v>207.81059999999999</v>
      </c>
      <c r="J2177">
        <v>-496.58510000000001</v>
      </c>
      <c r="K2177">
        <v>1.122406</v>
      </c>
      <c r="L2177">
        <v>240.38589999999999</v>
      </c>
      <c r="M2177">
        <v>1.3666650000000001E-2</v>
      </c>
      <c r="N2177">
        <v>-1.391279E-2</v>
      </c>
      <c r="O2177">
        <v>-0.99980990000000003</v>
      </c>
      <c r="P2177">
        <v>0.1122292</v>
      </c>
      <c r="Q2177">
        <v>0.1742291</v>
      </c>
      <c r="R2177">
        <v>-0.97828910000000002</v>
      </c>
      <c r="S2177">
        <v>0.38635249999999999</v>
      </c>
      <c r="T2177">
        <v>-0.10389279999999999</v>
      </c>
      <c r="U2177">
        <v>-3.0401150000000001</v>
      </c>
      <c r="V2177">
        <v>-9.9342529999999998E-2</v>
      </c>
      <c r="W2177">
        <v>0.18758169999999999</v>
      </c>
      <c r="X2177">
        <v>0.97721239999999998</v>
      </c>
      <c r="Y2177">
        <v>-0.1124377</v>
      </c>
      <c r="Z2177">
        <v>2.0008789999999999E-2</v>
      </c>
      <c r="AA2177">
        <v>0.99345729999999999</v>
      </c>
      <c r="AB2177">
        <v>25</v>
      </c>
      <c r="AC2177">
        <v>4.1688000000000303</v>
      </c>
      <c r="AD2177">
        <v>-1.122403679564</v>
      </c>
      <c r="AE2177">
        <v>-32.575299999999999</v>
      </c>
      <c r="AF2177">
        <v>-3.7188284840954902</v>
      </c>
      <c r="AG2177">
        <v>-1.122403679564</v>
      </c>
      <c r="AH2177">
        <v>32.5911676052514</v>
      </c>
      <c r="AI2177">
        <v>91.959717051203796</v>
      </c>
      <c r="AJ2177">
        <v>96.509603960906205</v>
      </c>
      <c r="AK2177">
        <v>32.821847619956003</v>
      </c>
      <c r="AL2177">
        <v>79.188310994631706</v>
      </c>
      <c r="AM2177">
        <v>95.8046956607254</v>
      </c>
      <c r="AN2177">
        <v>0.99999995357772398</v>
      </c>
    </row>
    <row r="2178" spans="1:40" x14ac:dyDescent="0.25">
      <c r="A2178" t="str">
        <f>"20190303170805663"</f>
        <v>20190303170805663</v>
      </c>
      <c r="B2178" t="str">
        <f>"1551604085655073"</f>
        <v>1551604085655073</v>
      </c>
      <c r="C2178" t="s">
        <v>40</v>
      </c>
      <c r="D2178">
        <v>4.838997</v>
      </c>
      <c r="E2178">
        <v>0.50031199999999998</v>
      </c>
      <c r="F2178" t="s">
        <v>57</v>
      </c>
      <c r="G2178">
        <v>-492.36009999999999</v>
      </c>
      <c r="H2178" s="1">
        <v>1.9529150000000002E-6</v>
      </c>
      <c r="I2178">
        <v>206.60820000000001</v>
      </c>
      <c r="J2178">
        <v>-496.5795</v>
      </c>
      <c r="K2178">
        <v>1.12242</v>
      </c>
      <c r="L2178">
        <v>240.12200000000001</v>
      </c>
      <c r="M2178">
        <v>1.53501E-2</v>
      </c>
      <c r="N2178">
        <v>-1.391158E-2</v>
      </c>
      <c r="O2178">
        <v>-0.99978549999999999</v>
      </c>
      <c r="P2178">
        <v>0.1110512</v>
      </c>
      <c r="Q2178">
        <v>0.1766817</v>
      </c>
      <c r="R2178">
        <v>-0.97798350000000001</v>
      </c>
      <c r="S2178">
        <v>0.38037110000000002</v>
      </c>
      <c r="T2178">
        <v>-0.1010482</v>
      </c>
      <c r="U2178">
        <v>-3.0409549999999999</v>
      </c>
      <c r="V2178">
        <v>-9.6528310000000006E-2</v>
      </c>
      <c r="W2178">
        <v>0.19003719999999999</v>
      </c>
      <c r="X2178">
        <v>0.97702</v>
      </c>
      <c r="Y2178">
        <v>-0.108810199999999</v>
      </c>
      <c r="Z2178">
        <v>1.908412E-2</v>
      </c>
      <c r="AA2178">
        <v>0.99387930000000002</v>
      </c>
      <c r="AB2178">
        <v>25</v>
      </c>
      <c r="AC2178">
        <v>4.2194000000000003</v>
      </c>
      <c r="AD2178">
        <v>-1.122418047085</v>
      </c>
      <c r="AE2178">
        <v>-33.513800000000003</v>
      </c>
      <c r="AF2178">
        <v>-3.70032710603454</v>
      </c>
      <c r="AG2178">
        <v>-1.122418047085</v>
      </c>
      <c r="AH2178">
        <v>33.537594257248898</v>
      </c>
      <c r="AI2178">
        <v>91.905275399844299</v>
      </c>
      <c r="AJ2178">
        <v>96.296189233435598</v>
      </c>
      <c r="AK2178">
        <v>33.759775940132201</v>
      </c>
      <c r="AL2178">
        <v>79.045044469571707</v>
      </c>
      <c r="AM2178">
        <v>95.642437362226204</v>
      </c>
      <c r="AN2178">
        <v>0.99999996620764697</v>
      </c>
    </row>
    <row r="2179" spans="1:40" x14ac:dyDescent="0.25">
      <c r="A2179" t="str">
        <f>"20190303170805685"</f>
        <v>20190303170805685</v>
      </c>
      <c r="B2179" t="str">
        <f>"1551604085674524"</f>
        <v>1551604085674524</v>
      </c>
      <c r="C2179" t="s">
        <v>40</v>
      </c>
      <c r="D2179">
        <v>4.8423930000000004</v>
      </c>
      <c r="E2179">
        <v>0.50086009999999903</v>
      </c>
      <c r="F2179" t="s">
        <v>57</v>
      </c>
      <c r="G2179">
        <v>-492.13</v>
      </c>
      <c r="H2179" s="1">
        <v>1.2090040000000001E-6</v>
      </c>
      <c r="I2179">
        <v>203.51900000000001</v>
      </c>
      <c r="J2179">
        <v>-496.57400000000001</v>
      </c>
      <c r="K2179">
        <v>1.12246</v>
      </c>
      <c r="L2179">
        <v>239.87870000000001</v>
      </c>
      <c r="M2179">
        <v>1.6949599999999999E-2</v>
      </c>
      <c r="N2179">
        <v>-1.3910769999999999E-2</v>
      </c>
      <c r="O2179">
        <v>-0.99975970000000003</v>
      </c>
      <c r="P2179">
        <v>0.10979650000000001</v>
      </c>
      <c r="Q2179">
        <v>0.17803350000000001</v>
      </c>
      <c r="R2179">
        <v>-0.97787999999999997</v>
      </c>
      <c r="S2179">
        <v>0.36984250000000002</v>
      </c>
      <c r="T2179">
        <v>-9.3294740000000001E-2</v>
      </c>
      <c r="U2179">
        <v>-3.0424190000000002</v>
      </c>
      <c r="V2179">
        <v>-9.3724769999999999E-2</v>
      </c>
      <c r="W2179">
        <v>0.19138949999999999</v>
      </c>
      <c r="X2179">
        <v>0.97702900000000004</v>
      </c>
      <c r="Y2179">
        <v>-0.1037805</v>
      </c>
      <c r="Z2179">
        <v>1.6555980000000001E-2</v>
      </c>
      <c r="AA2179">
        <v>0.99446239999999997</v>
      </c>
      <c r="AB2179">
        <v>25</v>
      </c>
      <c r="AC2179">
        <v>4.4440000000000097</v>
      </c>
      <c r="AD2179">
        <v>-1.122458790996</v>
      </c>
      <c r="AE2179">
        <v>-36.359699999999997</v>
      </c>
      <c r="AF2179">
        <v>-3.8234293876068501</v>
      </c>
      <c r="AG2179">
        <v>-1.122458790996</v>
      </c>
      <c r="AH2179">
        <v>36.395631949865802</v>
      </c>
      <c r="AI2179">
        <v>91.756808213914596</v>
      </c>
      <c r="AJ2179">
        <v>95.9970327551911</v>
      </c>
      <c r="AK2179">
        <v>36.613119930560302</v>
      </c>
      <c r="AL2179">
        <v>78.966114724657999</v>
      </c>
      <c r="AM2179">
        <v>95.479522088915104</v>
      </c>
      <c r="AN2179">
        <v>0.99999997003140095</v>
      </c>
    </row>
    <row r="2180" spans="1:40" x14ac:dyDescent="0.25">
      <c r="A2180" t="str">
        <f>"20190303170805704"</f>
        <v>20190303170805704</v>
      </c>
      <c r="B2180" t="str">
        <f>"1551604085695023"</f>
        <v>1551604085695023</v>
      </c>
      <c r="C2180" t="s">
        <v>40</v>
      </c>
      <c r="D2180">
        <v>4.829345</v>
      </c>
      <c r="E2180">
        <v>0.50135680000000005</v>
      </c>
      <c r="F2180" t="s">
        <v>57</v>
      </c>
      <c r="G2180">
        <v>-492.01490000000001</v>
      </c>
      <c r="H2180" s="1">
        <v>5.9338349999999997E-7</v>
      </c>
      <c r="I2180">
        <v>201.5318</v>
      </c>
      <c r="J2180">
        <v>-496.5684</v>
      </c>
      <c r="K2180">
        <v>1.1225130000000001</v>
      </c>
      <c r="L2180">
        <v>239.65090000000001</v>
      </c>
      <c r="M2180">
        <v>1.8526890000000001E-2</v>
      </c>
      <c r="N2180">
        <v>-1.3910550000000001E-2</v>
      </c>
      <c r="O2180">
        <v>-0.99973190000000001</v>
      </c>
      <c r="P2180">
        <v>0.108796699999999</v>
      </c>
      <c r="Q2180">
        <v>0.1780332</v>
      </c>
      <c r="R2180">
        <v>-0.97799219999999998</v>
      </c>
      <c r="S2180">
        <v>0.36184690000000003</v>
      </c>
      <c r="T2180">
        <v>-8.9085940000000002E-2</v>
      </c>
      <c r="U2180">
        <v>-3.043472</v>
      </c>
      <c r="V2180">
        <v>-9.1201770000000001E-2</v>
      </c>
      <c r="W2180">
        <v>0.19138720000000001</v>
      </c>
      <c r="X2180">
        <v>0.97726820000000003</v>
      </c>
      <c r="Y2180">
        <v>-9.959867E-2</v>
      </c>
      <c r="Z2180">
        <v>1.518386E-2</v>
      </c>
      <c r="AA2180">
        <v>0.99491180000000001</v>
      </c>
      <c r="AB2180">
        <v>25</v>
      </c>
      <c r="AC2180">
        <v>4.5534999999999801</v>
      </c>
      <c r="AD2180">
        <v>-1.1225124066165</v>
      </c>
      <c r="AE2180">
        <v>-38.119100000000003</v>
      </c>
      <c r="AF2180">
        <v>-3.8431360938037602</v>
      </c>
      <c r="AG2180">
        <v>-1.1225124066165</v>
      </c>
      <c r="AH2180">
        <v>38.164297608616202</v>
      </c>
      <c r="AI2180">
        <v>91.676261209636806</v>
      </c>
      <c r="AJ2180">
        <v>95.750287431812694</v>
      </c>
      <c r="AK2180">
        <v>38.373732436362502</v>
      </c>
      <c r="AL2180">
        <v>78.966249086548899</v>
      </c>
      <c r="AM2180">
        <v>95.331581805146101</v>
      </c>
      <c r="AN2180">
        <v>0.99999997895310599</v>
      </c>
    </row>
    <row r="2181" spans="1:40" x14ac:dyDescent="0.25">
      <c r="A2181" t="str">
        <f>"20190303170805728"</f>
        <v>20190303170805728</v>
      </c>
      <c r="B2181" t="str">
        <f>"1551604085714541"</f>
        <v>1551604085714541</v>
      </c>
      <c r="C2181" t="s">
        <v>40</v>
      </c>
      <c r="D2181">
        <v>4.8307039999999999</v>
      </c>
      <c r="E2181">
        <v>0.50163950000000002</v>
      </c>
      <c r="F2181" t="s">
        <v>57</v>
      </c>
      <c r="G2181">
        <v>-492.13400000000001</v>
      </c>
      <c r="H2181" s="1">
        <v>5.921983E-7</v>
      </c>
      <c r="I2181">
        <v>201.52799999999999</v>
      </c>
      <c r="J2181">
        <v>-496.5616</v>
      </c>
      <c r="K2181">
        <v>1.1225989999999999</v>
      </c>
      <c r="L2181">
        <v>239.39750000000001</v>
      </c>
      <c r="M2181">
        <v>2.0407140000000001E-2</v>
      </c>
      <c r="N2181">
        <v>-1.391102E-2</v>
      </c>
      <c r="O2181">
        <v>-0.99969520000000001</v>
      </c>
      <c r="P2181">
        <v>0.1077915</v>
      </c>
      <c r="Q2181">
        <v>0.17783779999999999</v>
      </c>
      <c r="R2181">
        <v>-0.97813870000000003</v>
      </c>
      <c r="S2181">
        <v>0.354126</v>
      </c>
      <c r="T2181">
        <v>-8.9641929999999995E-2</v>
      </c>
      <c r="U2181">
        <v>-3.0444339999999999</v>
      </c>
      <c r="V2181">
        <v>-8.8390759999999999E-2</v>
      </c>
      <c r="W2181">
        <v>0.19118599999999999</v>
      </c>
      <c r="X2181">
        <v>0.97756589999999999</v>
      </c>
      <c r="Y2181">
        <v>-9.5201549999999996E-2</v>
      </c>
      <c r="Z2181">
        <v>1.5365790000000001E-2</v>
      </c>
      <c r="AA2181">
        <v>0.99533939999999999</v>
      </c>
      <c r="AB2181">
        <v>25</v>
      </c>
      <c r="AC2181">
        <v>4.4275999999999804</v>
      </c>
      <c r="AD2181">
        <v>-1.1225984078016999</v>
      </c>
      <c r="AE2181">
        <v>-37.869500000000002</v>
      </c>
      <c r="AF2181">
        <v>-3.6506302270208502</v>
      </c>
      <c r="AG2181">
        <v>-1.1225984078016999</v>
      </c>
      <c r="AH2181">
        <v>37.9191032370993</v>
      </c>
      <c r="AI2181">
        <v>91.687951338034196</v>
      </c>
      <c r="AJ2181">
        <v>95.499155425386405</v>
      </c>
      <c r="AK2181">
        <v>38.110965856895199</v>
      </c>
      <c r="AL2181">
        <v>78.977994677700096</v>
      </c>
      <c r="AM2181">
        <v>95.166591010125003</v>
      </c>
      <c r="AN2181">
        <v>1.00000005094609</v>
      </c>
    </row>
    <row r="2182" spans="1:40" x14ac:dyDescent="0.25">
      <c r="A2182" t="str">
        <f>"20190303170805751"</f>
        <v>20190303170805751</v>
      </c>
      <c r="B2182" t="str">
        <f>"1551604085744797"</f>
        <v>1551604085744797</v>
      </c>
      <c r="C2182" t="s">
        <v>40</v>
      </c>
      <c r="D2182">
        <v>4.8297660000000002</v>
      </c>
      <c r="E2182">
        <v>0.5019112</v>
      </c>
      <c r="F2182" t="s">
        <v>57</v>
      </c>
      <c r="G2182">
        <v>-492.23070000000001</v>
      </c>
      <c r="H2182" s="1">
        <v>6.4231849999999996E-7</v>
      </c>
      <c r="I2182">
        <v>201.68969999999999</v>
      </c>
      <c r="J2182">
        <v>-496.55399999999997</v>
      </c>
      <c r="K2182">
        <v>1.1227229999999999</v>
      </c>
      <c r="L2182">
        <v>239.1379</v>
      </c>
      <c r="M2182">
        <v>2.2530120000000001E-2</v>
      </c>
      <c r="N2182">
        <v>-1.391278E-2</v>
      </c>
      <c r="O2182">
        <v>-0.99964960000000003</v>
      </c>
      <c r="P2182">
        <v>0.1073571</v>
      </c>
      <c r="Q2182">
        <v>0.17782039999999999</v>
      </c>
      <c r="R2182">
        <v>-0.9781898</v>
      </c>
      <c r="S2182">
        <v>0.34973140000000003</v>
      </c>
      <c r="T2182">
        <v>-9.065318E-2</v>
      </c>
      <c r="U2182">
        <v>-3.045013</v>
      </c>
      <c r="V2182">
        <v>-8.5930709999999993E-2</v>
      </c>
      <c r="W2182">
        <v>0.19115550000000001</v>
      </c>
      <c r="X2182">
        <v>0.97779110000000002</v>
      </c>
      <c r="Y2182">
        <v>-9.1647919999999994E-2</v>
      </c>
      <c r="Z2182">
        <v>1.5695150000000001E-2</v>
      </c>
      <c r="AA2182">
        <v>0.99566779999999999</v>
      </c>
      <c r="AB2182">
        <v>25</v>
      </c>
      <c r="AC2182">
        <v>4.3233000000000104</v>
      </c>
      <c r="AD2182">
        <v>-1.1227223576815</v>
      </c>
      <c r="AE2182">
        <v>-37.4482</v>
      </c>
      <c r="AF2182">
        <v>-3.4753258030384901</v>
      </c>
      <c r="AG2182">
        <v>-1.1227223576815</v>
      </c>
      <c r="AH2182">
        <v>37.502840639354702</v>
      </c>
      <c r="AI2182">
        <v>91.707440105079399</v>
      </c>
      <c r="AJ2182">
        <v>95.294384010758407</v>
      </c>
      <c r="AK2182">
        <v>37.680252798389503</v>
      </c>
      <c r="AL2182">
        <v>78.979774172107497</v>
      </c>
      <c r="AM2182">
        <v>95.022392042650793</v>
      </c>
      <c r="AN2182">
        <v>0.99999997367028104</v>
      </c>
    </row>
    <row r="2183" spans="1:40" x14ac:dyDescent="0.25">
      <c r="A2183" t="str">
        <f>"20190303170805774"</f>
        <v>20190303170805774</v>
      </c>
      <c r="B2183" t="str">
        <f>"1551604085765292"</f>
        <v>1551604085765292</v>
      </c>
      <c r="C2183" t="s">
        <v>40</v>
      </c>
      <c r="D2183">
        <v>4.7752670000000004</v>
      </c>
      <c r="E2183">
        <v>0.50205440000000001</v>
      </c>
      <c r="F2183" t="s">
        <v>57</v>
      </c>
      <c r="G2183">
        <v>-492.25389999999999</v>
      </c>
      <c r="H2183" s="1">
        <v>5.4173639999999899E-7</v>
      </c>
      <c r="I2183">
        <v>201.36510000000001</v>
      </c>
      <c r="J2183">
        <v>-496.5455</v>
      </c>
      <c r="K2183">
        <v>1.1228800000000001</v>
      </c>
      <c r="L2183">
        <v>238.87909999999999</v>
      </c>
      <c r="M2183">
        <v>2.4889459999999999E-2</v>
      </c>
      <c r="N2183">
        <v>-1.3916049999999999E-2</v>
      </c>
      <c r="O2183">
        <v>-0.99959339999999997</v>
      </c>
      <c r="P2183">
        <v>0.1092205</v>
      </c>
      <c r="Q2183">
        <v>0.17747389999999999</v>
      </c>
      <c r="R2183">
        <v>-0.97804610000000003</v>
      </c>
      <c r="S2183">
        <v>0.34667969999999998</v>
      </c>
      <c r="T2183">
        <v>-9.0516089999999993E-2</v>
      </c>
      <c r="U2183">
        <v>-3.0453190000000001</v>
      </c>
      <c r="V2183">
        <v>-8.5552359999999994E-2</v>
      </c>
      <c r="W2183">
        <v>0.19078390000000001</v>
      </c>
      <c r="X2183">
        <v>0.97789689999999996</v>
      </c>
      <c r="Y2183">
        <v>-8.8302019999999995E-2</v>
      </c>
      <c r="Z2183">
        <v>1.5649590000000001E-2</v>
      </c>
      <c r="AA2183">
        <v>0.99597080000000004</v>
      </c>
      <c r="AB2183">
        <v>25</v>
      </c>
      <c r="AC2183">
        <v>4.2916000000000096</v>
      </c>
      <c r="AD2183">
        <v>-1.1228794582635999</v>
      </c>
      <c r="AE2183">
        <v>-37.513999999999903</v>
      </c>
      <c r="AF2183">
        <v>-3.3535109357176802</v>
      </c>
      <c r="AG2183">
        <v>-1.1228794582635999</v>
      </c>
      <c r="AH2183">
        <v>37.575971253627799</v>
      </c>
      <c r="AI2183">
        <v>91.704883283475297</v>
      </c>
      <c r="AJ2183">
        <v>95.099916561667897</v>
      </c>
      <c r="AK2183">
        <v>37.742025774025798</v>
      </c>
      <c r="AL2183">
        <v>79.001465044940204</v>
      </c>
      <c r="AM2183">
        <v>94.999852725656993</v>
      </c>
      <c r="AN2183">
        <v>1.0000000249151899</v>
      </c>
    </row>
    <row r="2184" spans="1:40" x14ac:dyDescent="0.25">
      <c r="A2184" t="str">
        <f>"20190303170805794"</f>
        <v>20190303170805794</v>
      </c>
      <c r="B2184" t="str">
        <f>"1551604085784813"</f>
        <v>1551604085784813</v>
      </c>
      <c r="C2184" t="s">
        <v>40</v>
      </c>
      <c r="D2184">
        <v>4.7175630000000002</v>
      </c>
      <c r="E2184">
        <v>0.50218589999999996</v>
      </c>
      <c r="F2184" t="s">
        <v>57</v>
      </c>
      <c r="G2184">
        <v>-492.21899999999999</v>
      </c>
      <c r="H2184" s="1">
        <v>5.2103209999999899E-7</v>
      </c>
      <c r="I2184">
        <v>201.29820000000001</v>
      </c>
      <c r="J2184">
        <v>-496.53699999999998</v>
      </c>
      <c r="K2184">
        <v>1.1230260000000001</v>
      </c>
      <c r="L2184">
        <v>238.64189999999999</v>
      </c>
      <c r="M2184">
        <v>2.7240830000000001E-2</v>
      </c>
      <c r="N2184">
        <v>-1.391997E-2</v>
      </c>
      <c r="O2184">
        <v>-0.99953210000000003</v>
      </c>
      <c r="P2184">
        <v>0.11230710000000001</v>
      </c>
      <c r="Q2184">
        <v>0.17763209999999999</v>
      </c>
      <c r="R2184">
        <v>-0.97766799999999998</v>
      </c>
      <c r="S2184">
        <v>0.35052489999999997</v>
      </c>
      <c r="T2184">
        <v>-9.0973380000000006E-2</v>
      </c>
      <c r="U2184">
        <v>-3.044724</v>
      </c>
      <c r="V2184">
        <v>-8.6406259999999999E-2</v>
      </c>
      <c r="W2184">
        <v>0.1909121</v>
      </c>
      <c r="X2184">
        <v>0.97779680000000002</v>
      </c>
      <c r="Y2184">
        <v>-8.7222140000000004E-2</v>
      </c>
      <c r="Z2184">
        <v>1.5799259999999999E-2</v>
      </c>
      <c r="AA2184">
        <v>0.99606360000000005</v>
      </c>
      <c r="AB2184">
        <v>25</v>
      </c>
      <c r="AC2184">
        <v>4.3179999999999801</v>
      </c>
      <c r="AD2184">
        <v>-1.1230254789678999</v>
      </c>
      <c r="AE2184">
        <v>-37.343699999999899</v>
      </c>
      <c r="AF2184">
        <v>-3.2960839108131199</v>
      </c>
      <c r="AG2184">
        <v>-1.1230254789678999</v>
      </c>
      <c r="AH2184">
        <v>37.414086714179199</v>
      </c>
      <c r="AI2184">
        <v>91.712651160682597</v>
      </c>
      <c r="AJ2184">
        <v>95.034611484230794</v>
      </c>
      <c r="AK2184">
        <v>37.575779965686003</v>
      </c>
      <c r="AL2184">
        <v>78.993982210326806</v>
      </c>
      <c r="AM2184">
        <v>95.050013891560894</v>
      </c>
      <c r="AN2184">
        <v>1.00000002689191</v>
      </c>
    </row>
    <row r="2185" spans="1:40" x14ac:dyDescent="0.25">
      <c r="A2185" t="str">
        <f>"20190303170805819"</f>
        <v>20190303170805819</v>
      </c>
      <c r="B2185" t="str">
        <f>"1551604085805309"</f>
        <v>1551604085805309</v>
      </c>
      <c r="C2185" t="s">
        <v>40</v>
      </c>
      <c r="D2185">
        <v>4.7170019999999999</v>
      </c>
      <c r="E2185">
        <v>0.50233729999999999</v>
      </c>
      <c r="F2185" t="s">
        <v>57</v>
      </c>
      <c r="G2185">
        <v>-492.08429999999998</v>
      </c>
      <c r="H2185" s="1">
        <v>3.5095279999999899E-7</v>
      </c>
      <c r="I2185">
        <v>200.7492</v>
      </c>
      <c r="J2185">
        <v>-496.52640000000002</v>
      </c>
      <c r="K2185">
        <v>1.1231930000000001</v>
      </c>
      <c r="L2185">
        <v>238.37129999999999</v>
      </c>
      <c r="M2185">
        <v>3.017591E-2</v>
      </c>
      <c r="N2185">
        <v>-1.392476E-2</v>
      </c>
      <c r="O2185">
        <v>-0.9994478</v>
      </c>
      <c r="P2185">
        <v>0.1157601</v>
      </c>
      <c r="Q2185">
        <v>0.17966889999999999</v>
      </c>
      <c r="R2185">
        <v>-0.97689269999999995</v>
      </c>
      <c r="S2185">
        <v>0.35766599999999998</v>
      </c>
      <c r="T2185">
        <v>-9.0208410000000003E-2</v>
      </c>
      <c r="U2185">
        <v>-3.043777</v>
      </c>
      <c r="V2185">
        <v>-8.7085360000000001E-2</v>
      </c>
      <c r="W2185">
        <v>0.19291130000000001</v>
      </c>
      <c r="X2185">
        <v>0.97734399999999999</v>
      </c>
      <c r="Y2185">
        <v>-8.6638380000000001E-2</v>
      </c>
      <c r="Z2185">
        <v>1.554989E-2</v>
      </c>
      <c r="AA2185">
        <v>0.99611850000000002</v>
      </c>
      <c r="AB2185">
        <v>25</v>
      </c>
      <c r="AC2185">
        <v>4.4421000000000301</v>
      </c>
      <c r="AD2185">
        <v>-1.1231926490472</v>
      </c>
      <c r="AE2185">
        <v>-37.622099999999897</v>
      </c>
      <c r="AF2185">
        <v>-3.30178332095889</v>
      </c>
      <c r="AG2185">
        <v>-1.1231926490472</v>
      </c>
      <c r="AH2185">
        <v>37.7058760310805</v>
      </c>
      <c r="AI2185">
        <v>91.699736881263703</v>
      </c>
      <c r="AJ2185">
        <v>95.004443479928995</v>
      </c>
      <c r="AK2185">
        <v>37.866824821955198</v>
      </c>
      <c r="AL2185">
        <v>78.877266258076801</v>
      </c>
      <c r="AM2185">
        <v>95.091841796906806</v>
      </c>
      <c r="AN2185">
        <v>0.99999996196500895</v>
      </c>
    </row>
    <row r="2186" spans="1:40" x14ac:dyDescent="0.25">
      <c r="A2186" t="str">
        <f>"20190303170805842"</f>
        <v>20190303170805842</v>
      </c>
      <c r="B2186" t="str">
        <f>"1551604085834589"</f>
        <v>1551604085834589</v>
      </c>
      <c r="C2186" t="s">
        <v>40</v>
      </c>
      <c r="D2186">
        <v>4.7159709999999997</v>
      </c>
      <c r="E2186">
        <v>0.5024132</v>
      </c>
      <c r="F2186" t="s">
        <v>43</v>
      </c>
      <c r="G2186">
        <v>-491.58210000000003</v>
      </c>
      <c r="H2186" s="1">
        <v>-3.8068970000000001E-6</v>
      </c>
      <c r="I2186">
        <v>197.48179999999999</v>
      </c>
      <c r="J2186">
        <v>-496.51560000000001</v>
      </c>
      <c r="K2186">
        <v>1.1233470000000001</v>
      </c>
      <c r="L2186">
        <v>238.12209999999999</v>
      </c>
      <c r="M2186">
        <v>3.3137079999999999E-2</v>
      </c>
      <c r="N2186">
        <v>-1.392988E-2</v>
      </c>
      <c r="O2186">
        <v>-0.99935390000000002</v>
      </c>
      <c r="P2186">
        <v>0.1182116</v>
      </c>
      <c r="Q2186">
        <v>0.18097009999999999</v>
      </c>
      <c r="R2186">
        <v>-0.97635859999999997</v>
      </c>
      <c r="S2186">
        <v>0.36791990000000002</v>
      </c>
      <c r="T2186">
        <v>-8.3581210000000003E-2</v>
      </c>
      <c r="U2186">
        <v>-3.0427399999999998</v>
      </c>
      <c r="V2186">
        <v>-8.6727609999999997E-2</v>
      </c>
      <c r="W2186">
        <v>0.19418379999999999</v>
      </c>
      <c r="X2186">
        <v>0.97712379999999999</v>
      </c>
      <c r="Y2186">
        <v>-8.7040709999999993E-2</v>
      </c>
      <c r="Z2186">
        <v>1.338517E-2</v>
      </c>
      <c r="AA2186">
        <v>0.99611490000000003</v>
      </c>
      <c r="AB2186">
        <v>25</v>
      </c>
      <c r="AC2186">
        <v>4.93349999999998</v>
      </c>
      <c r="AD2186">
        <v>-1.123350806897</v>
      </c>
      <c r="AE2186">
        <v>-40.640300000000003</v>
      </c>
      <c r="AF2186">
        <v>-3.58126224993027</v>
      </c>
      <c r="AG2186">
        <v>-1.123350806897</v>
      </c>
      <c r="AH2186">
        <v>40.7507911649909</v>
      </c>
      <c r="AI2186">
        <v>91.572976451362294</v>
      </c>
      <c r="AJ2186">
        <v>95.022366268045801</v>
      </c>
      <c r="AK2186">
        <v>40.923273780464299</v>
      </c>
      <c r="AL2186">
        <v>78.802952288063395</v>
      </c>
      <c r="AM2186">
        <v>95.072170427131795</v>
      </c>
      <c r="AN2186">
        <v>0.99999997352259495</v>
      </c>
    </row>
    <row r="2187" spans="1:40" x14ac:dyDescent="0.25">
      <c r="A2187" t="str">
        <f>"20190303170805865"</f>
        <v>20190303170805865</v>
      </c>
      <c r="B2187" t="str">
        <f>"1551604085855086"</f>
        <v>1551604085855086</v>
      </c>
      <c r="C2187" t="s">
        <v>40</v>
      </c>
      <c r="D2187">
        <v>4.4758089999999999</v>
      </c>
      <c r="E2187">
        <v>0.50257189999999996</v>
      </c>
      <c r="F2187" t="s">
        <v>43</v>
      </c>
      <c r="G2187">
        <v>-491.19920000000002</v>
      </c>
      <c r="H2187" s="1">
        <v>-2.6856199999999999E-6</v>
      </c>
      <c r="I2187">
        <v>195.10560000000001</v>
      </c>
      <c r="J2187">
        <v>-496.50360000000001</v>
      </c>
      <c r="K2187">
        <v>1.123518</v>
      </c>
      <c r="L2187">
        <v>237.8663</v>
      </c>
      <c r="M2187">
        <v>3.6442420000000003E-2</v>
      </c>
      <c r="N2187">
        <v>-1.3936759999999999E-2</v>
      </c>
      <c r="O2187">
        <v>-0.99923859999999998</v>
      </c>
      <c r="P2187">
        <v>0.12077889999999999</v>
      </c>
      <c r="Q2187">
        <v>0.18124889999999999</v>
      </c>
      <c r="R2187">
        <v>-0.97599230000000003</v>
      </c>
      <c r="S2187">
        <v>0.375946</v>
      </c>
      <c r="T2187">
        <v>-7.9435829999999999E-2</v>
      </c>
      <c r="U2187">
        <v>-3.0418400000000001</v>
      </c>
      <c r="V2187">
        <v>-8.6147760000000004E-2</v>
      </c>
      <c r="W2187">
        <v>0.19443730000000001</v>
      </c>
      <c r="X2187">
        <v>0.97712469999999996</v>
      </c>
      <c r="Y2187">
        <v>-8.6373420000000006E-2</v>
      </c>
      <c r="Z2187">
        <v>1.2028820000000001E-2</v>
      </c>
      <c r="AA2187">
        <v>0.99619020000000003</v>
      </c>
      <c r="AB2187">
        <v>25</v>
      </c>
      <c r="AC2187">
        <v>5.3043999999999798</v>
      </c>
      <c r="AD2187">
        <v>-1.12352068562</v>
      </c>
      <c r="AE2187">
        <v>-42.7606999999999</v>
      </c>
      <c r="AF2187">
        <v>-3.7398784753353498</v>
      </c>
      <c r="AG2187">
        <v>-1.12352068562</v>
      </c>
      <c r="AH2187">
        <v>42.896449826639902</v>
      </c>
      <c r="AI2187">
        <v>91.494650061212496</v>
      </c>
      <c r="AJ2187">
        <v>94.982668773720306</v>
      </c>
      <c r="AK2187">
        <v>43.073824969123898</v>
      </c>
      <c r="AL2187">
        <v>78.788145777349499</v>
      </c>
      <c r="AM2187">
        <v>95.038429049123806</v>
      </c>
      <c r="AN2187">
        <v>0.99999998976719795</v>
      </c>
    </row>
    <row r="2188" spans="1:40" x14ac:dyDescent="0.25">
      <c r="A2188" t="str">
        <f>"20190303170805887"</f>
        <v>20190303170805887</v>
      </c>
      <c r="B2188" t="str">
        <f>"1551604085874605"</f>
        <v>1551604085874605</v>
      </c>
      <c r="C2188" t="s">
        <v>40</v>
      </c>
      <c r="D2188">
        <v>4.5946480000000003</v>
      </c>
      <c r="E2188">
        <v>0.50272570000000005</v>
      </c>
      <c r="F2188" t="s">
        <v>43</v>
      </c>
      <c r="G2188">
        <v>-491.04669999999999</v>
      </c>
      <c r="H2188" s="1">
        <v>-2.4074500000000001E-6</v>
      </c>
      <c r="I2188">
        <v>194.55170000000001</v>
      </c>
      <c r="J2188">
        <v>-496.49119999999999</v>
      </c>
      <c r="K2188">
        <v>1.1236870000000001</v>
      </c>
      <c r="L2188">
        <v>237.6251</v>
      </c>
      <c r="M2188">
        <v>3.9817020000000002E-2</v>
      </c>
      <c r="N2188">
        <v>-1.3944969999999999E-2</v>
      </c>
      <c r="O2188">
        <v>-0.99910980000000005</v>
      </c>
      <c r="P2188">
        <v>0.12407990000000001</v>
      </c>
      <c r="Q2188">
        <v>0.1805706</v>
      </c>
      <c r="R2188">
        <v>-0.97570440000000003</v>
      </c>
      <c r="S2188">
        <v>0.38311770000000001</v>
      </c>
      <c r="T2188">
        <v>-7.8880069999999997E-2</v>
      </c>
      <c r="U2188">
        <v>-3.0410309999999998</v>
      </c>
      <c r="V2188">
        <v>-8.6226179999999999E-2</v>
      </c>
      <c r="W2188">
        <v>0.1937324</v>
      </c>
      <c r="X2188">
        <v>0.97725779999999995</v>
      </c>
      <c r="Y2188">
        <v>-8.535479E-2</v>
      </c>
      <c r="Z2188">
        <v>1.184202E-2</v>
      </c>
      <c r="AA2188">
        <v>0.99628030000000001</v>
      </c>
      <c r="AB2188">
        <v>25</v>
      </c>
      <c r="AC2188">
        <v>5.4444999999999997</v>
      </c>
      <c r="AD2188">
        <v>-1.1236894074499999</v>
      </c>
      <c r="AE2188">
        <v>-43.0733999999999</v>
      </c>
      <c r="AF2188">
        <v>-3.72246704330531</v>
      </c>
      <c r="AG2188">
        <v>-1.1236894074499999</v>
      </c>
      <c r="AH2188">
        <v>43.2270839448747</v>
      </c>
      <c r="AI2188">
        <v>91.483582000711493</v>
      </c>
      <c r="AJ2188">
        <v>94.921839662425697</v>
      </c>
      <c r="AK2188">
        <v>43.401615467055599</v>
      </c>
      <c r="AL2188">
        <v>78.829316586172595</v>
      </c>
      <c r="AM2188">
        <v>95.042308571655994</v>
      </c>
      <c r="AN2188">
        <v>1.0000000022939901</v>
      </c>
    </row>
    <row r="2189" spans="1:40" x14ac:dyDescent="0.25">
      <c r="A2189" t="str">
        <f>"20190303170805906"</f>
        <v>20190303170805906</v>
      </c>
      <c r="B2189" t="str">
        <f>"1551604085895101"</f>
        <v>1551604085895101</v>
      </c>
      <c r="C2189" t="s">
        <v>40</v>
      </c>
      <c r="D2189">
        <v>4.5351929999999996</v>
      </c>
      <c r="E2189">
        <v>0.50287820000000005</v>
      </c>
      <c r="F2189" t="s">
        <v>43</v>
      </c>
      <c r="G2189">
        <v>-491.08370000000002</v>
      </c>
      <c r="H2189" s="1">
        <v>-2.8644620000000001E-6</v>
      </c>
      <c r="I2189">
        <v>195.5941</v>
      </c>
      <c r="J2189">
        <v>-496.4785</v>
      </c>
      <c r="K2189">
        <v>1.1238680000000001</v>
      </c>
      <c r="L2189">
        <v>237.39920000000001</v>
      </c>
      <c r="M2189">
        <v>4.3209690000000002E-2</v>
      </c>
      <c r="N2189">
        <v>-1.3953899999999899E-2</v>
      </c>
      <c r="O2189">
        <v>-0.99896870000000004</v>
      </c>
      <c r="P2189">
        <v>0.1276803</v>
      </c>
      <c r="Q2189">
        <v>0.1802541</v>
      </c>
      <c r="R2189">
        <v>-0.97529809999999995</v>
      </c>
      <c r="S2189">
        <v>0.3911133</v>
      </c>
      <c r="T2189">
        <v>-8.1274750000000007E-2</v>
      </c>
      <c r="U2189">
        <v>-3.0400390000000002</v>
      </c>
      <c r="V2189">
        <v>-8.6590539999999994E-2</v>
      </c>
      <c r="W2189">
        <v>0.19338759999999999</v>
      </c>
      <c r="X2189">
        <v>0.97729379999999999</v>
      </c>
      <c r="Y2189">
        <v>-8.4588549999999998E-2</v>
      </c>
      <c r="Z2189">
        <v>1.2617710000000001E-2</v>
      </c>
      <c r="AA2189">
        <v>0.99633609999999995</v>
      </c>
      <c r="AB2189">
        <v>25</v>
      </c>
      <c r="AC2189">
        <v>5.3947999999999698</v>
      </c>
      <c r="AD2189">
        <v>-1.1238708644619999</v>
      </c>
      <c r="AE2189">
        <v>-41.805100000000003</v>
      </c>
      <c r="AF2189">
        <v>-3.5806538951186502</v>
      </c>
      <c r="AG2189">
        <v>-1.1238708644619999</v>
      </c>
      <c r="AH2189">
        <v>41.969342268876701</v>
      </c>
      <c r="AI2189">
        <v>91.528371767783497</v>
      </c>
      <c r="AJ2189">
        <v>94.876434630065901</v>
      </c>
      <c r="AK2189">
        <v>42.136799338805197</v>
      </c>
      <c r="AL2189">
        <v>78.849452148111297</v>
      </c>
      <c r="AM2189">
        <v>95.063319418767094</v>
      </c>
      <c r="AN2189">
        <v>0.99999992848484298</v>
      </c>
    </row>
    <row r="2190" spans="1:40" x14ac:dyDescent="0.25">
      <c r="A2190" t="str">
        <f>"20190303170805930"</f>
        <v>20190303170805930</v>
      </c>
      <c r="B2190" t="str">
        <f>"1551604085925357"</f>
        <v>1551604085925357</v>
      </c>
      <c r="C2190" t="s">
        <v>40</v>
      </c>
      <c r="D2190">
        <v>4.4242210000000002</v>
      </c>
      <c r="E2190">
        <v>0.50316669999999997</v>
      </c>
      <c r="F2190" t="s">
        <v>43</v>
      </c>
      <c r="G2190">
        <v>-491.02609999999999</v>
      </c>
      <c r="H2190" s="1">
        <v>-3.0116550000000001E-6</v>
      </c>
      <c r="I2190">
        <v>195.97290000000001</v>
      </c>
      <c r="J2190">
        <v>-496.4633</v>
      </c>
      <c r="K2190">
        <v>1.1240570000000001</v>
      </c>
      <c r="L2190">
        <v>237.14850000000001</v>
      </c>
      <c r="M2190">
        <v>4.7224080000000002E-2</v>
      </c>
      <c r="N2190">
        <v>-1.396468E-2</v>
      </c>
      <c r="O2190">
        <v>-0.99878679999999997</v>
      </c>
      <c r="P2190">
        <v>0.13139210000000001</v>
      </c>
      <c r="Q2190">
        <v>0.180642</v>
      </c>
      <c r="R2190">
        <v>-0.97473339999999997</v>
      </c>
      <c r="S2190">
        <v>0.39996340000000002</v>
      </c>
      <c r="T2190">
        <v>-8.2442639999999998E-2</v>
      </c>
      <c r="U2190">
        <v>-3.0388639999999998</v>
      </c>
      <c r="V2190">
        <v>-8.6476150000000002E-2</v>
      </c>
      <c r="W2190">
        <v>0.1937478</v>
      </c>
      <c r="X2190">
        <v>0.97723260000000001</v>
      </c>
      <c r="Y2190">
        <v>-8.3485519999999994E-2</v>
      </c>
      <c r="Z2190">
        <v>1.299176E-2</v>
      </c>
      <c r="AA2190">
        <v>0.99642430000000004</v>
      </c>
      <c r="AB2190">
        <v>25</v>
      </c>
      <c r="AC2190">
        <v>5.4372000000000096</v>
      </c>
      <c r="AD2190">
        <v>-1.1240600116549999</v>
      </c>
      <c r="AE2190">
        <v>-41.175600000000003</v>
      </c>
      <c r="AF2190">
        <v>-3.4839115126353302</v>
      </c>
      <c r="AG2190">
        <v>-1.1240600116549999</v>
      </c>
      <c r="AH2190">
        <v>41.356151800019603</v>
      </c>
      <c r="AI2190">
        <v>91.551423172749395</v>
      </c>
      <c r="AJ2190">
        <v>94.8153230288885</v>
      </c>
      <c r="AK2190">
        <v>41.517856905721104</v>
      </c>
      <c r="AL2190">
        <v>78.828416536407005</v>
      </c>
      <c r="AM2190">
        <v>95.056980283684396</v>
      </c>
      <c r="AN2190">
        <v>0.99999994451320895</v>
      </c>
    </row>
    <row r="2191" spans="1:40" x14ac:dyDescent="0.25">
      <c r="A2191" t="str">
        <f>"20190303170805952"</f>
        <v>20190303170805952</v>
      </c>
      <c r="B2191" t="str">
        <f>"1551604085944877"</f>
        <v>1551604085944877</v>
      </c>
      <c r="C2191" t="s">
        <v>40</v>
      </c>
      <c r="D2191">
        <v>4.5403120000000001</v>
      </c>
      <c r="E2191">
        <v>0.50332370000000004</v>
      </c>
      <c r="F2191" t="s">
        <v>43</v>
      </c>
      <c r="G2191">
        <v>-490.89069999999998</v>
      </c>
      <c r="H2191" s="1">
        <v>-2.9043389999999999E-6</v>
      </c>
      <c r="I2191">
        <v>195.80680000000001</v>
      </c>
      <c r="J2191">
        <v>-496.44619999999998</v>
      </c>
      <c r="K2191">
        <v>1.124234</v>
      </c>
      <c r="L2191">
        <v>236.8914</v>
      </c>
      <c r="M2191">
        <v>5.1628670000000002E-2</v>
      </c>
      <c r="N2191">
        <v>-1.3976199999999999E-2</v>
      </c>
      <c r="O2191">
        <v>-0.99856849999999997</v>
      </c>
      <c r="P2191">
        <v>0.135543</v>
      </c>
      <c r="Q2191">
        <v>0.18175459999999999</v>
      </c>
      <c r="R2191">
        <v>-0.97395759999999998</v>
      </c>
      <c r="S2191">
        <v>0.40948489999999999</v>
      </c>
      <c r="T2191">
        <v>-8.2598210000000005E-2</v>
      </c>
      <c r="U2191">
        <v>-3.0378720000000001</v>
      </c>
      <c r="V2191">
        <v>-8.6429729999999996E-2</v>
      </c>
      <c r="W2191">
        <v>0.19483300000000001</v>
      </c>
      <c r="X2191">
        <v>0.97702100000000003</v>
      </c>
      <c r="Y2191">
        <v>-8.220131E-2</v>
      </c>
      <c r="Z2191">
        <v>1.303197E-2</v>
      </c>
      <c r="AA2191">
        <v>0.99653049999999999</v>
      </c>
      <c r="AB2191">
        <v>25</v>
      </c>
      <c r="AC2191">
        <v>5.5554999999999897</v>
      </c>
      <c r="AD2191">
        <v>-1.1242369043389999</v>
      </c>
      <c r="AE2191">
        <v>-41.084600000000002</v>
      </c>
      <c r="AF2191">
        <v>-3.4242209411489002</v>
      </c>
      <c r="AG2191">
        <v>-1.1242369043389999</v>
      </c>
      <c r="AH2191">
        <v>41.2862884817633</v>
      </c>
      <c r="AI2191">
        <v>91.554459664512294</v>
      </c>
      <c r="AJ2191">
        <v>94.7411720765231</v>
      </c>
      <c r="AK2191">
        <v>41.443296373119999</v>
      </c>
      <c r="AL2191">
        <v>78.765032088903098</v>
      </c>
      <c r="AM2191">
        <v>95.055368751887599</v>
      </c>
      <c r="AN2191">
        <v>1.0000000152789299</v>
      </c>
    </row>
    <row r="2192" spans="1:40" x14ac:dyDescent="0.25">
      <c r="A2192" t="str">
        <f>"20190303170805976"</f>
        <v>20190303170805976</v>
      </c>
      <c r="B2192" t="str">
        <f>"1551604085964396"</f>
        <v>1551604085964396</v>
      </c>
      <c r="C2192" t="s">
        <v>40</v>
      </c>
      <c r="D2192">
        <v>4.5413639999999997</v>
      </c>
      <c r="E2192">
        <v>0.50348669999999995</v>
      </c>
      <c r="F2192" t="s">
        <v>43</v>
      </c>
      <c r="G2192">
        <v>-490.50110000000001</v>
      </c>
      <c r="H2192" s="1">
        <v>-2.0613589999999998E-6</v>
      </c>
      <c r="I2192">
        <v>194.08340000000001</v>
      </c>
      <c r="J2192">
        <v>-496.42829999999998</v>
      </c>
      <c r="K2192">
        <v>1.1243639999999999</v>
      </c>
      <c r="L2192">
        <v>236.64250000000001</v>
      </c>
      <c r="M2192">
        <v>5.6100869999999997E-2</v>
      </c>
      <c r="N2192">
        <v>-1.398687E-2</v>
      </c>
      <c r="O2192">
        <v>-0.99832710000000002</v>
      </c>
      <c r="P2192">
        <v>0.14018320000000001</v>
      </c>
      <c r="Q2192">
        <v>0.18081369999999999</v>
      </c>
      <c r="R2192">
        <v>-0.9734758</v>
      </c>
      <c r="S2192">
        <v>0.42169190000000001</v>
      </c>
      <c r="T2192">
        <v>-7.9743030000000006E-2</v>
      </c>
      <c r="U2192">
        <v>-3.0364070000000001</v>
      </c>
      <c r="V2192">
        <v>-8.6760550000000006E-2</v>
      </c>
      <c r="W2192">
        <v>0.1938732</v>
      </c>
      <c r="X2192">
        <v>0.97718260000000001</v>
      </c>
      <c r="Y2192">
        <v>-8.1735829999999995E-2</v>
      </c>
      <c r="Z2192">
        <v>1.20921E-2</v>
      </c>
      <c r="AA2192">
        <v>0.99658069999999999</v>
      </c>
      <c r="AB2192">
        <v>25</v>
      </c>
      <c r="AC2192">
        <v>5.9271999999999698</v>
      </c>
      <c r="AD2192">
        <v>-1.1243660613590001</v>
      </c>
      <c r="AE2192">
        <v>-42.559100000000001</v>
      </c>
      <c r="AF2192">
        <v>-3.5276119845601799</v>
      </c>
      <c r="AG2192">
        <v>-1.1243660613590001</v>
      </c>
      <c r="AH2192">
        <v>42.795313325214103</v>
      </c>
      <c r="AI2192">
        <v>91.499907475225896</v>
      </c>
      <c r="AJ2192">
        <v>94.712230049926305</v>
      </c>
      <c r="AK2192">
        <v>42.9551753337918</v>
      </c>
      <c r="AL2192">
        <v>78.821093659337507</v>
      </c>
      <c r="AM2192">
        <v>95.073783103284001</v>
      </c>
      <c r="AN2192">
        <v>1.00000002222865</v>
      </c>
    </row>
    <row r="2193" spans="1:40" x14ac:dyDescent="0.25">
      <c r="A2193" t="str">
        <f>"20190303170805996"</f>
        <v>20190303170805996</v>
      </c>
      <c r="B2193" t="str">
        <f>"1551604085984893"</f>
        <v>1551604085984893</v>
      </c>
      <c r="C2193" t="s">
        <v>40</v>
      </c>
      <c r="D2193">
        <v>4.3737259999999996</v>
      </c>
      <c r="E2193">
        <v>0.50369940000000002</v>
      </c>
      <c r="F2193" t="s">
        <v>43</v>
      </c>
      <c r="G2193">
        <v>-490.58580000000001</v>
      </c>
      <c r="H2193" s="1">
        <v>-2.8077729999999999E-6</v>
      </c>
      <c r="I2193">
        <v>195.77080000000001</v>
      </c>
      <c r="J2193">
        <v>-496.41070000000002</v>
      </c>
      <c r="K2193">
        <v>1.1244670000000001</v>
      </c>
      <c r="L2193">
        <v>236.41329999999999</v>
      </c>
      <c r="M2193">
        <v>6.0401660000000003E-2</v>
      </c>
      <c r="N2193">
        <v>-1.3995850000000001E-2</v>
      </c>
      <c r="O2193">
        <v>-0.99807619999999997</v>
      </c>
      <c r="P2193">
        <v>0.14528350000000001</v>
      </c>
      <c r="Q2193">
        <v>0.17900469999999999</v>
      </c>
      <c r="R2193">
        <v>-0.97306239999999999</v>
      </c>
      <c r="S2193">
        <v>0.43380740000000001</v>
      </c>
      <c r="T2193">
        <v>-8.3484169999999996E-2</v>
      </c>
      <c r="U2193">
        <v>-3.034729</v>
      </c>
      <c r="V2193">
        <v>-8.7693770000000004E-2</v>
      </c>
      <c r="W2193">
        <v>0.1920462</v>
      </c>
      <c r="X2193">
        <v>0.97746</v>
      </c>
      <c r="Y2193">
        <v>-8.1415150000000006E-2</v>
      </c>
      <c r="Z2193">
        <v>1.3306749999999999E-2</v>
      </c>
      <c r="AA2193">
        <v>0.99659140000000002</v>
      </c>
      <c r="AB2193">
        <v>25</v>
      </c>
      <c r="AC2193">
        <v>5.8249000000000102</v>
      </c>
      <c r="AD2193">
        <v>-1.124469807773</v>
      </c>
      <c r="AE2193">
        <v>-40.642499999999899</v>
      </c>
      <c r="AF2193">
        <v>-3.3566303052876298</v>
      </c>
      <c r="AG2193">
        <v>-1.124469807773</v>
      </c>
      <c r="AH2193">
        <v>40.889476359683101</v>
      </c>
      <c r="AI2193">
        <v>91.569971478237704</v>
      </c>
      <c r="AJ2193">
        <v>94.692906348554402</v>
      </c>
      <c r="AK2193">
        <v>41.042425322147501</v>
      </c>
      <c r="AL2193">
        <v>78.927777720906406</v>
      </c>
      <c r="AM2193">
        <v>95.126621068295293</v>
      </c>
      <c r="AN2193">
        <v>0.99999999591562605</v>
      </c>
    </row>
    <row r="2194" spans="1:40" x14ac:dyDescent="0.25">
      <c r="A2194" t="str">
        <f>"20190303170806020"</f>
        <v>20190303170806020</v>
      </c>
      <c r="B2194" t="str">
        <f>"1551604086015148"</f>
        <v>1551604086015148</v>
      </c>
      <c r="C2194" t="s">
        <v>40</v>
      </c>
      <c r="D2194">
        <v>4.3600680000000001</v>
      </c>
      <c r="E2194">
        <v>0.50391859999999999</v>
      </c>
      <c r="F2194" t="s">
        <v>43</v>
      </c>
      <c r="G2194">
        <v>-490.80169999999998</v>
      </c>
      <c r="H2194" s="1">
        <v>-3.9643310000000001E-6</v>
      </c>
      <c r="I2194">
        <v>198.33279999999999</v>
      </c>
      <c r="J2194">
        <v>-496.39049999999997</v>
      </c>
      <c r="K2194">
        <v>1.124593</v>
      </c>
      <c r="L2194">
        <v>236.1679</v>
      </c>
      <c r="M2194">
        <v>6.5211309999999995E-2</v>
      </c>
      <c r="N2194">
        <v>-1.400584E-2</v>
      </c>
      <c r="O2194">
        <v>-0.99777320000000003</v>
      </c>
      <c r="P2194">
        <v>0.1514616</v>
      </c>
      <c r="Q2194">
        <v>0.17711279999999999</v>
      </c>
      <c r="R2194">
        <v>-0.97246630000000001</v>
      </c>
      <c r="S2194">
        <v>0.44671630000000001</v>
      </c>
      <c r="T2194">
        <v>-8.95561E-2</v>
      </c>
      <c r="U2194">
        <v>-3.0328369999999998</v>
      </c>
      <c r="V2194">
        <v>-8.9213929999999997E-2</v>
      </c>
      <c r="W2194">
        <v>0.19012999999999999</v>
      </c>
      <c r="X2194">
        <v>0.97769700000000004</v>
      </c>
      <c r="Y2194">
        <v>-8.0847810000000006E-2</v>
      </c>
      <c r="Z2194">
        <v>1.5280210000000001E-2</v>
      </c>
      <c r="AA2194">
        <v>0.99660930000000003</v>
      </c>
      <c r="AB2194">
        <v>25</v>
      </c>
      <c r="AC2194">
        <v>5.5887999999999902</v>
      </c>
      <c r="AD2194">
        <v>-1.1245969643310001</v>
      </c>
      <c r="AE2194">
        <v>-37.835099999999997</v>
      </c>
      <c r="AF2194">
        <v>-3.1066972157068098</v>
      </c>
      <c r="AG2194">
        <v>-1.1245969643310001</v>
      </c>
      <c r="AH2194">
        <v>38.086109672086003</v>
      </c>
      <c r="AI2194">
        <v>91.685728139634307</v>
      </c>
      <c r="AJ2194">
        <v>94.6633121615736</v>
      </c>
      <c r="AK2194">
        <v>38.229151649970298</v>
      </c>
      <c r="AL2194">
        <v>79.039628866279998</v>
      </c>
      <c r="AM2194">
        <v>95.213747317937106</v>
      </c>
      <c r="AN2194">
        <v>0.99999998300752202</v>
      </c>
    </row>
    <row r="2195" spans="1:40" x14ac:dyDescent="0.25">
      <c r="A2195" t="str">
        <f>"20190303170806043"</f>
        <v>20190303170806043</v>
      </c>
      <c r="B2195" t="str">
        <f>"1551604086034669"</f>
        <v>1551604086034669</v>
      </c>
      <c r="C2195" t="s">
        <v>40</v>
      </c>
      <c r="D2195">
        <v>4.3594780000000002</v>
      </c>
      <c r="E2195">
        <v>0.51149100000000003</v>
      </c>
      <c r="F2195" t="s">
        <v>57</v>
      </c>
      <c r="G2195">
        <v>-490.95929999999998</v>
      </c>
      <c r="H2195" s="1">
        <v>3.3512279999999999E-7</v>
      </c>
      <c r="I2195">
        <v>200.69810000000001</v>
      </c>
      <c r="J2195">
        <v>-496.36790000000002</v>
      </c>
      <c r="K2195">
        <v>1.124727</v>
      </c>
      <c r="L2195">
        <v>235.911</v>
      </c>
      <c r="M2195">
        <v>7.0477979999999996E-2</v>
      </c>
      <c r="N2195">
        <v>-1.4018330000000001E-2</v>
      </c>
      <c r="O2195">
        <v>-0.99741489999999999</v>
      </c>
      <c r="P2195">
        <v>0.15749859999999999</v>
      </c>
      <c r="Q2195">
        <v>0.17667189999999999</v>
      </c>
      <c r="R2195">
        <v>-0.97158719999999998</v>
      </c>
      <c r="S2195">
        <v>0.46398929999999999</v>
      </c>
      <c r="T2195">
        <v>-9.607446E-2</v>
      </c>
      <c r="U2195">
        <v>-3.0301969999999998</v>
      </c>
      <c r="V2195">
        <v>-9.0181600000000001E-2</v>
      </c>
      <c r="W2195">
        <v>0.18966369999999999</v>
      </c>
      <c r="X2195">
        <v>0.97769879999999998</v>
      </c>
      <c r="Y2195">
        <v>-8.125976E-2</v>
      </c>
      <c r="Z2195">
        <v>1.7397550000000001E-2</v>
      </c>
      <c r="AA2195">
        <v>0.99654109999999996</v>
      </c>
      <c r="AB2195">
        <v>25</v>
      </c>
      <c r="AC2195">
        <v>5.4086000000000301</v>
      </c>
      <c r="AD2195">
        <v>-1.1247266648772001</v>
      </c>
      <c r="AE2195">
        <v>-35.212899999999898</v>
      </c>
      <c r="AF2195">
        <v>-2.9102695530404299</v>
      </c>
      <c r="AG2195">
        <v>-1.1247266648772001</v>
      </c>
      <c r="AH2195">
        <v>35.4711906881479</v>
      </c>
      <c r="AI2195">
        <v>91.810058060780804</v>
      </c>
      <c r="AJ2195">
        <v>94.690384228254104</v>
      </c>
      <c r="AK2195">
        <v>35.608145806500403</v>
      </c>
      <c r="AL2195">
        <v>79.066841137765294</v>
      </c>
      <c r="AM2195">
        <v>95.269972509293495</v>
      </c>
      <c r="AN2195">
        <v>0.99999999179884502</v>
      </c>
    </row>
    <row r="2196" spans="1:40" x14ac:dyDescent="0.25">
      <c r="A2196" t="str">
        <f>"20190303170806066"</f>
        <v>20190303170806066</v>
      </c>
      <c r="B2196" t="str">
        <f>"1551604086055165"</f>
        <v>1551604086055165</v>
      </c>
      <c r="C2196" t="s">
        <v>40</v>
      </c>
      <c r="D2196">
        <v>4.3150259999999996</v>
      </c>
      <c r="E2196">
        <v>0.4915465</v>
      </c>
      <c r="F2196" t="s">
        <v>57</v>
      </c>
      <c r="G2196">
        <v>-492.72250000000003</v>
      </c>
      <c r="H2196" s="1">
        <v>2.6144360000000001E-6</v>
      </c>
      <c r="I2196">
        <v>209.77619999999999</v>
      </c>
      <c r="J2196">
        <v>-496.34300000000002</v>
      </c>
      <c r="K2196">
        <v>1.124878</v>
      </c>
      <c r="L2196">
        <v>235.64699999999999</v>
      </c>
      <c r="M2196">
        <v>7.6151269999999993E-2</v>
      </c>
      <c r="N2196">
        <v>-1.4033749999999999E-2</v>
      </c>
      <c r="O2196">
        <v>-0.99699760000000004</v>
      </c>
      <c r="P2196">
        <v>0.1632217</v>
      </c>
      <c r="Q2196">
        <v>0.1766229</v>
      </c>
      <c r="R2196">
        <v>-0.97065100000000004</v>
      </c>
      <c r="S2196">
        <v>0.42440800000000001</v>
      </c>
      <c r="T2196">
        <v>-0.13094510000000001</v>
      </c>
      <c r="U2196">
        <v>-3.0427249999999999</v>
      </c>
      <c r="V2196">
        <v>-9.0456529999999993E-2</v>
      </c>
      <c r="W2196">
        <v>0.18959200000000001</v>
      </c>
      <c r="X2196">
        <v>0.97768730000000004</v>
      </c>
      <c r="Y2196">
        <v>-6.2234409999999997E-2</v>
      </c>
      <c r="Z2196">
        <v>2.8610429999999999E-2</v>
      </c>
      <c r="AA2196">
        <v>0.99765139999999997</v>
      </c>
      <c r="AB2196">
        <v>25</v>
      </c>
      <c r="AC2196">
        <v>3.6204999999999901</v>
      </c>
      <c r="AD2196">
        <v>-1.1248753855639999</v>
      </c>
      <c r="AE2196">
        <v>-25.870799999999999</v>
      </c>
      <c r="AF2196">
        <v>-1.6366621008692199</v>
      </c>
      <c r="AG2196">
        <v>-1.1248753855639999</v>
      </c>
      <c r="AH2196">
        <v>26.023143203408001</v>
      </c>
      <c r="AI2196">
        <v>92.470249729712705</v>
      </c>
      <c r="AJ2196">
        <v>93.598738352081497</v>
      </c>
      <c r="AK2196">
        <v>26.098812035235401</v>
      </c>
      <c r="AL2196">
        <v>79.071025067372105</v>
      </c>
      <c r="AM2196">
        <v>95.286009638183998</v>
      </c>
      <c r="AN2196">
        <v>0.99999998343246499</v>
      </c>
    </row>
    <row r="2197" spans="1:40" x14ac:dyDescent="0.25">
      <c r="A2197" t="str">
        <f>"20190303170806085"</f>
        <v>20190303170806085</v>
      </c>
      <c r="B2197" t="str">
        <f>"1551604086074685"</f>
        <v>1551604086074685</v>
      </c>
      <c r="C2197" t="s">
        <v>40</v>
      </c>
      <c r="D2197">
        <v>4.4829639999999999</v>
      </c>
      <c r="E2197">
        <v>0.47454629999999998</v>
      </c>
      <c r="F2197" t="s">
        <v>57</v>
      </c>
      <c r="G2197">
        <v>-489.48520000000002</v>
      </c>
      <c r="H2197" s="1">
        <v>4.3345600000000001E-7</v>
      </c>
      <c r="I2197">
        <v>201.1508</v>
      </c>
      <c r="J2197">
        <v>-496.32229999999998</v>
      </c>
      <c r="K2197">
        <v>1.1250039999999999</v>
      </c>
      <c r="L2197">
        <v>235.4426</v>
      </c>
      <c r="M2197">
        <v>8.0771919999999997E-2</v>
      </c>
      <c r="N2197">
        <v>-1.404774E-2</v>
      </c>
      <c r="O2197">
        <v>-0.99663360000000001</v>
      </c>
      <c r="P2197">
        <v>0.16847089999999901</v>
      </c>
      <c r="Q2197">
        <v>0.17452770000000001</v>
      </c>
      <c r="R2197">
        <v>-0.97013289999999996</v>
      </c>
      <c r="S2197">
        <v>0.59799190000000002</v>
      </c>
      <c r="T2197">
        <v>-9.808791E-2</v>
      </c>
      <c r="U2197">
        <v>-3.0080260000000001</v>
      </c>
      <c r="V2197">
        <v>-9.1235499999999997E-2</v>
      </c>
      <c r="W2197">
        <v>0.1874758</v>
      </c>
      <c r="X2197">
        <v>0.97802290000000003</v>
      </c>
      <c r="Y2197">
        <v>-0.1150477</v>
      </c>
      <c r="Z2197">
        <v>1.8078839999999999E-2</v>
      </c>
      <c r="AA2197">
        <v>0.99319539999999995</v>
      </c>
      <c r="AB2197">
        <v>25</v>
      </c>
      <c r="AC2197">
        <v>6.8370999999999604</v>
      </c>
      <c r="AD2197">
        <v>-1.1250035665439999</v>
      </c>
      <c r="AE2197">
        <v>-34.291799999999903</v>
      </c>
      <c r="AF2197">
        <v>-4.0404857653022104</v>
      </c>
      <c r="AG2197">
        <v>-1.1250035665439999</v>
      </c>
      <c r="AH2197">
        <v>34.696118187332303</v>
      </c>
      <c r="AI2197">
        <v>91.844677760302403</v>
      </c>
      <c r="AJ2197">
        <v>96.642377433399602</v>
      </c>
      <c r="AK2197">
        <v>34.9487020576398</v>
      </c>
      <c r="AL2197">
        <v>79.194488085895898</v>
      </c>
      <c r="AM2197">
        <v>95.329450296903602</v>
      </c>
      <c r="AN2197">
        <v>0.99999994248514801</v>
      </c>
    </row>
    <row r="2198" spans="1:40" x14ac:dyDescent="0.25">
      <c r="A2198" t="str">
        <f>"20190303170806109"</f>
        <v>20190303170806109</v>
      </c>
      <c r="B2198" t="str">
        <f>"1551604086104941"</f>
        <v>1551604086104941</v>
      </c>
      <c r="C2198" t="s">
        <v>40</v>
      </c>
      <c r="D2198">
        <v>4.4744519999999897</v>
      </c>
      <c r="E2198">
        <v>0.45716869999999998</v>
      </c>
      <c r="F2198" t="s">
        <v>43</v>
      </c>
      <c r="G2198">
        <v>-487.17070000000001</v>
      </c>
      <c r="H2198" s="1">
        <v>-4.4736370000000002E-6</v>
      </c>
      <c r="I2198">
        <v>198.89109999999999</v>
      </c>
      <c r="J2198">
        <v>-496.2946</v>
      </c>
      <c r="K2198">
        <v>1.1252139999999999</v>
      </c>
      <c r="L2198">
        <v>235.18459999999999</v>
      </c>
      <c r="M2198">
        <v>8.689376E-2</v>
      </c>
      <c r="N2198">
        <v>-1.4067959999999999E-2</v>
      </c>
      <c r="O2198">
        <v>-0.99611850000000002</v>
      </c>
      <c r="P2198">
        <v>0.17460439999999999</v>
      </c>
      <c r="Q2198">
        <v>0.17268510000000001</v>
      </c>
      <c r="R2198">
        <v>-0.96937810000000002</v>
      </c>
      <c r="S2198">
        <v>0.74594119999999997</v>
      </c>
      <c r="T2198">
        <v>-9.1699240000000001E-2</v>
      </c>
      <c r="U2198">
        <v>-2.9793090000000002</v>
      </c>
      <c r="V2198">
        <v>-9.1463870000000003E-2</v>
      </c>
      <c r="W2198">
        <v>0.18560989999999999</v>
      </c>
      <c r="X2198">
        <v>0.97835740000000004</v>
      </c>
      <c r="Y2198">
        <v>-0.15757879999999999</v>
      </c>
      <c r="Z2198">
        <v>1.6022129999999999E-2</v>
      </c>
      <c r="AA2198">
        <v>0.98737649999999999</v>
      </c>
      <c r="AB2198">
        <v>25</v>
      </c>
      <c r="AC2198">
        <v>9.1238999999999901</v>
      </c>
      <c r="AD2198">
        <v>-1.1252184736369999</v>
      </c>
      <c r="AE2198">
        <v>-36.293500000000002</v>
      </c>
      <c r="AF2198">
        <v>-5.9300316196387204</v>
      </c>
      <c r="AG2198">
        <v>-1.1252184736369999</v>
      </c>
      <c r="AH2198">
        <v>36.915709597149103</v>
      </c>
      <c r="AI2198">
        <v>91.723792358611107</v>
      </c>
      <c r="AJ2198">
        <v>99.125863981684503</v>
      </c>
      <c r="AK2198">
        <v>37.405895346647902</v>
      </c>
      <c r="AL2198">
        <v>79.303306366982397</v>
      </c>
      <c r="AM2198">
        <v>95.340897145599598</v>
      </c>
      <c r="AN2198">
        <v>0.99999993831407097</v>
      </c>
    </row>
    <row r="2199" spans="1:40" x14ac:dyDescent="0.25">
      <c r="A2199" t="str">
        <f>"20190303170806132"</f>
        <v>20190303170806132</v>
      </c>
      <c r="B2199" t="str">
        <f>"1551604086124461"</f>
        <v>1551604086124461</v>
      </c>
      <c r="C2199" t="s">
        <v>40</v>
      </c>
      <c r="D2199">
        <v>4.408283</v>
      </c>
      <c r="E2199">
        <v>0.45211580000000001</v>
      </c>
      <c r="F2199" t="s">
        <v>43</v>
      </c>
      <c r="G2199">
        <v>-485.07080000000002</v>
      </c>
      <c r="H2199" s="1">
        <v>-4.6474620000000002E-6</v>
      </c>
      <c r="I2199">
        <v>198.428</v>
      </c>
      <c r="J2199">
        <v>-496.2663</v>
      </c>
      <c r="K2199">
        <v>1.1254219999999999</v>
      </c>
      <c r="L2199">
        <v>234.9402</v>
      </c>
      <c r="M2199">
        <v>9.3064820000000006E-2</v>
      </c>
      <c r="N2199">
        <v>-1.4091340000000001E-2</v>
      </c>
      <c r="O2199">
        <v>-0.99556029999999995</v>
      </c>
      <c r="P2199">
        <v>0.18029100000000001</v>
      </c>
      <c r="Q2199">
        <v>0.17076129999999901</v>
      </c>
      <c r="R2199">
        <v>-0.96867749999999997</v>
      </c>
      <c r="S2199">
        <v>0.90039059999999904</v>
      </c>
      <c r="T2199">
        <v>-9.0267059999999996E-2</v>
      </c>
      <c r="U2199">
        <v>-2.9486849999999998</v>
      </c>
      <c r="V2199">
        <v>-9.1188389999999994E-2</v>
      </c>
      <c r="W2199">
        <v>0.18366979999999999</v>
      </c>
      <c r="X2199">
        <v>0.97874930000000004</v>
      </c>
      <c r="Y2199">
        <v>-0.20166190000000001</v>
      </c>
      <c r="Z2199">
        <v>1.552278E-2</v>
      </c>
      <c r="AA2199">
        <v>0.97933210000000004</v>
      </c>
      <c r="AB2199">
        <v>25</v>
      </c>
      <c r="AC2199">
        <v>11.1954999999999</v>
      </c>
      <c r="AD2199">
        <v>-1.1254266474619901</v>
      </c>
      <c r="AE2199">
        <v>-36.5122</v>
      </c>
      <c r="AF2199">
        <v>-7.7418403657167598</v>
      </c>
      <c r="AG2199">
        <v>-1.1254266474619901</v>
      </c>
      <c r="AH2199">
        <v>37.363270769060897</v>
      </c>
      <c r="AI2199">
        <v>91.689431910631797</v>
      </c>
      <c r="AJ2199">
        <v>101.70629171958301</v>
      </c>
      <c r="AK2199">
        <v>38.173507566756598</v>
      </c>
      <c r="AL2199">
        <v>79.416411872135001</v>
      </c>
      <c r="AM2199">
        <v>95.322783615274304</v>
      </c>
      <c r="AN2199">
        <v>1.0000000550766499</v>
      </c>
    </row>
    <row r="2200" spans="1:40" x14ac:dyDescent="0.25">
      <c r="A2200" t="str">
        <f>"20190303170806156"</f>
        <v>20190303170806156</v>
      </c>
      <c r="B2200" t="str">
        <f>"1551604086144958"</f>
        <v>1551604086144958</v>
      </c>
      <c r="C2200" t="s">
        <v>40</v>
      </c>
      <c r="D2200">
        <v>4.3951479999999998</v>
      </c>
      <c r="E2200">
        <v>0.44920969999999999</v>
      </c>
      <c r="F2200" t="s">
        <v>43</v>
      </c>
      <c r="G2200">
        <v>-484.23950000000002</v>
      </c>
      <c r="H2200" s="1">
        <v>-4.652649E-6</v>
      </c>
      <c r="I2200">
        <v>198.09630000000001</v>
      </c>
      <c r="J2200">
        <v>-496.23439999999999</v>
      </c>
      <c r="K2200">
        <v>1.1256200000000001</v>
      </c>
      <c r="L2200">
        <v>234.68260000000001</v>
      </c>
      <c r="M2200">
        <v>9.9889329999999998E-2</v>
      </c>
      <c r="N2200">
        <v>-1.4117350000000001E-2</v>
      </c>
      <c r="O2200">
        <v>-0.99489859999999997</v>
      </c>
      <c r="P2200">
        <v>0.18742710000000001</v>
      </c>
      <c r="Q2200">
        <v>0.16859839999999901</v>
      </c>
      <c r="R2200">
        <v>-0.96770160000000005</v>
      </c>
      <c r="S2200">
        <v>0.95791630000000005</v>
      </c>
      <c r="T2200">
        <v>-8.9638350000000006E-2</v>
      </c>
      <c r="U2200">
        <v>-2.934555</v>
      </c>
      <c r="V2200">
        <v>-9.1725100000000004E-2</v>
      </c>
      <c r="W2200">
        <v>0.18148690000000001</v>
      </c>
      <c r="X2200">
        <v>0.97910620000000004</v>
      </c>
      <c r="Y2200">
        <v>-0.2136924</v>
      </c>
      <c r="Z2200">
        <v>1.530287E-2</v>
      </c>
      <c r="AA2200">
        <v>0.97678109999999996</v>
      </c>
      <c r="AB2200">
        <v>25</v>
      </c>
      <c r="AC2200">
        <v>11.9948999999999</v>
      </c>
      <c r="AD2200">
        <v>-1.1256246526489999</v>
      </c>
      <c r="AE2200">
        <v>-36.586300000000001</v>
      </c>
      <c r="AF2200">
        <v>-8.2728808985607092</v>
      </c>
      <c r="AG2200">
        <v>-1.1256246526489999</v>
      </c>
      <c r="AH2200">
        <v>37.569450338010299</v>
      </c>
      <c r="AI2200">
        <v>91.676005880114801</v>
      </c>
      <c r="AJ2200">
        <v>102.41847610907</v>
      </c>
      <c r="AK2200">
        <v>38.485986903295597</v>
      </c>
      <c r="AL2200">
        <v>79.543620169741303</v>
      </c>
      <c r="AM2200">
        <v>95.3519902870556</v>
      </c>
      <c r="AN2200">
        <v>0.99999996986002904</v>
      </c>
    </row>
    <row r="2201" spans="1:40" x14ac:dyDescent="0.25">
      <c r="A2201" t="str">
        <f>"20190303170806182"</f>
        <v>20190303170806182</v>
      </c>
      <c r="B2201" t="str">
        <f>"1551604086175213"</f>
        <v>1551604086175213</v>
      </c>
      <c r="C2201" t="s">
        <v>40</v>
      </c>
      <c r="D2201">
        <v>4.3403869999999998</v>
      </c>
      <c r="E2201">
        <v>0.44699169999999999</v>
      </c>
      <c r="F2201" t="s">
        <v>43</v>
      </c>
      <c r="G2201">
        <v>-483.86559999999997</v>
      </c>
      <c r="H2201" s="1">
        <v>-4.9498329999999999E-6</v>
      </c>
      <c r="I2201">
        <v>198.6345</v>
      </c>
      <c r="J2201">
        <v>-496.19779999999997</v>
      </c>
      <c r="K2201">
        <v>1.1258140000000001</v>
      </c>
      <c r="L2201">
        <v>234.4059</v>
      </c>
      <c r="M2201">
        <v>0.1076133</v>
      </c>
      <c r="N2201">
        <v>-1.41446E-2</v>
      </c>
      <c r="O2201">
        <v>-0.99409239999999999</v>
      </c>
      <c r="P2201">
        <v>0.1968886</v>
      </c>
      <c r="Q2201">
        <v>0.16680590000000001</v>
      </c>
      <c r="R2201">
        <v>-0.9661322</v>
      </c>
      <c r="S2201">
        <v>1.0025329999999999</v>
      </c>
      <c r="T2201">
        <v>-9.1235880000000005E-2</v>
      </c>
      <c r="U2201">
        <v>-2.9218289999999998</v>
      </c>
      <c r="V2201">
        <v>-9.3748659999999998E-2</v>
      </c>
      <c r="W2201">
        <v>0.1796546</v>
      </c>
      <c r="X2201">
        <v>0.97925249999999997</v>
      </c>
      <c r="Y2201">
        <v>-0.2207549</v>
      </c>
      <c r="Z2201">
        <v>1.58172E-2</v>
      </c>
      <c r="AA2201">
        <v>0.97520110000000004</v>
      </c>
      <c r="AB2201">
        <v>25</v>
      </c>
      <c r="AC2201">
        <v>12.3322</v>
      </c>
      <c r="AD2201">
        <v>-1.12581894983299</v>
      </c>
      <c r="AE2201">
        <v>-35.7714</v>
      </c>
      <c r="AF2201">
        <v>-8.4032682091339694</v>
      </c>
      <c r="AG2201">
        <v>-1.12581894983299</v>
      </c>
      <c r="AH2201">
        <v>36.8582382094406</v>
      </c>
      <c r="AI2201">
        <v>91.7057868253696</v>
      </c>
      <c r="AJ2201">
        <v>102.84327684703401</v>
      </c>
      <c r="AK2201">
        <v>37.820789373125301</v>
      </c>
      <c r="AL2201">
        <v>79.650358352316005</v>
      </c>
      <c r="AM2201">
        <v>95.4685408088298</v>
      </c>
      <c r="AN2201">
        <v>1.0000000226546</v>
      </c>
    </row>
    <row r="2202" spans="1:40" x14ac:dyDescent="0.25">
      <c r="A2202" t="str">
        <f>"20190303170806198"</f>
        <v>20190303170806198</v>
      </c>
      <c r="B2202" t="str">
        <f>"1551604086194733"</f>
        <v>1551604086194733</v>
      </c>
      <c r="C2202" t="s">
        <v>40</v>
      </c>
      <c r="D2202">
        <v>4.3105549999999999</v>
      </c>
      <c r="E2202">
        <v>0.44619910000000002</v>
      </c>
      <c r="F2202" t="s">
        <v>43</v>
      </c>
      <c r="G2202">
        <v>-483.21570000000003</v>
      </c>
      <c r="H2202" s="1">
        <v>-4.9636890000000003E-6</v>
      </c>
      <c r="I2202">
        <v>198.3981</v>
      </c>
      <c r="J2202">
        <v>-496.173</v>
      </c>
      <c r="K2202">
        <v>1.125947</v>
      </c>
      <c r="L2202">
        <v>234.2287</v>
      </c>
      <c r="M2202">
        <v>0.11280660000000001</v>
      </c>
      <c r="N2202">
        <v>-1.416366E-2</v>
      </c>
      <c r="O2202">
        <v>-0.99351599999999995</v>
      </c>
      <c r="P2202">
        <v>0.2041608</v>
      </c>
      <c r="Q2202">
        <v>0.1652576</v>
      </c>
      <c r="R2202">
        <v>-0.96488759999999996</v>
      </c>
      <c r="S2202">
        <v>1.048157</v>
      </c>
      <c r="T2202">
        <v>-9.0897320000000004E-2</v>
      </c>
      <c r="U2202">
        <v>-2.9072269999999998</v>
      </c>
      <c r="V2202">
        <v>-9.6028639999999998E-2</v>
      </c>
      <c r="W2202">
        <v>0.17806739999999999</v>
      </c>
      <c r="X2202">
        <v>0.97932140000000001</v>
      </c>
      <c r="Y2202">
        <v>-0.23075780000000001</v>
      </c>
      <c r="Z2202">
        <v>1.5717330000000002E-2</v>
      </c>
      <c r="AA2202">
        <v>0.97288430000000004</v>
      </c>
      <c r="AB2202">
        <v>25</v>
      </c>
      <c r="AC2202">
        <v>12.957299999999901</v>
      </c>
      <c r="AD2202">
        <v>-1.1259519636890001</v>
      </c>
      <c r="AE2202">
        <v>-35.830599999999997</v>
      </c>
      <c r="AF2202">
        <v>-8.8245364182060193</v>
      </c>
      <c r="AG2202">
        <v>-1.1259519636890001</v>
      </c>
      <c r="AH2202">
        <v>37.0313226675473</v>
      </c>
      <c r="AI2202">
        <v>91.694154610306995</v>
      </c>
      <c r="AJ2202">
        <v>103.40355917287501</v>
      </c>
      <c r="AK2202">
        <v>38.0848929278892</v>
      </c>
      <c r="AL2202">
        <v>79.742787984755594</v>
      </c>
      <c r="AM2202">
        <v>95.600309281006105</v>
      </c>
      <c r="AN2202">
        <v>0.99999995157048305</v>
      </c>
    </row>
    <row r="2203" spans="1:40" x14ac:dyDescent="0.25">
      <c r="A2203" t="str">
        <f>"20190303170806222"</f>
        <v>20190303170806222</v>
      </c>
      <c r="B2203" t="str">
        <f>"1551604086215230"</f>
        <v>1551604086215230</v>
      </c>
      <c r="C2203" t="s">
        <v>40</v>
      </c>
      <c r="D2203">
        <v>4.2805749999999998</v>
      </c>
      <c r="E2203">
        <v>0.44583869999999998</v>
      </c>
      <c r="F2203" t="s">
        <v>43</v>
      </c>
      <c r="G2203">
        <v>-483.20080000000002</v>
      </c>
      <c r="H2203" s="1">
        <v>-5.3470809999999997E-6</v>
      </c>
      <c r="I2203">
        <v>199.28559999999999</v>
      </c>
      <c r="J2203">
        <v>-496.13560000000001</v>
      </c>
      <c r="K2203">
        <v>1.1261680000000001</v>
      </c>
      <c r="L2203">
        <v>233.976</v>
      </c>
      <c r="M2203">
        <v>0.1205789</v>
      </c>
      <c r="N2203">
        <v>-1.4196240000000001E-2</v>
      </c>
      <c r="O2203">
        <v>-0.99260230000000005</v>
      </c>
      <c r="P2203">
        <v>0.2138941</v>
      </c>
      <c r="Q2203">
        <v>0.1635132</v>
      </c>
      <c r="R2203">
        <v>-0.9630746</v>
      </c>
      <c r="S2203">
        <v>1.0756840000000001</v>
      </c>
      <c r="T2203">
        <v>-9.3366619999999997E-2</v>
      </c>
      <c r="U2203">
        <v>-2.8975680000000001</v>
      </c>
      <c r="V2203">
        <v>-9.8302979999999998E-2</v>
      </c>
      <c r="W2203">
        <v>0.17627609999999999</v>
      </c>
      <c r="X2203">
        <v>0.97941979999999995</v>
      </c>
      <c r="Y2203">
        <v>-0.2323181</v>
      </c>
      <c r="Z2203">
        <v>1.6515350000000002E-2</v>
      </c>
      <c r="AA2203">
        <v>0.97249969999999997</v>
      </c>
      <c r="AB2203">
        <v>24</v>
      </c>
      <c r="AC2203">
        <v>12.9347999999999</v>
      </c>
      <c r="AD2203">
        <v>-1.126173347081</v>
      </c>
      <c r="AE2203">
        <v>-34.690399999999997</v>
      </c>
      <c r="AF2203">
        <v>-8.6490512711704692</v>
      </c>
      <c r="AG2203">
        <v>-1.126173347081</v>
      </c>
      <c r="AH2203">
        <v>35.963784541315498</v>
      </c>
      <c r="AI2203">
        <v>91.743889508248003</v>
      </c>
      <c r="AJ2203">
        <v>103.522458036614</v>
      </c>
      <c r="AK2203">
        <v>37.006325848875797</v>
      </c>
      <c r="AL2203">
        <v>79.847071610659498</v>
      </c>
      <c r="AM2203">
        <v>95.731501677744305</v>
      </c>
      <c r="AN2203">
        <v>0.99999994197006303</v>
      </c>
    </row>
    <row r="2204" spans="1:40" x14ac:dyDescent="0.25">
      <c r="A2204" t="str">
        <f>"20190303170806251"</f>
        <v>20190303170806251</v>
      </c>
      <c r="B2204" t="str">
        <f>"1551604086244509"</f>
        <v>1551604086244509</v>
      </c>
      <c r="C2204" t="s">
        <v>40</v>
      </c>
      <c r="D2204">
        <v>4.2513899999999998</v>
      </c>
      <c r="E2204">
        <v>0.4456196</v>
      </c>
      <c r="F2204" t="s">
        <v>43</v>
      </c>
      <c r="G2204">
        <v>-482.91849999999999</v>
      </c>
      <c r="H2204" s="1">
        <v>-5.5094540000000004E-6</v>
      </c>
      <c r="I2204">
        <v>199.54730000000001</v>
      </c>
      <c r="J2204">
        <v>-496.08780000000002</v>
      </c>
      <c r="K2204">
        <v>1.1264799999999999</v>
      </c>
      <c r="L2204">
        <v>233.67449999999999</v>
      </c>
      <c r="M2204">
        <v>0.13039769999999901</v>
      </c>
      <c r="N2204">
        <v>-1.4243830000000001E-2</v>
      </c>
      <c r="O2204">
        <v>-0.99135960000000001</v>
      </c>
      <c r="P2204">
        <v>0.22637370000000001</v>
      </c>
      <c r="Q2204">
        <v>0.16186519999999999</v>
      </c>
      <c r="R2204">
        <v>-0.96049720000000005</v>
      </c>
      <c r="S2204">
        <v>1.1075740000000001</v>
      </c>
      <c r="T2204">
        <v>-9.4371319999999995E-2</v>
      </c>
      <c r="U2204">
        <v>-2.8850560000000001</v>
      </c>
      <c r="V2204">
        <v>-0.1014042</v>
      </c>
      <c r="W2204">
        <v>0.1745612</v>
      </c>
      <c r="X2204">
        <v>0.97941080000000003</v>
      </c>
      <c r="Y2204">
        <v>-0.2334666</v>
      </c>
      <c r="Z2204">
        <v>1.6835180000000002E-2</v>
      </c>
      <c r="AA2204">
        <v>0.9722191</v>
      </c>
      <c r="AB2204">
        <v>24</v>
      </c>
      <c r="AC2204">
        <v>13.1693</v>
      </c>
      <c r="AD2204">
        <v>-1.1264855094539901</v>
      </c>
      <c r="AE2204">
        <v>-34.127199999999903</v>
      </c>
      <c r="AF2204">
        <v>-8.5981214422115908</v>
      </c>
      <c r="AG2204">
        <v>-1.1264855094539901</v>
      </c>
      <c r="AH2204">
        <v>35.519490656139901</v>
      </c>
      <c r="AI2204">
        <v>91.765544790488704</v>
      </c>
      <c r="AJ2204">
        <v>103.60769888637201</v>
      </c>
      <c r="AK2204">
        <v>36.562697909339803</v>
      </c>
      <c r="AL2204">
        <v>79.946876014252695</v>
      </c>
      <c r="AM2204">
        <v>95.911109640196798</v>
      </c>
      <c r="AN2204">
        <v>0.99999996973985905</v>
      </c>
    </row>
    <row r="2205" spans="1:40" x14ac:dyDescent="0.25">
      <c r="A2205" t="str">
        <f>"20190303170806269"</f>
        <v>20190303170806269</v>
      </c>
      <c r="B2205" t="str">
        <f>"1551604086265005"</f>
        <v>1551604086265005</v>
      </c>
      <c r="C2205" t="s">
        <v>40</v>
      </c>
      <c r="D2205">
        <v>4.2532220000000001</v>
      </c>
      <c r="E2205">
        <v>0.4458647</v>
      </c>
      <c r="F2205" t="s">
        <v>43</v>
      </c>
      <c r="G2205">
        <v>-482.3177</v>
      </c>
      <c r="H2205" s="1">
        <v>-5.4790149999999998E-6</v>
      </c>
      <c r="I2205">
        <v>199.22800000000001</v>
      </c>
      <c r="J2205">
        <v>-496.05430000000001</v>
      </c>
      <c r="K2205">
        <v>1.1266910000000001</v>
      </c>
      <c r="L2205">
        <v>233.4769</v>
      </c>
      <c r="M2205">
        <v>0.1371918</v>
      </c>
      <c r="N2205">
        <v>-1.4279E-2</v>
      </c>
      <c r="O2205">
        <v>-0.99044200000000004</v>
      </c>
      <c r="P2205">
        <v>0.23629520000000001</v>
      </c>
      <c r="Q2205">
        <v>0.16107750000000001</v>
      </c>
      <c r="R2205">
        <v>-0.95823740000000002</v>
      </c>
      <c r="S2205">
        <v>1.1468510000000001</v>
      </c>
      <c r="T2205">
        <v>-9.3819860000000005E-2</v>
      </c>
      <c r="U2205">
        <v>-2.8688959999999999</v>
      </c>
      <c r="V2205">
        <v>-0.1048915</v>
      </c>
      <c r="W2205">
        <v>0.17370529999999901</v>
      </c>
      <c r="X2205">
        <v>0.9791957</v>
      </c>
      <c r="Y2205">
        <v>-0.24015400000000001</v>
      </c>
      <c r="Z2205">
        <v>1.667101E-2</v>
      </c>
      <c r="AA2205">
        <v>0.97059169999999995</v>
      </c>
      <c r="AB2205">
        <v>24</v>
      </c>
      <c r="AC2205">
        <v>13.736599999999999</v>
      </c>
      <c r="AD2205">
        <v>-1.12669647901499</v>
      </c>
      <c r="AE2205">
        <v>-34.248899999999999</v>
      </c>
      <c r="AF2205">
        <v>-8.8992453069347093</v>
      </c>
      <c r="AG2205">
        <v>-1.12669647901499</v>
      </c>
      <c r="AH2205">
        <v>35.776380753040698</v>
      </c>
      <c r="AI2205">
        <v>91.750496956624204</v>
      </c>
      <c r="AJ2205">
        <v>103.968621701928</v>
      </c>
      <c r="AK2205">
        <v>36.883809886932298</v>
      </c>
      <c r="AL2205">
        <v>79.996676508496805</v>
      </c>
      <c r="AM2205">
        <v>96.114212083783201</v>
      </c>
      <c r="AN2205">
        <v>0.99999998845941396</v>
      </c>
    </row>
    <row r="2206" spans="1:40" x14ac:dyDescent="0.25">
      <c r="A2206" t="str">
        <f>"20190303170806290"</f>
        <v>20190303170806290</v>
      </c>
      <c r="B2206" t="str">
        <f>"1551604086284526"</f>
        <v>1551604086284526</v>
      </c>
      <c r="C2206" t="s">
        <v>40</v>
      </c>
      <c r="D2206">
        <v>4.3098660000000004</v>
      </c>
      <c r="E2206">
        <v>0.44604969999999999</v>
      </c>
      <c r="F2206" t="s">
        <v>43</v>
      </c>
      <c r="G2206">
        <v>-481.92200000000003</v>
      </c>
      <c r="H2206" s="1">
        <v>-5.4905659999999999E-6</v>
      </c>
      <c r="I2206">
        <v>199.09129999999999</v>
      </c>
      <c r="J2206">
        <v>-496.01479999999998</v>
      </c>
      <c r="K2206">
        <v>1.1269149999999999</v>
      </c>
      <c r="L2206">
        <v>233.25579999999999</v>
      </c>
      <c r="M2206">
        <v>0.14509739999999999</v>
      </c>
      <c r="N2206">
        <v>-1.431879E-2</v>
      </c>
      <c r="O2206">
        <v>-0.98931389999999997</v>
      </c>
      <c r="P2206">
        <v>0.24714459999999999</v>
      </c>
      <c r="Q2206">
        <v>0.1605714</v>
      </c>
      <c r="R2206">
        <v>-0.95558180000000004</v>
      </c>
      <c r="S2206">
        <v>1.174194</v>
      </c>
      <c r="T2206">
        <v>-9.3612189999999998E-2</v>
      </c>
      <c r="U2206">
        <v>-2.8569490000000002</v>
      </c>
      <c r="V2206">
        <v>-0.108258199999999</v>
      </c>
      <c r="W2206">
        <v>0.17313139999999999</v>
      </c>
      <c r="X2206">
        <v>0.97893090000000005</v>
      </c>
      <c r="Y2206">
        <v>-0.2417726</v>
      </c>
      <c r="Z2206">
        <v>1.6602990000000001E-2</v>
      </c>
      <c r="AA2206">
        <v>0.97019089999999997</v>
      </c>
      <c r="AB2206">
        <v>24</v>
      </c>
      <c r="AC2206">
        <v>14.0928</v>
      </c>
      <c r="AD2206">
        <v>-1.126920490566</v>
      </c>
      <c r="AE2206">
        <v>-34.164499999999997</v>
      </c>
      <c r="AF2206">
        <v>-8.9775953628079304</v>
      </c>
      <c r="AG2206">
        <v>-1.126920490566</v>
      </c>
      <c r="AH2206">
        <v>35.814612828392001</v>
      </c>
      <c r="AI2206">
        <v>91.748187400463493</v>
      </c>
      <c r="AJ2206">
        <v>104.072287081081</v>
      </c>
      <c r="AK2206">
        <v>36.939865461828497</v>
      </c>
      <c r="AL2206">
        <v>80.030064692614005</v>
      </c>
      <c r="AM2206">
        <v>96.3105944674206</v>
      </c>
      <c r="AN2206">
        <v>1.0000000132539999</v>
      </c>
    </row>
    <row r="2207" spans="1:40" x14ac:dyDescent="0.25">
      <c r="A2207" t="str">
        <f>"20190303170806309"</f>
        <v>20190303170806309</v>
      </c>
      <c r="B2207" t="str">
        <f>"1551604086305021"</f>
        <v>1551604086305021</v>
      </c>
      <c r="C2207" t="s">
        <v>40</v>
      </c>
      <c r="D2207">
        <v>4.2518209999999996</v>
      </c>
      <c r="E2207">
        <v>0.44654640000000001</v>
      </c>
      <c r="F2207" t="s">
        <v>43</v>
      </c>
      <c r="G2207">
        <v>-481.24970000000002</v>
      </c>
      <c r="H2207" s="1">
        <v>-5.3360999999999996E-6</v>
      </c>
      <c r="I2207">
        <v>198.45320000000001</v>
      </c>
      <c r="J2207">
        <v>-495.97570000000002</v>
      </c>
      <c r="K2207">
        <v>1.1271249999999999</v>
      </c>
      <c r="L2207">
        <v>233.04849999999999</v>
      </c>
      <c r="M2207">
        <v>0.1528475</v>
      </c>
      <c r="N2207">
        <v>-1.435611E-2</v>
      </c>
      <c r="O2207">
        <v>-0.98814570000000002</v>
      </c>
      <c r="P2207">
        <v>0.25680910000000001</v>
      </c>
      <c r="Q2207">
        <v>0.16031679999999901</v>
      </c>
      <c r="R2207">
        <v>-0.95307310000000001</v>
      </c>
      <c r="S2207">
        <v>1.2061459999999999</v>
      </c>
      <c r="T2207">
        <v>-9.2056990000000005E-2</v>
      </c>
      <c r="U2207">
        <v>-2.8429869999999999</v>
      </c>
      <c r="V2207">
        <v>-0.1105849</v>
      </c>
      <c r="W2207">
        <v>0.172821</v>
      </c>
      <c r="X2207">
        <v>0.97872570000000003</v>
      </c>
      <c r="Y2207">
        <v>-0.24512</v>
      </c>
      <c r="Z2207">
        <v>1.610145E-2</v>
      </c>
      <c r="AA2207">
        <v>0.96935899999999997</v>
      </c>
      <c r="AB2207">
        <v>24</v>
      </c>
      <c r="AC2207">
        <v>14.726000000000001</v>
      </c>
      <c r="AD2207">
        <v>-1.1271303361</v>
      </c>
      <c r="AE2207">
        <v>-34.595299999999902</v>
      </c>
      <c r="AF2207">
        <v>-9.2562632437935193</v>
      </c>
      <c r="AG2207">
        <v>-1.1271303361</v>
      </c>
      <c r="AH2207">
        <v>36.407060087125501</v>
      </c>
      <c r="AI2207">
        <v>91.718618686514304</v>
      </c>
      <c r="AJ2207">
        <v>104.26485379065601</v>
      </c>
      <c r="AK2207">
        <v>37.582214626343202</v>
      </c>
      <c r="AL2207">
        <v>80.048121930237002</v>
      </c>
      <c r="AM2207">
        <v>96.446433150622198</v>
      </c>
      <c r="AN2207">
        <v>1.00000005699474</v>
      </c>
    </row>
    <row r="2208" spans="1:40" x14ac:dyDescent="0.25">
      <c r="A2208" t="str">
        <f>"20190303170806335"</f>
        <v>20190303170806335</v>
      </c>
      <c r="B2208" t="str">
        <f>"1551604086324541"</f>
        <v>1551604086324541</v>
      </c>
      <c r="C2208" t="s">
        <v>40</v>
      </c>
      <c r="D2208">
        <v>4.2481080000000002</v>
      </c>
      <c r="E2208">
        <v>0.44716139999999999</v>
      </c>
      <c r="F2208" t="s">
        <v>43</v>
      </c>
      <c r="G2208">
        <v>-480.83679999999998</v>
      </c>
      <c r="H2208" s="1">
        <v>-5.3538969999999998E-6</v>
      </c>
      <c r="I2208">
        <v>198.21619999999999</v>
      </c>
      <c r="J2208">
        <v>-495.9221</v>
      </c>
      <c r="K2208">
        <v>1.1273930000000001</v>
      </c>
      <c r="L2208">
        <v>232.78120000000001</v>
      </c>
      <c r="M2208">
        <v>0.163326799999999</v>
      </c>
      <c r="N2208">
        <v>-1.440848E-2</v>
      </c>
      <c r="O2208">
        <v>-0.98646690000000004</v>
      </c>
      <c r="P2208">
        <v>0.26853280000000002</v>
      </c>
      <c r="Q2208">
        <v>0.159917</v>
      </c>
      <c r="R2208">
        <v>-0.94990390000000002</v>
      </c>
      <c r="S2208">
        <v>1.2306520000000001</v>
      </c>
      <c r="T2208">
        <v>-9.1624860000000002E-2</v>
      </c>
      <c r="U2208">
        <v>-2.831528</v>
      </c>
      <c r="V2208">
        <v>-0.11235489999999999</v>
      </c>
      <c r="W2208">
        <v>0.17237520000000001</v>
      </c>
      <c r="X2208">
        <v>0.97860259999999999</v>
      </c>
      <c r="Y2208">
        <v>-0.24331939999999999</v>
      </c>
      <c r="Z2208">
        <v>1.5943309999999999E-2</v>
      </c>
      <c r="AA2208">
        <v>0.96981519999999999</v>
      </c>
      <c r="AB2208">
        <v>24</v>
      </c>
      <c r="AC2208">
        <v>15.0853</v>
      </c>
      <c r="AD2208">
        <v>-1.127398353897</v>
      </c>
      <c r="AE2208">
        <v>-34.564999999999998</v>
      </c>
      <c r="AF2208">
        <v>-9.2284693192315093</v>
      </c>
      <c r="AG2208">
        <v>-1.127398353897</v>
      </c>
      <c r="AH2208">
        <v>36.532207769008998</v>
      </c>
      <c r="AI2208">
        <v>91.713807205285704</v>
      </c>
      <c r="AJ2208">
        <v>104.17700291677301</v>
      </c>
      <c r="AK2208">
        <v>37.696656051994999</v>
      </c>
      <c r="AL2208">
        <v>80.074052397020907</v>
      </c>
      <c r="AM2208">
        <v>96.549540793067905</v>
      </c>
      <c r="AN2208">
        <v>0.99999994092790301</v>
      </c>
    </row>
    <row r="2209" spans="1:40" x14ac:dyDescent="0.25">
      <c r="A2209" t="str">
        <f>"20190303170806356"</f>
        <v>20190303170806356</v>
      </c>
      <c r="B2209" t="str">
        <f>"1551604086345042"</f>
        <v>1551604086345042</v>
      </c>
      <c r="C2209" t="s">
        <v>40</v>
      </c>
      <c r="D2209">
        <v>4.227697</v>
      </c>
      <c r="E2209">
        <v>0.44778990000000002</v>
      </c>
      <c r="F2209" t="s">
        <v>43</v>
      </c>
      <c r="G2209">
        <v>-480.58449999999999</v>
      </c>
      <c r="H2209" s="1">
        <v>-5.5068109999999996E-6</v>
      </c>
      <c r="I2209">
        <v>198.4684</v>
      </c>
      <c r="J2209">
        <v>-495.87569999999999</v>
      </c>
      <c r="K2209">
        <v>1.127605</v>
      </c>
      <c r="L2209">
        <v>232.56219999999999</v>
      </c>
      <c r="M2209">
        <v>0.17226040000000001</v>
      </c>
      <c r="N2209">
        <v>-1.4453860000000001E-2</v>
      </c>
      <c r="O2209">
        <v>-0.98494539999999997</v>
      </c>
      <c r="P2209">
        <v>0.27872079999999999</v>
      </c>
      <c r="Q2209">
        <v>0.1597759</v>
      </c>
      <c r="R2209">
        <v>-0.94698819999999995</v>
      </c>
      <c r="S2209">
        <v>1.2595209999999999</v>
      </c>
      <c r="T2209">
        <v>-9.2581869999999997E-2</v>
      </c>
      <c r="U2209">
        <v>-2.8177639999999999</v>
      </c>
      <c r="V2209">
        <v>-0.11408219999999999</v>
      </c>
      <c r="W2209">
        <v>0.17219389999999901</v>
      </c>
      <c r="X2209">
        <v>0.97843469999999999</v>
      </c>
      <c r="Y2209">
        <v>-0.2445688</v>
      </c>
      <c r="Z2209">
        <v>1.625093E-2</v>
      </c>
      <c r="AA2209">
        <v>0.96949569999999996</v>
      </c>
      <c r="AB2209">
        <v>24</v>
      </c>
      <c r="AC2209">
        <v>15.2912</v>
      </c>
      <c r="AD2209">
        <v>-1.1276105068110001</v>
      </c>
      <c r="AE2209">
        <v>-34.093799999999902</v>
      </c>
      <c r="AF2209">
        <v>-9.18058475361895</v>
      </c>
      <c r="AG2209">
        <v>-1.1276105068110001</v>
      </c>
      <c r="AH2209">
        <v>36.185429639019297</v>
      </c>
      <c r="AI2209">
        <v>91.730095147797002</v>
      </c>
      <c r="AJ2209">
        <v>104.236100900973</v>
      </c>
      <c r="AK2209">
        <v>37.348895030962701</v>
      </c>
      <c r="AL2209">
        <v>80.084598145466501</v>
      </c>
      <c r="AM2209">
        <v>96.650466747111693</v>
      </c>
      <c r="AN2209">
        <v>0.999999974859069</v>
      </c>
    </row>
    <row r="2210" spans="1:40" x14ac:dyDescent="0.25">
      <c r="A2210" t="str">
        <f>"20190303170806378"</f>
        <v>20190303170806378</v>
      </c>
      <c r="B2210" t="str">
        <f>"1551604086375294"</f>
        <v>1551604086375294</v>
      </c>
      <c r="C2210" t="s">
        <v>40</v>
      </c>
      <c r="D2210">
        <v>4.3331339999999896</v>
      </c>
      <c r="E2210">
        <v>0.44820009999999999</v>
      </c>
      <c r="F2210" t="s">
        <v>43</v>
      </c>
      <c r="G2210">
        <v>-480.04349999999999</v>
      </c>
      <c r="H2210" s="1">
        <v>-5.4927279999999999E-6</v>
      </c>
      <c r="I2210">
        <v>198.00389999999999</v>
      </c>
      <c r="J2210">
        <v>-495.82569999999998</v>
      </c>
      <c r="K2210">
        <v>1.1278170000000001</v>
      </c>
      <c r="L2210">
        <v>232.33860000000001</v>
      </c>
      <c r="M2210">
        <v>0.18172079999999999</v>
      </c>
      <c r="N2210">
        <v>-1.450134E-2</v>
      </c>
      <c r="O2210">
        <v>-0.98324330000000004</v>
      </c>
      <c r="P2210">
        <v>0.28987540000000001</v>
      </c>
      <c r="Q2210">
        <v>0.15974140000000001</v>
      </c>
      <c r="R2210">
        <v>-0.94363940000000002</v>
      </c>
      <c r="S2210">
        <v>1.285126</v>
      </c>
      <c r="T2210">
        <v>-9.1529849999999996E-2</v>
      </c>
      <c r="U2210">
        <v>-2.805145</v>
      </c>
      <c r="V2210">
        <v>-0.1163114</v>
      </c>
      <c r="W2210">
        <v>0.17211129999999999</v>
      </c>
      <c r="X2210">
        <v>0.97818680000000002</v>
      </c>
      <c r="Y2210">
        <v>-0.24421319999999999</v>
      </c>
      <c r="Z2210">
        <v>1.5896159999999999E-2</v>
      </c>
      <c r="AA2210">
        <v>0.96959130000000004</v>
      </c>
      <c r="AB2210">
        <v>24</v>
      </c>
      <c r="AC2210">
        <v>15.7821999999999</v>
      </c>
      <c r="AD2210">
        <v>-1.1278224927280001</v>
      </c>
      <c r="AE2210">
        <v>-34.334699999999998</v>
      </c>
      <c r="AF2210">
        <v>-9.2711299017102107</v>
      </c>
      <c r="AG2210">
        <v>-1.1278224927280001</v>
      </c>
      <c r="AH2210">
        <v>36.598566081901097</v>
      </c>
      <c r="AI2210">
        <v>91.711057167093202</v>
      </c>
      <c r="AJ2210">
        <v>104.215107856562</v>
      </c>
      <c r="AK2210">
        <v>37.771429314771297</v>
      </c>
      <c r="AL2210">
        <v>80.089403041892496</v>
      </c>
      <c r="AM2210">
        <v>96.780922852264894</v>
      </c>
      <c r="AN2210">
        <v>1.0000000285259401</v>
      </c>
    </row>
    <row r="2211" spans="1:40" x14ac:dyDescent="0.25">
      <c r="A2211" t="str">
        <f>"20190303170806414"</f>
        <v>20190303170806414</v>
      </c>
      <c r="B2211" t="str">
        <f>"1551604086404573"</f>
        <v>1551604086404573</v>
      </c>
      <c r="C2211" t="s">
        <v>40</v>
      </c>
      <c r="D2211">
        <v>4.218407</v>
      </c>
      <c r="E2211">
        <v>0.40099790000000002</v>
      </c>
      <c r="F2211" t="s">
        <v>43</v>
      </c>
      <c r="G2211">
        <v>-479.95780000000002</v>
      </c>
      <c r="H2211">
        <v>2.729256E-2</v>
      </c>
      <c r="I2211">
        <v>198.67449999999999</v>
      </c>
      <c r="J2211">
        <v>-495.73820000000001</v>
      </c>
      <c r="K2211">
        <v>1.128161</v>
      </c>
      <c r="L2211">
        <v>231.9716</v>
      </c>
      <c r="M2211">
        <v>0.19798859999999999</v>
      </c>
      <c r="N2211">
        <v>-1.45828E-2</v>
      </c>
      <c r="O2211">
        <v>-0.98009599999999997</v>
      </c>
      <c r="P2211">
        <v>0.30738729999999997</v>
      </c>
      <c r="Q2211">
        <v>0.1621216</v>
      </c>
      <c r="R2211">
        <v>-0.93767290000000003</v>
      </c>
      <c r="S2211">
        <v>1.315369</v>
      </c>
      <c r="T2211">
        <v>-9.1227409999999995E-2</v>
      </c>
      <c r="U2211">
        <v>-2.7905730000000002</v>
      </c>
      <c r="V2211">
        <v>-0.1185773</v>
      </c>
      <c r="W2211">
        <v>0.174429799999999</v>
      </c>
      <c r="X2211">
        <v>0.97750380000000003</v>
      </c>
      <c r="Y2211">
        <v>-0.2386914</v>
      </c>
      <c r="Z2211">
        <v>1.57406E-2</v>
      </c>
      <c r="AA2211">
        <v>0.97096789999999999</v>
      </c>
      <c r="AB2211">
        <v>24</v>
      </c>
      <c r="AC2211">
        <v>15.780399999999901</v>
      </c>
      <c r="AD2211">
        <v>-1.1008684399999999</v>
      </c>
      <c r="AE2211">
        <v>-33.2971</v>
      </c>
      <c r="AF2211">
        <v>-8.8668883505553797</v>
      </c>
      <c r="AG2211">
        <v>-1.1008684399999999</v>
      </c>
      <c r="AH2211">
        <v>35.730597564769397</v>
      </c>
      <c r="AI2211">
        <v>91.712818584042196</v>
      </c>
      <c r="AJ2211">
        <v>103.936952494344</v>
      </c>
      <c r="AK2211">
        <v>36.830818924901799</v>
      </c>
      <c r="AL2211">
        <v>79.954522343603102</v>
      </c>
      <c r="AM2211">
        <v>96.916540975339402</v>
      </c>
      <c r="AN2211">
        <v>1.00000000510888</v>
      </c>
    </row>
    <row r="2212" spans="1:40" x14ac:dyDescent="0.25">
      <c r="A2212" t="str">
        <f>"20190303170806433"</f>
        <v>20190303170806433</v>
      </c>
      <c r="B2212" t="str">
        <f>"1551604086425069"</f>
        <v>1551604086425069</v>
      </c>
      <c r="C2212" t="s">
        <v>40</v>
      </c>
      <c r="D2212">
        <v>4.2668249999999999</v>
      </c>
      <c r="E2212">
        <v>0.39066109999999998</v>
      </c>
      <c r="F2212" t="s">
        <v>78</v>
      </c>
      <c r="G2212">
        <v>-470.15</v>
      </c>
      <c r="H2212">
        <v>0.9965001</v>
      </c>
      <c r="I2212">
        <v>192.70439999999999</v>
      </c>
      <c r="J2212">
        <v>-495.68490000000003</v>
      </c>
      <c r="K2212">
        <v>1.1283529999999999</v>
      </c>
      <c r="L2212">
        <v>231.76329999999999</v>
      </c>
      <c r="M2212">
        <v>0.2076325</v>
      </c>
      <c r="N2212">
        <v>-1.463192E-2</v>
      </c>
      <c r="O2212">
        <v>-0.97809760000000001</v>
      </c>
      <c r="P2212">
        <v>0.31748999999999999</v>
      </c>
      <c r="Q2212">
        <v>0.16291020000000001</v>
      </c>
      <c r="R2212">
        <v>-0.93416350000000004</v>
      </c>
      <c r="S2212">
        <v>1.7187190000000001</v>
      </c>
      <c r="T2212">
        <v>-8.8410380000000007E-3</v>
      </c>
      <c r="U2212">
        <v>-2.6375120000000001</v>
      </c>
      <c r="V2212">
        <v>-0.11962490000000001</v>
      </c>
      <c r="W2212">
        <v>0.175191299999999</v>
      </c>
      <c r="X2212">
        <v>0.97723990000000005</v>
      </c>
      <c r="Y2212">
        <v>-0.36000339999999997</v>
      </c>
      <c r="Z2212">
        <v>-1.089131E-2</v>
      </c>
      <c r="AA2212">
        <v>0.93288740000000003</v>
      </c>
      <c r="AB2212">
        <v>24</v>
      </c>
      <c r="AC2212">
        <v>25.5349</v>
      </c>
      <c r="AD2212">
        <v>-0.1318529</v>
      </c>
      <c r="AE2212">
        <v>-39.058900000000001</v>
      </c>
      <c r="AF2212">
        <v>-16.867396177391999</v>
      </c>
      <c r="AG2212">
        <v>-0.1318529</v>
      </c>
      <c r="AH2212">
        <v>43.5095962226358</v>
      </c>
      <c r="AI2212">
        <v>90.1618909999289</v>
      </c>
      <c r="AJ2212">
        <v>111.18985317552099</v>
      </c>
      <c r="AK2212">
        <v>46.664884039812399</v>
      </c>
      <c r="AL2212">
        <v>79.910208871210898</v>
      </c>
      <c r="AM2212">
        <v>96.978912698183706</v>
      </c>
      <c r="AN2212">
        <v>0.99999996522385404</v>
      </c>
    </row>
    <row r="2213" spans="1:40" x14ac:dyDescent="0.25">
      <c r="A2213" t="str">
        <f>"20190303170806462"</f>
        <v>20190303170806462</v>
      </c>
      <c r="B2213" t="str">
        <f>"1551604086455325"</f>
        <v>1551604086455325</v>
      </c>
      <c r="C2213" t="s">
        <v>40</v>
      </c>
      <c r="D2213">
        <v>4.2705289999999998</v>
      </c>
      <c r="E2213">
        <v>0.38395040000000003</v>
      </c>
      <c r="F2213" t="s">
        <v>78</v>
      </c>
      <c r="G2213">
        <v>-470.15</v>
      </c>
      <c r="H2213">
        <v>1.2702629999999999</v>
      </c>
      <c r="I2213">
        <v>195.52510000000001</v>
      </c>
      <c r="J2213">
        <v>-495.60700000000003</v>
      </c>
      <c r="K2213">
        <v>1.128582</v>
      </c>
      <c r="L2213">
        <v>231.4743</v>
      </c>
      <c r="M2213">
        <v>0.2214353</v>
      </c>
      <c r="N2213">
        <v>-1.469909E-2</v>
      </c>
      <c r="O2213">
        <v>-0.9750645</v>
      </c>
      <c r="P2213">
        <v>0.33200879999999999</v>
      </c>
      <c r="Q2213">
        <v>0.1614497</v>
      </c>
      <c r="R2213">
        <v>-0.92935710000000005</v>
      </c>
      <c r="S2213">
        <v>1.8246770000000001</v>
      </c>
      <c r="T2213">
        <v>1.014316E-2</v>
      </c>
      <c r="U2213">
        <v>-2.589493</v>
      </c>
      <c r="V2213">
        <v>-0.121064</v>
      </c>
      <c r="W2213">
        <v>0.17370529999999901</v>
      </c>
      <c r="X2213">
        <v>0.97732799999999997</v>
      </c>
      <c r="Y2213">
        <v>-0.38056040000000002</v>
      </c>
      <c r="Z2213">
        <v>-1.6952479999999999E-2</v>
      </c>
      <c r="AA2213">
        <v>0.92460070000000005</v>
      </c>
      <c r="AB2213">
        <v>24</v>
      </c>
      <c r="AC2213">
        <v>25.456999999999901</v>
      </c>
      <c r="AD2213">
        <v>0.141680999999999</v>
      </c>
      <c r="AE2213">
        <v>-35.949199999999898</v>
      </c>
      <c r="AF2213">
        <v>-16.863438875203599</v>
      </c>
      <c r="AG2213">
        <v>0.141680999999999</v>
      </c>
      <c r="AH2213">
        <v>40.693833839461703</v>
      </c>
      <c r="AI2213">
        <v>89.815714493972706</v>
      </c>
      <c r="AJ2213">
        <v>112.509013951687</v>
      </c>
      <c r="AK2213">
        <v>44.049787249851803</v>
      </c>
      <c r="AL2213">
        <v>79.996676842048799</v>
      </c>
      <c r="AM2213">
        <v>97.061396798033201</v>
      </c>
      <c r="AN2213">
        <v>1.0000000214640401</v>
      </c>
    </row>
    <row r="2214" spans="1:40" x14ac:dyDescent="0.25">
      <c r="A2214" t="str">
        <f>"20190303170806485"</f>
        <v>20190303170806485</v>
      </c>
      <c r="B2214" t="str">
        <f>"1551604086474845"</f>
        <v>1551604086474845</v>
      </c>
      <c r="C2214" t="s">
        <v>40</v>
      </c>
      <c r="D2214">
        <v>4.2584</v>
      </c>
      <c r="E2214">
        <v>0.38167519999999999</v>
      </c>
      <c r="F2214" t="s">
        <v>78</v>
      </c>
      <c r="G2214">
        <v>-470.00790000000001</v>
      </c>
      <c r="H2214">
        <v>1.365821</v>
      </c>
      <c r="I2214">
        <v>197.51820000000001</v>
      </c>
      <c r="J2214">
        <v>-495.5419</v>
      </c>
      <c r="K2214">
        <v>1.128754</v>
      </c>
      <c r="L2214">
        <v>231.24590000000001</v>
      </c>
      <c r="M2214">
        <v>0.2326974</v>
      </c>
      <c r="N2214">
        <v>-1.4749709999999999E-2</v>
      </c>
      <c r="O2214">
        <v>-0.97243749999999995</v>
      </c>
      <c r="P2214">
        <v>0.3450281</v>
      </c>
      <c r="Q2214">
        <v>0.15971659999999999</v>
      </c>
      <c r="R2214">
        <v>-0.92490349999999999</v>
      </c>
      <c r="S2214">
        <v>1.915405</v>
      </c>
      <c r="T2214">
        <v>1.7753599999999901E-2</v>
      </c>
      <c r="U2214">
        <v>-2.5406949999999999</v>
      </c>
      <c r="V2214">
        <v>-0.12346360000000001</v>
      </c>
      <c r="W2214">
        <v>0.171929</v>
      </c>
      <c r="X2214">
        <v>0.97734189999999999</v>
      </c>
      <c r="Y2214">
        <v>-0.3994859</v>
      </c>
      <c r="Z2214">
        <v>-1.9325330000000002E-2</v>
      </c>
      <c r="AA2214">
        <v>0.91653560000000001</v>
      </c>
      <c r="AB2214">
        <v>24</v>
      </c>
      <c r="AC2214">
        <v>25.533999999999899</v>
      </c>
      <c r="AD2214">
        <v>0.237066999999999</v>
      </c>
      <c r="AE2214">
        <v>-33.727699999999999</v>
      </c>
      <c r="AF2214">
        <v>-16.983182443406999</v>
      </c>
      <c r="AG2214">
        <v>0.237066999999999</v>
      </c>
      <c r="AH2214">
        <v>38.742767339901199</v>
      </c>
      <c r="AI2214">
        <v>89.678906309937005</v>
      </c>
      <c r="AJ2214">
        <v>113.670602438581</v>
      </c>
      <c r="AK2214">
        <v>42.302325087662197</v>
      </c>
      <c r="AL2214">
        <v>80.100005987739095</v>
      </c>
      <c r="AM2214">
        <v>97.199804111617496</v>
      </c>
      <c r="AN2214">
        <v>1.00000001553078</v>
      </c>
    </row>
    <row r="2215" spans="1:40" x14ac:dyDescent="0.25">
      <c r="A2215" t="str">
        <f>"20190303170806505"</f>
        <v>20190303170806505</v>
      </c>
      <c r="B2215" t="str">
        <f>"1551604086495341"</f>
        <v>1551604086495341</v>
      </c>
      <c r="C2215" t="s">
        <v>40</v>
      </c>
      <c r="D2215">
        <v>4.2680230000000003</v>
      </c>
      <c r="E2215">
        <v>0.38031609999999899</v>
      </c>
      <c r="F2215" t="s">
        <v>78</v>
      </c>
      <c r="G2215">
        <v>-468.92860000000002</v>
      </c>
      <c r="H2215">
        <v>1.415972</v>
      </c>
      <c r="I2215">
        <v>197.345</v>
      </c>
      <c r="J2215">
        <v>-495.48219999999998</v>
      </c>
      <c r="K2215">
        <v>1.1289</v>
      </c>
      <c r="L2215">
        <v>231.0461</v>
      </c>
      <c r="M2215">
        <v>0.2428216</v>
      </c>
      <c r="N2215">
        <v>-1.479488E-2</v>
      </c>
      <c r="O2215">
        <v>-0.96995830000000005</v>
      </c>
      <c r="P2215">
        <v>0.35748439999999998</v>
      </c>
      <c r="Q2215">
        <v>0.1598098</v>
      </c>
      <c r="R2215">
        <v>-0.92014470000000004</v>
      </c>
      <c r="S2215">
        <v>1.9673160000000001</v>
      </c>
      <c r="T2215">
        <v>2.123427E-2</v>
      </c>
      <c r="U2215">
        <v>-2.5060120000000001</v>
      </c>
      <c r="V2215">
        <v>-0.12654460000000001</v>
      </c>
      <c r="W2215">
        <v>0.171961</v>
      </c>
      <c r="X2215">
        <v>0.97694210000000004</v>
      </c>
      <c r="Y2215">
        <v>-0.40783360000000002</v>
      </c>
      <c r="Z2215">
        <v>-2.0395079999999999E-2</v>
      </c>
      <c r="AA2215">
        <v>0.91282839999999998</v>
      </c>
      <c r="AB2215">
        <v>24</v>
      </c>
      <c r="AC2215">
        <v>26.5535999999999</v>
      </c>
      <c r="AD2215">
        <v>0.28707199999999999</v>
      </c>
      <c r="AE2215">
        <v>-33.701099999999997</v>
      </c>
      <c r="AF2215">
        <v>-17.573663665651601</v>
      </c>
      <c r="AG2215">
        <v>0.28707199999999999</v>
      </c>
      <c r="AH2215">
        <v>39.138974819703698</v>
      </c>
      <c r="AI2215">
        <v>89.616631606192598</v>
      </c>
      <c r="AJ2215">
        <v>114.180401868629</v>
      </c>
      <c r="AK2215">
        <v>42.904258703583601</v>
      </c>
      <c r="AL2215">
        <v>80.098144588339593</v>
      </c>
      <c r="AM2215">
        <v>97.380503455101206</v>
      </c>
      <c r="AN2215">
        <v>0.99999999403128403</v>
      </c>
    </row>
    <row r="2216" spans="1:40" x14ac:dyDescent="0.25">
      <c r="A2216" t="str">
        <f>"20190303170806524"</f>
        <v>20190303170806524</v>
      </c>
      <c r="B2216" t="str">
        <f>"1551604086514861"</f>
        <v>1551604086514861</v>
      </c>
      <c r="C2216" t="s">
        <v>40</v>
      </c>
      <c r="D2216">
        <v>4.2777779999999996</v>
      </c>
      <c r="E2216">
        <v>0.37989689999999998</v>
      </c>
      <c r="F2216" t="s">
        <v>78</v>
      </c>
      <c r="G2216">
        <v>-468.10250000000002</v>
      </c>
      <c r="H2216">
        <v>1.526313</v>
      </c>
      <c r="I2216">
        <v>197.345</v>
      </c>
      <c r="J2216">
        <v>-495.42189999999999</v>
      </c>
      <c r="K2216">
        <v>1.129049</v>
      </c>
      <c r="L2216">
        <v>230.85210000000001</v>
      </c>
      <c r="M2216">
        <v>0.25288179999999999</v>
      </c>
      <c r="N2216">
        <v>-1.4840519999999999E-2</v>
      </c>
      <c r="O2216">
        <v>-0.96738349999999995</v>
      </c>
      <c r="P2216">
        <v>0.36908950000000001</v>
      </c>
      <c r="Q2216">
        <v>0.1621466</v>
      </c>
      <c r="R2216">
        <v>-0.91514039999999996</v>
      </c>
      <c r="S2216">
        <v>2.0101930000000001</v>
      </c>
      <c r="T2216">
        <v>2.9180169999999998E-2</v>
      </c>
      <c r="U2216">
        <v>-2.4742890000000002</v>
      </c>
      <c r="V2216">
        <v>-0.12896189999999999</v>
      </c>
      <c r="W2216">
        <v>0.17424529999999999</v>
      </c>
      <c r="X2216">
        <v>0.97622100000000001</v>
      </c>
      <c r="Y2216">
        <v>-0.41358089999999997</v>
      </c>
      <c r="Z2216">
        <v>-2.2900230000000001E-2</v>
      </c>
      <c r="AA2216">
        <v>0.91017930000000002</v>
      </c>
      <c r="AB2216">
        <v>24</v>
      </c>
      <c r="AC2216">
        <v>27.319399999999899</v>
      </c>
      <c r="AD2216">
        <v>0.39726400000000001</v>
      </c>
      <c r="AE2216">
        <v>-33.507100000000001</v>
      </c>
      <c r="AF2216">
        <v>-17.955459937352799</v>
      </c>
      <c r="AG2216">
        <v>0.39726400000000001</v>
      </c>
      <c r="AH2216">
        <v>39.3237997631119</v>
      </c>
      <c r="AI2216">
        <v>89.473482415238493</v>
      </c>
      <c r="AJ2216">
        <v>114.54169580044299</v>
      </c>
      <c r="AK2216">
        <v>43.2309794945349</v>
      </c>
      <c r="AL2216">
        <v>79.965257954587003</v>
      </c>
      <c r="AM2216">
        <v>97.525380870663298</v>
      </c>
      <c r="AN2216">
        <v>1.0000000185323401</v>
      </c>
    </row>
    <row r="2217" spans="1:40" x14ac:dyDescent="0.25">
      <c r="A2217" t="str">
        <f>"20190303170806546"</f>
        <v>20190303170806546</v>
      </c>
      <c r="B2217" t="str">
        <f>"1551604086535357"</f>
        <v>1551604086535357</v>
      </c>
      <c r="C2217" t="s">
        <v>40</v>
      </c>
      <c r="D2217">
        <v>4.2601899999999997</v>
      </c>
      <c r="E2217">
        <v>0.37987140000000003</v>
      </c>
      <c r="F2217" t="s">
        <v>78</v>
      </c>
      <c r="G2217">
        <v>-467.42930000000001</v>
      </c>
      <c r="H2217">
        <v>1.6758310000000001</v>
      </c>
      <c r="I2217">
        <v>197.345</v>
      </c>
      <c r="J2217">
        <v>-495.35149999999999</v>
      </c>
      <c r="K2217">
        <v>1.1292040000000001</v>
      </c>
      <c r="L2217">
        <v>230.63509999999999</v>
      </c>
      <c r="M2217">
        <v>0.26438240000000002</v>
      </c>
      <c r="N2217">
        <v>-1.489277E-2</v>
      </c>
      <c r="O2217">
        <v>-0.96430300000000002</v>
      </c>
      <c r="P2217">
        <v>0.38104929999999998</v>
      </c>
      <c r="Q2217">
        <v>0.1640353</v>
      </c>
      <c r="R2217">
        <v>-0.909887</v>
      </c>
      <c r="S2217">
        <v>2.0440670000000001</v>
      </c>
      <c r="T2217">
        <v>3.9929510000000001E-2</v>
      </c>
      <c r="U2217">
        <v>-2.4467319999999999</v>
      </c>
      <c r="V2217">
        <v>-0.13032379999999999</v>
      </c>
      <c r="W2217">
        <v>0.17610529999999999</v>
      </c>
      <c r="X2217">
        <v>0.97570619999999997</v>
      </c>
      <c r="Y2217">
        <v>-0.41516009999999998</v>
      </c>
      <c r="Z2217">
        <v>-2.6301379999999999E-2</v>
      </c>
      <c r="AA2217">
        <v>0.90936810000000001</v>
      </c>
      <c r="AB2217">
        <v>24</v>
      </c>
      <c r="AC2217">
        <v>27.922199999999901</v>
      </c>
      <c r="AD2217">
        <v>0.54662699999999997</v>
      </c>
      <c r="AE2217">
        <v>-33.290099999999903</v>
      </c>
      <c r="AF2217">
        <v>-18.123285389933201</v>
      </c>
      <c r="AG2217">
        <v>0.54662699999999997</v>
      </c>
      <c r="AH2217">
        <v>39.482009538745203</v>
      </c>
      <c r="AI2217">
        <v>89.279104472037005</v>
      </c>
      <c r="AJ2217">
        <v>114.656373122191</v>
      </c>
      <c r="AK2217">
        <v>43.446304234303597</v>
      </c>
      <c r="AL2217">
        <v>79.857013637861698</v>
      </c>
      <c r="AM2217">
        <v>97.607892418730501</v>
      </c>
      <c r="AN2217">
        <v>0.99999997912648397</v>
      </c>
    </row>
    <row r="2218" spans="1:40" x14ac:dyDescent="0.25">
      <c r="A2218" t="str">
        <f>"20190303170806574"</f>
        <v>20190303170806574</v>
      </c>
      <c r="B2218" t="str">
        <f>"1551604086564637"</f>
        <v>1551604086564637</v>
      </c>
      <c r="C2218" t="s">
        <v>40</v>
      </c>
      <c r="D2218">
        <v>4.2856800000000002</v>
      </c>
      <c r="E2218">
        <v>0.38053100000000001</v>
      </c>
      <c r="F2218" t="s">
        <v>78</v>
      </c>
      <c r="G2218">
        <v>-466.77460000000002</v>
      </c>
      <c r="H2218">
        <v>1.7814029999999901</v>
      </c>
      <c r="I2218">
        <v>197.345</v>
      </c>
      <c r="J2218">
        <v>-495.2561</v>
      </c>
      <c r="K2218">
        <v>1.1293850000000001</v>
      </c>
      <c r="L2218">
        <v>230.3561</v>
      </c>
      <c r="M2218">
        <v>0.27957510000000002</v>
      </c>
      <c r="N2218">
        <v>-1.495908E-2</v>
      </c>
      <c r="O2218">
        <v>-0.96000739999999996</v>
      </c>
      <c r="P2218">
        <v>0.39575890000000002</v>
      </c>
      <c r="Q2218">
        <v>0.1640296</v>
      </c>
      <c r="R2218">
        <v>-0.90358720000000003</v>
      </c>
      <c r="S2218">
        <v>2.0764770000000001</v>
      </c>
      <c r="T2218">
        <v>4.739285E-2</v>
      </c>
      <c r="U2218">
        <v>-2.4189449999999999</v>
      </c>
      <c r="V2218">
        <v>-0.13082550000000001</v>
      </c>
      <c r="W2218">
        <v>0.17609729999999901</v>
      </c>
      <c r="X2218">
        <v>0.97564050000000002</v>
      </c>
      <c r="Y2218">
        <v>-0.41293469999999999</v>
      </c>
      <c r="Z2218">
        <v>-2.8625250000000001E-2</v>
      </c>
      <c r="AA2218">
        <v>0.91031070000000003</v>
      </c>
      <c r="AB2218">
        <v>24</v>
      </c>
      <c r="AC2218">
        <v>28.481499999999901</v>
      </c>
      <c r="AD2218">
        <v>0.65201799999999899</v>
      </c>
      <c r="AE2218">
        <v>-33.011099999999999</v>
      </c>
      <c r="AF2218">
        <v>-18.111343732623201</v>
      </c>
      <c r="AG2218">
        <v>0.65201799999999899</v>
      </c>
      <c r="AH2218">
        <v>39.649184403442199</v>
      </c>
      <c r="AI2218">
        <v>89.143033099545207</v>
      </c>
      <c r="AJ2218">
        <v>114.55043791531099</v>
      </c>
      <c r="AK2218">
        <v>43.5947671530853</v>
      </c>
      <c r="AL2218">
        <v>79.857479268370398</v>
      </c>
      <c r="AM2218">
        <v>97.637343284043695</v>
      </c>
      <c r="AN2218">
        <v>0.99999997787889405</v>
      </c>
    </row>
    <row r="2219" spans="1:40" x14ac:dyDescent="0.25">
      <c r="A2219" t="str">
        <f>"20190303170806593"</f>
        <v>20190303170806593</v>
      </c>
      <c r="B2219" t="str">
        <f>"1551604086585135"</f>
        <v>1551604086585135</v>
      </c>
      <c r="C2219" t="s">
        <v>40</v>
      </c>
      <c r="D2219">
        <v>4.293285</v>
      </c>
      <c r="E2219">
        <v>0.38112289999999999</v>
      </c>
      <c r="F2219" t="s">
        <v>78</v>
      </c>
      <c r="G2219">
        <v>-466.06029999999998</v>
      </c>
      <c r="H2219">
        <v>1.7277480000000001</v>
      </c>
      <c r="I2219">
        <v>197.345</v>
      </c>
      <c r="J2219">
        <v>-495.18900000000002</v>
      </c>
      <c r="K2219">
        <v>1.129491</v>
      </c>
      <c r="L2219">
        <v>230.1686</v>
      </c>
      <c r="M2219">
        <v>0.2899969</v>
      </c>
      <c r="N2219">
        <v>-1.500139E-2</v>
      </c>
      <c r="O2219">
        <v>-0.95691000000000004</v>
      </c>
      <c r="P2219">
        <v>0.40593570000000001</v>
      </c>
      <c r="Q2219">
        <v>0.16305629999999999</v>
      </c>
      <c r="R2219">
        <v>-0.89923790000000003</v>
      </c>
      <c r="S2219">
        <v>2.1115110000000001</v>
      </c>
      <c r="T2219">
        <v>4.3277500000000003E-2</v>
      </c>
      <c r="U2219">
        <v>-2.3874360000000001</v>
      </c>
      <c r="V2219">
        <v>-0.13121060000000001</v>
      </c>
      <c r="W2219">
        <v>0.17512510000000001</v>
      </c>
      <c r="X2219">
        <v>0.97576379999999996</v>
      </c>
      <c r="Y2219">
        <v>-0.41650599999999999</v>
      </c>
      <c r="Z2219">
        <v>-2.7257279999999998E-2</v>
      </c>
      <c r="AA2219">
        <v>0.90872419999999998</v>
      </c>
      <c r="AB2219">
        <v>24</v>
      </c>
      <c r="AC2219">
        <v>29.128699999999998</v>
      </c>
      <c r="AD2219">
        <v>0.59825699999999904</v>
      </c>
      <c r="AE2219">
        <v>-32.823599999999999</v>
      </c>
      <c r="AF2219">
        <v>-18.353456911361299</v>
      </c>
      <c r="AG2219">
        <v>0.59825699999999904</v>
      </c>
      <c r="AH2219">
        <v>39.853542837173102</v>
      </c>
      <c r="AI2219">
        <v>89.218820671118905</v>
      </c>
      <c r="AJ2219">
        <v>114.727138436676</v>
      </c>
      <c r="AK2219">
        <v>43.880658252920902</v>
      </c>
      <c r="AL2219">
        <v>79.914061844931595</v>
      </c>
      <c r="AM2219">
        <v>97.658601783365896</v>
      </c>
      <c r="AN2219">
        <v>1.0000000077964</v>
      </c>
    </row>
    <row r="2220" spans="1:40" x14ac:dyDescent="0.25">
      <c r="A2220" t="str">
        <f>"20190303170806617"</f>
        <v>20190303170806617</v>
      </c>
      <c r="B2220" t="str">
        <f>"1551604086604653"</f>
        <v>1551604086604653</v>
      </c>
      <c r="C2220" t="s">
        <v>40</v>
      </c>
      <c r="D2220">
        <v>4.3039670000000001</v>
      </c>
      <c r="E2220">
        <v>0.3817564</v>
      </c>
      <c r="F2220" t="s">
        <v>78</v>
      </c>
      <c r="G2220">
        <v>-465.58569999999997</v>
      </c>
      <c r="H2220">
        <v>1.640781</v>
      </c>
      <c r="I2220">
        <v>197.345</v>
      </c>
      <c r="J2220">
        <v>-495.10329999999999</v>
      </c>
      <c r="K2220">
        <v>1.129594</v>
      </c>
      <c r="L2220">
        <v>229.9391</v>
      </c>
      <c r="M2220">
        <v>0.30297249999999998</v>
      </c>
      <c r="N2220">
        <v>-1.504956E-2</v>
      </c>
      <c r="O2220">
        <v>-0.95288039999999996</v>
      </c>
      <c r="P2220">
        <v>0.41779830000000001</v>
      </c>
      <c r="Q2220">
        <v>0.162945799999999</v>
      </c>
      <c r="R2220">
        <v>-0.8938083</v>
      </c>
      <c r="S2220">
        <v>2.1340029999999999</v>
      </c>
      <c r="T2220">
        <v>3.6859749999999997E-2</v>
      </c>
      <c r="U2220">
        <v>-2.3661349999999999</v>
      </c>
      <c r="V2220">
        <v>-0.13090089999999999</v>
      </c>
      <c r="W2220">
        <v>0.175035</v>
      </c>
      <c r="X2220">
        <v>0.97582159999999996</v>
      </c>
      <c r="Y2220">
        <v>-0.4130124</v>
      </c>
      <c r="Z2220">
        <v>-2.51352E-2</v>
      </c>
      <c r="AA2220">
        <v>0.91037849999999998</v>
      </c>
      <c r="AB2220">
        <v>24</v>
      </c>
      <c r="AC2220">
        <v>29.517600000000002</v>
      </c>
      <c r="AD2220">
        <v>0.51118699999999995</v>
      </c>
      <c r="AE2220">
        <v>-32.594099999999997</v>
      </c>
      <c r="AF2220">
        <v>-18.2512284217269</v>
      </c>
      <c r="AG2220">
        <v>0.51118699999999995</v>
      </c>
      <c r="AH2220">
        <v>40.000427588849497</v>
      </c>
      <c r="AI2220">
        <v>89.333882200902806</v>
      </c>
      <c r="AJ2220">
        <v>114.526067977979</v>
      </c>
      <c r="AK2220">
        <v>43.970477122062398</v>
      </c>
      <c r="AL2220">
        <v>79.919305570647694</v>
      </c>
      <c r="AM2220">
        <v>97.640291546664599</v>
      </c>
      <c r="AN2220">
        <v>1.00000004593618</v>
      </c>
    </row>
    <row r="2221" spans="1:40" x14ac:dyDescent="0.25">
      <c r="A2221" t="str">
        <f>"20190303170806638"</f>
        <v>20190303170806638</v>
      </c>
      <c r="B2221" t="str">
        <f>"1551604086625149"</f>
        <v>1551604086625149</v>
      </c>
      <c r="C2221" t="s">
        <v>40</v>
      </c>
      <c r="D2221">
        <v>4.3358860000000004</v>
      </c>
      <c r="E2221">
        <v>0.3825847</v>
      </c>
      <c r="F2221" t="s">
        <v>78</v>
      </c>
      <c r="G2221">
        <v>-465.01409999999998</v>
      </c>
      <c r="H2221">
        <v>1.6000829999999999</v>
      </c>
      <c r="I2221">
        <v>197.345</v>
      </c>
      <c r="J2221">
        <v>-495.02510000000001</v>
      </c>
      <c r="K2221">
        <v>1.129669</v>
      </c>
      <c r="L2221">
        <v>229.73769999999999</v>
      </c>
      <c r="M2221">
        <v>0.314527099999999</v>
      </c>
      <c r="N2221">
        <v>-1.508804E-2</v>
      </c>
      <c r="O2221">
        <v>-0.94912870000000005</v>
      </c>
      <c r="P2221">
        <v>0.42748570000000002</v>
      </c>
      <c r="Q2221">
        <v>0.1637276</v>
      </c>
      <c r="R2221">
        <v>-0.88907230000000004</v>
      </c>
      <c r="S2221">
        <v>2.1604920000000001</v>
      </c>
      <c r="T2221">
        <v>3.3784990000000001E-2</v>
      </c>
      <c r="U2221">
        <v>-2.340347</v>
      </c>
      <c r="V2221">
        <v>-0.1297393</v>
      </c>
      <c r="W2221">
        <v>0.17585509999999999</v>
      </c>
      <c r="X2221">
        <v>0.97582919999999995</v>
      </c>
      <c r="Y2221">
        <v>-0.4125221</v>
      </c>
      <c r="Z2221">
        <v>-2.4083770000000001E-2</v>
      </c>
      <c r="AA2221">
        <v>0.91062920000000003</v>
      </c>
      <c r="AB2221">
        <v>24</v>
      </c>
      <c r="AC2221">
        <v>30.010999999999999</v>
      </c>
      <c r="AD2221">
        <v>0.470413999999999</v>
      </c>
      <c r="AE2221">
        <v>-32.392699999999898</v>
      </c>
      <c r="AF2221">
        <v>-18.2959238453995</v>
      </c>
      <c r="AG2221">
        <v>0.470413999999999</v>
      </c>
      <c r="AH2221">
        <v>40.184123750531903</v>
      </c>
      <c r="AI2221">
        <v>89.3895862559622</v>
      </c>
      <c r="AJ2221">
        <v>114.479883087517</v>
      </c>
      <c r="AK2221">
        <v>44.155700880929501</v>
      </c>
      <c r="AL2221">
        <v>79.871576165655</v>
      </c>
      <c r="AM2221">
        <v>97.573224543459006</v>
      </c>
      <c r="AN2221">
        <v>0.99999996486656895</v>
      </c>
    </row>
    <row r="2222" spans="1:40" x14ac:dyDescent="0.25">
      <c r="A2222" t="str">
        <f>"20190303170806661"</f>
        <v>20190303170806661</v>
      </c>
      <c r="B2222" t="str">
        <f>"1551604086655406"</f>
        <v>1551604086655406</v>
      </c>
      <c r="C2222" t="s">
        <v>40</v>
      </c>
      <c r="D2222">
        <v>4.3402099999999999</v>
      </c>
      <c r="E2222">
        <v>0.39761030000000003</v>
      </c>
      <c r="F2222" t="s">
        <v>78</v>
      </c>
      <c r="G2222">
        <v>-464.74869999999999</v>
      </c>
      <c r="H2222">
        <v>1.5858570000000001</v>
      </c>
      <c r="I2222">
        <v>197.51820000000001</v>
      </c>
      <c r="J2222">
        <v>-494.9384</v>
      </c>
      <c r="K2222">
        <v>1.12974</v>
      </c>
      <c r="L2222">
        <v>229.52330000000001</v>
      </c>
      <c r="M2222">
        <v>0.32700649999999998</v>
      </c>
      <c r="N2222">
        <v>-1.512616E-2</v>
      </c>
      <c r="O2222">
        <v>-0.94490099999999999</v>
      </c>
      <c r="P2222">
        <v>0.43838890000000003</v>
      </c>
      <c r="Q2222">
        <v>0.16392799999999999</v>
      </c>
      <c r="R2222">
        <v>-0.88370949999999904</v>
      </c>
      <c r="S2222">
        <v>2.1800839999999999</v>
      </c>
      <c r="T2222">
        <v>3.2850740000000003E-2</v>
      </c>
      <c r="U2222">
        <v>-2.3199920000000001</v>
      </c>
      <c r="V2222">
        <v>-0.1289264</v>
      </c>
      <c r="W2222">
        <v>0.17609029999999901</v>
      </c>
      <c r="X2222">
        <v>0.97589459999999995</v>
      </c>
      <c r="Y2222">
        <v>-0.40858739999999999</v>
      </c>
      <c r="Z2222">
        <v>-2.3707220000000001E-2</v>
      </c>
      <c r="AA2222">
        <v>0.91241130000000004</v>
      </c>
      <c r="AB2222">
        <v>24</v>
      </c>
      <c r="AC2222">
        <v>30.189699999999998</v>
      </c>
      <c r="AD2222">
        <v>0.45611699999999999</v>
      </c>
      <c r="AE2222">
        <v>-32.005099999999999</v>
      </c>
      <c r="AF2222">
        <v>-18.060527853149399</v>
      </c>
      <c r="AG2222">
        <v>0.45611699999999999</v>
      </c>
      <c r="AH2222">
        <v>40.114158689898296</v>
      </c>
      <c r="AI2222">
        <v>89.405973258321794</v>
      </c>
      <c r="AJ2222">
        <v>114.238620324826</v>
      </c>
      <c r="AK2222">
        <v>43.9947319170195</v>
      </c>
      <c r="AL2222">
        <v>79.857887345888997</v>
      </c>
      <c r="AM2222">
        <v>97.525820487089504</v>
      </c>
      <c r="AN2222">
        <v>1.0000000403400999</v>
      </c>
    </row>
    <row r="2223" spans="1:40" x14ac:dyDescent="0.25">
      <c r="A2223" t="str">
        <f>"20190303170806688"</f>
        <v>20190303170806688</v>
      </c>
      <c r="B2223" t="str">
        <f>"1551604086674925"</f>
        <v>1551604086674925</v>
      </c>
      <c r="C2223" t="s">
        <v>40</v>
      </c>
      <c r="D2223">
        <v>4.3574679999999999</v>
      </c>
      <c r="E2223">
        <v>0.39916420000000002</v>
      </c>
      <c r="F2223" t="s">
        <v>78</v>
      </c>
      <c r="G2223">
        <v>-466.12439999999998</v>
      </c>
      <c r="H2223">
        <v>0.89042569999999999</v>
      </c>
      <c r="I2223">
        <v>197.345</v>
      </c>
      <c r="J2223">
        <v>-494.82940000000002</v>
      </c>
      <c r="K2223">
        <v>1.1298060000000001</v>
      </c>
      <c r="L2223">
        <v>229.2645</v>
      </c>
      <c r="M2223">
        <v>0.3422501</v>
      </c>
      <c r="N2223">
        <v>-1.516934E-2</v>
      </c>
      <c r="O2223">
        <v>-0.93948670000000001</v>
      </c>
      <c r="P2223">
        <v>0.45255240000000002</v>
      </c>
      <c r="Q2223">
        <v>0.16378609999999999</v>
      </c>
      <c r="R2223">
        <v>-0.87656780000000001</v>
      </c>
      <c r="S2223">
        <v>2.1068730000000002</v>
      </c>
      <c r="T2223">
        <v>-1.7495989999999999E-2</v>
      </c>
      <c r="U2223">
        <v>-2.352859</v>
      </c>
      <c r="V2223">
        <v>-0.12885839999999901</v>
      </c>
      <c r="W2223">
        <v>0.1759724</v>
      </c>
      <c r="X2223">
        <v>0.97592480000000004</v>
      </c>
      <c r="Y2223">
        <v>-0.37172270000000002</v>
      </c>
      <c r="Z2223">
        <v>-7.6815859999999998E-3</v>
      </c>
      <c r="AA2223">
        <v>0.92831200000000003</v>
      </c>
      <c r="AB2223">
        <v>24</v>
      </c>
      <c r="AC2223">
        <v>28.704999999999998</v>
      </c>
      <c r="AD2223">
        <v>-0.23938029999999899</v>
      </c>
      <c r="AE2223">
        <v>-31.919499999999999</v>
      </c>
      <c r="AF2223">
        <v>-16.044856930411701</v>
      </c>
      <c r="AG2223">
        <v>-0.23938029999999899</v>
      </c>
      <c r="AH2223">
        <v>39.815568196647</v>
      </c>
      <c r="AI2223">
        <v>90.319504682718204</v>
      </c>
      <c r="AJ2223">
        <v>111.94842327162699</v>
      </c>
      <c r="AK2223">
        <v>42.927546024286798</v>
      </c>
      <c r="AL2223">
        <v>79.864749202034901</v>
      </c>
      <c r="AM2223">
        <v>97.521666485836505</v>
      </c>
      <c r="AN2223">
        <v>0.99999999403368001</v>
      </c>
    </row>
    <row r="2224" spans="1:40" x14ac:dyDescent="0.25">
      <c r="A2224" t="str">
        <f>"20190303170806708"</f>
        <v>20190303170806708</v>
      </c>
      <c r="B2224" t="str">
        <f>"1551604086695422"</f>
        <v>1551604086695422</v>
      </c>
      <c r="C2224" t="s">
        <v>40</v>
      </c>
      <c r="D2224">
        <v>4.3687069999999997</v>
      </c>
      <c r="E2224">
        <v>0.40052270000000001</v>
      </c>
      <c r="F2224" t="s">
        <v>78</v>
      </c>
      <c r="G2224">
        <v>-465.55290000000002</v>
      </c>
      <c r="H2224">
        <v>0.78268859999999996</v>
      </c>
      <c r="I2224">
        <v>197.345</v>
      </c>
      <c r="J2224">
        <v>-494.7466</v>
      </c>
      <c r="K2224">
        <v>1.129848</v>
      </c>
      <c r="L2224">
        <v>229.0763</v>
      </c>
      <c r="M2224">
        <v>0.35347479999999998</v>
      </c>
      <c r="N2224">
        <v>-1.5198379999999999E-2</v>
      </c>
      <c r="O2224">
        <v>-0.9353207</v>
      </c>
      <c r="P2224">
        <v>0.463611</v>
      </c>
      <c r="Q2224">
        <v>0.16398940000000001</v>
      </c>
      <c r="R2224">
        <v>-0.87073120000000004</v>
      </c>
      <c r="S2224">
        <v>2.13327</v>
      </c>
      <c r="T2224">
        <v>-2.529037E-2</v>
      </c>
      <c r="U2224">
        <v>-2.3258510000000001</v>
      </c>
      <c r="V2224">
        <v>-0.12956139999999999</v>
      </c>
      <c r="W2224">
        <v>0.1761761</v>
      </c>
      <c r="X2224">
        <v>0.97579499999999997</v>
      </c>
      <c r="Y2224">
        <v>-0.37169639999999998</v>
      </c>
      <c r="Z2224">
        <v>-5.1396139999999998E-3</v>
      </c>
      <c r="AA2224">
        <v>0.9283401</v>
      </c>
      <c r="AB2224">
        <v>24</v>
      </c>
      <c r="AC2224">
        <v>29.1936999999999</v>
      </c>
      <c r="AD2224">
        <v>-0.34715940000000001</v>
      </c>
      <c r="AE2224">
        <v>-31.731300000000001</v>
      </c>
      <c r="AF2224">
        <v>-16.090070606826298</v>
      </c>
      <c r="AG2224">
        <v>-0.34715940000000001</v>
      </c>
      <c r="AH2224">
        <v>40.000201641809703</v>
      </c>
      <c r="AI2224">
        <v>90.461331811465897</v>
      </c>
      <c r="AJ2224">
        <v>111.912444294683</v>
      </c>
      <c r="AK2224">
        <v>43.116435650075502</v>
      </c>
      <c r="AL2224">
        <v>79.8528931694606</v>
      </c>
      <c r="AM2224">
        <v>97.563222337845104</v>
      </c>
      <c r="AN2224">
        <v>1.0000000283030801</v>
      </c>
    </row>
    <row r="2225" spans="1:40" x14ac:dyDescent="0.25">
      <c r="A2225" t="str">
        <f>"20190303170806728"</f>
        <v>20190303170806728</v>
      </c>
      <c r="B2225" t="str">
        <f>"1551604086724702"</f>
        <v>1551604086724702</v>
      </c>
      <c r="C2225" t="s">
        <v>40</v>
      </c>
      <c r="D2225">
        <v>4.3805670000000001</v>
      </c>
      <c r="E2225">
        <v>0.4016014</v>
      </c>
      <c r="F2225" t="s">
        <v>78</v>
      </c>
      <c r="G2225">
        <v>-465.10289999999998</v>
      </c>
      <c r="H2225">
        <v>0.70676419999999995</v>
      </c>
      <c r="I2225">
        <v>197.345</v>
      </c>
      <c r="J2225">
        <v>-494.6617</v>
      </c>
      <c r="K2225">
        <v>1.129893</v>
      </c>
      <c r="L2225">
        <v>228.8895</v>
      </c>
      <c r="M2225">
        <v>0.36470750000000002</v>
      </c>
      <c r="N2225">
        <v>-1.522301E-2</v>
      </c>
      <c r="O2225">
        <v>-0.93099779999999999</v>
      </c>
      <c r="P2225">
        <v>0.4746956</v>
      </c>
      <c r="Q2225">
        <v>0.16507330000000001</v>
      </c>
      <c r="R2225">
        <v>-0.86453159999999896</v>
      </c>
      <c r="S2225">
        <v>2.1531370000000001</v>
      </c>
      <c r="T2225">
        <v>-3.0727620000000001E-2</v>
      </c>
      <c r="U2225">
        <v>-2.304764</v>
      </c>
      <c r="V2225">
        <v>-0.1303947</v>
      </c>
      <c r="W2225">
        <v>0.1772523</v>
      </c>
      <c r="X2225">
        <v>0.97548900000000005</v>
      </c>
      <c r="Y2225">
        <v>-0.36902669999999999</v>
      </c>
      <c r="Z2225">
        <v>-3.3618540000000001E-3</v>
      </c>
      <c r="AA2225">
        <v>0.92941269999999998</v>
      </c>
      <c r="AB2225">
        <v>24</v>
      </c>
      <c r="AC2225">
        <v>29.558800000000002</v>
      </c>
      <c r="AD2225">
        <v>-0.42312880000000003</v>
      </c>
      <c r="AE2225">
        <v>-31.544499999999999</v>
      </c>
      <c r="AF2225">
        <v>-16.014982030291598</v>
      </c>
      <c r="AG2225">
        <v>-0.42312880000000003</v>
      </c>
      <c r="AH2225">
        <v>40.1489783649372</v>
      </c>
      <c r="AI2225">
        <v>90.560846586054495</v>
      </c>
      <c r="AJ2225">
        <v>111.74650826595</v>
      </c>
      <c r="AK2225">
        <v>43.2272963665338</v>
      </c>
      <c r="AL2225">
        <v>79.790244937071094</v>
      </c>
      <c r="AM2225">
        <v>97.613657805874098</v>
      </c>
      <c r="AN2225">
        <v>0.99999997238218896</v>
      </c>
    </row>
    <row r="2226" spans="1:40" x14ac:dyDescent="0.25">
      <c r="A2226" t="str">
        <f>"20190303170806749"</f>
        <v>20190303170806749</v>
      </c>
      <c r="B2226" t="str">
        <f>"1551604086745197"</f>
        <v>1551604086745197</v>
      </c>
      <c r="C2226" t="s">
        <v>40</v>
      </c>
      <c r="D2226">
        <v>4.4159739999999896</v>
      </c>
      <c r="E2226">
        <v>0.40198460000000003</v>
      </c>
      <c r="F2226" t="s">
        <v>78</v>
      </c>
      <c r="G2226">
        <v>-464.74540000000002</v>
      </c>
      <c r="H2226">
        <v>0.77821589999999996</v>
      </c>
      <c r="I2226">
        <v>197.51820000000001</v>
      </c>
      <c r="J2226">
        <v>-494.57249999999999</v>
      </c>
      <c r="K2226">
        <v>1.1299220000000001</v>
      </c>
      <c r="L2226">
        <v>228.69970000000001</v>
      </c>
      <c r="M2226">
        <v>0.37619629999999998</v>
      </c>
      <c r="N2226">
        <v>-1.523937E-2</v>
      </c>
      <c r="O2226">
        <v>-0.92641490000000004</v>
      </c>
      <c r="P2226">
        <v>0.48615710000000001</v>
      </c>
      <c r="Q2226">
        <v>0.16560139999999901</v>
      </c>
      <c r="R2226">
        <v>-0.85803719999999895</v>
      </c>
      <c r="S2226">
        <v>2.1749879999999999</v>
      </c>
      <c r="T2226">
        <v>-2.5565149999999998E-2</v>
      </c>
      <c r="U2226">
        <v>-2.2807620000000002</v>
      </c>
      <c r="V2226">
        <v>-0.1313703</v>
      </c>
      <c r="W2226">
        <v>0.17776429999999999</v>
      </c>
      <c r="X2226">
        <v>0.97526500000000005</v>
      </c>
      <c r="Y2226">
        <v>-0.36706879999999997</v>
      </c>
      <c r="Z2226">
        <v>-4.9332550000000001E-3</v>
      </c>
      <c r="AA2226">
        <v>0.93018069999999997</v>
      </c>
      <c r="AB2226">
        <v>23</v>
      </c>
      <c r="AC2226">
        <v>29.827099999999898</v>
      </c>
      <c r="AD2226">
        <v>-0.35170609999999902</v>
      </c>
      <c r="AE2226">
        <v>-31.1815</v>
      </c>
      <c r="AF2226">
        <v>-15.902691615641199</v>
      </c>
      <c r="AG2226">
        <v>-0.35170609999999902</v>
      </c>
      <c r="AH2226">
        <v>40.109835032412597</v>
      </c>
      <c r="AI2226">
        <v>90.467023474823193</v>
      </c>
      <c r="AJ2226">
        <v>111.627266822832</v>
      </c>
      <c r="AK2226">
        <v>43.1487909926839</v>
      </c>
      <c r="AL2226">
        <v>79.760437030606894</v>
      </c>
      <c r="AM2226">
        <v>97.671687456470195</v>
      </c>
      <c r="AN2226">
        <v>1.00000006115078</v>
      </c>
    </row>
    <row r="2227" spans="1:40" x14ac:dyDescent="0.25">
      <c r="A2227" t="str">
        <f>"20190303170806771"</f>
        <v>20190303170806771</v>
      </c>
      <c r="B2227" t="str">
        <f>"1551604086764718"</f>
        <v>1551604086764718</v>
      </c>
      <c r="C2227" t="s">
        <v>40</v>
      </c>
      <c r="D2227">
        <v>4.4348799999999997</v>
      </c>
      <c r="E2227">
        <v>0.4095975</v>
      </c>
      <c r="F2227" t="s">
        <v>78</v>
      </c>
      <c r="G2227">
        <v>-464.07749999999999</v>
      </c>
      <c r="H2227">
        <v>0.80587769999999903</v>
      </c>
      <c r="I2227">
        <v>197.51820000000001</v>
      </c>
      <c r="J2227">
        <v>-494.47089999999997</v>
      </c>
      <c r="K2227">
        <v>1.1299330000000001</v>
      </c>
      <c r="L2227">
        <v>228.49119999999999</v>
      </c>
      <c r="M2227">
        <v>0.3888954</v>
      </c>
      <c r="N2227">
        <v>-1.5247749999999999E-2</v>
      </c>
      <c r="O2227">
        <v>-0.92115579999999997</v>
      </c>
      <c r="P2227">
        <v>0.49967270000000003</v>
      </c>
      <c r="Q2227">
        <v>0.16550229999999999</v>
      </c>
      <c r="R2227">
        <v>-0.85025689999999998</v>
      </c>
      <c r="S2227">
        <v>2.2030639999999999</v>
      </c>
      <c r="T2227">
        <v>-2.3407460000000001E-2</v>
      </c>
      <c r="U2227">
        <v>-2.2526549999999999</v>
      </c>
      <c r="V2227">
        <v>-0.13339779999999901</v>
      </c>
      <c r="W2227">
        <v>0.17762220000000001</v>
      </c>
      <c r="X2227">
        <v>0.97501559999999998</v>
      </c>
      <c r="Y2227">
        <v>-0.3660059</v>
      </c>
      <c r="Z2227">
        <v>-5.5313180000000003E-3</v>
      </c>
      <c r="AA2227">
        <v>0.93059610000000004</v>
      </c>
      <c r="AB2227">
        <v>23</v>
      </c>
      <c r="AC2227">
        <v>30.3933999999999</v>
      </c>
      <c r="AD2227">
        <v>-0.32405529999999999</v>
      </c>
      <c r="AE2227">
        <v>-30.9729999999999</v>
      </c>
      <c r="AF2227">
        <v>-15.952763451301299</v>
      </c>
      <c r="AG2227">
        <v>-0.32405529999999999</v>
      </c>
      <c r="AH2227">
        <v>40.353250485169298</v>
      </c>
      <c r="AI2227">
        <v>90.427880886533103</v>
      </c>
      <c r="AJ2227">
        <v>111.57026687527799</v>
      </c>
      <c r="AK2227">
        <v>43.393323199421502</v>
      </c>
      <c r="AL2227">
        <v>79.768709994177499</v>
      </c>
      <c r="AM2227">
        <v>97.790613633494701</v>
      </c>
      <c r="AN2227">
        <v>1.0000000196105101</v>
      </c>
    </row>
    <row r="2228" spans="1:40" x14ac:dyDescent="0.25">
      <c r="A2228" t="str">
        <f>"20190303170806793"</f>
        <v>20190303170806793</v>
      </c>
      <c r="B2228" t="str">
        <f>"1551604086785214"</f>
        <v>1551604086785214</v>
      </c>
      <c r="C2228" t="s">
        <v>40</v>
      </c>
      <c r="D2228">
        <v>4.4343320000000004</v>
      </c>
      <c r="E2228">
        <v>0.41063949999999999</v>
      </c>
      <c r="F2228" t="s">
        <v>78</v>
      </c>
      <c r="G2228">
        <v>-464.36770000000001</v>
      </c>
      <c r="H2228">
        <v>0.66243699999999905</v>
      </c>
      <c r="I2228">
        <v>197.51820000000001</v>
      </c>
      <c r="J2228">
        <v>-494.37130000000002</v>
      </c>
      <c r="K2228">
        <v>1.1299239999999999</v>
      </c>
      <c r="L2228">
        <v>228.29349999999999</v>
      </c>
      <c r="M2228">
        <v>0.40099269999999998</v>
      </c>
      <c r="N2228">
        <v>-1.5250680000000001E-2</v>
      </c>
      <c r="O2228">
        <v>-0.91595439999999995</v>
      </c>
      <c r="P2228">
        <v>0.51215189999999999</v>
      </c>
      <c r="Q2228">
        <v>0.16655629999999999</v>
      </c>
      <c r="R2228">
        <v>-0.84259119999999998</v>
      </c>
      <c r="S2228">
        <v>2.1867070000000002</v>
      </c>
      <c r="T2228">
        <v>-3.395629E-2</v>
      </c>
      <c r="U2228">
        <v>-2.2498779999999998</v>
      </c>
      <c r="V2228">
        <v>-0.1350391</v>
      </c>
      <c r="W2228">
        <v>0.1786384</v>
      </c>
      <c r="X2228">
        <v>0.97460389999999997</v>
      </c>
      <c r="Y2228">
        <v>-0.35081410000000002</v>
      </c>
      <c r="Z2228">
        <v>-2.1623430000000002E-3</v>
      </c>
      <c r="AA2228">
        <v>0.93644269999999996</v>
      </c>
      <c r="AB2228">
        <v>23</v>
      </c>
      <c r="AC2228">
        <v>30.003599999999999</v>
      </c>
      <c r="AD2228">
        <v>-0.46748699999999999</v>
      </c>
      <c r="AE2228">
        <v>-30.775299999999898</v>
      </c>
      <c r="AF2228">
        <v>-15.1412272105689</v>
      </c>
      <c r="AG2228">
        <v>-0.46748699999999999</v>
      </c>
      <c r="AH2228">
        <v>40.219912120343999</v>
      </c>
      <c r="AI2228">
        <v>90.623237497764606</v>
      </c>
      <c r="AJ2228">
        <v>110.629397370202</v>
      </c>
      <c r="AK2228">
        <v>42.978094844995603</v>
      </c>
      <c r="AL2228">
        <v>79.709539493108096</v>
      </c>
      <c r="AM2228">
        <v>97.888558244713707</v>
      </c>
      <c r="AN2228">
        <v>0.99999999918928895</v>
      </c>
    </row>
    <row r="2229" spans="1:40" x14ac:dyDescent="0.25">
      <c r="A2229" t="str">
        <f>"20190303170806816"</f>
        <v>20190303170806816</v>
      </c>
      <c r="B2229" t="str">
        <f>"1551604086804734"</f>
        <v>1551604086804734</v>
      </c>
      <c r="C2229" t="s">
        <v>40</v>
      </c>
      <c r="D2229">
        <v>4.4573109999999998</v>
      </c>
      <c r="E2229">
        <v>0.41131329999999999</v>
      </c>
      <c r="F2229" t="s">
        <v>78</v>
      </c>
      <c r="G2229">
        <v>-463.5478</v>
      </c>
      <c r="H2229">
        <v>0.66171219999999997</v>
      </c>
      <c r="I2229">
        <v>197.345</v>
      </c>
      <c r="J2229">
        <v>-494.25979999999998</v>
      </c>
      <c r="K2229">
        <v>1.129915</v>
      </c>
      <c r="L2229">
        <v>228.07990000000001</v>
      </c>
      <c r="M2229">
        <v>0.41410770000000002</v>
      </c>
      <c r="N2229">
        <v>-1.5248930000000001E-2</v>
      </c>
      <c r="O2229">
        <v>-0.91010029999999997</v>
      </c>
      <c r="P2229">
        <v>0.52456309999999995</v>
      </c>
      <c r="Q2229">
        <v>0.16860159999999999</v>
      </c>
      <c r="R2229">
        <v>-0.83451019999999898</v>
      </c>
      <c r="S2229">
        <v>2.2129819999999998</v>
      </c>
      <c r="T2229">
        <v>-3.361285E-2</v>
      </c>
      <c r="U2229">
        <v>-2.2219540000000002</v>
      </c>
      <c r="V2229">
        <v>-0.13566739999999999</v>
      </c>
      <c r="W2229">
        <v>0.18066860000000001</v>
      </c>
      <c r="X2229">
        <v>0.97414230000000002</v>
      </c>
      <c r="Y2229">
        <v>-0.34880119999999998</v>
      </c>
      <c r="Z2229">
        <v>-2.1877899999999998E-3</v>
      </c>
      <c r="AA2229">
        <v>0.93719419999999998</v>
      </c>
      <c r="AB2229">
        <v>23</v>
      </c>
      <c r="AC2229">
        <v>30.7119999999999</v>
      </c>
      <c r="AD2229">
        <v>-0.46820279999999997</v>
      </c>
      <c r="AE2229">
        <v>-30.7349</v>
      </c>
      <c r="AF2229">
        <v>-15.2234421370208</v>
      </c>
      <c r="AG2229">
        <v>-0.46820279999999997</v>
      </c>
      <c r="AH2229">
        <v>40.689918654856598</v>
      </c>
      <c r="AI2229">
        <v>90.617454901597398</v>
      </c>
      <c r="AJ2229">
        <v>110.512482728481</v>
      </c>
      <c r="AK2229">
        <v>43.447000868874703</v>
      </c>
      <c r="AL2229">
        <v>79.591293760211599</v>
      </c>
      <c r="AM2229">
        <v>97.928503730925897</v>
      </c>
      <c r="AN2229">
        <v>1.000000003549</v>
      </c>
    </row>
    <row r="2230" spans="1:40" x14ac:dyDescent="0.25">
      <c r="A2230" t="str">
        <f>"20190303170806837"</f>
        <v>20190303170806837</v>
      </c>
      <c r="B2230" t="str">
        <f>"1551604086834989"</f>
        <v>1551604086834989</v>
      </c>
      <c r="C2230" t="s">
        <v>40</v>
      </c>
      <c r="D2230">
        <v>4.5025029999999999</v>
      </c>
      <c r="E2230">
        <v>0.41874030000000001</v>
      </c>
      <c r="F2230" t="s">
        <v>78</v>
      </c>
      <c r="G2230">
        <v>-462.81790000000001</v>
      </c>
      <c r="H2230">
        <v>0.71426769999999995</v>
      </c>
      <c r="I2230">
        <v>197.345</v>
      </c>
      <c r="J2230">
        <v>-494.1574</v>
      </c>
      <c r="K2230">
        <v>1.129893</v>
      </c>
      <c r="L2230">
        <v>227.89009999999999</v>
      </c>
      <c r="M2230">
        <v>0.42578690000000002</v>
      </c>
      <c r="N2230">
        <v>-1.523802E-2</v>
      </c>
      <c r="O2230">
        <v>-0.90469520000000003</v>
      </c>
      <c r="P2230">
        <v>0.53531689999999998</v>
      </c>
      <c r="Q2230">
        <v>0.169627799999999</v>
      </c>
      <c r="R2230">
        <v>-0.82744329999999999</v>
      </c>
      <c r="S2230">
        <v>2.2419739999999999</v>
      </c>
      <c r="T2230">
        <v>-2.963555E-2</v>
      </c>
      <c r="U2230">
        <v>-2.1915589999999998</v>
      </c>
      <c r="V2230">
        <v>-0.1358338</v>
      </c>
      <c r="W2230">
        <v>0.18168580000000001</v>
      </c>
      <c r="X2230">
        <v>0.97392990000000002</v>
      </c>
      <c r="Y2230">
        <v>-0.34929169999999998</v>
      </c>
      <c r="Z2230">
        <v>-3.3390759999999998E-3</v>
      </c>
      <c r="AA2230">
        <v>0.93700810000000001</v>
      </c>
      <c r="AB2230">
        <v>23</v>
      </c>
      <c r="AC2230">
        <v>31.339499999999902</v>
      </c>
      <c r="AD2230">
        <v>-0.41562529999999998</v>
      </c>
      <c r="AE2230">
        <v>-30.545099999999898</v>
      </c>
      <c r="AF2230">
        <v>-15.347388888499101</v>
      </c>
      <c r="AG2230">
        <v>-0.41562529999999998</v>
      </c>
      <c r="AH2230">
        <v>40.979014220978698</v>
      </c>
      <c r="AI2230">
        <v>90.544185981948701</v>
      </c>
      <c r="AJ2230">
        <v>110.53184240199</v>
      </c>
      <c r="AK2230">
        <v>43.760652378683801</v>
      </c>
      <c r="AL2230">
        <v>79.5320317008713</v>
      </c>
      <c r="AM2230">
        <v>97.939813490058</v>
      </c>
      <c r="AN2230">
        <v>1.0000000006290399</v>
      </c>
    </row>
    <row r="2231" spans="1:40" x14ac:dyDescent="0.25">
      <c r="A2231" t="str">
        <f>"20190303170806862"</f>
        <v>20190303170806862</v>
      </c>
      <c r="B2231" t="str">
        <f>"1551604086854510"</f>
        <v>1551604086854510</v>
      </c>
      <c r="C2231" t="s">
        <v>40</v>
      </c>
      <c r="D2231">
        <v>4.4150910000000003</v>
      </c>
      <c r="E2231">
        <v>0.41246899999999997</v>
      </c>
      <c r="F2231" t="s">
        <v>78</v>
      </c>
      <c r="G2231">
        <v>-463.23869999999999</v>
      </c>
      <c r="H2231">
        <v>0.49806400000000001</v>
      </c>
      <c r="I2231">
        <v>197.345</v>
      </c>
      <c r="J2231">
        <v>-494.0385</v>
      </c>
      <c r="K2231">
        <v>1.129848</v>
      </c>
      <c r="L2231">
        <v>227.6765</v>
      </c>
      <c r="M2231">
        <v>0.43895030000000002</v>
      </c>
      <c r="N2231">
        <v>-1.5210929999999999E-2</v>
      </c>
      <c r="O2231">
        <v>-0.89838280000000004</v>
      </c>
      <c r="P2231">
        <v>0.54841850000000003</v>
      </c>
      <c r="Q2231">
        <v>0.16916639999999999</v>
      </c>
      <c r="R2231">
        <v>-0.81891409999999998</v>
      </c>
      <c r="S2231">
        <v>2.2233890000000001</v>
      </c>
      <c r="T2231">
        <v>-4.5432689999999998E-2</v>
      </c>
      <c r="U2231">
        <v>-2.1965180000000002</v>
      </c>
      <c r="V2231">
        <v>-0.13705229999999999</v>
      </c>
      <c r="W2231">
        <v>0.1811807</v>
      </c>
      <c r="X2231">
        <v>0.97385330000000003</v>
      </c>
      <c r="Y2231">
        <v>-0.33058120000000002</v>
      </c>
      <c r="Z2231">
        <v>1.6139479999999901E-3</v>
      </c>
      <c r="AA2231">
        <v>0.94377619999999895</v>
      </c>
      <c r="AB2231">
        <v>23</v>
      </c>
      <c r="AC2231">
        <v>30.799800000000001</v>
      </c>
      <c r="AD2231">
        <v>-0.63178399999999901</v>
      </c>
      <c r="AE2231">
        <v>-30.331499999999998</v>
      </c>
      <c r="AF2231">
        <v>-14.354581558702799</v>
      </c>
      <c r="AG2231">
        <v>-0.63178399999999901</v>
      </c>
      <c r="AH2231">
        <v>40.764880893118999</v>
      </c>
      <c r="AI2231">
        <v>90.837513284284697</v>
      </c>
      <c r="AJ2231">
        <v>109.398750625795</v>
      </c>
      <c r="AK2231">
        <v>43.223010966131099</v>
      </c>
      <c r="AL2231">
        <v>79.561460362736597</v>
      </c>
      <c r="AM2231">
        <v>98.010739227277895</v>
      </c>
      <c r="AN2231">
        <v>1.00000001445433</v>
      </c>
    </row>
    <row r="2232" spans="1:40" x14ac:dyDescent="0.25">
      <c r="A2232" t="str">
        <f>"20190303170806884"</f>
        <v>20190303170806884</v>
      </c>
      <c r="B2232" t="str">
        <f>"1551604086875005"</f>
        <v>1551604086875005</v>
      </c>
      <c r="C2232" t="s">
        <v>40</v>
      </c>
      <c r="D2232">
        <v>4.4280920000000004</v>
      </c>
      <c r="E2232">
        <v>0.35528169999999998</v>
      </c>
      <c r="F2232" t="s">
        <v>78</v>
      </c>
      <c r="G2232">
        <v>-461.3331</v>
      </c>
      <c r="H2232">
        <v>0.54670669999999899</v>
      </c>
      <c r="I2232">
        <v>197.345</v>
      </c>
      <c r="J2232">
        <v>-493.92380000000003</v>
      </c>
      <c r="K2232">
        <v>1.1298049999999999</v>
      </c>
      <c r="L2232">
        <v>227.47720000000001</v>
      </c>
      <c r="M2232">
        <v>0.4512523</v>
      </c>
      <c r="N2232">
        <v>-1.517199E-2</v>
      </c>
      <c r="O2232">
        <v>-0.89226749999999899</v>
      </c>
      <c r="P2232">
        <v>0.56056410000000001</v>
      </c>
      <c r="Q2232">
        <v>0.16905580000000001</v>
      </c>
      <c r="R2232">
        <v>-0.81067140000000004</v>
      </c>
      <c r="S2232">
        <v>2.2990719999999998</v>
      </c>
      <c r="T2232">
        <v>-4.0989999999999999E-2</v>
      </c>
      <c r="U2232">
        <v>-2.1321870000000001</v>
      </c>
      <c r="V2232">
        <v>-0.13816489999999901</v>
      </c>
      <c r="W2232">
        <v>0.1810166</v>
      </c>
      <c r="X2232">
        <v>0.9737266</v>
      </c>
      <c r="Y2232">
        <v>-0.34735080000000002</v>
      </c>
      <c r="Z2232">
        <v>4.105693E-4</v>
      </c>
      <c r="AA2232">
        <v>0.93773510000000004</v>
      </c>
      <c r="AB2232">
        <v>23</v>
      </c>
      <c r="AC2232">
        <v>32.590699999999998</v>
      </c>
      <c r="AD2232">
        <v>-0.58309829999999996</v>
      </c>
      <c r="AE2232">
        <v>-30.132200000000001</v>
      </c>
      <c r="AF2232">
        <v>-15.481507360847599</v>
      </c>
      <c r="AG2232">
        <v>-0.58309829999999996</v>
      </c>
      <c r="AH2232">
        <v>41.590218824932101</v>
      </c>
      <c r="AI2232">
        <v>90.752783122112902</v>
      </c>
      <c r="AJ2232">
        <v>110.41723629673101</v>
      </c>
      <c r="AK2232">
        <v>44.3820163545684</v>
      </c>
      <c r="AL2232">
        <v>79.571020742225301</v>
      </c>
      <c r="AM2232">
        <v>98.075953469658302</v>
      </c>
      <c r="AN2232">
        <v>1.0000000203075601</v>
      </c>
    </row>
    <row r="2233" spans="1:40" x14ac:dyDescent="0.25">
      <c r="A2233" t="str">
        <f>"20190303170806905"</f>
        <v>20190303170806905</v>
      </c>
      <c r="B2233" t="str">
        <f>"1551604086894526"</f>
        <v>1551604086894526</v>
      </c>
      <c r="C2233" t="s">
        <v>40</v>
      </c>
      <c r="D2233">
        <v>4.4925319999999997</v>
      </c>
      <c r="E2233">
        <v>0.34909620000000002</v>
      </c>
      <c r="F2233" t="s">
        <v>79</v>
      </c>
      <c r="G2233">
        <v>-453.50510000000003</v>
      </c>
      <c r="H2233">
        <v>2.793447</v>
      </c>
      <c r="I2233">
        <v>200.07589999999999</v>
      </c>
      <c r="J2233">
        <v>-493.81689999999998</v>
      </c>
      <c r="K2233">
        <v>1.1297699999999999</v>
      </c>
      <c r="L2233">
        <v>227.29679999999999</v>
      </c>
      <c r="M2233">
        <v>0.46238439999999997</v>
      </c>
      <c r="N2233">
        <v>-1.5122709999999999E-2</v>
      </c>
      <c r="O2233">
        <v>-0.88655079999999997</v>
      </c>
      <c r="P2233">
        <v>0.570241199999999</v>
      </c>
      <c r="Q2233">
        <v>0.17033480000000001</v>
      </c>
      <c r="R2233">
        <v>-0.80362419999999901</v>
      </c>
      <c r="S2233">
        <v>2.6855159999999998</v>
      </c>
      <c r="T2233">
        <v>0.1105375</v>
      </c>
      <c r="U2233">
        <v>-1.8206020000000001</v>
      </c>
      <c r="V2233">
        <v>-0.1377881</v>
      </c>
      <c r="W2233">
        <v>0.18226149999999999</v>
      </c>
      <c r="X2233">
        <v>0.97354770000000002</v>
      </c>
      <c r="Y2233">
        <v>-0.47349780000000002</v>
      </c>
      <c r="Z2233">
        <v>-4.5795830000000003E-2</v>
      </c>
      <c r="AA2233">
        <v>0.87960369999999999</v>
      </c>
      <c r="AB2233">
        <v>23</v>
      </c>
      <c r="AC2233">
        <v>40.311799999999899</v>
      </c>
      <c r="AD2233">
        <v>1.6636770000000001</v>
      </c>
      <c r="AE2233">
        <v>-27.2209</v>
      </c>
      <c r="AF2233">
        <v>-23.127527704708001</v>
      </c>
      <c r="AG2233">
        <v>1.6636770000000001</v>
      </c>
      <c r="AH2233">
        <v>42.727159213369902</v>
      </c>
      <c r="AI2233">
        <v>88.038805541818704</v>
      </c>
      <c r="AJ2233">
        <v>118.425974414582</v>
      </c>
      <c r="AK2233">
        <v>48.6133777198934</v>
      </c>
      <c r="AL2233">
        <v>79.498486098055096</v>
      </c>
      <c r="AM2233">
        <v>98.055678936088597</v>
      </c>
      <c r="AN2233">
        <v>0.99999996952957404</v>
      </c>
    </row>
    <row r="2234" spans="1:40" x14ac:dyDescent="0.25">
      <c r="A2234" t="str">
        <f>"20190303170806928"</f>
        <v>20190303170806928</v>
      </c>
      <c r="B2234" t="str">
        <f>"1551604086924782"</f>
        <v>1551604086924782</v>
      </c>
      <c r="C2234" t="s">
        <v>40</v>
      </c>
      <c r="D2234">
        <v>4.5082420000000001</v>
      </c>
      <c r="E2234">
        <v>0.3464585</v>
      </c>
      <c r="F2234" t="s">
        <v>79</v>
      </c>
      <c r="G2234">
        <v>-451.9162</v>
      </c>
      <c r="H2234">
        <v>3.0448249999999999</v>
      </c>
      <c r="I2234">
        <v>200.48599999999999</v>
      </c>
      <c r="J2234">
        <v>-493.69600000000003</v>
      </c>
      <c r="K2234">
        <v>1.129739</v>
      </c>
      <c r="L2234">
        <v>227.09889999999999</v>
      </c>
      <c r="M2234">
        <v>0.4746088</v>
      </c>
      <c r="N2234">
        <v>-1.505305E-2</v>
      </c>
      <c r="O2234">
        <v>-0.88006810000000002</v>
      </c>
      <c r="P2234">
        <v>0.58041589999999998</v>
      </c>
      <c r="Q2234">
        <v>0.17119179999999901</v>
      </c>
      <c r="R2234">
        <v>-0.79612240000000001</v>
      </c>
      <c r="S2234">
        <v>2.7466740000000001</v>
      </c>
      <c r="T2234">
        <v>0.12553699999999901</v>
      </c>
      <c r="U2234">
        <v>-1.7575069999999999</v>
      </c>
      <c r="V2234">
        <v>-0.1367864</v>
      </c>
      <c r="W2234">
        <v>0.1830801</v>
      </c>
      <c r="X2234">
        <v>0.97353540000000005</v>
      </c>
      <c r="Y2234">
        <v>-0.4844463</v>
      </c>
      <c r="Z2234">
        <v>-4.9974829999999998E-2</v>
      </c>
      <c r="AA2234">
        <v>0.87339239999999996</v>
      </c>
      <c r="AB2234">
        <v>23</v>
      </c>
      <c r="AC2234">
        <v>41.779799999999902</v>
      </c>
      <c r="AD2234">
        <v>1.9150860000000001</v>
      </c>
      <c r="AE2234">
        <v>-26.6129</v>
      </c>
      <c r="AF2234">
        <v>-24.105059848520501</v>
      </c>
      <c r="AG2234">
        <v>1.9150860000000001</v>
      </c>
      <c r="AH2234">
        <v>43.190572208829799</v>
      </c>
      <c r="AI2234">
        <v>87.782706159537994</v>
      </c>
      <c r="AJ2234">
        <v>119.166292329119</v>
      </c>
      <c r="AK2234">
        <v>49.498959508400702</v>
      </c>
      <c r="AL2234">
        <v>79.450781509343798</v>
      </c>
      <c r="AM2234">
        <v>97.997975536030495</v>
      </c>
      <c r="AN2234">
        <v>1.00000000864706</v>
      </c>
    </row>
    <row r="2235" spans="1:40" x14ac:dyDescent="0.25">
      <c r="A2235" t="str">
        <f>"20190303170806949"</f>
        <v>20190303170806949</v>
      </c>
      <c r="B2235" t="str">
        <f>"1551604086945277"</f>
        <v>1551604086945277</v>
      </c>
      <c r="C2235" t="s">
        <v>40</v>
      </c>
      <c r="D2235">
        <v>4.5192199999999998</v>
      </c>
      <c r="E2235">
        <v>0.34642790000000001</v>
      </c>
      <c r="F2235" t="s">
        <v>79</v>
      </c>
      <c r="G2235">
        <v>-450.30119999999999</v>
      </c>
      <c r="H2235">
        <v>3.1981480000000002</v>
      </c>
      <c r="I2235">
        <v>200.48589999999999</v>
      </c>
      <c r="J2235">
        <v>-493.58390000000003</v>
      </c>
      <c r="K2235">
        <v>1.1296949999999999</v>
      </c>
      <c r="L2235">
        <v>226.92060000000001</v>
      </c>
      <c r="M2235">
        <v>0.48561789999999999</v>
      </c>
      <c r="N2235">
        <v>-1.497858E-2</v>
      </c>
      <c r="O2235">
        <v>-0.87404300000000001</v>
      </c>
      <c r="P2235">
        <v>0.59065199999999995</v>
      </c>
      <c r="Q2235">
        <v>0.16981969999999999</v>
      </c>
      <c r="R2235">
        <v>-0.78885490000000003</v>
      </c>
      <c r="S2235">
        <v>2.7859799999999999</v>
      </c>
      <c r="T2235">
        <v>0.13279460000000001</v>
      </c>
      <c r="U2235">
        <v>-1.708572</v>
      </c>
      <c r="V2235">
        <v>-0.1369591</v>
      </c>
      <c r="W2235">
        <v>0.18164359999999999</v>
      </c>
      <c r="X2235">
        <v>0.97378019999999998</v>
      </c>
      <c r="Y2235">
        <v>-0.49005199999999999</v>
      </c>
      <c r="Z2235">
        <v>-5.1834779999999997E-2</v>
      </c>
      <c r="AA2235">
        <v>0.87015069999999906</v>
      </c>
      <c r="AB2235">
        <v>23</v>
      </c>
      <c r="AC2235">
        <v>43.282699999999998</v>
      </c>
      <c r="AD2235">
        <v>2.0684529999999999</v>
      </c>
      <c r="AE2235">
        <v>-26.434699999999999</v>
      </c>
      <c r="AF2235">
        <v>-24.955068816611298</v>
      </c>
      <c r="AG2235">
        <v>2.0684529999999999</v>
      </c>
      <c r="AH2235">
        <v>44.055582291486502</v>
      </c>
      <c r="AI2235">
        <v>87.660637542773003</v>
      </c>
      <c r="AJ2235">
        <v>119.52917223415299</v>
      </c>
      <c r="AK2235">
        <v>50.674730275522499</v>
      </c>
      <c r="AL2235">
        <v>79.534490861715398</v>
      </c>
      <c r="AM2235">
        <v>98.005955466867803</v>
      </c>
      <c r="AN2235">
        <v>1.0000000352028999</v>
      </c>
    </row>
    <row r="2236" spans="1:40" x14ac:dyDescent="0.25">
      <c r="A2236" t="str">
        <f>"20190303170806972"</f>
        <v>20190303170806972</v>
      </c>
      <c r="B2236" t="str">
        <f>"1551604086964798"</f>
        <v>1551604086964798</v>
      </c>
      <c r="C2236" t="s">
        <v>40</v>
      </c>
      <c r="D2236">
        <v>4.5208620000000002</v>
      </c>
      <c r="E2236">
        <v>0.34697790000000001</v>
      </c>
      <c r="F2236" t="s">
        <v>79</v>
      </c>
      <c r="G2236">
        <v>-449.21550000000002</v>
      </c>
      <c r="H2236">
        <v>3.1383299999999998</v>
      </c>
      <c r="I2236">
        <v>200.48589999999999</v>
      </c>
      <c r="J2236">
        <v>-493.4538</v>
      </c>
      <c r="K2236">
        <v>1.1296409999999999</v>
      </c>
      <c r="L2236">
        <v>226.72020000000001</v>
      </c>
      <c r="M2236">
        <v>0.49798730000000002</v>
      </c>
      <c r="N2236">
        <v>-1.4877380000000001E-2</v>
      </c>
      <c r="O2236">
        <v>-0.86705679999999996</v>
      </c>
      <c r="P2236">
        <v>0.60201000000000005</v>
      </c>
      <c r="Q2236">
        <v>0.16896810000000001</v>
      </c>
      <c r="R2236">
        <v>-0.78040639999999994</v>
      </c>
      <c r="S2236">
        <v>2.8081049999999999</v>
      </c>
      <c r="T2236">
        <v>0.12712860000000001</v>
      </c>
      <c r="U2236">
        <v>-1.673065</v>
      </c>
      <c r="V2236">
        <v>-0.1370932</v>
      </c>
      <c r="W2236">
        <v>0.18070520000000001</v>
      </c>
      <c r="X2236">
        <v>0.97393580000000002</v>
      </c>
      <c r="Y2236">
        <v>-0.48890309999999998</v>
      </c>
      <c r="Z2236">
        <v>-4.9714800000000003E-2</v>
      </c>
      <c r="AA2236">
        <v>0.87092029999999998</v>
      </c>
      <c r="AB2236">
        <v>23</v>
      </c>
      <c r="AC2236">
        <v>44.238299999999903</v>
      </c>
      <c r="AD2236">
        <v>2.0086889999999999</v>
      </c>
      <c r="AE2236">
        <v>-26.234300000000001</v>
      </c>
      <c r="AF2236">
        <v>-25.257043239403799</v>
      </c>
      <c r="AG2236">
        <v>2.0086889999999999</v>
      </c>
      <c r="AH2236">
        <v>44.713490276748601</v>
      </c>
      <c r="AI2236">
        <v>87.760034790467898</v>
      </c>
      <c r="AJ2236">
        <v>119.460543464574</v>
      </c>
      <c r="AK2236">
        <v>51.393085891243501</v>
      </c>
      <c r="AL2236">
        <v>79.589160853057194</v>
      </c>
      <c r="AM2236">
        <v>98.012428838448102</v>
      </c>
      <c r="AN2236">
        <v>0.99999992865745702</v>
      </c>
    </row>
    <row r="2237" spans="1:40" x14ac:dyDescent="0.25">
      <c r="A2237" t="str">
        <f>"20190303170806994"</f>
        <v>20190303170806994</v>
      </c>
      <c r="B2237" t="str">
        <f>"1551604086985294"</f>
        <v>1551604086985294</v>
      </c>
      <c r="C2237" t="s">
        <v>40</v>
      </c>
      <c r="D2237">
        <v>4.3518949999999998</v>
      </c>
      <c r="E2237">
        <v>0.34691889999999997</v>
      </c>
      <c r="F2237" t="s">
        <v>79</v>
      </c>
      <c r="G2237">
        <v>-448.09429999999998</v>
      </c>
      <c r="H2237">
        <v>3.0545019999999998</v>
      </c>
      <c r="I2237">
        <v>200.48599999999999</v>
      </c>
      <c r="J2237">
        <v>-493.33089999999999</v>
      </c>
      <c r="K2237">
        <v>1.129591</v>
      </c>
      <c r="L2237">
        <v>226.5361</v>
      </c>
      <c r="M2237">
        <v>0.50931490000000001</v>
      </c>
      <c r="N2237">
        <v>-1.4766629999999999E-2</v>
      </c>
      <c r="O2237">
        <v>-0.86045360000000004</v>
      </c>
      <c r="P2237">
        <v>0.6115353</v>
      </c>
      <c r="Q2237">
        <v>0.17140169999999999</v>
      </c>
      <c r="R2237">
        <v>-0.77242860000000002</v>
      </c>
      <c r="S2237">
        <v>2.828735</v>
      </c>
      <c r="T2237">
        <v>0.12004040000000001</v>
      </c>
      <c r="U2237">
        <v>-1.6360319999999999</v>
      </c>
      <c r="V2237">
        <v>-0.13656389999999999</v>
      </c>
      <c r="W2237">
        <v>0.18305150000000001</v>
      </c>
      <c r="X2237">
        <v>0.97357199999999999</v>
      </c>
      <c r="Y2237">
        <v>-0.48887049999999999</v>
      </c>
      <c r="Z2237">
        <v>-4.7211160000000002E-2</v>
      </c>
      <c r="AA2237">
        <v>0.87107789999999996</v>
      </c>
      <c r="AB2237">
        <v>23</v>
      </c>
      <c r="AC2237">
        <v>45.236600000000003</v>
      </c>
      <c r="AD2237">
        <v>1.924911</v>
      </c>
      <c r="AE2237">
        <v>-26.0501</v>
      </c>
      <c r="AF2237">
        <v>-25.624244637322899</v>
      </c>
      <c r="AG2237">
        <v>1.924911</v>
      </c>
      <c r="AH2237">
        <v>45.397800597861298</v>
      </c>
      <c r="AI2237">
        <v>87.885312126190897</v>
      </c>
      <c r="AJ2237">
        <v>119.44203478377101</v>
      </c>
      <c r="AK2237">
        <v>52.165769377192902</v>
      </c>
      <c r="AL2237">
        <v>79.452448189283203</v>
      </c>
      <c r="AM2237">
        <v>97.984837461976298</v>
      </c>
      <c r="AN2237">
        <v>0.99999999480973001</v>
      </c>
    </row>
    <row r="2238" spans="1:40" x14ac:dyDescent="0.25">
      <c r="A2238" t="str">
        <f>"20190303170807017"</f>
        <v>20190303170807017</v>
      </c>
      <c r="B2238" t="str">
        <f>"1551604087004813"</f>
        <v>1551604087004813</v>
      </c>
      <c r="C2238" t="s">
        <v>40</v>
      </c>
      <c r="D2238">
        <v>4.3975580000000001</v>
      </c>
      <c r="E2238">
        <v>0.34579949999999998</v>
      </c>
      <c r="F2238" t="s">
        <v>79</v>
      </c>
      <c r="G2238">
        <v>-446.91829999999999</v>
      </c>
      <c r="H2238">
        <v>3.237622</v>
      </c>
      <c r="I2238">
        <v>200.48589999999999</v>
      </c>
      <c r="J2238">
        <v>-493.20060000000001</v>
      </c>
      <c r="K2238">
        <v>1.1295379999999999</v>
      </c>
      <c r="L2238">
        <v>226.34630000000001</v>
      </c>
      <c r="M2238">
        <v>0.52095859999999905</v>
      </c>
      <c r="N2238">
        <v>-1.4642189999999999E-2</v>
      </c>
      <c r="O2238">
        <v>-0.8534564</v>
      </c>
      <c r="P2238">
        <v>0.61952580000000002</v>
      </c>
      <c r="Q2238">
        <v>0.17502400000000001</v>
      </c>
      <c r="R2238">
        <v>-0.76521519999999899</v>
      </c>
      <c r="S2238">
        <v>2.8493650000000001</v>
      </c>
      <c r="T2238">
        <v>0.12941739999999999</v>
      </c>
      <c r="U2238">
        <v>-1.5992740000000001</v>
      </c>
      <c r="V2238">
        <v>-0.133914899999999</v>
      </c>
      <c r="W2238">
        <v>0.18662049999999999</v>
      </c>
      <c r="X2238">
        <v>0.97326239999999997</v>
      </c>
      <c r="Y2238">
        <v>-0.4881452</v>
      </c>
      <c r="Z2238">
        <v>-4.9659790000000002E-2</v>
      </c>
      <c r="AA2238">
        <v>0.87134849999999997</v>
      </c>
      <c r="AB2238">
        <v>23</v>
      </c>
      <c r="AC2238">
        <v>46.282299999999999</v>
      </c>
      <c r="AD2238">
        <v>2.1080839999999998</v>
      </c>
      <c r="AE2238">
        <v>-25.860399999999998</v>
      </c>
      <c r="AF2238">
        <v>-25.9894263775222</v>
      </c>
      <c r="AG2238">
        <v>2.1080839999999998</v>
      </c>
      <c r="AH2238">
        <v>46.113927353232299</v>
      </c>
      <c r="AI2238">
        <v>87.719388406771301</v>
      </c>
      <c r="AJ2238">
        <v>119.40524663984399</v>
      </c>
      <c r="AK2238">
        <v>52.975358399192402</v>
      </c>
      <c r="AL2238">
        <v>79.244374841536697</v>
      </c>
      <c r="AM2238">
        <v>97.834352681066804</v>
      </c>
      <c r="AN2238">
        <v>1.000000055358</v>
      </c>
    </row>
    <row r="2239" spans="1:40" x14ac:dyDescent="0.25">
      <c r="A2239" t="str">
        <f>"20190303170807039"</f>
        <v>20190303170807039</v>
      </c>
      <c r="B2239" t="str">
        <f>"1551604087035070"</f>
        <v>1551604087035070</v>
      </c>
      <c r="C2239" t="s">
        <v>40</v>
      </c>
      <c r="D2239">
        <v>4.3941739999999996</v>
      </c>
      <c r="E2239">
        <v>0.34527390000000002</v>
      </c>
      <c r="F2239" t="s">
        <v>79</v>
      </c>
      <c r="G2239">
        <v>-444.81889999999999</v>
      </c>
      <c r="H2239">
        <v>3.7287539999999999</v>
      </c>
      <c r="I2239">
        <v>200.07560000000001</v>
      </c>
      <c r="J2239">
        <v>-493.06810000000002</v>
      </c>
      <c r="K2239">
        <v>1.1294580000000001</v>
      </c>
      <c r="L2239">
        <v>226.15860000000001</v>
      </c>
      <c r="M2239">
        <v>0.53240559999999904</v>
      </c>
      <c r="N2239">
        <v>-1.4509620000000001E-2</v>
      </c>
      <c r="O2239">
        <v>-0.84636520000000004</v>
      </c>
      <c r="P2239">
        <v>0.62945580000000001</v>
      </c>
      <c r="Q2239">
        <v>0.17605589999999999</v>
      </c>
      <c r="R2239">
        <v>-0.75682879999999997</v>
      </c>
      <c r="S2239">
        <v>2.8723450000000001</v>
      </c>
      <c r="T2239">
        <v>0.15431249999999999</v>
      </c>
      <c r="U2239">
        <v>-1.559647</v>
      </c>
      <c r="V2239">
        <v>-0.1336194</v>
      </c>
      <c r="W2239">
        <v>0.18754799999999999</v>
      </c>
      <c r="X2239">
        <v>0.97312469999999995</v>
      </c>
      <c r="Y2239">
        <v>-0.48824430000000002</v>
      </c>
      <c r="Z2239">
        <v>-5.6730370000000002E-2</v>
      </c>
      <c r="AA2239">
        <v>0.870861199999999</v>
      </c>
      <c r="AB2239">
        <v>23</v>
      </c>
      <c r="AC2239">
        <v>48.249200000000002</v>
      </c>
      <c r="AD2239">
        <v>2.5992959999999998</v>
      </c>
      <c r="AE2239">
        <v>-26.082999999999998</v>
      </c>
      <c r="AF2239">
        <v>-26.892144852963</v>
      </c>
      <c r="AG2239">
        <v>2.5992959999999998</v>
      </c>
      <c r="AH2239">
        <v>47.661865695524497</v>
      </c>
      <c r="AI2239">
        <v>87.280649275302693</v>
      </c>
      <c r="AJ2239">
        <v>119.432895110391</v>
      </c>
      <c r="AK2239">
        <v>54.786834514019702</v>
      </c>
      <c r="AL2239">
        <v>79.190277685399295</v>
      </c>
      <c r="AM2239">
        <v>97.818371662502699</v>
      </c>
      <c r="AN2239">
        <v>1.0000000390552199</v>
      </c>
    </row>
    <row r="2240" spans="1:40" x14ac:dyDescent="0.25">
      <c r="A2240" t="str">
        <f>"20190303170807062"</f>
        <v>20190303170807062</v>
      </c>
      <c r="B2240" t="str">
        <f>"1551604087054590"</f>
        <v>1551604087054590</v>
      </c>
      <c r="C2240" t="s">
        <v>40</v>
      </c>
      <c r="D2240">
        <v>4.4469510000000003</v>
      </c>
      <c r="E2240">
        <v>0.34543869999999999</v>
      </c>
      <c r="F2240" t="s">
        <v>79</v>
      </c>
      <c r="G2240">
        <v>-443.30430000000001</v>
      </c>
      <c r="H2240">
        <v>4.0261149999999999</v>
      </c>
      <c r="I2240">
        <v>200.07550000000001</v>
      </c>
      <c r="J2240">
        <v>-492.9316</v>
      </c>
      <c r="K2240">
        <v>1.129359</v>
      </c>
      <c r="L2240">
        <v>225.97040000000001</v>
      </c>
      <c r="M2240">
        <v>0.54379500000000003</v>
      </c>
      <c r="N2240">
        <v>-1.43663E-2</v>
      </c>
      <c r="O2240">
        <v>-0.83909529999999999</v>
      </c>
      <c r="P2240">
        <v>0.64123289999999999</v>
      </c>
      <c r="Q2240">
        <v>0.17413609999999999</v>
      </c>
      <c r="R2240">
        <v>-0.74732710000000002</v>
      </c>
      <c r="S2240">
        <v>2.8946529999999999</v>
      </c>
      <c r="T2240">
        <v>0.16849330000000001</v>
      </c>
      <c r="U2240">
        <v>-1.5171969999999999</v>
      </c>
      <c r="V2240">
        <v>-0.1353934</v>
      </c>
      <c r="W2240">
        <v>0.18548110000000001</v>
      </c>
      <c r="X2240">
        <v>0.97327560000000002</v>
      </c>
      <c r="Y2240">
        <v>-0.48901129999999998</v>
      </c>
      <c r="Z2240">
        <v>-6.0535940000000003E-2</v>
      </c>
      <c r="AA2240">
        <v>0.87017429999999996</v>
      </c>
      <c r="AB2240">
        <v>23</v>
      </c>
      <c r="AC2240">
        <v>49.627299999999899</v>
      </c>
      <c r="AD2240">
        <v>2.8967559999999999</v>
      </c>
      <c r="AE2240">
        <v>-25.8949</v>
      </c>
      <c r="AF2240">
        <v>-27.4897405078008</v>
      </c>
      <c r="AG2240">
        <v>2.8967559999999999</v>
      </c>
      <c r="AH2240">
        <v>48.590263445510999</v>
      </c>
      <c r="AI2240">
        <v>87.029717351334497</v>
      </c>
      <c r="AJ2240">
        <v>119.498831779624</v>
      </c>
      <c r="AK2240">
        <v>55.902510947308301</v>
      </c>
      <c r="AL2240">
        <v>79.310817164727197</v>
      </c>
      <c r="AM2240">
        <v>97.919650863399696</v>
      </c>
      <c r="AN2240">
        <v>1.00000000238806</v>
      </c>
    </row>
    <row r="2241" spans="1:40" x14ac:dyDescent="0.25">
      <c r="A2241" t="str">
        <f>"20190303170807086"</f>
        <v>20190303170807086</v>
      </c>
      <c r="B2241" t="str">
        <f>"1551604087075086"</f>
        <v>1551604087075086</v>
      </c>
      <c r="C2241" t="s">
        <v>40</v>
      </c>
      <c r="D2241">
        <v>4.410647</v>
      </c>
      <c r="E2241">
        <v>0.34575209999999901</v>
      </c>
      <c r="F2241" t="s">
        <v>41</v>
      </c>
      <c r="G2241">
        <v>-455.44439999999997</v>
      </c>
      <c r="H2241">
        <v>3.2046730000000001</v>
      </c>
      <c r="I2241">
        <v>207.0206</v>
      </c>
      <c r="J2241">
        <v>-492.7867</v>
      </c>
      <c r="K2241">
        <v>1.12924</v>
      </c>
      <c r="L2241">
        <v>225.77600000000001</v>
      </c>
      <c r="M2241">
        <v>0.55542669999999905</v>
      </c>
      <c r="N2241">
        <v>-1.420777E-2</v>
      </c>
      <c r="O2241">
        <v>-0.83144409999999902</v>
      </c>
      <c r="P2241">
        <v>0.65253530000000004</v>
      </c>
      <c r="Q2241">
        <v>0.1738451</v>
      </c>
      <c r="R2241">
        <v>-0.73754690000000001</v>
      </c>
      <c r="S2241">
        <v>2.9164119999999998</v>
      </c>
      <c r="T2241">
        <v>0.16145870000000001</v>
      </c>
      <c r="U2241">
        <v>-1.4742580000000001</v>
      </c>
      <c r="V2241">
        <v>-0.13656589999999999</v>
      </c>
      <c r="W2241">
        <v>0.18504580000000001</v>
      </c>
      <c r="X2241">
        <v>0.97319469999999997</v>
      </c>
      <c r="Y2241">
        <v>-0.48983500000000002</v>
      </c>
      <c r="Z2241">
        <v>-5.7956180000000003E-2</v>
      </c>
      <c r="AA2241">
        <v>0.86988659999999995</v>
      </c>
      <c r="AB2241">
        <v>23</v>
      </c>
      <c r="AC2241">
        <v>37.342300000000002</v>
      </c>
      <c r="AD2241">
        <v>2.0754329999999999</v>
      </c>
      <c r="AE2241">
        <v>-18.755399999999899</v>
      </c>
      <c r="AF2241">
        <v>-20.582097639223502</v>
      </c>
      <c r="AG2241">
        <v>2.0754329999999999</v>
      </c>
      <c r="AH2241">
        <v>36.249228710133899</v>
      </c>
      <c r="AI2241">
        <v>87.149675486433495</v>
      </c>
      <c r="AJ2241">
        <v>119.587654046601</v>
      </c>
      <c r="AK2241">
        <v>41.736515755961499</v>
      </c>
      <c r="AL2241">
        <v>79.336197984085302</v>
      </c>
      <c r="AM2241">
        <v>97.988008645791695</v>
      </c>
      <c r="AN2241">
        <v>1.0000000586242599</v>
      </c>
    </row>
    <row r="2242" spans="1:40" x14ac:dyDescent="0.25">
      <c r="A2242" t="str">
        <f>"20190303170807129"</f>
        <v>20190303170807129</v>
      </c>
      <c r="B2242" t="str">
        <f>"1551604087124863"</f>
        <v>1551604087124863</v>
      </c>
      <c r="C2242" t="s">
        <v>40</v>
      </c>
      <c r="D2242">
        <v>4.4376540000000002</v>
      </c>
      <c r="E2242">
        <v>0.34791339999999998</v>
      </c>
      <c r="F2242" t="s">
        <v>79</v>
      </c>
      <c r="G2242">
        <v>-440.58600000000001</v>
      </c>
      <c r="H2242">
        <v>3.9636659999999999</v>
      </c>
      <c r="I2242">
        <v>200.32089999999999</v>
      </c>
      <c r="J2242">
        <v>-492.52370000000002</v>
      </c>
      <c r="K2242">
        <v>1.1289579999999999</v>
      </c>
      <c r="L2242">
        <v>225.4357</v>
      </c>
      <c r="M2242">
        <v>0.57531259999999995</v>
      </c>
      <c r="N2242">
        <v>-1.391101E-2</v>
      </c>
      <c r="O2242">
        <v>-0.81781539999999997</v>
      </c>
      <c r="P2242">
        <v>0.66841709999999999</v>
      </c>
      <c r="Q2242">
        <v>0.1772378</v>
      </c>
      <c r="R2242">
        <v>-0.72236109999999998</v>
      </c>
      <c r="S2242">
        <v>2.9364319999999999</v>
      </c>
      <c r="T2242">
        <v>0.159446</v>
      </c>
      <c r="U2242">
        <v>-1.431915</v>
      </c>
      <c r="V2242">
        <v>-0.13467190000000001</v>
      </c>
      <c r="W2242">
        <v>0.1882655</v>
      </c>
      <c r="X2242">
        <v>0.97284099999999996</v>
      </c>
      <c r="Y2242">
        <v>-0.48134589999999999</v>
      </c>
      <c r="Z2242">
        <v>-5.6390250000000003E-2</v>
      </c>
      <c r="AA2242">
        <v>0.87471499999999902</v>
      </c>
      <c r="AB2242">
        <v>23</v>
      </c>
      <c r="AC2242">
        <v>51.9377</v>
      </c>
      <c r="AD2242">
        <v>2.834708</v>
      </c>
      <c r="AE2242">
        <v>-25.114799999999999</v>
      </c>
      <c r="AF2242">
        <v>-27.9617912897154</v>
      </c>
      <c r="AG2242">
        <v>2.834708</v>
      </c>
      <c r="AH2242">
        <v>50.303110879208603</v>
      </c>
      <c r="AI2242">
        <v>87.180204521481997</v>
      </c>
      <c r="AJ2242">
        <v>119.06819634465801</v>
      </c>
      <c r="AK2242">
        <v>57.622047045387198</v>
      </c>
      <c r="AL2242">
        <v>79.148422128669395</v>
      </c>
      <c r="AM2242">
        <v>97.881454139216402</v>
      </c>
      <c r="AN2242">
        <v>1.00000001521042</v>
      </c>
    </row>
    <row r="2243" spans="1:40" x14ac:dyDescent="0.25">
      <c r="A2243" t="str">
        <f>"20190303170807152"</f>
        <v>20190303170807152</v>
      </c>
      <c r="B2243" t="str">
        <f>"1551604087145359"</f>
        <v>1551604087145359</v>
      </c>
      <c r="C2243" t="s">
        <v>40</v>
      </c>
      <c r="D2243">
        <v>4.4720829999999996</v>
      </c>
      <c r="E2243">
        <v>0.34877580000000002</v>
      </c>
      <c r="F2243" t="s">
        <v>80</v>
      </c>
      <c r="G2243">
        <v>-257.01159999999999</v>
      </c>
      <c r="H2243">
        <v>14.423550000000001</v>
      </c>
      <c r="I2243">
        <v>115.78</v>
      </c>
      <c r="J2243">
        <v>-492.3843</v>
      </c>
      <c r="K2243">
        <v>1.128795</v>
      </c>
      <c r="L2243">
        <v>225.26169999999999</v>
      </c>
      <c r="M2243">
        <v>0.58522489999999905</v>
      </c>
      <c r="N2243">
        <v>-1.376378E-2</v>
      </c>
      <c r="O2243">
        <v>-0.81075410000000003</v>
      </c>
      <c r="P2243">
        <v>0.67749510000000002</v>
      </c>
      <c r="Q2243">
        <v>0.17632590000000001</v>
      </c>
      <c r="R2243">
        <v>-0.71407980000000004</v>
      </c>
      <c r="S2243">
        <v>2.9563899999999999</v>
      </c>
      <c r="T2243">
        <v>0.1668878</v>
      </c>
      <c r="U2243">
        <v>-1.376511</v>
      </c>
      <c r="V2243">
        <v>-0.1349109</v>
      </c>
      <c r="W2243">
        <v>0.1872548</v>
      </c>
      <c r="X2243">
        <v>0.9730029</v>
      </c>
      <c r="Y2243">
        <v>-0.48626239999999998</v>
      </c>
      <c r="Z2243">
        <v>-5.8274630000000001E-2</v>
      </c>
      <c r="AA2243">
        <v>0.87186749999999902</v>
      </c>
      <c r="AB2243">
        <v>23</v>
      </c>
      <c r="AC2243">
        <v>235.37270000000001</v>
      </c>
      <c r="AD2243">
        <v>13.294754999999901</v>
      </c>
      <c r="AE2243">
        <v>-109.4817</v>
      </c>
      <c r="AF2243">
        <v>-126.438343849109</v>
      </c>
      <c r="AG2243">
        <v>13.294754999999901</v>
      </c>
      <c r="AH2243">
        <v>225.9375592742</v>
      </c>
      <c r="AI2243">
        <v>87.060505006375095</v>
      </c>
      <c r="AJ2243">
        <v>119.232088172912</v>
      </c>
      <c r="AK2243">
        <v>259.25120249788301</v>
      </c>
      <c r="AL2243">
        <v>79.207379123104403</v>
      </c>
      <c r="AM2243">
        <v>97.893967841989493</v>
      </c>
      <c r="AN2243">
        <v>0.99999997723512901</v>
      </c>
    </row>
    <row r="2244" spans="1:40" x14ac:dyDescent="0.25">
      <c r="A2244" t="str">
        <f>"20190303170807174"</f>
        <v>20190303170807174</v>
      </c>
      <c r="B2244" t="str">
        <f>"1551604087164878"</f>
        <v>1551604087164878</v>
      </c>
      <c r="C2244" t="s">
        <v>40</v>
      </c>
      <c r="D2244">
        <v>4.4798650000000002</v>
      </c>
      <c r="E2244">
        <v>0.34974129999999998</v>
      </c>
      <c r="F2244" t="s">
        <v>80</v>
      </c>
      <c r="G2244">
        <v>-256.82029999999997</v>
      </c>
      <c r="H2244">
        <v>13.875080000000001</v>
      </c>
      <c r="I2244">
        <v>118.5401</v>
      </c>
      <c r="J2244">
        <v>-492.23509999999999</v>
      </c>
      <c r="K2244">
        <v>1.128617</v>
      </c>
      <c r="L2244">
        <v>225.0797</v>
      </c>
      <c r="M2244">
        <v>0.59537390000000001</v>
      </c>
      <c r="N2244">
        <v>-1.361295E-2</v>
      </c>
      <c r="O2244">
        <v>-0.80333359999999998</v>
      </c>
      <c r="P2244">
        <v>0.68790249999999997</v>
      </c>
      <c r="Q2244">
        <v>0.173787</v>
      </c>
      <c r="R2244">
        <v>-0.7046905</v>
      </c>
      <c r="S2244">
        <v>2.9686889999999999</v>
      </c>
      <c r="T2244">
        <v>0.160635</v>
      </c>
      <c r="U2244">
        <v>-1.3449549999999999</v>
      </c>
      <c r="V2244">
        <v>-0.136463</v>
      </c>
      <c r="W2244">
        <v>0.18459539999999999</v>
      </c>
      <c r="X2244">
        <v>0.97329460000000001</v>
      </c>
      <c r="Y2244">
        <v>-0.48445169999999999</v>
      </c>
      <c r="Z2244">
        <v>-5.5968810000000001E-2</v>
      </c>
      <c r="AA2244">
        <v>0.87302579999999996</v>
      </c>
      <c r="AB2244">
        <v>23</v>
      </c>
      <c r="AC2244">
        <v>235.41480000000001</v>
      </c>
      <c r="AD2244">
        <v>12.746463</v>
      </c>
      <c r="AE2244">
        <v>-106.53959999999999</v>
      </c>
      <c r="AF2244">
        <v>-125.39223721642701</v>
      </c>
      <c r="AG2244">
        <v>12.746463</v>
      </c>
      <c r="AH2244">
        <v>225.219534726505</v>
      </c>
      <c r="AI2244">
        <v>87.169123862838205</v>
      </c>
      <c r="AJ2244">
        <v>119.107118430895</v>
      </c>
      <c r="AK2244">
        <v>258.08821029945301</v>
      </c>
      <c r="AL2244">
        <v>79.362455691947602</v>
      </c>
      <c r="AM2244">
        <v>97.981258695296901</v>
      </c>
      <c r="AN2244">
        <v>0.99999999522965899</v>
      </c>
    </row>
    <row r="2245" spans="1:40" x14ac:dyDescent="0.25">
      <c r="A2245" t="str">
        <f>"20190303170807195"</f>
        <v>20190303170807195</v>
      </c>
      <c r="B2245" t="str">
        <f>"1551604087185200"</f>
        <v>1551604087185200</v>
      </c>
      <c r="C2245" t="s">
        <v>40</v>
      </c>
      <c r="D2245">
        <v>4.4516179999999999</v>
      </c>
      <c r="E2245">
        <v>0.36579149999999999</v>
      </c>
      <c r="F2245" t="s">
        <v>80</v>
      </c>
      <c r="G2245">
        <v>-251.39859999999999</v>
      </c>
      <c r="H2245">
        <v>13.00334</v>
      </c>
      <c r="I2245">
        <v>119.3436</v>
      </c>
      <c r="J2245">
        <v>-492.09109999999998</v>
      </c>
      <c r="K2245">
        <v>1.1284590000000001</v>
      </c>
      <c r="L2245">
        <v>224.90780000000001</v>
      </c>
      <c r="M2245">
        <v>0.60477360000000002</v>
      </c>
      <c r="N2245">
        <v>-1.3474760000000001E-2</v>
      </c>
      <c r="O2245">
        <v>-0.79628369999999904</v>
      </c>
      <c r="P2245">
        <v>0.69611690000000004</v>
      </c>
      <c r="Q2245">
        <v>0.1735495</v>
      </c>
      <c r="R2245">
        <v>-0.69663629999999999</v>
      </c>
      <c r="S2245">
        <v>2.982513</v>
      </c>
      <c r="T2245">
        <v>0.14705660000000001</v>
      </c>
      <c r="U2245">
        <v>-1.3094330000000001</v>
      </c>
      <c r="V2245">
        <v>-0.13632939999999999</v>
      </c>
      <c r="W2245">
        <v>0.18427350000000001</v>
      </c>
      <c r="X2245">
        <v>0.97337430000000003</v>
      </c>
      <c r="Y2245">
        <v>-0.48462179999999999</v>
      </c>
      <c r="Z2245">
        <v>-5.1592829999999999E-2</v>
      </c>
      <c r="AA2245">
        <v>0.873201</v>
      </c>
      <c r="AB2245">
        <v>23</v>
      </c>
      <c r="AC2245">
        <v>240.6925</v>
      </c>
      <c r="AD2245">
        <v>11.874881</v>
      </c>
      <c r="AE2245">
        <v>-105.5642</v>
      </c>
      <c r="AF2245">
        <v>-127.568235383596</v>
      </c>
      <c r="AG2245">
        <v>11.874881</v>
      </c>
      <c r="AH2245">
        <v>229.176484058509</v>
      </c>
      <c r="AI2245">
        <v>87.407759049004198</v>
      </c>
      <c r="AJ2245">
        <v>119.101954661278</v>
      </c>
      <c r="AK2245">
        <v>262.55766666214299</v>
      </c>
      <c r="AL2245">
        <v>79.381220943008003</v>
      </c>
      <c r="AM2245">
        <v>97.972900948568594</v>
      </c>
      <c r="AN2245">
        <v>0.99999997800354901</v>
      </c>
    </row>
    <row r="2246" spans="1:40" x14ac:dyDescent="0.25">
      <c r="A2246" t="str">
        <f>"20190303170807220"</f>
        <v>20190303170807220</v>
      </c>
      <c r="B2246" t="str">
        <f>"1551604087204719"</f>
        <v>1551604087204719</v>
      </c>
      <c r="C2246" t="s">
        <v>40</v>
      </c>
      <c r="D2246">
        <v>4.4553269999999996</v>
      </c>
      <c r="E2246">
        <v>0.36771160000000003</v>
      </c>
      <c r="F2246" t="s">
        <v>81</v>
      </c>
      <c r="G2246">
        <v>-362.7928</v>
      </c>
      <c r="H2246">
        <v>6.6230909999999996</v>
      </c>
      <c r="I2246">
        <v>164.1559</v>
      </c>
      <c r="J2246">
        <v>-491.93009999999998</v>
      </c>
      <c r="K2246">
        <v>1.128309</v>
      </c>
      <c r="L2246">
        <v>224.7199</v>
      </c>
      <c r="M2246">
        <v>0.61483009999999905</v>
      </c>
      <c r="N2246">
        <v>-1.3332689999999999E-2</v>
      </c>
      <c r="O2246">
        <v>-0.78854690000000005</v>
      </c>
      <c r="P2246">
        <v>0.70337150000000004</v>
      </c>
      <c r="Q2246">
        <v>0.17476829999999999</v>
      </c>
      <c r="R2246">
        <v>-0.68900280000000003</v>
      </c>
      <c r="S2246">
        <v>2.9103089999999998</v>
      </c>
      <c r="T2246">
        <v>0.123677</v>
      </c>
      <c r="U2246">
        <v>-1.367432</v>
      </c>
      <c r="V2246">
        <v>-0.1343047</v>
      </c>
      <c r="W2246">
        <v>0.18543750000000001</v>
      </c>
      <c r="X2246">
        <v>0.97343469999999999</v>
      </c>
      <c r="Y2246">
        <v>-0.45121939999999999</v>
      </c>
      <c r="Z2246">
        <v>-4.4502649999999998E-2</v>
      </c>
      <c r="AA2246">
        <v>0.8913027</v>
      </c>
      <c r="AB2246">
        <v>23</v>
      </c>
      <c r="AC2246">
        <v>129.13729999999899</v>
      </c>
      <c r="AD2246">
        <v>5.4947819999999998</v>
      </c>
      <c r="AE2246">
        <v>-60.563999999999901</v>
      </c>
      <c r="AF2246">
        <v>-64.504259482959</v>
      </c>
      <c r="AG2246">
        <v>5.4947819999999998</v>
      </c>
      <c r="AH2246">
        <v>126.97791050439599</v>
      </c>
      <c r="AI2246">
        <v>87.790576690126201</v>
      </c>
      <c r="AJ2246">
        <v>116.930383364935</v>
      </c>
      <c r="AK2246">
        <v>142.52853004481199</v>
      </c>
      <c r="AL2246">
        <v>79.313358980338094</v>
      </c>
      <c r="AM2246">
        <v>97.855499226833203</v>
      </c>
      <c r="AN2246">
        <v>0.99999996700621396</v>
      </c>
    </row>
    <row r="2247" spans="1:40" x14ac:dyDescent="0.25">
      <c r="A2247" t="str">
        <f>"20190303170807241"</f>
        <v>20190303170807241</v>
      </c>
      <c r="B2247" t="str">
        <f>"1551604087234976"</f>
        <v>1551604087234976</v>
      </c>
      <c r="C2247" t="s">
        <v>40</v>
      </c>
      <c r="D2247">
        <v>4.469735</v>
      </c>
      <c r="E2247">
        <v>0.37068269999999998</v>
      </c>
      <c r="F2247" t="s">
        <v>81</v>
      </c>
      <c r="G2247">
        <v>-363.62650000000002</v>
      </c>
      <c r="H2247">
        <v>6.5316190000000001</v>
      </c>
      <c r="I2247">
        <v>165.42769999999999</v>
      </c>
      <c r="J2247">
        <v>-491.7878</v>
      </c>
      <c r="K2247">
        <v>1.128179</v>
      </c>
      <c r="L2247">
        <v>224.5574</v>
      </c>
      <c r="M2247">
        <v>0.62334659999999997</v>
      </c>
      <c r="N2247">
        <v>-1.3215319999999999E-2</v>
      </c>
      <c r="O2247">
        <v>-0.78183389999999997</v>
      </c>
      <c r="P2247">
        <v>0.70946030000000004</v>
      </c>
      <c r="Q2247">
        <v>0.17568979999999901</v>
      </c>
      <c r="R2247">
        <v>-0.68249499999999996</v>
      </c>
      <c r="S2247">
        <v>2.9150390000000002</v>
      </c>
      <c r="T2247">
        <v>0.1227635</v>
      </c>
      <c r="U2247">
        <v>-1.3471070000000001</v>
      </c>
      <c r="V2247">
        <v>-0.13248989999999999</v>
      </c>
      <c r="W2247">
        <v>0.18631690000000001</v>
      </c>
      <c r="X2247">
        <v>0.97351549999999998</v>
      </c>
      <c r="Y2247">
        <v>-0.4472275</v>
      </c>
      <c r="Z2247">
        <v>-4.3878830000000001E-2</v>
      </c>
      <c r="AA2247">
        <v>0.89334329999999995</v>
      </c>
      <c r="AB2247">
        <v>23</v>
      </c>
      <c r="AC2247">
        <v>128.16129999999899</v>
      </c>
      <c r="AD2247">
        <v>5.4034399999999998</v>
      </c>
      <c r="AE2247">
        <v>-59.1297</v>
      </c>
      <c r="AF2247">
        <v>-63.255380328903897</v>
      </c>
      <c r="AG2247">
        <v>5.4034399999999998</v>
      </c>
      <c r="AH2247">
        <v>125.94495184516801</v>
      </c>
      <c r="AI2247">
        <v>87.804397072527095</v>
      </c>
      <c r="AJ2247">
        <v>116.66791935815699</v>
      </c>
      <c r="AK2247">
        <v>141.04102665419501</v>
      </c>
      <c r="AL2247">
        <v>79.262079720259607</v>
      </c>
      <c r="AM2247">
        <v>97.750014745277994</v>
      </c>
      <c r="AN2247">
        <v>0.99999999478393498</v>
      </c>
    </row>
    <row r="2248" spans="1:40" x14ac:dyDescent="0.25">
      <c r="A2248" t="str">
        <f>"20190303170807264"</f>
        <v>20190303170807264</v>
      </c>
      <c r="B2248" t="str">
        <f>"1551604087255472"</f>
        <v>1551604087255472</v>
      </c>
      <c r="C2248" t="s">
        <v>40</v>
      </c>
      <c r="D2248">
        <v>4.4930640000000004</v>
      </c>
      <c r="E2248">
        <v>0.3726449</v>
      </c>
      <c r="F2248" t="s">
        <v>81</v>
      </c>
      <c r="G2248">
        <v>-362.68049999999999</v>
      </c>
      <c r="H2248">
        <v>6.1236930000000003</v>
      </c>
      <c r="I2248">
        <v>165.2253</v>
      </c>
      <c r="J2248">
        <v>-491.6345</v>
      </c>
      <c r="K2248">
        <v>1.1280319999999999</v>
      </c>
      <c r="L2248">
        <v>224.38570000000001</v>
      </c>
      <c r="M2248">
        <v>0.63215759999999999</v>
      </c>
      <c r="N2248">
        <v>-1.309329E-2</v>
      </c>
      <c r="O2248">
        <v>-0.77472940000000001</v>
      </c>
      <c r="P2248">
        <v>0.71759689999999998</v>
      </c>
      <c r="Q2248">
        <v>0.17505090000000001</v>
      </c>
      <c r="R2248">
        <v>-0.6741009</v>
      </c>
      <c r="S2248">
        <v>2.912903</v>
      </c>
      <c r="T2248">
        <v>0.112709199999999</v>
      </c>
      <c r="U2248">
        <v>-1.338638</v>
      </c>
      <c r="V2248">
        <v>-0.1329717</v>
      </c>
      <c r="W2248">
        <v>0.18559400000000001</v>
      </c>
      <c r="X2248">
        <v>0.97358789999999995</v>
      </c>
      <c r="Y2248">
        <v>-0.43912269999999998</v>
      </c>
      <c r="Z2248">
        <v>-4.0590229999999998E-2</v>
      </c>
      <c r="AA2248">
        <v>0.89750969999999997</v>
      </c>
      <c r="AB2248">
        <v>23</v>
      </c>
      <c r="AC2248">
        <v>128.95400000000001</v>
      </c>
      <c r="AD2248">
        <v>4.9956610000000001</v>
      </c>
      <c r="AE2248">
        <v>-59.160400000000003</v>
      </c>
      <c r="AF2248">
        <v>-62.433700299433298</v>
      </c>
      <c r="AG2248">
        <v>4.9956610000000001</v>
      </c>
      <c r="AH2248">
        <v>127.20573700144401</v>
      </c>
      <c r="AI2248">
        <v>87.980881357155198</v>
      </c>
      <c r="AJ2248">
        <v>116.14221256208999</v>
      </c>
      <c r="AK2248">
        <v>141.78936168833999</v>
      </c>
      <c r="AL2248">
        <v>79.304234172350604</v>
      </c>
      <c r="AM2248">
        <v>97.777282040275594</v>
      </c>
      <c r="AN2248">
        <v>1.00000000243164</v>
      </c>
    </row>
    <row r="2249" spans="1:40" x14ac:dyDescent="0.25">
      <c r="A2249" t="str">
        <f>"20190303170807311"</f>
        <v>20190303170807311</v>
      </c>
      <c r="B2249" t="str">
        <f>"1551604087295487"</f>
        <v>1551604087295487</v>
      </c>
      <c r="C2249" t="s">
        <v>40</v>
      </c>
      <c r="D2249">
        <v>4.5000460000000002</v>
      </c>
      <c r="E2249">
        <v>0.38384550000000001</v>
      </c>
      <c r="F2249" t="s">
        <v>80</v>
      </c>
      <c r="G2249">
        <v>-256.82029999999997</v>
      </c>
      <c r="H2249">
        <v>8.8999119999999898</v>
      </c>
      <c r="I2249">
        <v>118.4811</v>
      </c>
      <c r="J2249">
        <v>-491.3159</v>
      </c>
      <c r="K2249">
        <v>1.12774</v>
      </c>
      <c r="L2249">
        <v>224.03980000000001</v>
      </c>
      <c r="M2249">
        <v>0.64936590000000005</v>
      </c>
      <c r="N2249">
        <v>-1.285246E-2</v>
      </c>
      <c r="O2249">
        <v>-0.76036759999999903</v>
      </c>
      <c r="P2249">
        <v>0.73349019999999898</v>
      </c>
      <c r="Q2249">
        <v>0.174681</v>
      </c>
      <c r="R2249">
        <v>-0.65687019999999996</v>
      </c>
      <c r="S2249">
        <v>2.9199519999999999</v>
      </c>
      <c r="T2249">
        <v>9.6644880000000002E-2</v>
      </c>
      <c r="U2249">
        <v>-1.31694</v>
      </c>
      <c r="V2249">
        <v>-0.13420499999999999</v>
      </c>
      <c r="W2249">
        <v>0.1850552</v>
      </c>
      <c r="X2249">
        <v>0.97352119999999998</v>
      </c>
      <c r="Y2249">
        <v>-0.4254985</v>
      </c>
      <c r="Z2249">
        <v>-3.5214570000000001E-2</v>
      </c>
      <c r="AA2249">
        <v>0.90427369999999996</v>
      </c>
      <c r="AB2249">
        <v>23</v>
      </c>
      <c r="AC2249">
        <v>234.4956</v>
      </c>
      <c r="AD2249">
        <v>7.7721719999999896</v>
      </c>
      <c r="AE2249">
        <v>-105.5587</v>
      </c>
      <c r="AF2249">
        <v>-109.665521569456</v>
      </c>
      <c r="AG2249">
        <v>7.7721719999999896</v>
      </c>
      <c r="AH2249">
        <v>232.34382057904401</v>
      </c>
      <c r="AI2249">
        <v>88.267284894517701</v>
      </c>
      <c r="AJ2249">
        <v>115.26715687909901</v>
      </c>
      <c r="AK2249">
        <v>257.04198925460702</v>
      </c>
      <c r="AL2249">
        <v>79.335648960312398</v>
      </c>
      <c r="AM2249">
        <v>97.849051708365906</v>
      </c>
      <c r="AN2249">
        <v>0.99999996796073898</v>
      </c>
    </row>
    <row r="2250" spans="1:40" x14ac:dyDescent="0.25">
      <c r="A2250" t="str">
        <f>"20190303170807331"</f>
        <v>20190303170807331</v>
      </c>
      <c r="B2250" t="str">
        <f>"1551604087324768"</f>
        <v>1551604087324768</v>
      </c>
      <c r="C2250" t="s">
        <v>40</v>
      </c>
      <c r="D2250">
        <v>4.4780860000000002</v>
      </c>
      <c r="E2250">
        <v>0.3860249</v>
      </c>
      <c r="F2250" t="s">
        <v>82</v>
      </c>
      <c r="G2250">
        <v>-366.01499999999999</v>
      </c>
      <c r="H2250">
        <v>2.7022149999999998</v>
      </c>
      <c r="I2250">
        <v>167.07980000000001</v>
      </c>
      <c r="J2250">
        <v>-491.16329999999999</v>
      </c>
      <c r="K2250">
        <v>1.1276330000000001</v>
      </c>
      <c r="L2250">
        <v>223.8792</v>
      </c>
      <c r="M2250">
        <v>0.65715230000000002</v>
      </c>
      <c r="N2250">
        <v>-1.275192E-2</v>
      </c>
      <c r="O2250">
        <v>-0.75365000000000004</v>
      </c>
      <c r="P2250">
        <v>0.73970909999999901</v>
      </c>
      <c r="Q2250">
        <v>0.17500569999999999</v>
      </c>
      <c r="R2250">
        <v>-0.64977220000000002</v>
      </c>
      <c r="S2250">
        <v>2.9005740000000002</v>
      </c>
      <c r="T2250">
        <v>3.6446930000000002E-2</v>
      </c>
      <c r="U2250">
        <v>-1.3185579999999999</v>
      </c>
      <c r="V2250">
        <v>-0.13347059999999999</v>
      </c>
      <c r="W2250">
        <v>0.18532789999999999</v>
      </c>
      <c r="X2250">
        <v>0.9735703</v>
      </c>
      <c r="Y2250">
        <v>-0.4139699</v>
      </c>
      <c r="Z2250">
        <v>-1.8043839999999998E-2</v>
      </c>
      <c r="AA2250">
        <v>0.91011169999999997</v>
      </c>
      <c r="AB2250">
        <v>23</v>
      </c>
      <c r="AC2250">
        <v>125.14830000000001</v>
      </c>
      <c r="AD2250">
        <v>1.5745819999999999</v>
      </c>
      <c r="AE2250">
        <v>-56.799399999999899</v>
      </c>
      <c r="AF2250">
        <v>-56.989311518347101</v>
      </c>
      <c r="AG2250">
        <v>1.5745819999999999</v>
      </c>
      <c r="AH2250">
        <v>125.042111167038</v>
      </c>
      <c r="AI2250">
        <v>89.343507402039506</v>
      </c>
      <c r="AJ2250">
        <v>114.50164602826599</v>
      </c>
      <c r="AK2250">
        <v>137.42558168303299</v>
      </c>
      <c r="AL2250">
        <v>79.319749510166602</v>
      </c>
      <c r="AM2250">
        <v>97.806242113897099</v>
      </c>
      <c r="AN2250">
        <v>0.99999998031242898</v>
      </c>
    </row>
    <row r="2251" spans="1:40" x14ac:dyDescent="0.25">
      <c r="A2251" t="str">
        <f>"20190303170807353"</f>
        <v>20190303170807353</v>
      </c>
      <c r="B2251" t="str">
        <f>"1551604087345264"</f>
        <v>1551604087345264</v>
      </c>
      <c r="C2251" t="s">
        <v>40</v>
      </c>
      <c r="D2251">
        <v>4.5055719999999999</v>
      </c>
      <c r="E2251">
        <v>0.38644400000000001</v>
      </c>
      <c r="F2251" t="s">
        <v>82</v>
      </c>
      <c r="G2251">
        <v>-366.01499999999999</v>
      </c>
      <c r="H2251">
        <v>2.5647829999999998</v>
      </c>
      <c r="I2251">
        <v>167.69370000000001</v>
      </c>
      <c r="J2251">
        <v>-491.0127</v>
      </c>
      <c r="K2251">
        <v>1.1275550000000001</v>
      </c>
      <c r="L2251">
        <v>223.7236</v>
      </c>
      <c r="M2251">
        <v>0.66460819999999998</v>
      </c>
      <c r="N2251">
        <v>-1.266486E-2</v>
      </c>
      <c r="O2251">
        <v>-0.74708490000000005</v>
      </c>
      <c r="P2251">
        <v>0.74656899999999904</v>
      </c>
      <c r="Q2251">
        <v>0.17410429999999999</v>
      </c>
      <c r="R2251">
        <v>-0.64212389999999997</v>
      </c>
      <c r="S2251">
        <v>2.9029539999999998</v>
      </c>
      <c r="T2251">
        <v>3.3335919999999998E-2</v>
      </c>
      <c r="U2251">
        <v>-1.3032840000000001</v>
      </c>
      <c r="V2251">
        <v>-0.13392899999999999</v>
      </c>
      <c r="W2251">
        <v>0.18435879999999999</v>
      </c>
      <c r="X2251">
        <v>0.97369130000000004</v>
      </c>
      <c r="Y2251">
        <v>-0.40919899999999998</v>
      </c>
      <c r="Z2251">
        <v>-1.697655E-2</v>
      </c>
      <c r="AA2251">
        <v>0.91228719999999996</v>
      </c>
      <c r="AB2251">
        <v>23</v>
      </c>
      <c r="AC2251">
        <v>124.99769999999999</v>
      </c>
      <c r="AD2251">
        <v>1.437228</v>
      </c>
      <c r="AE2251">
        <v>-56.029899999999998</v>
      </c>
      <c r="AF2251">
        <v>-56.144277353022801</v>
      </c>
      <c r="AG2251">
        <v>1.437228</v>
      </c>
      <c r="AH2251">
        <v>124.929837321779</v>
      </c>
      <c r="AI2251">
        <v>89.398798487076604</v>
      </c>
      <c r="AJ2251">
        <v>114.19945904710301</v>
      </c>
      <c r="AK2251">
        <v>136.97339068981</v>
      </c>
      <c r="AL2251">
        <v>79.376248074061806</v>
      </c>
      <c r="AM2251">
        <v>97.831758857163095</v>
      </c>
      <c r="AN2251">
        <v>0.99999994593706298</v>
      </c>
    </row>
    <row r="2252" spans="1:40" x14ac:dyDescent="0.25">
      <c r="A2252" t="str">
        <f>"20190303170807378"</f>
        <v>20190303170807378</v>
      </c>
      <c r="B2252" t="str">
        <f>"1551604087364784"</f>
        <v>1551604087364784</v>
      </c>
      <c r="C2252" t="s">
        <v>40</v>
      </c>
      <c r="D2252">
        <v>4.5404179999999998</v>
      </c>
      <c r="E2252">
        <v>0.3928217</v>
      </c>
      <c r="F2252" t="s">
        <v>82</v>
      </c>
      <c r="G2252">
        <v>-364.39060000000001</v>
      </c>
      <c r="H2252">
        <v>2.4156610000000001</v>
      </c>
      <c r="I2252">
        <v>168.33109999999999</v>
      </c>
      <c r="J2252">
        <v>-490.83569999999997</v>
      </c>
      <c r="K2252">
        <v>1.1274740000000001</v>
      </c>
      <c r="L2252">
        <v>223.5444</v>
      </c>
      <c r="M2252">
        <v>0.67307830000000002</v>
      </c>
      <c r="N2252">
        <v>-1.256849E-2</v>
      </c>
      <c r="O2252">
        <v>-0.73946429999999996</v>
      </c>
      <c r="P2252">
        <v>0.75432790000000005</v>
      </c>
      <c r="Q2252">
        <v>0.17312710000000001</v>
      </c>
      <c r="R2252">
        <v>-0.63325909999999996</v>
      </c>
      <c r="S2252">
        <v>2.9147639999999999</v>
      </c>
      <c r="T2252">
        <v>2.9651050000000002E-2</v>
      </c>
      <c r="U2252">
        <v>-1.275101</v>
      </c>
      <c r="V2252">
        <v>-0.13445650000000001</v>
      </c>
      <c r="W2252">
        <v>0.18330270000000001</v>
      </c>
      <c r="X2252">
        <v>0.97381799999999996</v>
      </c>
      <c r="Y2252">
        <v>-0.40758319999999998</v>
      </c>
      <c r="Z2252">
        <v>-1.571958E-2</v>
      </c>
      <c r="AA2252">
        <v>0.91303279999999998</v>
      </c>
      <c r="AB2252">
        <v>23</v>
      </c>
      <c r="AC2252">
        <v>126.445099999999</v>
      </c>
      <c r="AD2252">
        <v>1.288187</v>
      </c>
      <c r="AE2252">
        <v>-55.213299999999997</v>
      </c>
      <c r="AF2252">
        <v>-56.338307849639399</v>
      </c>
      <c r="AG2252">
        <v>1.288187</v>
      </c>
      <c r="AH2252">
        <v>125.93469919742699</v>
      </c>
      <c r="AI2252">
        <v>89.465030544456297</v>
      </c>
      <c r="AJ2252">
        <v>114.101893435498</v>
      </c>
      <c r="AK2252">
        <v>137.968158714444</v>
      </c>
      <c r="AL2252">
        <v>79.437807439819295</v>
      </c>
      <c r="AM2252">
        <v>97.861210285105997</v>
      </c>
      <c r="AN2252">
        <v>0.99999996367176902</v>
      </c>
    </row>
    <row r="2253" spans="1:40" x14ac:dyDescent="0.25">
      <c r="A2253" t="str">
        <f>"20190303170807399"</f>
        <v>20190303170807399</v>
      </c>
      <c r="B2253" t="str">
        <f>"1551604087385280"</f>
        <v>1551604087385280</v>
      </c>
      <c r="C2253" t="s">
        <v>40</v>
      </c>
      <c r="D2253">
        <v>4.532178</v>
      </c>
      <c r="E2253">
        <v>0.39464460000000001</v>
      </c>
      <c r="F2253" t="s">
        <v>82</v>
      </c>
      <c r="G2253">
        <v>-366.00540000000001</v>
      </c>
      <c r="H2253">
        <v>1.2395119999999999</v>
      </c>
      <c r="I2253">
        <v>168.40729999999999</v>
      </c>
      <c r="J2253">
        <v>-490.6807</v>
      </c>
      <c r="K2253">
        <v>1.127402</v>
      </c>
      <c r="L2253">
        <v>223.3905</v>
      </c>
      <c r="M2253">
        <v>0.68024810000000002</v>
      </c>
      <c r="N2253">
        <v>-1.2486850000000001E-2</v>
      </c>
      <c r="O2253">
        <v>-0.73287569999999902</v>
      </c>
      <c r="P2253">
        <v>0.76016209999999995</v>
      </c>
      <c r="Q2253">
        <v>0.17349129999999999</v>
      </c>
      <c r="R2253">
        <v>-0.62614309999999995</v>
      </c>
      <c r="S2253">
        <v>2.9008180000000001</v>
      </c>
      <c r="T2253">
        <v>2.6031729999999999E-3</v>
      </c>
      <c r="U2253">
        <v>-1.2812809999999999</v>
      </c>
      <c r="V2253">
        <v>-0.13403950000000001</v>
      </c>
      <c r="W2253">
        <v>0.183614</v>
      </c>
      <c r="X2253">
        <v>0.97381689999999999</v>
      </c>
      <c r="Y2253">
        <v>-0.39551059999999999</v>
      </c>
      <c r="Z2253">
        <v>-8.1170649999999997E-3</v>
      </c>
      <c r="AA2253">
        <v>0.91842559999999995</v>
      </c>
      <c r="AB2253">
        <v>23</v>
      </c>
      <c r="AC2253">
        <v>124.67529999999999</v>
      </c>
      <c r="AD2253">
        <v>0.11211</v>
      </c>
      <c r="AE2253">
        <v>-54.983199999999997</v>
      </c>
      <c r="AF2253">
        <v>-53.973446722324297</v>
      </c>
      <c r="AG2253">
        <v>0.11211</v>
      </c>
      <c r="AH2253">
        <v>125.11564500079</v>
      </c>
      <c r="AI2253">
        <v>89.952859374052693</v>
      </c>
      <c r="AJ2253">
        <v>113.334810383289</v>
      </c>
      <c r="AK2253">
        <v>136.261036777588</v>
      </c>
      <c r="AL2253">
        <v>79.419663931790694</v>
      </c>
      <c r="AM2253">
        <v>97.8371418979103</v>
      </c>
      <c r="AN2253">
        <v>1.0000000216409199</v>
      </c>
    </row>
    <row r="2254" spans="1:40" x14ac:dyDescent="0.25">
      <c r="A2254" t="str">
        <f>"20190303170807443"</f>
        <v>20190303170807443</v>
      </c>
      <c r="B2254" t="str">
        <f>"1551604087435056"</f>
        <v>1551604087435056</v>
      </c>
      <c r="C2254" t="s">
        <v>40</v>
      </c>
      <c r="D2254">
        <v>4.5089040000000002</v>
      </c>
      <c r="E2254">
        <v>0.3855114</v>
      </c>
      <c r="F2254" t="s">
        <v>83</v>
      </c>
      <c r="G2254">
        <v>-368.3322</v>
      </c>
      <c r="H2254">
        <v>0.91769769999999995</v>
      </c>
      <c r="I2254">
        <v>170.07769999999999</v>
      </c>
      <c r="J2254">
        <v>-490.35309999999998</v>
      </c>
      <c r="K2254">
        <v>1.1272180000000001</v>
      </c>
      <c r="L2254">
        <v>223.07419999999999</v>
      </c>
      <c r="M2254">
        <v>0.69467869999999998</v>
      </c>
      <c r="N2254">
        <v>-1.2320640000000001E-2</v>
      </c>
      <c r="O2254">
        <v>-0.71921499999999905</v>
      </c>
      <c r="P2254">
        <v>0.771588099999999</v>
      </c>
      <c r="Q2254">
        <v>0.1715614</v>
      </c>
      <c r="R2254">
        <v>-0.61255139999999997</v>
      </c>
      <c r="S2254">
        <v>2.9050289999999999</v>
      </c>
      <c r="T2254">
        <v>-4.9788949999999997E-3</v>
      </c>
      <c r="U2254">
        <v>-1.265854</v>
      </c>
      <c r="V2254">
        <v>-0.13217379999999901</v>
      </c>
      <c r="W2254">
        <v>0.18160979999999999</v>
      </c>
      <c r="X2254">
        <v>0.97444750000000002</v>
      </c>
      <c r="Y2254">
        <v>-0.38181520000000002</v>
      </c>
      <c r="Z2254">
        <v>-5.8164540000000004E-3</v>
      </c>
      <c r="AA2254">
        <v>0.92422040000000005</v>
      </c>
      <c r="AB2254">
        <v>23</v>
      </c>
      <c r="AC2254">
        <v>122.020899999999</v>
      </c>
      <c r="AD2254">
        <v>-0.20952029999999999</v>
      </c>
      <c r="AE2254">
        <v>-52.996499999999997</v>
      </c>
      <c r="AF2254">
        <v>-50.947449507644897</v>
      </c>
      <c r="AG2254">
        <v>-0.20952029999999999</v>
      </c>
      <c r="AH2254">
        <v>122.890189358387</v>
      </c>
      <c r="AI2254">
        <v>90.090238254682106</v>
      </c>
      <c r="AJ2254">
        <v>112.517773017663</v>
      </c>
      <c r="AK2254">
        <v>133.032646935369</v>
      </c>
      <c r="AL2254">
        <v>79.536459646519106</v>
      </c>
      <c r="AM2254">
        <v>97.724442724391096</v>
      </c>
      <c r="AN2254">
        <v>0.99999998155936398</v>
      </c>
    </row>
    <row r="2255" spans="1:40" x14ac:dyDescent="0.25">
      <c r="A2255" t="str">
        <f>"20190303170807465"</f>
        <v>20190303170807465</v>
      </c>
      <c r="B2255" t="str">
        <f>"1551604087454576"</f>
        <v>1551604087454576</v>
      </c>
      <c r="C2255" t="s">
        <v>40</v>
      </c>
      <c r="D2255">
        <v>4.4976419999999999</v>
      </c>
      <c r="E2255">
        <v>0.36919469999999999</v>
      </c>
      <c r="F2255" t="s">
        <v>82</v>
      </c>
      <c r="G2255">
        <v>-349.60140000000001</v>
      </c>
      <c r="H2255">
        <v>2.1579950000000001</v>
      </c>
      <c r="I2255">
        <v>168.40729999999999</v>
      </c>
      <c r="J2255">
        <v>-490.19170000000003</v>
      </c>
      <c r="K2255">
        <v>1.1271150000000001</v>
      </c>
      <c r="L2255">
        <v>222.92230000000001</v>
      </c>
      <c r="M2255">
        <v>0.70146540000000002</v>
      </c>
      <c r="N2255">
        <v>-1.224446E-2</v>
      </c>
      <c r="O2255">
        <v>-0.71259839999999997</v>
      </c>
      <c r="P2255">
        <v>0.77792759999999905</v>
      </c>
      <c r="Q2255">
        <v>0.17057559999999999</v>
      </c>
      <c r="R2255">
        <v>-0.60475819999999902</v>
      </c>
      <c r="S2255">
        <v>2.96814</v>
      </c>
      <c r="T2255">
        <v>2.1737099999999999E-2</v>
      </c>
      <c r="U2255">
        <v>-1.1528020000000001</v>
      </c>
      <c r="V2255">
        <v>-0.13283989999999901</v>
      </c>
      <c r="W2255">
        <v>0.1805687</v>
      </c>
      <c r="X2255">
        <v>0.97455040000000004</v>
      </c>
      <c r="Y2255">
        <v>-0.41020689999999999</v>
      </c>
      <c r="Z2255">
        <v>-1.277463E-2</v>
      </c>
      <c r="AA2255">
        <v>0.91190300000000002</v>
      </c>
      <c r="AB2255">
        <v>23</v>
      </c>
      <c r="AC2255">
        <v>140.59030000000001</v>
      </c>
      <c r="AD2255">
        <v>1.03088</v>
      </c>
      <c r="AE2255">
        <v>-54.515000000000001</v>
      </c>
      <c r="AF2255">
        <v>-61.945781842128703</v>
      </c>
      <c r="AG2255">
        <v>1.03088</v>
      </c>
      <c r="AH2255">
        <v>137.47040595309099</v>
      </c>
      <c r="AI2255">
        <v>89.608282699704006</v>
      </c>
      <c r="AJ2255">
        <v>114.256887398632</v>
      </c>
      <c r="AK2255">
        <v>150.78612374656501</v>
      </c>
      <c r="AL2255">
        <v>79.597113161269903</v>
      </c>
      <c r="AM2255">
        <v>97.762087488671696</v>
      </c>
      <c r="AN2255">
        <v>0.99999998829592995</v>
      </c>
    </row>
    <row r="2256" spans="1:40" x14ac:dyDescent="0.25">
      <c r="A2256" t="str">
        <f>"20190303170807491"</f>
        <v>20190303170807491</v>
      </c>
      <c r="B2256" t="str">
        <f>"1551604087485340"</f>
        <v>1551604087485340</v>
      </c>
      <c r="C2256" t="s">
        <v>40</v>
      </c>
      <c r="D2256">
        <v>4.493557</v>
      </c>
      <c r="E2256">
        <v>0.35427599999999998</v>
      </c>
      <c r="F2256" t="s">
        <v>55</v>
      </c>
      <c r="G2256">
        <v>-161.31909999999999</v>
      </c>
      <c r="H2256">
        <v>9.6831569999999996</v>
      </c>
      <c r="I2256">
        <v>113.3086</v>
      </c>
      <c r="J2256">
        <v>-490.00099999999998</v>
      </c>
      <c r="K2256">
        <v>1.1269910000000001</v>
      </c>
      <c r="L2256">
        <v>222.74639999999999</v>
      </c>
      <c r="M2256">
        <v>0.70918990000000004</v>
      </c>
      <c r="N2256">
        <v>-1.2152359999999999E-2</v>
      </c>
      <c r="O2256">
        <v>-0.70491300000000001</v>
      </c>
      <c r="P2256">
        <v>0.78465759999999996</v>
      </c>
      <c r="Q2256">
        <v>0.17049810000000001</v>
      </c>
      <c r="R2256">
        <v>-0.59602299999999997</v>
      </c>
      <c r="S2256">
        <v>3.049042</v>
      </c>
      <c r="T2256">
        <v>7.9324839999999994E-2</v>
      </c>
      <c r="U2256">
        <v>-1.016251</v>
      </c>
      <c r="V2256">
        <v>-0.133077</v>
      </c>
      <c r="W2256">
        <v>0.18043319999999999</v>
      </c>
      <c r="X2256">
        <v>0.97454320000000005</v>
      </c>
      <c r="Y2256">
        <v>-0.4440385</v>
      </c>
      <c r="Z2256">
        <v>-2.8039850000000002E-2</v>
      </c>
      <c r="AA2256">
        <v>0.89556880000000005</v>
      </c>
      <c r="AB2256">
        <v>23</v>
      </c>
      <c r="AC2256">
        <v>328.68189999999998</v>
      </c>
      <c r="AD2256">
        <v>8.5561659999999993</v>
      </c>
      <c r="AE2256">
        <v>-109.4378</v>
      </c>
      <c r="AF2256">
        <v>-153.997372651744</v>
      </c>
      <c r="AG2256">
        <v>8.5561659999999993</v>
      </c>
      <c r="AH2256">
        <v>310.07571750537602</v>
      </c>
      <c r="AI2256">
        <v>88.5842961153066</v>
      </c>
      <c r="AJ2256">
        <v>116.411036036713</v>
      </c>
      <c r="AK2256">
        <v>346.31683376170599</v>
      </c>
      <c r="AL2256">
        <v>79.605006911001098</v>
      </c>
      <c r="AM2256">
        <v>97.775829099577393</v>
      </c>
      <c r="AN2256">
        <v>1.00000003812873</v>
      </c>
    </row>
    <row r="2257" spans="1:40" x14ac:dyDescent="0.25">
      <c r="A2257" t="str">
        <f>"20190303170807532"</f>
        <v>20190303170807532</v>
      </c>
      <c r="B2257" t="str">
        <f>"1551604087514619"</f>
        <v>1551604087514619</v>
      </c>
      <c r="C2257" t="s">
        <v>40</v>
      </c>
      <c r="D2257">
        <v>4.5147519999999997</v>
      </c>
      <c r="E2257">
        <v>0.34951969999999999</v>
      </c>
      <c r="F2257" t="s">
        <v>55</v>
      </c>
      <c r="G2257">
        <v>-121.4776</v>
      </c>
      <c r="H2257">
        <v>17.867979999999999</v>
      </c>
      <c r="I2257">
        <v>118.44199999999999</v>
      </c>
      <c r="J2257">
        <v>-489.68400000000003</v>
      </c>
      <c r="K2257">
        <v>1.126768</v>
      </c>
      <c r="L2257">
        <v>222.4616</v>
      </c>
      <c r="M2257">
        <v>0.72130229999999995</v>
      </c>
      <c r="N2257">
        <v>-1.1976000000000001E-2</v>
      </c>
      <c r="O2257">
        <v>-0.69251700000000005</v>
      </c>
      <c r="P2257">
        <v>0.79432849999999999</v>
      </c>
      <c r="Q2257">
        <v>0.17130399999999901</v>
      </c>
      <c r="R2257">
        <v>-0.58283560000000001</v>
      </c>
      <c r="S2257">
        <v>3.121429</v>
      </c>
      <c r="T2257">
        <v>0.1417979</v>
      </c>
      <c r="U2257">
        <v>-0.88346859999999905</v>
      </c>
      <c r="V2257">
        <v>-0.1322583</v>
      </c>
      <c r="W2257">
        <v>0.18114369999999999</v>
      </c>
      <c r="X2257">
        <v>0.97452280000000002</v>
      </c>
      <c r="Y2257">
        <v>-0.46869129999999998</v>
      </c>
      <c r="Z2257">
        <v>-4.4232510000000003E-2</v>
      </c>
      <c r="AA2257">
        <v>0.88225390000000004</v>
      </c>
      <c r="AB2257">
        <v>23</v>
      </c>
      <c r="AC2257">
        <v>368.20639999999997</v>
      </c>
      <c r="AD2257">
        <v>16.741212000000001</v>
      </c>
      <c r="AE2257">
        <v>-104.0196</v>
      </c>
      <c r="AF2257">
        <v>-179.628610620708</v>
      </c>
      <c r="AG2257">
        <v>16.741212000000001</v>
      </c>
      <c r="AH2257">
        <v>337.002465353057</v>
      </c>
      <c r="AI2257">
        <v>87.489862317616002</v>
      </c>
      <c r="AJ2257">
        <v>118.05844940504799</v>
      </c>
      <c r="AK2257">
        <v>382.253015144149</v>
      </c>
      <c r="AL2257">
        <v>79.563615746905498</v>
      </c>
      <c r="AM2257">
        <v>97.728731343863302</v>
      </c>
      <c r="AN2257">
        <v>0.99999999284421004</v>
      </c>
    </row>
    <row r="2258" spans="1:40" x14ac:dyDescent="0.25">
      <c r="A2258" t="str">
        <f>"20190303170807554"</f>
        <v>20190303170807554</v>
      </c>
      <c r="B2258" t="str">
        <f>"1551604087544877"</f>
        <v>1551604087544877</v>
      </c>
      <c r="C2258" t="s">
        <v>40</v>
      </c>
      <c r="D2258">
        <v>4.4896180000000001</v>
      </c>
      <c r="E2258">
        <v>0.34858440000000002</v>
      </c>
      <c r="F2258" t="s">
        <v>84</v>
      </c>
      <c r="G2258">
        <v>-70.587459999999993</v>
      </c>
      <c r="H2258">
        <v>23.41441</v>
      </c>
      <c r="I2258">
        <v>116.2195</v>
      </c>
      <c r="J2258">
        <v>-489.50119999999998</v>
      </c>
      <c r="K2258">
        <v>1.1266400000000001</v>
      </c>
      <c r="L2258">
        <v>222.3013</v>
      </c>
      <c r="M2258">
        <v>0.72791790000000001</v>
      </c>
      <c r="N2258">
        <v>-1.186895E-2</v>
      </c>
      <c r="O2258">
        <v>-0.68556159999999999</v>
      </c>
      <c r="P2258">
        <v>0.80031909999999995</v>
      </c>
      <c r="Q2258">
        <v>0.17029279999999999</v>
      </c>
      <c r="R2258">
        <v>-0.57488249999999996</v>
      </c>
      <c r="S2258">
        <v>3.1539920000000001</v>
      </c>
      <c r="T2258">
        <v>0.16772999999999999</v>
      </c>
      <c r="U2258">
        <v>-0.79954530000000001</v>
      </c>
      <c r="V2258">
        <v>-0.13270950000000001</v>
      </c>
      <c r="W2258">
        <v>0.18005789999999999</v>
      </c>
      <c r="X2258">
        <v>0.97466269999999999</v>
      </c>
      <c r="Y2258">
        <v>-0.48402679999999998</v>
      </c>
      <c r="Z2258">
        <v>-5.0890600000000001E-2</v>
      </c>
      <c r="AA2258">
        <v>0.87357209999999996</v>
      </c>
      <c r="AB2258">
        <v>23</v>
      </c>
      <c r="AC2258">
        <v>418.91374000000002</v>
      </c>
      <c r="AD2258">
        <v>22.287769999999998</v>
      </c>
      <c r="AE2258">
        <v>-106.0818</v>
      </c>
      <c r="AF2258">
        <v>-209.43002289252101</v>
      </c>
      <c r="AG2258">
        <v>22.287769999999998</v>
      </c>
      <c r="AH2258">
        <v>376.68500909347802</v>
      </c>
      <c r="AI2258">
        <v>87.039703620840598</v>
      </c>
      <c r="AJ2258">
        <v>119.07326439128499</v>
      </c>
      <c r="AK2258">
        <v>431.56607287423401</v>
      </c>
      <c r="AL2258">
        <v>79.626867862923604</v>
      </c>
      <c r="AM2258">
        <v>97.753678114926402</v>
      </c>
      <c r="AN2258">
        <v>1.00000001875697</v>
      </c>
    </row>
    <row r="2259" spans="1:40" x14ac:dyDescent="0.25">
      <c r="A2259" t="str">
        <f>"20190303170807577"</f>
        <v>20190303170807577</v>
      </c>
      <c r="B2259" t="str">
        <f>"1551604087565373"</f>
        <v>1551604087565373</v>
      </c>
      <c r="C2259" t="s">
        <v>40</v>
      </c>
      <c r="D2259">
        <v>4.5064869999999999</v>
      </c>
      <c r="E2259">
        <v>0.34845100000000001</v>
      </c>
      <c r="F2259" t="s">
        <v>45</v>
      </c>
      <c r="G2259">
        <v>0</v>
      </c>
      <c r="H2259">
        <v>0</v>
      </c>
      <c r="I2259">
        <v>0</v>
      </c>
      <c r="J2259">
        <v>-489.32870000000003</v>
      </c>
      <c r="K2259">
        <v>1.12653</v>
      </c>
      <c r="L2259">
        <v>222.15270000000001</v>
      </c>
      <c r="M2259">
        <v>0.73393299999999995</v>
      </c>
      <c r="N2259">
        <v>-1.1766479999999999E-2</v>
      </c>
      <c r="O2259">
        <v>-0.67912019999999995</v>
      </c>
      <c r="P2259">
        <v>0.80585560000000001</v>
      </c>
      <c r="Q2259">
        <v>0.16992560000000001</v>
      </c>
      <c r="R2259">
        <v>-0.56720569999999904</v>
      </c>
      <c r="S2259">
        <v>3.16568</v>
      </c>
      <c r="T2259">
        <v>0.1672158</v>
      </c>
      <c r="U2259">
        <v>-0.76176449999999996</v>
      </c>
      <c r="V2259">
        <v>-0.1334418</v>
      </c>
      <c r="W2259">
        <v>0.17961089999999999</v>
      </c>
      <c r="X2259">
        <v>0.97464510000000004</v>
      </c>
      <c r="Y2259">
        <v>-0.48693769999999997</v>
      </c>
      <c r="Z2259">
        <v>-5.0377699999999997E-2</v>
      </c>
      <c r="AA2259">
        <v>0.871982699999999</v>
      </c>
      <c r="AB2259">
        <v>23</v>
      </c>
      <c r="AC2259">
        <v>3.16568</v>
      </c>
      <c r="AD2259">
        <v>0.1672158</v>
      </c>
      <c r="AE2259">
        <v>-0.76176449999999996</v>
      </c>
      <c r="AF2259">
        <v>-1.5867181948190501</v>
      </c>
      <c r="AG2259">
        <v>0.1672158</v>
      </c>
      <c r="AH2259">
        <v>2.8334499459711799</v>
      </c>
      <c r="AI2259">
        <v>87.052387762962994</v>
      </c>
      <c r="AJ2259">
        <v>119.248614288593</v>
      </c>
      <c r="AK2259">
        <v>3.2517801816641199</v>
      </c>
      <c r="AL2259">
        <v>79.652902611651101</v>
      </c>
      <c r="AM2259">
        <v>97.796077775090495</v>
      </c>
      <c r="AN2259">
        <v>0.99999993017002697</v>
      </c>
    </row>
    <row r="2260" spans="1:40" x14ac:dyDescent="0.25">
      <c r="A2260" t="str">
        <f>"20190303170807603"</f>
        <v>20190303170807603</v>
      </c>
      <c r="B2260" t="str">
        <f>"1551604087594652"</f>
        <v>1551604087594652</v>
      </c>
      <c r="C2260" t="s">
        <v>40</v>
      </c>
      <c r="D2260">
        <v>4.5233889999999999</v>
      </c>
      <c r="E2260">
        <v>0.34865550000000001</v>
      </c>
      <c r="F2260" t="s">
        <v>45</v>
      </c>
      <c r="G2260">
        <v>0</v>
      </c>
      <c r="H2260">
        <v>0</v>
      </c>
      <c r="I2260">
        <v>0</v>
      </c>
      <c r="J2260">
        <v>-489.12720000000002</v>
      </c>
      <c r="K2260">
        <v>1.1263890000000001</v>
      </c>
      <c r="L2260">
        <v>221.98179999999999</v>
      </c>
      <c r="M2260">
        <v>0.74066999999999905</v>
      </c>
      <c r="N2260">
        <v>-1.1636840000000001E-2</v>
      </c>
      <c r="O2260">
        <v>-0.67176849999999999</v>
      </c>
      <c r="P2260">
        <v>0.81194080000000002</v>
      </c>
      <c r="Q2260">
        <v>0.16998260000000001</v>
      </c>
      <c r="R2260">
        <v>-0.55844300000000002</v>
      </c>
      <c r="S2260">
        <v>3.1734619999999998</v>
      </c>
      <c r="T2260">
        <v>0.1665452</v>
      </c>
      <c r="U2260">
        <v>-0.73045349999999998</v>
      </c>
      <c r="V2260">
        <v>-0.13421939999999999</v>
      </c>
      <c r="W2260">
        <v>0.17956920000000001</v>
      </c>
      <c r="X2260">
        <v>0.97454609999999997</v>
      </c>
      <c r="Y2260">
        <v>-0.48690270000000002</v>
      </c>
      <c r="Z2260">
        <v>-4.973793E-2</v>
      </c>
      <c r="AA2260">
        <v>0.87203899999999901</v>
      </c>
      <c r="AB2260">
        <v>24</v>
      </c>
      <c r="AC2260">
        <v>3.1734619999999998</v>
      </c>
      <c r="AD2260">
        <v>0.1665452</v>
      </c>
      <c r="AE2260">
        <v>-0.73045349999999998</v>
      </c>
      <c r="AF2260">
        <v>-1.5867638352657401</v>
      </c>
      <c r="AG2260">
        <v>0.1665452</v>
      </c>
      <c r="AH2260">
        <v>2.8339629849965098</v>
      </c>
      <c r="AI2260">
        <v>87.064612138320101</v>
      </c>
      <c r="AJ2260">
        <v>119.244894778644</v>
      </c>
      <c r="AK2260">
        <v>3.2522150871184099</v>
      </c>
      <c r="AL2260">
        <v>79.655332303711702</v>
      </c>
      <c r="AM2260">
        <v>97.841730682044698</v>
      </c>
      <c r="AN2260">
        <v>1.0000000229751</v>
      </c>
    </row>
    <row r="2261" spans="1:40" x14ac:dyDescent="0.25">
      <c r="A2261" t="str">
        <f>"20190303170807621"</f>
        <v>20190303170807621</v>
      </c>
      <c r="B2261" t="str">
        <f>"1551604087615148"</f>
        <v>1551604087615148</v>
      </c>
      <c r="C2261" t="s">
        <v>40</v>
      </c>
      <c r="D2261">
        <v>4.5115230000000004</v>
      </c>
      <c r="E2261">
        <v>0.3493079</v>
      </c>
      <c r="F2261" t="s">
        <v>45</v>
      </c>
      <c r="G2261">
        <v>0</v>
      </c>
      <c r="H2261">
        <v>0</v>
      </c>
      <c r="I2261">
        <v>0</v>
      </c>
      <c r="J2261">
        <v>-488.96949999999998</v>
      </c>
      <c r="K2261">
        <v>1.1262650000000001</v>
      </c>
      <c r="L2261">
        <v>221.8503</v>
      </c>
      <c r="M2261">
        <v>0.74570800000000004</v>
      </c>
      <c r="N2261">
        <v>-1.1527310000000001E-2</v>
      </c>
      <c r="O2261">
        <v>-0.66617309999999996</v>
      </c>
      <c r="P2261">
        <v>0.81654890000000002</v>
      </c>
      <c r="Q2261">
        <v>0.17005909999999999</v>
      </c>
      <c r="R2261">
        <v>-0.55165929999999996</v>
      </c>
      <c r="S2261">
        <v>3.1797789999999999</v>
      </c>
      <c r="T2261">
        <v>0.16757920000000001</v>
      </c>
      <c r="U2261">
        <v>-0.69784550000000001</v>
      </c>
      <c r="V2261">
        <v>-0.13494159999999999</v>
      </c>
      <c r="W2261">
        <v>0.179564</v>
      </c>
      <c r="X2261">
        <v>0.97444730000000002</v>
      </c>
      <c r="Y2261">
        <v>-0.48921330000000002</v>
      </c>
      <c r="Z2261">
        <v>-4.9715099999999998E-2</v>
      </c>
      <c r="AA2261">
        <v>0.87074609999999997</v>
      </c>
      <c r="AB2261">
        <v>24</v>
      </c>
      <c r="AC2261">
        <v>3.1797789999999999</v>
      </c>
      <c r="AD2261">
        <v>0.16757920000000001</v>
      </c>
      <c r="AE2261">
        <v>-0.69784550000000001</v>
      </c>
      <c r="AF2261">
        <v>-1.5937772867190001</v>
      </c>
      <c r="AG2261">
        <v>0.16757920000000001</v>
      </c>
      <c r="AH2261">
        <v>2.8287653970768498</v>
      </c>
      <c r="AI2261">
        <v>87.045423570942503</v>
      </c>
      <c r="AJ2261">
        <v>119.39769240243901</v>
      </c>
      <c r="AK2261">
        <v>3.2511724807572699</v>
      </c>
      <c r="AL2261">
        <v>79.655634955523496</v>
      </c>
      <c r="AM2261">
        <v>97.884185140207194</v>
      </c>
      <c r="AN2261">
        <v>1.00000000299192</v>
      </c>
    </row>
    <row r="2262" spans="1:40" x14ac:dyDescent="0.25">
      <c r="A2262" t="str">
        <f>"20190303170807643"</f>
        <v>20190303170807643</v>
      </c>
      <c r="B2262" t="str">
        <f>"1551604087634667"</f>
        <v>1551604087634667</v>
      </c>
      <c r="C2262" t="s">
        <v>40</v>
      </c>
      <c r="D2262">
        <v>4.5304229999999999</v>
      </c>
      <c r="E2262">
        <v>0.3502538</v>
      </c>
      <c r="F2262" t="s">
        <v>45</v>
      </c>
      <c r="G2262">
        <v>0</v>
      </c>
      <c r="H2262">
        <v>0</v>
      </c>
      <c r="I2262">
        <v>0</v>
      </c>
      <c r="J2262">
        <v>-488.79790000000003</v>
      </c>
      <c r="K2262">
        <v>1.1261159999999999</v>
      </c>
      <c r="L2262">
        <v>221.70910000000001</v>
      </c>
      <c r="M2262">
        <v>0.75097320000000001</v>
      </c>
      <c r="N2262">
        <v>-1.140334E-2</v>
      </c>
      <c r="O2262">
        <v>-0.66023449999999995</v>
      </c>
      <c r="P2262">
        <v>0.821287199999999</v>
      </c>
      <c r="Q2262">
        <v>0.17091970000000001</v>
      </c>
      <c r="R2262">
        <v>-0.54431070000000004</v>
      </c>
      <c r="S2262">
        <v>3.182709</v>
      </c>
      <c r="T2262">
        <v>0.16541249999999999</v>
      </c>
      <c r="U2262">
        <v>-0.67611690000000002</v>
      </c>
      <c r="V2262">
        <v>-0.13578309999999999</v>
      </c>
      <c r="W2262">
        <v>0.1803351</v>
      </c>
      <c r="X2262">
        <v>0.97418800000000005</v>
      </c>
      <c r="Y2262">
        <v>-0.4881952</v>
      </c>
      <c r="Z2262">
        <v>-4.8774919999999999E-2</v>
      </c>
      <c r="AA2262">
        <v>0.87137039999999999</v>
      </c>
      <c r="AB2262">
        <v>24</v>
      </c>
      <c r="AC2262">
        <v>3.182709</v>
      </c>
      <c r="AD2262">
        <v>0.16541249999999999</v>
      </c>
      <c r="AE2262">
        <v>-0.67611690000000002</v>
      </c>
      <c r="AF2262">
        <v>-1.5895836870379001</v>
      </c>
      <c r="AG2262">
        <v>0.16541249999999999</v>
      </c>
      <c r="AH2262">
        <v>2.8293962550683101</v>
      </c>
      <c r="AI2262">
        <v>87.082206666957802</v>
      </c>
      <c r="AJ2262">
        <v>119.327721739929</v>
      </c>
      <c r="AK2262">
        <v>3.24955701003196</v>
      </c>
      <c r="AL2262">
        <v>79.610721268787501</v>
      </c>
      <c r="AM2262">
        <v>97.934811725169197</v>
      </c>
      <c r="AN2262">
        <v>1.0000000289408</v>
      </c>
    </row>
    <row r="2263" spans="1:40" x14ac:dyDescent="0.25">
      <c r="A2263" t="str">
        <f>"20190303170807666"</f>
        <v>20190303170807666</v>
      </c>
      <c r="B2263" t="str">
        <f>"1551604087655164"</f>
        <v>1551604087655164</v>
      </c>
      <c r="C2263" t="s">
        <v>40</v>
      </c>
      <c r="D2263">
        <v>4.551895</v>
      </c>
      <c r="E2263">
        <v>0.35135250000000001</v>
      </c>
      <c r="F2263" t="s">
        <v>45</v>
      </c>
      <c r="G2263">
        <v>0</v>
      </c>
      <c r="H2263">
        <v>0</v>
      </c>
      <c r="I2263">
        <v>0</v>
      </c>
      <c r="J2263">
        <v>-488.61149999999998</v>
      </c>
      <c r="K2263">
        <v>1.1259410000000001</v>
      </c>
      <c r="L2263">
        <v>221.55770000000001</v>
      </c>
      <c r="M2263">
        <v>0.75644209999999901</v>
      </c>
      <c r="N2263">
        <v>-1.126634E-2</v>
      </c>
      <c r="O2263">
        <v>-0.65396359999999998</v>
      </c>
      <c r="P2263">
        <v>0.82635519999999996</v>
      </c>
      <c r="Q2263">
        <v>0.17144499999999999</v>
      </c>
      <c r="R2263">
        <v>-0.53641779999999994</v>
      </c>
      <c r="S2263">
        <v>3.1849669999999999</v>
      </c>
      <c r="T2263">
        <v>0.1637479</v>
      </c>
      <c r="U2263">
        <v>-0.65446470000000001</v>
      </c>
      <c r="V2263">
        <v>-0.13687389999999999</v>
      </c>
      <c r="W2263">
        <v>0.1807638</v>
      </c>
      <c r="X2263">
        <v>0.97395580000000004</v>
      </c>
      <c r="Y2263">
        <v>-0.48678260000000001</v>
      </c>
      <c r="Z2263">
        <v>-4.7948060000000001E-2</v>
      </c>
      <c r="AA2263">
        <v>0.87220620000000004</v>
      </c>
      <c r="AB2263">
        <v>24</v>
      </c>
      <c r="AC2263">
        <v>3.1849669999999999</v>
      </c>
      <c r="AD2263">
        <v>0.1637479</v>
      </c>
      <c r="AE2263">
        <v>-0.65446470000000001</v>
      </c>
      <c r="AF2263">
        <v>-1.58387164824986</v>
      </c>
      <c r="AG2263">
        <v>0.1637479</v>
      </c>
      <c r="AH2263">
        <v>2.8302413342485302</v>
      </c>
      <c r="AI2263">
        <v>87.109690951395805</v>
      </c>
      <c r="AJ2263">
        <v>119.23243393272701</v>
      </c>
      <c r="AK2263">
        <v>3.2474187877409699</v>
      </c>
      <c r="AL2263">
        <v>79.585747412494996</v>
      </c>
      <c r="AM2263">
        <v>97.999615731321001</v>
      </c>
      <c r="AN2263">
        <v>0.99999995812264397</v>
      </c>
    </row>
    <row r="2264" spans="1:40" x14ac:dyDescent="0.25">
      <c r="A2264" t="str">
        <f>"20190303170807695"</f>
        <v>20190303170807695</v>
      </c>
      <c r="B2264" t="str">
        <f>"1551604087685420"</f>
        <v>1551604087685420</v>
      </c>
      <c r="C2264" t="s">
        <v>40</v>
      </c>
      <c r="D2264">
        <v>4.5628129999999896</v>
      </c>
      <c r="E2264">
        <v>0.3522959</v>
      </c>
      <c r="F2264" t="s">
        <v>41</v>
      </c>
      <c r="G2264">
        <v>-408.59750000000003</v>
      </c>
      <c r="H2264">
        <v>5.1245599999999998</v>
      </c>
      <c r="I2264">
        <v>205.68639999999999</v>
      </c>
      <c r="J2264">
        <v>-488.38279999999997</v>
      </c>
      <c r="K2264">
        <v>1.1257280000000001</v>
      </c>
      <c r="L2264">
        <v>221.3751</v>
      </c>
      <c r="M2264">
        <v>0.76277980000000001</v>
      </c>
      <c r="N2264">
        <v>-1.1103200000000001E-2</v>
      </c>
      <c r="O2264">
        <v>-0.64656329999999995</v>
      </c>
      <c r="P2264">
        <v>0.83181849999999902</v>
      </c>
      <c r="Q2264">
        <v>0.17152139999999999</v>
      </c>
      <c r="R2264">
        <v>-0.52788139999999995</v>
      </c>
      <c r="S2264">
        <v>3.1869809999999998</v>
      </c>
      <c r="T2264">
        <v>0.1592662</v>
      </c>
      <c r="U2264">
        <v>-0.63215639999999995</v>
      </c>
      <c r="V2264">
        <v>-0.1373134</v>
      </c>
      <c r="W2264">
        <v>0.18074129999999999</v>
      </c>
      <c r="X2264">
        <v>0.97389820000000005</v>
      </c>
      <c r="Y2264">
        <v>-0.48434329999999998</v>
      </c>
      <c r="Z2264">
        <v>-4.6310240000000003E-2</v>
      </c>
      <c r="AA2264">
        <v>0.87365149999999903</v>
      </c>
      <c r="AB2264">
        <v>24</v>
      </c>
      <c r="AC2264">
        <v>79.785299999999907</v>
      </c>
      <c r="AD2264">
        <v>3.9988320000000002</v>
      </c>
      <c r="AE2264">
        <v>-15.688700000000001</v>
      </c>
      <c r="AF2264">
        <v>-39.526064282245898</v>
      </c>
      <c r="AG2264">
        <v>3.9988320000000002</v>
      </c>
      <c r="AH2264">
        <v>70.835400600602497</v>
      </c>
      <c r="AI2264">
        <v>87.177768707266296</v>
      </c>
      <c r="AJ2264">
        <v>119.161462167401</v>
      </c>
      <c r="AK2264">
        <v>81.215481241302101</v>
      </c>
      <c r="AL2264">
        <v>79.587059079018303</v>
      </c>
      <c r="AM2264">
        <v>98.025436721650294</v>
      </c>
      <c r="AN2264">
        <v>1.0000000456542399</v>
      </c>
    </row>
    <row r="2265" spans="1:40" x14ac:dyDescent="0.25">
      <c r="A2265" t="str">
        <f>"20190303170807735"</f>
        <v>20190303170807735</v>
      </c>
      <c r="B2265" t="str">
        <f>"1551604087725436"</f>
        <v>1551604087725436</v>
      </c>
      <c r="C2265" t="s">
        <v>40</v>
      </c>
      <c r="D2265">
        <v>4.6255050000000004</v>
      </c>
      <c r="E2265">
        <v>0.37052679999999999</v>
      </c>
      <c r="F2265" t="s">
        <v>85</v>
      </c>
      <c r="G2265">
        <v>-363.87310000000002</v>
      </c>
      <c r="H2265">
        <v>7.1671750000000003</v>
      </c>
      <c r="I2265">
        <v>197.7029</v>
      </c>
      <c r="J2265">
        <v>-488.05</v>
      </c>
      <c r="K2265">
        <v>1.1254489999999999</v>
      </c>
      <c r="L2265">
        <v>221.1146</v>
      </c>
      <c r="M2265">
        <v>0.77137299999999998</v>
      </c>
      <c r="N2265">
        <v>-1.0881200000000001E-2</v>
      </c>
      <c r="O2265">
        <v>-0.63629029999999998</v>
      </c>
      <c r="P2265">
        <v>0.83880390000000005</v>
      </c>
      <c r="Q2265">
        <v>0.1711126</v>
      </c>
      <c r="R2265">
        <v>-0.5168452</v>
      </c>
      <c r="S2265">
        <v>3.1897579999999999</v>
      </c>
      <c r="T2265">
        <v>0.15477560000000001</v>
      </c>
      <c r="U2265">
        <v>-0.60644529999999996</v>
      </c>
      <c r="V2265">
        <v>-0.13707169999999999</v>
      </c>
      <c r="W2265">
        <v>0.180202</v>
      </c>
      <c r="X2265">
        <v>0.97403209999999996</v>
      </c>
      <c r="Y2265">
        <v>-0.47965550000000001</v>
      </c>
      <c r="Z2265">
        <v>-4.447396E-2</v>
      </c>
      <c r="AA2265">
        <v>0.87632909999999997</v>
      </c>
      <c r="AB2265">
        <v>24</v>
      </c>
      <c r="AC2265">
        <v>124.1769</v>
      </c>
      <c r="AD2265">
        <v>6.0417259999999997</v>
      </c>
      <c r="AE2265">
        <v>-23.4117</v>
      </c>
      <c r="AF2265">
        <v>-60.817982582018402</v>
      </c>
      <c r="AG2265">
        <v>6.0417259999999997</v>
      </c>
      <c r="AH2265">
        <v>110.437438620987</v>
      </c>
      <c r="AI2265">
        <v>87.256418932613997</v>
      </c>
      <c r="AJ2265">
        <v>118.84161088845801</v>
      </c>
      <c r="AK2265">
        <v>126.22106522910499</v>
      </c>
      <c r="AL2265">
        <v>79.618473752329805</v>
      </c>
      <c r="AM2265">
        <v>98.010406819056897</v>
      </c>
      <c r="AN2265">
        <v>0.99999997178764899</v>
      </c>
    </row>
    <row r="2266" spans="1:40" x14ac:dyDescent="0.25">
      <c r="A2266" t="str">
        <f>"20190303170807756"</f>
        <v>20190303170807756</v>
      </c>
      <c r="B2266" t="str">
        <f>"1551604087744956"</f>
        <v>1551604087744956</v>
      </c>
      <c r="C2266" t="s">
        <v>40</v>
      </c>
      <c r="D2266">
        <v>4.5647760000000002</v>
      </c>
      <c r="E2266">
        <v>0.37160769999999999</v>
      </c>
      <c r="F2266" t="s">
        <v>81</v>
      </c>
      <c r="G2266">
        <v>-348.19189999999998</v>
      </c>
      <c r="H2266">
        <v>5.409478</v>
      </c>
      <c r="I2266">
        <v>190.2243</v>
      </c>
      <c r="J2266">
        <v>-487.8691</v>
      </c>
      <c r="K2266">
        <v>1.125337</v>
      </c>
      <c r="L2266">
        <v>220.97559999999999</v>
      </c>
      <c r="M2266">
        <v>0.77576559999999894</v>
      </c>
      <c r="N2266">
        <v>-1.077405E-2</v>
      </c>
      <c r="O2266">
        <v>-0.63092919999999997</v>
      </c>
      <c r="P2266">
        <v>0.84254660000000003</v>
      </c>
      <c r="Q2266">
        <v>0.1708452</v>
      </c>
      <c r="R2266">
        <v>-0.51081030000000005</v>
      </c>
      <c r="S2266">
        <v>3.130951</v>
      </c>
      <c r="T2266">
        <v>9.5906850000000002E-2</v>
      </c>
      <c r="U2266">
        <v>-0.69152829999999998</v>
      </c>
      <c r="V2266">
        <v>-0.1372969</v>
      </c>
      <c r="W2266">
        <v>0.17986279999999999</v>
      </c>
      <c r="X2266">
        <v>0.97406309999999996</v>
      </c>
      <c r="Y2266">
        <v>-0.44819330000000002</v>
      </c>
      <c r="Z2266">
        <v>-2.917432E-2</v>
      </c>
      <c r="AA2266">
        <v>0.89346049999999999</v>
      </c>
      <c r="AB2266">
        <v>24</v>
      </c>
      <c r="AC2266">
        <v>139.6772</v>
      </c>
      <c r="AD2266">
        <v>4.284141</v>
      </c>
      <c r="AE2266">
        <v>-30.751299999999901</v>
      </c>
      <c r="AF2266">
        <v>-64.216734525347803</v>
      </c>
      <c r="AG2266">
        <v>4.284141</v>
      </c>
      <c r="AH2266">
        <v>127.651538478665</v>
      </c>
      <c r="AI2266">
        <v>88.282715603286306</v>
      </c>
      <c r="AJ2266">
        <v>116.705265431732</v>
      </c>
      <c r="AK2266">
        <v>142.958239123098</v>
      </c>
      <c r="AL2266">
        <v>79.638231540957307</v>
      </c>
      <c r="AM2266">
        <v>98.023144140744805</v>
      </c>
      <c r="AN2266">
        <v>0.99999999417752905</v>
      </c>
    </row>
    <row r="2267" spans="1:40" x14ac:dyDescent="0.25">
      <c r="A2267" t="str">
        <f>"20190303170807778"</f>
        <v>20190303170807778</v>
      </c>
      <c r="B2267" t="str">
        <f>"1551604087765452"</f>
        <v>1551604087765452</v>
      </c>
      <c r="C2267" t="s">
        <v>40</v>
      </c>
      <c r="D2267">
        <v>4.5605099999999998</v>
      </c>
      <c r="E2267">
        <v>0.37313639999999998</v>
      </c>
      <c r="F2267" t="s">
        <v>81</v>
      </c>
      <c r="G2267">
        <v>-346.93849999999998</v>
      </c>
      <c r="H2267">
        <v>5.5761379999999896</v>
      </c>
      <c r="I2267">
        <v>190.50839999999999</v>
      </c>
      <c r="J2267">
        <v>-487.68700000000001</v>
      </c>
      <c r="K2267">
        <v>1.125238</v>
      </c>
      <c r="L2267">
        <v>220.8374</v>
      </c>
      <c r="M2267">
        <v>0.78001239999999905</v>
      </c>
      <c r="N2267">
        <v>-1.067244E-2</v>
      </c>
      <c r="O2267">
        <v>-0.62567320000000004</v>
      </c>
      <c r="P2267">
        <v>0.84611979999999998</v>
      </c>
      <c r="Q2267">
        <v>0.17116579999999901</v>
      </c>
      <c r="R2267">
        <v>-0.50476120000000002</v>
      </c>
      <c r="S2267">
        <v>3.1302490000000001</v>
      </c>
      <c r="T2267">
        <v>9.8859909999999995E-2</v>
      </c>
      <c r="U2267">
        <v>-0.67671199999999998</v>
      </c>
      <c r="V2267">
        <v>-0.13761509999999999</v>
      </c>
      <c r="W2267">
        <v>0.18011050000000001</v>
      </c>
      <c r="X2267">
        <v>0.97397239999999996</v>
      </c>
      <c r="Y2267">
        <v>-0.4461212</v>
      </c>
      <c r="Z2267">
        <v>-2.9691240000000001E-2</v>
      </c>
      <c r="AA2267">
        <v>0.89447989999999999</v>
      </c>
      <c r="AB2267">
        <v>24</v>
      </c>
      <c r="AC2267">
        <v>140.74849999999901</v>
      </c>
      <c r="AD2267">
        <v>4.4508999999999901</v>
      </c>
      <c r="AE2267">
        <v>-30.329000000000001</v>
      </c>
      <c r="AF2267">
        <v>-64.347736569024093</v>
      </c>
      <c r="AG2267">
        <v>4.4508999999999901</v>
      </c>
      <c r="AH2267">
        <v>128.64599874555299</v>
      </c>
      <c r="AI2267">
        <v>88.227659257406501</v>
      </c>
      <c r="AJ2267">
        <v>116.573864372592</v>
      </c>
      <c r="AK2267">
        <v>143.9105093647</v>
      </c>
      <c r="AL2267">
        <v>79.623803523780794</v>
      </c>
      <c r="AM2267">
        <v>98.042234727863899</v>
      </c>
      <c r="AN2267">
        <v>0.999999971960009</v>
      </c>
    </row>
    <row r="2268" spans="1:40" x14ac:dyDescent="0.25">
      <c r="A2268" t="str">
        <f>"20190303170807801"</f>
        <v>20190303170807801</v>
      </c>
      <c r="B2268" t="str">
        <f>"1551604087794732"</f>
        <v>1551604087794732</v>
      </c>
      <c r="C2268" t="s">
        <v>40</v>
      </c>
      <c r="D2268">
        <v>4.5825829999999996</v>
      </c>
      <c r="E2268">
        <v>0.38322309999999998</v>
      </c>
      <c r="F2268" t="s">
        <v>85</v>
      </c>
      <c r="G2268">
        <v>-362.97649999999999</v>
      </c>
      <c r="H2268">
        <v>4.8467960000000003</v>
      </c>
      <c r="I2268">
        <v>194.3288</v>
      </c>
      <c r="J2268">
        <v>-487.49</v>
      </c>
      <c r="K2268">
        <v>1.1251139999999999</v>
      </c>
      <c r="L2268">
        <v>220.68960000000001</v>
      </c>
      <c r="M2268">
        <v>0.78439899999999996</v>
      </c>
      <c r="N2268">
        <v>-1.0557449999999999E-2</v>
      </c>
      <c r="O2268">
        <v>-0.62016660000000001</v>
      </c>
      <c r="P2268">
        <v>0.84903799999999996</v>
      </c>
      <c r="Q2268">
        <v>0.17196069999999999</v>
      </c>
      <c r="R2268">
        <v>-0.49956390000000001</v>
      </c>
      <c r="S2268">
        <v>3.1298520000000001</v>
      </c>
      <c r="T2268">
        <v>9.3402029999999997E-2</v>
      </c>
      <c r="U2268">
        <v>-0.66528319999999996</v>
      </c>
      <c r="V2268">
        <v>-0.1365854</v>
      </c>
      <c r="W2268">
        <v>0.18084120000000001</v>
      </c>
      <c r="X2268">
        <v>0.97398200000000001</v>
      </c>
      <c r="Y2268">
        <v>-0.44298100000000001</v>
      </c>
      <c r="Z2268">
        <v>-2.805643E-2</v>
      </c>
      <c r="AA2268">
        <v>0.89609189999999905</v>
      </c>
      <c r="AB2268">
        <v>24</v>
      </c>
      <c r="AC2268">
        <v>124.51349999999999</v>
      </c>
      <c r="AD2268">
        <v>3.7216819999999999</v>
      </c>
      <c r="AE2268">
        <v>-26.360800000000001</v>
      </c>
      <c r="AF2268">
        <v>-56.496575254083403</v>
      </c>
      <c r="AG2268">
        <v>3.7216819999999999</v>
      </c>
      <c r="AH2268">
        <v>113.92530052555099</v>
      </c>
      <c r="AI2268">
        <v>88.323623003709102</v>
      </c>
      <c r="AJ2268">
        <v>116.377224200055</v>
      </c>
      <c r="AK2268">
        <v>127.219055302995</v>
      </c>
      <c r="AL2268">
        <v>79.581239099021204</v>
      </c>
      <c r="AM2268">
        <v>97.982759927920995</v>
      </c>
      <c r="AN2268">
        <v>1.0000000237172999</v>
      </c>
    </row>
    <row r="2269" spans="1:40" x14ac:dyDescent="0.25">
      <c r="A2269" t="str">
        <f>"20190303170807826"</f>
        <v>20190303170807826</v>
      </c>
      <c r="B2269" t="str">
        <f>"1551604087815228"</f>
        <v>1551604087815228</v>
      </c>
      <c r="C2269" t="s">
        <v>40</v>
      </c>
      <c r="D2269">
        <v>4.597226</v>
      </c>
      <c r="E2269">
        <v>0.38425599999999999</v>
      </c>
      <c r="F2269" t="s">
        <v>82</v>
      </c>
      <c r="G2269">
        <v>-366.33499999999998</v>
      </c>
      <c r="H2269">
        <v>3.323674</v>
      </c>
      <c r="I2269">
        <v>192.64009999999999</v>
      </c>
      <c r="J2269">
        <v>-487.27420000000001</v>
      </c>
      <c r="K2269">
        <v>1.1249559999999901</v>
      </c>
      <c r="L2269">
        <v>220.52979999999999</v>
      </c>
      <c r="M2269">
        <v>0.78896160000000004</v>
      </c>
      <c r="N2269">
        <v>-1.041948E-2</v>
      </c>
      <c r="O2269">
        <v>-0.61435430000000002</v>
      </c>
      <c r="P2269">
        <v>0.852342499999999</v>
      </c>
      <c r="Q2269">
        <v>0.1723819</v>
      </c>
      <c r="R2269">
        <v>-0.49375829999999998</v>
      </c>
      <c r="S2269">
        <v>3.099701</v>
      </c>
      <c r="T2269">
        <v>5.624962E-2</v>
      </c>
      <c r="U2269">
        <v>-0.7176361</v>
      </c>
      <c r="V2269">
        <v>-0.1359186</v>
      </c>
      <c r="W2269">
        <v>0.1811845</v>
      </c>
      <c r="X2269">
        <v>0.97401150000000003</v>
      </c>
      <c r="Y2269">
        <v>-0.42033870000000001</v>
      </c>
      <c r="Z2269">
        <v>-1.8522879999999999E-2</v>
      </c>
      <c r="AA2269">
        <v>0.90717820000000005</v>
      </c>
      <c r="AB2269">
        <v>24</v>
      </c>
      <c r="AC2269">
        <v>120.9392</v>
      </c>
      <c r="AD2269">
        <v>2.198718</v>
      </c>
      <c r="AE2269">
        <v>-27.889700000000001</v>
      </c>
      <c r="AF2269">
        <v>-52.282041597988801</v>
      </c>
      <c r="AG2269">
        <v>2.198718</v>
      </c>
      <c r="AH2269">
        <v>112.521328720678</v>
      </c>
      <c r="AI2269">
        <v>88.984769955746899</v>
      </c>
      <c r="AJ2269">
        <v>114.92152093059499</v>
      </c>
      <c r="AK2269">
        <v>124.09389852673699</v>
      </c>
      <c r="AL2269">
        <v>79.561239302392906</v>
      </c>
      <c r="AM2269">
        <v>97.944049894301301</v>
      </c>
      <c r="AN2269">
        <v>1.0000000454992199</v>
      </c>
    </row>
    <row r="2270" spans="1:40" x14ac:dyDescent="0.25">
      <c r="A2270" t="str">
        <f>"20190303170807846"</f>
        <v>20190303170807846</v>
      </c>
      <c r="B2270" t="str">
        <f>"1551604087834749"</f>
        <v>1551604087834749</v>
      </c>
      <c r="C2270" t="s">
        <v>40</v>
      </c>
      <c r="D2270">
        <v>4.6237890000000004</v>
      </c>
      <c r="E2270">
        <v>0.38515080000000002</v>
      </c>
      <c r="F2270" t="s">
        <v>82</v>
      </c>
      <c r="G2270">
        <v>-366.33499999999998</v>
      </c>
      <c r="H2270">
        <v>3.1576200000000001</v>
      </c>
      <c r="I2270">
        <v>193.0712</v>
      </c>
      <c r="J2270">
        <v>-487.10419999999999</v>
      </c>
      <c r="K2270">
        <v>1.1247990000000001</v>
      </c>
      <c r="L2270">
        <v>220.40539999999999</v>
      </c>
      <c r="M2270">
        <v>0.79237559999999996</v>
      </c>
      <c r="N2270">
        <v>-1.0303649999999999E-2</v>
      </c>
      <c r="O2270">
        <v>-0.60994669999999995</v>
      </c>
      <c r="P2270">
        <v>0.85463650000000002</v>
      </c>
      <c r="Q2270">
        <v>0.17260590000000001</v>
      </c>
      <c r="R2270">
        <v>-0.48969770000000001</v>
      </c>
      <c r="S2270">
        <v>3.1013489999999999</v>
      </c>
      <c r="T2270">
        <v>5.2125690000000002E-2</v>
      </c>
      <c r="U2270">
        <v>-0.70414730000000003</v>
      </c>
      <c r="V2270">
        <v>-0.13503370000000001</v>
      </c>
      <c r="W2270">
        <v>0.18134910000000001</v>
      </c>
      <c r="X2270">
        <v>0.97410390000000002</v>
      </c>
      <c r="Y2270">
        <v>-0.41916360000000003</v>
      </c>
      <c r="Z2270">
        <v>-1.7339940000000002E-2</v>
      </c>
      <c r="AA2270">
        <v>0.90774509999999997</v>
      </c>
      <c r="AB2270">
        <v>24</v>
      </c>
      <c r="AC2270">
        <v>120.7692</v>
      </c>
      <c r="AD2270">
        <v>2.03282099999999</v>
      </c>
      <c r="AE2270">
        <v>-27.3341999999999</v>
      </c>
      <c r="AF2270">
        <v>-51.992563539552698</v>
      </c>
      <c r="AG2270">
        <v>2.03282099999999</v>
      </c>
      <c r="AH2270">
        <v>112.342646009777</v>
      </c>
      <c r="AI2270">
        <v>89.059204363152105</v>
      </c>
      <c r="AJ2270">
        <v>114.83486211190301</v>
      </c>
      <c r="AK2270">
        <v>123.80722570638</v>
      </c>
      <c r="AL2270">
        <v>79.551649094782803</v>
      </c>
      <c r="AM2270">
        <v>97.892244731331502</v>
      </c>
      <c r="AN2270">
        <v>1.0000000021008499</v>
      </c>
    </row>
    <row r="2271" spans="1:40" x14ac:dyDescent="0.25">
      <c r="A2271" t="str">
        <f>"20190303170807866"</f>
        <v>20190303170807866</v>
      </c>
      <c r="B2271" t="str">
        <f>"1551604087855244"</f>
        <v>1551604087855244</v>
      </c>
      <c r="C2271" t="s">
        <v>40</v>
      </c>
      <c r="D2271">
        <v>4.6457579999999998</v>
      </c>
      <c r="E2271">
        <v>0.386042</v>
      </c>
      <c r="F2271" t="s">
        <v>82</v>
      </c>
      <c r="G2271">
        <v>-366.33499999999998</v>
      </c>
      <c r="H2271">
        <v>2.9996909999999999</v>
      </c>
      <c r="I2271">
        <v>193.3313</v>
      </c>
      <c r="J2271">
        <v>-486.92610000000002</v>
      </c>
      <c r="K2271">
        <v>1.1246339999999999</v>
      </c>
      <c r="L2271">
        <v>220.27629999999999</v>
      </c>
      <c r="M2271">
        <v>0.79578909999999903</v>
      </c>
      <c r="N2271">
        <v>-1.017755E-2</v>
      </c>
      <c r="O2271">
        <v>-0.60548849999999999</v>
      </c>
      <c r="P2271">
        <v>0.8570873</v>
      </c>
      <c r="Q2271">
        <v>0.1720004</v>
      </c>
      <c r="R2271">
        <v>-0.48561080000000001</v>
      </c>
      <c r="S2271">
        <v>3.1020509999999999</v>
      </c>
      <c r="T2271">
        <v>4.8158409999999999E-2</v>
      </c>
      <c r="U2271">
        <v>-0.69541929999999996</v>
      </c>
      <c r="V2271">
        <v>-0.13421629999999901</v>
      </c>
      <c r="W2271">
        <v>0.18067849999999999</v>
      </c>
      <c r="X2271">
        <v>0.97434149999999997</v>
      </c>
      <c r="Y2271">
        <v>-0.41656520000000002</v>
      </c>
      <c r="Z2271">
        <v>-1.6196740000000001E-2</v>
      </c>
      <c r="AA2271">
        <v>0.90896149999999998</v>
      </c>
      <c r="AB2271">
        <v>24</v>
      </c>
      <c r="AC2271">
        <v>120.5911</v>
      </c>
      <c r="AD2271">
        <v>1.875057</v>
      </c>
      <c r="AE2271">
        <v>-26.945</v>
      </c>
      <c r="AF2271">
        <v>-51.564779251804701</v>
      </c>
      <c r="AG2271">
        <v>1.875057</v>
      </c>
      <c r="AH2271">
        <v>112.259924797145</v>
      </c>
      <c r="AI2271">
        <v>89.130420739412003</v>
      </c>
      <c r="AJ2271">
        <v>114.670918686886</v>
      </c>
      <c r="AK2271">
        <v>123.550528179775</v>
      </c>
      <c r="AL2271">
        <v>79.590717499229498</v>
      </c>
      <c r="AM2271">
        <v>97.843177958837302</v>
      </c>
      <c r="AN2271">
        <v>1.00000004708509</v>
      </c>
    </row>
    <row r="2272" spans="1:40" x14ac:dyDescent="0.25">
      <c r="A2272" t="str">
        <f>"20190303170807893"</f>
        <v>20190303170807893</v>
      </c>
      <c r="B2272" t="str">
        <f>"1551604087884523"</f>
        <v>1551604087884523</v>
      </c>
      <c r="C2272" t="s">
        <v>40</v>
      </c>
      <c r="D2272">
        <v>4.6605349999999897</v>
      </c>
      <c r="E2272">
        <v>0.38709199999999999</v>
      </c>
      <c r="F2272" t="s">
        <v>82</v>
      </c>
      <c r="G2272">
        <v>-366.33499999999998</v>
      </c>
      <c r="H2272">
        <v>2.8791910000000001</v>
      </c>
      <c r="I2272">
        <v>193.58029999999999</v>
      </c>
      <c r="J2272">
        <v>-486.7047</v>
      </c>
      <c r="K2272">
        <v>1.1244479999999999</v>
      </c>
      <c r="L2272">
        <v>220.11750000000001</v>
      </c>
      <c r="M2272">
        <v>0.79981329999999995</v>
      </c>
      <c r="N2272">
        <v>-1.001604E-2</v>
      </c>
      <c r="O2272">
        <v>-0.60016569999999902</v>
      </c>
      <c r="P2272">
        <v>0.86052499999999998</v>
      </c>
      <c r="Q2272">
        <v>0.1713645</v>
      </c>
      <c r="R2272">
        <v>-0.47972029999999899</v>
      </c>
      <c r="S2272">
        <v>3.1020509999999999</v>
      </c>
      <c r="T2272">
        <v>4.5134069999999998E-2</v>
      </c>
      <c r="U2272">
        <v>-0.68672180000000005</v>
      </c>
      <c r="V2272">
        <v>-0.13439139999999999</v>
      </c>
      <c r="W2272">
        <v>0.17993979999999901</v>
      </c>
      <c r="X2272">
        <v>0.97445400000000004</v>
      </c>
      <c r="Y2272">
        <v>-0.41294409999999998</v>
      </c>
      <c r="Z2272">
        <v>-1.5260340000000001E-2</v>
      </c>
      <c r="AA2272">
        <v>0.91062849999999995</v>
      </c>
      <c r="AB2272">
        <v>24</v>
      </c>
      <c r="AC2272">
        <v>120.36969999999999</v>
      </c>
      <c r="AD2272">
        <v>1.7547429999999999</v>
      </c>
      <c r="AE2272">
        <v>-26.537199999999999</v>
      </c>
      <c r="AF2272">
        <v>-51.009168316183903</v>
      </c>
      <c r="AG2272">
        <v>1.7547429999999999</v>
      </c>
      <c r="AH2272">
        <v>112.182868724348</v>
      </c>
      <c r="AI2272">
        <v>89.184222376153599</v>
      </c>
      <c r="AJ2272">
        <v>114.451131208251</v>
      </c>
      <c r="AK2272">
        <v>123.247760265772</v>
      </c>
      <c r="AL2272">
        <v>79.633746538912106</v>
      </c>
      <c r="AM2272">
        <v>97.852387313009899</v>
      </c>
      <c r="AN2272">
        <v>0.99999998906699905</v>
      </c>
    </row>
    <row r="2273" spans="1:40" x14ac:dyDescent="0.25">
      <c r="A2273" t="str">
        <f>"20190303170807935"</f>
        <v>20190303170807935</v>
      </c>
      <c r="B2273" t="str">
        <f>"1551604087924540"</f>
        <v>1551604087924540</v>
      </c>
      <c r="C2273" t="s">
        <v>40</v>
      </c>
      <c r="D2273">
        <v>4.7054109999999998</v>
      </c>
      <c r="E2273">
        <v>0.39484999999999998</v>
      </c>
      <c r="F2273" t="s">
        <v>82</v>
      </c>
      <c r="G2273">
        <v>-366.33499999999998</v>
      </c>
      <c r="H2273">
        <v>2.634004</v>
      </c>
      <c r="I2273">
        <v>194.0094</v>
      </c>
      <c r="J2273">
        <v>-486.3306</v>
      </c>
      <c r="K2273">
        <v>1.124212</v>
      </c>
      <c r="L2273">
        <v>219.85319999999999</v>
      </c>
      <c r="M2273">
        <v>0.806141</v>
      </c>
      <c r="N2273">
        <v>-9.7535220000000006E-3</v>
      </c>
      <c r="O2273">
        <v>-0.59164309999999998</v>
      </c>
      <c r="P2273">
        <v>0.86635799999999996</v>
      </c>
      <c r="Q2273">
        <v>0.1714852</v>
      </c>
      <c r="R2273">
        <v>-0.4690589</v>
      </c>
      <c r="S2273">
        <v>3.1032709999999999</v>
      </c>
      <c r="T2273">
        <v>3.8918500000000002E-2</v>
      </c>
      <c r="U2273">
        <v>-0.67309569999999996</v>
      </c>
      <c r="V2273">
        <v>-0.13597690000000001</v>
      </c>
      <c r="W2273">
        <v>0.17985479999999901</v>
      </c>
      <c r="X2273">
        <v>0.9742497</v>
      </c>
      <c r="Y2273">
        <v>-0.4071959</v>
      </c>
      <c r="Z2273">
        <v>-1.345056E-2</v>
      </c>
      <c r="AA2273">
        <v>0.91324179999999999</v>
      </c>
      <c r="AB2273">
        <v>24</v>
      </c>
      <c r="AC2273">
        <v>119.9956</v>
      </c>
      <c r="AD2273">
        <v>1.509792</v>
      </c>
      <c r="AE2273">
        <v>-25.843799999999899</v>
      </c>
      <c r="AF2273">
        <v>-50.155619999988197</v>
      </c>
      <c r="AG2273">
        <v>1.509792</v>
      </c>
      <c r="AH2273">
        <v>112.01206136318299</v>
      </c>
      <c r="AI2273">
        <v>89.295189492109301</v>
      </c>
      <c r="AJ2273">
        <v>114.121394573481</v>
      </c>
      <c r="AK2273">
        <v>122.737800128142</v>
      </c>
      <c r="AL2273">
        <v>79.638697275544004</v>
      </c>
      <c r="AM2273">
        <v>97.945495540855305</v>
      </c>
      <c r="AN2273">
        <v>0.999999972183369</v>
      </c>
    </row>
    <row r="2274" spans="1:40" x14ac:dyDescent="0.25">
      <c r="A2274" t="str">
        <f>"20190303170807957"</f>
        <v>20190303170807957</v>
      </c>
      <c r="B2274" t="str">
        <f>"1551604087945036"</f>
        <v>1551604087945036</v>
      </c>
      <c r="C2274" t="s">
        <v>40</v>
      </c>
      <c r="D2274">
        <v>4.7271369999999999</v>
      </c>
      <c r="E2274">
        <v>0.39572259999999998</v>
      </c>
      <c r="F2274" t="s">
        <v>82</v>
      </c>
      <c r="G2274">
        <v>-366.33499999999998</v>
      </c>
      <c r="H2274">
        <v>1.5281819999999999</v>
      </c>
      <c r="I2274">
        <v>192.94130000000001</v>
      </c>
      <c r="J2274">
        <v>-486.13229999999999</v>
      </c>
      <c r="K2274">
        <v>1.124144</v>
      </c>
      <c r="L2274">
        <v>219.71520000000001</v>
      </c>
      <c r="M2274">
        <v>0.80930970000000002</v>
      </c>
      <c r="N2274">
        <v>-9.6320940000000008E-3</v>
      </c>
      <c r="O2274">
        <v>-0.58730349999999998</v>
      </c>
      <c r="P2274">
        <v>0.86864449999999904</v>
      </c>
      <c r="Q2274">
        <v>0.17304610000000001</v>
      </c>
      <c r="R2274">
        <v>-0.46423300000000001</v>
      </c>
      <c r="S2274">
        <v>3.0859990000000002</v>
      </c>
      <c r="T2274">
        <v>1.0389570000000001E-2</v>
      </c>
      <c r="U2274">
        <v>-0.69210819999999995</v>
      </c>
      <c r="V2274">
        <v>-0.13596639999999999</v>
      </c>
      <c r="W2274">
        <v>0.18131340000000001</v>
      </c>
      <c r="X2274">
        <v>0.97398079999999998</v>
      </c>
      <c r="Y2274">
        <v>-0.39593309999999998</v>
      </c>
      <c r="Z2274">
        <v>-6.5260730000000003E-3</v>
      </c>
      <c r="AA2274">
        <v>0.91825619999999997</v>
      </c>
      <c r="AB2274">
        <v>24</v>
      </c>
      <c r="AC2274">
        <v>119.79730000000001</v>
      </c>
      <c r="AD2274">
        <v>0.40403799999999901</v>
      </c>
      <c r="AE2274">
        <v>-26.773900000000001</v>
      </c>
      <c r="AF2274">
        <v>-48.690718888134498</v>
      </c>
      <c r="AG2274">
        <v>0.40403799999999901</v>
      </c>
      <c r="AH2274">
        <v>112.68150786420701</v>
      </c>
      <c r="AI2274">
        <v>89.811410811327306</v>
      </c>
      <c r="AJ2274">
        <v>113.369618099356</v>
      </c>
      <c r="AK2274">
        <v>122.75207357556199</v>
      </c>
      <c r="AL2274">
        <v>79.553729064334604</v>
      </c>
      <c r="AM2274">
        <v>97.947055264858406</v>
      </c>
      <c r="AN2274">
        <v>1.00000000485858</v>
      </c>
    </row>
    <row r="2275" spans="1:40" x14ac:dyDescent="0.25">
      <c r="A2275" t="str">
        <f>"20190303170807981"</f>
        <v>20190303170807981</v>
      </c>
      <c r="B2275" t="str">
        <f>"1551604087975292"</f>
        <v>1551604087975292</v>
      </c>
      <c r="C2275" t="s">
        <v>40</v>
      </c>
      <c r="D2275">
        <v>4.7627930000000003</v>
      </c>
      <c r="E2275">
        <v>0.39668589999999998</v>
      </c>
      <c r="F2275" t="s">
        <v>82</v>
      </c>
      <c r="G2275">
        <v>-366.33499999999998</v>
      </c>
      <c r="H2275">
        <v>1.633162</v>
      </c>
      <c r="I2275">
        <v>193.2654</v>
      </c>
      <c r="J2275">
        <v>-485.9239</v>
      </c>
      <c r="K2275">
        <v>1.1241030000000001</v>
      </c>
      <c r="L2275">
        <v>219.57159999999999</v>
      </c>
      <c r="M2275">
        <v>0.812536699999999</v>
      </c>
      <c r="N2275">
        <v>-9.5130800000000001E-3</v>
      </c>
      <c r="O2275">
        <v>-0.58283249999999998</v>
      </c>
      <c r="P2275">
        <v>0.87092199999999997</v>
      </c>
      <c r="Q2275">
        <v>0.1742744</v>
      </c>
      <c r="R2275">
        <v>-0.45948159999999999</v>
      </c>
      <c r="S2275">
        <v>3.0868229999999999</v>
      </c>
      <c r="T2275">
        <v>1.3116239999999999E-2</v>
      </c>
      <c r="U2275">
        <v>-0.68153379999999997</v>
      </c>
      <c r="V2275">
        <v>-0.13576579999999999</v>
      </c>
      <c r="W2275">
        <v>0.1824374</v>
      </c>
      <c r="X2275">
        <v>0.97379890000000002</v>
      </c>
      <c r="Y2275">
        <v>-0.39391340000000002</v>
      </c>
      <c r="Z2275">
        <v>-7.0682080000000003E-3</v>
      </c>
      <c r="AA2275">
        <v>0.91912039999999995</v>
      </c>
      <c r="AB2275">
        <v>24</v>
      </c>
      <c r="AC2275">
        <v>119.5889</v>
      </c>
      <c r="AD2275">
        <v>0.50905899999999904</v>
      </c>
      <c r="AE2275">
        <v>-26.306199999999901</v>
      </c>
      <c r="AF2275">
        <v>-48.326893537169703</v>
      </c>
      <c r="AG2275">
        <v>0.50905899999999904</v>
      </c>
      <c r="AH2275">
        <v>112.505618766363</v>
      </c>
      <c r="AI2275">
        <v>89.7617988038877</v>
      </c>
      <c r="AJ2275">
        <v>113.24598667190099</v>
      </c>
      <c r="AK2275">
        <v>122.446976418451</v>
      </c>
      <c r="AL2275">
        <v>79.488236529668995</v>
      </c>
      <c r="AM2275">
        <v>97.936943347952393</v>
      </c>
      <c r="AN2275">
        <v>1.0000000275048</v>
      </c>
    </row>
    <row r="2276" spans="1:40" x14ac:dyDescent="0.25">
      <c r="A2276" t="str">
        <f>"20190303170808003"</f>
        <v>20190303170808003</v>
      </c>
      <c r="B2276" t="str">
        <f>"1551604087994812"</f>
        <v>1551604087994812</v>
      </c>
      <c r="C2276" t="s">
        <v>40</v>
      </c>
      <c r="D2276">
        <v>4.8029029999999997</v>
      </c>
      <c r="E2276">
        <v>0.39705960000000001</v>
      </c>
      <c r="F2276" t="s">
        <v>82</v>
      </c>
      <c r="G2276">
        <v>-366.4674</v>
      </c>
      <c r="H2276">
        <v>1.7380389999999999</v>
      </c>
      <c r="I2276">
        <v>193.61689999999999</v>
      </c>
      <c r="J2276">
        <v>-485.71640000000002</v>
      </c>
      <c r="K2276">
        <v>1.1240650000000001</v>
      </c>
      <c r="L2276">
        <v>219.43020000000001</v>
      </c>
      <c r="M2276">
        <v>0.81565829999999995</v>
      </c>
      <c r="N2276">
        <v>-9.3958710000000001E-3</v>
      </c>
      <c r="O2276">
        <v>-0.57845769999999996</v>
      </c>
      <c r="P2276">
        <v>0.8734883</v>
      </c>
      <c r="Q2276">
        <v>0.17404430000000001</v>
      </c>
      <c r="R2276">
        <v>-0.45467220000000003</v>
      </c>
      <c r="S2276">
        <v>3.0875240000000002</v>
      </c>
      <c r="T2276">
        <v>1.5868429999999999E-2</v>
      </c>
      <c r="U2276">
        <v>-0.67083740000000003</v>
      </c>
      <c r="V2276">
        <v>-0.1359147</v>
      </c>
      <c r="W2276">
        <v>0.18209980000000001</v>
      </c>
      <c r="X2276">
        <v>0.97384130000000002</v>
      </c>
      <c r="Y2276">
        <v>-0.3920498</v>
      </c>
      <c r="Z2276">
        <v>-7.6118419999999997E-3</v>
      </c>
      <c r="AA2276">
        <v>0.91991250000000002</v>
      </c>
      <c r="AB2276">
        <v>24</v>
      </c>
      <c r="AC2276">
        <v>119.249</v>
      </c>
      <c r="AD2276">
        <v>0.61397400000000002</v>
      </c>
      <c r="AE2276">
        <v>-25.813300000000002</v>
      </c>
      <c r="AF2276">
        <v>-47.926570569203498</v>
      </c>
      <c r="AG2276">
        <v>0.61397400000000002</v>
      </c>
      <c r="AH2276">
        <v>112.200447378143</v>
      </c>
      <c r="AI2276">
        <v>89.711675565746006</v>
      </c>
      <c r="AJ2276">
        <v>113.129815340443</v>
      </c>
      <c r="AK2276">
        <v>122.00931735918</v>
      </c>
      <c r="AL2276">
        <v>79.507908940903903</v>
      </c>
      <c r="AM2276">
        <v>97.945195488850203</v>
      </c>
      <c r="AN2276">
        <v>1.0000000102109099</v>
      </c>
    </row>
    <row r="2277" spans="1:40" x14ac:dyDescent="0.25">
      <c r="A2277" t="str">
        <f>"20190303170808024"</f>
        <v>20190303170808024</v>
      </c>
      <c r="B2277" t="str">
        <f>"1551604088015308"</f>
        <v>1551604088015308</v>
      </c>
      <c r="C2277" t="s">
        <v>40</v>
      </c>
      <c r="D2277">
        <v>4.7874530000000002</v>
      </c>
      <c r="E2277">
        <v>0.403974</v>
      </c>
      <c r="F2277" t="s">
        <v>82</v>
      </c>
      <c r="G2277">
        <v>-366.4674</v>
      </c>
      <c r="H2277">
        <v>1.689881</v>
      </c>
      <c r="I2277">
        <v>194.1311</v>
      </c>
      <c r="J2277">
        <v>-485.53059999999999</v>
      </c>
      <c r="K2277">
        <v>1.124036</v>
      </c>
      <c r="L2277">
        <v>219.3049</v>
      </c>
      <c r="M2277">
        <v>0.81839319999999904</v>
      </c>
      <c r="N2277">
        <v>-9.2937079999999995E-3</v>
      </c>
      <c r="O2277">
        <v>-0.57458359999999997</v>
      </c>
      <c r="P2277">
        <v>0.87600579999999995</v>
      </c>
      <c r="Q2277">
        <v>0.17315269999999999</v>
      </c>
      <c r="R2277">
        <v>-0.45014670000000001</v>
      </c>
      <c r="S2277">
        <v>3.0903320000000001</v>
      </c>
      <c r="T2277">
        <v>1.466346E-2</v>
      </c>
      <c r="U2277">
        <v>-0.6556244</v>
      </c>
      <c r="V2277">
        <v>-0.1364206</v>
      </c>
      <c r="W2277">
        <v>0.18111179999999999</v>
      </c>
      <c r="X2277">
        <v>0.97395480000000001</v>
      </c>
      <c r="Y2277">
        <v>-0.39219389999999998</v>
      </c>
      <c r="Z2277">
        <v>-7.2292399999999996E-3</v>
      </c>
      <c r="AA2277">
        <v>0.91985419999999996</v>
      </c>
      <c r="AB2277">
        <v>24</v>
      </c>
      <c r="AC2277">
        <v>119.06319999999999</v>
      </c>
      <c r="AD2277">
        <v>0.56584500000000004</v>
      </c>
      <c r="AE2277">
        <v>-25.1738</v>
      </c>
      <c r="AF2277">
        <v>-47.810723787912501</v>
      </c>
      <c r="AG2277">
        <v>0.56584500000000004</v>
      </c>
      <c r="AH2277">
        <v>111.90737308682399</v>
      </c>
      <c r="AI2277">
        <v>89.733588922518905</v>
      </c>
      <c r="AJ2277">
        <v>113.133859474112</v>
      </c>
      <c r="AK2277">
        <v>121.694065758696</v>
      </c>
      <c r="AL2277">
        <v>79.565474385582206</v>
      </c>
      <c r="AM2277">
        <v>97.973471909551805</v>
      </c>
      <c r="AN2277">
        <v>1.00000000832332</v>
      </c>
    </row>
    <row r="2278" spans="1:40" x14ac:dyDescent="0.25">
      <c r="A2278" t="str">
        <f>"20190303170808068"</f>
        <v>20190303170808068</v>
      </c>
      <c r="B2278" t="str">
        <f>"1551604088065084"</f>
        <v>1551604088065084</v>
      </c>
      <c r="C2278" t="s">
        <v>40</v>
      </c>
      <c r="D2278">
        <v>4.8132349999999997</v>
      </c>
      <c r="E2278">
        <v>0.40360109999999999</v>
      </c>
      <c r="F2278" t="s">
        <v>86</v>
      </c>
      <c r="G2278">
        <v>-377.17430000000002</v>
      </c>
      <c r="H2278">
        <v>0.73260319999999901</v>
      </c>
      <c r="I2278">
        <v>194.98159999999999</v>
      </c>
      <c r="J2278">
        <v>-485.12950000000001</v>
      </c>
      <c r="K2278">
        <v>1.1239920000000001</v>
      </c>
      <c r="L2278">
        <v>219.03829999999999</v>
      </c>
      <c r="M2278">
        <v>0.82416219999999996</v>
      </c>
      <c r="N2278">
        <v>-9.0699330000000005E-3</v>
      </c>
      <c r="O2278">
        <v>-0.56628120000000004</v>
      </c>
      <c r="P2278">
        <v>0.8802027</v>
      </c>
      <c r="Q2278">
        <v>0.17357609999999901</v>
      </c>
      <c r="R2278">
        <v>-0.4417179</v>
      </c>
      <c r="S2278">
        <v>3.0724179999999999</v>
      </c>
      <c r="T2278">
        <v>-1.109898E-2</v>
      </c>
      <c r="U2278">
        <v>-0.68968200000000002</v>
      </c>
      <c r="V2278">
        <v>-0.1358694</v>
      </c>
      <c r="W2278">
        <v>0.1813266</v>
      </c>
      <c r="X2278">
        <v>0.97399190000000002</v>
      </c>
      <c r="Y2278">
        <v>-0.37201719999999999</v>
      </c>
      <c r="Z2278">
        <v>-1.137482E-3</v>
      </c>
      <c r="AA2278">
        <v>0.92822519999999997</v>
      </c>
      <c r="AB2278">
        <v>25</v>
      </c>
      <c r="AC2278">
        <v>107.9552</v>
      </c>
      <c r="AD2278">
        <v>-0.39138879999999998</v>
      </c>
      <c r="AE2278">
        <v>-24.056699999999999</v>
      </c>
      <c r="AF2278">
        <v>-41.307559397754602</v>
      </c>
      <c r="AG2278">
        <v>-0.39138879999999998</v>
      </c>
      <c r="AH2278">
        <v>102.59838787183701</v>
      </c>
      <c r="AI2278">
        <v>90.202752993889902</v>
      </c>
      <c r="AJ2278">
        <v>111.930411865849</v>
      </c>
      <c r="AK2278">
        <v>110.60242692857901</v>
      </c>
      <c r="AL2278">
        <v>79.552960230366594</v>
      </c>
      <c r="AM2278">
        <v>97.941368753630698</v>
      </c>
      <c r="AN2278">
        <v>1.0000000254947601</v>
      </c>
    </row>
    <row r="2279" spans="1:40" x14ac:dyDescent="0.25">
      <c r="A2279" t="str">
        <f>"20190303170808093"</f>
        <v>20190303170808093</v>
      </c>
      <c r="B2279" t="str">
        <f>"1551604088084604"</f>
        <v>1551604088084604</v>
      </c>
      <c r="C2279" t="s">
        <v>40</v>
      </c>
      <c r="D2279">
        <v>4.8303690000000001</v>
      </c>
      <c r="E2279">
        <v>0.40335070000000001</v>
      </c>
      <c r="F2279" t="s">
        <v>83</v>
      </c>
      <c r="G2279">
        <v>-368.69580000000002</v>
      </c>
      <c r="H2279">
        <v>0.85589359999999903</v>
      </c>
      <c r="I2279">
        <v>194.136</v>
      </c>
      <c r="J2279">
        <v>-484.90570000000002</v>
      </c>
      <c r="K2279">
        <v>1.1239889999999999</v>
      </c>
      <c r="L2279">
        <v>218.8922</v>
      </c>
      <c r="M2279">
        <v>0.82731589999999999</v>
      </c>
      <c r="N2279">
        <v>-8.9472279999999998E-3</v>
      </c>
      <c r="O2279">
        <v>-0.561666</v>
      </c>
      <c r="P2279">
        <v>0.88231340000000003</v>
      </c>
      <c r="Q2279">
        <v>0.17330519999999999</v>
      </c>
      <c r="R2279">
        <v>-0.43759480000000001</v>
      </c>
      <c r="S2279">
        <v>3.079224</v>
      </c>
      <c r="T2279">
        <v>-7.0898530000000001E-3</v>
      </c>
      <c r="U2279">
        <v>-0.65856930000000002</v>
      </c>
      <c r="V2279">
        <v>-0.13501340000000001</v>
      </c>
      <c r="W2279">
        <v>0.18093970000000001</v>
      </c>
      <c r="X2279">
        <v>0.97418280000000002</v>
      </c>
      <c r="Y2279">
        <v>-0.3762123</v>
      </c>
      <c r="Z2279">
        <v>-1.951478E-3</v>
      </c>
      <c r="AA2279">
        <v>0.9265314</v>
      </c>
      <c r="AB2279">
        <v>25</v>
      </c>
      <c r="AC2279">
        <v>116.2099</v>
      </c>
      <c r="AD2279">
        <v>-0.26809539999999998</v>
      </c>
      <c r="AE2279">
        <v>-24.7562</v>
      </c>
      <c r="AF2279">
        <v>-44.791508890477303</v>
      </c>
      <c r="AG2279">
        <v>-0.26809539999999998</v>
      </c>
      <c r="AH2279">
        <v>110.050839517811</v>
      </c>
      <c r="AI2279">
        <v>90.129280455653401</v>
      </c>
      <c r="AJ2279">
        <v>112.146688152694</v>
      </c>
      <c r="AK2279">
        <v>118.81724800046599</v>
      </c>
      <c r="AL2279">
        <v>79.575500135412199</v>
      </c>
      <c r="AM2279">
        <v>97.890442160084305</v>
      </c>
      <c r="AN2279">
        <v>0.99999996051574402</v>
      </c>
    </row>
    <row r="2280" spans="1:40" x14ac:dyDescent="0.25">
      <c r="A2280" t="str">
        <f>"20190303170808135"</f>
        <v>20190303170808135</v>
      </c>
      <c r="B2280" t="str">
        <f>"1551604088124620"</f>
        <v>1551604088124620</v>
      </c>
      <c r="C2280" t="s">
        <v>40</v>
      </c>
      <c r="D2280">
        <v>4.8598879999999998</v>
      </c>
      <c r="E2280">
        <v>0.40370119999999998</v>
      </c>
      <c r="F2280" t="s">
        <v>83</v>
      </c>
      <c r="G2280">
        <v>-368.62740000000002</v>
      </c>
      <c r="H2280">
        <v>0.95276260000000002</v>
      </c>
      <c r="I2280">
        <v>194.65989999999999</v>
      </c>
      <c r="J2280">
        <v>-484.50779999999997</v>
      </c>
      <c r="K2280">
        <v>1.1239939999999999</v>
      </c>
      <c r="L2280">
        <v>218.63640000000001</v>
      </c>
      <c r="M2280">
        <v>0.8328295</v>
      </c>
      <c r="N2280">
        <v>-8.7196210000000003E-3</v>
      </c>
      <c r="O2280">
        <v>-0.55346079999999998</v>
      </c>
      <c r="P2280">
        <v>0.88695900000000005</v>
      </c>
      <c r="Q2280">
        <v>0.17180879999999901</v>
      </c>
      <c r="R2280">
        <v>-0.42870239999999998</v>
      </c>
      <c r="S2280">
        <v>3.0824579999999999</v>
      </c>
      <c r="T2280">
        <v>-4.5387739999999998E-3</v>
      </c>
      <c r="U2280">
        <v>-0.64237979999999995</v>
      </c>
      <c r="V2280">
        <v>-0.1353451</v>
      </c>
      <c r="W2280">
        <v>0.17920520000000001</v>
      </c>
      <c r="X2280">
        <v>0.97445740000000003</v>
      </c>
      <c r="Y2280">
        <v>-0.37190610000000002</v>
      </c>
      <c r="Z2280">
        <v>-2.3960100000000001E-3</v>
      </c>
      <c r="AA2280">
        <v>0.92826719999999896</v>
      </c>
      <c r="AB2280">
        <v>25</v>
      </c>
      <c r="AC2280">
        <v>115.880399999999</v>
      </c>
      <c r="AD2280">
        <v>-0.17123140000000001</v>
      </c>
      <c r="AE2280">
        <v>-23.976500000000001</v>
      </c>
      <c r="AF2280">
        <v>-44.168512022731001</v>
      </c>
      <c r="AG2280">
        <v>-0.17123140000000001</v>
      </c>
      <c r="AH2280">
        <v>109.782619580274</v>
      </c>
      <c r="AI2280">
        <v>90.082907522237306</v>
      </c>
      <c r="AJ2280">
        <v>111.916254504287</v>
      </c>
      <c r="AK2280">
        <v>118.334738502275</v>
      </c>
      <c r="AL2280">
        <v>79.676531741159394</v>
      </c>
      <c r="AM2280">
        <v>97.907381584896996</v>
      </c>
      <c r="AN2280">
        <v>1.0000000121079</v>
      </c>
    </row>
    <row r="2281" spans="1:40" x14ac:dyDescent="0.25">
      <c r="A2281" t="str">
        <f>"20190303170808157"</f>
        <v>20190303170808157</v>
      </c>
      <c r="B2281" t="str">
        <f>"1551604088145117"</f>
        <v>1551604088145117</v>
      </c>
      <c r="C2281" t="s">
        <v>40</v>
      </c>
      <c r="D2281">
        <v>4.8678379999999999</v>
      </c>
      <c r="E2281">
        <v>0.40406979999999998</v>
      </c>
      <c r="F2281" t="s">
        <v>83</v>
      </c>
      <c r="G2281">
        <v>-368.77510000000001</v>
      </c>
      <c r="H2281">
        <v>0.74333289999999996</v>
      </c>
      <c r="I2281">
        <v>195.6103</v>
      </c>
      <c r="J2281">
        <v>-484.30149999999998</v>
      </c>
      <c r="K2281">
        <v>1.124009</v>
      </c>
      <c r="L2281">
        <v>218.5061</v>
      </c>
      <c r="M2281">
        <v>0.83564340000000004</v>
      </c>
      <c r="N2281">
        <v>-8.5993019999999996E-3</v>
      </c>
      <c r="O2281">
        <v>-0.5492049</v>
      </c>
      <c r="P2281">
        <v>0.88926700000000003</v>
      </c>
      <c r="Q2281">
        <v>0.1713481</v>
      </c>
      <c r="R2281">
        <v>-0.42408020000000002</v>
      </c>
      <c r="S2281">
        <v>3.0873409999999999</v>
      </c>
      <c r="T2281">
        <v>-1.0154369999999999E-2</v>
      </c>
      <c r="U2281">
        <v>-0.61425779999999996</v>
      </c>
      <c r="V2281">
        <v>-0.13550200000000001</v>
      </c>
      <c r="W2281">
        <v>0.17861640000000001</v>
      </c>
      <c r="X2281">
        <v>0.97454370000000001</v>
      </c>
      <c r="Y2281">
        <v>-0.37558200000000003</v>
      </c>
      <c r="Z2281">
        <v>-1.024964E-3</v>
      </c>
      <c r="AA2281">
        <v>0.92678859999999996</v>
      </c>
      <c r="AB2281">
        <v>25</v>
      </c>
      <c r="AC2281">
        <v>115.526399999999</v>
      </c>
      <c r="AD2281">
        <v>-0.38067610000000002</v>
      </c>
      <c r="AE2281">
        <v>-22.895800000000001</v>
      </c>
      <c r="AF2281">
        <v>-44.3161194503395</v>
      </c>
      <c r="AG2281">
        <v>-0.38067610000000002</v>
      </c>
      <c r="AH2281">
        <v>109.116261333583</v>
      </c>
      <c r="AI2281">
        <v>90.185197092925307</v>
      </c>
      <c r="AJ2281">
        <v>112.10387663251301</v>
      </c>
      <c r="AK2281">
        <v>117.772755104263</v>
      </c>
      <c r="AL2281">
        <v>79.7108207876216</v>
      </c>
      <c r="AM2281">
        <v>97.915739986583105</v>
      </c>
      <c r="AN2281">
        <v>1.0000000167813199</v>
      </c>
    </row>
    <row r="2282" spans="1:40" x14ac:dyDescent="0.25">
      <c r="A2282" t="str">
        <f>"20190303170808181"</f>
        <v>20190303170808181</v>
      </c>
      <c r="B2282" t="str">
        <f>"1551604088175372"</f>
        <v>1551604088175372</v>
      </c>
      <c r="C2282" t="s">
        <v>40</v>
      </c>
      <c r="D2282">
        <v>4.8913599999999997</v>
      </c>
      <c r="E2282">
        <v>0.40909679999999998</v>
      </c>
      <c r="F2282" t="s">
        <v>83</v>
      </c>
      <c r="G2282">
        <v>-368.81689999999998</v>
      </c>
      <c r="H2282">
        <v>0.68412779999999995</v>
      </c>
      <c r="I2282">
        <v>196.05549999999999</v>
      </c>
      <c r="J2282">
        <v>-484.07709999999997</v>
      </c>
      <c r="K2282">
        <v>1.124026</v>
      </c>
      <c r="L2282">
        <v>218.36580000000001</v>
      </c>
      <c r="M2282">
        <v>0.83867530000000001</v>
      </c>
      <c r="N2282">
        <v>-8.469921E-3</v>
      </c>
      <c r="O2282">
        <v>-0.54456610000000005</v>
      </c>
      <c r="P2282">
        <v>0.89196520000000001</v>
      </c>
      <c r="Q2282">
        <v>0.17027799999999901</v>
      </c>
      <c r="R2282">
        <v>-0.41881259999999998</v>
      </c>
      <c r="S2282">
        <v>3.0893860000000002</v>
      </c>
      <c r="T2282">
        <v>-1.1767150000000001E-2</v>
      </c>
      <c r="U2282">
        <v>-0.60058590000000001</v>
      </c>
      <c r="V2282">
        <v>-0.13598299999999999</v>
      </c>
      <c r="W2282">
        <v>0.1774067</v>
      </c>
      <c r="X2282">
        <v>0.97469760000000005</v>
      </c>
      <c r="Y2282">
        <v>-0.37451230000000002</v>
      </c>
      <c r="Z2282">
        <v>-5.8657489999999995E-4</v>
      </c>
      <c r="AA2282">
        <v>0.92722179999999998</v>
      </c>
      <c r="AB2282">
        <v>25</v>
      </c>
      <c r="AC2282">
        <v>115.2602</v>
      </c>
      <c r="AD2282">
        <v>-0.43989819999999902</v>
      </c>
      <c r="AE2282">
        <v>-22.310300000000002</v>
      </c>
      <c r="AF2282">
        <v>-44.056656653978401</v>
      </c>
      <c r="AG2282">
        <v>-0.43989819999999902</v>
      </c>
      <c r="AH2282">
        <v>108.81767862760699</v>
      </c>
      <c r="AI2282">
        <v>90.214690244502705</v>
      </c>
      <c r="AJ2282">
        <v>112.04138684863101</v>
      </c>
      <c r="AK2282">
        <v>117.39876357038</v>
      </c>
      <c r="AL2282">
        <v>79.781255905361405</v>
      </c>
      <c r="AM2282">
        <v>97.942242699918296</v>
      </c>
      <c r="AN2282">
        <v>0.99999996246982403</v>
      </c>
    </row>
    <row r="2283" spans="1:40" x14ac:dyDescent="0.25">
      <c r="A2283" t="str">
        <f>"20190303170808225"</f>
        <v>20190303170808225</v>
      </c>
      <c r="B2283" t="str">
        <f>"1551604088215388"</f>
        <v>1551604088215388</v>
      </c>
      <c r="C2283" t="s">
        <v>40</v>
      </c>
      <c r="D2283">
        <v>4.8967869999999998</v>
      </c>
      <c r="E2283">
        <v>0.40982479999999899</v>
      </c>
      <c r="F2283" t="s">
        <v>86</v>
      </c>
      <c r="G2283">
        <v>-389.2355</v>
      </c>
      <c r="H2283">
        <v>0.29859190000000002</v>
      </c>
      <c r="I2283">
        <v>199.26179999999999</v>
      </c>
      <c r="J2283">
        <v>-483.65699999999998</v>
      </c>
      <c r="K2283">
        <v>1.124085</v>
      </c>
      <c r="L2283">
        <v>218.1078</v>
      </c>
      <c r="M2283">
        <v>0.84428060000000005</v>
      </c>
      <c r="N2283">
        <v>-8.2277419999999997E-3</v>
      </c>
      <c r="O2283">
        <v>-0.53583840000000005</v>
      </c>
      <c r="P2283">
        <v>0.89634879999999995</v>
      </c>
      <c r="Q2283">
        <v>0.173337299999999</v>
      </c>
      <c r="R2283">
        <v>-0.40805999999999998</v>
      </c>
      <c r="S2283">
        <v>3.077423</v>
      </c>
      <c r="T2283">
        <v>-2.6783700000000001E-2</v>
      </c>
      <c r="U2283">
        <v>-0.61988829999999995</v>
      </c>
      <c r="V2283">
        <v>-0.1373308</v>
      </c>
      <c r="W2283">
        <v>0.18018970000000001</v>
      </c>
      <c r="X2283">
        <v>0.97399789999999997</v>
      </c>
      <c r="Y2283">
        <v>-0.3585603</v>
      </c>
      <c r="Z2283">
        <v>2.7870120000000002E-3</v>
      </c>
      <c r="AA2283">
        <v>0.93350239999999995</v>
      </c>
      <c r="AB2283">
        <v>25</v>
      </c>
      <c r="AC2283">
        <v>94.421499999999895</v>
      </c>
      <c r="AD2283">
        <v>-0.82549309999999998</v>
      </c>
      <c r="AE2283">
        <v>-18.846</v>
      </c>
      <c r="AF2283">
        <v>-34.681974217436199</v>
      </c>
      <c r="AG2283">
        <v>-0.82549309999999998</v>
      </c>
      <c r="AH2283">
        <v>89.813079866845897</v>
      </c>
      <c r="AI2283">
        <v>90.491251217822906</v>
      </c>
      <c r="AJ2283">
        <v>111.114430561674</v>
      </c>
      <c r="AK2283">
        <v>96.280372296982193</v>
      </c>
      <c r="AL2283">
        <v>79.619190440143896</v>
      </c>
      <c r="AM2283">
        <v>98.025629538144997</v>
      </c>
      <c r="AN2283">
        <v>0.99999999290956898</v>
      </c>
    </row>
    <row r="2284" spans="1:40" x14ac:dyDescent="0.25">
      <c r="A2284" t="str">
        <f>"20190303170808246"</f>
        <v>20190303170808246</v>
      </c>
      <c r="B2284" t="str">
        <f>"1551604088234908"</f>
        <v>1551604088234908</v>
      </c>
      <c r="C2284" t="s">
        <v>40</v>
      </c>
      <c r="D2284">
        <v>4.8664829999999997</v>
      </c>
      <c r="E2284">
        <v>0.41032069999999998</v>
      </c>
      <c r="F2284" t="s">
        <v>86</v>
      </c>
      <c r="G2284">
        <v>-372.44060000000002</v>
      </c>
      <c r="H2284">
        <v>0.4852397</v>
      </c>
      <c r="I2284">
        <v>196.74690000000001</v>
      </c>
      <c r="J2284">
        <v>-483.45370000000003</v>
      </c>
      <c r="K2284">
        <v>1.124125</v>
      </c>
      <c r="L2284">
        <v>217.98509999999999</v>
      </c>
      <c r="M2284">
        <v>0.84696309999999997</v>
      </c>
      <c r="N2284">
        <v>-8.1213350000000004E-3</v>
      </c>
      <c r="O2284">
        <v>-0.5315896</v>
      </c>
      <c r="P2284">
        <v>0.89748899999999998</v>
      </c>
      <c r="Q2284">
        <v>0.17484050000000001</v>
      </c>
      <c r="R2284">
        <v>-0.4049005</v>
      </c>
      <c r="S2284">
        <v>3.080902</v>
      </c>
      <c r="T2284">
        <v>-1.769722E-2</v>
      </c>
      <c r="U2284">
        <v>-0.59173580000000003</v>
      </c>
      <c r="V2284">
        <v>-0.13574059999999999</v>
      </c>
      <c r="W2284">
        <v>0.18158920000000001</v>
      </c>
      <c r="X2284">
        <v>0.97396090000000002</v>
      </c>
      <c r="Y2284">
        <v>-0.3622918</v>
      </c>
      <c r="Z2284">
        <v>8.6725129999999997E-4</v>
      </c>
      <c r="AA2284">
        <v>0.93206429999999996</v>
      </c>
      <c r="AB2284">
        <v>25</v>
      </c>
      <c r="AC2284">
        <v>111.01309999999999</v>
      </c>
      <c r="AD2284">
        <v>-0.63888529999999999</v>
      </c>
      <c r="AE2284">
        <v>-21.2381999999999</v>
      </c>
      <c r="AF2284">
        <v>-41.025480900719799</v>
      </c>
      <c r="AG2284">
        <v>-0.63888529999999999</v>
      </c>
      <c r="AH2284">
        <v>105.31411642313</v>
      </c>
      <c r="AI2284">
        <v>90.323873073169693</v>
      </c>
      <c r="AJ2284">
        <v>111.283574274336</v>
      </c>
      <c r="AK2284">
        <v>113.024605177574</v>
      </c>
      <c r="AL2284">
        <v>79.537660000646099</v>
      </c>
      <c r="AM2284">
        <v>97.934185803335893</v>
      </c>
      <c r="AN2284">
        <v>0.99999999138690499</v>
      </c>
    </row>
    <row r="2285" spans="1:40" x14ac:dyDescent="0.25">
      <c r="A2285" t="str">
        <f>"20190303170808271"</f>
        <v>20190303170808271</v>
      </c>
      <c r="B2285" t="str">
        <f>"1551604088265164"</f>
        <v>1551604088265164</v>
      </c>
      <c r="C2285" t="s">
        <v>40</v>
      </c>
      <c r="D2285">
        <v>4.8489129999999996</v>
      </c>
      <c r="E2285">
        <v>0.41401369999999998</v>
      </c>
      <c r="F2285" t="s">
        <v>83</v>
      </c>
      <c r="G2285">
        <v>-368.86989999999997</v>
      </c>
      <c r="H2285">
        <v>0.60903499999999999</v>
      </c>
      <c r="I2285">
        <v>196.2509</v>
      </c>
      <c r="J2285">
        <v>-483.21850000000001</v>
      </c>
      <c r="K2285">
        <v>1.1241829999999999</v>
      </c>
      <c r="L2285">
        <v>217.84479999999999</v>
      </c>
      <c r="M2285">
        <v>0.85006919999999897</v>
      </c>
      <c r="N2285">
        <v>-8.0141899999999992E-3</v>
      </c>
      <c r="O2285">
        <v>-0.52660989999999996</v>
      </c>
      <c r="P2285">
        <v>0.89875329999999998</v>
      </c>
      <c r="Q2285">
        <v>0.17535780000000001</v>
      </c>
      <c r="R2285">
        <v>-0.40186070000000002</v>
      </c>
      <c r="S2285">
        <v>3.081696</v>
      </c>
      <c r="T2285">
        <v>-1.385283E-2</v>
      </c>
      <c r="U2285">
        <v>-0.58453369999999905</v>
      </c>
      <c r="V2285">
        <v>-0.13329849999999999</v>
      </c>
      <c r="W2285">
        <v>0.18200179999999999</v>
      </c>
      <c r="X2285">
        <v>0.97422120000000001</v>
      </c>
      <c r="Y2285">
        <v>-0.35896729999999999</v>
      </c>
      <c r="Z2285" s="1">
        <v>6.7377580000000002E-5</v>
      </c>
      <c r="AA2285">
        <v>0.93335009999999996</v>
      </c>
      <c r="AB2285">
        <v>25</v>
      </c>
      <c r="AC2285">
        <v>114.3486</v>
      </c>
      <c r="AD2285">
        <v>-0.51514799999999905</v>
      </c>
      <c r="AE2285">
        <v>-21.593899999999898</v>
      </c>
      <c r="AF2285">
        <v>-41.861322488554798</v>
      </c>
      <c r="AG2285">
        <v>-0.51514799999999905</v>
      </c>
      <c r="AH2285">
        <v>108.577151276668</v>
      </c>
      <c r="AI2285">
        <v>90.253641633552405</v>
      </c>
      <c r="AJ2285">
        <v>111.083870406952</v>
      </c>
      <c r="AK2285">
        <v>116.368524426965</v>
      </c>
      <c r="AL2285">
        <v>79.513619731887502</v>
      </c>
      <c r="AM2285">
        <v>97.791155537594307</v>
      </c>
      <c r="AN2285">
        <v>1.0000000459174601</v>
      </c>
    </row>
    <row r="2286" spans="1:40" x14ac:dyDescent="0.25">
      <c r="A2286" t="str">
        <f>"20190303170808293"</f>
        <v>20190303170808293</v>
      </c>
      <c r="B2286" t="str">
        <f>"1551604088284684"</f>
        <v>1551604088284684</v>
      </c>
      <c r="C2286" t="s">
        <v>40</v>
      </c>
      <c r="D2286">
        <v>4.8816620000000004</v>
      </c>
      <c r="E2286">
        <v>0.41410269999999999</v>
      </c>
      <c r="F2286" t="s">
        <v>86</v>
      </c>
      <c r="G2286">
        <v>-389.2355</v>
      </c>
      <c r="H2286">
        <v>0.28370299999999998</v>
      </c>
      <c r="I2286">
        <v>199.47210000000001</v>
      </c>
      <c r="J2286">
        <v>-482.99290000000002</v>
      </c>
      <c r="K2286">
        <v>1.124274</v>
      </c>
      <c r="L2286">
        <v>217.7123</v>
      </c>
      <c r="M2286">
        <v>0.85308119999999998</v>
      </c>
      <c r="N2286">
        <v>-7.9288090000000002E-3</v>
      </c>
      <c r="O2286">
        <v>-0.52171789999999996</v>
      </c>
      <c r="P2286">
        <v>0.9004759</v>
      </c>
      <c r="Q2286">
        <v>0.17445379999999999</v>
      </c>
      <c r="R2286">
        <v>-0.39838289999999998</v>
      </c>
      <c r="S2286">
        <v>3.074554</v>
      </c>
      <c r="T2286">
        <v>-2.749538E-2</v>
      </c>
      <c r="U2286">
        <v>-0.60104369999999996</v>
      </c>
      <c r="V2286">
        <v>-0.13159599999999999</v>
      </c>
      <c r="W2286">
        <v>0.18099879999999999</v>
      </c>
      <c r="X2286">
        <v>0.97463940000000004</v>
      </c>
      <c r="Y2286">
        <v>-0.3483424</v>
      </c>
      <c r="Z2286">
        <v>3.0047630000000001E-3</v>
      </c>
      <c r="AA2286">
        <v>0.93736260000000005</v>
      </c>
      <c r="AB2286">
        <v>26</v>
      </c>
      <c r="AC2286">
        <v>93.757400000000004</v>
      </c>
      <c r="AD2286">
        <v>-0.84057099999999996</v>
      </c>
      <c r="AE2286">
        <v>-18.240199999999898</v>
      </c>
      <c r="AF2286">
        <v>-33.353008081428101</v>
      </c>
      <c r="AG2286">
        <v>-0.84057099999999996</v>
      </c>
      <c r="AH2286">
        <v>89.494797880399801</v>
      </c>
      <c r="AI2286">
        <v>90.504251187863204</v>
      </c>
      <c r="AJ2286">
        <v>110.43946717652599</v>
      </c>
      <c r="AK2286">
        <v>95.511510067318298</v>
      </c>
      <c r="AL2286">
        <v>79.572057695542199</v>
      </c>
      <c r="AM2286">
        <v>97.689584038256498</v>
      </c>
      <c r="AN2286">
        <v>1.0000000164248899</v>
      </c>
    </row>
    <row r="2287" spans="1:40" x14ac:dyDescent="0.25">
      <c r="A2287" t="str">
        <f>"20190303170808317"</f>
        <v>20190303170808317</v>
      </c>
      <c r="B2287" t="str">
        <f>"1551604088305180"</f>
        <v>1551604088305180</v>
      </c>
      <c r="C2287" t="s">
        <v>40</v>
      </c>
      <c r="D2287">
        <v>4.8769419999999997</v>
      </c>
      <c r="E2287">
        <v>0.41408499999999998</v>
      </c>
      <c r="F2287" t="s">
        <v>86</v>
      </c>
      <c r="G2287">
        <v>-388.23379999999997</v>
      </c>
      <c r="H2287">
        <v>0.3486744</v>
      </c>
      <c r="I2287">
        <v>199.57599999999999</v>
      </c>
      <c r="J2287">
        <v>-482.75779999999997</v>
      </c>
      <c r="K2287">
        <v>1.1243920000000001</v>
      </c>
      <c r="L2287">
        <v>217.5762</v>
      </c>
      <c r="M2287">
        <v>0.85624739999999999</v>
      </c>
      <c r="N2287">
        <v>-7.8543190000000002E-3</v>
      </c>
      <c r="O2287">
        <v>-0.51650629999999997</v>
      </c>
      <c r="P2287">
        <v>0.90263959999999999</v>
      </c>
      <c r="Q2287">
        <v>0.172283399999999</v>
      </c>
      <c r="R2287">
        <v>-0.39441110000000001</v>
      </c>
      <c r="S2287">
        <v>3.0760190000000001</v>
      </c>
      <c r="T2287">
        <v>-2.5177120000000001E-2</v>
      </c>
      <c r="U2287">
        <v>-0.58872990000000003</v>
      </c>
      <c r="V2287">
        <v>-0.1301969</v>
      </c>
      <c r="W2287">
        <v>0.1787318</v>
      </c>
      <c r="X2287">
        <v>0.97524549999999999</v>
      </c>
      <c r="Y2287">
        <v>-0.34632970000000002</v>
      </c>
      <c r="Z2287">
        <v>2.5271999999999998E-3</v>
      </c>
      <c r="AA2287">
        <v>0.93810950000000004</v>
      </c>
      <c r="AB2287">
        <v>26</v>
      </c>
      <c r="AC2287">
        <v>94.524000000000001</v>
      </c>
      <c r="AD2287">
        <v>-0.77571760000000001</v>
      </c>
      <c r="AE2287">
        <v>-18.0002</v>
      </c>
      <c r="AF2287">
        <v>-33.408475402441901</v>
      </c>
      <c r="AG2287">
        <v>-0.77571760000000001</v>
      </c>
      <c r="AH2287">
        <v>90.2300625570374</v>
      </c>
      <c r="AI2287">
        <v>90.461921191679806</v>
      </c>
      <c r="AJ2287">
        <v>110.317515625127</v>
      </c>
      <c r="AK2287">
        <v>96.219499871686097</v>
      </c>
      <c r="AL2287">
        <v>79.704100929873704</v>
      </c>
      <c r="AM2287">
        <v>97.604119500818896</v>
      </c>
      <c r="AN2287">
        <v>1.00000003718554</v>
      </c>
    </row>
    <row r="2288" spans="1:40" x14ac:dyDescent="0.25">
      <c r="A2288" t="str">
        <f>"20190303170808361"</f>
        <v>20190303170808361</v>
      </c>
      <c r="B2288" t="str">
        <f>"1551604088354957"</f>
        <v>1551604088354957</v>
      </c>
      <c r="C2288" t="s">
        <v>40</v>
      </c>
      <c r="D2288">
        <v>4.8710170000000002</v>
      </c>
      <c r="E2288">
        <v>0.4148772</v>
      </c>
      <c r="F2288" t="s">
        <v>86</v>
      </c>
      <c r="G2288">
        <v>-386.20940000000002</v>
      </c>
      <c r="H2288">
        <v>0.26645160000000001</v>
      </c>
      <c r="I2288">
        <v>199.57599999999999</v>
      </c>
      <c r="J2288">
        <v>-482.32740000000001</v>
      </c>
      <c r="K2288">
        <v>1.1246750000000001</v>
      </c>
      <c r="L2288">
        <v>217.33240000000001</v>
      </c>
      <c r="M2288">
        <v>0.86219749999999995</v>
      </c>
      <c r="N2288">
        <v>-7.7540880000000001E-3</v>
      </c>
      <c r="O2288">
        <v>-0.50651309999999905</v>
      </c>
      <c r="P2288">
        <v>0.90539550000000002</v>
      </c>
      <c r="Q2288">
        <v>0.1727312</v>
      </c>
      <c r="R2288">
        <v>-0.38784410000000002</v>
      </c>
      <c r="S2288">
        <v>3.0780029999999998</v>
      </c>
      <c r="T2288">
        <v>-2.7351500000000001E-2</v>
      </c>
      <c r="U2288">
        <v>-0.57385249999999999</v>
      </c>
      <c r="V2288">
        <v>-0.12602629999999901</v>
      </c>
      <c r="W2288">
        <v>0.1790311</v>
      </c>
      <c r="X2288">
        <v>0.97573829999999995</v>
      </c>
      <c r="Y2288">
        <v>-0.33989809999999998</v>
      </c>
      <c r="Z2288">
        <v>2.9874929999999999E-3</v>
      </c>
      <c r="AA2288">
        <v>0.94045749999999995</v>
      </c>
      <c r="AB2288">
        <v>26</v>
      </c>
      <c r="AC2288">
        <v>96.117999999999995</v>
      </c>
      <c r="AD2288">
        <v>-0.85822339999999997</v>
      </c>
      <c r="AE2288">
        <v>-17.756399999999999</v>
      </c>
      <c r="AF2288">
        <v>-33.373930030852101</v>
      </c>
      <c r="AG2288">
        <v>-0.85822339999999997</v>
      </c>
      <c r="AH2288">
        <v>91.862220388898294</v>
      </c>
      <c r="AI2288">
        <v>90.503099169666797</v>
      </c>
      <c r="AJ2288">
        <v>109.96629556795099</v>
      </c>
      <c r="AK2288">
        <v>97.740591812649896</v>
      </c>
      <c r="AL2288">
        <v>79.686670749306003</v>
      </c>
      <c r="AM2288">
        <v>97.359575057175803</v>
      </c>
      <c r="AN2288">
        <v>0.99999999657289496</v>
      </c>
    </row>
    <row r="2289" spans="1:40" x14ac:dyDescent="0.25">
      <c r="A2289" t="str">
        <f>"20190303170808384"</f>
        <v>20190303170808384</v>
      </c>
      <c r="B2289" t="str">
        <f>"1551604088375452"</f>
        <v>1551604088375452</v>
      </c>
      <c r="C2289" t="s">
        <v>40</v>
      </c>
      <c r="D2289">
        <v>4.8907639999999999</v>
      </c>
      <c r="E2289">
        <v>0.41497390000000001</v>
      </c>
      <c r="F2289" t="s">
        <v>86</v>
      </c>
      <c r="G2289">
        <v>-383.97449999999998</v>
      </c>
      <c r="H2289">
        <v>0.24507760000000001</v>
      </c>
      <c r="I2289">
        <v>199.57599999999999</v>
      </c>
      <c r="J2289">
        <v>-482.0883</v>
      </c>
      <c r="K2289">
        <v>1.124862</v>
      </c>
      <c r="L2289">
        <v>217.2002</v>
      </c>
      <c r="M2289">
        <v>0.86561819999999901</v>
      </c>
      <c r="N2289">
        <v>-7.7183619999999899E-3</v>
      </c>
      <c r="O2289">
        <v>-0.50064529999999996</v>
      </c>
      <c r="P2289">
        <v>0.90738960000000002</v>
      </c>
      <c r="Q2289">
        <v>0.17209360000000001</v>
      </c>
      <c r="R2289">
        <v>-0.38344289999999998</v>
      </c>
      <c r="S2289">
        <v>3.080444</v>
      </c>
      <c r="T2289">
        <v>-2.7549270000000001E-2</v>
      </c>
      <c r="U2289">
        <v>-0.55613710000000005</v>
      </c>
      <c r="V2289">
        <v>-0.1242762</v>
      </c>
      <c r="W2289">
        <v>0.178318899999999</v>
      </c>
      <c r="X2289">
        <v>0.97609310000000005</v>
      </c>
      <c r="Y2289">
        <v>-0.33887659999999997</v>
      </c>
      <c r="Z2289">
        <v>3.0387410000000002E-3</v>
      </c>
      <c r="AA2289">
        <v>0.94082589999999999</v>
      </c>
      <c r="AB2289">
        <v>26</v>
      </c>
      <c r="AC2289">
        <v>98.113799999999998</v>
      </c>
      <c r="AD2289">
        <v>-0.87978440000000002</v>
      </c>
      <c r="AE2289">
        <v>-17.624199999999998</v>
      </c>
      <c r="AF2289">
        <v>-33.862752950170702</v>
      </c>
      <c r="AG2289">
        <v>-0.87978440000000002</v>
      </c>
      <c r="AH2289">
        <v>93.748046797728406</v>
      </c>
      <c r="AI2289">
        <v>90.505702755476605</v>
      </c>
      <c r="AJ2289">
        <v>109.86023785121</v>
      </c>
      <c r="AK2289">
        <v>99.680270547104001</v>
      </c>
      <c r="AL2289">
        <v>79.728143933117707</v>
      </c>
      <c r="AM2289">
        <v>97.255861481556195</v>
      </c>
      <c r="AN2289">
        <v>0.99999997192562895</v>
      </c>
    </row>
    <row r="2290" spans="1:40" x14ac:dyDescent="0.25">
      <c r="A2290" t="str">
        <f>"20190303170808406"</f>
        <v>20190303170808406</v>
      </c>
      <c r="B2290" t="str">
        <f>"1551604088394974"</f>
        <v>1551604088394974</v>
      </c>
      <c r="C2290" t="s">
        <v>40</v>
      </c>
      <c r="D2290">
        <v>4.8799080000000004</v>
      </c>
      <c r="E2290">
        <v>0.41532479999999999</v>
      </c>
      <c r="F2290" t="s">
        <v>86</v>
      </c>
      <c r="G2290">
        <v>-381.51780000000002</v>
      </c>
      <c r="H2290">
        <v>0.2472945</v>
      </c>
      <c r="I2290">
        <v>199.57599999999999</v>
      </c>
      <c r="J2290">
        <v>-481.86270000000002</v>
      </c>
      <c r="K2290">
        <v>1.1250719999999901</v>
      </c>
      <c r="L2290">
        <v>217.0778</v>
      </c>
      <c r="M2290">
        <v>0.86894340000000003</v>
      </c>
      <c r="N2290">
        <v>-7.6969009999999999E-3</v>
      </c>
      <c r="O2290">
        <v>-0.4948515</v>
      </c>
      <c r="P2290">
        <v>0.90915469999999998</v>
      </c>
      <c r="Q2290">
        <v>0.171113299999999</v>
      </c>
      <c r="R2290">
        <v>-0.37968180000000001</v>
      </c>
      <c r="S2290">
        <v>3.0829770000000001</v>
      </c>
      <c r="T2290">
        <v>-2.690172E-2</v>
      </c>
      <c r="U2290">
        <v>-0.54026790000000002</v>
      </c>
      <c r="V2290">
        <v>-0.121971</v>
      </c>
      <c r="W2290">
        <v>0.17728099999999999</v>
      </c>
      <c r="X2290">
        <v>0.97657289999999997</v>
      </c>
      <c r="Y2290">
        <v>-0.33742159999999999</v>
      </c>
      <c r="Z2290">
        <v>2.9049039999999998E-3</v>
      </c>
      <c r="AA2290">
        <v>0.94134910000000005</v>
      </c>
      <c r="AB2290">
        <v>26</v>
      </c>
      <c r="AC2290">
        <v>100.3449</v>
      </c>
      <c r="AD2290">
        <v>-0.87777749999999899</v>
      </c>
      <c r="AE2290">
        <v>-17.501799999999999</v>
      </c>
      <c r="AF2290">
        <v>-34.446215121807903</v>
      </c>
      <c r="AG2290">
        <v>-0.87777749999999899</v>
      </c>
      <c r="AH2290">
        <v>95.850557682206599</v>
      </c>
      <c r="AI2290">
        <v>90.493771364967799</v>
      </c>
      <c r="AJ2290">
        <v>109.767126830978</v>
      </c>
      <c r="AK2290">
        <v>101.855984790032</v>
      </c>
      <c r="AL2290">
        <v>79.788574922924198</v>
      </c>
      <c r="AM2290">
        <v>97.119204129133706</v>
      </c>
      <c r="AN2290">
        <v>1.0000000534082001</v>
      </c>
    </row>
    <row r="2291" spans="1:40" x14ac:dyDescent="0.25">
      <c r="A2291" t="str">
        <f>"20190303170808429"</f>
        <v>20190303170808429</v>
      </c>
      <c r="B2291" t="str">
        <f>"1551604088425229"</f>
        <v>1551604088425229</v>
      </c>
      <c r="C2291" t="s">
        <v>40</v>
      </c>
      <c r="D2291">
        <v>4.8932409999999997</v>
      </c>
      <c r="E2291">
        <v>0.41551460000000001</v>
      </c>
      <c r="F2291" t="s">
        <v>86</v>
      </c>
      <c r="G2291">
        <v>-379.51319999999998</v>
      </c>
      <c r="H2291">
        <v>0.2214844</v>
      </c>
      <c r="I2291">
        <v>199.57599999999999</v>
      </c>
      <c r="J2291">
        <v>-481.63459999999998</v>
      </c>
      <c r="K2291">
        <v>1.1253359999999999</v>
      </c>
      <c r="L2291">
        <v>216.9562</v>
      </c>
      <c r="M2291">
        <v>0.87243349999999897</v>
      </c>
      <c r="N2291">
        <v>-7.6892619999999997E-3</v>
      </c>
      <c r="O2291">
        <v>-0.4886723</v>
      </c>
      <c r="P2291">
        <v>0.91122429999999999</v>
      </c>
      <c r="Q2291">
        <v>0.17058219999999999</v>
      </c>
      <c r="R2291">
        <v>-0.37492950000000003</v>
      </c>
      <c r="S2291">
        <v>3.084686</v>
      </c>
      <c r="T2291">
        <v>-2.7233E-2</v>
      </c>
      <c r="U2291">
        <v>-0.52748109999999904</v>
      </c>
      <c r="V2291">
        <v>-0.120295</v>
      </c>
      <c r="W2291">
        <v>0.17668589999999901</v>
      </c>
      <c r="X2291">
        <v>0.97688850000000005</v>
      </c>
      <c r="Y2291">
        <v>-0.33461649999999998</v>
      </c>
      <c r="Z2291">
        <v>2.9585359999999999E-3</v>
      </c>
      <c r="AA2291">
        <v>0.94234969999999996</v>
      </c>
      <c r="AB2291">
        <v>26</v>
      </c>
      <c r="AC2291">
        <v>102.12139999999999</v>
      </c>
      <c r="AD2291">
        <v>-0.90385159999999998</v>
      </c>
      <c r="AE2291">
        <v>-17.380199999999999</v>
      </c>
      <c r="AF2291">
        <v>-34.739213853857301</v>
      </c>
      <c r="AG2291">
        <v>-0.90385159999999998</v>
      </c>
      <c r="AH2291">
        <v>97.582810996362895</v>
      </c>
      <c r="AI2291">
        <v>90.499947852011999</v>
      </c>
      <c r="AJ2291">
        <v>109.595590434724</v>
      </c>
      <c r="AK2291">
        <v>103.58588189927499</v>
      </c>
      <c r="AL2291">
        <v>79.8232176500576</v>
      </c>
      <c r="AM2291">
        <v>97.020116723442797</v>
      </c>
      <c r="AN2291">
        <v>0.99999996785802903</v>
      </c>
    </row>
    <row r="2292" spans="1:40" x14ac:dyDescent="0.25">
      <c r="A2292" t="str">
        <f>"20190303170808453"</f>
        <v>20190303170808453</v>
      </c>
      <c r="B2292" t="str">
        <f>"1551604088444748"</f>
        <v>1551604088444748</v>
      </c>
      <c r="C2292" t="s">
        <v>40</v>
      </c>
      <c r="D2292">
        <v>4.8844200000000004</v>
      </c>
      <c r="E2292">
        <v>0.4156533</v>
      </c>
      <c r="F2292" t="s">
        <v>86</v>
      </c>
      <c r="G2292">
        <v>-376.7312</v>
      </c>
      <c r="H2292">
        <v>0.2165472</v>
      </c>
      <c r="I2292">
        <v>199.57599999999999</v>
      </c>
      <c r="J2292">
        <v>-481.38459999999998</v>
      </c>
      <c r="K2292">
        <v>1.1256710000000001</v>
      </c>
      <c r="L2292">
        <v>216.8262</v>
      </c>
      <c r="M2292">
        <v>0.87643510000000002</v>
      </c>
      <c r="N2292">
        <v>-7.6993729999999998E-3</v>
      </c>
      <c r="O2292">
        <v>-0.48145850000000001</v>
      </c>
      <c r="P2292">
        <v>0.91389069999999994</v>
      </c>
      <c r="Q2292">
        <v>0.17158370000000001</v>
      </c>
      <c r="R2292">
        <v>-0.36791699999999999</v>
      </c>
      <c r="S2292">
        <v>3.086884</v>
      </c>
      <c r="T2292">
        <v>-2.6741979999999999E-2</v>
      </c>
      <c r="U2292">
        <v>-0.51142879999999902</v>
      </c>
      <c r="V2292">
        <v>-0.1198104</v>
      </c>
      <c r="W2292">
        <v>0.17760429999999999</v>
      </c>
      <c r="X2292">
        <v>0.97678149999999997</v>
      </c>
      <c r="Y2292">
        <v>-0.33171840000000002</v>
      </c>
      <c r="Z2292">
        <v>2.838293E-3</v>
      </c>
      <c r="AA2292">
        <v>0.94337420000000005</v>
      </c>
      <c r="AB2292">
        <v>26</v>
      </c>
      <c r="AC2292">
        <v>104.653399999999</v>
      </c>
      <c r="AD2292">
        <v>-0.90912379999999904</v>
      </c>
      <c r="AE2292">
        <v>-17.2502</v>
      </c>
      <c r="AF2292">
        <v>-35.266041767496901</v>
      </c>
      <c r="AG2292">
        <v>-0.90912379999999904</v>
      </c>
      <c r="AH2292">
        <v>100.022782402974</v>
      </c>
      <c r="AI2292">
        <v>90.491125551245403</v>
      </c>
      <c r="AJ2292">
        <v>109.421635761994</v>
      </c>
      <c r="AK2292">
        <v>106.06166700398001</v>
      </c>
      <c r="AL2292">
        <v>79.769751532263101</v>
      </c>
      <c r="AM2292">
        <v>96.992875529914897</v>
      </c>
      <c r="AN2292">
        <v>0.99999995903444905</v>
      </c>
    </row>
    <row r="2293" spans="1:40" x14ac:dyDescent="0.25">
      <c r="A2293" t="str">
        <f>"20190303170808492"</f>
        <v>20190303170808492</v>
      </c>
      <c r="B2293" t="str">
        <f>"1551604088484764"</f>
        <v>1551604088484764</v>
      </c>
      <c r="C2293" t="s">
        <v>40</v>
      </c>
      <c r="D2293">
        <v>4.8950839999999998</v>
      </c>
      <c r="E2293">
        <v>0.41903230000000002</v>
      </c>
      <c r="F2293" t="s">
        <v>86</v>
      </c>
      <c r="G2293">
        <v>-372.1857</v>
      </c>
      <c r="H2293">
        <v>0.34751779999999999</v>
      </c>
      <c r="I2293">
        <v>199.57599999999999</v>
      </c>
      <c r="J2293">
        <v>-480.97719999999998</v>
      </c>
      <c r="K2293">
        <v>1.1262380000000001</v>
      </c>
      <c r="L2293">
        <v>216.6208</v>
      </c>
      <c r="M2293">
        <v>0.88323119999999999</v>
      </c>
      <c r="N2293">
        <v>-7.7342399999999999E-3</v>
      </c>
      <c r="O2293">
        <v>-0.46887450000000003</v>
      </c>
      <c r="P2293">
        <v>0.91891659999999997</v>
      </c>
      <c r="Q2293">
        <v>0.1744617</v>
      </c>
      <c r="R2293">
        <v>-0.35377370000000002</v>
      </c>
      <c r="S2293">
        <v>3.0903019999999999</v>
      </c>
      <c r="T2293">
        <v>-2.2021530000000001E-2</v>
      </c>
      <c r="U2293">
        <v>-0.48817440000000001</v>
      </c>
      <c r="V2293">
        <v>-0.12094299999999999</v>
      </c>
      <c r="W2293">
        <v>0.18033469999999999</v>
      </c>
      <c r="X2293">
        <v>0.9761415</v>
      </c>
      <c r="Y2293">
        <v>-0.32531009999999999</v>
      </c>
      <c r="Z2293">
        <v>1.855549E-3</v>
      </c>
      <c r="AA2293">
        <v>0.94560560000000005</v>
      </c>
      <c r="AB2293">
        <v>26</v>
      </c>
      <c r="AC2293">
        <v>108.791499999999</v>
      </c>
      <c r="AD2293">
        <v>-0.77872019999999897</v>
      </c>
      <c r="AE2293">
        <v>-17.044799999999999</v>
      </c>
      <c r="AF2293">
        <v>-35.954330022517901</v>
      </c>
      <c r="AG2293">
        <v>-0.77872019999999897</v>
      </c>
      <c r="AH2293">
        <v>104.07780316951199</v>
      </c>
      <c r="AI2293">
        <v>90.405189047042299</v>
      </c>
      <c r="AJ2293">
        <v>109.057792956699</v>
      </c>
      <c r="AK2293">
        <v>110.115890611254</v>
      </c>
      <c r="AL2293">
        <v>79.610744481984597</v>
      </c>
      <c r="AM2293">
        <v>97.062898364978395</v>
      </c>
      <c r="AN2293">
        <v>1.00000002064766</v>
      </c>
    </row>
    <row r="2294" spans="1:40" x14ac:dyDescent="0.25">
      <c r="A2294" t="str">
        <f>"20190303170808518"</f>
        <v>20190303170808518</v>
      </c>
      <c r="B2294" t="str">
        <f>"1551604088505260"</f>
        <v>1551604088505260</v>
      </c>
      <c r="C2294" t="s">
        <v>40</v>
      </c>
      <c r="D2294">
        <v>4.9054900000000004</v>
      </c>
      <c r="E2294">
        <v>0.4195122</v>
      </c>
      <c r="F2294" t="s">
        <v>41</v>
      </c>
      <c r="G2294">
        <v>-408.74630000000002</v>
      </c>
      <c r="H2294">
        <v>0.64098069999999996</v>
      </c>
      <c r="I2294">
        <v>205.7921</v>
      </c>
      <c r="J2294">
        <v>-480.7158</v>
      </c>
      <c r="K2294">
        <v>1.1265579999999999</v>
      </c>
      <c r="L2294">
        <v>216.49369999999999</v>
      </c>
      <c r="M2294">
        <v>0.88774219999999904</v>
      </c>
      <c r="N2294">
        <v>-7.7592249999999998E-3</v>
      </c>
      <c r="O2294">
        <v>-0.46027590000000002</v>
      </c>
      <c r="P2294">
        <v>0.92199759999999997</v>
      </c>
      <c r="Q2294">
        <v>0.1766422</v>
      </c>
      <c r="R2294">
        <v>-0.34455540000000001</v>
      </c>
      <c r="S2294">
        <v>3.090363</v>
      </c>
      <c r="T2294">
        <v>-2.076149E-2</v>
      </c>
      <c r="U2294">
        <v>-0.46330260000000001</v>
      </c>
      <c r="V2294">
        <v>-0.1212218</v>
      </c>
      <c r="W2294">
        <v>0.18243970000000001</v>
      </c>
      <c r="X2294">
        <v>0.97571560000000002</v>
      </c>
      <c r="Y2294">
        <v>-0.3235654</v>
      </c>
      <c r="Z2294">
        <v>1.6124240000000001E-3</v>
      </c>
      <c r="AA2294">
        <v>0.94620439999999995</v>
      </c>
      <c r="AB2294">
        <v>26</v>
      </c>
      <c r="AC2294">
        <v>71.969499999999897</v>
      </c>
      <c r="AD2294">
        <v>-0.48557729999999999</v>
      </c>
      <c r="AE2294">
        <v>-10.7015999999999</v>
      </c>
      <c r="AF2294">
        <v>-23.625219666243201</v>
      </c>
      <c r="AG2294">
        <v>-0.48557729999999999</v>
      </c>
      <c r="AH2294">
        <v>68.815046533479205</v>
      </c>
      <c r="AI2294">
        <v>90.382381146861903</v>
      </c>
      <c r="AJ2294">
        <v>108.948101586449</v>
      </c>
      <c r="AK2294">
        <v>72.759174122562897</v>
      </c>
      <c r="AL2294">
        <v>79.488101681399499</v>
      </c>
      <c r="AM2294">
        <v>97.082073506130101</v>
      </c>
      <c r="AN2294">
        <v>0.99999995050734303</v>
      </c>
    </row>
    <row r="2295" spans="1:40" x14ac:dyDescent="0.25">
      <c r="A2295" t="str">
        <f>"20190303170808563"</f>
        <v>20190303170808563</v>
      </c>
      <c r="B2295" t="str">
        <f>"1551604088555037"</f>
        <v>1551604088555037</v>
      </c>
      <c r="C2295" t="s">
        <v>40</v>
      </c>
      <c r="D2295">
        <v>4.9126019999999997</v>
      </c>
      <c r="E2295">
        <v>0.42061359999999998</v>
      </c>
      <c r="F2295" t="s">
        <v>83</v>
      </c>
      <c r="G2295">
        <v>-352.63409999999999</v>
      </c>
      <c r="H2295">
        <v>0.4470692</v>
      </c>
      <c r="I2295">
        <v>198.49180000000001</v>
      </c>
      <c r="J2295">
        <v>-480.23099999999999</v>
      </c>
      <c r="K2295">
        <v>1.127138</v>
      </c>
      <c r="L2295">
        <v>216.26730000000001</v>
      </c>
      <c r="M2295">
        <v>0.89632710000000004</v>
      </c>
      <c r="N2295">
        <v>-7.8291490000000005E-3</v>
      </c>
      <c r="O2295">
        <v>-0.44332440000000001</v>
      </c>
      <c r="P2295">
        <v>0.92683680000000002</v>
      </c>
      <c r="Q2295">
        <v>0.18171889999999999</v>
      </c>
      <c r="R2295">
        <v>-0.32856039999999997</v>
      </c>
      <c r="S2295">
        <v>3.0944210000000001</v>
      </c>
      <c r="T2295">
        <v>-1.6415949999999999E-2</v>
      </c>
      <c r="U2295">
        <v>-0.43492130000000001</v>
      </c>
      <c r="V2295">
        <v>-0.1194437</v>
      </c>
      <c r="W2295">
        <v>0.18745010000000001</v>
      </c>
      <c r="X2295">
        <v>0.97498490000000004</v>
      </c>
      <c r="Y2295">
        <v>-0.31425429999999999</v>
      </c>
      <c r="Z2295">
        <v>7.4850830000000004E-4</v>
      </c>
      <c r="AA2295">
        <v>0.94933860000000003</v>
      </c>
      <c r="AB2295">
        <v>26</v>
      </c>
      <c r="AC2295">
        <v>127.59690000000001</v>
      </c>
      <c r="AD2295">
        <v>-0.68006879999999903</v>
      </c>
      <c r="AE2295">
        <v>-17.775499999999901</v>
      </c>
      <c r="AF2295">
        <v>-40.634268033317902</v>
      </c>
      <c r="AG2295">
        <v>-0.68006879999999903</v>
      </c>
      <c r="AH2295">
        <v>122.24920696173599</v>
      </c>
      <c r="AI2295">
        <v>90.302461132883593</v>
      </c>
      <c r="AJ2295">
        <v>108.386229383624</v>
      </c>
      <c r="AK2295">
        <v>128.82730624735399</v>
      </c>
      <c r="AL2295">
        <v>79.195987205846606</v>
      </c>
      <c r="AM2295">
        <v>96.984403515959499</v>
      </c>
      <c r="AN2295">
        <v>0.99999994634385303</v>
      </c>
    </row>
    <row r="2296" spans="1:40" x14ac:dyDescent="0.25">
      <c r="A2296" t="str">
        <f>"20190303170808582"</f>
        <v>20190303170808582</v>
      </c>
      <c r="B2296" t="str">
        <f>"1551604088574556"</f>
        <v>1551604088574556</v>
      </c>
      <c r="C2296" t="s">
        <v>40</v>
      </c>
      <c r="D2296">
        <v>4.9171860000000001</v>
      </c>
      <c r="E2296">
        <v>0.4246182</v>
      </c>
      <c r="F2296" t="s">
        <v>83</v>
      </c>
      <c r="G2296">
        <v>-341.7518</v>
      </c>
      <c r="H2296">
        <v>0.83957559999999998</v>
      </c>
      <c r="I2296">
        <v>198.90729999999999</v>
      </c>
      <c r="J2296">
        <v>-480.02550000000002</v>
      </c>
      <c r="K2296">
        <v>1.1273759999999999</v>
      </c>
      <c r="L2296">
        <v>216.17509999999999</v>
      </c>
      <c r="M2296">
        <v>0.90004329999999999</v>
      </c>
      <c r="N2296">
        <v>-7.8780480000000003E-3</v>
      </c>
      <c r="O2296">
        <v>-0.43572929999999999</v>
      </c>
      <c r="P2296">
        <v>0.92908409999999997</v>
      </c>
      <c r="Q2296">
        <v>0.182837</v>
      </c>
      <c r="R2296">
        <v>-0.32151780000000002</v>
      </c>
      <c r="S2296">
        <v>3.1002809999999998</v>
      </c>
      <c r="T2296">
        <v>-6.4376590000000001E-3</v>
      </c>
      <c r="U2296">
        <v>-0.38865660000000002</v>
      </c>
      <c r="V2296">
        <v>-0.118629</v>
      </c>
      <c r="W2296">
        <v>0.1885619</v>
      </c>
      <c r="X2296">
        <v>0.97487000000000001</v>
      </c>
      <c r="Y2296">
        <v>-0.3203897</v>
      </c>
      <c r="Z2296">
        <v>-1.0632009999999999E-3</v>
      </c>
      <c r="AA2296">
        <v>0.94728520000000005</v>
      </c>
      <c r="AB2296">
        <v>27</v>
      </c>
      <c r="AC2296">
        <v>138.27369999999999</v>
      </c>
      <c r="AD2296">
        <v>-0.28780040000000001</v>
      </c>
      <c r="AE2296">
        <v>-17.267799999999902</v>
      </c>
      <c r="AF2296">
        <v>-44.709330904930397</v>
      </c>
      <c r="AG2296">
        <v>-0.28780040000000001</v>
      </c>
      <c r="AH2296">
        <v>131.97993446536799</v>
      </c>
      <c r="AI2296">
        <v>90.118335575381593</v>
      </c>
      <c r="AJ2296">
        <v>108.71424971650799</v>
      </c>
      <c r="AK2296">
        <v>139.347444183665</v>
      </c>
      <c r="AL2296">
        <v>79.131129491963804</v>
      </c>
      <c r="AM2296">
        <v>96.938039846855801</v>
      </c>
      <c r="AN2296">
        <v>0.99999997333630397</v>
      </c>
    </row>
    <row r="2297" spans="1:40" x14ac:dyDescent="0.25">
      <c r="A2297" t="str">
        <f>"20190303170808605"</f>
        <v>20190303170808605</v>
      </c>
      <c r="B2297" t="str">
        <f>"1551604088595052"</f>
        <v>1551604088595052</v>
      </c>
      <c r="C2297" t="s">
        <v>40</v>
      </c>
      <c r="D2297">
        <v>4.9210320000000003</v>
      </c>
      <c r="E2297">
        <v>0.42562</v>
      </c>
      <c r="F2297" t="s">
        <v>46</v>
      </c>
      <c r="G2297">
        <v>-330.60219999999998</v>
      </c>
      <c r="H2297">
        <v>-0.05</v>
      </c>
      <c r="I2297">
        <v>197.1328</v>
      </c>
      <c r="J2297">
        <v>-479.77170000000001</v>
      </c>
      <c r="K2297">
        <v>1.127678</v>
      </c>
      <c r="L2297">
        <v>216.06450000000001</v>
      </c>
      <c r="M2297">
        <v>0.90465980000000001</v>
      </c>
      <c r="N2297">
        <v>-7.9550109999999997E-3</v>
      </c>
      <c r="O2297">
        <v>-0.4260601</v>
      </c>
      <c r="P2297">
        <v>0.93235159999999995</v>
      </c>
      <c r="Q2297">
        <v>0.1825533</v>
      </c>
      <c r="R2297">
        <v>-0.31208130000000001</v>
      </c>
      <c r="S2297">
        <v>3.0971679999999999</v>
      </c>
      <c r="T2297">
        <v>-2.440405E-2</v>
      </c>
      <c r="U2297">
        <v>-0.39469910000000002</v>
      </c>
      <c r="V2297">
        <v>-0.1182242</v>
      </c>
      <c r="W2297">
        <v>0.18827720000000001</v>
      </c>
      <c r="X2297">
        <v>0.97497420000000001</v>
      </c>
      <c r="Y2297">
        <v>-0.30826979999999998</v>
      </c>
      <c r="Z2297">
        <v>2.194919E-3</v>
      </c>
      <c r="AA2297">
        <v>0.95129640000000004</v>
      </c>
      <c r="AB2297">
        <v>27</v>
      </c>
      <c r="AC2297">
        <v>149.1695</v>
      </c>
      <c r="AD2297">
        <v>-1.177678</v>
      </c>
      <c r="AE2297">
        <v>-18.931699999999999</v>
      </c>
      <c r="AF2297">
        <v>-46.427048972572202</v>
      </c>
      <c r="AG2297">
        <v>-1.177678</v>
      </c>
      <c r="AH2297">
        <v>143.00945606183399</v>
      </c>
      <c r="AI2297">
        <v>90.4487631230472</v>
      </c>
      <c r="AJ2297">
        <v>107.985670104645</v>
      </c>
      <c r="AK2297">
        <v>150.361438955854</v>
      </c>
      <c r="AL2297">
        <v>79.147739153972296</v>
      </c>
      <c r="AM2297">
        <v>96.913862787905501</v>
      </c>
      <c r="AN2297">
        <v>0.99999997808555896</v>
      </c>
    </row>
    <row r="2298" spans="1:40" x14ac:dyDescent="0.25">
      <c r="A2298" t="str">
        <f>"20190303170808627"</f>
        <v>20190303170808627</v>
      </c>
      <c r="B2298" t="str">
        <f>"1551604088614572"</f>
        <v>1551604088614572</v>
      </c>
      <c r="C2298" t="s">
        <v>40</v>
      </c>
      <c r="D2298">
        <v>4.9257600000000004</v>
      </c>
      <c r="E2298">
        <v>0.42638039999999999</v>
      </c>
      <c r="F2298" t="s">
        <v>46</v>
      </c>
      <c r="G2298">
        <v>-347.99709999999999</v>
      </c>
      <c r="H2298">
        <v>-0.05</v>
      </c>
      <c r="I2298">
        <v>200.33959999999999</v>
      </c>
      <c r="J2298">
        <v>-479.5385</v>
      </c>
      <c r="K2298">
        <v>1.1279699999999999</v>
      </c>
      <c r="L2298">
        <v>215.96610000000001</v>
      </c>
      <c r="M2298">
        <v>0.90893349999999995</v>
      </c>
      <c r="N2298">
        <v>-8.0496159999999903E-3</v>
      </c>
      <c r="O2298">
        <v>-0.4168636</v>
      </c>
      <c r="P2298">
        <v>0.93547049999999998</v>
      </c>
      <c r="Q2298">
        <v>0.18325759999999999</v>
      </c>
      <c r="R2298">
        <v>-0.30217870000000002</v>
      </c>
      <c r="S2298">
        <v>3.0992739999999999</v>
      </c>
      <c r="T2298">
        <v>-2.7698400000000001E-2</v>
      </c>
      <c r="U2298">
        <v>-0.36984250000000002</v>
      </c>
      <c r="V2298">
        <v>-0.11876100000000001</v>
      </c>
      <c r="W2298">
        <v>0.18898329999999999</v>
      </c>
      <c r="X2298">
        <v>0.97477230000000004</v>
      </c>
      <c r="Y2298">
        <v>-0.30621399999999999</v>
      </c>
      <c r="Z2298">
        <v>2.7568319999999999E-3</v>
      </c>
      <c r="AA2298">
        <v>0.95195870000000005</v>
      </c>
      <c r="AB2298">
        <v>27</v>
      </c>
      <c r="AC2298">
        <v>131.54140000000001</v>
      </c>
      <c r="AD2298">
        <v>-1.17797</v>
      </c>
      <c r="AE2298">
        <v>-15.6265</v>
      </c>
      <c r="AF2298">
        <v>-40.6294724029229</v>
      </c>
      <c r="AG2298">
        <v>-1.17797</v>
      </c>
      <c r="AH2298">
        <v>126.07060914814301</v>
      </c>
      <c r="AI2298">
        <v>90.509535286748999</v>
      </c>
      <c r="AJ2298">
        <v>107.862861055753</v>
      </c>
      <c r="AK2298">
        <v>132.461089124485</v>
      </c>
      <c r="AL2298">
        <v>79.106542745643495</v>
      </c>
      <c r="AM2298">
        <v>96.946373876626595</v>
      </c>
      <c r="AN2298">
        <v>0.99999994982358797</v>
      </c>
    </row>
    <row r="2299" spans="1:40" x14ac:dyDescent="0.25">
      <c r="A2299" t="str">
        <f>"20190303170808652"</f>
        <v>20190303170808652</v>
      </c>
      <c r="B2299" t="str">
        <f>"1551604088644828"</f>
        <v>1551604088644828</v>
      </c>
      <c r="C2299" t="s">
        <v>40</v>
      </c>
      <c r="D2299">
        <v>4.9572010000000004</v>
      </c>
      <c r="E2299">
        <v>0.42719099999999999</v>
      </c>
      <c r="F2299" t="s">
        <v>46</v>
      </c>
      <c r="G2299">
        <v>-355.27449999999999</v>
      </c>
      <c r="H2299">
        <v>-0.05</v>
      </c>
      <c r="I2299">
        <v>202.27969999999999</v>
      </c>
      <c r="J2299">
        <v>-479.267</v>
      </c>
      <c r="K2299">
        <v>1.1283160000000001</v>
      </c>
      <c r="L2299">
        <v>215.85560000000001</v>
      </c>
      <c r="M2299">
        <v>0.91393049999999998</v>
      </c>
      <c r="N2299">
        <v>-8.1947659999999992E-3</v>
      </c>
      <c r="O2299">
        <v>-0.40578819999999999</v>
      </c>
      <c r="P2299">
        <v>0.93877310000000003</v>
      </c>
      <c r="Q2299">
        <v>0.18502250000000001</v>
      </c>
      <c r="R2299">
        <v>-0.29064060000000003</v>
      </c>
      <c r="S2299">
        <v>3.102325</v>
      </c>
      <c r="T2299">
        <v>-2.9408690000000001E-2</v>
      </c>
      <c r="U2299">
        <v>-0.3416901</v>
      </c>
      <c r="V2299">
        <v>-0.1189612</v>
      </c>
      <c r="W2299">
        <v>0.1907923</v>
      </c>
      <c r="X2299">
        <v>0.97439549999999997</v>
      </c>
      <c r="Y2299">
        <v>-0.30327969999999999</v>
      </c>
      <c r="Z2299">
        <v>2.9986750000000001E-3</v>
      </c>
      <c r="AA2299">
        <v>0.95289679999999999</v>
      </c>
      <c r="AB2299">
        <v>27</v>
      </c>
      <c r="AC2299">
        <v>123.99250000000001</v>
      </c>
      <c r="AD2299">
        <v>-1.1783159999999999</v>
      </c>
      <c r="AE2299">
        <v>-13.575900000000001</v>
      </c>
      <c r="AF2299">
        <v>-37.905151213474902</v>
      </c>
      <c r="AG2299">
        <v>-1.1783159999999999</v>
      </c>
      <c r="AH2299">
        <v>118.822843523524</v>
      </c>
      <c r="AI2299">
        <v>90.541286437019295</v>
      </c>
      <c r="AJ2299">
        <v>107.69297353445999</v>
      </c>
      <c r="AK2299">
        <v>124.727932156867</v>
      </c>
      <c r="AL2299">
        <v>79.000974806909994</v>
      </c>
      <c r="AM2299">
        <v>96.960633219035699</v>
      </c>
      <c r="AN2299">
        <v>1.00000002963248</v>
      </c>
    </row>
    <row r="2300" spans="1:40" x14ac:dyDescent="0.25">
      <c r="A2300" t="str">
        <f>"20190303170808673"</f>
        <v>20190303170808673</v>
      </c>
      <c r="B2300" t="str">
        <f>"1551604088665325"</f>
        <v>1551604088665325</v>
      </c>
      <c r="C2300" t="s">
        <v>40</v>
      </c>
      <c r="D2300">
        <v>4.9316979999999999</v>
      </c>
      <c r="E2300">
        <v>0.4310775</v>
      </c>
      <c r="F2300" t="s">
        <v>46</v>
      </c>
      <c r="G2300">
        <v>-347.85469999999998</v>
      </c>
      <c r="H2300">
        <v>-0.05</v>
      </c>
      <c r="I2300">
        <v>202.767</v>
      </c>
      <c r="J2300">
        <v>-479.03339999999997</v>
      </c>
      <c r="K2300">
        <v>1.1285940000000001</v>
      </c>
      <c r="L2300">
        <v>215.76400000000001</v>
      </c>
      <c r="M2300">
        <v>0.91821790000000003</v>
      </c>
      <c r="N2300">
        <v>-8.3453039999999996E-3</v>
      </c>
      <c r="O2300">
        <v>-0.3959878</v>
      </c>
      <c r="P2300">
        <v>0.94160339999999998</v>
      </c>
      <c r="Q2300">
        <v>0.1867193</v>
      </c>
      <c r="R2300">
        <v>-0.28021230000000003</v>
      </c>
      <c r="S2300">
        <v>3.1053769999999998</v>
      </c>
      <c r="T2300">
        <v>-2.7844549999999999E-2</v>
      </c>
      <c r="U2300">
        <v>-0.30929570000000001</v>
      </c>
      <c r="V2300">
        <v>-0.1193673</v>
      </c>
      <c r="W2300">
        <v>0.19255249999999999</v>
      </c>
      <c r="X2300">
        <v>0.97399950000000002</v>
      </c>
      <c r="Y2300">
        <v>-0.30302200000000001</v>
      </c>
      <c r="Z2300">
        <v>2.6886599999999998E-3</v>
      </c>
      <c r="AA2300">
        <v>0.95297969999999999</v>
      </c>
      <c r="AB2300">
        <v>27</v>
      </c>
      <c r="AC2300">
        <v>131.17869999999999</v>
      </c>
      <c r="AD2300">
        <v>-1.1785939999999999</v>
      </c>
      <c r="AE2300">
        <v>-12.997</v>
      </c>
      <c r="AF2300">
        <v>-40.009279932824398</v>
      </c>
      <c r="AG2300">
        <v>-1.1785939999999999</v>
      </c>
      <c r="AH2300">
        <v>125.591612090155</v>
      </c>
      <c r="AI2300">
        <v>90.512301269405498</v>
      </c>
      <c r="AJ2300">
        <v>107.670136239699</v>
      </c>
      <c r="AK2300">
        <v>131.81572209703899</v>
      </c>
      <c r="AL2300">
        <v>78.898217449000001</v>
      </c>
      <c r="AM2300">
        <v>96.986972066486601</v>
      </c>
      <c r="AN2300">
        <v>1.0000000217828899</v>
      </c>
    </row>
    <row r="2301" spans="1:40" x14ac:dyDescent="0.25">
      <c r="A2301" t="str">
        <f>"20190303170808695"</f>
        <v>20190303170808695</v>
      </c>
      <c r="B2301" t="str">
        <f>"1551604088684846"</f>
        <v>1551604088684846</v>
      </c>
      <c r="C2301" t="s">
        <v>40</v>
      </c>
      <c r="D2301">
        <v>4.9298900000000003</v>
      </c>
      <c r="E2301">
        <v>0.43172670000000002</v>
      </c>
      <c r="F2301" t="s">
        <v>71</v>
      </c>
      <c r="G2301">
        <v>-408.71339999999998</v>
      </c>
      <c r="H2301">
        <v>8.0001020000000006E-2</v>
      </c>
      <c r="I2301">
        <v>208.8656</v>
      </c>
      <c r="J2301">
        <v>-478.78609999999998</v>
      </c>
      <c r="K2301">
        <v>1.1288400000000001</v>
      </c>
      <c r="L2301">
        <v>215.6705</v>
      </c>
      <c r="M2301">
        <v>0.92272449999999995</v>
      </c>
      <c r="N2301">
        <v>-8.5128840000000001E-3</v>
      </c>
      <c r="O2301">
        <v>-0.38536609999999899</v>
      </c>
      <c r="P2301">
        <v>0.94460390000000005</v>
      </c>
      <c r="Q2301">
        <v>0.18701699999999999</v>
      </c>
      <c r="R2301">
        <v>-0.26971879999999998</v>
      </c>
      <c r="S2301">
        <v>3.1046140000000002</v>
      </c>
      <c r="T2301">
        <v>-4.6295169999999997E-2</v>
      </c>
      <c r="U2301">
        <v>-0.30456539999999999</v>
      </c>
      <c r="V2301">
        <v>-0.1190624</v>
      </c>
      <c r="W2301">
        <v>0.19295300000000001</v>
      </c>
      <c r="X2301">
        <v>0.97395750000000003</v>
      </c>
      <c r="Y2301">
        <v>-0.29339199999999999</v>
      </c>
      <c r="Z2301">
        <v>5.6705139999999998E-3</v>
      </c>
      <c r="AA2301">
        <v>0.95597540000000003</v>
      </c>
      <c r="AB2301">
        <v>27</v>
      </c>
      <c r="AC2301">
        <v>70.072699999999998</v>
      </c>
      <c r="AD2301">
        <v>-1.04883898</v>
      </c>
      <c r="AE2301">
        <v>-6.8048999999999999</v>
      </c>
      <c r="AF2301">
        <v>-20.720747275685799</v>
      </c>
      <c r="AG2301">
        <v>-1.04883898</v>
      </c>
      <c r="AH2301">
        <v>67.267683083824195</v>
      </c>
      <c r="AI2301">
        <v>90.853706473241004</v>
      </c>
      <c r="AJ2301">
        <v>107.120622310218</v>
      </c>
      <c r="AK2301">
        <v>70.394535429496401</v>
      </c>
      <c r="AL2301">
        <v>78.874831293681893</v>
      </c>
      <c r="AM2301">
        <v>96.969598556707595</v>
      </c>
      <c r="AN2301">
        <v>0.99999996355450405</v>
      </c>
    </row>
    <row r="2302" spans="1:40" x14ac:dyDescent="0.25">
      <c r="A2302" t="str">
        <f>"20190303170808746"</f>
        <v>20190303170808746</v>
      </c>
      <c r="B2302" t="str">
        <f>"1551604088735597"</f>
        <v>1551604088735597</v>
      </c>
      <c r="C2302" t="s">
        <v>40</v>
      </c>
      <c r="D2302">
        <v>4.9419469999999999</v>
      </c>
      <c r="E2302">
        <v>0.4373223</v>
      </c>
      <c r="F2302" t="s">
        <v>71</v>
      </c>
      <c r="G2302">
        <v>-406.96269999999998</v>
      </c>
      <c r="H2302">
        <v>8.0001349999999999E-2</v>
      </c>
      <c r="I2302">
        <v>209.32919999999999</v>
      </c>
      <c r="J2302">
        <v>-478.21879999999999</v>
      </c>
      <c r="K2302">
        <v>1.1292879999999901</v>
      </c>
      <c r="L2302">
        <v>215.46879999999999</v>
      </c>
      <c r="M2302">
        <v>0.9328128</v>
      </c>
      <c r="N2302">
        <v>-8.9112459999999994E-3</v>
      </c>
      <c r="O2302">
        <v>-0.36025089999999999</v>
      </c>
      <c r="P2302">
        <v>0.95097149999999997</v>
      </c>
      <c r="Q2302">
        <v>0.18724689999999999</v>
      </c>
      <c r="R2302">
        <v>-0.2461535</v>
      </c>
      <c r="S2302">
        <v>3.1065369999999999</v>
      </c>
      <c r="T2302">
        <v>-4.536486E-2</v>
      </c>
      <c r="U2302">
        <v>-0.27427669999999998</v>
      </c>
      <c r="V2302">
        <v>-0.117102</v>
      </c>
      <c r="W2302">
        <v>0.19349849999999999</v>
      </c>
      <c r="X2302">
        <v>0.97408700000000004</v>
      </c>
      <c r="Y2302">
        <v>-0.27677600000000002</v>
      </c>
      <c r="Z2302">
        <v>5.1184450000000001E-3</v>
      </c>
      <c r="AA2302">
        <v>0.96092080000000002</v>
      </c>
      <c r="AB2302">
        <v>27</v>
      </c>
      <c r="AC2302">
        <v>71.256100000000004</v>
      </c>
      <c r="AD2302">
        <v>-1.04928664999999</v>
      </c>
      <c r="AE2302">
        <v>-6.1395999999999997</v>
      </c>
      <c r="AF2302">
        <v>-19.939478297759099</v>
      </c>
      <c r="AG2302">
        <v>-1.04928664999999</v>
      </c>
      <c r="AH2302">
        <v>68.668350689276096</v>
      </c>
      <c r="AI2302">
        <v>90.840719054615704</v>
      </c>
      <c r="AJ2302">
        <v>106.191903796608</v>
      </c>
      <c r="AK2302">
        <v>71.512419785979006</v>
      </c>
      <c r="AL2302">
        <v>78.842976701604002</v>
      </c>
      <c r="AM2302">
        <v>96.855040403392806</v>
      </c>
      <c r="AN2302">
        <v>1.0000000157376201</v>
      </c>
    </row>
    <row r="2303" spans="1:40" x14ac:dyDescent="0.25">
      <c r="A2303" t="str">
        <f>"20190303170808784"</f>
        <v>20190303170808784</v>
      </c>
      <c r="B2303" t="str">
        <f>"1551604088774636"</f>
        <v>1551604088774636</v>
      </c>
      <c r="C2303" t="s">
        <v>40</v>
      </c>
      <c r="D2303">
        <v>4.9680140000000002</v>
      </c>
      <c r="E2303">
        <v>0.43983369999999999</v>
      </c>
      <c r="F2303" t="s">
        <v>71</v>
      </c>
      <c r="G2303">
        <v>-426.57560000000001</v>
      </c>
      <c r="H2303" s="1">
        <v>3.072239E-6</v>
      </c>
      <c r="I2303">
        <v>211.48169999999999</v>
      </c>
      <c r="J2303">
        <v>-477.78960000000001</v>
      </c>
      <c r="K2303">
        <v>1.129532</v>
      </c>
      <c r="L2303">
        <v>215.32839999999999</v>
      </c>
      <c r="M2303">
        <v>0.94011610000000001</v>
      </c>
      <c r="N2303">
        <v>-9.2279279999999998E-3</v>
      </c>
      <c r="O2303">
        <v>-0.34072930000000001</v>
      </c>
      <c r="P2303">
        <v>0.95673969999999997</v>
      </c>
      <c r="Q2303">
        <v>0.1846584</v>
      </c>
      <c r="R2303">
        <v>-0.2248339</v>
      </c>
      <c r="S2303">
        <v>3.1059570000000001</v>
      </c>
      <c r="T2303">
        <v>-6.7918060000000002E-2</v>
      </c>
      <c r="U2303">
        <v>-0.2397919</v>
      </c>
      <c r="V2303">
        <v>-0.118801</v>
      </c>
      <c r="W2303">
        <v>0.19112419999999999</v>
      </c>
      <c r="X2303">
        <v>0.97435000000000005</v>
      </c>
      <c r="Y2303">
        <v>-0.26725100000000002</v>
      </c>
      <c r="Z2303">
        <v>8.2540489999999994E-3</v>
      </c>
      <c r="AA2303">
        <v>0.96359159999999999</v>
      </c>
      <c r="AB2303">
        <v>27</v>
      </c>
      <c r="AC2303">
        <v>51.213999999999999</v>
      </c>
      <c r="AD2303">
        <v>-1.1295289277609999</v>
      </c>
      <c r="AE2303">
        <v>-3.84669999999999</v>
      </c>
      <c r="AF2303">
        <v>-13.827667145638401</v>
      </c>
      <c r="AG2303">
        <v>-1.1295289277609999</v>
      </c>
      <c r="AH2303">
        <v>49.435985852063801</v>
      </c>
      <c r="AI2303">
        <v>91.260519671322697</v>
      </c>
      <c r="AJ2303">
        <v>105.626759609584</v>
      </c>
      <c r="AK2303">
        <v>51.3458558352539</v>
      </c>
      <c r="AL2303">
        <v>78.981601843616104</v>
      </c>
      <c r="AM2303">
        <v>96.951672839701502</v>
      </c>
      <c r="AN2303">
        <v>1.0000000299633101</v>
      </c>
    </row>
    <row r="2304" spans="1:40" x14ac:dyDescent="0.25">
      <c r="A2304" t="str">
        <f>"20190303170808806"</f>
        <v>20190303170808806</v>
      </c>
      <c r="B2304" t="str">
        <f>"1551604088795133"</f>
        <v>1551604088795133</v>
      </c>
      <c r="C2304" t="s">
        <v>40</v>
      </c>
      <c r="D2304">
        <v>4.9225649999999996</v>
      </c>
      <c r="E2304">
        <v>0.44042979999999998</v>
      </c>
      <c r="F2304" t="s">
        <v>71</v>
      </c>
      <c r="G2304">
        <v>-434.45780000000002</v>
      </c>
      <c r="H2304" s="1">
        <v>4.3673779999999997E-6</v>
      </c>
      <c r="I2304">
        <v>212.6311</v>
      </c>
      <c r="J2304">
        <v>-477.53300000000002</v>
      </c>
      <c r="K2304">
        <v>1.129643</v>
      </c>
      <c r="L2304">
        <v>215.2492</v>
      </c>
      <c r="M2304">
        <v>0.94430789999999998</v>
      </c>
      <c r="N2304">
        <v>-9.4298290000000007E-3</v>
      </c>
      <c r="O2304">
        <v>-0.3289281</v>
      </c>
      <c r="P2304">
        <v>0.95895889999999995</v>
      </c>
      <c r="Q2304">
        <v>0.1869353</v>
      </c>
      <c r="R2304">
        <v>-0.21319730000000001</v>
      </c>
      <c r="S2304">
        <v>3.1058349999999999</v>
      </c>
      <c r="T2304">
        <v>-8.095956E-2</v>
      </c>
      <c r="U2304">
        <v>-0.1933289</v>
      </c>
      <c r="V2304">
        <v>-0.1183867</v>
      </c>
      <c r="W2304">
        <v>0.1935761</v>
      </c>
      <c r="X2304">
        <v>0.97391620000000001</v>
      </c>
      <c r="Y2304">
        <v>-0.26947320000000002</v>
      </c>
      <c r="Z2304">
        <v>1.0049539999999999E-2</v>
      </c>
      <c r="AA2304">
        <v>0.96295549999999996</v>
      </c>
      <c r="AB2304">
        <v>27</v>
      </c>
      <c r="AC2304">
        <v>43.075200000000002</v>
      </c>
      <c r="AD2304">
        <v>-1.129638632622</v>
      </c>
      <c r="AE2304">
        <v>-2.6180999999999899</v>
      </c>
      <c r="AF2304">
        <v>-11.688861775165</v>
      </c>
      <c r="AG2304">
        <v>-1.129638632622</v>
      </c>
      <c r="AH2304">
        <v>41.510821082310102</v>
      </c>
      <c r="AI2304">
        <v>91.500487368132696</v>
      </c>
      <c r="AJ2304">
        <v>105.726470974444</v>
      </c>
      <c r="AK2304">
        <v>43.139933240175402</v>
      </c>
      <c r="AL2304">
        <v>78.838444019637606</v>
      </c>
      <c r="AM2304">
        <v>96.930721657864495</v>
      </c>
      <c r="AN2304">
        <v>0.999999940925268</v>
      </c>
    </row>
    <row r="2305" spans="1:40" x14ac:dyDescent="0.25">
      <c r="A2305" t="str">
        <f>"20190303170808832"</f>
        <v>20190303170808832</v>
      </c>
      <c r="B2305" t="str">
        <f>"1551604088825388"</f>
        <v>1551604088825388</v>
      </c>
      <c r="C2305" t="s">
        <v>40</v>
      </c>
      <c r="D2305">
        <v>4.961627</v>
      </c>
      <c r="E2305">
        <v>0.4491388</v>
      </c>
      <c r="F2305" t="s">
        <v>71</v>
      </c>
      <c r="G2305">
        <v>-431.0872</v>
      </c>
      <c r="H2305" s="1">
        <v>2.8542289999999999E-6</v>
      </c>
      <c r="I2305">
        <v>212.84209999999999</v>
      </c>
      <c r="J2305">
        <v>-477.24029999999999</v>
      </c>
      <c r="K2305">
        <v>1.1297619999999999</v>
      </c>
      <c r="L2305">
        <v>215.16329999999999</v>
      </c>
      <c r="M2305">
        <v>0.94891159999999997</v>
      </c>
      <c r="N2305">
        <v>-9.6847970000000002E-3</v>
      </c>
      <c r="O2305">
        <v>-0.31539329999999999</v>
      </c>
      <c r="P2305">
        <v>0.96117600000000003</v>
      </c>
      <c r="Q2305">
        <v>0.18837209999999999</v>
      </c>
      <c r="R2305">
        <v>-0.2016356</v>
      </c>
      <c r="S2305">
        <v>3.1073</v>
      </c>
      <c r="T2305">
        <v>-7.5574760000000005E-2</v>
      </c>
      <c r="U2305">
        <v>-0.161041299999999</v>
      </c>
      <c r="V2305">
        <v>-0.1161756</v>
      </c>
      <c r="W2305">
        <v>0.19528670000000001</v>
      </c>
      <c r="X2305">
        <v>0.97384099999999996</v>
      </c>
      <c r="Y2305">
        <v>-0.26573039999999998</v>
      </c>
      <c r="Z2305">
        <v>8.9669529999999997E-3</v>
      </c>
      <c r="AA2305">
        <v>0.96400569999999997</v>
      </c>
      <c r="AB2305">
        <v>27</v>
      </c>
      <c r="AC2305">
        <v>46.153100000000002</v>
      </c>
      <c r="AD2305">
        <v>-1.1297591457709999</v>
      </c>
      <c r="AE2305">
        <v>-2.3212000000000002</v>
      </c>
      <c r="AF2305">
        <v>-12.3469649941841</v>
      </c>
      <c r="AG2305">
        <v>-1.1297591457709999</v>
      </c>
      <c r="AH2305">
        <v>44.502793617745297</v>
      </c>
      <c r="AI2305">
        <v>91.401302653192303</v>
      </c>
      <c r="AJ2305">
        <v>105.506273945337</v>
      </c>
      <c r="AK2305">
        <v>46.197646477701603</v>
      </c>
      <c r="AL2305">
        <v>78.738527472685405</v>
      </c>
      <c r="AM2305">
        <v>96.803021792887407</v>
      </c>
      <c r="AN2305">
        <v>0.99999997925662398</v>
      </c>
    </row>
    <row r="2306" spans="1:40" x14ac:dyDescent="0.25">
      <c r="A2306" t="str">
        <f>"20190303170808874"</f>
        <v>20190303170808874</v>
      </c>
      <c r="B2306" t="str">
        <f>"1551604088865405"</f>
        <v>1551604088865405</v>
      </c>
      <c r="C2306" t="s">
        <v>40</v>
      </c>
      <c r="D2306">
        <v>4.930256</v>
      </c>
      <c r="E2306">
        <v>0.45655590000000001</v>
      </c>
      <c r="F2306" t="s">
        <v>71</v>
      </c>
      <c r="G2306">
        <v>-437.48379999999997</v>
      </c>
      <c r="H2306" s="1">
        <v>5.7014610000000004E-6</v>
      </c>
      <c r="I2306">
        <v>212.72049999999999</v>
      </c>
      <c r="J2306">
        <v>-476.75880000000001</v>
      </c>
      <c r="K2306">
        <v>1.129885</v>
      </c>
      <c r="L2306">
        <v>215.03210000000001</v>
      </c>
      <c r="M2306">
        <v>0.95604549999999999</v>
      </c>
      <c r="N2306">
        <v>-1.0149719999999999E-2</v>
      </c>
      <c r="O2306">
        <v>-0.29304269999999999</v>
      </c>
      <c r="P2306">
        <v>0.96581220000000001</v>
      </c>
      <c r="Q2306">
        <v>0.18497839999999999</v>
      </c>
      <c r="R2306">
        <v>-0.18163090000000001</v>
      </c>
      <c r="S2306">
        <v>3.0984189999999998</v>
      </c>
      <c r="T2306">
        <v>-8.8047269999999997E-2</v>
      </c>
      <c r="U2306">
        <v>-0.19038389999999999</v>
      </c>
      <c r="V2306">
        <v>-0.1137136</v>
      </c>
      <c r="W2306">
        <v>0.1923868</v>
      </c>
      <c r="X2306">
        <v>0.97470840000000003</v>
      </c>
      <c r="Y2306">
        <v>-0.23369680000000001</v>
      </c>
      <c r="Z2306">
        <v>9.6987140000000006E-3</v>
      </c>
      <c r="AA2306">
        <v>0.97226120000000005</v>
      </c>
      <c r="AB2306">
        <v>27</v>
      </c>
      <c r="AC2306">
        <v>39.274999999999999</v>
      </c>
      <c r="AD2306">
        <v>-1.129879298539</v>
      </c>
      <c r="AE2306">
        <v>-2.3116000000000199</v>
      </c>
      <c r="AF2306">
        <v>-9.2920723409353592</v>
      </c>
      <c r="AG2306">
        <v>-1.129879298539</v>
      </c>
      <c r="AH2306">
        <v>38.196549739368102</v>
      </c>
      <c r="AI2306">
        <v>91.646364746131894</v>
      </c>
      <c r="AJ2306">
        <v>103.67275125589001</v>
      </c>
      <c r="AK2306">
        <v>39.326780285327999</v>
      </c>
      <c r="AL2306">
        <v>78.907891604624297</v>
      </c>
      <c r="AM2306">
        <v>96.654287022314605</v>
      </c>
      <c r="AN2306">
        <v>0.99999996433487903</v>
      </c>
    </row>
    <row r="2307" spans="1:40" x14ac:dyDescent="0.25">
      <c r="A2307" t="str">
        <f>"20190303170808896"</f>
        <v>20190303170808896</v>
      </c>
      <c r="B2307" t="str">
        <f>"1551604088884925"</f>
        <v>1551604088884925</v>
      </c>
      <c r="C2307" t="s">
        <v>40</v>
      </c>
      <c r="D2307">
        <v>4.9221529999999998</v>
      </c>
      <c r="E2307">
        <v>0.45882240000000002</v>
      </c>
      <c r="F2307" t="s">
        <v>63</v>
      </c>
      <c r="G2307">
        <v>-443.2998</v>
      </c>
      <c r="H2307" s="1">
        <v>2.8806019999999998E-7</v>
      </c>
      <c r="I2307">
        <v>213.04140000000001</v>
      </c>
      <c r="J2307">
        <v>-476.49700000000001</v>
      </c>
      <c r="K2307">
        <v>1.129934</v>
      </c>
      <c r="L2307">
        <v>214.9658</v>
      </c>
      <c r="M2307">
        <v>0.95968659999999995</v>
      </c>
      <c r="N2307">
        <v>-1.0406830000000001E-2</v>
      </c>
      <c r="O2307">
        <v>-0.280879299999999</v>
      </c>
      <c r="P2307">
        <v>0.96754320000000005</v>
      </c>
      <c r="Q2307">
        <v>0.18560299999999999</v>
      </c>
      <c r="R2307">
        <v>-0.1714975</v>
      </c>
      <c r="S2307">
        <v>3.091583</v>
      </c>
      <c r="T2307">
        <v>-0.1044004</v>
      </c>
      <c r="U2307">
        <v>-0.18394469999999999</v>
      </c>
      <c r="V2307">
        <v>-0.11154650000000001</v>
      </c>
      <c r="W2307">
        <v>0.19330620000000001</v>
      </c>
      <c r="X2307">
        <v>0.97477689999999995</v>
      </c>
      <c r="Y2307">
        <v>-0.2231592</v>
      </c>
      <c r="Z2307">
        <v>1.132711E-2</v>
      </c>
      <c r="AA2307">
        <v>0.97471620000000003</v>
      </c>
      <c r="AB2307">
        <v>27</v>
      </c>
      <c r="AC2307">
        <v>33.197199999999903</v>
      </c>
      <c r="AD2307">
        <v>-1.1299337119398001</v>
      </c>
      <c r="AE2307">
        <v>-1.9243999999999899</v>
      </c>
      <c r="AF2307">
        <v>-7.4693664858285098</v>
      </c>
      <c r="AG2307">
        <v>-1.1299337119398001</v>
      </c>
      <c r="AH2307">
        <v>32.363820585185003</v>
      </c>
      <c r="AI2307">
        <v>91.948405654557504</v>
      </c>
      <c r="AJ2307">
        <v>102.99594886799299</v>
      </c>
      <c r="AK2307">
        <v>33.233794077159502</v>
      </c>
      <c r="AL2307">
        <v>78.854206041161206</v>
      </c>
      <c r="AM2307">
        <v>96.528123249796295</v>
      </c>
      <c r="AN2307">
        <v>0.99999995669714903</v>
      </c>
    </row>
    <row r="2308" spans="1:40" x14ac:dyDescent="0.25">
      <c r="A2308" t="str">
        <f>"20190303170808919"</f>
        <v>20190303170808919</v>
      </c>
      <c r="B2308" t="str">
        <f>"1551604088915181"</f>
        <v>1551604088915181</v>
      </c>
      <c r="C2308" t="s">
        <v>40</v>
      </c>
      <c r="D2308">
        <v>4.9278259999999996</v>
      </c>
      <c r="E2308">
        <v>0.46072679999999999</v>
      </c>
      <c r="F2308" t="s">
        <v>63</v>
      </c>
      <c r="G2308">
        <v>-444.29660000000001</v>
      </c>
      <c r="H2308" s="1">
        <v>8.1210999999999998E-7</v>
      </c>
      <c r="I2308">
        <v>213.18790000000001</v>
      </c>
      <c r="J2308">
        <v>-476.24349999999998</v>
      </c>
      <c r="K2308">
        <v>1.1299669999999999</v>
      </c>
      <c r="L2308">
        <v>214.905</v>
      </c>
      <c r="M2308">
        <v>0.96304400000000001</v>
      </c>
      <c r="N2308">
        <v>-1.0654429999999999E-2</v>
      </c>
      <c r="O2308">
        <v>-0.26913330000000002</v>
      </c>
      <c r="P2308">
        <v>0.9686188</v>
      </c>
      <c r="Q2308">
        <v>0.1878648</v>
      </c>
      <c r="R2308">
        <v>-0.162741</v>
      </c>
      <c r="S2308">
        <v>3.0912169999999999</v>
      </c>
      <c r="T2308">
        <v>-0.1084731</v>
      </c>
      <c r="U2308">
        <v>-0.1706848</v>
      </c>
      <c r="V2308">
        <v>-0.10838639999999999</v>
      </c>
      <c r="W2308">
        <v>0.19587869999999999</v>
      </c>
      <c r="X2308">
        <v>0.97461989999999998</v>
      </c>
      <c r="Y2308">
        <v>-0.2153938</v>
      </c>
      <c r="Z2308">
        <v>1.1354799999999899E-2</v>
      </c>
      <c r="AA2308">
        <v>0.97646120000000003</v>
      </c>
      <c r="AB2308">
        <v>27</v>
      </c>
      <c r="AC2308">
        <v>31.9468999999999</v>
      </c>
      <c r="AD2308">
        <v>-1.12996618788999</v>
      </c>
      <c r="AE2308">
        <v>-1.7170999999999801</v>
      </c>
      <c r="AF2308">
        <v>-6.9360736115628203</v>
      </c>
      <c r="AG2308">
        <v>-1.12996618788999</v>
      </c>
      <c r="AH2308">
        <v>31.1912625275293</v>
      </c>
      <c r="AI2308">
        <v>92.025318946725505</v>
      </c>
      <c r="AJ2308">
        <v>102.537003062712</v>
      </c>
      <c r="AK2308">
        <v>31.973126196730401</v>
      </c>
      <c r="AL2308">
        <v>78.703940784910401</v>
      </c>
      <c r="AM2308">
        <v>96.345725842853795</v>
      </c>
      <c r="AN2308">
        <v>1.0000000131473299</v>
      </c>
    </row>
    <row r="2309" spans="1:40" x14ac:dyDescent="0.25">
      <c r="A2309" t="str">
        <f>"20190303170808943"</f>
        <v>20190303170808943</v>
      </c>
      <c r="B2309" t="str">
        <f>"1551604088934700"</f>
        <v>1551604088934700</v>
      </c>
      <c r="C2309" t="s">
        <v>40</v>
      </c>
      <c r="D2309">
        <v>4.9124470000000002</v>
      </c>
      <c r="E2309">
        <v>0.46647650000000002</v>
      </c>
      <c r="F2309" t="s">
        <v>63</v>
      </c>
      <c r="G2309">
        <v>-443.44200000000001</v>
      </c>
      <c r="H2309" s="1">
        <v>3.5609489999999999E-7</v>
      </c>
      <c r="I2309">
        <v>213.21549999999999</v>
      </c>
      <c r="J2309">
        <v>-475.94979999999998</v>
      </c>
      <c r="K2309">
        <v>1.1299680000000001</v>
      </c>
      <c r="L2309">
        <v>214.83850000000001</v>
      </c>
      <c r="M2309">
        <v>0.96671530000000006</v>
      </c>
      <c r="N2309">
        <v>-1.094143E-2</v>
      </c>
      <c r="O2309">
        <v>-0.25562059999999998</v>
      </c>
      <c r="P2309">
        <v>0.97013890000000003</v>
      </c>
      <c r="Q2309">
        <v>0.18879860000000001</v>
      </c>
      <c r="R2309">
        <v>-0.15226819999999999</v>
      </c>
      <c r="S2309">
        <v>3.0910950000000001</v>
      </c>
      <c r="T2309">
        <v>-0.10648390000000001</v>
      </c>
      <c r="U2309">
        <v>-0.1592102</v>
      </c>
      <c r="V2309">
        <v>-0.10522380000000001</v>
      </c>
      <c r="W2309">
        <v>0.19717419999999999</v>
      </c>
      <c r="X2309">
        <v>0.97470520000000005</v>
      </c>
      <c r="Y2309">
        <v>-0.205342</v>
      </c>
      <c r="Z2309">
        <v>1.054392E-2</v>
      </c>
      <c r="AA2309">
        <v>0.97863350000000005</v>
      </c>
      <c r="AB2309">
        <v>27</v>
      </c>
      <c r="AC2309">
        <v>32.507800000000003</v>
      </c>
      <c r="AD2309">
        <v>-1.1299676439051001</v>
      </c>
      <c r="AE2309">
        <v>-1.62300000000001</v>
      </c>
      <c r="AF2309">
        <v>-6.7329727768622396</v>
      </c>
      <c r="AG2309">
        <v>-1.1299676439051001</v>
      </c>
      <c r="AH2309">
        <v>31.804232783337401</v>
      </c>
      <c r="AI2309">
        <v>91.990713546231405</v>
      </c>
      <c r="AJ2309">
        <v>101.95306473061</v>
      </c>
      <c r="AK2309">
        <v>32.528740710746099</v>
      </c>
      <c r="AL2309">
        <v>78.628237280677496</v>
      </c>
      <c r="AM2309">
        <v>96.161474802221505</v>
      </c>
      <c r="AN2309">
        <v>0.99999997006955899</v>
      </c>
    </row>
    <row r="2310" spans="1:40" x14ac:dyDescent="0.25">
      <c r="A2310" t="str">
        <f>"20190303170808985"</f>
        <v>20190303170808985</v>
      </c>
      <c r="B2310" t="str">
        <f>"1551604088974717"</f>
        <v>1551604088974717</v>
      </c>
      <c r="C2310" t="s">
        <v>40</v>
      </c>
      <c r="D2310">
        <v>4.9333710000000002</v>
      </c>
      <c r="E2310">
        <v>0.46754679999999998</v>
      </c>
      <c r="F2310" t="s">
        <v>63</v>
      </c>
      <c r="G2310">
        <v>-446.0668</v>
      </c>
      <c r="H2310" s="1">
        <v>1.7541639999999999E-6</v>
      </c>
      <c r="I2310">
        <v>213.18629999999999</v>
      </c>
      <c r="J2310">
        <v>-475.459</v>
      </c>
      <c r="K2310">
        <v>1.129812</v>
      </c>
      <c r="L2310">
        <v>214.73650000000001</v>
      </c>
      <c r="M2310">
        <v>0.97230740000000004</v>
      </c>
      <c r="N2310">
        <v>-1.1374230000000001E-2</v>
      </c>
      <c r="O2310">
        <v>-0.2334291</v>
      </c>
      <c r="P2310">
        <v>0.97402100000000003</v>
      </c>
      <c r="Q2310">
        <v>0.18401609999999999</v>
      </c>
      <c r="R2310">
        <v>-0.1319902</v>
      </c>
      <c r="S2310">
        <v>3.088257</v>
      </c>
      <c r="T2310">
        <v>-0.11677609999999999</v>
      </c>
      <c r="U2310">
        <v>-0.170745799999999</v>
      </c>
      <c r="V2310">
        <v>-0.1032841</v>
      </c>
      <c r="W2310">
        <v>0.19291269999999999</v>
      </c>
      <c r="X2310">
        <v>0.97576490000000005</v>
      </c>
      <c r="Y2310">
        <v>-0.1791652</v>
      </c>
      <c r="Z2310">
        <v>1.0469289999999999E-2</v>
      </c>
      <c r="AA2310">
        <v>0.98376330000000001</v>
      </c>
      <c r="AB2310">
        <v>27</v>
      </c>
      <c r="AC2310">
        <v>29.392199999999999</v>
      </c>
      <c r="AD2310">
        <v>-1.129810245836</v>
      </c>
      <c r="AE2310">
        <v>-1.55020000000001</v>
      </c>
      <c r="AF2310">
        <v>-5.3461922410797103</v>
      </c>
      <c r="AG2310">
        <v>-1.129810245836</v>
      </c>
      <c r="AH2310">
        <v>28.8994023894595</v>
      </c>
      <c r="AI2310">
        <v>92.201499013068002</v>
      </c>
      <c r="AJ2310">
        <v>100.480840112346</v>
      </c>
      <c r="AK2310">
        <v>29.411455270660699</v>
      </c>
      <c r="AL2310">
        <v>78.877185247792994</v>
      </c>
      <c r="AM2310">
        <v>96.042223327954403</v>
      </c>
      <c r="AN2310">
        <v>1.0000000276030501</v>
      </c>
    </row>
    <row r="2311" spans="1:40" x14ac:dyDescent="0.25">
      <c r="A2311" t="str">
        <f>"20190303170809031"</f>
        <v>20190303170809031</v>
      </c>
      <c r="B2311" t="str">
        <f>"1551604089025468"</f>
        <v>1551604089025468</v>
      </c>
      <c r="C2311" t="s">
        <v>40</v>
      </c>
      <c r="D2311">
        <v>4.8643369999999999</v>
      </c>
      <c r="E2311">
        <v>0.46987960000000001</v>
      </c>
      <c r="F2311" t="s">
        <v>63</v>
      </c>
      <c r="G2311">
        <v>-448.78960000000001</v>
      </c>
      <c r="H2311" s="1">
        <v>3.1786610000000001E-6</v>
      </c>
      <c r="I2311">
        <v>213.74510000000001</v>
      </c>
      <c r="J2311">
        <v>-474.91379999999998</v>
      </c>
      <c r="K2311">
        <v>1.1295059999999999</v>
      </c>
      <c r="L2311">
        <v>214.636</v>
      </c>
      <c r="M2311">
        <v>0.97771719999999895</v>
      </c>
      <c r="N2311">
        <v>-1.177602E-2</v>
      </c>
      <c r="O2311">
        <v>-0.20959649999999999</v>
      </c>
      <c r="P2311">
        <v>0.97703329999999999</v>
      </c>
      <c r="Q2311">
        <v>0.18359429999999999</v>
      </c>
      <c r="R2311">
        <v>-0.108163</v>
      </c>
      <c r="S2311">
        <v>3.0891109999999999</v>
      </c>
      <c r="T2311">
        <v>-0.1308655</v>
      </c>
      <c r="U2311">
        <v>-0.1148376</v>
      </c>
      <c r="V2311">
        <v>-0.1031285</v>
      </c>
      <c r="W2311">
        <v>0.192967</v>
      </c>
      <c r="X2311">
        <v>0.97577060000000004</v>
      </c>
      <c r="Y2311">
        <v>-0.17284959999999999</v>
      </c>
      <c r="Z2311">
        <v>1.1007879999999999E-2</v>
      </c>
      <c r="AA2311">
        <v>0.9848867</v>
      </c>
      <c r="AB2311">
        <v>27</v>
      </c>
      <c r="AC2311">
        <v>26.124199999999899</v>
      </c>
      <c r="AD2311">
        <v>-1.1295028213389999</v>
      </c>
      <c r="AE2311">
        <v>-0.89089999999998704</v>
      </c>
      <c r="AF2311">
        <v>-4.5962293175285396</v>
      </c>
      <c r="AG2311">
        <v>-1.1295028213389999</v>
      </c>
      <c r="AH2311">
        <v>25.682635764065999</v>
      </c>
      <c r="AI2311">
        <v>92.478869227915595</v>
      </c>
      <c r="AJ2311">
        <v>100.14638583487201</v>
      </c>
      <c r="AK2311">
        <v>26.115108277631201</v>
      </c>
      <c r="AL2311">
        <v>78.874014281007007</v>
      </c>
      <c r="AM2311">
        <v>96.033152776730802</v>
      </c>
      <c r="AN2311">
        <v>1.0000000072127999</v>
      </c>
    </row>
    <row r="2312" spans="1:40" x14ac:dyDescent="0.25">
      <c r="A2312" t="str">
        <f>"20190303170809051"</f>
        <v>20190303170809051</v>
      </c>
      <c r="B2312" t="str">
        <f>"1551604089044988"</f>
        <v>1551604089044988</v>
      </c>
      <c r="C2312" t="s">
        <v>40</v>
      </c>
      <c r="D2312">
        <v>4.9204129999999999</v>
      </c>
      <c r="E2312">
        <v>0.46995969999999998</v>
      </c>
      <c r="F2312" t="s">
        <v>63</v>
      </c>
      <c r="G2312">
        <v>-449.63630000000001</v>
      </c>
      <c r="H2312" s="1">
        <v>3.6120860000000001E-6</v>
      </c>
      <c r="I2312">
        <v>214.13720000000001</v>
      </c>
      <c r="J2312">
        <v>-474.666</v>
      </c>
      <c r="K2312">
        <v>1.129354</v>
      </c>
      <c r="L2312">
        <v>214.59460000000001</v>
      </c>
      <c r="M2312">
        <v>0.97990200000000005</v>
      </c>
      <c r="N2312">
        <v>-1.1941790000000001E-2</v>
      </c>
      <c r="O2312">
        <v>-0.19912199999999999</v>
      </c>
      <c r="P2312">
        <v>0.97806360000000003</v>
      </c>
      <c r="Q2312">
        <v>0.18373629999999999</v>
      </c>
      <c r="R2312">
        <v>-9.8147730000000002E-2</v>
      </c>
      <c r="S2312">
        <v>3.0897220000000001</v>
      </c>
      <c r="T2312">
        <v>-0.1380614</v>
      </c>
      <c r="U2312">
        <v>-6.097412E-2</v>
      </c>
      <c r="V2312">
        <v>-0.10260089999999999</v>
      </c>
      <c r="W2312">
        <v>0.19332489999999999</v>
      </c>
      <c r="X2312">
        <v>0.97575540000000005</v>
      </c>
      <c r="Y2312">
        <v>-0.17943129999999999</v>
      </c>
      <c r="Z2312">
        <v>1.153154E-2</v>
      </c>
      <c r="AA2312">
        <v>0.98370290000000005</v>
      </c>
      <c r="AB2312">
        <v>27</v>
      </c>
      <c r="AC2312">
        <v>25.029699999999899</v>
      </c>
      <c r="AD2312">
        <v>-1.1293503879140001</v>
      </c>
      <c r="AE2312">
        <v>-0.45740000000000602</v>
      </c>
      <c r="AF2312">
        <v>-4.5268670018427697</v>
      </c>
      <c r="AG2312">
        <v>-1.1293503879140001</v>
      </c>
      <c r="AH2312">
        <v>24.569482564659801</v>
      </c>
      <c r="AI2312">
        <v>92.5882760575943</v>
      </c>
      <c r="AJ2312">
        <v>100.43952709560099</v>
      </c>
      <c r="AK2312">
        <v>25.008547151847399</v>
      </c>
      <c r="AL2312">
        <v>78.853114851046797</v>
      </c>
      <c r="AM2312">
        <v>96.002606222909805</v>
      </c>
      <c r="AN2312">
        <v>1.0000000311349799</v>
      </c>
    </row>
    <row r="2313" spans="1:40" x14ac:dyDescent="0.25">
      <c r="A2313" t="str">
        <f>"20190303170809074"</f>
        <v>20190303170809074</v>
      </c>
      <c r="B2313" t="str">
        <f>"1551604089065485"</f>
        <v>1551604089065485</v>
      </c>
      <c r="C2313" t="s">
        <v>40</v>
      </c>
      <c r="D2313">
        <v>4.8764099999999999</v>
      </c>
      <c r="E2313">
        <v>0.45450170000000001</v>
      </c>
      <c r="F2313" t="s">
        <v>63</v>
      </c>
      <c r="G2313">
        <v>-449.0025</v>
      </c>
      <c r="H2313" s="1">
        <v>3.2660449999999999E-6</v>
      </c>
      <c r="I2313">
        <v>214.33789999999999</v>
      </c>
      <c r="J2313">
        <v>-474.40949999999998</v>
      </c>
      <c r="K2313">
        <v>1.1292059999999999</v>
      </c>
      <c r="L2313">
        <v>214.55430000000001</v>
      </c>
      <c r="M2313">
        <v>0.98200149999999997</v>
      </c>
      <c r="N2313">
        <v>-1.2096579999999999E-2</v>
      </c>
      <c r="O2313">
        <v>-0.1884855</v>
      </c>
      <c r="P2313">
        <v>0.97887610000000003</v>
      </c>
      <c r="Q2313">
        <v>0.1843496</v>
      </c>
      <c r="R2313">
        <v>-8.8412920000000006E-2</v>
      </c>
      <c r="S2313">
        <v>3.0897519999999998</v>
      </c>
      <c r="T2313">
        <v>-0.13596800000000001</v>
      </c>
      <c r="U2313">
        <v>-3.0899050000000001E-2</v>
      </c>
      <c r="V2313">
        <v>-0.10163850000000001</v>
      </c>
      <c r="W2313">
        <v>0.19415009999999999</v>
      </c>
      <c r="X2313">
        <v>0.97569220000000001</v>
      </c>
      <c r="Y2313">
        <v>-0.1783554</v>
      </c>
      <c r="Z2313">
        <v>1.096258E-2</v>
      </c>
      <c r="AA2313">
        <v>0.98390509999999998</v>
      </c>
      <c r="AB2313">
        <v>27</v>
      </c>
      <c r="AC2313">
        <v>25.406999999999901</v>
      </c>
      <c r="AD2313">
        <v>-1.1292027339549999</v>
      </c>
      <c r="AE2313">
        <v>-0.21640000000002099</v>
      </c>
      <c r="AF2313">
        <v>-4.5676587772914896</v>
      </c>
      <c r="AG2313">
        <v>-1.1292027339549999</v>
      </c>
      <c r="AH2313">
        <v>24.9430613479146</v>
      </c>
      <c r="AI2313">
        <v>92.549737989828003</v>
      </c>
      <c r="AJ2313">
        <v>100.37722150813499</v>
      </c>
      <c r="AK2313">
        <v>25.3829650538697</v>
      </c>
      <c r="AL2313">
        <v>78.804920435299906</v>
      </c>
      <c r="AM2313">
        <v>95.947089373995098</v>
      </c>
      <c r="AN2313">
        <v>0.99999995757654903</v>
      </c>
    </row>
    <row r="2314" spans="1:40" x14ac:dyDescent="0.25">
      <c r="A2314" t="str">
        <f>"20190303170809096"</f>
        <v>20190303170809096</v>
      </c>
      <c r="B2314" t="str">
        <f>"1551604089085005"</f>
        <v>1551604089085005</v>
      </c>
      <c r="C2314" t="s">
        <v>40</v>
      </c>
      <c r="D2314">
        <v>4.853618</v>
      </c>
      <c r="E2314">
        <v>0.45411940000000001</v>
      </c>
      <c r="F2314" t="s">
        <v>71</v>
      </c>
      <c r="G2314">
        <v>-433.89120000000003</v>
      </c>
      <c r="H2314" s="1">
        <v>3.8110200000000001E-6</v>
      </c>
      <c r="I2314">
        <v>216.12110000000001</v>
      </c>
      <c r="J2314">
        <v>-474.14359999999999</v>
      </c>
      <c r="K2314">
        <v>1.129033</v>
      </c>
      <c r="L2314">
        <v>214.5153</v>
      </c>
      <c r="M2314">
        <v>0.98399639999999999</v>
      </c>
      <c r="N2314">
        <v>-1.2239689999999999E-2</v>
      </c>
      <c r="O2314">
        <v>-0.17776819999999999</v>
      </c>
      <c r="P2314">
        <v>0.97929659999999996</v>
      </c>
      <c r="Q2314">
        <v>0.18605459999999999</v>
      </c>
      <c r="R2314">
        <v>-7.9765870000000003E-2</v>
      </c>
      <c r="S2314">
        <v>3.0917659999999998</v>
      </c>
      <c r="T2314">
        <v>-8.6164119999999997E-2</v>
      </c>
      <c r="U2314">
        <v>0.11955259999999999</v>
      </c>
      <c r="V2314">
        <v>-9.9496349999999997E-2</v>
      </c>
      <c r="W2314">
        <v>0.19608349999999999</v>
      </c>
      <c r="X2314">
        <v>0.97552640000000002</v>
      </c>
      <c r="Y2314">
        <v>-0.2155311</v>
      </c>
      <c r="Z2314">
        <v>7.0755770000000004E-3</v>
      </c>
      <c r="AA2314">
        <v>0.97647139999999999</v>
      </c>
      <c r="AB2314">
        <v>27</v>
      </c>
      <c r="AC2314">
        <v>40.252399999999902</v>
      </c>
      <c r="AD2314">
        <v>-1.1290291889799999</v>
      </c>
      <c r="AE2314">
        <v>1.6058000000000101</v>
      </c>
      <c r="AF2314">
        <v>-8.72949454636578</v>
      </c>
      <c r="AG2314">
        <v>-1.1290291889799999</v>
      </c>
      <c r="AH2314">
        <v>39.294831863497102</v>
      </c>
      <c r="AI2314">
        <v>91.606637353159201</v>
      </c>
      <c r="AJ2314">
        <v>102.52506951145</v>
      </c>
      <c r="AK2314">
        <v>40.268630385513497</v>
      </c>
      <c r="AL2314">
        <v>78.691974518795007</v>
      </c>
      <c r="AM2314">
        <v>95.823600690428705</v>
      </c>
      <c r="AN2314">
        <v>1.00000000986626</v>
      </c>
    </row>
    <row r="2315" spans="1:40" x14ac:dyDescent="0.25">
      <c r="A2315" t="str">
        <f>"20190303170809146"</f>
        <v>20190303170809146</v>
      </c>
      <c r="B2315" t="str">
        <f>"1551604089134781"</f>
        <v>1551604089134781</v>
      </c>
      <c r="C2315" t="s">
        <v>40</v>
      </c>
      <c r="D2315">
        <v>4.8384289999999996</v>
      </c>
      <c r="E2315">
        <v>0.45594089999999998</v>
      </c>
      <c r="F2315" t="s">
        <v>71</v>
      </c>
      <c r="G2315">
        <v>-428.19529999999997</v>
      </c>
      <c r="H2315" s="1">
        <v>2.3257839999999998E-6</v>
      </c>
      <c r="I2315">
        <v>216.7337</v>
      </c>
      <c r="J2315">
        <v>-473.5514</v>
      </c>
      <c r="K2315">
        <v>1.12853</v>
      </c>
      <c r="L2315">
        <v>214.4374</v>
      </c>
      <c r="M2315">
        <v>0.98781260000000004</v>
      </c>
      <c r="N2315">
        <v>-1.2494190000000001E-2</v>
      </c>
      <c r="O2315">
        <v>-0.1551457</v>
      </c>
      <c r="P2315">
        <v>0.98022149999999997</v>
      </c>
      <c r="Q2315">
        <v>0.18770600000000001</v>
      </c>
      <c r="R2315">
        <v>-6.2709119999999993E-2</v>
      </c>
      <c r="S2315">
        <v>3.0900270000000001</v>
      </c>
      <c r="T2315">
        <v>-7.5927380000000003E-2</v>
      </c>
      <c r="U2315">
        <v>0.14918519999999999</v>
      </c>
      <c r="V2315">
        <v>-9.3800419999999995E-2</v>
      </c>
      <c r="W2315">
        <v>0.19822029999999999</v>
      </c>
      <c r="X2315">
        <v>0.97565880000000005</v>
      </c>
      <c r="Y2315">
        <v>-0.20251379999999999</v>
      </c>
      <c r="Z2315">
        <v>5.6124950000000003E-3</v>
      </c>
      <c r="AA2315">
        <v>0.97926340000000001</v>
      </c>
      <c r="AB2315">
        <v>27</v>
      </c>
      <c r="AC2315">
        <v>45.356099999999998</v>
      </c>
      <c r="AD2315">
        <v>-1.128527674216</v>
      </c>
      <c r="AE2315">
        <v>2.2963</v>
      </c>
      <c r="AF2315">
        <v>-9.3001013398740309</v>
      </c>
      <c r="AG2315">
        <v>-1.128527674216</v>
      </c>
      <c r="AH2315">
        <v>44.423103492715903</v>
      </c>
      <c r="AI2315">
        <v>91.424366906752098</v>
      </c>
      <c r="AJ2315">
        <v>101.82425920613299</v>
      </c>
      <c r="AK2315">
        <v>45.400193651216398</v>
      </c>
      <c r="AL2315">
        <v>78.567093139339605</v>
      </c>
      <c r="AM2315">
        <v>95.4915724188577</v>
      </c>
      <c r="AN2315">
        <v>0.99999995007085196</v>
      </c>
    </row>
    <row r="2316" spans="1:40" x14ac:dyDescent="0.25">
      <c r="A2316" t="str">
        <f>"20190303170809185"</f>
        <v>20190303170809185</v>
      </c>
      <c r="B2316" t="str">
        <f>"1551604089174797"</f>
        <v>1551604089174797</v>
      </c>
      <c r="C2316" t="s">
        <v>40</v>
      </c>
      <c r="D2316">
        <v>4.8115399999999999</v>
      </c>
      <c r="E2316">
        <v>0.46247260000000001</v>
      </c>
      <c r="F2316" t="s">
        <v>71</v>
      </c>
      <c r="G2316">
        <v>-426.26859999999999</v>
      </c>
      <c r="H2316" s="1">
        <v>2.617601E-6</v>
      </c>
      <c r="I2316">
        <v>217.30510000000001</v>
      </c>
      <c r="J2316">
        <v>-473.08600000000001</v>
      </c>
      <c r="K2316">
        <v>1.1281139999999901</v>
      </c>
      <c r="L2316">
        <v>214.38460000000001</v>
      </c>
      <c r="M2316">
        <v>0.99027900000000002</v>
      </c>
      <c r="N2316">
        <v>-1.2662329999999999E-2</v>
      </c>
      <c r="O2316">
        <v>-0.13851830000000001</v>
      </c>
      <c r="P2316">
        <v>0.98055789999999998</v>
      </c>
      <c r="Q2316">
        <v>0.1895683</v>
      </c>
      <c r="R2316">
        <v>-5.0697819999999998E-2</v>
      </c>
      <c r="S2316">
        <v>3.0865779999999998</v>
      </c>
      <c r="T2316">
        <v>-7.3669200000000004E-2</v>
      </c>
      <c r="U2316">
        <v>0.18719479999999999</v>
      </c>
      <c r="V2316">
        <v>-8.9105749999999997E-2</v>
      </c>
      <c r="W2316">
        <v>0.20042769999999999</v>
      </c>
      <c r="X2316">
        <v>0.97564790000000001</v>
      </c>
      <c r="Y2316">
        <v>-0.1981339</v>
      </c>
      <c r="Z2316">
        <v>5.1612300000000002E-3</v>
      </c>
      <c r="AA2316">
        <v>0.98016139999999996</v>
      </c>
      <c r="AB2316">
        <v>27</v>
      </c>
      <c r="AC2316">
        <v>46.817399999999999</v>
      </c>
      <c r="AD2316">
        <v>-1.1281113823990001</v>
      </c>
      <c r="AE2316">
        <v>2.9205000000000001</v>
      </c>
      <c r="AF2316">
        <v>-9.3725068607597795</v>
      </c>
      <c r="AG2316">
        <v>-1.1281113823990001</v>
      </c>
      <c r="AH2316">
        <v>45.934859464438702</v>
      </c>
      <c r="AI2316">
        <v>91.378450808596995</v>
      </c>
      <c r="AJ2316">
        <v>101.53228050505599</v>
      </c>
      <c r="AK2316">
        <v>46.894859357543901</v>
      </c>
      <c r="AL2316">
        <v>78.438028672985396</v>
      </c>
      <c r="AM2316">
        <v>95.218336579935993</v>
      </c>
      <c r="AN2316">
        <v>0.99999996119237999</v>
      </c>
    </row>
    <row r="2317" spans="1:40" x14ac:dyDescent="0.25">
      <c r="A2317" t="str">
        <f>"20190303170809208"</f>
        <v>20190303170809208</v>
      </c>
      <c r="B2317" t="str">
        <f>"1551604089205054"</f>
        <v>1551604089205054</v>
      </c>
      <c r="C2317" t="s">
        <v>40</v>
      </c>
      <c r="D2317">
        <v>4.8336790000000001</v>
      </c>
      <c r="E2317">
        <v>0.46418759999999998</v>
      </c>
      <c r="F2317" t="s">
        <v>71</v>
      </c>
      <c r="G2317">
        <v>-432.05849999999998</v>
      </c>
      <c r="H2317" s="1">
        <v>2.948285E-6</v>
      </c>
      <c r="I2317">
        <v>216.69319999999999</v>
      </c>
      <c r="J2317">
        <v>-472.8125</v>
      </c>
      <c r="K2317">
        <v>1.1278859999999999</v>
      </c>
      <c r="L2317">
        <v>214.35659999999999</v>
      </c>
      <c r="M2317">
        <v>0.99153480000000005</v>
      </c>
      <c r="N2317">
        <v>-1.275605E-2</v>
      </c>
      <c r="O2317">
        <v>-0.1292141</v>
      </c>
      <c r="P2317">
        <v>0.98063829999999996</v>
      </c>
      <c r="Q2317">
        <v>0.1908068</v>
      </c>
      <c r="R2317">
        <v>-4.406297E-2</v>
      </c>
      <c r="S2317">
        <v>3.0848689999999999</v>
      </c>
      <c r="T2317">
        <v>-8.4823010000000004E-2</v>
      </c>
      <c r="U2317">
        <v>0.17358399999999999</v>
      </c>
      <c r="V2317">
        <v>-8.6404969999999998E-2</v>
      </c>
      <c r="W2317">
        <v>0.20185610000000001</v>
      </c>
      <c r="X2317">
        <v>0.97559640000000003</v>
      </c>
      <c r="Y2317">
        <v>-0.18461440000000001</v>
      </c>
      <c r="Z2317">
        <v>5.610795E-3</v>
      </c>
      <c r="AA2317">
        <v>0.98279499999999997</v>
      </c>
      <c r="AB2317">
        <v>27</v>
      </c>
      <c r="AC2317">
        <v>40.753999999999998</v>
      </c>
      <c r="AD2317">
        <v>-1.127883051715</v>
      </c>
      <c r="AE2317">
        <v>2.3365999999999998</v>
      </c>
      <c r="AF2317">
        <v>-7.5776427509312398</v>
      </c>
      <c r="AG2317">
        <v>-1.127883051715</v>
      </c>
      <c r="AH2317">
        <v>40.079748203525597</v>
      </c>
      <c r="AI2317">
        <v>91.583888466017797</v>
      </c>
      <c r="AJ2317">
        <v>100.70620514150001</v>
      </c>
      <c r="AK2317">
        <v>40.805379619568598</v>
      </c>
      <c r="AL2317">
        <v>78.354480500222493</v>
      </c>
      <c r="AM2317">
        <v>95.061269632784203</v>
      </c>
      <c r="AN2317">
        <v>1.00000001982043</v>
      </c>
    </row>
    <row r="2318" spans="1:40" x14ac:dyDescent="0.25">
      <c r="A2318" t="str">
        <f>"20190303170809232"</f>
        <v>20190303170809232</v>
      </c>
      <c r="B2318" t="str">
        <f>"1551604089224573"</f>
        <v>1551604089224573</v>
      </c>
      <c r="C2318" t="s">
        <v>40</v>
      </c>
      <c r="D2318">
        <v>4.8155049999999999</v>
      </c>
      <c r="E2318">
        <v>0.46494619999999998</v>
      </c>
      <c r="F2318" t="s">
        <v>71</v>
      </c>
      <c r="G2318">
        <v>-432.01580000000001</v>
      </c>
      <c r="H2318" s="1">
        <v>2.9243039999999998E-6</v>
      </c>
      <c r="I2318">
        <v>216.7508</v>
      </c>
      <c r="J2318">
        <v>-472.5256</v>
      </c>
      <c r="K2318">
        <v>1.1276409999999999</v>
      </c>
      <c r="L2318">
        <v>214.32980000000001</v>
      </c>
      <c r="M2318">
        <v>0.9927049</v>
      </c>
      <c r="N2318">
        <v>-1.285292E-2</v>
      </c>
      <c r="O2318">
        <v>-0.11988260000000001</v>
      </c>
      <c r="P2318">
        <v>0.98082749999999996</v>
      </c>
      <c r="Q2318">
        <v>0.19130259999999999</v>
      </c>
      <c r="R2318">
        <v>-3.7160100000000001E-2</v>
      </c>
      <c r="S2318">
        <v>3.0839840000000001</v>
      </c>
      <c r="T2318">
        <v>-8.5261110000000001E-2</v>
      </c>
      <c r="U2318">
        <v>0.18098449999999999</v>
      </c>
      <c r="V2318">
        <v>-8.395445E-2</v>
      </c>
      <c r="W2318">
        <v>0.20254159999999999</v>
      </c>
      <c r="X2318">
        <v>0.97566830000000004</v>
      </c>
      <c r="Y2318">
        <v>-0.17773630000000001</v>
      </c>
      <c r="Z2318">
        <v>5.3647769999999899E-3</v>
      </c>
      <c r="AA2318">
        <v>0.98406349999999998</v>
      </c>
      <c r="AB2318">
        <v>27</v>
      </c>
      <c r="AC2318">
        <v>40.509799999999899</v>
      </c>
      <c r="AD2318">
        <v>-1.1276380756959901</v>
      </c>
      <c r="AE2318">
        <v>2.42099999999999</v>
      </c>
      <c r="AF2318">
        <v>-7.2547568751583498</v>
      </c>
      <c r="AG2318">
        <v>-1.1276380756959901</v>
      </c>
      <c r="AH2318">
        <v>39.896534269878998</v>
      </c>
      <c r="AI2318">
        <v>91.592873737913607</v>
      </c>
      <c r="AJ2318">
        <v>100.306016352939</v>
      </c>
      <c r="AK2318">
        <v>40.566445637929</v>
      </c>
      <c r="AL2318">
        <v>78.314376106642598</v>
      </c>
      <c r="AM2318">
        <v>94.918081283544396</v>
      </c>
      <c r="AN2318">
        <v>1.0000000405151199</v>
      </c>
    </row>
    <row r="2319" spans="1:40" x14ac:dyDescent="0.25">
      <c r="A2319" t="str">
        <f>"20190303170809252"</f>
        <v>20190303170809252</v>
      </c>
      <c r="B2319" t="str">
        <f>"1551604089245069"</f>
        <v>1551604089245069</v>
      </c>
      <c r="C2319" t="s">
        <v>40</v>
      </c>
      <c r="D2319">
        <v>4.8051779999999997</v>
      </c>
      <c r="E2319">
        <v>0.46592620000000001</v>
      </c>
      <c r="F2319" t="s">
        <v>71</v>
      </c>
      <c r="G2319">
        <v>-432.98390000000001</v>
      </c>
      <c r="H2319" s="1">
        <v>3.3449259999999998E-6</v>
      </c>
      <c r="I2319">
        <v>216.85059999999999</v>
      </c>
      <c r="J2319">
        <v>-472.27850000000001</v>
      </c>
      <c r="K2319">
        <v>1.127418</v>
      </c>
      <c r="L2319">
        <v>214.30860000000001</v>
      </c>
      <c r="M2319">
        <v>0.99360349999999997</v>
      </c>
      <c r="N2319">
        <v>-1.294529E-2</v>
      </c>
      <c r="O2319">
        <v>-0.1121808</v>
      </c>
      <c r="P2319">
        <v>0.98090060000000001</v>
      </c>
      <c r="Q2319">
        <v>0.1916822</v>
      </c>
      <c r="R2319">
        <v>-3.30405E-2</v>
      </c>
      <c r="S2319">
        <v>3.0831909999999998</v>
      </c>
      <c r="T2319">
        <v>-8.7925669999999997E-2</v>
      </c>
      <c r="U2319">
        <v>0.19654849999999999</v>
      </c>
      <c r="V2319">
        <v>-8.0356670000000005E-2</v>
      </c>
      <c r="W2319">
        <v>0.20311779999999999</v>
      </c>
      <c r="X2319">
        <v>0.97585140000000004</v>
      </c>
      <c r="Y2319">
        <v>-0.17506389999999999</v>
      </c>
      <c r="Z2319">
        <v>5.3692439999999996E-3</v>
      </c>
      <c r="AA2319">
        <v>0.98454240000000004</v>
      </c>
      <c r="AB2319">
        <v>27</v>
      </c>
      <c r="AC2319">
        <v>39.294600000000003</v>
      </c>
      <c r="AD2319">
        <v>-1.1274146550740001</v>
      </c>
      <c r="AE2319">
        <v>2.5419999999999701</v>
      </c>
      <c r="AF2319">
        <v>-6.9287408059549698</v>
      </c>
      <c r="AG2319">
        <v>-1.1274146550740001</v>
      </c>
      <c r="AH2319">
        <v>38.729586867047402</v>
      </c>
      <c r="AI2319">
        <v>91.641359221499897</v>
      </c>
      <c r="AJ2319">
        <v>100.14294000862</v>
      </c>
      <c r="AK2319">
        <v>39.360632767433401</v>
      </c>
      <c r="AL2319">
        <v>78.280660947095896</v>
      </c>
      <c r="AM2319">
        <v>94.707411187599405</v>
      </c>
      <c r="AN2319">
        <v>0.999999994986144</v>
      </c>
    </row>
    <row r="2320" spans="1:40" x14ac:dyDescent="0.25">
      <c r="A2320" t="str">
        <f>"20190303170809275"</f>
        <v>20190303170809275</v>
      </c>
      <c r="B2320" t="str">
        <f>"1551604089264589"</f>
        <v>1551604089264589</v>
      </c>
      <c r="C2320" t="s">
        <v>40</v>
      </c>
      <c r="D2320">
        <v>4.8130600000000001</v>
      </c>
      <c r="E2320">
        <v>0.46669820000000001</v>
      </c>
      <c r="F2320" t="s">
        <v>71</v>
      </c>
      <c r="G2320">
        <v>-434.22500000000002</v>
      </c>
      <c r="H2320" s="1">
        <v>3.8986089999999999E-6</v>
      </c>
      <c r="I2320">
        <v>216.81229999999999</v>
      </c>
      <c r="J2320">
        <v>-472.00459999999998</v>
      </c>
      <c r="K2320">
        <v>1.127186</v>
      </c>
      <c r="L2320">
        <v>214.28700000000001</v>
      </c>
      <c r="M2320">
        <v>0.99449759999999998</v>
      </c>
      <c r="N2320">
        <v>-1.305449E-2</v>
      </c>
      <c r="O2320">
        <v>-0.1039428</v>
      </c>
      <c r="P2320">
        <v>0.98096470000000002</v>
      </c>
      <c r="Q2320">
        <v>0.1919333</v>
      </c>
      <c r="R2320">
        <v>-2.949417E-2</v>
      </c>
      <c r="S2320">
        <v>3.0830989999999998</v>
      </c>
      <c r="T2320">
        <v>-9.1343160000000007E-2</v>
      </c>
      <c r="U2320">
        <v>0.20285030000000001</v>
      </c>
      <c r="V2320">
        <v>-7.565856E-2</v>
      </c>
      <c r="W2320">
        <v>0.20359679999999999</v>
      </c>
      <c r="X2320">
        <v>0.97612710000000003</v>
      </c>
      <c r="Y2320">
        <v>-0.16890350000000001</v>
      </c>
      <c r="Z2320">
        <v>5.3208109999999999E-3</v>
      </c>
      <c r="AA2320">
        <v>0.9856182</v>
      </c>
      <c r="AB2320">
        <v>27</v>
      </c>
      <c r="AC2320">
        <v>37.779599999999903</v>
      </c>
      <c r="AD2320">
        <v>-1.1271821013909999</v>
      </c>
      <c r="AE2320">
        <v>2.5252999999999801</v>
      </c>
      <c r="AF2320">
        <v>-6.4331697203292801</v>
      </c>
      <c r="AG2320">
        <v>-1.1271821013909999</v>
      </c>
      <c r="AH2320">
        <v>37.279376852799402</v>
      </c>
      <c r="AI2320">
        <v>91.706662116395506</v>
      </c>
      <c r="AJ2320">
        <v>99.790900908598005</v>
      </c>
      <c r="AK2320">
        <v>37.8471683309768</v>
      </c>
      <c r="AL2320">
        <v>78.252630562335895</v>
      </c>
      <c r="AM2320">
        <v>94.432072900420494</v>
      </c>
      <c r="AN2320">
        <v>0.999999995012961</v>
      </c>
    </row>
    <row r="2321" spans="1:40" x14ac:dyDescent="0.25">
      <c r="A2321" t="str">
        <f>"20190303170809321"</f>
        <v>20190303170809321</v>
      </c>
      <c r="B2321" t="str">
        <f>"1551604089315342"</f>
        <v>1551604089315342</v>
      </c>
      <c r="C2321" t="s">
        <v>40</v>
      </c>
      <c r="D2321">
        <v>4.8007989999999996</v>
      </c>
      <c r="E2321">
        <v>0.47339540000000002</v>
      </c>
      <c r="F2321" t="s">
        <v>71</v>
      </c>
      <c r="G2321">
        <v>-434.29809999999998</v>
      </c>
      <c r="H2321" s="1">
        <v>3.9270909999999996E-6</v>
      </c>
      <c r="I2321">
        <v>216.85759999999999</v>
      </c>
      <c r="J2321">
        <v>-471.46859999999998</v>
      </c>
      <c r="K2321">
        <v>1.1267529999999999</v>
      </c>
      <c r="L2321">
        <v>214.25020000000001</v>
      </c>
      <c r="M2321">
        <v>0.9959654</v>
      </c>
      <c r="N2321">
        <v>-1.330404E-2</v>
      </c>
      <c r="O2321">
        <v>-8.8745450000000003E-2</v>
      </c>
      <c r="P2321">
        <v>0.98150150000000003</v>
      </c>
      <c r="Q2321">
        <v>0.1901476</v>
      </c>
      <c r="R2321">
        <v>-2.2332640000000001E-2</v>
      </c>
      <c r="S2321">
        <v>3.0825200000000001</v>
      </c>
      <c r="T2321">
        <v>-9.2147469999999995E-2</v>
      </c>
      <c r="U2321">
        <v>0.210144</v>
      </c>
      <c r="V2321">
        <v>-6.7627969999999996E-2</v>
      </c>
      <c r="W2321">
        <v>0.20226140000000001</v>
      </c>
      <c r="X2321">
        <v>0.97699369999999996</v>
      </c>
      <c r="Y2321">
        <v>-0.15618170000000001</v>
      </c>
      <c r="Z2321">
        <v>4.840848E-3</v>
      </c>
      <c r="AA2321">
        <v>0.9877165</v>
      </c>
      <c r="AB2321">
        <v>27</v>
      </c>
      <c r="AC2321">
        <v>37.170499999999997</v>
      </c>
      <c r="AD2321">
        <v>-1.1267490729089999</v>
      </c>
      <c r="AE2321">
        <v>2.6073999999999802</v>
      </c>
      <c r="AF2321">
        <v>-5.8907289010958799</v>
      </c>
      <c r="AG2321">
        <v>-1.1267490729089999</v>
      </c>
      <c r="AH2321">
        <v>36.758784928498997</v>
      </c>
      <c r="AI2321">
        <v>91.733604125219401</v>
      </c>
      <c r="AJ2321">
        <v>99.104445833472695</v>
      </c>
      <c r="AK2321">
        <v>37.244845547795599</v>
      </c>
      <c r="AL2321">
        <v>78.3307686524996</v>
      </c>
      <c r="AM2321">
        <v>93.959724945057005</v>
      </c>
      <c r="AN2321">
        <v>0.99999995304798395</v>
      </c>
    </row>
    <row r="2322" spans="1:40" x14ac:dyDescent="0.25">
      <c r="A2322" t="str">
        <f>"20190303170809344"</f>
        <v>20190303170809344</v>
      </c>
      <c r="B2322" t="str">
        <f>"1551604089334862"</f>
        <v>1551604089334862</v>
      </c>
      <c r="C2322" t="s">
        <v>40</v>
      </c>
      <c r="D2322">
        <v>4.7593560000000004</v>
      </c>
      <c r="E2322">
        <v>0.4733116</v>
      </c>
      <c r="F2322" t="s">
        <v>63</v>
      </c>
      <c r="G2322">
        <v>-440.87520000000001</v>
      </c>
      <c r="H2322" s="1">
        <v>-1.1345520000000001E-6</v>
      </c>
      <c r="I2322">
        <v>216.06890000000001</v>
      </c>
      <c r="J2322">
        <v>-471.18700000000001</v>
      </c>
      <c r="K2322">
        <v>1.126536</v>
      </c>
      <c r="L2322">
        <v>214.2337</v>
      </c>
      <c r="M2322">
        <v>0.99660409999999999</v>
      </c>
      <c r="N2322">
        <v>-1.342955E-2</v>
      </c>
      <c r="O2322">
        <v>-8.1239569999999997E-2</v>
      </c>
      <c r="P2322">
        <v>0.98159300000000005</v>
      </c>
      <c r="Q2322">
        <v>0.19008659999999999</v>
      </c>
      <c r="R2322">
        <v>-1.8507909999999999E-2</v>
      </c>
      <c r="S2322">
        <v>3.082703</v>
      </c>
      <c r="T2322">
        <v>-0.11353580000000001</v>
      </c>
      <c r="U2322">
        <v>0.18325810000000001</v>
      </c>
      <c r="V2322">
        <v>-6.3946959999999997E-2</v>
      </c>
      <c r="W2322">
        <v>0.2024127</v>
      </c>
      <c r="X2322">
        <v>0.97721020000000003</v>
      </c>
      <c r="Y2322">
        <v>-0.14009859999999999</v>
      </c>
      <c r="Z2322">
        <v>5.4164219999999997E-3</v>
      </c>
      <c r="AA2322">
        <v>0.99012270000000002</v>
      </c>
      <c r="AB2322">
        <v>27</v>
      </c>
      <c r="AC2322">
        <v>30.311799999999899</v>
      </c>
      <c r="AD2322">
        <v>-1.1265371345520001</v>
      </c>
      <c r="AE2322">
        <v>1.8352000000000099</v>
      </c>
      <c r="AF2322">
        <v>-4.28597427005902</v>
      </c>
      <c r="AG2322">
        <v>-1.1265371345520001</v>
      </c>
      <c r="AH2322">
        <v>30.021170212359898</v>
      </c>
      <c r="AI2322">
        <v>92.127450720473306</v>
      </c>
      <c r="AJ2322">
        <v>98.124932041053796</v>
      </c>
      <c r="AK2322">
        <v>30.346487807959299</v>
      </c>
      <c r="AL2322">
        <v>78.321916609976796</v>
      </c>
      <c r="AM2322">
        <v>93.743999516559697</v>
      </c>
      <c r="AN2322">
        <v>0.99999994489928401</v>
      </c>
    </row>
    <row r="2323" spans="1:40" x14ac:dyDescent="0.25">
      <c r="A2323" t="str">
        <f>"20190303170809367"</f>
        <v>20190303170809367</v>
      </c>
      <c r="B2323" t="str">
        <f>"1551604089355357"</f>
        <v>1551604089355357</v>
      </c>
      <c r="C2323" t="s">
        <v>40</v>
      </c>
      <c r="D2323">
        <v>4.7689500000000002</v>
      </c>
      <c r="E2323">
        <v>0.47367799999999999</v>
      </c>
      <c r="F2323" t="s">
        <v>63</v>
      </c>
      <c r="G2323">
        <v>-440.0498</v>
      </c>
      <c r="H2323" s="1">
        <v>-1.580464E-6</v>
      </c>
      <c r="I2323">
        <v>216.22139999999999</v>
      </c>
      <c r="J2323">
        <v>-470.91449999999998</v>
      </c>
      <c r="K2323">
        <v>1.1263080000000001</v>
      </c>
      <c r="L2323">
        <v>214.2193</v>
      </c>
      <c r="M2323">
        <v>0.99714340000000001</v>
      </c>
      <c r="N2323">
        <v>-1.3536879999999999E-2</v>
      </c>
      <c r="O2323">
        <v>-7.4307810000000002E-2</v>
      </c>
      <c r="P2323">
        <v>0.98165089999999999</v>
      </c>
      <c r="Q2323">
        <v>0.189998</v>
      </c>
      <c r="R2323">
        <v>-1.6192379999999999E-2</v>
      </c>
      <c r="S2323">
        <v>3.0815429999999999</v>
      </c>
      <c r="T2323">
        <v>-0.1114894</v>
      </c>
      <c r="U2323">
        <v>0.19671630000000001</v>
      </c>
      <c r="V2323">
        <v>-5.9325679999999999E-2</v>
      </c>
      <c r="W2323">
        <v>0.2025267</v>
      </c>
      <c r="X2323">
        <v>0.97747810000000002</v>
      </c>
      <c r="Y2323">
        <v>-0.13755249999999999</v>
      </c>
      <c r="Z2323">
        <v>5.097135E-3</v>
      </c>
      <c r="AA2323">
        <v>0.99048139999999996</v>
      </c>
      <c r="AB2323">
        <v>27</v>
      </c>
      <c r="AC2323">
        <v>30.8646999999999</v>
      </c>
      <c r="AD2323">
        <v>-1.126309580464</v>
      </c>
      <c r="AE2323">
        <v>2.00209999999998</v>
      </c>
      <c r="AF2323">
        <v>-4.2845808036554498</v>
      </c>
      <c r="AG2323">
        <v>-1.126309580464</v>
      </c>
      <c r="AH2323">
        <v>30.5900043977454</v>
      </c>
      <c r="AI2323">
        <v>92.088284808768805</v>
      </c>
      <c r="AJ2323">
        <v>97.9732480017108</v>
      </c>
      <c r="AK2323">
        <v>30.909134167559198</v>
      </c>
      <c r="AL2323">
        <v>78.315247617241099</v>
      </c>
      <c r="AM2323">
        <v>93.473169001117597</v>
      </c>
      <c r="AN2323">
        <v>1.00000001824998</v>
      </c>
    </row>
    <row r="2324" spans="1:40" x14ac:dyDescent="0.25">
      <c r="A2324" t="str">
        <f>"20190303170809391"</f>
        <v>20190303170809391</v>
      </c>
      <c r="B2324" t="str">
        <f>"1551604089385614"</f>
        <v>1551604089385614</v>
      </c>
      <c r="C2324" t="s">
        <v>40</v>
      </c>
      <c r="D2324">
        <v>4.744192</v>
      </c>
      <c r="E2324">
        <v>0.47384549999999998</v>
      </c>
      <c r="F2324" t="s">
        <v>63</v>
      </c>
      <c r="G2324">
        <v>-440.10480000000001</v>
      </c>
      <c r="H2324" s="1">
        <v>-1.5523339999999901E-6</v>
      </c>
      <c r="I2324">
        <v>216.2473</v>
      </c>
      <c r="J2324">
        <v>-470.64929999999998</v>
      </c>
      <c r="K2324">
        <v>1.126055</v>
      </c>
      <c r="L2324">
        <v>214.20679999999999</v>
      </c>
      <c r="M2324">
        <v>0.99759699999999996</v>
      </c>
      <c r="N2324">
        <v>-1.362669E-2</v>
      </c>
      <c r="O2324">
        <v>-6.7932729999999997E-2</v>
      </c>
      <c r="P2324">
        <v>0.98185800000000001</v>
      </c>
      <c r="Q2324">
        <v>0.18903510000000001</v>
      </c>
      <c r="R2324">
        <v>-1.486987E-2</v>
      </c>
      <c r="S2324">
        <v>3.0812379999999999</v>
      </c>
      <c r="T2324">
        <v>-0.11264059999999999</v>
      </c>
      <c r="U2324">
        <v>0.20281979999999999</v>
      </c>
      <c r="V2324">
        <v>-5.4250909999999999E-2</v>
      </c>
      <c r="W2324">
        <v>0.2017552</v>
      </c>
      <c r="X2324">
        <v>0.97793229999999998</v>
      </c>
      <c r="Y2324">
        <v>-0.133183</v>
      </c>
      <c r="Z2324">
        <v>4.895089E-3</v>
      </c>
      <c r="AA2324">
        <v>0.99107940000000005</v>
      </c>
      <c r="AB2324">
        <v>27</v>
      </c>
      <c r="AC2324">
        <v>30.5444999999999</v>
      </c>
      <c r="AD2324">
        <v>-1.126056552334</v>
      </c>
      <c r="AE2324">
        <v>2.0405000000000002</v>
      </c>
      <c r="AF2324">
        <v>-4.1053941018167803</v>
      </c>
      <c r="AG2324">
        <v>-1.126056552334</v>
      </c>
      <c r="AH2324">
        <v>30.2943062451556</v>
      </c>
      <c r="AI2324">
        <v>92.109472304512707</v>
      </c>
      <c r="AJ2324">
        <v>97.717538613573396</v>
      </c>
      <c r="AK2324">
        <v>30.591947551039699</v>
      </c>
      <c r="AL2324">
        <v>78.360382294007593</v>
      </c>
      <c r="AM2324">
        <v>93.175235562946</v>
      </c>
      <c r="AN2324">
        <v>0.99999995267307695</v>
      </c>
    </row>
    <row r="2325" spans="1:40" x14ac:dyDescent="0.25">
      <c r="A2325" t="str">
        <f>"20190303170809433"</f>
        <v>20190303170809433</v>
      </c>
      <c r="B2325" t="str">
        <f>"1551604089424653"</f>
        <v>1551604089424653</v>
      </c>
      <c r="C2325" t="s">
        <v>40</v>
      </c>
      <c r="D2325">
        <v>4.7429739999999896</v>
      </c>
      <c r="E2325">
        <v>0.4787864</v>
      </c>
      <c r="F2325" t="s">
        <v>71</v>
      </c>
      <c r="G2325">
        <v>-439.5847</v>
      </c>
      <c r="H2325" s="1">
        <v>6.3225960000000001E-6</v>
      </c>
      <c r="I2325">
        <v>216.27269999999999</v>
      </c>
      <c r="J2325">
        <v>-470.12380000000002</v>
      </c>
      <c r="K2325">
        <v>1.1255139999999999</v>
      </c>
      <c r="L2325">
        <v>214.18600000000001</v>
      </c>
      <c r="M2325">
        <v>0.99831689999999995</v>
      </c>
      <c r="N2325">
        <v>-1.3765400000000001E-2</v>
      </c>
      <c r="O2325">
        <v>-5.6338899999999997E-2</v>
      </c>
      <c r="P2325">
        <v>0.98211530000000002</v>
      </c>
      <c r="Q2325">
        <v>0.18802279999999999</v>
      </c>
      <c r="R2325">
        <v>-9.8457400000000004E-3</v>
      </c>
      <c r="S2325">
        <v>3.0800480000000001</v>
      </c>
      <c r="T2325">
        <v>-0.1116476</v>
      </c>
      <c r="U2325">
        <v>0.20483399999999999</v>
      </c>
      <c r="V2325">
        <v>-4.7603159999999999E-2</v>
      </c>
      <c r="W2325">
        <v>0.20102510000000001</v>
      </c>
      <c r="X2325">
        <v>0.97842879999999999</v>
      </c>
      <c r="Y2325">
        <v>-0.12234689999999999</v>
      </c>
      <c r="Z2325">
        <v>4.3226459999999899E-3</v>
      </c>
      <c r="AA2325">
        <v>0.99247799999999997</v>
      </c>
      <c r="AB2325">
        <v>27</v>
      </c>
      <c r="AC2325">
        <v>30.539100000000001</v>
      </c>
      <c r="AD2325">
        <v>-1.12550767740399</v>
      </c>
      <c r="AE2325">
        <v>2.0867</v>
      </c>
      <c r="AF2325">
        <v>-3.79895123883751</v>
      </c>
      <c r="AG2325">
        <v>-1.12550767740399</v>
      </c>
      <c r="AH2325">
        <v>30.332004693146001</v>
      </c>
      <c r="AI2325">
        <v>92.108599098935997</v>
      </c>
      <c r="AJ2325">
        <v>97.138873351160399</v>
      </c>
      <c r="AK2325">
        <v>30.5896928188563</v>
      </c>
      <c r="AL2325">
        <v>78.403089916325001</v>
      </c>
      <c r="AM2325">
        <v>92.785395494382797</v>
      </c>
      <c r="AN2325">
        <v>1.00000003417071</v>
      </c>
    </row>
    <row r="2326" spans="1:40" x14ac:dyDescent="0.25">
      <c r="A2326" t="str">
        <f>"20190303170809475"</f>
        <v>20190303170809475</v>
      </c>
      <c r="B2326" t="str">
        <f>"1551604089465645"</f>
        <v>1551604089465645</v>
      </c>
      <c r="C2326" t="s">
        <v>40</v>
      </c>
      <c r="D2326">
        <v>4.7474189999999998</v>
      </c>
      <c r="E2326">
        <v>0.47997119999999999</v>
      </c>
      <c r="F2326" t="s">
        <v>63</v>
      </c>
      <c r="G2326">
        <v>-442.5899</v>
      </c>
      <c r="H2326" s="1">
        <v>-2.0995690000000001E-7</v>
      </c>
      <c r="I2326">
        <v>215.79179999999999</v>
      </c>
      <c r="J2326">
        <v>-469.62439999999998</v>
      </c>
      <c r="K2326">
        <v>1.1251469999999999</v>
      </c>
      <c r="L2326">
        <v>214.1704</v>
      </c>
      <c r="M2326">
        <v>0.99883010000000005</v>
      </c>
      <c r="N2326">
        <v>-1.38656E-2</v>
      </c>
      <c r="O2326">
        <v>-4.6327019999999997E-2</v>
      </c>
      <c r="P2326">
        <v>0.98141</v>
      </c>
      <c r="Q2326">
        <v>0.19171630000000001</v>
      </c>
      <c r="R2326">
        <v>-8.9235419999999996E-3</v>
      </c>
      <c r="S2326">
        <v>3.080597</v>
      </c>
      <c r="T2326">
        <v>-0.1259266</v>
      </c>
      <c r="U2326">
        <v>0.1796722</v>
      </c>
      <c r="V2326">
        <v>-3.848555E-2</v>
      </c>
      <c r="W2326">
        <v>0.2049444</v>
      </c>
      <c r="X2326">
        <v>0.97801669999999996</v>
      </c>
      <c r="Y2326">
        <v>-0.104282</v>
      </c>
      <c r="Z2326">
        <v>4.1025519999999998E-3</v>
      </c>
      <c r="AA2326">
        <v>0.99453930000000001</v>
      </c>
      <c r="AB2326">
        <v>27</v>
      </c>
      <c r="AC2326">
        <v>27.034499999999898</v>
      </c>
      <c r="AD2326">
        <v>-1.1251472099569</v>
      </c>
      <c r="AE2326">
        <v>1.62139999999999</v>
      </c>
      <c r="AF2326">
        <v>-2.86725835291251</v>
      </c>
      <c r="AG2326">
        <v>-1.1251472099569</v>
      </c>
      <c r="AH2326">
        <v>26.883946604902899</v>
      </c>
      <c r="AI2326">
        <v>92.383045536887096</v>
      </c>
      <c r="AJ2326">
        <v>96.087764025499496</v>
      </c>
      <c r="AK2326">
        <v>27.059817289880002</v>
      </c>
      <c r="AL2326">
        <v>78.173755762958294</v>
      </c>
      <c r="AM2326">
        <v>92.253460996273205</v>
      </c>
      <c r="AN2326">
        <v>1.0000000050645199</v>
      </c>
    </row>
    <row r="2327" spans="1:40" x14ac:dyDescent="0.25">
      <c r="A2327" t="str">
        <f>"20190303170809497"</f>
        <v>20190303170809497</v>
      </c>
      <c r="B2327" t="str">
        <f>"1551604089485166"</f>
        <v>1551604089485166</v>
      </c>
      <c r="C2327" t="s">
        <v>40</v>
      </c>
      <c r="D2327">
        <v>4.7666529999999998</v>
      </c>
      <c r="E2327">
        <v>0.48045870000000002</v>
      </c>
      <c r="F2327" t="s">
        <v>71</v>
      </c>
      <c r="G2327">
        <v>-438.67770000000002</v>
      </c>
      <c r="H2327" s="1">
        <v>5.9485209999999998E-6</v>
      </c>
      <c r="I2327">
        <v>215.95070000000001</v>
      </c>
      <c r="J2327">
        <v>-469.3569</v>
      </c>
      <c r="K2327">
        <v>1.1249610000000001</v>
      </c>
      <c r="L2327">
        <v>214.16380000000001</v>
      </c>
      <c r="M2327">
        <v>0.99904539999999997</v>
      </c>
      <c r="N2327">
        <v>-1.3905499999999999E-2</v>
      </c>
      <c r="O2327">
        <v>-4.1411070000000001E-2</v>
      </c>
      <c r="P2327">
        <v>0.98127450000000005</v>
      </c>
      <c r="Q2327">
        <v>0.19249440000000001</v>
      </c>
      <c r="R2327">
        <v>-6.8066699999999999E-3</v>
      </c>
      <c r="S2327">
        <v>3.0803530000000001</v>
      </c>
      <c r="T2327">
        <v>-0.11199340000000001</v>
      </c>
      <c r="U2327">
        <v>0.17720030000000001</v>
      </c>
      <c r="V2327">
        <v>-3.5670420000000001E-2</v>
      </c>
      <c r="W2327">
        <v>0.2058045</v>
      </c>
      <c r="X2327">
        <v>0.9779428</v>
      </c>
      <c r="Y2327">
        <v>-9.8628179999999996E-2</v>
      </c>
      <c r="Z2327">
        <v>3.4062599999999999E-3</v>
      </c>
      <c r="AA2327">
        <v>0.99511850000000002</v>
      </c>
      <c r="AB2327">
        <v>27</v>
      </c>
      <c r="AC2327">
        <v>30.679199999999899</v>
      </c>
      <c r="AD2327">
        <v>-1.1249550514790001</v>
      </c>
      <c r="AE2327">
        <v>1.7868999999999999</v>
      </c>
      <c r="AF2327">
        <v>-3.05185871351325</v>
      </c>
      <c r="AG2327">
        <v>-1.1249550514790001</v>
      </c>
      <c r="AH2327">
        <v>30.5379520157523</v>
      </c>
      <c r="AI2327">
        <v>92.099256653236395</v>
      </c>
      <c r="AJ2327">
        <v>95.706995818922906</v>
      </c>
      <c r="AK2327">
        <v>30.710680207242</v>
      </c>
      <c r="AL2327">
        <v>78.123402186075197</v>
      </c>
      <c r="AM2327">
        <v>92.088934941384807</v>
      </c>
      <c r="AN2327">
        <v>0.99999999557753305</v>
      </c>
    </row>
    <row r="2328" spans="1:40" x14ac:dyDescent="0.25">
      <c r="A2328" t="str">
        <f>"20190303170809521"</f>
        <v>20190303170809521</v>
      </c>
      <c r="B2328" t="str">
        <f>"1551604089515422"</f>
        <v>1551604089515422</v>
      </c>
      <c r="C2328" t="s">
        <v>40</v>
      </c>
      <c r="D2328">
        <v>4.8196199999999996</v>
      </c>
      <c r="E2328">
        <v>0.48096270000000002</v>
      </c>
      <c r="F2328" t="s">
        <v>71</v>
      </c>
      <c r="G2328">
        <v>-436.90390000000002</v>
      </c>
      <c r="H2328" s="1">
        <v>5.153688E-6</v>
      </c>
      <c r="I2328">
        <v>216.04470000000001</v>
      </c>
      <c r="J2328">
        <v>-469.07889999999998</v>
      </c>
      <c r="K2328">
        <v>1.124744</v>
      </c>
      <c r="L2328">
        <v>214.15790000000001</v>
      </c>
      <c r="M2328">
        <v>0.99923090000000003</v>
      </c>
      <c r="N2328">
        <v>-1.3936169999999999E-2</v>
      </c>
      <c r="O2328">
        <v>-3.6654649999999997E-2</v>
      </c>
      <c r="P2328">
        <v>0.98074530000000004</v>
      </c>
      <c r="Q2328">
        <v>0.195243</v>
      </c>
      <c r="R2328">
        <v>-4.322022E-3</v>
      </c>
      <c r="S2328">
        <v>3.0794069999999998</v>
      </c>
      <c r="T2328">
        <v>-0.10674500000000001</v>
      </c>
      <c r="U2328">
        <v>0.1784821</v>
      </c>
      <c r="V2328">
        <v>-3.3364119999999997E-2</v>
      </c>
      <c r="W2328">
        <v>0.20861550000000001</v>
      </c>
      <c r="X2328">
        <v>0.97742839999999998</v>
      </c>
      <c r="Y2328">
        <v>-9.4333570000000005E-2</v>
      </c>
      <c r="Z2328">
        <v>3.0503190000000001E-3</v>
      </c>
      <c r="AA2328">
        <v>0.99553599999999998</v>
      </c>
      <c r="AB2328">
        <v>27</v>
      </c>
      <c r="AC2328">
        <v>32.174999999999898</v>
      </c>
      <c r="AD2328">
        <v>-1.1247388463120001</v>
      </c>
      <c r="AE2328">
        <v>1.88679999999999</v>
      </c>
      <c r="AF2328">
        <v>-3.0612815918624001</v>
      </c>
      <c r="AG2328">
        <v>-1.1247388463120001</v>
      </c>
      <c r="AH2328">
        <v>32.045182687870501</v>
      </c>
      <c r="AI2328">
        <v>92.001069831422498</v>
      </c>
      <c r="AJ2328">
        <v>95.456915520784705</v>
      </c>
      <c r="AK2328">
        <v>32.210715856001599</v>
      </c>
      <c r="AL2328">
        <v>77.958769852785693</v>
      </c>
      <c r="AM2328">
        <v>91.955009007490801</v>
      </c>
      <c r="AN2328">
        <v>0.99999993423509004</v>
      </c>
    </row>
    <row r="2329" spans="1:40" x14ac:dyDescent="0.25">
      <c r="A2329" t="str">
        <f>"20190303170809546"</f>
        <v>20190303170809546</v>
      </c>
      <c r="B2329" t="str">
        <f>"1551604089534941"</f>
        <v>1551604089534941</v>
      </c>
      <c r="C2329" t="s">
        <v>40</v>
      </c>
      <c r="D2329">
        <v>4.7522149999999996</v>
      </c>
      <c r="E2329">
        <v>0.48097669999999998</v>
      </c>
      <c r="F2329" t="s">
        <v>71</v>
      </c>
      <c r="G2329">
        <v>-432.73610000000002</v>
      </c>
      <c r="H2329" s="1">
        <v>3.2841999999999998E-6</v>
      </c>
      <c r="I2329">
        <v>216.28800000000001</v>
      </c>
      <c r="J2329">
        <v>-468.78870000000001</v>
      </c>
      <c r="K2329">
        <v>1.124428</v>
      </c>
      <c r="L2329">
        <v>214.15260000000001</v>
      </c>
      <c r="M2329">
        <v>0.99938490000000002</v>
      </c>
      <c r="N2329">
        <v>-1.3957779999999999E-2</v>
      </c>
      <c r="O2329">
        <v>-3.2173300000000002E-2</v>
      </c>
      <c r="P2329">
        <v>0.97995940000000004</v>
      </c>
      <c r="Q2329">
        <v>0.19916339999999999</v>
      </c>
      <c r="R2329">
        <v>-3.7101619999999999E-3</v>
      </c>
      <c r="S2329">
        <v>3.0786440000000002</v>
      </c>
      <c r="T2329">
        <v>-9.5278260000000004E-2</v>
      </c>
      <c r="U2329">
        <v>0.18045040000000001</v>
      </c>
      <c r="V2329">
        <v>-2.941179E-2</v>
      </c>
      <c r="W2329">
        <v>0.21260290000000001</v>
      </c>
      <c r="X2329">
        <v>0.97669600000000001</v>
      </c>
      <c r="Y2329">
        <v>-9.0536800000000001E-2</v>
      </c>
      <c r="Z2329">
        <v>2.5781939999999998E-3</v>
      </c>
      <c r="AA2329">
        <v>0.99588980000000005</v>
      </c>
      <c r="AB2329">
        <v>27</v>
      </c>
      <c r="AC2329">
        <v>36.052599999999899</v>
      </c>
      <c r="AD2329">
        <v>-1.1244247158</v>
      </c>
      <c r="AE2329">
        <v>2.13539999999997</v>
      </c>
      <c r="AF2329">
        <v>-3.2911481792211701</v>
      </c>
      <c r="AG2329">
        <v>-1.1244247158</v>
      </c>
      <c r="AH2329">
        <v>35.930394564669498</v>
      </c>
      <c r="AI2329">
        <v>91.784991657227494</v>
      </c>
      <c r="AJ2329">
        <v>95.233568028994895</v>
      </c>
      <c r="AK2329">
        <v>36.098327396874197</v>
      </c>
      <c r="AL2329">
        <v>77.725068165746407</v>
      </c>
      <c r="AM2329">
        <v>91.724858426766602</v>
      </c>
      <c r="AN2329">
        <v>1.0000000614477</v>
      </c>
    </row>
    <row r="2330" spans="1:40" x14ac:dyDescent="0.25">
      <c r="A2330" t="str">
        <f>"20190303170809572"</f>
        <v>20190303170809572</v>
      </c>
      <c r="B2330" t="str">
        <f>"1551604089565197"</f>
        <v>1551604089565197</v>
      </c>
      <c r="C2330" t="s">
        <v>40</v>
      </c>
      <c r="D2330">
        <v>4.7886069999999998</v>
      </c>
      <c r="E2330">
        <v>0.48136250000000003</v>
      </c>
      <c r="F2330" t="s">
        <v>71</v>
      </c>
      <c r="G2330">
        <v>-426.94970000000001</v>
      </c>
      <c r="H2330" s="1">
        <v>2.5549829999999998E-6</v>
      </c>
      <c r="I2330">
        <v>216.63919999999999</v>
      </c>
      <c r="J2330">
        <v>-468.48430000000002</v>
      </c>
      <c r="K2330">
        <v>1.123999</v>
      </c>
      <c r="L2330">
        <v>214.14779999999999</v>
      </c>
      <c r="M2330">
        <v>0.99950609999999995</v>
      </c>
      <c r="N2330">
        <v>-1.3970679999999999E-2</v>
      </c>
      <c r="O2330">
        <v>-2.815113E-2</v>
      </c>
      <c r="P2330">
        <v>0.97954050000000004</v>
      </c>
      <c r="Q2330">
        <v>0.2012062</v>
      </c>
      <c r="R2330">
        <v>-4.0685870000000002E-3</v>
      </c>
      <c r="S2330">
        <v>3.0788570000000002</v>
      </c>
      <c r="T2330">
        <v>-8.2744600000000001E-2</v>
      </c>
      <c r="U2330">
        <v>0.18298339999999999</v>
      </c>
      <c r="V2330">
        <v>-2.4874750000000001E-2</v>
      </c>
      <c r="W2330">
        <v>0.21471409999999999</v>
      </c>
      <c r="X2330">
        <v>0.97636009999999995</v>
      </c>
      <c r="Y2330">
        <v>-8.7358160000000004E-2</v>
      </c>
      <c r="Z2330">
        <v>2.1465540000000002E-3</v>
      </c>
      <c r="AA2330">
        <v>0.99617460000000002</v>
      </c>
      <c r="AB2330">
        <v>27</v>
      </c>
      <c r="AC2330">
        <v>41.534599999999998</v>
      </c>
      <c r="AD2330">
        <v>-1.1239964450169999</v>
      </c>
      <c r="AE2330">
        <v>2.4913999999999898</v>
      </c>
      <c r="AF2330">
        <v>-3.6571037714617001</v>
      </c>
      <c r="AG2330">
        <v>-1.1239964450169999</v>
      </c>
      <c r="AH2330">
        <v>41.41777022118</v>
      </c>
      <c r="AI2330">
        <v>91.548490945169704</v>
      </c>
      <c r="AJ2330">
        <v>95.046012640109396</v>
      </c>
      <c r="AK2330">
        <v>41.594103741974202</v>
      </c>
      <c r="AL2330">
        <v>77.6012449133177</v>
      </c>
      <c r="AM2330">
        <v>91.459410264568106</v>
      </c>
      <c r="AN2330">
        <v>0.99999997139918995</v>
      </c>
    </row>
    <row r="2331" spans="1:40" x14ac:dyDescent="0.25">
      <c r="A2331" t="str">
        <f>"20190303170809612"</f>
        <v>20190303170809612</v>
      </c>
      <c r="B2331" t="str">
        <f>"1551604089605213"</f>
        <v>1551604089605213</v>
      </c>
      <c r="C2331" t="s">
        <v>40</v>
      </c>
      <c r="D2331">
        <v>4.8331010000000001</v>
      </c>
      <c r="E2331">
        <v>0.48189579999999999</v>
      </c>
      <c r="F2331" t="s">
        <v>71</v>
      </c>
      <c r="G2331">
        <v>-423.95589999999999</v>
      </c>
      <c r="H2331" s="1">
        <v>3.0750330000000001E-6</v>
      </c>
      <c r="I2331">
        <v>216.76509999999999</v>
      </c>
      <c r="J2331">
        <v>-468.00889999999998</v>
      </c>
      <c r="K2331">
        <v>1.1232139999999999</v>
      </c>
      <c r="L2331">
        <v>214.14080000000001</v>
      </c>
      <c r="M2331">
        <v>0.99962899999999999</v>
      </c>
      <c r="N2331">
        <v>-1.3982E-2</v>
      </c>
      <c r="O2331">
        <v>-2.3377370000000001E-2</v>
      </c>
      <c r="P2331">
        <v>0.97977119999999995</v>
      </c>
      <c r="Q2331">
        <v>0.2000516</v>
      </c>
      <c r="R2331">
        <v>-5.2727069999999997E-3</v>
      </c>
      <c r="S2331">
        <v>3.0793460000000001</v>
      </c>
      <c r="T2331">
        <v>-7.772946E-2</v>
      </c>
      <c r="U2331">
        <v>0.18099979999999999</v>
      </c>
      <c r="V2331">
        <v>-1.857263E-2</v>
      </c>
      <c r="W2331">
        <v>0.21365020000000001</v>
      </c>
      <c r="X2331">
        <v>0.97673370000000004</v>
      </c>
      <c r="Y2331">
        <v>-8.1958749999999997E-2</v>
      </c>
      <c r="Z2331">
        <v>1.870006E-3</v>
      </c>
      <c r="AA2331">
        <v>0.99663389999999996</v>
      </c>
      <c r="AB2331">
        <v>27</v>
      </c>
      <c r="AC2331">
        <v>44.052999999999997</v>
      </c>
      <c r="AD2331">
        <v>-1.1232109249669999</v>
      </c>
      <c r="AE2331">
        <v>2.6242999999999701</v>
      </c>
      <c r="AF2331">
        <v>-3.65116138083728</v>
      </c>
      <c r="AG2331">
        <v>-1.1232109249669999</v>
      </c>
      <c r="AH2331">
        <v>43.951132228149397</v>
      </c>
      <c r="AI2331">
        <v>91.458903586123299</v>
      </c>
      <c r="AJ2331">
        <v>94.748839857183697</v>
      </c>
      <c r="AK2331">
        <v>44.116829060429502</v>
      </c>
      <c r="AL2331">
        <v>77.663650894134094</v>
      </c>
      <c r="AM2331">
        <v>91.089350237189805</v>
      </c>
      <c r="AN2331">
        <v>1.0000000356304199</v>
      </c>
    </row>
    <row r="2332" spans="1:40" x14ac:dyDescent="0.25">
      <c r="A2332" t="str">
        <f>"20190303170809632"</f>
        <v>20190303170809632</v>
      </c>
      <c r="B2332" t="str">
        <f>"1551604089624733"</f>
        <v>1551604089624733</v>
      </c>
      <c r="C2332" t="s">
        <v>40</v>
      </c>
      <c r="D2332">
        <v>4.7624329999999997</v>
      </c>
      <c r="E2332">
        <v>0.48206480000000002</v>
      </c>
      <c r="F2332" t="s">
        <v>71</v>
      </c>
      <c r="G2332">
        <v>-427.9323</v>
      </c>
      <c r="H2332" s="1">
        <v>2.4061550000000002E-6</v>
      </c>
      <c r="I2332">
        <v>216.34790000000001</v>
      </c>
      <c r="J2332">
        <v>-467.75979999999998</v>
      </c>
      <c r="K2332">
        <v>1.1228450000000001</v>
      </c>
      <c r="L2332">
        <v>214.13730000000001</v>
      </c>
      <c r="M2332">
        <v>0.99966909999999998</v>
      </c>
      <c r="N2332">
        <v>-1.398574E-2</v>
      </c>
      <c r="O2332">
        <v>-2.1594559999999999E-2</v>
      </c>
      <c r="P2332">
        <v>0.97948639999999998</v>
      </c>
      <c r="Q2332">
        <v>0.2014281</v>
      </c>
      <c r="R2332">
        <v>-5.7946589999999997E-3</v>
      </c>
      <c r="S2332">
        <v>3.0804749999999999</v>
      </c>
      <c r="T2332">
        <v>-8.6335419999999996E-2</v>
      </c>
      <c r="U2332">
        <v>0.1696472</v>
      </c>
      <c r="V2332">
        <v>-1.610373E-2</v>
      </c>
      <c r="W2332">
        <v>0.21505170000000001</v>
      </c>
      <c r="X2332">
        <v>0.9764699</v>
      </c>
      <c r="Y2332">
        <v>-7.6492560000000001E-2</v>
      </c>
      <c r="Z2332">
        <v>1.90934E-3</v>
      </c>
      <c r="AA2332">
        <v>0.99706830000000002</v>
      </c>
      <c r="AB2332">
        <v>27</v>
      </c>
      <c r="AC2332">
        <v>39.827499999999901</v>
      </c>
      <c r="AD2332">
        <v>-1.122842593845</v>
      </c>
      <c r="AE2332">
        <v>2.2105999999999901</v>
      </c>
      <c r="AF2332">
        <v>-3.06779490154792</v>
      </c>
      <c r="AG2332">
        <v>-1.122842593845</v>
      </c>
      <c r="AH2332">
        <v>39.738980686010997</v>
      </c>
      <c r="AI2332">
        <v>91.613688337876496</v>
      </c>
      <c r="AJ2332">
        <v>94.414400231622594</v>
      </c>
      <c r="AK2332">
        <v>39.8730325785696</v>
      </c>
      <c r="AL2332">
        <v>77.581439738576194</v>
      </c>
      <c r="AM2332">
        <v>90.944823929149806</v>
      </c>
      <c r="AN2332">
        <v>1.0000000146993999</v>
      </c>
    </row>
    <row r="2333" spans="1:40" x14ac:dyDescent="0.25">
      <c r="A2333" t="str">
        <f>"20190303170809679"</f>
        <v>20190303170809679</v>
      </c>
      <c r="B2333" t="str">
        <f>"1551604089664750"</f>
        <v>1551604089664750</v>
      </c>
      <c r="C2333" t="s">
        <v>40</v>
      </c>
      <c r="D2333">
        <v>4.8364890000000003</v>
      </c>
      <c r="E2333">
        <v>0.48206890000000002</v>
      </c>
      <c r="F2333" t="s">
        <v>71</v>
      </c>
      <c r="G2333">
        <v>-426.22120000000001</v>
      </c>
      <c r="H2333" s="1">
        <v>2.7098939999999999E-6</v>
      </c>
      <c r="I2333">
        <v>216.34549999999999</v>
      </c>
      <c r="J2333">
        <v>-467.2131</v>
      </c>
      <c r="K2333">
        <v>1.1221299999999901</v>
      </c>
      <c r="L2333">
        <v>214.12909999999999</v>
      </c>
      <c r="M2333">
        <v>0.99971390000000004</v>
      </c>
      <c r="N2333">
        <v>-1.398547E-2</v>
      </c>
      <c r="O2333">
        <v>-1.9406969999999999E-2</v>
      </c>
      <c r="P2333">
        <v>0.97870360000000001</v>
      </c>
      <c r="Q2333">
        <v>0.20513780000000001</v>
      </c>
      <c r="R2333">
        <v>-7.6092149999999999E-3</v>
      </c>
      <c r="S2333">
        <v>3.0809630000000001</v>
      </c>
      <c r="T2333">
        <v>-8.3282350000000005E-2</v>
      </c>
      <c r="U2333">
        <v>0.16378779999999901</v>
      </c>
      <c r="V2333">
        <v>-1.174799E-2</v>
      </c>
      <c r="W2333">
        <v>0.2187858</v>
      </c>
      <c r="X2333">
        <v>0.97570219999999996</v>
      </c>
      <c r="Y2333">
        <v>-7.2416069999999999E-2</v>
      </c>
      <c r="Z2333">
        <v>1.73777E-3</v>
      </c>
      <c r="AA2333">
        <v>0.99737299999999995</v>
      </c>
      <c r="AB2333">
        <v>27</v>
      </c>
      <c r="AC2333">
        <v>40.991900000000001</v>
      </c>
      <c r="AD2333">
        <v>-1.12212729010599</v>
      </c>
      <c r="AE2333">
        <v>2.2163999999999899</v>
      </c>
      <c r="AF2333">
        <v>-3.0093403464967201</v>
      </c>
      <c r="AG2333">
        <v>-1.12212729010599</v>
      </c>
      <c r="AH2333">
        <v>40.910593317339703</v>
      </c>
      <c r="AI2333">
        <v>91.5669274522037</v>
      </c>
      <c r="AJ2333">
        <v>94.207040394385004</v>
      </c>
      <c r="AK2333">
        <v>41.036470907633003</v>
      </c>
      <c r="AL2333">
        <v>77.362272956783301</v>
      </c>
      <c r="AM2333">
        <v>90.6898392968465</v>
      </c>
      <c r="AN2333">
        <v>1.0000000123177599</v>
      </c>
    </row>
    <row r="2334" spans="1:40" x14ac:dyDescent="0.25">
      <c r="A2334" t="str">
        <f>"20190303170809702"</f>
        <v>20190303170809702</v>
      </c>
      <c r="B2334" t="str">
        <f>"1551604089695005"</f>
        <v>1551604089695005</v>
      </c>
      <c r="C2334" t="s">
        <v>40</v>
      </c>
      <c r="D2334">
        <v>4.8360539999999999</v>
      </c>
      <c r="E2334">
        <v>0.4821645</v>
      </c>
      <c r="F2334" t="s">
        <v>71</v>
      </c>
      <c r="G2334">
        <v>-420.11720000000003</v>
      </c>
      <c r="H2334" s="1">
        <v>3.7758590000000001E-6</v>
      </c>
      <c r="I2334">
        <v>216.5376</v>
      </c>
      <c r="J2334">
        <v>-466.93819999999999</v>
      </c>
      <c r="K2334">
        <v>1.121718</v>
      </c>
      <c r="L2334">
        <v>214.12440000000001</v>
      </c>
      <c r="M2334">
        <v>0.99971719999999997</v>
      </c>
      <c r="N2334">
        <v>-1.3985060000000001E-2</v>
      </c>
      <c r="O2334">
        <v>-1.9238720000000001E-2</v>
      </c>
      <c r="P2334">
        <v>0.97835450000000002</v>
      </c>
      <c r="Q2334">
        <v>0.20679130000000001</v>
      </c>
      <c r="R2334">
        <v>-7.7669150000000001E-3</v>
      </c>
      <c r="S2334">
        <v>3.081909</v>
      </c>
      <c r="T2334">
        <v>-7.3430780000000001E-2</v>
      </c>
      <c r="U2334">
        <v>0.157608</v>
      </c>
      <c r="V2334">
        <v>-1.1198420000000001E-2</v>
      </c>
      <c r="W2334">
        <v>0.22044610000000001</v>
      </c>
      <c r="X2334">
        <v>0.9753349</v>
      </c>
      <c r="Y2334">
        <v>-7.0246520000000007E-2</v>
      </c>
      <c r="Z2334">
        <v>1.5170559999999999E-3</v>
      </c>
      <c r="AA2334">
        <v>0.99752850000000004</v>
      </c>
      <c r="AB2334">
        <v>26</v>
      </c>
      <c r="AC2334">
        <v>46.820999999999898</v>
      </c>
      <c r="AD2334">
        <v>-1.1217142241410001</v>
      </c>
      <c r="AE2334">
        <v>2.4131999999999798</v>
      </c>
      <c r="AF2334">
        <v>-3.3117216325294199</v>
      </c>
      <c r="AG2334">
        <v>-1.1217142241410001</v>
      </c>
      <c r="AH2334">
        <v>46.739145784123302</v>
      </c>
      <c r="AI2334">
        <v>91.371366975800697</v>
      </c>
      <c r="AJ2334">
        <v>94.052942780676602</v>
      </c>
      <c r="AK2334">
        <v>46.869750283114698</v>
      </c>
      <c r="AL2334">
        <v>77.264764418514304</v>
      </c>
      <c r="AM2334">
        <v>90.657819186992896</v>
      </c>
      <c r="AN2334">
        <v>1.0000000273868499</v>
      </c>
    </row>
    <row r="2335" spans="1:40" x14ac:dyDescent="0.25">
      <c r="A2335" t="str">
        <f>"20190303170809722"</f>
        <v>20190303170809722</v>
      </c>
      <c r="B2335" t="str">
        <f>"1551604089715501"</f>
        <v>1551604089715501</v>
      </c>
      <c r="C2335" t="s">
        <v>40</v>
      </c>
      <c r="D2335">
        <v>4.8629259999999999</v>
      </c>
      <c r="E2335">
        <v>0.48521599999999998</v>
      </c>
      <c r="F2335" t="s">
        <v>71</v>
      </c>
      <c r="G2335">
        <v>-418.82330000000002</v>
      </c>
      <c r="H2335" s="1">
        <v>3.6019510000000001E-6</v>
      </c>
      <c r="I2335">
        <v>216.54839999999999</v>
      </c>
      <c r="J2335">
        <v>-466.70670000000001</v>
      </c>
      <c r="K2335">
        <v>1.121353</v>
      </c>
      <c r="L2335">
        <v>214.12</v>
      </c>
      <c r="M2335">
        <v>0.99971080000000001</v>
      </c>
      <c r="N2335">
        <v>-1.39869E-2</v>
      </c>
      <c r="O2335">
        <v>-1.9562380000000001E-2</v>
      </c>
      <c r="P2335">
        <v>0.97821849999999999</v>
      </c>
      <c r="Q2335">
        <v>0.2073777</v>
      </c>
      <c r="R2335">
        <v>-9.1208950000000004E-3</v>
      </c>
      <c r="S2335">
        <v>3.0827939999999998</v>
      </c>
      <c r="T2335">
        <v>-7.1869970000000005E-2</v>
      </c>
      <c r="U2335">
        <v>0.155304</v>
      </c>
      <c r="V2335">
        <v>-9.9562130000000002E-3</v>
      </c>
      <c r="W2335">
        <v>0.2210423</v>
      </c>
      <c r="X2335">
        <v>0.97521340000000001</v>
      </c>
      <c r="Y2335">
        <v>-6.9812600000000002E-2</v>
      </c>
      <c r="Z2335">
        <v>1.48414799999999E-3</v>
      </c>
      <c r="AA2335">
        <v>0.99755899999999997</v>
      </c>
      <c r="AB2335">
        <v>26</v>
      </c>
      <c r="AC2335">
        <v>47.883400000000002</v>
      </c>
      <c r="AD2335">
        <v>-1.1213493980489999</v>
      </c>
      <c r="AE2335">
        <v>2.4283999999999799</v>
      </c>
      <c r="AF2335">
        <v>-3.3629005658301399</v>
      </c>
      <c r="AG2335">
        <v>-1.1213493980489999</v>
      </c>
      <c r="AH2335">
        <v>47.800577767762697</v>
      </c>
      <c r="AI2335">
        <v>91.340537799881801</v>
      </c>
      <c r="AJ2335">
        <v>94.024283153548595</v>
      </c>
      <c r="AK2335">
        <v>47.931844942794498</v>
      </c>
      <c r="AL2335">
        <v>77.229740345921201</v>
      </c>
      <c r="AM2335">
        <v>90.584927531699407</v>
      </c>
      <c r="AN2335">
        <v>1.00000000005307</v>
      </c>
    </row>
    <row r="2336" spans="1:40" x14ac:dyDescent="0.25">
      <c r="A2336" t="str">
        <f>"20190303170809746"</f>
        <v>20190303170809746</v>
      </c>
      <c r="B2336" t="str">
        <f>"1551604089735022"</f>
        <v>1551604089735022</v>
      </c>
      <c r="C2336" t="s">
        <v>40</v>
      </c>
      <c r="D2336">
        <v>4.666131</v>
      </c>
      <c r="E2336">
        <v>0.48518640000000002</v>
      </c>
      <c r="F2336" t="s">
        <v>71</v>
      </c>
      <c r="G2336">
        <v>-439.41379999999998</v>
      </c>
      <c r="H2336" s="1">
        <v>6.3342310000000001E-6</v>
      </c>
      <c r="I2336">
        <v>215.27250000000001</v>
      </c>
      <c r="J2336">
        <v>-466.41770000000002</v>
      </c>
      <c r="K2336">
        <v>1.120895</v>
      </c>
      <c r="L2336">
        <v>214.1138</v>
      </c>
      <c r="M2336">
        <v>0.99969169999999996</v>
      </c>
      <c r="N2336">
        <v>-1.3991429999999999E-2</v>
      </c>
      <c r="O2336">
        <v>-2.051271E-2</v>
      </c>
      <c r="P2336">
        <v>0.97809190000000001</v>
      </c>
      <c r="Q2336">
        <v>0.20789050000000001</v>
      </c>
      <c r="R2336">
        <v>-1.085879E-2</v>
      </c>
      <c r="S2336">
        <v>3.0949710000000001</v>
      </c>
      <c r="T2336">
        <v>-0.12715860000000001</v>
      </c>
      <c r="U2336">
        <v>0.13069149999999999</v>
      </c>
      <c r="V2336">
        <v>-8.8897590000000005E-3</v>
      </c>
      <c r="W2336">
        <v>0.22156870000000001</v>
      </c>
      <c r="X2336">
        <v>0.97510430000000003</v>
      </c>
      <c r="Y2336">
        <v>-6.2598810000000005E-2</v>
      </c>
      <c r="Z2336">
        <v>2.2785269999999998E-3</v>
      </c>
      <c r="AA2336">
        <v>0.99803609999999998</v>
      </c>
      <c r="AB2336">
        <v>26</v>
      </c>
      <c r="AC2336">
        <v>27.003900000000002</v>
      </c>
      <c r="AD2336">
        <v>-1.120888665769</v>
      </c>
      <c r="AE2336">
        <v>1.1587000000000101</v>
      </c>
      <c r="AF2336">
        <v>-1.7094935866948</v>
      </c>
      <c r="AG2336">
        <v>-1.120888665769</v>
      </c>
      <c r="AH2336">
        <v>26.928136160837202</v>
      </c>
      <c r="AI2336">
        <v>92.378788343530701</v>
      </c>
      <c r="AJ2336">
        <v>93.6324647162714</v>
      </c>
      <c r="AK2336">
        <v>27.0056156534264</v>
      </c>
      <c r="AL2336">
        <v>77.198813720502102</v>
      </c>
      <c r="AM2336">
        <v>90.522335468033006</v>
      </c>
      <c r="AN2336">
        <v>1.00000005625662</v>
      </c>
    </row>
    <row r="2337" spans="1:40" x14ac:dyDescent="0.25">
      <c r="A2337" t="str">
        <f>"20190303170809771"</f>
        <v>20190303170809771</v>
      </c>
      <c r="B2337" t="str">
        <f>"1551604089765277"</f>
        <v>1551604089765277</v>
      </c>
      <c r="C2337" t="s">
        <v>40</v>
      </c>
      <c r="D2337">
        <v>4.8668779999999998</v>
      </c>
      <c r="E2337">
        <v>0.48496260000000002</v>
      </c>
      <c r="F2337" t="s">
        <v>71</v>
      </c>
      <c r="G2337">
        <v>-437.12079999999997</v>
      </c>
      <c r="H2337" s="1">
        <v>5.3142239999999997E-6</v>
      </c>
      <c r="I2337">
        <v>215.3091</v>
      </c>
      <c r="J2337">
        <v>-466.13290000000001</v>
      </c>
      <c r="K2337">
        <v>1.1204809999999901</v>
      </c>
      <c r="L2337">
        <v>214.10659999999999</v>
      </c>
      <c r="M2337">
        <v>0.99965910000000002</v>
      </c>
      <c r="N2337">
        <v>-1.39967999999999E-2</v>
      </c>
      <c r="O2337">
        <v>-2.2039840000000002E-2</v>
      </c>
      <c r="P2337">
        <v>0.9779506</v>
      </c>
      <c r="Q2337">
        <v>0.208506</v>
      </c>
      <c r="R2337">
        <v>-1.1744070000000001E-2</v>
      </c>
      <c r="S2337">
        <v>3.09375</v>
      </c>
      <c r="T2337">
        <v>-0.1183661</v>
      </c>
      <c r="U2337">
        <v>0.12622069999999999</v>
      </c>
      <c r="V2337">
        <v>-9.2673440000000003E-3</v>
      </c>
      <c r="W2337">
        <v>0.2221978</v>
      </c>
      <c r="X2337">
        <v>0.97495759999999998</v>
      </c>
      <c r="Y2337">
        <v>-6.2709399999999998E-2</v>
      </c>
      <c r="Z2337">
        <v>2.172312E-3</v>
      </c>
      <c r="AA2337">
        <v>0.99802950000000001</v>
      </c>
      <c r="AB2337">
        <v>26</v>
      </c>
      <c r="AC2337">
        <v>29.0121</v>
      </c>
      <c r="AD2337">
        <v>-1.1204756857760001</v>
      </c>
      <c r="AE2337">
        <v>1.2025000000000099</v>
      </c>
      <c r="AF2337">
        <v>-1.8389542961507801</v>
      </c>
      <c r="AG2337">
        <v>-1.1204756857760001</v>
      </c>
      <c r="AH2337">
        <v>28.9354603448113</v>
      </c>
      <c r="AI2337">
        <v>92.213111560189702</v>
      </c>
      <c r="AJ2337">
        <v>93.636465553752103</v>
      </c>
      <c r="AK2337">
        <v>29.0154800758473</v>
      </c>
      <c r="AL2337">
        <v>77.1618472068849</v>
      </c>
      <c r="AM2337">
        <v>90.544601844860594</v>
      </c>
      <c r="AN2337">
        <v>1.0000000338937001</v>
      </c>
    </row>
    <row r="2338" spans="1:40" x14ac:dyDescent="0.25">
      <c r="A2338" t="str">
        <f>"20190303170809814"</f>
        <v>20190303170809814</v>
      </c>
      <c r="B2338" t="str">
        <f>"1551604089805294"</f>
        <v>1551604089805294</v>
      </c>
      <c r="C2338" t="s">
        <v>40</v>
      </c>
      <c r="D2338">
        <v>4.8575549999999996</v>
      </c>
      <c r="E2338">
        <v>0.48546450000000002</v>
      </c>
      <c r="F2338" t="s">
        <v>71</v>
      </c>
      <c r="G2338">
        <v>-436.16219999999998</v>
      </c>
      <c r="H2338" s="1">
        <v>4.888359E-6</v>
      </c>
      <c r="I2338">
        <v>215.3177</v>
      </c>
      <c r="J2338">
        <v>-465.62799999999999</v>
      </c>
      <c r="K2338">
        <v>1.1199760000000001</v>
      </c>
      <c r="L2338">
        <v>214.09119999999999</v>
      </c>
      <c r="M2338">
        <v>0.9995676</v>
      </c>
      <c r="N2338">
        <v>-1.4003170000000001E-2</v>
      </c>
      <c r="O2338">
        <v>-2.5855969999999999E-2</v>
      </c>
      <c r="P2338">
        <v>0.97756889999999996</v>
      </c>
      <c r="Q2338">
        <v>0.21001159999999999</v>
      </c>
      <c r="R2338">
        <v>-1.5955649999999998E-2</v>
      </c>
      <c r="S2338">
        <v>3.0937809999999999</v>
      </c>
      <c r="T2338">
        <v>-0.1156633</v>
      </c>
      <c r="U2338">
        <v>0.1250153</v>
      </c>
      <c r="V2338">
        <v>-8.4995660000000001E-3</v>
      </c>
      <c r="W2338">
        <v>0.2237141</v>
      </c>
      <c r="X2338">
        <v>0.97461779999999998</v>
      </c>
      <c r="Y2338">
        <v>-6.612904E-2</v>
      </c>
      <c r="Z2338">
        <v>2.3027669999999998E-3</v>
      </c>
      <c r="AA2338">
        <v>0.99780840000000004</v>
      </c>
      <c r="AB2338">
        <v>26</v>
      </c>
      <c r="AC2338">
        <v>29.465800000000002</v>
      </c>
      <c r="AD2338">
        <v>-1.119971111641</v>
      </c>
      <c r="AE2338">
        <v>1.2265000000000099</v>
      </c>
      <c r="AF2338">
        <v>-1.9851684111999901</v>
      </c>
      <c r="AG2338">
        <v>-1.119971111641</v>
      </c>
      <c r="AH2338">
        <v>29.381857059685601</v>
      </c>
      <c r="AI2338">
        <v>92.177970279654005</v>
      </c>
      <c r="AJ2338">
        <v>93.865282191448102</v>
      </c>
      <c r="AK2338">
        <v>29.470133240070901</v>
      </c>
      <c r="AL2338">
        <v>77.0727264980586</v>
      </c>
      <c r="AM2338">
        <v>90.499659368165297</v>
      </c>
      <c r="AN2338">
        <v>1.00000004861891</v>
      </c>
    </row>
    <row r="2339" spans="1:40" x14ac:dyDescent="0.25">
      <c r="A2339" t="str">
        <f>"20190303170809857"</f>
        <v>20190303170809857</v>
      </c>
      <c r="B2339" t="str">
        <f>"1551604089845309"</f>
        <v>1551604089845309</v>
      </c>
      <c r="C2339" t="s">
        <v>40</v>
      </c>
      <c r="D2339">
        <v>4.8658169999999998</v>
      </c>
      <c r="E2339">
        <v>0.48557519999999998</v>
      </c>
      <c r="F2339" t="s">
        <v>71</v>
      </c>
      <c r="G2339">
        <v>-434.07209999999998</v>
      </c>
      <c r="H2339" s="1">
        <v>3.9726190000000002E-6</v>
      </c>
      <c r="I2339">
        <v>215.19049999999999</v>
      </c>
      <c r="J2339">
        <v>-465.12329999999997</v>
      </c>
      <c r="K2339">
        <v>1.119783</v>
      </c>
      <c r="L2339">
        <v>214.0728</v>
      </c>
      <c r="M2339">
        <v>0.99944040000000001</v>
      </c>
      <c r="N2339">
        <v>-1.400176E-2</v>
      </c>
      <c r="O2339">
        <v>-3.037902E-2</v>
      </c>
      <c r="P2339">
        <v>0.97771140000000001</v>
      </c>
      <c r="Q2339">
        <v>0.20869270000000001</v>
      </c>
      <c r="R2339">
        <v>-2.2971269999999998E-2</v>
      </c>
      <c r="S2339">
        <v>3.0941770000000002</v>
      </c>
      <c r="T2339">
        <v>-0.1098177</v>
      </c>
      <c r="U2339">
        <v>0.1077881</v>
      </c>
      <c r="V2339">
        <v>-5.8119249999999999E-3</v>
      </c>
      <c r="W2339">
        <v>0.22239159999999999</v>
      </c>
      <c r="X2339">
        <v>0.97494009999999998</v>
      </c>
      <c r="Y2339">
        <v>-6.5098050000000005E-2</v>
      </c>
      <c r="Z2339">
        <v>2.2630049999999998E-3</v>
      </c>
      <c r="AA2339">
        <v>0.99787630000000005</v>
      </c>
      <c r="AB2339">
        <v>26</v>
      </c>
      <c r="AC2339">
        <v>31.051199999999898</v>
      </c>
      <c r="AD2339">
        <v>-1.119779027381</v>
      </c>
      <c r="AE2339">
        <v>1.1176999999999799</v>
      </c>
      <c r="AF2339">
        <v>-2.05790867795969</v>
      </c>
      <c r="AG2339">
        <v>-1.119779027381</v>
      </c>
      <c r="AH2339">
        <v>30.9626929346935</v>
      </c>
      <c r="AI2339">
        <v>92.066667928851402</v>
      </c>
      <c r="AJ2339">
        <v>93.802521953268695</v>
      </c>
      <c r="AK2339">
        <v>31.051203631503601</v>
      </c>
      <c r="AL2339">
        <v>77.150457892363903</v>
      </c>
      <c r="AM2339">
        <v>90.341554141436504</v>
      </c>
      <c r="AN2339">
        <v>1.00000000040538</v>
      </c>
    </row>
    <row r="2340" spans="1:40" x14ac:dyDescent="0.25">
      <c r="A2340" t="str">
        <f>"20190303170809877"</f>
        <v>20190303170809877</v>
      </c>
      <c r="B2340" t="str">
        <f>"1551604089865806"</f>
        <v>1551604089865806</v>
      </c>
      <c r="C2340" t="s">
        <v>40</v>
      </c>
      <c r="D2340">
        <v>4.8738320000000002</v>
      </c>
      <c r="E2340">
        <v>0.4858731</v>
      </c>
      <c r="F2340" t="s">
        <v>71</v>
      </c>
      <c r="G2340">
        <v>-434.7604</v>
      </c>
      <c r="H2340" s="1">
        <v>4.300922E-6</v>
      </c>
      <c r="I2340">
        <v>214.9263</v>
      </c>
      <c r="J2340">
        <v>-464.87630000000001</v>
      </c>
      <c r="K2340">
        <v>1.1197569999999999</v>
      </c>
      <c r="L2340">
        <v>214.06290000000001</v>
      </c>
      <c r="M2340">
        <v>0.99936840000000005</v>
      </c>
      <c r="N2340">
        <v>-1.3999910000000001E-2</v>
      </c>
      <c r="O2340">
        <v>-3.2664159999999998E-2</v>
      </c>
      <c r="P2340">
        <v>0.97804599999999997</v>
      </c>
      <c r="Q2340">
        <v>0.20699139999999999</v>
      </c>
      <c r="R2340">
        <v>-2.4104049999999998E-2</v>
      </c>
      <c r="S2340">
        <v>3.0947879999999999</v>
      </c>
      <c r="T2340">
        <v>-0.1141351</v>
      </c>
      <c r="U2340">
        <v>8.6990360000000003E-2</v>
      </c>
      <c r="V2340">
        <v>-6.9220130000000003E-3</v>
      </c>
      <c r="W2340">
        <v>0.22069859999999999</v>
      </c>
      <c r="X2340">
        <v>0.97531749999999995</v>
      </c>
      <c r="Y2340">
        <v>-6.0671620000000002E-2</v>
      </c>
      <c r="Z2340">
        <v>2.2900189999999999E-3</v>
      </c>
      <c r="AA2340">
        <v>0.99815520000000002</v>
      </c>
      <c r="AB2340">
        <v>26</v>
      </c>
      <c r="AC2340">
        <v>30.1159</v>
      </c>
      <c r="AD2340">
        <v>-1.11975269907799</v>
      </c>
      <c r="AE2340">
        <v>0.86339999999998396</v>
      </c>
      <c r="AF2340">
        <v>-1.84419867071108</v>
      </c>
      <c r="AG2340">
        <v>-1.11975269907799</v>
      </c>
      <c r="AH2340">
        <v>30.0301401556979</v>
      </c>
      <c r="AI2340">
        <v>92.131422697933402</v>
      </c>
      <c r="AJ2340">
        <v>93.514211571511893</v>
      </c>
      <c r="AK2340">
        <v>30.107544446782899</v>
      </c>
      <c r="AL2340">
        <v>77.249931642686903</v>
      </c>
      <c r="AM2340">
        <v>90.406632170419698</v>
      </c>
      <c r="AN2340">
        <v>1.0000000060560901</v>
      </c>
    </row>
    <row r="2341" spans="1:40" x14ac:dyDescent="0.25">
      <c r="A2341" t="str">
        <f>"20190303170809902"</f>
        <v>20190303170809902</v>
      </c>
      <c r="B2341" t="str">
        <f>"1551604089895087"</f>
        <v>1551604089895087</v>
      </c>
      <c r="C2341" t="s">
        <v>40</v>
      </c>
      <c r="D2341">
        <v>4.8811090000000004</v>
      </c>
      <c r="E2341">
        <v>0.48631930000000001</v>
      </c>
      <c r="F2341" t="s">
        <v>71</v>
      </c>
      <c r="G2341">
        <v>-436.2441</v>
      </c>
      <c r="H2341" s="1">
        <v>4.9694299999999998E-6</v>
      </c>
      <c r="I2341">
        <v>214.80600000000001</v>
      </c>
      <c r="J2341">
        <v>-464.58530000000002</v>
      </c>
      <c r="K2341">
        <v>1.119769</v>
      </c>
      <c r="L2341">
        <v>214.0504</v>
      </c>
      <c r="M2341">
        <v>0.99927770000000005</v>
      </c>
      <c r="N2341">
        <v>-1.399747E-2</v>
      </c>
      <c r="O2341">
        <v>-3.5333200000000002E-2</v>
      </c>
      <c r="P2341">
        <v>0.97788679999999994</v>
      </c>
      <c r="Q2341">
        <v>0.20740049999999999</v>
      </c>
      <c r="R2341">
        <v>-2.6889219999999998E-2</v>
      </c>
      <c r="S2341">
        <v>3.0949710000000001</v>
      </c>
      <c r="T2341">
        <v>-0.1210389</v>
      </c>
      <c r="U2341">
        <v>8.0322270000000001E-2</v>
      </c>
      <c r="V2341">
        <v>-6.7483739999999997E-3</v>
      </c>
      <c r="W2341">
        <v>0.2211032</v>
      </c>
      <c r="X2341">
        <v>0.97522710000000001</v>
      </c>
      <c r="Y2341">
        <v>-6.117773E-2</v>
      </c>
      <c r="Z2341">
        <v>2.5106880000000001E-3</v>
      </c>
      <c r="AA2341">
        <v>0.99812369999999995</v>
      </c>
      <c r="AB2341">
        <v>26</v>
      </c>
      <c r="AC2341">
        <v>28.341200000000001</v>
      </c>
      <c r="AD2341">
        <v>-1.1197640305700001</v>
      </c>
      <c r="AE2341">
        <v>0.75559999999998695</v>
      </c>
      <c r="AF2341">
        <v>-1.7538754200589599</v>
      </c>
      <c r="AG2341">
        <v>-1.1197640305700001</v>
      </c>
      <c r="AH2341">
        <v>28.252726993256001</v>
      </c>
      <c r="AI2341">
        <v>92.265307622992793</v>
      </c>
      <c r="AJ2341">
        <v>93.552254326403698</v>
      </c>
      <c r="AK2341">
        <v>28.329252249727698</v>
      </c>
      <c r="AL2341">
        <v>77.226162910777305</v>
      </c>
      <c r="AM2341">
        <v>90.396468860947394</v>
      </c>
      <c r="AN2341">
        <v>1.0000000310881401</v>
      </c>
    </row>
    <row r="2342" spans="1:40" x14ac:dyDescent="0.25">
      <c r="A2342" t="str">
        <f>"20190303170809923"</f>
        <v>20190303170809923</v>
      </c>
      <c r="B2342" t="str">
        <f>"1551604089915582"</f>
        <v>1551604089915582</v>
      </c>
      <c r="C2342" t="s">
        <v>40</v>
      </c>
      <c r="D2342">
        <v>4.8860590000000004</v>
      </c>
      <c r="E2342">
        <v>0.48646099999999998</v>
      </c>
      <c r="F2342" t="s">
        <v>71</v>
      </c>
      <c r="G2342">
        <v>-435.98469999999998</v>
      </c>
      <c r="H2342" s="1">
        <v>4.8638690000000003E-6</v>
      </c>
      <c r="I2342">
        <v>214.69739999999999</v>
      </c>
      <c r="J2342">
        <v>-464.34039999999999</v>
      </c>
      <c r="K2342">
        <v>1.1197870000000001</v>
      </c>
      <c r="L2342">
        <v>214.0393</v>
      </c>
      <c r="M2342">
        <v>0.99919729999999995</v>
      </c>
      <c r="N2342">
        <v>-1.3995199999999999E-2</v>
      </c>
      <c r="O2342">
        <v>-3.7535510000000001E-2</v>
      </c>
      <c r="P2342">
        <v>0.97742439999999997</v>
      </c>
      <c r="Q2342">
        <v>0.20900099999999999</v>
      </c>
      <c r="R2342">
        <v>-3.0986670000000001E-2</v>
      </c>
      <c r="S2342">
        <v>3.095459</v>
      </c>
      <c r="T2342">
        <v>-0.1211928</v>
      </c>
      <c r="U2342">
        <v>7.0022580000000001E-2</v>
      </c>
      <c r="V2342">
        <v>-4.795807E-3</v>
      </c>
      <c r="W2342">
        <v>0.2226882</v>
      </c>
      <c r="X2342">
        <v>0.97487789999999996</v>
      </c>
      <c r="Y2342">
        <v>-6.0054620000000003E-2</v>
      </c>
      <c r="Z2342">
        <v>2.5390999999999999E-3</v>
      </c>
      <c r="AA2342">
        <v>0.99819190000000002</v>
      </c>
      <c r="AB2342">
        <v>26</v>
      </c>
      <c r="AC2342">
        <v>28.355699999999999</v>
      </c>
      <c r="AD2342">
        <v>-1.1197821361310001</v>
      </c>
      <c r="AE2342">
        <v>0.65809999999999003</v>
      </c>
      <c r="AF2342">
        <v>-1.71940606392549</v>
      </c>
      <c r="AG2342">
        <v>-1.1197821361310001</v>
      </c>
      <c r="AH2342">
        <v>28.266950453542599</v>
      </c>
      <c r="AI2342">
        <v>92.264378706085495</v>
      </c>
      <c r="AJ2342">
        <v>93.480866434477093</v>
      </c>
      <c r="AK2342">
        <v>28.3413259603021</v>
      </c>
      <c r="AL2342">
        <v>77.133026550442693</v>
      </c>
      <c r="AM2342">
        <v>90.281858152593401</v>
      </c>
      <c r="AN2342">
        <v>0.99999997704621502</v>
      </c>
    </row>
    <row r="2343" spans="1:40" x14ac:dyDescent="0.25">
      <c r="A2343" t="str">
        <f>"20190303170809944"</f>
        <v>20190303170809944</v>
      </c>
      <c r="B2343" t="str">
        <f>"1551604089935102"</f>
        <v>1551604089935102</v>
      </c>
      <c r="C2343" t="s">
        <v>40</v>
      </c>
      <c r="D2343">
        <v>4.8759180000000004</v>
      </c>
      <c r="E2343">
        <v>0.48652400000000001</v>
      </c>
      <c r="F2343" t="s">
        <v>71</v>
      </c>
      <c r="G2343">
        <v>-434.58420000000001</v>
      </c>
      <c r="H2343" s="1">
        <v>4.2512150000000003E-6</v>
      </c>
      <c r="I2343">
        <v>214.60120000000001</v>
      </c>
      <c r="J2343">
        <v>-464.09109999999998</v>
      </c>
      <c r="K2343">
        <v>1.119812</v>
      </c>
      <c r="L2343">
        <v>214.0275</v>
      </c>
      <c r="M2343">
        <v>0.99911249999999996</v>
      </c>
      <c r="N2343">
        <v>-1.399269E-2</v>
      </c>
      <c r="O2343">
        <v>-3.9731620000000002E-2</v>
      </c>
      <c r="P2343">
        <v>0.97740260000000001</v>
      </c>
      <c r="Q2343">
        <v>0.20863670000000001</v>
      </c>
      <c r="R2343">
        <v>-3.3988850000000001E-2</v>
      </c>
      <c r="S2343">
        <v>3.096069</v>
      </c>
      <c r="T2343">
        <v>-0.11651110000000001</v>
      </c>
      <c r="U2343">
        <v>5.8471679999999998E-2</v>
      </c>
      <c r="V2343">
        <v>-3.9598699999999999E-3</v>
      </c>
      <c r="W2343">
        <v>0.22231909999999999</v>
      </c>
      <c r="X2343">
        <v>0.97496590000000005</v>
      </c>
      <c r="Y2343">
        <v>-5.8528009999999998E-2</v>
      </c>
      <c r="Z2343">
        <v>2.4490079999999999E-3</v>
      </c>
      <c r="AA2343">
        <v>0.99828280000000003</v>
      </c>
      <c r="AB2343">
        <v>26</v>
      </c>
      <c r="AC2343">
        <v>29.506899999999899</v>
      </c>
      <c r="AD2343">
        <v>-1.119807748785</v>
      </c>
      <c r="AE2343">
        <v>0.57370000000000199</v>
      </c>
      <c r="AF2343">
        <v>-1.7432088097699401</v>
      </c>
      <c r="AG2343">
        <v>-1.119807748785</v>
      </c>
      <c r="AH2343">
        <v>29.418446071186501</v>
      </c>
      <c r="AI2343">
        <v>92.176087547500899</v>
      </c>
      <c r="AJ2343">
        <v>93.391132699529905</v>
      </c>
      <c r="AK2343">
        <v>29.491315935237701</v>
      </c>
      <c r="AL2343">
        <v>77.154718289612305</v>
      </c>
      <c r="AM2343">
        <v>90.232708232012698</v>
      </c>
      <c r="AN2343">
        <v>0.99999998447901794</v>
      </c>
    </row>
    <row r="2344" spans="1:40" x14ac:dyDescent="0.25">
      <c r="A2344" t="str">
        <f>"20190303170809991"</f>
        <v>20190303170809991</v>
      </c>
      <c r="B2344" t="str">
        <f>"1551604089984878"</f>
        <v>1551604089984878</v>
      </c>
      <c r="C2344" t="s">
        <v>40</v>
      </c>
      <c r="D2344">
        <v>4.8653649999999997</v>
      </c>
      <c r="E2344">
        <v>0.4866896</v>
      </c>
      <c r="F2344" t="s">
        <v>71</v>
      </c>
      <c r="G2344">
        <v>-434.72930000000002</v>
      </c>
      <c r="H2344" s="1">
        <v>4.324798E-6</v>
      </c>
      <c r="I2344">
        <v>214.49539999999999</v>
      </c>
      <c r="J2344">
        <v>-463.54410000000001</v>
      </c>
      <c r="K2344">
        <v>1.1198410000000001</v>
      </c>
      <c r="L2344">
        <v>213.99959999999999</v>
      </c>
      <c r="M2344">
        <v>0.99891439999999998</v>
      </c>
      <c r="N2344">
        <v>-1.3987100000000001E-2</v>
      </c>
      <c r="O2344">
        <v>-4.443428E-2</v>
      </c>
      <c r="P2344">
        <v>0.97822169999999997</v>
      </c>
      <c r="Q2344">
        <v>0.2036674</v>
      </c>
      <c r="R2344">
        <v>-4.0026510000000001E-2</v>
      </c>
      <c r="S2344">
        <v>3.0962519999999998</v>
      </c>
      <c r="T2344">
        <v>-0.1180855</v>
      </c>
      <c r="U2344">
        <v>4.9346920000000002E-2</v>
      </c>
      <c r="V2344">
        <v>-2.6165160000000002E-3</v>
      </c>
      <c r="W2344">
        <v>0.21735389999999999</v>
      </c>
      <c r="X2344">
        <v>0.9760894</v>
      </c>
      <c r="Y2344">
        <v>-6.0280010000000002E-2</v>
      </c>
      <c r="Z2344">
        <v>2.6430220000000001E-3</v>
      </c>
      <c r="AA2344">
        <v>0.99817800000000001</v>
      </c>
      <c r="AB2344">
        <v>26</v>
      </c>
      <c r="AC2344">
        <v>28.814799999999899</v>
      </c>
      <c r="AD2344">
        <v>-1.1198366752019999</v>
      </c>
      <c r="AE2344">
        <v>0.49580000000000202</v>
      </c>
      <c r="AF2344">
        <v>-1.77312309978315</v>
      </c>
      <c r="AG2344">
        <v>-1.1198366752019999</v>
      </c>
      <c r="AH2344">
        <v>28.7209357751018</v>
      </c>
      <c r="AI2344">
        <v>92.228607465846096</v>
      </c>
      <c r="AJ2344">
        <v>93.5327433842902</v>
      </c>
      <c r="AK2344">
        <v>28.797398346094202</v>
      </c>
      <c r="AL2344">
        <v>77.446338327997296</v>
      </c>
      <c r="AM2344">
        <v>90.1535873299608</v>
      </c>
      <c r="AN2344">
        <v>1.0000000403967699</v>
      </c>
    </row>
    <row r="2345" spans="1:40" x14ac:dyDescent="0.25">
      <c r="A2345" t="str">
        <f>"20190303170810014"</f>
        <v>20190303170810014</v>
      </c>
      <c r="B2345" t="str">
        <f>"1551604090005374"</f>
        <v>1551604090005374</v>
      </c>
      <c r="C2345" t="s">
        <v>40</v>
      </c>
      <c r="D2345">
        <v>4.8808939999999996</v>
      </c>
      <c r="E2345">
        <v>0.48661510000000002</v>
      </c>
      <c r="F2345" t="s">
        <v>71</v>
      </c>
      <c r="G2345">
        <v>-438.09980000000002</v>
      </c>
      <c r="H2345" s="1">
        <v>5.8415269999999996E-6</v>
      </c>
      <c r="I2345">
        <v>214.24340000000001</v>
      </c>
      <c r="J2345">
        <v>-463.28140000000002</v>
      </c>
      <c r="K2345">
        <v>1.1198600000000001</v>
      </c>
      <c r="L2345">
        <v>213.9853</v>
      </c>
      <c r="M2345">
        <v>0.99881279999999995</v>
      </c>
      <c r="N2345">
        <v>-1.398422E-2</v>
      </c>
      <c r="O2345">
        <v>-4.6663589999999998E-2</v>
      </c>
      <c r="P2345">
        <v>0.97817670000000001</v>
      </c>
      <c r="Q2345">
        <v>0.20283699999999999</v>
      </c>
      <c r="R2345">
        <v>-4.5030929999999997E-2</v>
      </c>
      <c r="S2345">
        <v>3.0963750000000001</v>
      </c>
      <c r="T2345">
        <v>-0.13627529999999999</v>
      </c>
      <c r="U2345">
        <v>2.9678340000000001E-2</v>
      </c>
      <c r="V2345">
        <v>1.8415320000000001E-4</v>
      </c>
      <c r="W2345">
        <v>0.21651129999999999</v>
      </c>
      <c r="X2345">
        <v>0.97628009999999998</v>
      </c>
      <c r="Y2345">
        <v>-5.6147370000000002E-2</v>
      </c>
      <c r="Z2345">
        <v>3.02754E-3</v>
      </c>
      <c r="AA2345">
        <v>0.99841789999999997</v>
      </c>
      <c r="AB2345">
        <v>26</v>
      </c>
      <c r="AC2345">
        <v>25.1816</v>
      </c>
      <c r="AD2345">
        <v>-1.119854158473</v>
      </c>
      <c r="AE2345">
        <v>0.25810000000001299</v>
      </c>
      <c r="AF2345">
        <v>-1.43016940184437</v>
      </c>
      <c r="AG2345">
        <v>-1.119854158473</v>
      </c>
      <c r="AH2345">
        <v>25.092498542443199</v>
      </c>
      <c r="AI2345">
        <v>92.551225049618097</v>
      </c>
      <c r="AJ2345">
        <v>93.262094924262399</v>
      </c>
      <c r="AK2345">
        <v>25.158158536680201</v>
      </c>
      <c r="AL2345">
        <v>77.4957930008148</v>
      </c>
      <c r="AM2345">
        <v>89.989192444853998</v>
      </c>
      <c r="AN2345">
        <v>1.00000000529805</v>
      </c>
    </row>
    <row r="2346" spans="1:40" x14ac:dyDescent="0.25">
      <c r="A2346" t="str">
        <f>"20190303170810034"</f>
        <v>20190303170810034</v>
      </c>
      <c r="B2346" t="str">
        <f>"1551604090024893"</f>
        <v>1551604090024893</v>
      </c>
      <c r="C2346" t="s">
        <v>40</v>
      </c>
      <c r="D2346">
        <v>4.870876</v>
      </c>
      <c r="E2346">
        <v>0.4864444</v>
      </c>
      <c r="F2346" t="s">
        <v>71</v>
      </c>
      <c r="G2346">
        <v>-438.10789999999997</v>
      </c>
      <c r="H2346" s="1">
        <v>5.8539329999999901E-6</v>
      </c>
      <c r="I2346">
        <v>214.14230000000001</v>
      </c>
      <c r="J2346">
        <v>-463.03930000000003</v>
      </c>
      <c r="K2346">
        <v>1.1198729999999999</v>
      </c>
      <c r="L2346">
        <v>213.9716</v>
      </c>
      <c r="M2346">
        <v>0.99871509999999997</v>
      </c>
      <c r="N2346">
        <v>-1.398173E-2</v>
      </c>
      <c r="O2346">
        <v>-4.8712659999999998E-2</v>
      </c>
      <c r="P2346">
        <v>0.97842669999999998</v>
      </c>
      <c r="Q2346">
        <v>0.20099339999999999</v>
      </c>
      <c r="R2346">
        <v>-4.7783409999999998E-2</v>
      </c>
      <c r="S2346">
        <v>3.0963750000000001</v>
      </c>
      <c r="T2346">
        <v>-0.13774359999999999</v>
      </c>
      <c r="U2346">
        <v>1.9317629999999999E-2</v>
      </c>
      <c r="V2346">
        <v>8.9575159999999996E-4</v>
      </c>
      <c r="W2346">
        <v>0.21466840000000001</v>
      </c>
      <c r="X2346">
        <v>0.97668659999999996</v>
      </c>
      <c r="Y2346">
        <v>-5.4853789999999999E-2</v>
      </c>
      <c r="Z2346">
        <v>3.0875220000000001E-3</v>
      </c>
      <c r="AA2346">
        <v>0.99848959999999998</v>
      </c>
      <c r="AB2346">
        <v>26</v>
      </c>
      <c r="AC2346">
        <v>24.9314</v>
      </c>
      <c r="AD2346">
        <v>-1.119867146067</v>
      </c>
      <c r="AE2346">
        <v>0.17070000000001001</v>
      </c>
      <c r="AF2346">
        <v>-1.3823018573393699</v>
      </c>
      <c r="AG2346">
        <v>-1.119867146067</v>
      </c>
      <c r="AH2346">
        <v>24.843358294800499</v>
      </c>
      <c r="AI2346">
        <v>92.577001188482001</v>
      </c>
      <c r="AJ2346">
        <v>93.184693530081006</v>
      </c>
      <c r="AK2346">
        <v>24.906973164426802</v>
      </c>
      <c r="AL2346">
        <v>77.603926449981202</v>
      </c>
      <c r="AM2346">
        <v>89.947452159390394</v>
      </c>
      <c r="AN2346">
        <v>1.00000001947452</v>
      </c>
    </row>
    <row r="2347" spans="1:40" x14ac:dyDescent="0.25">
      <c r="A2347" t="str">
        <f>"20190303170810081"</f>
        <v>20190303170810081</v>
      </c>
      <c r="B2347" t="str">
        <f>"1551604090074670"</f>
        <v>1551604090074670</v>
      </c>
      <c r="C2347" t="s">
        <v>40</v>
      </c>
      <c r="D2347">
        <v>4.8738710000000003</v>
      </c>
      <c r="E2347">
        <v>0.4861374</v>
      </c>
      <c r="F2347" t="s">
        <v>71</v>
      </c>
      <c r="G2347">
        <v>-438.85329999999999</v>
      </c>
      <c r="H2347" s="1">
        <v>6.1903029999999997E-6</v>
      </c>
      <c r="I2347">
        <v>214.07570000000001</v>
      </c>
      <c r="J2347">
        <v>-462.5</v>
      </c>
      <c r="K2347">
        <v>1.119872</v>
      </c>
      <c r="L2347">
        <v>213.9393</v>
      </c>
      <c r="M2347">
        <v>0.99848159999999997</v>
      </c>
      <c r="N2347">
        <v>-1.3976529999999999E-2</v>
      </c>
      <c r="O2347">
        <v>-5.3282030000000001E-2</v>
      </c>
      <c r="P2347">
        <v>0.97899309999999995</v>
      </c>
      <c r="Q2347">
        <v>0.19684109999999999</v>
      </c>
      <c r="R2347">
        <v>-5.3160560000000003E-2</v>
      </c>
      <c r="S2347">
        <v>3.096222</v>
      </c>
      <c r="T2347">
        <v>-0.14336199999999999</v>
      </c>
      <c r="U2347">
        <v>1.333618E-2</v>
      </c>
      <c r="V2347">
        <v>1.722342E-3</v>
      </c>
      <c r="W2347">
        <v>0.21052009999999999</v>
      </c>
      <c r="X2347">
        <v>0.97758800000000001</v>
      </c>
      <c r="Y2347">
        <v>-5.7479860000000001E-2</v>
      </c>
      <c r="Z2347">
        <v>3.4522350000000001E-3</v>
      </c>
      <c r="AA2347">
        <v>0.99834069999999997</v>
      </c>
      <c r="AB2347">
        <v>26</v>
      </c>
      <c r="AC2347">
        <v>23.646699999999999</v>
      </c>
      <c r="AD2347">
        <v>-1.119865809697</v>
      </c>
      <c r="AE2347">
        <v>0.13640000000000799</v>
      </c>
      <c r="AF2347">
        <v>-1.3931491218966101</v>
      </c>
      <c r="AG2347">
        <v>-1.119865809697</v>
      </c>
      <c r="AH2347">
        <v>23.5530120188082</v>
      </c>
      <c r="AI2347">
        <v>92.717427441971793</v>
      </c>
      <c r="AJ2347">
        <v>93.385073219240496</v>
      </c>
      <c r="AK2347">
        <v>23.6207395960773</v>
      </c>
      <c r="AL2347">
        <v>77.847166690258604</v>
      </c>
      <c r="AM2347">
        <v>89.899054790593595</v>
      </c>
      <c r="AN2347">
        <v>0.99999998835498705</v>
      </c>
    </row>
    <row r="2348" spans="1:40" x14ac:dyDescent="0.25">
      <c r="A2348" t="str">
        <f>"20190303170810124"</f>
        <v>20190303170810124</v>
      </c>
      <c r="B2348" t="str">
        <f>"1551604090115662"</f>
        <v>1551604090115662</v>
      </c>
      <c r="C2348" t="s">
        <v>40</v>
      </c>
      <c r="D2348">
        <v>4.7968270000000004</v>
      </c>
      <c r="E2348">
        <v>0.47895919999999997</v>
      </c>
      <c r="F2348" t="s">
        <v>63</v>
      </c>
      <c r="G2348">
        <v>-440.32429999999999</v>
      </c>
      <c r="H2348" s="1">
        <v>-1.3337499999999999E-6</v>
      </c>
      <c r="I2348">
        <v>213.9196</v>
      </c>
      <c r="J2348">
        <v>-462.01080000000002</v>
      </c>
      <c r="K2348">
        <v>1.119877</v>
      </c>
      <c r="L2348">
        <v>213.90790000000001</v>
      </c>
      <c r="M2348">
        <v>0.99825129999999995</v>
      </c>
      <c r="N2348">
        <v>-1.3971610000000001E-2</v>
      </c>
      <c r="O2348">
        <v>-5.7438040000000003E-2</v>
      </c>
      <c r="P2348">
        <v>0.97830709999999999</v>
      </c>
      <c r="Q2348">
        <v>0.19756879999999999</v>
      </c>
      <c r="R2348">
        <v>-6.230554E-2</v>
      </c>
      <c r="S2348">
        <v>3.0956419999999998</v>
      </c>
      <c r="T2348">
        <v>-0.15633029999999901</v>
      </c>
      <c r="U2348">
        <v>-2.746582E-3</v>
      </c>
      <c r="V2348">
        <v>6.8050130000000004E-3</v>
      </c>
      <c r="W2348">
        <v>0.21122170000000001</v>
      </c>
      <c r="X2348">
        <v>0.97741449999999996</v>
      </c>
      <c r="Y2348">
        <v>-5.6427810000000002E-2</v>
      </c>
      <c r="Z2348">
        <v>3.913489E-3</v>
      </c>
      <c r="AA2348">
        <v>0.99839900000000004</v>
      </c>
      <c r="AB2348">
        <v>26</v>
      </c>
      <c r="AC2348">
        <v>21.686499999999999</v>
      </c>
      <c r="AD2348">
        <v>-1.11987833375</v>
      </c>
      <c r="AE2348">
        <v>1.16999999999904E-2</v>
      </c>
      <c r="AF2348">
        <v>-1.2540881465804199</v>
      </c>
      <c r="AG2348">
        <v>-1.11987833375</v>
      </c>
      <c r="AH2348">
        <v>21.592439056789001</v>
      </c>
      <c r="AI2348">
        <v>92.963963563469903</v>
      </c>
      <c r="AJ2348">
        <v>93.324002735990902</v>
      </c>
      <c r="AK2348">
        <v>21.657799726263601</v>
      </c>
      <c r="AL2348">
        <v>77.806043530540805</v>
      </c>
      <c r="AM2348">
        <v>89.601098382766196</v>
      </c>
      <c r="AN2348">
        <v>1.00000000978153</v>
      </c>
    </row>
    <row r="2349" spans="1:40" x14ac:dyDescent="0.25">
      <c r="A2349" t="str">
        <f>"20190303170810149"</f>
        <v>20190303170810149</v>
      </c>
      <c r="B2349" t="str">
        <f>"1551604090135182"</f>
        <v>1551604090135182</v>
      </c>
      <c r="C2349" t="s">
        <v>40</v>
      </c>
      <c r="D2349">
        <v>4.9194610000000001</v>
      </c>
      <c r="E2349">
        <v>0.47872399999999998</v>
      </c>
      <c r="F2349" t="s">
        <v>71</v>
      </c>
      <c r="G2349">
        <v>-436.63119999999998</v>
      </c>
      <c r="H2349" s="1">
        <v>5.1986980000000002E-6</v>
      </c>
      <c r="I2349">
        <v>214.14689999999999</v>
      </c>
      <c r="J2349">
        <v>-461.74419999999998</v>
      </c>
      <c r="K2349">
        <v>1.11988</v>
      </c>
      <c r="L2349">
        <v>213.89</v>
      </c>
      <c r="M2349">
        <v>0.99811839999999996</v>
      </c>
      <c r="N2349">
        <v>-1.3968889999999999E-2</v>
      </c>
      <c r="O2349">
        <v>-5.9704050000000002E-2</v>
      </c>
      <c r="P2349">
        <v>0.97891499999999998</v>
      </c>
      <c r="Q2349">
        <v>0.19449330000000001</v>
      </c>
      <c r="R2349">
        <v>-6.2432309999999998E-2</v>
      </c>
      <c r="S2349">
        <v>3.0959469999999998</v>
      </c>
      <c r="T2349">
        <v>-0.13660849999999999</v>
      </c>
      <c r="U2349">
        <v>2.9159549999999999E-2</v>
      </c>
      <c r="V2349">
        <v>4.6547519999999998E-3</v>
      </c>
      <c r="W2349">
        <v>0.2081604</v>
      </c>
      <c r="X2349">
        <v>0.97808360000000005</v>
      </c>
      <c r="Y2349">
        <v>-6.8993159999999998E-2</v>
      </c>
      <c r="Z2349">
        <v>3.801657E-3</v>
      </c>
      <c r="AA2349">
        <v>0.99760990000000005</v>
      </c>
      <c r="AB2349">
        <v>26</v>
      </c>
      <c r="AC2349">
        <v>25.113</v>
      </c>
      <c r="AD2349">
        <v>-1.1198748013019999</v>
      </c>
      <c r="AE2349">
        <v>0.25690000000000102</v>
      </c>
      <c r="AF2349">
        <v>-1.7524511979966799</v>
      </c>
      <c r="AG2349">
        <v>-1.1198748013019999</v>
      </c>
      <c r="AH2349">
        <v>25.003137871660201</v>
      </c>
      <c r="AI2349">
        <v>92.558260249909395</v>
      </c>
      <c r="AJ2349">
        <v>94.009261661279993</v>
      </c>
      <c r="AK2349">
        <v>25.0894820233739</v>
      </c>
      <c r="AL2349">
        <v>77.985430946005394</v>
      </c>
      <c r="AM2349">
        <v>89.727328389039798</v>
      </c>
      <c r="AN2349">
        <v>0.99999997371664995</v>
      </c>
    </row>
    <row r="2350" spans="1:40" x14ac:dyDescent="0.25">
      <c r="A2350" t="str">
        <f>"20190303170810174"</f>
        <v>20190303170810174</v>
      </c>
      <c r="B2350" t="str">
        <f>"1551604090165438"</f>
        <v>1551604090165438</v>
      </c>
      <c r="C2350" t="s">
        <v>40</v>
      </c>
      <c r="D2350">
        <v>4.7774999999999999</v>
      </c>
      <c r="E2350">
        <v>0.4779851</v>
      </c>
      <c r="F2350" t="s">
        <v>71</v>
      </c>
      <c r="G2350">
        <v>-437.6386</v>
      </c>
      <c r="H2350" s="1">
        <v>5.6485110000000003E-6</v>
      </c>
      <c r="I2350">
        <v>214.11189999999999</v>
      </c>
      <c r="J2350">
        <v>-461.43540000000002</v>
      </c>
      <c r="K2350">
        <v>1.1198969999999999</v>
      </c>
      <c r="L2350">
        <v>213.86840000000001</v>
      </c>
      <c r="M2350">
        <v>0.99796110000000005</v>
      </c>
      <c r="N2350">
        <v>-1.396523E-2</v>
      </c>
      <c r="O2350">
        <v>-6.2279510000000003E-2</v>
      </c>
      <c r="P2350">
        <v>0.97927969999999998</v>
      </c>
      <c r="Q2350">
        <v>0.192519</v>
      </c>
      <c r="R2350">
        <v>-6.2832120000000005E-2</v>
      </c>
      <c r="S2350">
        <v>3.0950009999999999</v>
      </c>
      <c r="T2350">
        <v>-0.14378479999999999</v>
      </c>
      <c r="U2350">
        <v>2.8488159999999998E-2</v>
      </c>
      <c r="V2350">
        <v>2.4781059999999999E-3</v>
      </c>
      <c r="W2350">
        <v>0.2061964</v>
      </c>
      <c r="X2350">
        <v>0.97850749999999997</v>
      </c>
      <c r="Y2350">
        <v>-7.133639E-2</v>
      </c>
      <c r="Z2350">
        <v>4.1753129999999999E-3</v>
      </c>
      <c r="AA2350">
        <v>0.99744359999999999</v>
      </c>
      <c r="AB2350">
        <v>26</v>
      </c>
      <c r="AC2350">
        <v>23.796800000000001</v>
      </c>
      <c r="AD2350">
        <v>-1.1198913514890001</v>
      </c>
      <c r="AE2350">
        <v>0.24349999999998301</v>
      </c>
      <c r="AF2350">
        <v>-1.72141269610725</v>
      </c>
      <c r="AG2350">
        <v>-1.1198913514890001</v>
      </c>
      <c r="AH2350">
        <v>23.682983656488599</v>
      </c>
      <c r="AI2350">
        <v>92.700201702798907</v>
      </c>
      <c r="AJ2350">
        <v>94.157269149286805</v>
      </c>
      <c r="AK2350">
        <v>23.7718559053131</v>
      </c>
      <c r="AL2350">
        <v>78.100456011552794</v>
      </c>
      <c r="AM2350">
        <v>89.854896654920395</v>
      </c>
      <c r="AN2350">
        <v>1.00000001196927</v>
      </c>
    </row>
    <row r="2351" spans="1:40" x14ac:dyDescent="0.25">
      <c r="A2351" t="str">
        <f>"20190303170810213"</f>
        <v>20190303170810213</v>
      </c>
      <c r="B2351" t="str">
        <f>"1551604090205454"</f>
        <v>1551604090205454</v>
      </c>
      <c r="C2351" t="s">
        <v>40</v>
      </c>
      <c r="D2351">
        <v>4.9286500000000002</v>
      </c>
      <c r="E2351">
        <v>0.4771184</v>
      </c>
      <c r="F2351" t="s">
        <v>71</v>
      </c>
      <c r="G2351">
        <v>-437.95780000000002</v>
      </c>
      <c r="H2351" s="1">
        <v>5.7900469999999999E-6</v>
      </c>
      <c r="I2351">
        <v>214.11189999999999</v>
      </c>
      <c r="J2351">
        <v>-460.98500000000001</v>
      </c>
      <c r="K2351">
        <v>1.1200019999999999</v>
      </c>
      <c r="L2351">
        <v>213.83580000000001</v>
      </c>
      <c r="M2351">
        <v>0.99773230000000002</v>
      </c>
      <c r="N2351">
        <v>-1.395823E-2</v>
      </c>
      <c r="O2351">
        <v>-6.5845139999999996E-2</v>
      </c>
      <c r="P2351">
        <v>0.9786511</v>
      </c>
      <c r="Q2351">
        <v>0.1931541</v>
      </c>
      <c r="R2351">
        <v>-7.0241049999999999E-2</v>
      </c>
      <c r="S2351">
        <v>3.0945429999999998</v>
      </c>
      <c r="T2351">
        <v>-0.147611299999999</v>
      </c>
      <c r="U2351">
        <v>3.2089230000000003E-2</v>
      </c>
      <c r="V2351">
        <v>6.3569919999999997E-3</v>
      </c>
      <c r="W2351">
        <v>0.20680950000000001</v>
      </c>
      <c r="X2351">
        <v>0.97836060000000002</v>
      </c>
      <c r="Y2351">
        <v>-7.6045390000000004E-2</v>
      </c>
      <c r="Z2351">
        <v>4.5621669999999998E-3</v>
      </c>
      <c r="AA2351">
        <v>0.99709389999999998</v>
      </c>
      <c r="AB2351">
        <v>26</v>
      </c>
      <c r="AC2351">
        <v>23.027200000000001</v>
      </c>
      <c r="AD2351">
        <v>-1.1199962099530001</v>
      </c>
      <c r="AE2351">
        <v>0.27609999999998502</v>
      </c>
      <c r="AF2351">
        <v>-1.78764917348937</v>
      </c>
      <c r="AG2351">
        <v>-1.1199962099530001</v>
      </c>
      <c r="AH2351">
        <v>22.9048591253956</v>
      </c>
      <c r="AI2351">
        <v>92.790931540529499</v>
      </c>
      <c r="AJ2351">
        <v>94.462701245658394</v>
      </c>
      <c r="AK2351">
        <v>23.0017967261692</v>
      </c>
      <c r="AL2351">
        <v>78.064554262287601</v>
      </c>
      <c r="AM2351">
        <v>89.627720406600602</v>
      </c>
      <c r="AN2351">
        <v>1.0000000221349401</v>
      </c>
    </row>
    <row r="2352" spans="1:40" x14ac:dyDescent="0.25">
      <c r="A2352" t="str">
        <f>"20190303170810259"</f>
        <v>20190303170810259</v>
      </c>
      <c r="B2352" t="str">
        <f>"1551604090245470"</f>
        <v>1551604090245470</v>
      </c>
      <c r="C2352" t="s">
        <v>40</v>
      </c>
      <c r="D2352">
        <v>4.9440540000000004</v>
      </c>
      <c r="E2352">
        <v>0.47197889999999998</v>
      </c>
      <c r="F2352" t="s">
        <v>71</v>
      </c>
      <c r="G2352">
        <v>-436.34429999999998</v>
      </c>
      <c r="H2352" s="1">
        <v>5.0827779999999997E-6</v>
      </c>
      <c r="I2352">
        <v>214.01750000000001</v>
      </c>
      <c r="J2352">
        <v>-460.46550000000002</v>
      </c>
      <c r="K2352">
        <v>1.120166</v>
      </c>
      <c r="L2352">
        <v>213.79669999999999</v>
      </c>
      <c r="M2352">
        <v>0.99748380000000003</v>
      </c>
      <c r="N2352">
        <v>-1.3947889999999999E-2</v>
      </c>
      <c r="O2352">
        <v>-6.9509550000000003E-2</v>
      </c>
      <c r="P2352">
        <v>0.9797382</v>
      </c>
      <c r="Q2352">
        <v>0.18764339999999999</v>
      </c>
      <c r="R2352">
        <v>-7.0023589999999997E-2</v>
      </c>
      <c r="S2352">
        <v>3.0948180000000001</v>
      </c>
      <c r="T2352">
        <v>-0.1406693</v>
      </c>
      <c r="U2352">
        <v>2.2827150000000001E-2</v>
      </c>
      <c r="V2352">
        <v>2.345962E-3</v>
      </c>
      <c r="W2352">
        <v>0.201319</v>
      </c>
      <c r="X2352">
        <v>0.97952289999999997</v>
      </c>
      <c r="Y2352">
        <v>-7.6734360000000001E-2</v>
      </c>
      <c r="Z2352">
        <v>4.4648459999999997E-3</v>
      </c>
      <c r="AA2352">
        <v>0.99704159999999997</v>
      </c>
      <c r="AB2352">
        <v>26</v>
      </c>
      <c r="AC2352">
        <v>24.121200000000002</v>
      </c>
      <c r="AD2352">
        <v>-1.120160917222</v>
      </c>
      <c r="AE2352">
        <v>0.220800000000025</v>
      </c>
      <c r="AF2352">
        <v>-1.89300063122005</v>
      </c>
      <c r="AG2352">
        <v>-1.120160917222</v>
      </c>
      <c r="AH2352">
        <v>23.995753034641201</v>
      </c>
      <c r="AI2352">
        <v>92.664453958122706</v>
      </c>
      <c r="AJ2352">
        <v>94.510664110329301</v>
      </c>
      <c r="AK2352">
        <v>24.096356064138899</v>
      </c>
      <c r="AL2352">
        <v>78.385898571941496</v>
      </c>
      <c r="AM2352">
        <v>89.862776598180801</v>
      </c>
      <c r="AN2352">
        <v>0.999999977461557</v>
      </c>
    </row>
    <row r="2353" spans="1:40" x14ac:dyDescent="0.25">
      <c r="A2353" t="str">
        <f>"20190303170810281"</f>
        <v>20190303170810281</v>
      </c>
      <c r="B2353" t="str">
        <f>"1551604090274753"</f>
        <v>1551604090274753</v>
      </c>
      <c r="C2353" t="s">
        <v>40</v>
      </c>
      <c r="D2353">
        <v>4.9550289999999997</v>
      </c>
      <c r="E2353">
        <v>0.47232289999999999</v>
      </c>
      <c r="F2353" t="s">
        <v>71</v>
      </c>
      <c r="G2353">
        <v>-433.8503</v>
      </c>
      <c r="H2353" s="1">
        <v>3.9521900000000002E-6</v>
      </c>
      <c r="I2353">
        <v>214.29859999999999</v>
      </c>
      <c r="J2353">
        <v>-460.20589999999999</v>
      </c>
      <c r="K2353">
        <v>1.120303</v>
      </c>
      <c r="L2353">
        <v>213.77670000000001</v>
      </c>
      <c r="M2353">
        <v>0.99737580000000003</v>
      </c>
      <c r="N2353">
        <v>-1.394193E-2</v>
      </c>
      <c r="O2353">
        <v>-7.1042519999999998E-2</v>
      </c>
      <c r="P2353">
        <v>0.9796726</v>
      </c>
      <c r="Q2353">
        <v>0.18751080000000001</v>
      </c>
      <c r="R2353">
        <v>-7.1285870000000001E-2</v>
      </c>
      <c r="S2353">
        <v>3.0910950000000001</v>
      </c>
      <c r="T2353">
        <v>-0.1300954</v>
      </c>
      <c r="U2353">
        <v>5.8288569999999998E-2</v>
      </c>
      <c r="V2353">
        <v>2.029964E-3</v>
      </c>
      <c r="W2353">
        <v>0.20118259999999999</v>
      </c>
      <c r="X2353">
        <v>0.97955170000000003</v>
      </c>
      <c r="Y2353">
        <v>-8.9708969999999999E-2</v>
      </c>
      <c r="Z2353">
        <v>4.5090069999999998E-3</v>
      </c>
      <c r="AA2353">
        <v>0.9959578</v>
      </c>
      <c r="AB2353">
        <v>26</v>
      </c>
      <c r="AC2353">
        <v>26.3555999999999</v>
      </c>
      <c r="AD2353">
        <v>-1.1202990478099999</v>
      </c>
      <c r="AE2353">
        <v>0.52189999999998804</v>
      </c>
      <c r="AF2353">
        <v>-2.3888168402405201</v>
      </c>
      <c r="AG2353">
        <v>-1.1202990478099999</v>
      </c>
      <c r="AH2353">
        <v>26.204584128045202</v>
      </c>
      <c r="AI2353">
        <v>92.437923329300503</v>
      </c>
      <c r="AJ2353">
        <v>95.208701853744202</v>
      </c>
      <c r="AK2353">
        <v>26.3370792833324</v>
      </c>
      <c r="AL2353">
        <v>78.393877764333297</v>
      </c>
      <c r="AM2353">
        <v>89.881263844200404</v>
      </c>
      <c r="AN2353">
        <v>1.00000004613474</v>
      </c>
    </row>
    <row r="2354" spans="1:40" x14ac:dyDescent="0.25">
      <c r="A2354" t="str">
        <f>"20190303170810305"</f>
        <v>20190303170810305</v>
      </c>
      <c r="B2354" t="str">
        <f>"1551604090295246"</f>
        <v>1551604090295246</v>
      </c>
      <c r="C2354" t="s">
        <v>40</v>
      </c>
      <c r="D2354">
        <v>4.9792379999999996</v>
      </c>
      <c r="E2354">
        <v>0.4722693</v>
      </c>
      <c r="F2354" t="s">
        <v>71</v>
      </c>
      <c r="G2354">
        <v>-433.97309999999999</v>
      </c>
      <c r="H2354" s="1">
        <v>4.0143249999999999E-6</v>
      </c>
      <c r="I2354">
        <v>214.21109999999999</v>
      </c>
      <c r="J2354">
        <v>-459.93020000000001</v>
      </c>
      <c r="K2354">
        <v>1.120501</v>
      </c>
      <c r="L2354">
        <v>213.75540000000001</v>
      </c>
      <c r="M2354">
        <v>0.9972799</v>
      </c>
      <c r="N2354">
        <v>-1.3935289999999999E-2</v>
      </c>
      <c r="O2354">
        <v>-7.2379860000000004E-2</v>
      </c>
      <c r="P2354">
        <v>0.97921559999999996</v>
      </c>
      <c r="Q2354">
        <v>0.188775</v>
      </c>
      <c r="R2354">
        <v>-7.4168579999999998E-2</v>
      </c>
      <c r="S2354">
        <v>3.0912480000000002</v>
      </c>
      <c r="T2354">
        <v>-0.1320151</v>
      </c>
      <c r="U2354">
        <v>5.1177979999999998E-2</v>
      </c>
      <c r="V2354">
        <v>3.5293429999999999E-3</v>
      </c>
      <c r="W2354">
        <v>0.2024347</v>
      </c>
      <c r="X2354">
        <v>0.97928939999999998</v>
      </c>
      <c r="Y2354">
        <v>-8.8749910000000001E-2</v>
      </c>
      <c r="Z2354">
        <v>4.5919709999999898E-3</v>
      </c>
      <c r="AA2354">
        <v>0.99604340000000002</v>
      </c>
      <c r="AB2354">
        <v>26</v>
      </c>
      <c r="AC2354">
        <v>25.957100000000001</v>
      </c>
      <c r="AD2354">
        <v>-1.120496985675</v>
      </c>
      <c r="AE2354">
        <v>0.45569999999997801</v>
      </c>
      <c r="AF2354">
        <v>-2.3291192475071099</v>
      </c>
      <c r="AG2354">
        <v>-1.120496985675</v>
      </c>
      <c r="AH2354">
        <v>25.807942159554901</v>
      </c>
      <c r="AI2354">
        <v>92.475985209352103</v>
      </c>
      <c r="AJ2354">
        <v>95.156868420322695</v>
      </c>
      <c r="AK2354">
        <v>25.9370427858487</v>
      </c>
      <c r="AL2354">
        <v>78.320630067169105</v>
      </c>
      <c r="AM2354">
        <v>89.793507840632799</v>
      </c>
      <c r="AN2354">
        <v>0.99999999648922999</v>
      </c>
    </row>
    <row r="2355" spans="1:40" x14ac:dyDescent="0.25">
      <c r="A2355" t="str">
        <f>"20190303170810325"</f>
        <v>20190303170810325</v>
      </c>
      <c r="B2355" t="str">
        <f>"1551604090314766"</f>
        <v>1551604090314766</v>
      </c>
      <c r="C2355" t="s">
        <v>40</v>
      </c>
      <c r="D2355">
        <v>5.0650649999999997</v>
      </c>
      <c r="E2355">
        <v>0.4981042</v>
      </c>
      <c r="F2355" t="s">
        <v>71</v>
      </c>
      <c r="G2355">
        <v>-432.85559999999998</v>
      </c>
      <c r="H2355" s="1">
        <v>3.5236500000000001E-6</v>
      </c>
      <c r="I2355">
        <v>214.15520000000001</v>
      </c>
      <c r="J2355">
        <v>-459.70940000000002</v>
      </c>
      <c r="K2355">
        <v>1.120689</v>
      </c>
      <c r="L2355">
        <v>213.73830000000001</v>
      </c>
      <c r="M2355">
        <v>0.99721970000000004</v>
      </c>
      <c r="N2355">
        <v>-1.393016E-2</v>
      </c>
      <c r="O2355">
        <v>-7.3204320000000003E-2</v>
      </c>
      <c r="P2355">
        <v>0.97895600000000005</v>
      </c>
      <c r="Q2355">
        <v>0.18888469999999999</v>
      </c>
      <c r="R2355">
        <v>-7.7251139999999996E-2</v>
      </c>
      <c r="S2355">
        <v>3.0917970000000001</v>
      </c>
      <c r="T2355">
        <v>-0.12795589999999901</v>
      </c>
      <c r="U2355">
        <v>4.5654300000000002E-2</v>
      </c>
      <c r="V2355">
        <v>5.7224789999999999E-3</v>
      </c>
      <c r="W2355">
        <v>0.20253599999999999</v>
      </c>
      <c r="X2355">
        <v>0.97925810000000002</v>
      </c>
      <c r="Y2355">
        <v>-8.7800530000000002E-2</v>
      </c>
      <c r="Z2355">
        <v>4.4344329999999998E-3</v>
      </c>
      <c r="AA2355">
        <v>0.99612820000000002</v>
      </c>
      <c r="AB2355">
        <v>25</v>
      </c>
      <c r="AC2355">
        <v>26.8538</v>
      </c>
      <c r="AD2355">
        <v>-1.12068547635</v>
      </c>
      <c r="AE2355">
        <v>0.41689999999999799</v>
      </c>
      <c r="AF2355">
        <v>-2.3776461199295</v>
      </c>
      <c r="AG2355">
        <v>-1.12068547635</v>
      </c>
      <c r="AH2355">
        <v>26.704715921609498</v>
      </c>
      <c r="AI2355">
        <v>92.393597281143499</v>
      </c>
      <c r="AJ2355">
        <v>95.087896088611799</v>
      </c>
      <c r="AK2355">
        <v>26.833765845709799</v>
      </c>
      <c r="AL2355">
        <v>78.314703300152701</v>
      </c>
      <c r="AM2355">
        <v>89.665185140695897</v>
      </c>
      <c r="AN2355">
        <v>1.0000000022387501</v>
      </c>
    </row>
    <row r="2356" spans="1:40" x14ac:dyDescent="0.25">
      <c r="A2356" t="str">
        <f>"20190303170810376"</f>
        <v>20190303170810376</v>
      </c>
      <c r="B2356" t="str">
        <f>"1551604090365518"</f>
        <v>1551604090365518</v>
      </c>
      <c r="C2356" t="s">
        <v>40</v>
      </c>
      <c r="D2356">
        <v>4.9675219999999998</v>
      </c>
      <c r="E2356">
        <v>0.55320279999999999</v>
      </c>
      <c r="F2356" t="s">
        <v>63</v>
      </c>
      <c r="G2356">
        <v>-446.71199999999999</v>
      </c>
      <c r="H2356" s="1">
        <v>2.102625E-6</v>
      </c>
      <c r="I2356">
        <v>213.0693</v>
      </c>
      <c r="J2356">
        <v>-459.1533</v>
      </c>
      <c r="K2356">
        <v>1.1211310000000001</v>
      </c>
      <c r="L2356">
        <v>213.69560000000001</v>
      </c>
      <c r="M2356">
        <v>0.99713399999999996</v>
      </c>
      <c r="N2356">
        <v>-1.391886E-2</v>
      </c>
      <c r="O2356">
        <v>-7.4366719999999997E-2</v>
      </c>
      <c r="P2356">
        <v>0.97944739999999997</v>
      </c>
      <c r="Q2356">
        <v>0.18496889999999999</v>
      </c>
      <c r="R2356">
        <v>-8.0434790000000006E-2</v>
      </c>
      <c r="S2356">
        <v>3.1035159999999999</v>
      </c>
      <c r="T2356">
        <v>-0.26759699999999997</v>
      </c>
      <c r="U2356">
        <v>-0.15974430000000001</v>
      </c>
      <c r="V2356">
        <v>7.4968169999999898E-3</v>
      </c>
      <c r="W2356">
        <v>0.1986241</v>
      </c>
      <c r="X2356">
        <v>0.980047</v>
      </c>
      <c r="Y2356">
        <v>-2.2723440000000001E-2</v>
      </c>
      <c r="Z2356">
        <v>6.4903189999999996E-3</v>
      </c>
      <c r="AA2356">
        <v>0.99972070000000002</v>
      </c>
      <c r="AB2356">
        <v>25</v>
      </c>
      <c r="AC2356">
        <v>12.4413</v>
      </c>
      <c r="AD2356">
        <v>-1.121128897375</v>
      </c>
      <c r="AE2356">
        <v>-0.62630000000001396</v>
      </c>
      <c r="AF2356">
        <v>-0.29832631173042401</v>
      </c>
      <c r="AG2356">
        <v>-1.121128897375</v>
      </c>
      <c r="AH2356">
        <v>12.3533621052035</v>
      </c>
      <c r="AI2356">
        <v>95.184166957149699</v>
      </c>
      <c r="AJ2356">
        <v>91.383389945586899</v>
      </c>
      <c r="AK2356">
        <v>12.4077187224356</v>
      </c>
      <c r="AL2356">
        <v>78.543487500581193</v>
      </c>
      <c r="AM2356">
        <v>89.561727553662493</v>
      </c>
      <c r="AN2356">
        <v>0.99999992878746802</v>
      </c>
    </row>
    <row r="2357" spans="1:40" x14ac:dyDescent="0.25">
      <c r="A2357" t="str">
        <f>"20190303170810415"</f>
        <v>20190303170810415</v>
      </c>
      <c r="B2357" t="str">
        <f>"1551604090405534"</f>
        <v>1551604090405534</v>
      </c>
      <c r="C2357" t="s">
        <v>40</v>
      </c>
      <c r="D2357">
        <v>4.953633</v>
      </c>
      <c r="E2357">
        <v>0.55549899999999997</v>
      </c>
      <c r="F2357" t="s">
        <v>47</v>
      </c>
      <c r="G2357">
        <v>-458.30959999999999</v>
      </c>
      <c r="H2357">
        <v>0.96138869999999998</v>
      </c>
      <c r="I2357">
        <v>213.53360000000001</v>
      </c>
      <c r="J2357">
        <v>-458.69310000000002</v>
      </c>
      <c r="K2357">
        <v>1.1213580000000001</v>
      </c>
      <c r="L2357">
        <v>213.66069999999999</v>
      </c>
      <c r="M2357">
        <v>0.99711729999999998</v>
      </c>
      <c r="N2357">
        <v>-1.3909690000000001E-2</v>
      </c>
      <c r="O2357">
        <v>-7.4590820000000002E-2</v>
      </c>
      <c r="P2357">
        <v>0.97893169999999996</v>
      </c>
      <c r="Q2357">
        <v>0.1861391</v>
      </c>
      <c r="R2357">
        <v>-8.3934980000000006E-2</v>
      </c>
      <c r="S2357">
        <v>3.1256710000000001</v>
      </c>
      <c r="T2357">
        <v>-0.59185030000000005</v>
      </c>
      <c r="U2357">
        <v>-0.59812929999999997</v>
      </c>
      <c r="V2357">
        <v>1.0701159999999999E-2</v>
      </c>
      <c r="W2357">
        <v>0.1997853</v>
      </c>
      <c r="X2357">
        <v>0.97978129999999997</v>
      </c>
      <c r="Y2357">
        <v>0.1131668</v>
      </c>
      <c r="Z2357">
        <v>1.4920630000000001E-3</v>
      </c>
      <c r="AA2357">
        <v>0.99357490000000004</v>
      </c>
      <c r="AB2357">
        <v>25</v>
      </c>
      <c r="AC2357">
        <v>0.38350000000002599</v>
      </c>
      <c r="AD2357">
        <v>-0.15996930000000001</v>
      </c>
      <c r="AE2357">
        <v>-0.127099999999984</v>
      </c>
      <c r="AF2357">
        <v>8.4837025231917995E-2</v>
      </c>
      <c r="AG2357">
        <v>-0.15996930000000001</v>
      </c>
      <c r="AH2357">
        <v>0.338797258987455</v>
      </c>
      <c r="AI2357">
        <v>114.609040576684</v>
      </c>
      <c r="AJ2357">
        <v>75.941839625383693</v>
      </c>
      <c r="AK2357">
        <v>0.38414981516343799</v>
      </c>
      <c r="AL2357">
        <v>78.475596202568198</v>
      </c>
      <c r="AM2357">
        <v>89.374241041822998</v>
      </c>
      <c r="AN2357">
        <v>1.0000000383755601</v>
      </c>
    </row>
    <row r="2358" spans="1:40" x14ac:dyDescent="0.25">
      <c r="A2358" t="str">
        <f>"20190303170810440"</f>
        <v>20190303170810440</v>
      </c>
      <c r="B2358" t="str">
        <f>"1551604090425054"</f>
        <v>1551604090425054</v>
      </c>
      <c r="C2358" t="s">
        <v>40</v>
      </c>
      <c r="D2358">
        <v>4.9418480000000002</v>
      </c>
      <c r="E2358">
        <v>0.55587169999999997</v>
      </c>
      <c r="F2358" t="s">
        <v>47</v>
      </c>
      <c r="G2358">
        <v>-457.8596</v>
      </c>
      <c r="H2358">
        <v>0.96046209999999999</v>
      </c>
      <c r="I2358">
        <v>213.49209999999999</v>
      </c>
      <c r="J2358">
        <v>-458.43790000000001</v>
      </c>
      <c r="K2358">
        <v>1.1214189999999999</v>
      </c>
      <c r="L2358">
        <v>213.64150000000001</v>
      </c>
      <c r="M2358">
        <v>0.99712060000000002</v>
      </c>
      <c r="N2358">
        <v>-1.390458E-2</v>
      </c>
      <c r="O2358">
        <v>-7.4546020000000005E-2</v>
      </c>
      <c r="P2358">
        <v>0.97910790000000003</v>
      </c>
      <c r="Q2358">
        <v>0.186004</v>
      </c>
      <c r="R2358">
        <v>-8.2158949999999994E-2</v>
      </c>
      <c r="S2358">
        <v>3.1252439999999999</v>
      </c>
      <c r="T2358">
        <v>-0.60337669999999999</v>
      </c>
      <c r="U2358">
        <v>-0.6302643</v>
      </c>
      <c r="V2358">
        <v>8.9313740000000006E-3</v>
      </c>
      <c r="W2358">
        <v>0.19964789999999999</v>
      </c>
      <c r="X2358">
        <v>0.979827</v>
      </c>
      <c r="Y2358">
        <v>0.12285219999999999</v>
      </c>
      <c r="Z2358">
        <v>5.5842190000000001E-4</v>
      </c>
      <c r="AA2358">
        <v>0.9924248</v>
      </c>
      <c r="AB2358">
        <v>25</v>
      </c>
      <c r="AC2358">
        <v>0.57830000000001203</v>
      </c>
      <c r="AD2358">
        <v>-0.16095690000000001</v>
      </c>
      <c r="AE2358">
        <v>-0.14940000000001399</v>
      </c>
      <c r="AF2358">
        <v>9.8702368491237299E-2</v>
      </c>
      <c r="AG2358">
        <v>-0.16095690000000001</v>
      </c>
      <c r="AH2358">
        <v>0.54803108074974605</v>
      </c>
      <c r="AI2358">
        <v>106.121923428746</v>
      </c>
      <c r="AJ2358">
        <v>79.790277034007403</v>
      </c>
      <c r="AK2358">
        <v>0.57964415521173396</v>
      </c>
      <c r="AL2358">
        <v>78.483630075310501</v>
      </c>
      <c r="AM2358">
        <v>89.477748762483003</v>
      </c>
      <c r="AN2358">
        <v>1.0000000016724599</v>
      </c>
    </row>
    <row r="2359" spans="1:40" x14ac:dyDescent="0.25">
      <c r="A2359" t="str">
        <f>"20190303170810463"</f>
        <v>20190303170810463</v>
      </c>
      <c r="B2359" t="str">
        <f>"1551604090455310"</f>
        <v>1551604090455310</v>
      </c>
      <c r="C2359" t="s">
        <v>40</v>
      </c>
      <c r="D2359">
        <v>4.9394609999999997</v>
      </c>
      <c r="E2359">
        <v>0.55609790000000003</v>
      </c>
      <c r="F2359" t="s">
        <v>47</v>
      </c>
      <c r="G2359">
        <v>-457.63220000000001</v>
      </c>
      <c r="H2359">
        <v>0.96501780000000004</v>
      </c>
      <c r="I2359">
        <v>213.4786</v>
      </c>
      <c r="J2359">
        <v>-458.1574</v>
      </c>
      <c r="K2359">
        <v>1.1214500000000001</v>
      </c>
      <c r="L2359">
        <v>213.62049999999999</v>
      </c>
      <c r="M2359">
        <v>0.99712840000000003</v>
      </c>
      <c r="N2359">
        <v>-1.3899440000000001E-2</v>
      </c>
      <c r="O2359">
        <v>-7.444278E-2</v>
      </c>
      <c r="P2359">
        <v>0.97955479999999995</v>
      </c>
      <c r="Q2359">
        <v>0.18513299999999999</v>
      </c>
      <c r="R2359">
        <v>-7.8728679999999995E-2</v>
      </c>
      <c r="S2359">
        <v>3.1263730000000001</v>
      </c>
      <c r="T2359">
        <v>-0.60686660000000003</v>
      </c>
      <c r="U2359">
        <v>-0.63079830000000003</v>
      </c>
      <c r="V2359">
        <v>5.559474E-3</v>
      </c>
      <c r="W2359">
        <v>0.19877510000000001</v>
      </c>
      <c r="X2359">
        <v>0.98002929999999999</v>
      </c>
      <c r="Y2359">
        <v>0.1230324</v>
      </c>
      <c r="Z2359">
        <v>5.3558129999999905E-4</v>
      </c>
      <c r="AA2359">
        <v>0.99240249999999997</v>
      </c>
      <c r="AB2359">
        <v>25</v>
      </c>
      <c r="AC2359">
        <v>0.52519999999998301</v>
      </c>
      <c r="AD2359">
        <v>-0.15643219999999999</v>
      </c>
      <c r="AE2359">
        <v>-0.141899999999992</v>
      </c>
      <c r="AF2359">
        <v>9.4584742109417599E-2</v>
      </c>
      <c r="AG2359">
        <v>-0.15643219999999999</v>
      </c>
      <c r="AH2359">
        <v>0.493503703650294</v>
      </c>
      <c r="AI2359">
        <v>107.292228987595</v>
      </c>
      <c r="AJ2359">
        <v>79.150283711160398</v>
      </c>
      <c r="AK2359">
        <v>0.52627294453857498</v>
      </c>
      <c r="AL2359">
        <v>78.534659929920494</v>
      </c>
      <c r="AM2359">
        <v>89.674978105510803</v>
      </c>
      <c r="AN2359">
        <v>0.99999993849482605</v>
      </c>
    </row>
    <row r="2360" spans="1:40" x14ac:dyDescent="0.25">
      <c r="A2360" t="str">
        <f>"20190303170810482"</f>
        <v>20190303170810482</v>
      </c>
      <c r="B2360" t="str">
        <f>"1551604090474830"</f>
        <v>1551604090474830</v>
      </c>
      <c r="C2360" t="s">
        <v>40</v>
      </c>
      <c r="D2360">
        <v>4.9626789999999996</v>
      </c>
      <c r="E2360">
        <v>0.556378699999999</v>
      </c>
      <c r="F2360" t="s">
        <v>47</v>
      </c>
      <c r="G2360">
        <v>-457.40300000000002</v>
      </c>
      <c r="H2360">
        <v>0.97339419999999999</v>
      </c>
      <c r="I2360">
        <v>213.46979999999999</v>
      </c>
      <c r="J2360">
        <v>-457.93869999999998</v>
      </c>
      <c r="K2360">
        <v>1.1214649999999999</v>
      </c>
      <c r="L2360">
        <v>213.60429999999999</v>
      </c>
      <c r="M2360">
        <v>0.99713459999999998</v>
      </c>
      <c r="N2360">
        <v>-1.38957E-2</v>
      </c>
      <c r="O2360">
        <v>-7.4362719999999993E-2</v>
      </c>
      <c r="P2360">
        <v>0.9800046</v>
      </c>
      <c r="Q2360">
        <v>0.18380289999999999</v>
      </c>
      <c r="R2360">
        <v>-7.6209390000000002E-2</v>
      </c>
      <c r="S2360">
        <v>3.1286010000000002</v>
      </c>
      <c r="T2360">
        <v>-0.61406510000000003</v>
      </c>
      <c r="U2360">
        <v>-0.62269589999999997</v>
      </c>
      <c r="V2360">
        <v>3.0841280000000002E-3</v>
      </c>
      <c r="W2360">
        <v>0.19744439999999999</v>
      </c>
      <c r="X2360">
        <v>0.98030919999999999</v>
      </c>
      <c r="Y2360">
        <v>0.1205276</v>
      </c>
      <c r="Z2360">
        <v>8.0831259999999895E-4</v>
      </c>
      <c r="AA2360">
        <v>0.99270959999999997</v>
      </c>
      <c r="AB2360">
        <v>25</v>
      </c>
      <c r="AC2360">
        <v>0.53569999999996298</v>
      </c>
      <c r="AD2360">
        <v>-0.1480708</v>
      </c>
      <c r="AE2360">
        <v>-0.13450000000000201</v>
      </c>
      <c r="AF2360">
        <v>8.7965513571993406E-2</v>
      </c>
      <c r="AG2360">
        <v>-0.1480708</v>
      </c>
      <c r="AH2360">
        <v>0.50772884579386801</v>
      </c>
      <c r="AI2360">
        <v>106.032154495122</v>
      </c>
      <c r="AJ2360">
        <v>80.170908125457899</v>
      </c>
      <c r="AK2360">
        <v>0.53614501232576794</v>
      </c>
      <c r="AL2360">
        <v>78.612445459352898</v>
      </c>
      <c r="AM2360">
        <v>89.819743673856706</v>
      </c>
      <c r="AN2360">
        <v>0.99999996527075896</v>
      </c>
    </row>
    <row r="2361" spans="1:40" x14ac:dyDescent="0.25">
      <c r="A2361" t="str">
        <f>"20190303170810503"</f>
        <v>20190303170810503</v>
      </c>
      <c r="B2361" t="str">
        <f>"1551604090495326"</f>
        <v>1551604090495326</v>
      </c>
      <c r="C2361" t="s">
        <v>40</v>
      </c>
      <c r="D2361">
        <v>4.9809169999999998</v>
      </c>
      <c r="E2361">
        <v>0.55645250000000002</v>
      </c>
      <c r="F2361" t="s">
        <v>47</v>
      </c>
      <c r="G2361">
        <v>-457.17939999999999</v>
      </c>
      <c r="H2361">
        <v>0.97127350000000001</v>
      </c>
      <c r="I2361">
        <v>213.45410000000001</v>
      </c>
      <c r="J2361">
        <v>-457.70260000000002</v>
      </c>
      <c r="K2361">
        <v>1.1214649999999999</v>
      </c>
      <c r="L2361">
        <v>213.58670000000001</v>
      </c>
      <c r="M2361">
        <v>0.99713969999999996</v>
      </c>
      <c r="N2361">
        <v>-1.3891850000000001E-2</v>
      </c>
      <c r="O2361">
        <v>-7.4292849999999994E-2</v>
      </c>
      <c r="P2361">
        <v>0.98043749999999996</v>
      </c>
      <c r="Q2361">
        <v>0.182616</v>
      </c>
      <c r="R2361">
        <v>-7.3443889999999998E-2</v>
      </c>
      <c r="S2361">
        <v>3.1291500000000001</v>
      </c>
      <c r="T2361">
        <v>-0.61897849999999999</v>
      </c>
      <c r="U2361">
        <v>-0.61907959999999995</v>
      </c>
      <c r="V2361">
        <v>3.5986260000000001E-4</v>
      </c>
      <c r="W2361">
        <v>0.19625699999999999</v>
      </c>
      <c r="X2361">
        <v>0.98055239999999999</v>
      </c>
      <c r="Y2361">
        <v>0.11946379999999999</v>
      </c>
      <c r="Z2361">
        <v>9.28117E-4</v>
      </c>
      <c r="AA2361">
        <v>0.99283809999999995</v>
      </c>
      <c r="AB2361">
        <v>25</v>
      </c>
      <c r="AC2361">
        <v>0.52320000000003097</v>
      </c>
      <c r="AD2361">
        <v>-0.15019149999999901</v>
      </c>
      <c r="AE2361">
        <v>-0.132599999999996</v>
      </c>
      <c r="AF2361">
        <v>8.6650237254160795E-2</v>
      </c>
      <c r="AG2361">
        <v>-0.15019149999999901</v>
      </c>
      <c r="AH2361">
        <v>0.49340112437129002</v>
      </c>
      <c r="AI2361">
        <v>106.689368959755</v>
      </c>
      <c r="AJ2361">
        <v>80.039388122470399</v>
      </c>
      <c r="AK2361">
        <v>0.522982236619281</v>
      </c>
      <c r="AL2361">
        <v>78.681836314926898</v>
      </c>
      <c r="AM2361">
        <v>89.978972457505606</v>
      </c>
      <c r="AN2361">
        <v>0.99999997434792498</v>
      </c>
    </row>
    <row r="2362" spans="1:40" x14ac:dyDescent="0.25">
      <c r="A2362" t="str">
        <f>"20190303170810528"</f>
        <v>20190303170810528</v>
      </c>
      <c r="B2362" t="str">
        <f>"1551604090515354"</f>
        <v>1551604090515354</v>
      </c>
      <c r="C2362" t="s">
        <v>40</v>
      </c>
      <c r="D2362">
        <v>4.9976430000000001</v>
      </c>
      <c r="E2362">
        <v>0.55672909999999998</v>
      </c>
      <c r="F2362" t="s">
        <v>47</v>
      </c>
      <c r="G2362">
        <v>-456.9545</v>
      </c>
      <c r="H2362">
        <v>0.97246690000000002</v>
      </c>
      <c r="I2362">
        <v>213.43940000000001</v>
      </c>
      <c r="J2362">
        <v>-457.43439999999998</v>
      </c>
      <c r="K2362">
        <v>1.1214599999999999</v>
      </c>
      <c r="L2362">
        <v>213.5668</v>
      </c>
      <c r="M2362">
        <v>0.99714400000000003</v>
      </c>
      <c r="N2362">
        <v>-1.3887699999999999E-2</v>
      </c>
      <c r="O2362">
        <v>-7.4236880000000005E-2</v>
      </c>
      <c r="P2362">
        <v>0.98069019999999996</v>
      </c>
      <c r="Q2362">
        <v>0.18204049999999999</v>
      </c>
      <c r="R2362">
        <v>-7.1470790000000006E-2</v>
      </c>
      <c r="S2362">
        <v>3.1299739999999998</v>
      </c>
      <c r="T2362">
        <v>-0.62346269999999904</v>
      </c>
      <c r="U2362">
        <v>-0.61419679999999999</v>
      </c>
      <c r="V2362">
        <v>-1.5686889999999901E-3</v>
      </c>
      <c r="W2362">
        <v>0.19567850000000001</v>
      </c>
      <c r="X2362">
        <v>0.98066679999999995</v>
      </c>
      <c r="Y2362">
        <v>0.117993</v>
      </c>
      <c r="Z2362">
        <v>1.0924489999999999E-3</v>
      </c>
      <c r="AA2362">
        <v>0.99301379999999995</v>
      </c>
      <c r="AB2362">
        <v>25</v>
      </c>
      <c r="AC2362">
        <v>0.479899999999986</v>
      </c>
      <c r="AD2362">
        <v>-0.14899309999999999</v>
      </c>
      <c r="AE2362">
        <v>-0.12739999999999399</v>
      </c>
      <c r="AF2362">
        <v>8.3866970547577802E-2</v>
      </c>
      <c r="AG2362">
        <v>-0.14899309999999999</v>
      </c>
      <c r="AH2362">
        <v>0.447719794271903</v>
      </c>
      <c r="AI2362">
        <v>108.112550293312</v>
      </c>
      <c r="AJ2362">
        <v>79.390295827116404</v>
      </c>
      <c r="AK2362">
        <v>0.47925528351736801</v>
      </c>
      <c r="AL2362">
        <v>78.715637086425403</v>
      </c>
      <c r="AM2362">
        <v>90.091651091286707</v>
      </c>
      <c r="AN2362">
        <v>0.99999995438483302</v>
      </c>
    </row>
    <row r="2363" spans="1:40" x14ac:dyDescent="0.25">
      <c r="A2363" t="str">
        <f>"20190303170810548"</f>
        <v>20190303170810548</v>
      </c>
      <c r="B2363" t="str">
        <f>"1551604090534877"</f>
        <v>1551604090534877</v>
      </c>
      <c r="C2363" t="s">
        <v>40</v>
      </c>
      <c r="D2363">
        <v>4.982113</v>
      </c>
      <c r="E2363">
        <v>0.56515519999999997</v>
      </c>
      <c r="F2363" t="s">
        <v>47</v>
      </c>
      <c r="G2363">
        <v>-456.72660000000002</v>
      </c>
      <c r="H2363">
        <v>0.97985990000000001</v>
      </c>
      <c r="I2363">
        <v>213.42789999999999</v>
      </c>
      <c r="J2363">
        <v>-457.1986</v>
      </c>
      <c r="K2363">
        <v>1.1214390000000001</v>
      </c>
      <c r="L2363">
        <v>213.54929999999999</v>
      </c>
      <c r="M2363">
        <v>0.99714639999999999</v>
      </c>
      <c r="N2363">
        <v>-1.3884290000000001E-2</v>
      </c>
      <c r="O2363">
        <v>-7.4204770000000003E-2</v>
      </c>
      <c r="P2363">
        <v>0.98094340000000002</v>
      </c>
      <c r="Q2363">
        <v>0.1813795</v>
      </c>
      <c r="R2363">
        <v>-6.9652870000000006E-2</v>
      </c>
      <c r="S2363">
        <v>3.1306759999999998</v>
      </c>
      <c r="T2363">
        <v>-0.62627480000000002</v>
      </c>
      <c r="U2363">
        <v>-0.61251829999999996</v>
      </c>
      <c r="V2363">
        <v>-3.3624549999999999E-3</v>
      </c>
      <c r="W2363">
        <v>0.19501589999999999</v>
      </c>
      <c r="X2363">
        <v>0.98079430000000001</v>
      </c>
      <c r="Y2363">
        <v>0.117471699999999</v>
      </c>
      <c r="Z2363">
        <v>1.154546E-3</v>
      </c>
      <c r="AA2363">
        <v>0.9930755</v>
      </c>
      <c r="AB2363">
        <v>25</v>
      </c>
      <c r="AC2363">
        <v>0.47199999999997899</v>
      </c>
      <c r="AD2363">
        <v>-0.14157909999999899</v>
      </c>
      <c r="AE2363">
        <v>-0.121399999999994</v>
      </c>
      <c r="AF2363">
        <v>7.9341526046187702E-2</v>
      </c>
      <c r="AG2363">
        <v>-0.14157909999999899</v>
      </c>
      <c r="AH2363">
        <v>0.44237541833612498</v>
      </c>
      <c r="AI2363">
        <v>107.485277551453</v>
      </c>
      <c r="AJ2363">
        <v>79.831916271634995</v>
      </c>
      <c r="AK2363">
        <v>0.471206674464835</v>
      </c>
      <c r="AL2363">
        <v>78.754347380503404</v>
      </c>
      <c r="AM2363">
        <v>90.196426228759094</v>
      </c>
      <c r="AN2363">
        <v>0.99999998313446303</v>
      </c>
    </row>
    <row r="2364" spans="1:40" x14ac:dyDescent="0.25">
      <c r="A2364" t="str">
        <f>"20190303170810574"</f>
        <v>20190303170810574</v>
      </c>
      <c r="B2364" t="str">
        <f>"1551604090565130"</f>
        <v>1551604090565130</v>
      </c>
      <c r="C2364" t="s">
        <v>40</v>
      </c>
      <c r="D2364">
        <v>4.962847</v>
      </c>
      <c r="E2364">
        <v>0.56578470000000003</v>
      </c>
      <c r="F2364" t="s">
        <v>47</v>
      </c>
      <c r="G2364">
        <v>-456.50790000000001</v>
      </c>
      <c r="H2364">
        <v>0.97109719999999999</v>
      </c>
      <c r="I2364">
        <v>213.40010000000001</v>
      </c>
      <c r="J2364">
        <v>-456.91079999999999</v>
      </c>
      <c r="K2364">
        <v>1.1214139999999999</v>
      </c>
      <c r="L2364">
        <v>213.52799999999999</v>
      </c>
      <c r="M2364">
        <v>0.99714820000000004</v>
      </c>
      <c r="N2364">
        <v>-1.386803E-2</v>
      </c>
      <c r="O2364">
        <v>-7.4183310000000002E-2</v>
      </c>
      <c r="P2364">
        <v>0.98123780000000005</v>
      </c>
      <c r="Q2364">
        <v>0.1804685</v>
      </c>
      <c r="R2364">
        <v>-6.784809E-2</v>
      </c>
      <c r="S2364">
        <v>3.1365660000000002</v>
      </c>
      <c r="T2364">
        <v>-0.68271400000000004</v>
      </c>
      <c r="U2364">
        <v>-0.67530819999999903</v>
      </c>
      <c r="V2364">
        <v>-5.1527539999999998E-3</v>
      </c>
      <c r="W2364">
        <v>0.1940907</v>
      </c>
      <c r="X2364">
        <v>0.98097000000000001</v>
      </c>
      <c r="Y2364">
        <v>0.13558909999999999</v>
      </c>
      <c r="Z2364">
        <v>-6.5348580000000004E-4</v>
      </c>
      <c r="AA2364">
        <v>0.99076489999999995</v>
      </c>
      <c r="AB2364">
        <v>25</v>
      </c>
      <c r="AC2364">
        <v>0.40289999999998799</v>
      </c>
      <c r="AD2364">
        <v>-0.150316799999999</v>
      </c>
      <c r="AE2364">
        <v>-0.127899999999982</v>
      </c>
      <c r="AF2364">
        <v>8.6693680428346007E-2</v>
      </c>
      <c r="AG2364">
        <v>-0.150316799999999</v>
      </c>
      <c r="AH2364">
        <v>0.365110044814971</v>
      </c>
      <c r="AI2364">
        <v>111.829338180782</v>
      </c>
      <c r="AJ2364">
        <v>76.642745906339101</v>
      </c>
      <c r="AK2364">
        <v>0.40424779456818599</v>
      </c>
      <c r="AL2364">
        <v>78.808389666511104</v>
      </c>
      <c r="AM2364">
        <v>90.300955525525197</v>
      </c>
      <c r="AN2364">
        <v>0.99999994580013496</v>
      </c>
    </row>
    <row r="2365" spans="1:40" x14ac:dyDescent="0.25">
      <c r="A2365" t="str">
        <f>"20190303170810596"</f>
        <v>20190303170810596</v>
      </c>
      <c r="B2365" t="str">
        <f>"1551604090585626"</f>
        <v>1551604090585626</v>
      </c>
      <c r="C2365" t="s">
        <v>40</v>
      </c>
      <c r="D2365">
        <v>4.9458799999999998</v>
      </c>
      <c r="E2365">
        <v>0.56616060000000001</v>
      </c>
      <c r="F2365" t="s">
        <v>47</v>
      </c>
      <c r="G2365">
        <v>-456.07760000000002</v>
      </c>
      <c r="H2365">
        <v>0.93917620000000002</v>
      </c>
      <c r="I2365">
        <v>213.3477</v>
      </c>
      <c r="J2365">
        <v>-456.6662</v>
      </c>
      <c r="K2365">
        <v>1.1213850000000001</v>
      </c>
      <c r="L2365">
        <v>213.50989999999999</v>
      </c>
      <c r="M2365">
        <v>0.99714910000000001</v>
      </c>
      <c r="N2365">
        <v>-1.383737E-2</v>
      </c>
      <c r="O2365">
        <v>-7.4177419999999994E-2</v>
      </c>
      <c r="P2365">
        <v>0.98133649999999994</v>
      </c>
      <c r="Q2365">
        <v>0.18063609999999999</v>
      </c>
      <c r="R2365">
        <v>-6.5950590000000003E-2</v>
      </c>
      <c r="S2365">
        <v>3.1367189999999998</v>
      </c>
      <c r="T2365">
        <v>-0.686123699999999</v>
      </c>
      <c r="U2365">
        <v>-0.67675779999999996</v>
      </c>
      <c r="V2365">
        <v>-7.0395029999999999E-3</v>
      </c>
      <c r="W2365">
        <v>0.19422780000000001</v>
      </c>
      <c r="X2365">
        <v>0.9809312</v>
      </c>
      <c r="Y2365">
        <v>0.13599820000000001</v>
      </c>
      <c r="Z2365">
        <v>-6.9067249999999998E-4</v>
      </c>
      <c r="AA2365">
        <v>0.99070879999999995</v>
      </c>
      <c r="AB2365">
        <v>25</v>
      </c>
      <c r="AC2365">
        <v>0.58859999999998502</v>
      </c>
      <c r="AD2365">
        <v>-0.1822088</v>
      </c>
      <c r="AE2365">
        <v>-0.162199999999984</v>
      </c>
      <c r="AF2365">
        <v>0.108430600987082</v>
      </c>
      <c r="AG2365">
        <v>-0.1822088</v>
      </c>
      <c r="AH2365">
        <v>0.55002267195498</v>
      </c>
      <c r="AI2365">
        <v>108.00517534024701</v>
      </c>
      <c r="AJ2365">
        <v>78.847804322558503</v>
      </c>
      <c r="AK2365">
        <v>0.58947619264254902</v>
      </c>
      <c r="AL2365">
        <v>78.8003827126402</v>
      </c>
      <c r="AM2365">
        <v>90.411167356173095</v>
      </c>
      <c r="AN2365">
        <v>1.0000000060143801</v>
      </c>
    </row>
    <row r="2366" spans="1:40" x14ac:dyDescent="0.25">
      <c r="A2366" t="str">
        <f>"20190303170810638"</f>
        <v>20190303170810638</v>
      </c>
      <c r="B2366" t="str">
        <f>"1551604090625642"</f>
        <v>1551604090625642</v>
      </c>
      <c r="C2366" t="s">
        <v>40</v>
      </c>
      <c r="D2366">
        <v>4.8967980000000004</v>
      </c>
      <c r="E2366">
        <v>0.56668839999999998</v>
      </c>
      <c r="F2366" t="s">
        <v>47</v>
      </c>
      <c r="G2366">
        <v>-455.85210000000001</v>
      </c>
      <c r="H2366">
        <v>0.94398190000000004</v>
      </c>
      <c r="I2366">
        <v>213.33459999999999</v>
      </c>
      <c r="J2366">
        <v>-456.20609999999999</v>
      </c>
      <c r="K2366">
        <v>1.121364</v>
      </c>
      <c r="L2366">
        <v>213.47569999999999</v>
      </c>
      <c r="M2366">
        <v>0.99714959999999997</v>
      </c>
      <c r="N2366">
        <v>-1.3739110000000001E-2</v>
      </c>
      <c r="O2366">
        <v>-7.4188459999999998E-2</v>
      </c>
      <c r="P2366">
        <v>0.98136120000000004</v>
      </c>
      <c r="Q2366">
        <v>0.1821033</v>
      </c>
      <c r="R2366">
        <v>-6.1389510000000001E-2</v>
      </c>
      <c r="S2366">
        <v>3.1376040000000001</v>
      </c>
      <c r="T2366">
        <v>-0.68377840000000001</v>
      </c>
      <c r="U2366">
        <v>-0.67422490000000002</v>
      </c>
      <c r="V2366">
        <v>-1.1590629999999999E-2</v>
      </c>
      <c r="W2366">
        <v>0.19559480000000001</v>
      </c>
      <c r="X2366">
        <v>0.9806163</v>
      </c>
      <c r="Y2366">
        <v>0.13519879999999901</v>
      </c>
      <c r="Z2366">
        <v>-5.8810790000000002E-4</v>
      </c>
      <c r="AA2366">
        <v>0.99081830000000004</v>
      </c>
      <c r="AB2366">
        <v>25</v>
      </c>
      <c r="AC2366">
        <v>0.35399999999998399</v>
      </c>
      <c r="AD2366">
        <v>-0.17738209999999999</v>
      </c>
      <c r="AE2366">
        <v>-0.14109999999999401</v>
      </c>
      <c r="AF2366">
        <v>9.4065679582763795E-2</v>
      </c>
      <c r="AG2366">
        <v>-0.17738209999999999</v>
      </c>
      <c r="AH2366">
        <v>0.29876336035353201</v>
      </c>
      <c r="AI2366">
        <v>119.523513836265</v>
      </c>
      <c r="AJ2366">
        <v>72.523385374994902</v>
      </c>
      <c r="AK2366">
        <v>0.35996153539720299</v>
      </c>
      <c r="AL2366">
        <v>78.720527738713798</v>
      </c>
      <c r="AM2366">
        <v>90.677189699428297</v>
      </c>
      <c r="AN2366">
        <v>0.99999999815826301</v>
      </c>
    </row>
    <row r="2367" spans="1:40" x14ac:dyDescent="0.25">
      <c r="A2367" t="str">
        <f>"20190303170810660"</f>
        <v>20190303170810660</v>
      </c>
      <c r="B2367" t="str">
        <f>"1551604090654922"</f>
        <v>1551604090654922</v>
      </c>
      <c r="C2367" t="s">
        <v>40</v>
      </c>
      <c r="D2367">
        <v>4.9128309999999997</v>
      </c>
      <c r="E2367">
        <v>0.56656189999999995</v>
      </c>
      <c r="F2367" t="s">
        <v>47</v>
      </c>
      <c r="G2367">
        <v>-455.4042</v>
      </c>
      <c r="H2367">
        <v>0.94860409999999995</v>
      </c>
      <c r="I2367">
        <v>213.30520000000001</v>
      </c>
      <c r="J2367">
        <v>-455.95209999999997</v>
      </c>
      <c r="K2367">
        <v>1.121351</v>
      </c>
      <c r="L2367">
        <v>213.45679999999999</v>
      </c>
      <c r="M2367">
        <v>0.99714999999999998</v>
      </c>
      <c r="N2367">
        <v>-1.365834E-2</v>
      </c>
      <c r="O2367">
        <v>-7.4198199999999895E-2</v>
      </c>
      <c r="P2367">
        <v>0.98125549999999995</v>
      </c>
      <c r="Q2367">
        <v>0.1834491</v>
      </c>
      <c r="R2367">
        <v>-5.9030770000000003E-2</v>
      </c>
      <c r="S2367">
        <v>3.1408999999999998</v>
      </c>
      <c r="T2367">
        <v>-0.67665869999999995</v>
      </c>
      <c r="U2367">
        <v>-0.66676329999999995</v>
      </c>
      <c r="V2367">
        <v>-1.394134E-2</v>
      </c>
      <c r="W2367">
        <v>0.19685720000000001</v>
      </c>
      <c r="X2367">
        <v>0.98033300000000001</v>
      </c>
      <c r="Y2367">
        <v>0.1328165</v>
      </c>
      <c r="Z2367">
        <v>-3.2164619999999999E-4</v>
      </c>
      <c r="AA2367">
        <v>0.99114060000000004</v>
      </c>
      <c r="AB2367">
        <v>25</v>
      </c>
      <c r="AC2367">
        <v>0.54789999999996997</v>
      </c>
      <c r="AD2367">
        <v>-0.17274690000000001</v>
      </c>
      <c r="AE2367">
        <v>-0.15159999999997301</v>
      </c>
      <c r="AF2367">
        <v>0.101182107373905</v>
      </c>
      <c r="AG2367">
        <v>-0.17274690000000001</v>
      </c>
      <c r="AH2367">
        <v>0.51050038809980303</v>
      </c>
      <c r="AI2367">
        <v>108.362576188049</v>
      </c>
      <c r="AJ2367">
        <v>78.789167055955502</v>
      </c>
      <c r="AK2367">
        <v>0.54835203707316005</v>
      </c>
      <c r="AL2367">
        <v>78.646762965308795</v>
      </c>
      <c r="AM2367">
        <v>90.814749785556501</v>
      </c>
      <c r="AN2367">
        <v>0.99999995452091595</v>
      </c>
    </row>
    <row r="2368" spans="1:40" x14ac:dyDescent="0.25">
      <c r="A2368" t="str">
        <f>"20190303170810681"</f>
        <v>20190303170810681</v>
      </c>
      <c r="B2368" t="str">
        <f>"1551604090675418"</f>
        <v>1551604090675418</v>
      </c>
      <c r="C2368" t="s">
        <v>40</v>
      </c>
      <c r="D2368">
        <v>4.947743</v>
      </c>
      <c r="E2368">
        <v>0.52471459999999903</v>
      </c>
      <c r="F2368" t="s">
        <v>47</v>
      </c>
      <c r="G2368">
        <v>-455.17750000000001</v>
      </c>
      <c r="H2368">
        <v>0.95653739999999998</v>
      </c>
      <c r="I2368">
        <v>213.29390000000001</v>
      </c>
      <c r="J2368">
        <v>-455.71839999999997</v>
      </c>
      <c r="K2368">
        <v>1.1213360000000001</v>
      </c>
      <c r="L2368">
        <v>213.43950000000001</v>
      </c>
      <c r="M2368">
        <v>0.99715109999999996</v>
      </c>
      <c r="N2368">
        <v>-1.356386E-2</v>
      </c>
      <c r="O2368">
        <v>-7.4201639999999999E-2</v>
      </c>
      <c r="P2368">
        <v>0.98121440000000004</v>
      </c>
      <c r="Q2368">
        <v>0.1843833</v>
      </c>
      <c r="R2368">
        <v>-5.675877E-2</v>
      </c>
      <c r="S2368">
        <v>3.1426699999999999</v>
      </c>
      <c r="T2368">
        <v>-0.66879880000000003</v>
      </c>
      <c r="U2368">
        <v>-0.65940859999999901</v>
      </c>
      <c r="V2368">
        <v>-1.6204280000000001E-2</v>
      </c>
      <c r="W2368">
        <v>0.19769639999999999</v>
      </c>
      <c r="X2368">
        <v>0.98012940000000004</v>
      </c>
      <c r="Y2368">
        <v>0.1305675</v>
      </c>
      <c r="Z2368" s="1">
        <v>-7.6252970000000001E-5</v>
      </c>
      <c r="AA2368">
        <v>0.99143939999999997</v>
      </c>
      <c r="AB2368">
        <v>25</v>
      </c>
      <c r="AC2368">
        <v>0.54089999999996496</v>
      </c>
      <c r="AD2368">
        <v>-0.16479859999999999</v>
      </c>
      <c r="AE2368">
        <v>-0.14560000000000101</v>
      </c>
      <c r="AF2368">
        <v>9.6690162706763505E-2</v>
      </c>
      <c r="AG2368">
        <v>-0.16479859999999999</v>
      </c>
      <c r="AH2368">
        <v>0.50638330319110603</v>
      </c>
      <c r="AI2368">
        <v>107.727372392078</v>
      </c>
      <c r="AJ2368">
        <v>79.189914668583</v>
      </c>
      <c r="AK2368">
        <v>0.54123157324472104</v>
      </c>
      <c r="AL2368">
        <v>78.597717495567693</v>
      </c>
      <c r="AM2368">
        <v>90.9471731763131</v>
      </c>
      <c r="AN2368">
        <v>1.0000000430038101</v>
      </c>
    </row>
    <row r="2369" spans="1:40" x14ac:dyDescent="0.25">
      <c r="A2369" t="str">
        <f>"20190303170810704"</f>
        <v>20190303170810704</v>
      </c>
      <c r="B2369" t="str">
        <f>"1551604090694938"</f>
        <v>1551604090694938</v>
      </c>
      <c r="C2369" t="s">
        <v>40</v>
      </c>
      <c r="D2369">
        <v>4.1419129999999997</v>
      </c>
      <c r="E2369">
        <v>0.51521799999999995</v>
      </c>
      <c r="F2369" t="s">
        <v>47</v>
      </c>
      <c r="G2369">
        <v>-454.91770000000002</v>
      </c>
      <c r="H2369">
        <v>1.020578</v>
      </c>
      <c r="I2369">
        <v>213.35419999999999</v>
      </c>
      <c r="J2369">
        <v>-455.46039999999999</v>
      </c>
      <c r="K2369">
        <v>1.1213109999999999</v>
      </c>
      <c r="L2369">
        <v>213.4203</v>
      </c>
      <c r="M2369">
        <v>0.99715299999999996</v>
      </c>
      <c r="N2369">
        <v>-1.3417760000000001E-2</v>
      </c>
      <c r="O2369">
        <v>-7.4202089999999998E-2</v>
      </c>
      <c r="P2369">
        <v>0.98096309999999998</v>
      </c>
      <c r="Q2369">
        <v>0.18613199999999999</v>
      </c>
      <c r="R2369">
        <v>-5.5377099999999999E-2</v>
      </c>
      <c r="S2369">
        <v>3.1119080000000001</v>
      </c>
      <c r="T2369">
        <v>-0.39166129999999999</v>
      </c>
      <c r="U2369">
        <v>-0.3305054</v>
      </c>
      <c r="V2369">
        <v>-1.756222E-2</v>
      </c>
      <c r="W2369">
        <v>0.19929749999999999</v>
      </c>
      <c r="X2369">
        <v>0.97978160000000003</v>
      </c>
      <c r="Y2369">
        <v>3.1714109999999997E-2</v>
      </c>
      <c r="Z2369">
        <v>6.0732549999999996E-3</v>
      </c>
      <c r="AA2369">
        <v>0.99947850000000005</v>
      </c>
      <c r="AB2369">
        <v>25</v>
      </c>
      <c r="AC2369">
        <v>0.54269999999996799</v>
      </c>
      <c r="AD2369">
        <v>-0.100733</v>
      </c>
      <c r="AE2369">
        <v>-6.6100000000005807E-2</v>
      </c>
      <c r="AF2369">
        <v>2.4802619370183701E-2</v>
      </c>
      <c r="AG2369">
        <v>-0.100733</v>
      </c>
      <c r="AH2369">
        <v>0.52817766138017896</v>
      </c>
      <c r="AI2369">
        <v>100.78606168046799</v>
      </c>
      <c r="AJ2369">
        <v>87.311430730415907</v>
      </c>
      <c r="AK2369">
        <v>0.53826940206336904</v>
      </c>
      <c r="AL2369">
        <v>78.504117708722404</v>
      </c>
      <c r="AM2369">
        <v>91.026895524293195</v>
      </c>
      <c r="AN2369">
        <v>0.99999995438806799</v>
      </c>
    </row>
    <row r="2370" spans="1:40" x14ac:dyDescent="0.25">
      <c r="A2370" t="str">
        <f>"20190303170810726"</f>
        <v>20190303170810726</v>
      </c>
      <c r="B2370" t="str">
        <f>"1551604090694938"</f>
        <v>1551604090694938</v>
      </c>
      <c r="C2370" t="s">
        <v>40</v>
      </c>
      <c r="D2370">
        <v>4.1419129999999997</v>
      </c>
      <c r="E2370">
        <v>0.51521799999999995</v>
      </c>
      <c r="F2370" t="s">
        <v>47</v>
      </c>
      <c r="G2370">
        <v>-454.69529999999997</v>
      </c>
      <c r="H2370">
        <v>1.016032</v>
      </c>
      <c r="I2370">
        <v>213.3586</v>
      </c>
      <c r="J2370">
        <v>-455.21600000000001</v>
      </c>
      <c r="K2370">
        <v>1.1212819999999999</v>
      </c>
      <c r="L2370">
        <v>213.40209999999999</v>
      </c>
      <c r="M2370">
        <v>0.99715509999999996</v>
      </c>
      <c r="N2370">
        <v>-1.3243680000000001E-2</v>
      </c>
      <c r="O2370">
        <v>-7.4205399999999894E-2</v>
      </c>
      <c r="P2370">
        <v>0.98091879999999998</v>
      </c>
      <c r="Q2370">
        <v>0.18690789999999999</v>
      </c>
      <c r="R2370">
        <v>-5.3516260000000003E-2</v>
      </c>
      <c r="S2370">
        <v>3.1257320000000002</v>
      </c>
      <c r="T2370">
        <v>-0.43035960000000001</v>
      </c>
      <c r="U2370">
        <v>-0.24987789999999999</v>
      </c>
      <c r="V2370">
        <v>-1.941872E-2</v>
      </c>
      <c r="W2370">
        <v>0.1999002</v>
      </c>
      <c r="X2370">
        <v>0.97962380000000004</v>
      </c>
      <c r="Y2370">
        <v>5.9969480000000002E-3</v>
      </c>
      <c r="Z2370">
        <v>8.7096389999999999E-3</v>
      </c>
      <c r="AA2370">
        <v>0.9999441</v>
      </c>
      <c r="AB2370">
        <v>25</v>
      </c>
      <c r="AC2370">
        <v>0.52070000000003303</v>
      </c>
      <c r="AD2370">
        <v>-0.105249999999999</v>
      </c>
      <c r="AE2370">
        <v>-4.3499999999994501E-2</v>
      </c>
      <c r="AF2370">
        <v>4.5531696608716796E-3</v>
      </c>
      <c r="AG2370">
        <v>-0.105249999999999</v>
      </c>
      <c r="AH2370">
        <v>0.50211935902317195</v>
      </c>
      <c r="AI2370">
        <v>101.837986139072</v>
      </c>
      <c r="AJ2370">
        <v>89.480461666608207</v>
      </c>
      <c r="AK2370">
        <v>0.51305179520181199</v>
      </c>
      <c r="AL2370">
        <v>78.468876739373997</v>
      </c>
      <c r="AM2370">
        <v>91.135604305841696</v>
      </c>
      <c r="AN2370">
        <v>0.99999998308645899</v>
      </c>
    </row>
    <row r="2371" spans="1:40" x14ac:dyDescent="0.25">
      <c r="A2371" t="str">
        <f>"20190303170810749"</f>
        <v>20190303170810749</v>
      </c>
      <c r="B2371" t="str">
        <f>"1551604090744794"</f>
        <v>1551604090744794</v>
      </c>
      <c r="C2371" t="s">
        <v>40</v>
      </c>
      <c r="D2371">
        <v>4.6790719999999997</v>
      </c>
      <c r="E2371">
        <v>0.50538240000000001</v>
      </c>
      <c r="F2371" t="s">
        <v>47</v>
      </c>
      <c r="G2371">
        <v>-454.47089999999997</v>
      </c>
      <c r="H2371">
        <v>1.01936</v>
      </c>
      <c r="I2371">
        <v>213.3434</v>
      </c>
      <c r="J2371">
        <v>-454.95890000000003</v>
      </c>
      <c r="K2371">
        <v>1.121256</v>
      </c>
      <c r="L2371">
        <v>213.38300000000001</v>
      </c>
      <c r="M2371">
        <v>0.99715739999999997</v>
      </c>
      <c r="N2371">
        <v>-1.304454E-2</v>
      </c>
      <c r="O2371">
        <v>-7.4209860000000002E-2</v>
      </c>
      <c r="P2371">
        <v>0.98094990000000004</v>
      </c>
      <c r="Q2371">
        <v>0.18710309999999999</v>
      </c>
      <c r="R2371">
        <v>-5.2251829999999999E-2</v>
      </c>
      <c r="S2371">
        <v>3.1264949999999998</v>
      </c>
      <c r="T2371">
        <v>-0.42776199999999998</v>
      </c>
      <c r="U2371">
        <v>-0.24487300000000001</v>
      </c>
      <c r="V2371">
        <v>-2.068741E-2</v>
      </c>
      <c r="W2371">
        <v>0.1998993</v>
      </c>
      <c r="X2371">
        <v>0.97959799999999997</v>
      </c>
      <c r="Y2371">
        <v>4.3937109999999998E-3</v>
      </c>
      <c r="Z2371">
        <v>8.7851849999999992E-3</v>
      </c>
      <c r="AA2371">
        <v>0.99995179999999995</v>
      </c>
      <c r="AB2371">
        <v>25</v>
      </c>
      <c r="AC2371">
        <v>0.488000000000056</v>
      </c>
      <c r="AD2371">
        <v>-0.101896</v>
      </c>
      <c r="AE2371">
        <v>-3.9599999999978701E-2</v>
      </c>
      <c r="AF2371">
        <v>3.13740724982367E-3</v>
      </c>
      <c r="AG2371">
        <v>-0.101896</v>
      </c>
      <c r="AH2371">
        <v>0.46926748232948201</v>
      </c>
      <c r="AI2371">
        <v>102.25067215317701</v>
      </c>
      <c r="AJ2371">
        <v>89.616940183406001</v>
      </c>
      <c r="AK2371">
        <v>0.48021308615249297</v>
      </c>
      <c r="AL2371">
        <v>78.468929218795097</v>
      </c>
      <c r="AM2371">
        <v>91.209807616865007</v>
      </c>
      <c r="AN2371">
        <v>0.99999997033849797</v>
      </c>
    </row>
    <row r="2372" spans="1:40" x14ac:dyDescent="0.25">
      <c r="A2372" t="str">
        <f>"20190303170810774"</f>
        <v>20190303170810774</v>
      </c>
      <c r="B2372" t="str">
        <f>"1551604090765289"</f>
        <v>1551604090765289</v>
      </c>
      <c r="C2372" t="s">
        <v>40</v>
      </c>
      <c r="D2372">
        <v>4.881964</v>
      </c>
      <c r="E2372">
        <v>0.49883820000000001</v>
      </c>
      <c r="F2372" t="s">
        <v>47</v>
      </c>
      <c r="G2372">
        <v>-454.02519999999998</v>
      </c>
      <c r="H2372">
        <v>1.014669</v>
      </c>
      <c r="I2372">
        <v>213.3329</v>
      </c>
      <c r="J2372">
        <v>-454.69389999999999</v>
      </c>
      <c r="K2372">
        <v>1.121227</v>
      </c>
      <c r="L2372">
        <v>213.36330000000001</v>
      </c>
      <c r="M2372">
        <v>0.99716000000000005</v>
      </c>
      <c r="N2372">
        <v>-1.2832069999999999E-2</v>
      </c>
      <c r="O2372">
        <v>-7.4212739999999999E-2</v>
      </c>
      <c r="P2372">
        <v>0.98097299999999998</v>
      </c>
      <c r="Q2372">
        <v>0.18716099999999999</v>
      </c>
      <c r="R2372">
        <v>-5.1604219999999999E-2</v>
      </c>
      <c r="S2372">
        <v>3.11734</v>
      </c>
      <c r="T2372">
        <v>-0.35593190000000002</v>
      </c>
      <c r="U2372">
        <v>-0.16647339999999999</v>
      </c>
      <c r="V2372">
        <v>-2.1338300000000001E-2</v>
      </c>
      <c r="W2372">
        <v>0.19974839999999999</v>
      </c>
      <c r="X2372">
        <v>0.97961489999999996</v>
      </c>
      <c r="Y2372">
        <v>-2.0409190000000001E-2</v>
      </c>
      <c r="Z2372">
        <v>8.7720709999999993E-3</v>
      </c>
      <c r="AA2372">
        <v>0.99975320000000001</v>
      </c>
      <c r="AB2372">
        <v>25</v>
      </c>
      <c r="AC2372">
        <v>0.66870000000000096</v>
      </c>
      <c r="AD2372">
        <v>-0.106557999999999</v>
      </c>
      <c r="AE2372">
        <v>-3.0400000000014402E-2</v>
      </c>
      <c r="AF2372">
        <v>-1.8836655267511299E-2</v>
      </c>
      <c r="AG2372">
        <v>-0.106557999999999</v>
      </c>
      <c r="AH2372">
        <v>0.65257546468392402</v>
      </c>
      <c r="AI2372">
        <v>99.270096280735004</v>
      </c>
      <c r="AJ2372">
        <v>91.653389240926103</v>
      </c>
      <c r="AK2372">
        <v>0.66148632945292796</v>
      </c>
      <c r="AL2372">
        <v>78.477754036536396</v>
      </c>
      <c r="AM2372">
        <v>91.247838538885503</v>
      </c>
      <c r="AN2372">
        <v>1.00000004932572</v>
      </c>
    </row>
    <row r="2373" spans="1:40" x14ac:dyDescent="0.25">
      <c r="A2373" t="str">
        <f>"20190303170810817"</f>
        <v>20190303170810817</v>
      </c>
      <c r="B2373" t="str">
        <f>"1551604090804703"</f>
        <v>1551604090804703</v>
      </c>
      <c r="C2373" t="s">
        <v>40</v>
      </c>
      <c r="D2373">
        <v>4.7075529999999999</v>
      </c>
      <c r="E2373">
        <v>0.4931334</v>
      </c>
      <c r="F2373" t="s">
        <v>63</v>
      </c>
      <c r="G2373">
        <v>-441.4665</v>
      </c>
      <c r="H2373" s="1">
        <v>-6.7987469999999996E-7</v>
      </c>
      <c r="I2373">
        <v>212.86539999999999</v>
      </c>
      <c r="J2373">
        <v>-454.20420000000001</v>
      </c>
      <c r="K2373">
        <v>1.1211979999999999</v>
      </c>
      <c r="L2373">
        <v>213.32689999999999</v>
      </c>
      <c r="M2373">
        <v>0.99716499999999997</v>
      </c>
      <c r="N2373">
        <v>-1.246012E-2</v>
      </c>
      <c r="O2373">
        <v>-7.4208510000000005E-2</v>
      </c>
      <c r="P2373">
        <v>0.98063330000000004</v>
      </c>
      <c r="Q2373">
        <v>0.18875400000000001</v>
      </c>
      <c r="R2373">
        <v>-5.2255530000000001E-2</v>
      </c>
      <c r="S2373">
        <v>3.1022340000000002</v>
      </c>
      <c r="T2373">
        <v>-0.26296160000000002</v>
      </c>
      <c r="U2373">
        <v>-0.1167755</v>
      </c>
      <c r="V2373">
        <v>-2.0658949999999999E-2</v>
      </c>
      <c r="W2373">
        <v>0.20097329999999999</v>
      </c>
      <c r="X2373">
        <v>0.97937890000000005</v>
      </c>
      <c r="Y2373">
        <v>-3.6307800000000001E-2</v>
      </c>
      <c r="Z2373">
        <v>7.1086780000000002E-3</v>
      </c>
      <c r="AA2373">
        <v>0.99931539999999996</v>
      </c>
      <c r="AB2373">
        <v>25</v>
      </c>
      <c r="AC2373">
        <v>12.7377</v>
      </c>
      <c r="AD2373">
        <v>-1.1211986798747</v>
      </c>
      <c r="AE2373">
        <v>-0.46150000000000002</v>
      </c>
      <c r="AF2373">
        <v>-0.481367014347168</v>
      </c>
      <c r="AG2373">
        <v>-1.1211986798747</v>
      </c>
      <c r="AH2373">
        <v>12.639026037631</v>
      </c>
      <c r="AI2373">
        <v>95.065743017532796</v>
      </c>
      <c r="AJ2373">
        <v>92.181099597386805</v>
      </c>
      <c r="AK2373">
        <v>12.6977864158352</v>
      </c>
      <c r="AL2373">
        <v>78.406119793767104</v>
      </c>
      <c r="AM2373">
        <v>91.208413956446606</v>
      </c>
      <c r="AN2373">
        <v>1.0000000446466</v>
      </c>
    </row>
    <row r="2374" spans="1:40" x14ac:dyDescent="0.25">
      <c r="A2374" t="str">
        <f>"20190303170810841"</f>
        <v>20190303170810841</v>
      </c>
      <c r="B2374" t="str">
        <f>"1551604090834960"</f>
        <v>1551604090834960</v>
      </c>
      <c r="C2374" t="s">
        <v>40</v>
      </c>
      <c r="D2374">
        <v>4.6624850000000002</v>
      </c>
      <c r="E2374">
        <v>0.49233589999999999</v>
      </c>
      <c r="F2374" t="s">
        <v>71</v>
      </c>
      <c r="G2374">
        <v>-436.0616</v>
      </c>
      <c r="H2374" s="1">
        <v>5.0576919999999997E-6</v>
      </c>
      <c r="I2374">
        <v>212.8706</v>
      </c>
      <c r="J2374">
        <v>-453.93509999999998</v>
      </c>
      <c r="K2374">
        <v>1.121191</v>
      </c>
      <c r="L2374">
        <v>213.30690000000001</v>
      </c>
      <c r="M2374">
        <v>0.99716839999999995</v>
      </c>
      <c r="N2374">
        <v>-1.2273569999999999E-2</v>
      </c>
      <c r="O2374">
        <v>-7.4194739999999995E-2</v>
      </c>
      <c r="P2374">
        <v>0.98056840000000001</v>
      </c>
      <c r="Q2374">
        <v>0.1891584</v>
      </c>
      <c r="R2374">
        <v>-5.2010029999999999E-2</v>
      </c>
      <c r="S2374">
        <v>3.0918580000000002</v>
      </c>
      <c r="T2374">
        <v>-0.1910743</v>
      </c>
      <c r="U2374">
        <v>-7.7758789999999994E-2</v>
      </c>
      <c r="V2374">
        <v>-2.0887289999999999E-2</v>
      </c>
      <c r="W2374">
        <v>0.20119380000000001</v>
      </c>
      <c r="X2374">
        <v>0.9793288</v>
      </c>
      <c r="Y2374">
        <v>-4.8902279999999999E-2</v>
      </c>
      <c r="Z2374">
        <v>5.4750679999999996E-3</v>
      </c>
      <c r="AA2374">
        <v>0.99878849999999997</v>
      </c>
      <c r="AB2374">
        <v>25</v>
      </c>
      <c r="AC2374">
        <v>17.8734999999999</v>
      </c>
      <c r="AD2374">
        <v>-1.1211859423079999</v>
      </c>
      <c r="AE2374">
        <v>-0.43630000000001701</v>
      </c>
      <c r="AF2374">
        <v>-0.88763141289570602</v>
      </c>
      <c r="AG2374">
        <v>-1.1211859423079999</v>
      </c>
      <c r="AH2374">
        <v>17.786655324547102</v>
      </c>
      <c r="AI2374">
        <v>93.602409373208204</v>
      </c>
      <c r="AJ2374">
        <v>92.856938333432296</v>
      </c>
      <c r="AK2374">
        <v>17.844048169533298</v>
      </c>
      <c r="AL2374">
        <v>78.393222834565194</v>
      </c>
      <c r="AM2374">
        <v>91.221828815736998</v>
      </c>
      <c r="AN2374">
        <v>1.0000000612757101</v>
      </c>
    </row>
    <row r="2375" spans="1:40" x14ac:dyDescent="0.25">
      <c r="A2375" t="str">
        <f>"20190303170810862"</f>
        <v>20190303170810862</v>
      </c>
      <c r="B2375" t="str">
        <f>"1551604090855456"</f>
        <v>1551604090855456</v>
      </c>
      <c r="C2375" t="s">
        <v>40</v>
      </c>
      <c r="D2375">
        <v>4.7211369999999997</v>
      </c>
      <c r="E2375">
        <v>0.49152980000000002</v>
      </c>
      <c r="F2375" t="s">
        <v>71</v>
      </c>
      <c r="G2375">
        <v>-433.38810000000001</v>
      </c>
      <c r="H2375" s="1">
        <v>3.875654E-6</v>
      </c>
      <c r="I2375">
        <v>212.82990000000001</v>
      </c>
      <c r="J2375">
        <v>-453.7013</v>
      </c>
      <c r="K2375">
        <v>1.1211880000000001</v>
      </c>
      <c r="L2375">
        <v>213.2895</v>
      </c>
      <c r="M2375">
        <v>0.99717270000000002</v>
      </c>
      <c r="N2375">
        <v>-1.2114629999999999E-2</v>
      </c>
      <c r="O2375">
        <v>-7.4163530000000005E-2</v>
      </c>
      <c r="P2375">
        <v>0.98055709999999996</v>
      </c>
      <c r="Q2375">
        <v>0.18903120000000001</v>
      </c>
      <c r="R2375">
        <v>-5.2681079999999998E-2</v>
      </c>
      <c r="S2375">
        <v>3.0881959999999999</v>
      </c>
      <c r="T2375">
        <v>-0.16851389999999999</v>
      </c>
      <c r="U2375">
        <v>-7.1685789999999999E-2</v>
      </c>
      <c r="V2375">
        <v>-2.0191750000000001E-2</v>
      </c>
      <c r="W2375">
        <v>0.20091120000000001</v>
      </c>
      <c r="X2375">
        <v>0.97940139999999998</v>
      </c>
      <c r="Y2375">
        <v>-5.0847410000000003E-2</v>
      </c>
      <c r="Z2375">
        <v>4.8354219999999998E-3</v>
      </c>
      <c r="AA2375">
        <v>0.99869470000000005</v>
      </c>
      <c r="AB2375">
        <v>25</v>
      </c>
      <c r="AC2375">
        <v>20.313199999999899</v>
      </c>
      <c r="AD2375">
        <v>-1.1211841243459999</v>
      </c>
      <c r="AE2375">
        <v>-0.45959999999999401</v>
      </c>
      <c r="AF2375">
        <v>-1.04509255309188</v>
      </c>
      <c r="AG2375">
        <v>-1.1211841243459999</v>
      </c>
      <c r="AH2375">
        <v>20.229741389633599</v>
      </c>
      <c r="AI2375">
        <v>93.168017531603695</v>
      </c>
      <c r="AJ2375">
        <v>92.9573392067566</v>
      </c>
      <c r="AK2375">
        <v>20.287723109720002</v>
      </c>
      <c r="AL2375">
        <v>78.409752122947395</v>
      </c>
      <c r="AM2375">
        <v>91.181066505665299</v>
      </c>
      <c r="AN2375">
        <v>1.0000000596877201</v>
      </c>
    </row>
    <row r="2376" spans="1:40" x14ac:dyDescent="0.25">
      <c r="A2376" t="str">
        <f>"20190303170810884"</f>
        <v>20190303170810884</v>
      </c>
      <c r="B2376" t="str">
        <f>"1551604090874976"</f>
        <v>1551604090874976</v>
      </c>
      <c r="C2376" t="s">
        <v>40</v>
      </c>
      <c r="D2376">
        <v>4.6450040000000001</v>
      </c>
      <c r="E2376">
        <v>0.4908034</v>
      </c>
      <c r="F2376" t="s">
        <v>71</v>
      </c>
      <c r="G2376">
        <v>-431.96190000000001</v>
      </c>
      <c r="H2376" s="1">
        <v>3.244116E-6</v>
      </c>
      <c r="I2376">
        <v>212.81950000000001</v>
      </c>
      <c r="J2376">
        <v>-453.44749999999999</v>
      </c>
      <c r="K2376">
        <v>1.121194</v>
      </c>
      <c r="L2376">
        <v>213.27070000000001</v>
      </c>
      <c r="M2376">
        <v>0.99718039999999997</v>
      </c>
      <c r="N2376">
        <v>-1.1934770000000001E-2</v>
      </c>
      <c r="O2376">
        <v>-7.4087639999999996E-2</v>
      </c>
      <c r="P2376">
        <v>0.9805471</v>
      </c>
      <c r="Q2376">
        <v>0.1889229</v>
      </c>
      <c r="R2376">
        <v>-5.3251359999999998E-2</v>
      </c>
      <c r="S2376">
        <v>3.0866090000000002</v>
      </c>
      <c r="T2376">
        <v>-0.15918869999999999</v>
      </c>
      <c r="U2376">
        <v>-6.6726679999999997E-2</v>
      </c>
      <c r="V2376">
        <v>-1.9560580000000001E-2</v>
      </c>
      <c r="W2376">
        <v>0.20062579999999999</v>
      </c>
      <c r="X2376">
        <v>0.97947260000000003</v>
      </c>
      <c r="Y2376">
        <v>-5.2378319999999999E-2</v>
      </c>
      <c r="Z2376">
        <v>4.5926300000000003E-3</v>
      </c>
      <c r="AA2376">
        <v>0.99861679999999997</v>
      </c>
      <c r="AB2376">
        <v>25</v>
      </c>
      <c r="AC2376">
        <v>21.485599999999899</v>
      </c>
      <c r="AD2376">
        <v>-1.121190755884</v>
      </c>
      <c r="AE2376">
        <v>-0.45119999999999999</v>
      </c>
      <c r="AF2376">
        <v>-1.13887094367779</v>
      </c>
      <c r="AG2376">
        <v>-1.121190755884</v>
      </c>
      <c r="AH2376">
        <v>21.4017207738043</v>
      </c>
      <c r="AI2376">
        <v>92.994633644069793</v>
      </c>
      <c r="AJ2376">
        <v>93.046063966140494</v>
      </c>
      <c r="AK2376">
        <v>21.4613081571772</v>
      </c>
      <c r="AL2376">
        <v>78.426442934921297</v>
      </c>
      <c r="AM2376">
        <v>91.144074599742297</v>
      </c>
      <c r="AN2376">
        <v>0.99999995103316697</v>
      </c>
    </row>
    <row r="2377" spans="1:40" x14ac:dyDescent="0.25">
      <c r="A2377" t="str">
        <f>"20190303170810906"</f>
        <v>20190303170810906</v>
      </c>
      <c r="B2377" t="str">
        <f>"1551604090895472"</f>
        <v>1551604090895472</v>
      </c>
      <c r="C2377" t="s">
        <v>40</v>
      </c>
      <c r="D2377">
        <v>4.6555710000000001</v>
      </c>
      <c r="E2377">
        <v>0.4902299</v>
      </c>
      <c r="F2377" t="s">
        <v>71</v>
      </c>
      <c r="G2377">
        <v>-430.72430000000003</v>
      </c>
      <c r="H2377" s="1">
        <v>2.6958250000000001E-6</v>
      </c>
      <c r="I2377">
        <v>212.81299999999999</v>
      </c>
      <c r="J2377">
        <v>-453.21030000000002</v>
      </c>
      <c r="K2377">
        <v>1.1212089999999999</v>
      </c>
      <c r="L2377">
        <v>213.25319999999999</v>
      </c>
      <c r="M2377">
        <v>0.99719190000000002</v>
      </c>
      <c r="N2377">
        <v>-1.175885E-2</v>
      </c>
      <c r="O2377">
        <v>-7.3960590000000007E-2</v>
      </c>
      <c r="P2377">
        <v>0.98040799999999995</v>
      </c>
      <c r="Q2377">
        <v>0.18951419999999999</v>
      </c>
      <c r="R2377">
        <v>-5.3709640000000003E-2</v>
      </c>
      <c r="S2377">
        <v>3.08548</v>
      </c>
      <c r="T2377">
        <v>-0.15224099999999999</v>
      </c>
      <c r="U2377">
        <v>-6.2149049999999997E-2</v>
      </c>
      <c r="V2377">
        <v>-1.8987250000000001E-2</v>
      </c>
      <c r="W2377">
        <v>0.20104150000000001</v>
      </c>
      <c r="X2377">
        <v>0.97939869999999996</v>
      </c>
      <c r="Y2377">
        <v>-5.3734610000000002E-2</v>
      </c>
      <c r="Z2377">
        <v>4.4144730000000004E-3</v>
      </c>
      <c r="AA2377">
        <v>0.99854549999999997</v>
      </c>
      <c r="AB2377">
        <v>25</v>
      </c>
      <c r="AC2377">
        <v>22.485999999999901</v>
      </c>
      <c r="AD2377">
        <v>-1.121206304175</v>
      </c>
      <c r="AE2377">
        <v>-0.44020000000000398</v>
      </c>
      <c r="AF2377">
        <v>-1.22116354647265</v>
      </c>
      <c r="AG2377">
        <v>-1.121206304175</v>
      </c>
      <c r="AH2377">
        <v>22.4012916231597</v>
      </c>
      <c r="AI2377">
        <v>92.861077250340898</v>
      </c>
      <c r="AJ2377">
        <v>93.120281403969102</v>
      </c>
      <c r="AK2377">
        <v>22.462551288079499</v>
      </c>
      <c r="AL2377">
        <v>78.4021303624301</v>
      </c>
      <c r="AM2377">
        <v>91.110633523262095</v>
      </c>
      <c r="AN2377">
        <v>1.00000000697325</v>
      </c>
    </row>
    <row r="2378" spans="1:40" x14ac:dyDescent="0.25">
      <c r="A2378" t="str">
        <f>"20190303170810926"</f>
        <v>20190303170810926</v>
      </c>
      <c r="B2378" t="str">
        <f>"1551604090915968"</f>
        <v>1551604090915968</v>
      </c>
      <c r="C2378" t="s">
        <v>40</v>
      </c>
      <c r="D2378">
        <v>4.7092159999999996</v>
      </c>
      <c r="E2378">
        <v>0.48980509999999999</v>
      </c>
      <c r="F2378" t="s">
        <v>71</v>
      </c>
      <c r="G2378">
        <v>-429.32490000000001</v>
      </c>
      <c r="H2378" s="1">
        <v>2.4692649999999999E-6</v>
      </c>
      <c r="I2378">
        <v>212.8004</v>
      </c>
      <c r="J2378">
        <v>-452.97730000000001</v>
      </c>
      <c r="K2378">
        <v>1.1212359999999999</v>
      </c>
      <c r="L2378">
        <v>213.23609999999999</v>
      </c>
      <c r="M2378">
        <v>0.99720819999999999</v>
      </c>
      <c r="N2378">
        <v>-1.158179E-2</v>
      </c>
      <c r="O2378">
        <v>-7.376953E-2</v>
      </c>
      <c r="P2378">
        <v>0.98034069999999995</v>
      </c>
      <c r="Q2378">
        <v>0.1899334</v>
      </c>
      <c r="R2378">
        <v>-5.3459050000000001E-2</v>
      </c>
      <c r="S2378">
        <v>3.0847169999999999</v>
      </c>
      <c r="T2378">
        <v>-0.14480029999999999</v>
      </c>
      <c r="U2378">
        <v>-5.8471679999999998E-2</v>
      </c>
      <c r="V2378">
        <v>-1.906894E-2</v>
      </c>
      <c r="W2378">
        <v>0.2012844</v>
      </c>
      <c r="X2378">
        <v>0.97934719999999997</v>
      </c>
      <c r="Y2378">
        <v>-5.4739940000000001E-2</v>
      </c>
      <c r="Z2378">
        <v>4.2041420000000001E-3</v>
      </c>
      <c r="AA2378">
        <v>0.99849180000000004</v>
      </c>
      <c r="AB2378">
        <v>25</v>
      </c>
      <c r="AC2378">
        <v>23.6524</v>
      </c>
      <c r="AD2378">
        <v>-1.1212335307350001</v>
      </c>
      <c r="AE2378">
        <v>-0.43569999999999698</v>
      </c>
      <c r="AF2378">
        <v>-1.3074933278829499</v>
      </c>
      <c r="AG2378">
        <v>-1.1212335307350001</v>
      </c>
      <c r="AH2378">
        <v>23.567147457992199</v>
      </c>
      <c r="AI2378">
        <v>92.719681169109407</v>
      </c>
      <c r="AJ2378">
        <v>93.175485291150494</v>
      </c>
      <c r="AK2378">
        <v>23.630005136259498</v>
      </c>
      <c r="AL2378">
        <v>78.387922538214397</v>
      </c>
      <c r="AM2378">
        <v>91.115469304999095</v>
      </c>
      <c r="AN2378">
        <v>0.99999998615196095</v>
      </c>
    </row>
    <row r="2379" spans="1:40" x14ac:dyDescent="0.25">
      <c r="A2379" t="str">
        <f>"20190303170810951"</f>
        <v>20190303170810951</v>
      </c>
      <c r="B2379" t="str">
        <f>"1551604090945247"</f>
        <v>1551604090945247</v>
      </c>
      <c r="C2379" t="s">
        <v>40</v>
      </c>
      <c r="D2379">
        <v>4.6512900000000004</v>
      </c>
      <c r="E2379">
        <v>0.48957450000000002</v>
      </c>
      <c r="F2379" t="s">
        <v>71</v>
      </c>
      <c r="G2379">
        <v>-428.11329999999998</v>
      </c>
      <c r="H2379" s="1">
        <v>2.6847899999999998E-6</v>
      </c>
      <c r="I2379">
        <v>212.7936</v>
      </c>
      <c r="J2379">
        <v>-452.70979999999997</v>
      </c>
      <c r="K2379">
        <v>1.1212759999999999</v>
      </c>
      <c r="L2379">
        <v>213.2166</v>
      </c>
      <c r="M2379">
        <v>0.9972337</v>
      </c>
      <c r="N2379">
        <v>-1.137407E-2</v>
      </c>
      <c r="O2379">
        <v>-7.3455709999999994E-2</v>
      </c>
      <c r="P2379">
        <v>0.98030229999999996</v>
      </c>
      <c r="Q2379">
        <v>0.1902192</v>
      </c>
      <c r="R2379">
        <v>-5.3144209999999997E-2</v>
      </c>
      <c r="S2379">
        <v>3.0841059999999998</v>
      </c>
      <c r="T2379">
        <v>-0.13907659999999999</v>
      </c>
      <c r="U2379">
        <v>-5.4885860000000002E-2</v>
      </c>
      <c r="V2379">
        <v>-1.9105049999999998E-2</v>
      </c>
      <c r="W2379">
        <v>0.2013624</v>
      </c>
      <c r="X2379">
        <v>0.97933049999999999</v>
      </c>
      <c r="Y2379">
        <v>-5.5591050000000003E-2</v>
      </c>
      <c r="Z2379">
        <v>4.0409740000000001E-3</v>
      </c>
      <c r="AA2379">
        <v>0.99844549999999999</v>
      </c>
      <c r="AB2379">
        <v>25</v>
      </c>
      <c r="AC2379">
        <v>24.596499999999899</v>
      </c>
      <c r="AD2379">
        <v>-1.1212733152099901</v>
      </c>
      <c r="AE2379">
        <v>-0.42300000000000099</v>
      </c>
      <c r="AF2379">
        <v>-1.3821415503574299</v>
      </c>
      <c r="AG2379">
        <v>-1.1212733152099901</v>
      </c>
      <c r="AH2379">
        <v>24.510196502662801</v>
      </c>
      <c r="AI2379">
        <v>92.615147482912505</v>
      </c>
      <c r="AJ2379">
        <v>93.227517902629501</v>
      </c>
      <c r="AK2379">
        <v>24.574728924481999</v>
      </c>
      <c r="AL2379">
        <v>78.383360491274303</v>
      </c>
      <c r="AM2379">
        <v>91.117600136856197</v>
      </c>
      <c r="AN2379">
        <v>1.0000000236497499</v>
      </c>
    </row>
    <row r="2380" spans="1:40" x14ac:dyDescent="0.25">
      <c r="A2380" t="str">
        <f>"20190303170810975"</f>
        <v>20190303170810975</v>
      </c>
      <c r="B2380" t="str">
        <f>"1551604090964768"</f>
        <v>1551604090964768</v>
      </c>
      <c r="C2380" t="s">
        <v>40</v>
      </c>
      <c r="D2380">
        <v>4.7695509999999999</v>
      </c>
      <c r="E2380">
        <v>0.48941499999999999</v>
      </c>
      <c r="F2380" t="s">
        <v>71</v>
      </c>
      <c r="G2380">
        <v>-426.65269999999998</v>
      </c>
      <c r="H2380" s="1">
        <v>2.9457520000000002E-6</v>
      </c>
      <c r="I2380">
        <v>212.77189999999999</v>
      </c>
      <c r="J2380">
        <v>-452.43540000000002</v>
      </c>
      <c r="K2380">
        <v>1.121321</v>
      </c>
      <c r="L2380">
        <v>213.1968</v>
      </c>
      <c r="M2380">
        <v>0.9972683</v>
      </c>
      <c r="N2380">
        <v>-1.115734E-2</v>
      </c>
      <c r="O2380">
        <v>-7.3017159999999998E-2</v>
      </c>
      <c r="P2380">
        <v>0.98031060000000003</v>
      </c>
      <c r="Q2380">
        <v>0.19038869999999999</v>
      </c>
      <c r="R2380">
        <v>-5.2377630000000001E-2</v>
      </c>
      <c r="S2380">
        <v>3.0831599999999999</v>
      </c>
      <c r="T2380">
        <v>-0.13267279999999901</v>
      </c>
      <c r="U2380">
        <v>-5.2612300000000001E-2</v>
      </c>
      <c r="V2380">
        <v>-1.9473689999999998E-2</v>
      </c>
      <c r="W2380">
        <v>0.20131569999999999</v>
      </c>
      <c r="X2380">
        <v>0.9793328</v>
      </c>
      <c r="Y2380">
        <v>-5.589264E-2</v>
      </c>
      <c r="Z2380">
        <v>3.836674E-3</v>
      </c>
      <c r="AA2380">
        <v>0.99842940000000002</v>
      </c>
      <c r="AB2380">
        <v>25</v>
      </c>
      <c r="AC2380">
        <v>25.782699999999998</v>
      </c>
      <c r="AD2380">
        <v>-1.1213180542479999</v>
      </c>
      <c r="AE2380">
        <v>-0.42490000000000799</v>
      </c>
      <c r="AF2380">
        <v>-1.45617742542747</v>
      </c>
      <c r="AG2380">
        <v>-1.1213180542479999</v>
      </c>
      <c r="AH2380">
        <v>25.696305437460101</v>
      </c>
      <c r="AI2380">
        <v>92.494652099658197</v>
      </c>
      <c r="AJ2380">
        <v>93.243411081686205</v>
      </c>
      <c r="AK2380">
        <v>25.761947131541699</v>
      </c>
      <c r="AL2380">
        <v>78.386091681911395</v>
      </c>
      <c r="AM2380">
        <v>91.139156399623204</v>
      </c>
      <c r="AN2380">
        <v>0.999999984412272</v>
      </c>
    </row>
    <row r="2381" spans="1:40" x14ac:dyDescent="0.25">
      <c r="A2381" t="str">
        <f>"20190303170811017"</f>
        <v>20190303170811017</v>
      </c>
      <c r="B2381" t="str">
        <f>"1551604091004784"</f>
        <v>1551604091004784</v>
      </c>
      <c r="C2381" t="s">
        <v>40</v>
      </c>
      <c r="D2381">
        <v>4.7085819999999998</v>
      </c>
      <c r="E2381">
        <v>0.48924980000000001</v>
      </c>
      <c r="F2381" t="s">
        <v>71</v>
      </c>
      <c r="G2381">
        <v>-425.7577</v>
      </c>
      <c r="H2381" s="1">
        <v>3.1047079999999999E-6</v>
      </c>
      <c r="I2381">
        <v>212.7698</v>
      </c>
      <c r="J2381">
        <v>-451.9597</v>
      </c>
      <c r="K2381">
        <v>1.1213630000000001</v>
      </c>
      <c r="L2381">
        <v>213.16309999999999</v>
      </c>
      <c r="M2381">
        <v>0.9973436</v>
      </c>
      <c r="N2381">
        <v>-1.0784729999999999E-2</v>
      </c>
      <c r="O2381">
        <v>-7.2038560000000001E-2</v>
      </c>
      <c r="P2381">
        <v>0.98053699999999999</v>
      </c>
      <c r="Q2381">
        <v>0.18947220000000001</v>
      </c>
      <c r="R2381">
        <v>-5.1453529999999997E-2</v>
      </c>
      <c r="S2381">
        <v>3.0827939999999998</v>
      </c>
      <c r="T2381">
        <v>-0.1295762</v>
      </c>
      <c r="U2381">
        <v>-4.9346920000000002E-2</v>
      </c>
      <c r="V2381">
        <v>-1.949714E-2</v>
      </c>
      <c r="W2381">
        <v>0.2000315</v>
      </c>
      <c r="X2381">
        <v>0.97959540000000001</v>
      </c>
      <c r="Y2381">
        <v>-5.5972840000000003E-2</v>
      </c>
      <c r="Z2381">
        <v>3.7244969999999998E-3</v>
      </c>
      <c r="AA2381">
        <v>0.99842540000000002</v>
      </c>
      <c r="AB2381">
        <v>25</v>
      </c>
      <c r="AC2381">
        <v>26.202000000000002</v>
      </c>
      <c r="AD2381">
        <v>-1.1213598952920001</v>
      </c>
      <c r="AE2381">
        <v>-0.393299999999982</v>
      </c>
      <c r="AF2381">
        <v>-1.4926527205570901</v>
      </c>
      <c r="AG2381">
        <v>-1.1213598952920001</v>
      </c>
      <c r="AH2381">
        <v>26.114430332817001</v>
      </c>
      <c r="AI2381">
        <v>92.454782249886094</v>
      </c>
      <c r="AJ2381">
        <v>93.271361711986003</v>
      </c>
      <c r="AK2381">
        <v>26.181079652422799</v>
      </c>
      <c r="AL2381">
        <v>78.461198267490602</v>
      </c>
      <c r="AM2381">
        <v>91.140222136514694</v>
      </c>
      <c r="AN2381">
        <v>0.99999994358079303</v>
      </c>
    </row>
    <row r="2382" spans="1:40" x14ac:dyDescent="0.25">
      <c r="A2382" t="str">
        <f>"20190303170811040"</f>
        <v>20190303170811040</v>
      </c>
      <c r="B2382" t="str">
        <f>"1551604091035040"</f>
        <v>1551604091035040</v>
      </c>
      <c r="C2382" t="s">
        <v>40</v>
      </c>
      <c r="D2382">
        <v>4.7088700000000001</v>
      </c>
      <c r="E2382">
        <v>0.48906359999999899</v>
      </c>
      <c r="F2382" t="s">
        <v>71</v>
      </c>
      <c r="G2382">
        <v>-425.04039999999998</v>
      </c>
      <c r="H2382" s="1">
        <v>3.2319310000000001E-6</v>
      </c>
      <c r="I2382">
        <v>212.77</v>
      </c>
      <c r="J2382">
        <v>-451.6891</v>
      </c>
      <c r="K2382">
        <v>1.1213799999999901</v>
      </c>
      <c r="L2382">
        <v>213.14429999999999</v>
      </c>
      <c r="M2382">
        <v>0.99739429999999996</v>
      </c>
      <c r="N2382">
        <v>-1.0562459999999999E-2</v>
      </c>
      <c r="O2382">
        <v>-7.1367920000000001E-2</v>
      </c>
      <c r="P2382">
        <v>0.98054189999999997</v>
      </c>
      <c r="Q2382">
        <v>0.1897489</v>
      </c>
      <c r="R2382">
        <v>-5.0329499999999999E-2</v>
      </c>
      <c r="S2382">
        <v>3.082001</v>
      </c>
      <c r="T2382">
        <v>-0.12838519999999901</v>
      </c>
      <c r="U2382">
        <v>-4.501343E-2</v>
      </c>
      <c r="V2382">
        <v>-1.9981289999999999E-2</v>
      </c>
      <c r="W2382">
        <v>0.20008719999999999</v>
      </c>
      <c r="X2382">
        <v>0.97957430000000001</v>
      </c>
      <c r="Y2382">
        <v>-5.6701809999999998E-2</v>
      </c>
      <c r="Z2382">
        <v>3.69513E-3</v>
      </c>
      <c r="AA2382">
        <v>0.9983843</v>
      </c>
      <c r="AB2382">
        <v>25</v>
      </c>
      <c r="AC2382">
        <v>26.648700000000002</v>
      </c>
      <c r="AD2382">
        <v>-1.1213767680690001</v>
      </c>
      <c r="AE2382">
        <v>-0.37429999999997599</v>
      </c>
      <c r="AF2382">
        <v>-1.5259211667697301</v>
      </c>
      <c r="AG2382">
        <v>-1.1213767680690001</v>
      </c>
      <c r="AH2382">
        <v>26.560432375942799</v>
      </c>
      <c r="AI2382">
        <v>92.413606740434403</v>
      </c>
      <c r="AJ2382">
        <v>93.288080634132498</v>
      </c>
      <c r="AK2382">
        <v>26.627851758266001</v>
      </c>
      <c r="AL2382">
        <v>78.457941404089595</v>
      </c>
      <c r="AM2382">
        <v>91.168553365832395</v>
      </c>
      <c r="AN2382">
        <v>0.99999997438719601</v>
      </c>
    </row>
    <row r="2383" spans="1:40" x14ac:dyDescent="0.25">
      <c r="A2383" t="str">
        <f>"20190303170811062"</f>
        <v>20190303170811062</v>
      </c>
      <c r="B2383" t="str">
        <f>"1551604091055536"</f>
        <v>1551604091055536</v>
      </c>
      <c r="C2383" t="s">
        <v>40</v>
      </c>
      <c r="D2383">
        <v>4.7711990000000002</v>
      </c>
      <c r="E2383">
        <v>0.48896650000000003</v>
      </c>
      <c r="F2383" t="s">
        <v>71</v>
      </c>
      <c r="G2383">
        <v>-424.2045</v>
      </c>
      <c r="H2383" s="1">
        <v>3.3791579999999999E-6</v>
      </c>
      <c r="I2383">
        <v>212.78190000000001</v>
      </c>
      <c r="J2383">
        <v>-451.44209999999998</v>
      </c>
      <c r="K2383">
        <v>1.121399</v>
      </c>
      <c r="L2383">
        <v>213.12729999999999</v>
      </c>
      <c r="M2383">
        <v>0.99744390000000005</v>
      </c>
      <c r="N2383">
        <v>-1.0353080000000001E-2</v>
      </c>
      <c r="O2383">
        <v>-7.0700589999999994E-2</v>
      </c>
      <c r="P2383">
        <v>0.98043849999999999</v>
      </c>
      <c r="Q2383">
        <v>0.19055269999999999</v>
      </c>
      <c r="R2383">
        <v>-4.9298719999999997E-2</v>
      </c>
      <c r="S2383">
        <v>3.0818180000000002</v>
      </c>
      <c r="T2383">
        <v>-0.12573869999999901</v>
      </c>
      <c r="U2383">
        <v>-4.0634160000000002E-2</v>
      </c>
      <c r="V2383">
        <v>-2.0363650000000001E-2</v>
      </c>
      <c r="W2383">
        <v>0.20068179999999999</v>
      </c>
      <c r="X2383">
        <v>0.9794448</v>
      </c>
      <c r="Y2383">
        <v>-5.7454680000000001E-2</v>
      </c>
      <c r="Z2383">
        <v>3.617992E-3</v>
      </c>
      <c r="AA2383">
        <v>0.99834160000000005</v>
      </c>
      <c r="AB2383">
        <v>25</v>
      </c>
      <c r="AC2383">
        <v>27.237599999999901</v>
      </c>
      <c r="AD2383">
        <v>-1.121395620842</v>
      </c>
      <c r="AE2383">
        <v>-0.345399999999983</v>
      </c>
      <c r="AF2383">
        <v>-1.5786065698636</v>
      </c>
      <c r="AG2383">
        <v>-1.121395620842</v>
      </c>
      <c r="AH2383">
        <v>27.147844834869399</v>
      </c>
      <c r="AI2383">
        <v>92.361386879150999</v>
      </c>
      <c r="AJ2383">
        <v>93.327916415151506</v>
      </c>
      <c r="AK2383">
        <v>27.216814766225099</v>
      </c>
      <c r="AL2383">
        <v>78.423168214800896</v>
      </c>
      <c r="AM2383">
        <v>91.191065722491402</v>
      </c>
      <c r="AN2383">
        <v>0.99999998966980097</v>
      </c>
    </row>
    <row r="2384" spans="1:40" x14ac:dyDescent="0.25">
      <c r="A2384" t="str">
        <f>"20190303170811083"</f>
        <v>20190303170811083</v>
      </c>
      <c r="B2384" t="str">
        <f>"1551604091075057"</f>
        <v>1551604091075057</v>
      </c>
      <c r="C2384" t="s">
        <v>40</v>
      </c>
      <c r="D2384">
        <v>4.77027</v>
      </c>
      <c r="E2384">
        <v>0.48886950000000001</v>
      </c>
      <c r="F2384" t="s">
        <v>71</v>
      </c>
      <c r="G2384">
        <v>-423.18270000000001</v>
      </c>
      <c r="H2384" s="1">
        <v>3.560077E-6</v>
      </c>
      <c r="I2384">
        <v>212.78569999999999</v>
      </c>
      <c r="J2384">
        <v>-451.20159999999998</v>
      </c>
      <c r="K2384">
        <v>1.12141</v>
      </c>
      <c r="L2384">
        <v>213.11089999999999</v>
      </c>
      <c r="M2384">
        <v>0.99749489999999996</v>
      </c>
      <c r="N2384">
        <v>-1.013463E-2</v>
      </c>
      <c r="O2384">
        <v>-7.0010429999999998E-2</v>
      </c>
      <c r="P2384">
        <v>0.98017849999999995</v>
      </c>
      <c r="Q2384">
        <v>0.19209010000000001</v>
      </c>
      <c r="R2384">
        <v>-4.849593E-2</v>
      </c>
      <c r="S2384">
        <v>3.0817869999999998</v>
      </c>
      <c r="T2384">
        <v>-0.122292</v>
      </c>
      <c r="U2384">
        <v>-3.7246700000000001E-2</v>
      </c>
      <c r="V2384">
        <v>-2.0484550000000001E-2</v>
      </c>
      <c r="W2384">
        <v>0.2020004</v>
      </c>
      <c r="X2384">
        <v>0.97917120000000002</v>
      </c>
      <c r="Y2384">
        <v>-5.7865750000000001E-2</v>
      </c>
      <c r="Z2384">
        <v>3.5061609999999998E-3</v>
      </c>
      <c r="AA2384">
        <v>0.99831820000000004</v>
      </c>
      <c r="AB2384">
        <v>25</v>
      </c>
      <c r="AC2384">
        <v>28.018899999999899</v>
      </c>
      <c r="AD2384">
        <v>-1.1214064399229999</v>
      </c>
      <c r="AE2384">
        <v>-0.32519999999999499</v>
      </c>
      <c r="AF2384">
        <v>-1.63469558380355</v>
      </c>
      <c r="AG2384">
        <v>-1.1214064399229999</v>
      </c>
      <c r="AH2384">
        <v>27.928179449424601</v>
      </c>
      <c r="AI2384">
        <v>92.2954505004315</v>
      </c>
      <c r="AJ2384">
        <v>93.349821491731802</v>
      </c>
      <c r="AK2384">
        <v>27.998446196431502</v>
      </c>
      <c r="AL2384">
        <v>78.346038691526203</v>
      </c>
      <c r="AM2384">
        <v>91.198469768781806</v>
      </c>
      <c r="AN2384">
        <v>1.0000000086491501</v>
      </c>
    </row>
    <row r="2385" spans="1:40" x14ac:dyDescent="0.25">
      <c r="A2385" t="str">
        <f>"20190303170811106"</f>
        <v>20190303170811106</v>
      </c>
      <c r="B2385" t="str">
        <f>"1551604091095552"</f>
        <v>1551604091095552</v>
      </c>
      <c r="C2385" t="s">
        <v>40</v>
      </c>
      <c r="D2385">
        <v>4.8192449999999996</v>
      </c>
      <c r="E2385">
        <v>0.4888343</v>
      </c>
      <c r="F2385" t="s">
        <v>71</v>
      </c>
      <c r="G2385">
        <v>-421.54770000000002</v>
      </c>
      <c r="H2385" s="1">
        <v>3.8502099999999999E-6</v>
      </c>
      <c r="I2385">
        <v>212.78440000000001</v>
      </c>
      <c r="J2385">
        <v>-450.94200000000001</v>
      </c>
      <c r="K2385">
        <v>1.121407</v>
      </c>
      <c r="L2385">
        <v>213.09350000000001</v>
      </c>
      <c r="M2385">
        <v>0.99755139999999998</v>
      </c>
      <c r="N2385">
        <v>-9.8820160000000004E-3</v>
      </c>
      <c r="O2385">
        <v>-6.923725E-2</v>
      </c>
      <c r="P2385">
        <v>0.97992089999999998</v>
      </c>
      <c r="Q2385">
        <v>0.19372439999999999</v>
      </c>
      <c r="R2385">
        <v>-4.7182960000000003E-2</v>
      </c>
      <c r="S2385">
        <v>3.0817869999999998</v>
      </c>
      <c r="T2385">
        <v>-0.11654249999999999</v>
      </c>
      <c r="U2385">
        <v>-3.3935550000000002E-2</v>
      </c>
      <c r="V2385">
        <v>-2.103122E-2</v>
      </c>
      <c r="W2385">
        <v>0.20338200000000001</v>
      </c>
      <c r="X2385">
        <v>0.97887360000000001</v>
      </c>
      <c r="Y2385">
        <v>-5.8172509999999997E-2</v>
      </c>
      <c r="Z2385">
        <v>3.3180699999999998E-3</v>
      </c>
      <c r="AA2385">
        <v>0.99830099999999999</v>
      </c>
      <c r="AB2385">
        <v>26</v>
      </c>
      <c r="AC2385">
        <v>29.394299999999902</v>
      </c>
      <c r="AD2385">
        <v>-1.1214031497900001</v>
      </c>
      <c r="AE2385">
        <v>-0.30909999999999999</v>
      </c>
      <c r="AF2385">
        <v>-1.7244119516727101</v>
      </c>
      <c r="AG2385">
        <v>-1.1214031497900001</v>
      </c>
      <c r="AH2385">
        <v>29.302511979572898</v>
      </c>
      <c r="AI2385">
        <v>92.187850693728393</v>
      </c>
      <c r="AJ2385">
        <v>93.367892429900195</v>
      </c>
      <c r="AK2385">
        <v>29.374620847194699</v>
      </c>
      <c r="AL2385">
        <v>78.265201204125503</v>
      </c>
      <c r="AM2385">
        <v>91.230817525127904</v>
      </c>
      <c r="AN2385">
        <v>1.00000003745782</v>
      </c>
    </row>
    <row r="2386" spans="1:40" x14ac:dyDescent="0.25">
      <c r="A2386" t="str">
        <f>"20190303170811130"</f>
        <v>20190303170811130</v>
      </c>
      <c r="B2386" t="str">
        <f>"1551604091124833"</f>
        <v>1551604091124833</v>
      </c>
      <c r="C2386" t="s">
        <v>40</v>
      </c>
      <c r="D2386">
        <v>4.8206759999999997</v>
      </c>
      <c r="E2386">
        <v>0.48876789999999998</v>
      </c>
      <c r="F2386" t="s">
        <v>71</v>
      </c>
      <c r="G2386">
        <v>-419.7396</v>
      </c>
      <c r="H2386" s="1">
        <v>4.0921869999999998E-6</v>
      </c>
      <c r="I2386">
        <v>212.8</v>
      </c>
      <c r="J2386">
        <v>-450.67430000000002</v>
      </c>
      <c r="K2386">
        <v>1.1213919999999999</v>
      </c>
      <c r="L2386">
        <v>213.07579999999999</v>
      </c>
      <c r="M2386">
        <v>0.99761</v>
      </c>
      <c r="N2386">
        <v>-9.6123479999999997E-3</v>
      </c>
      <c r="O2386">
        <v>-6.8423490000000003E-2</v>
      </c>
      <c r="P2386">
        <v>0.97979439999999995</v>
      </c>
      <c r="Q2386">
        <v>0.1948578</v>
      </c>
      <c r="R2386">
        <v>-4.5091850000000003E-2</v>
      </c>
      <c r="S2386">
        <v>3.082001</v>
      </c>
      <c r="T2386">
        <v>-0.11076610000000001</v>
      </c>
      <c r="U2386">
        <v>-2.8991699999999999E-2</v>
      </c>
      <c r="V2386">
        <v>-2.2318169999999998E-2</v>
      </c>
      <c r="W2386">
        <v>0.20424610000000001</v>
      </c>
      <c r="X2386">
        <v>0.97866509999999995</v>
      </c>
      <c r="Y2386">
        <v>-5.8967430000000001E-2</v>
      </c>
      <c r="Z2386">
        <v>3.1414400000000001E-3</v>
      </c>
      <c r="AA2386">
        <v>0.998255</v>
      </c>
      <c r="AB2386">
        <v>26</v>
      </c>
      <c r="AC2386">
        <v>30.934699999999999</v>
      </c>
      <c r="AD2386">
        <v>-1.121387907813</v>
      </c>
      <c r="AE2386">
        <v>-0.27579999999997501</v>
      </c>
      <c r="AF2386">
        <v>-1.83918784970922</v>
      </c>
      <c r="AG2386">
        <v>-1.121387907813</v>
      </c>
      <c r="AH2386">
        <v>30.840542220066201</v>
      </c>
      <c r="AI2386">
        <v>92.078715239470398</v>
      </c>
      <c r="AJ2386">
        <v>93.412814392208801</v>
      </c>
      <c r="AK2386">
        <v>30.9156783398649</v>
      </c>
      <c r="AL2386">
        <v>78.214629662745395</v>
      </c>
      <c r="AM2386">
        <v>91.306386981183493</v>
      </c>
      <c r="AN2386">
        <v>0.99999997401768403</v>
      </c>
    </row>
    <row r="2387" spans="1:40" x14ac:dyDescent="0.25">
      <c r="A2387" t="str">
        <f>"20190303170811151"</f>
        <v>20190303170811151</v>
      </c>
      <c r="B2387" t="str">
        <f>"1551604091145328"</f>
        <v>1551604091145328</v>
      </c>
      <c r="C2387" t="s">
        <v>40</v>
      </c>
      <c r="D2387">
        <v>4.8497170000000001</v>
      </c>
      <c r="E2387">
        <v>0.48849520000000002</v>
      </c>
      <c r="F2387" t="s">
        <v>71</v>
      </c>
      <c r="G2387">
        <v>-418.30020000000002</v>
      </c>
      <c r="H2387" s="1">
        <v>3.8337149999999996E-6</v>
      </c>
      <c r="I2387">
        <v>212.83600000000001</v>
      </c>
      <c r="J2387">
        <v>-450.4264</v>
      </c>
      <c r="K2387">
        <v>1.1213789999999999</v>
      </c>
      <c r="L2387">
        <v>213.05959999999999</v>
      </c>
      <c r="M2387">
        <v>0.9976642</v>
      </c>
      <c r="N2387">
        <v>-9.3680299999999994E-3</v>
      </c>
      <c r="O2387">
        <v>-6.7662890000000003E-2</v>
      </c>
      <c r="P2387">
        <v>0.97946449999999996</v>
      </c>
      <c r="Q2387">
        <v>0.1968828</v>
      </c>
      <c r="R2387">
        <v>-4.3428759999999997E-2</v>
      </c>
      <c r="S2387">
        <v>3.0820310000000002</v>
      </c>
      <c r="T2387">
        <v>-0.1067568</v>
      </c>
      <c r="U2387">
        <v>-2.2827150000000001E-2</v>
      </c>
      <c r="V2387">
        <v>-2.321463E-2</v>
      </c>
      <c r="W2387">
        <v>0.2060266</v>
      </c>
      <c r="X2387">
        <v>0.978271</v>
      </c>
      <c r="Y2387">
        <v>-6.0207259999999999E-2</v>
      </c>
      <c r="Z2387">
        <v>3.03192E-3</v>
      </c>
      <c r="AA2387">
        <v>0.99818130000000005</v>
      </c>
      <c r="AB2387">
        <v>26</v>
      </c>
      <c r="AC2387">
        <v>32.126199999999898</v>
      </c>
      <c r="AD2387">
        <v>-1.121375166285</v>
      </c>
      <c r="AE2387">
        <v>-0.22360000000000399</v>
      </c>
      <c r="AF2387">
        <v>-1.94838577587589</v>
      </c>
      <c r="AG2387">
        <v>-1.121375166285</v>
      </c>
      <c r="AH2387">
        <v>32.028676843444899</v>
      </c>
      <c r="AI2387">
        <v>92.001500812425803</v>
      </c>
      <c r="AJ2387">
        <v>93.481157925493306</v>
      </c>
      <c r="AK2387">
        <v>32.107473113545097</v>
      </c>
      <c r="AL2387">
        <v>78.110398337637704</v>
      </c>
      <c r="AM2387">
        <v>91.359388896488795</v>
      </c>
      <c r="AN2387">
        <v>1.00000001419729</v>
      </c>
    </row>
    <row r="2388" spans="1:40" x14ac:dyDescent="0.25">
      <c r="A2388" t="str">
        <f>"20190303170811175"</f>
        <v>20190303170811175</v>
      </c>
      <c r="B2388" t="str">
        <f>"1551604091164848"</f>
        <v>1551604091164848</v>
      </c>
      <c r="C2388" t="s">
        <v>40</v>
      </c>
      <c r="D2388">
        <v>4.7863759999999997</v>
      </c>
      <c r="E2388">
        <v>0.470167</v>
      </c>
      <c r="F2388" t="s">
        <v>71</v>
      </c>
      <c r="G2388">
        <v>-415.75110000000001</v>
      </c>
      <c r="H2388" s="1">
        <v>3.3772679999999998E-6</v>
      </c>
      <c r="I2388">
        <v>212.88480000000001</v>
      </c>
      <c r="J2388">
        <v>-450.14389999999997</v>
      </c>
      <c r="K2388">
        <v>1.1213630000000001</v>
      </c>
      <c r="L2388">
        <v>213.04140000000001</v>
      </c>
      <c r="M2388">
        <v>0.99772510000000003</v>
      </c>
      <c r="N2388">
        <v>-9.1081830000000006E-3</v>
      </c>
      <c r="O2388">
        <v>-6.6795629999999995E-2</v>
      </c>
      <c r="P2388">
        <v>0.97888470000000005</v>
      </c>
      <c r="Q2388">
        <v>0.20005400000000001</v>
      </c>
      <c r="R2388">
        <v>-4.19934E-2</v>
      </c>
      <c r="S2388">
        <v>3.0822449999999999</v>
      </c>
      <c r="T2388">
        <v>-9.9677559999999998E-2</v>
      </c>
      <c r="U2388">
        <v>-1.5533450000000001E-2</v>
      </c>
      <c r="V2388">
        <v>-2.376174E-2</v>
      </c>
      <c r="W2388">
        <v>0.20893639999999999</v>
      </c>
      <c r="X2388">
        <v>0.97764050000000002</v>
      </c>
      <c r="Y2388">
        <v>-6.170991E-2</v>
      </c>
      <c r="Z2388">
        <v>2.828293E-3</v>
      </c>
      <c r="AA2388">
        <v>0.99809009999999998</v>
      </c>
      <c r="AB2388">
        <v>26</v>
      </c>
      <c r="AC2388">
        <v>34.392799999999902</v>
      </c>
      <c r="AD2388">
        <v>-1.121359622732</v>
      </c>
      <c r="AE2388">
        <v>-0.15659999999999699</v>
      </c>
      <c r="AF2388">
        <v>-2.1388601443996502</v>
      </c>
      <c r="AG2388">
        <v>-1.121359622732</v>
      </c>
      <c r="AH2388">
        <v>34.289992742993199</v>
      </c>
      <c r="AI2388">
        <v>91.869402365706804</v>
      </c>
      <c r="AJ2388">
        <v>93.569236577842602</v>
      </c>
      <c r="AK2388">
        <v>34.374929417168602</v>
      </c>
      <c r="AL2388">
        <v>77.939970062291096</v>
      </c>
      <c r="AM2388">
        <v>91.392310795892797</v>
      </c>
      <c r="AN2388">
        <v>0.99999999338651802</v>
      </c>
    </row>
    <row r="2389" spans="1:40" x14ac:dyDescent="0.25">
      <c r="A2389" t="str">
        <f>"20190303170811197"</f>
        <v>20190303170811197</v>
      </c>
      <c r="B2389" t="str">
        <f>"1551604091185344"</f>
        <v>1551604091185344</v>
      </c>
      <c r="C2389" t="s">
        <v>40</v>
      </c>
      <c r="D2389">
        <v>4.7823379999999904</v>
      </c>
      <c r="E2389">
        <v>0.47127819999999998</v>
      </c>
      <c r="F2389" t="s">
        <v>53</v>
      </c>
      <c r="G2389">
        <v>-157.25</v>
      </c>
      <c r="H2389">
        <v>3.4265119999999998</v>
      </c>
      <c r="I2389">
        <v>225.7457</v>
      </c>
      <c r="J2389">
        <v>-449.9006</v>
      </c>
      <c r="K2389">
        <v>1.121343</v>
      </c>
      <c r="L2389">
        <v>213.02590000000001</v>
      </c>
      <c r="M2389">
        <v>0.99777660000000001</v>
      </c>
      <c r="N2389">
        <v>-8.8981849999999994E-3</v>
      </c>
      <c r="O2389">
        <v>-6.6051509999999994E-2</v>
      </c>
      <c r="P2389">
        <v>0.97854540000000001</v>
      </c>
      <c r="Q2389">
        <v>0.2019454</v>
      </c>
      <c r="R2389">
        <v>-4.0828389999999999E-2</v>
      </c>
      <c r="S2389">
        <v>3.0654599999999999</v>
      </c>
      <c r="T2389">
        <v>2.412653E-2</v>
      </c>
      <c r="U2389">
        <v>0.1329651</v>
      </c>
      <c r="V2389">
        <v>-2.4172840000000001E-2</v>
      </c>
      <c r="W2389">
        <v>0.21061849999999999</v>
      </c>
      <c r="X2389">
        <v>0.97726939999999995</v>
      </c>
      <c r="Y2389">
        <v>-0.1092231</v>
      </c>
      <c r="Z2389">
        <v>-1.050498E-3</v>
      </c>
      <c r="AA2389">
        <v>0.99401669999999998</v>
      </c>
      <c r="AB2389">
        <v>26</v>
      </c>
      <c r="AC2389">
        <v>292.6506</v>
      </c>
      <c r="AD2389">
        <v>2.3051689999999998</v>
      </c>
      <c r="AE2389">
        <v>12.7197999999999</v>
      </c>
      <c r="AF2389">
        <v>-32.020815642577197</v>
      </c>
      <c r="AG2389">
        <v>2.3051689999999998</v>
      </c>
      <c r="AH2389">
        <v>291.15323755178298</v>
      </c>
      <c r="AI2389">
        <v>89.549096008160205</v>
      </c>
      <c r="AJ2389">
        <v>96.276123996151895</v>
      </c>
      <c r="AK2389">
        <v>292.91782836730698</v>
      </c>
      <c r="AL2389">
        <v>77.841399368588</v>
      </c>
      <c r="AM2389">
        <v>91.416926955079205</v>
      </c>
      <c r="AN2389">
        <v>0.99999997945613694</v>
      </c>
    </row>
    <row r="2390" spans="1:40" x14ac:dyDescent="0.25">
      <c r="A2390" t="str">
        <f>"20190303170811220"</f>
        <v>20190303170811220</v>
      </c>
      <c r="B2390" t="str">
        <f>"1551604091215600"</f>
        <v>1551604091215600</v>
      </c>
      <c r="C2390" t="s">
        <v>40</v>
      </c>
      <c r="D2390">
        <v>4.7766219999999997</v>
      </c>
      <c r="E2390">
        <v>0.47249479999999999</v>
      </c>
      <c r="F2390" t="s">
        <v>53</v>
      </c>
      <c r="G2390">
        <v>-157.25</v>
      </c>
      <c r="H2390">
        <v>4.2783680000000004</v>
      </c>
      <c r="I2390">
        <v>225.25960000000001</v>
      </c>
      <c r="J2390">
        <v>-449.62270000000001</v>
      </c>
      <c r="K2390">
        <v>1.12131</v>
      </c>
      <c r="L2390">
        <v>213.00839999999999</v>
      </c>
      <c r="M2390">
        <v>0.99783409999999995</v>
      </c>
      <c r="N2390">
        <v>-8.6708749999999998E-3</v>
      </c>
      <c r="O2390">
        <v>-6.5207699999999993E-2</v>
      </c>
      <c r="P2390">
        <v>0.97854669999999999</v>
      </c>
      <c r="Q2390">
        <v>0.2021597</v>
      </c>
      <c r="R2390">
        <v>-3.9722550000000002E-2</v>
      </c>
      <c r="S2390">
        <v>3.0643009999999999</v>
      </c>
      <c r="T2390">
        <v>3.3057330000000003E-2</v>
      </c>
      <c r="U2390">
        <v>0.1280975</v>
      </c>
      <c r="V2390">
        <v>-2.4448279999999999E-2</v>
      </c>
      <c r="W2390">
        <v>0.21060960000000001</v>
      </c>
      <c r="X2390">
        <v>0.97726449999999998</v>
      </c>
      <c r="Y2390">
        <v>-0.1068175</v>
      </c>
      <c r="Z2390">
        <v>-1.3808270000000001E-3</v>
      </c>
      <c r="AA2390">
        <v>0.99427770000000004</v>
      </c>
      <c r="AB2390">
        <v>26</v>
      </c>
      <c r="AC2390">
        <v>292.37270000000001</v>
      </c>
      <c r="AD2390">
        <v>3.1570580000000001</v>
      </c>
      <c r="AE2390">
        <v>12.251200000000001</v>
      </c>
      <c r="AF2390">
        <v>-31.287149247106299</v>
      </c>
      <c r="AG2390">
        <v>3.1570580000000001</v>
      </c>
      <c r="AH2390">
        <v>290.917636708472</v>
      </c>
      <c r="AI2390">
        <v>89.381811206743393</v>
      </c>
      <c r="AJ2390">
        <v>96.138362399280993</v>
      </c>
      <c r="AK2390">
        <v>292.61224183425497</v>
      </c>
      <c r="AL2390">
        <v>77.841921409324002</v>
      </c>
      <c r="AM2390">
        <v>91.433072767791899</v>
      </c>
      <c r="AN2390">
        <v>1.0000000124836801</v>
      </c>
    </row>
    <row r="2391" spans="1:40" x14ac:dyDescent="0.25">
      <c r="A2391" t="str">
        <f>"20190303170811241"</f>
        <v>20190303170811241</v>
      </c>
      <c r="B2391" t="str">
        <f>"1551604091235120"</f>
        <v>1551604091235120</v>
      </c>
      <c r="C2391" t="s">
        <v>40</v>
      </c>
      <c r="D2391">
        <v>4.7138150000000003</v>
      </c>
      <c r="E2391">
        <v>0.47340130000000002</v>
      </c>
      <c r="F2391" t="s">
        <v>53</v>
      </c>
      <c r="G2391">
        <v>-168.35059999999999</v>
      </c>
      <c r="H2391">
        <v>4.2446029999999997</v>
      </c>
      <c r="I2391">
        <v>224.20689999999999</v>
      </c>
      <c r="J2391">
        <v>-449.36619999999999</v>
      </c>
      <c r="K2391">
        <v>1.1212869999999999</v>
      </c>
      <c r="L2391">
        <v>212.9924</v>
      </c>
      <c r="M2391">
        <v>0.99788600000000005</v>
      </c>
      <c r="N2391">
        <v>-8.4717049999999995E-3</v>
      </c>
      <c r="O2391">
        <v>-6.4433959999999998E-2</v>
      </c>
      <c r="P2391">
        <v>0.97860320000000001</v>
      </c>
      <c r="Q2391">
        <v>0.20209289999999999</v>
      </c>
      <c r="R2391">
        <v>-3.8657240000000002E-2</v>
      </c>
      <c r="S2391">
        <v>3.0637210000000001</v>
      </c>
      <c r="T2391">
        <v>3.4020660000000001E-2</v>
      </c>
      <c r="U2391">
        <v>0.1219788</v>
      </c>
      <c r="V2391">
        <v>-2.4755869999999999E-2</v>
      </c>
      <c r="W2391">
        <v>0.2103477</v>
      </c>
      <c r="X2391">
        <v>0.97731319999999999</v>
      </c>
      <c r="Y2391">
        <v>-0.1040712</v>
      </c>
      <c r="Z2391">
        <v>-1.3973480000000001E-3</v>
      </c>
      <c r="AA2391">
        <v>0.99456889999999998</v>
      </c>
      <c r="AB2391">
        <v>26</v>
      </c>
      <c r="AC2391">
        <v>281.01560000000001</v>
      </c>
      <c r="AD2391">
        <v>3.1233159999999902</v>
      </c>
      <c r="AE2391">
        <v>11.2144999999999</v>
      </c>
      <c r="AF2391">
        <v>-29.295179193461902</v>
      </c>
      <c r="AG2391">
        <v>3.1233159999999902</v>
      </c>
      <c r="AH2391">
        <v>279.67448638149102</v>
      </c>
      <c r="AI2391">
        <v>89.363646725414497</v>
      </c>
      <c r="AJ2391">
        <v>95.9797782738558</v>
      </c>
      <c r="AK2391">
        <v>281.221942528608</v>
      </c>
      <c r="AL2391">
        <v>77.857271484688098</v>
      </c>
      <c r="AM2391">
        <v>91.451022680188402</v>
      </c>
      <c r="AN2391">
        <v>1.0000000494444901</v>
      </c>
    </row>
    <row r="2392" spans="1:40" x14ac:dyDescent="0.25">
      <c r="A2392" t="str">
        <f>"20190303170811263"</f>
        <v>20190303170811263</v>
      </c>
      <c r="B2392" t="str">
        <f>"1551604091255616"</f>
        <v>1551604091255616</v>
      </c>
      <c r="C2392" t="s">
        <v>40</v>
      </c>
      <c r="D2392">
        <v>4.8348259999999996</v>
      </c>
      <c r="E2392">
        <v>0.47388039999999998</v>
      </c>
      <c r="F2392" t="s">
        <v>53</v>
      </c>
      <c r="G2392">
        <v>-168.35059999999999</v>
      </c>
      <c r="H2392">
        <v>4.3436009999999996</v>
      </c>
      <c r="I2392">
        <v>223.76349999999999</v>
      </c>
      <c r="J2392">
        <v>-449.12029999999999</v>
      </c>
      <c r="K2392">
        <v>1.121278</v>
      </c>
      <c r="L2392">
        <v>212.97730000000001</v>
      </c>
      <c r="M2392">
        <v>0.99793529999999997</v>
      </c>
      <c r="N2392">
        <v>-8.2878190000000001E-3</v>
      </c>
      <c r="O2392">
        <v>-6.3691499999999998E-2</v>
      </c>
      <c r="P2392">
        <v>0.97848060000000003</v>
      </c>
      <c r="Q2392">
        <v>0.202732</v>
      </c>
      <c r="R2392">
        <v>-3.841162E-2</v>
      </c>
      <c r="S2392">
        <v>3.0629879999999998</v>
      </c>
      <c r="T2392">
        <v>3.512287E-2</v>
      </c>
      <c r="U2392">
        <v>0.11740109999999999</v>
      </c>
      <c r="V2392">
        <v>-2.4267360000000002E-2</v>
      </c>
      <c r="W2392">
        <v>0.2108064</v>
      </c>
      <c r="X2392">
        <v>0.97722659999999995</v>
      </c>
      <c r="Y2392">
        <v>-0.10185569999999999</v>
      </c>
      <c r="Z2392">
        <v>-1.4191609999999999E-3</v>
      </c>
      <c r="AA2392">
        <v>0.99479819999999997</v>
      </c>
      <c r="AB2392">
        <v>26</v>
      </c>
      <c r="AC2392">
        <v>280.7697</v>
      </c>
      <c r="AD2392">
        <v>3.2223229999999998</v>
      </c>
      <c r="AE2392">
        <v>10.7861999999999</v>
      </c>
      <c r="AF2392">
        <v>-28.643787425711899</v>
      </c>
      <c r="AG2392">
        <v>3.2223229999999998</v>
      </c>
      <c r="AH2392">
        <v>279.47582606658699</v>
      </c>
      <c r="AI2392">
        <v>89.342857885130599</v>
      </c>
      <c r="AJ2392">
        <v>95.851874883002694</v>
      </c>
      <c r="AK2392">
        <v>280.95833726587801</v>
      </c>
      <c r="AL2392">
        <v>77.830386916415407</v>
      </c>
      <c r="AM2392">
        <v>91.422527388195505</v>
      </c>
      <c r="AN2392">
        <v>1.0000000353949401</v>
      </c>
    </row>
    <row r="2393" spans="1:40" x14ac:dyDescent="0.25">
      <c r="A2393" t="str">
        <f>"20190303170811284"</f>
        <v>20190303170811284</v>
      </c>
      <c r="B2393" t="str">
        <f>"1551604091275136"</f>
        <v>1551604091275136</v>
      </c>
      <c r="C2393" t="s">
        <v>40</v>
      </c>
      <c r="D2393">
        <v>4.778238</v>
      </c>
      <c r="E2393">
        <v>0.47789169999999997</v>
      </c>
      <c r="F2393" t="s">
        <v>53</v>
      </c>
      <c r="G2393">
        <v>-168.35059999999999</v>
      </c>
      <c r="H2393">
        <v>4.5988340000000001</v>
      </c>
      <c r="I2393">
        <v>223.51499999999999</v>
      </c>
      <c r="J2393">
        <v>-448.86680000000001</v>
      </c>
      <c r="K2393">
        <v>1.121265</v>
      </c>
      <c r="L2393">
        <v>212.96199999999999</v>
      </c>
      <c r="M2393">
        <v>0.99798600000000004</v>
      </c>
      <c r="N2393">
        <v>-8.0967829999999998E-3</v>
      </c>
      <c r="O2393">
        <v>-6.2916699999999895E-2</v>
      </c>
      <c r="P2393">
        <v>0.97823130000000003</v>
      </c>
      <c r="Q2393">
        <v>0.20408670000000001</v>
      </c>
      <c r="R2393">
        <v>-3.7585750000000001E-2</v>
      </c>
      <c r="S2393">
        <v>3.0626220000000002</v>
      </c>
      <c r="T2393">
        <v>3.7933590000000003E-2</v>
      </c>
      <c r="U2393">
        <v>0.11494450000000001</v>
      </c>
      <c r="V2393">
        <v>-2.4321659999999998E-2</v>
      </c>
      <c r="W2393">
        <v>0.21197150000000001</v>
      </c>
      <c r="X2393">
        <v>0.97697319999999999</v>
      </c>
      <c r="Y2393">
        <v>-0.1002893</v>
      </c>
      <c r="Z2393">
        <v>-1.5028299999999999E-3</v>
      </c>
      <c r="AA2393">
        <v>0.99495719999999999</v>
      </c>
      <c r="AB2393">
        <v>26</v>
      </c>
      <c r="AC2393">
        <v>280.51620000000003</v>
      </c>
      <c r="AD2393">
        <v>3.4775689999999999</v>
      </c>
      <c r="AE2393">
        <v>10.5529999999999</v>
      </c>
      <c r="AF2393">
        <v>-28.177497499654301</v>
      </c>
      <c r="AG2393">
        <v>3.4775689999999999</v>
      </c>
      <c r="AH2393">
        <v>279.25356130333103</v>
      </c>
      <c r="AI2393">
        <v>89.290131733542196</v>
      </c>
      <c r="AJ2393">
        <v>95.761809379239907</v>
      </c>
      <c r="AK2393">
        <v>280.69309993672101</v>
      </c>
      <c r="AL2393">
        <v>77.762088329455693</v>
      </c>
      <c r="AM2393">
        <v>91.426078722483396</v>
      </c>
      <c r="AN2393">
        <v>1.0000000467378201</v>
      </c>
    </row>
    <row r="2394" spans="1:40" x14ac:dyDescent="0.25">
      <c r="A2394" t="str">
        <f>"20190303170811307"</f>
        <v>20190303170811307</v>
      </c>
      <c r="B2394" t="str">
        <f>"1551604091295632"</f>
        <v>1551604091295632</v>
      </c>
      <c r="C2394" t="s">
        <v>40</v>
      </c>
      <c r="D2394">
        <v>4.7735000000000003</v>
      </c>
      <c r="E2394">
        <v>0.47788180000000002</v>
      </c>
      <c r="F2394" t="s">
        <v>53</v>
      </c>
      <c r="G2394">
        <v>-157.8382</v>
      </c>
      <c r="H2394">
        <v>5.912534</v>
      </c>
      <c r="I2394">
        <v>221.09299999999999</v>
      </c>
      <c r="J2394">
        <v>-448.6053</v>
      </c>
      <c r="K2394">
        <v>1.121246</v>
      </c>
      <c r="L2394">
        <v>212.94630000000001</v>
      </c>
      <c r="M2394">
        <v>0.99803900000000001</v>
      </c>
      <c r="N2394">
        <v>-7.894379E-3</v>
      </c>
      <c r="O2394">
        <v>-6.2096749999999999E-2</v>
      </c>
      <c r="P2394">
        <v>0.97814460000000003</v>
      </c>
      <c r="Q2394">
        <v>0.20464950000000001</v>
      </c>
      <c r="R2394">
        <v>-3.676604E-2</v>
      </c>
      <c r="S2394">
        <v>3.0595400000000001</v>
      </c>
      <c r="T2394">
        <v>5.0370449999999997E-2</v>
      </c>
      <c r="U2394">
        <v>8.5479739999999999E-2</v>
      </c>
      <c r="V2394">
        <v>-2.4338789999999999E-2</v>
      </c>
      <c r="W2394">
        <v>0.212335</v>
      </c>
      <c r="X2394">
        <v>0.97689380000000003</v>
      </c>
      <c r="Y2394">
        <v>-8.9923680000000006E-2</v>
      </c>
      <c r="Z2394">
        <v>-1.8969900000000001E-3</v>
      </c>
      <c r="AA2394">
        <v>0.99594680000000002</v>
      </c>
      <c r="AB2394">
        <v>26</v>
      </c>
      <c r="AC2394">
        <v>290.76710000000003</v>
      </c>
      <c r="AD2394">
        <v>4.7912879999999998</v>
      </c>
      <c r="AE2394">
        <v>8.1466999999999796</v>
      </c>
      <c r="AF2394">
        <v>-26.1801269426104</v>
      </c>
      <c r="AG2394">
        <v>4.7912879999999998</v>
      </c>
      <c r="AH2394">
        <v>289.62144588008198</v>
      </c>
      <c r="AI2394">
        <v>89.056074388212906</v>
      </c>
      <c r="AJ2394">
        <v>95.165173790044605</v>
      </c>
      <c r="AK2394">
        <v>290.84177382401401</v>
      </c>
      <c r="AL2394">
        <v>77.740775749521404</v>
      </c>
      <c r="AM2394">
        <v>91.427198651960595</v>
      </c>
      <c r="AN2394">
        <v>1.00000001270105</v>
      </c>
    </row>
    <row r="2395" spans="1:40" x14ac:dyDescent="0.25">
      <c r="A2395" t="str">
        <f>"20190303170811330"</f>
        <v>20190303170811330</v>
      </c>
      <c r="B2395" t="str">
        <f>"1551604091324911"</f>
        <v>1551604091324911</v>
      </c>
      <c r="C2395" t="s">
        <v>40</v>
      </c>
      <c r="D2395">
        <v>4.716183</v>
      </c>
      <c r="E2395">
        <v>0.47809499999999999</v>
      </c>
      <c r="F2395" t="s">
        <v>53</v>
      </c>
      <c r="G2395">
        <v>-157.8382</v>
      </c>
      <c r="H2395">
        <v>5.6858420000000001</v>
      </c>
      <c r="I2395">
        <v>221.3912</v>
      </c>
      <c r="J2395">
        <v>-448.33269999999999</v>
      </c>
      <c r="K2395">
        <v>1.1212260000000001</v>
      </c>
      <c r="L2395">
        <v>212.93029999999999</v>
      </c>
      <c r="M2395">
        <v>0.99809570000000003</v>
      </c>
      <c r="N2395">
        <v>-7.6759649999999999E-3</v>
      </c>
      <c r="O2395">
        <v>-6.1207449999999997E-2</v>
      </c>
      <c r="P2395">
        <v>0.97832410000000003</v>
      </c>
      <c r="Q2395">
        <v>0.20385539999999999</v>
      </c>
      <c r="R2395">
        <v>-3.6406239999999999E-2</v>
      </c>
      <c r="S2395">
        <v>3.060333</v>
      </c>
      <c r="T2395">
        <v>4.8043130000000003E-2</v>
      </c>
      <c r="U2395">
        <v>8.8882450000000002E-2</v>
      </c>
      <c r="V2395">
        <v>-2.3848950000000001E-2</v>
      </c>
      <c r="W2395">
        <v>0.2113275</v>
      </c>
      <c r="X2395">
        <v>0.97712429999999995</v>
      </c>
      <c r="Y2395">
        <v>-9.0137789999999995E-2</v>
      </c>
      <c r="Z2395">
        <v>-1.791476E-3</v>
      </c>
      <c r="AA2395">
        <v>0.99592769999999997</v>
      </c>
      <c r="AB2395">
        <v>26</v>
      </c>
      <c r="AC2395">
        <v>290.49450000000002</v>
      </c>
      <c r="AD2395">
        <v>4.564616</v>
      </c>
      <c r="AE2395">
        <v>8.4609000000000094</v>
      </c>
      <c r="AF2395">
        <v>-26.219515925465601</v>
      </c>
      <c r="AG2395">
        <v>4.564616</v>
      </c>
      <c r="AH2395">
        <v>289.36054036533</v>
      </c>
      <c r="AI2395">
        <v>89.099930108231604</v>
      </c>
      <c r="AJ2395">
        <v>95.177541731157405</v>
      </c>
      <c r="AK2395">
        <v>290.58186635629698</v>
      </c>
      <c r="AL2395">
        <v>77.799841409616604</v>
      </c>
      <c r="AM2395">
        <v>91.398156754914496</v>
      </c>
      <c r="AN2395">
        <v>0.99999999116142102</v>
      </c>
    </row>
    <row r="2396" spans="1:40" x14ac:dyDescent="0.25">
      <c r="A2396" t="str">
        <f>"20190303170811352"</f>
        <v>20190303170811352</v>
      </c>
      <c r="B2396" t="str">
        <f>"1551604091345408"</f>
        <v>1551604091345408</v>
      </c>
      <c r="C2396" t="s">
        <v>40</v>
      </c>
      <c r="D2396">
        <v>4.6776330000000002</v>
      </c>
      <c r="E2396">
        <v>0.47811769999999998</v>
      </c>
      <c r="F2396" t="s">
        <v>53</v>
      </c>
      <c r="G2396">
        <v>-157.8382</v>
      </c>
      <c r="H2396">
        <v>5.3617939999999997</v>
      </c>
      <c r="I2396">
        <v>221.36969999999999</v>
      </c>
      <c r="J2396">
        <v>-448.07709999999997</v>
      </c>
      <c r="K2396">
        <v>1.1212279999999999</v>
      </c>
      <c r="L2396">
        <v>212.91550000000001</v>
      </c>
      <c r="M2396">
        <v>0.99815069999999995</v>
      </c>
      <c r="N2396">
        <v>-7.4671E-3</v>
      </c>
      <c r="O2396">
        <v>-6.0329969999999997E-2</v>
      </c>
      <c r="P2396">
        <v>0.97856829999999995</v>
      </c>
      <c r="Q2396">
        <v>0.2027533</v>
      </c>
      <c r="R2396">
        <v>-3.5997000000000001E-2</v>
      </c>
      <c r="S2396">
        <v>3.060486</v>
      </c>
      <c r="T2396">
        <v>4.4676779999999999E-2</v>
      </c>
      <c r="U2396">
        <v>8.8912959999999999E-2</v>
      </c>
      <c r="V2396">
        <v>-2.3426570000000001E-2</v>
      </c>
      <c r="W2396">
        <v>0.2100223</v>
      </c>
      <c r="X2396">
        <v>0.9774159</v>
      </c>
      <c r="Y2396">
        <v>-8.9273649999999996E-2</v>
      </c>
      <c r="Z2396">
        <v>-1.6487660000000001E-3</v>
      </c>
      <c r="AA2396">
        <v>0.99600580000000005</v>
      </c>
      <c r="AB2396">
        <v>27</v>
      </c>
      <c r="AC2396">
        <v>290.23889999999898</v>
      </c>
      <c r="AD2396">
        <v>4.2405660000000003</v>
      </c>
      <c r="AE2396">
        <v>8.4541999999999806</v>
      </c>
      <c r="AF2396">
        <v>-25.943856022085601</v>
      </c>
      <c r="AG2396">
        <v>4.2405660000000003</v>
      </c>
      <c r="AH2396">
        <v>289.13847133962901</v>
      </c>
      <c r="AI2396">
        <v>89.163109940234904</v>
      </c>
      <c r="AJ2396">
        <v>95.1273126693672</v>
      </c>
      <c r="AK2396">
        <v>290.33105530396199</v>
      </c>
      <c r="AL2396">
        <v>77.876340990881602</v>
      </c>
      <c r="AM2396">
        <v>91.372994502103197</v>
      </c>
      <c r="AN2396">
        <v>1.0000000061260299</v>
      </c>
    </row>
    <row r="2397" spans="1:40" x14ac:dyDescent="0.25">
      <c r="A2397" t="str">
        <f>"20190303170811374"</f>
        <v>20190303170811374</v>
      </c>
      <c r="B2397" t="str">
        <f>"1551604091364928"</f>
        <v>1551604091364928</v>
      </c>
      <c r="C2397" t="s">
        <v>40</v>
      </c>
      <c r="D2397">
        <v>4.6873300000000002</v>
      </c>
      <c r="E2397">
        <v>0.4782979</v>
      </c>
      <c r="F2397" t="s">
        <v>53</v>
      </c>
      <c r="G2397">
        <v>-157.8382</v>
      </c>
      <c r="H2397">
        <v>4.9562059999999999</v>
      </c>
      <c r="I2397">
        <v>221.45849999999999</v>
      </c>
      <c r="J2397">
        <v>-447.79939999999999</v>
      </c>
      <c r="K2397">
        <v>1.1212329999999999</v>
      </c>
      <c r="L2397">
        <v>212.8998</v>
      </c>
      <c r="M2397">
        <v>0.99821190000000004</v>
      </c>
      <c r="N2397">
        <v>-7.2479279999999998E-3</v>
      </c>
      <c r="O2397">
        <v>-5.9333030000000002E-2</v>
      </c>
      <c r="P2397">
        <v>0.97865849999999999</v>
      </c>
      <c r="Q2397">
        <v>0.20237920000000001</v>
      </c>
      <c r="R2397">
        <v>-3.5643399999999999E-2</v>
      </c>
      <c r="S2397">
        <v>3.0606689999999999</v>
      </c>
      <c r="T2397">
        <v>4.0441749999999999E-2</v>
      </c>
      <c r="U2397">
        <v>9.0087890000000004E-2</v>
      </c>
      <c r="V2397">
        <v>-2.2825499999999999E-2</v>
      </c>
      <c r="W2397">
        <v>0.20943339999999999</v>
      </c>
      <c r="X2397">
        <v>0.97755650000000005</v>
      </c>
      <c r="Y2397">
        <v>-8.8662489999999997E-2</v>
      </c>
      <c r="Z2397">
        <v>-1.4778549999999999E-3</v>
      </c>
      <c r="AA2397">
        <v>0.99606059999999996</v>
      </c>
      <c r="AB2397">
        <v>27</v>
      </c>
      <c r="AC2397">
        <v>289.96120000000002</v>
      </c>
      <c r="AD2397">
        <v>3.8349730000000002</v>
      </c>
      <c r="AE2397">
        <v>8.5586999999999804</v>
      </c>
      <c r="AF2397">
        <v>-25.7438506332518</v>
      </c>
      <c r="AG2397">
        <v>3.8349730000000002</v>
      </c>
      <c r="AH2397">
        <v>288.89201560291798</v>
      </c>
      <c r="AI2397">
        <v>89.242458310771397</v>
      </c>
      <c r="AJ2397">
        <v>95.092311450226802</v>
      </c>
      <c r="AK2397">
        <v>290.062147724336</v>
      </c>
      <c r="AL2397">
        <v>77.910850274658401</v>
      </c>
      <c r="AM2397">
        <v>91.337587362682697</v>
      </c>
      <c r="AN2397">
        <v>1.0000000315890201</v>
      </c>
    </row>
    <row r="2398" spans="1:40" x14ac:dyDescent="0.25">
      <c r="A2398" t="str">
        <f>"20190303170811399"</f>
        <v>20190303170811399</v>
      </c>
      <c r="B2398" t="str">
        <f>"1551604091385424"</f>
        <v>1551604091385424</v>
      </c>
      <c r="C2398" t="s">
        <v>40</v>
      </c>
      <c r="D2398">
        <v>4.6592500000000001</v>
      </c>
      <c r="E2398">
        <v>0.47838219999999998</v>
      </c>
      <c r="F2398" t="s">
        <v>53</v>
      </c>
      <c r="G2398">
        <v>-157.8382</v>
      </c>
      <c r="H2398">
        <v>4.8322659999999997</v>
      </c>
      <c r="I2398">
        <v>221.3871</v>
      </c>
      <c r="J2398">
        <v>-447.50560000000002</v>
      </c>
      <c r="K2398">
        <v>1.121251</v>
      </c>
      <c r="L2398">
        <v>212.8835</v>
      </c>
      <c r="M2398">
        <v>0.99827920000000003</v>
      </c>
      <c r="N2398">
        <v>-7.0241990000000001E-3</v>
      </c>
      <c r="O2398">
        <v>-5.8220689999999999E-2</v>
      </c>
      <c r="P2398">
        <v>0.97855429999999999</v>
      </c>
      <c r="Q2398">
        <v>0.20300380000000001</v>
      </c>
      <c r="R2398">
        <v>-3.4943349999999998E-2</v>
      </c>
      <c r="S2398">
        <v>3.0605769999999999</v>
      </c>
      <c r="T2398">
        <v>3.9170980000000001E-2</v>
      </c>
      <c r="U2398">
        <v>8.9584349999999993E-2</v>
      </c>
      <c r="V2398">
        <v>-2.2449199999999999E-2</v>
      </c>
      <c r="W2398">
        <v>0.20983669999999999</v>
      </c>
      <c r="X2398">
        <v>0.97747870000000003</v>
      </c>
      <c r="Y2398">
        <v>-8.7390789999999996E-2</v>
      </c>
      <c r="Z2398">
        <v>-1.4058199999999999E-3</v>
      </c>
      <c r="AA2398">
        <v>0.99617310000000003</v>
      </c>
      <c r="AB2398">
        <v>27</v>
      </c>
      <c r="AC2398">
        <v>289.66739999999999</v>
      </c>
      <c r="AD2398">
        <v>3.7110150000000002</v>
      </c>
      <c r="AE2398">
        <v>8.5036000000000005</v>
      </c>
      <c r="AF2398">
        <v>-25.350066857549798</v>
      </c>
      <c r="AG2398">
        <v>3.7110150000000002</v>
      </c>
      <c r="AH2398">
        <v>288.63359377425797</v>
      </c>
      <c r="AI2398">
        <v>89.266202662612599</v>
      </c>
      <c r="AJ2398">
        <v>95.019285541131694</v>
      </c>
      <c r="AK2398">
        <v>289.76844027094398</v>
      </c>
      <c r="AL2398">
        <v>77.887217477148695</v>
      </c>
      <c r="AM2398">
        <v>91.315648452230405</v>
      </c>
      <c r="AN2398">
        <v>1.00000000810061</v>
      </c>
    </row>
    <row r="2399" spans="1:40" x14ac:dyDescent="0.25">
      <c r="A2399" t="str">
        <f>"20190303170811443"</f>
        <v>20190303170811443</v>
      </c>
      <c r="B2399" t="str">
        <f>"1551604091435200"</f>
        <v>1551604091435200</v>
      </c>
      <c r="C2399" t="s">
        <v>40</v>
      </c>
      <c r="D2399">
        <v>4.6696619999999998</v>
      </c>
      <c r="E2399">
        <v>0.47898540000000001</v>
      </c>
      <c r="F2399" t="s">
        <v>53</v>
      </c>
      <c r="G2399">
        <v>-157.8382</v>
      </c>
      <c r="H2399">
        <v>4.9866720000000004</v>
      </c>
      <c r="I2399">
        <v>221.48500000000001</v>
      </c>
      <c r="J2399">
        <v>-446.96379999999999</v>
      </c>
      <c r="K2399">
        <v>1.1212740000000001</v>
      </c>
      <c r="L2399">
        <v>212.8545</v>
      </c>
      <c r="M2399">
        <v>0.99840859999999998</v>
      </c>
      <c r="N2399">
        <v>-6.6327959999999998E-3</v>
      </c>
      <c r="O2399">
        <v>-5.6001290000000002E-2</v>
      </c>
      <c r="P2399">
        <v>0.97863920000000004</v>
      </c>
      <c r="Q2399">
        <v>0.2028066</v>
      </c>
      <c r="R2399">
        <v>-3.3688059999999999E-2</v>
      </c>
      <c r="S2399">
        <v>3.0605470000000001</v>
      </c>
      <c r="T2399">
        <v>4.0841580000000002E-2</v>
      </c>
      <c r="U2399">
        <v>9.088135E-2</v>
      </c>
      <c r="V2399">
        <v>-2.1572879999999999E-2</v>
      </c>
      <c r="W2399">
        <v>0.20925489999999999</v>
      </c>
      <c r="X2399">
        <v>0.97762320000000003</v>
      </c>
      <c r="Y2399">
        <v>-8.5597670000000001E-2</v>
      </c>
      <c r="Z2399">
        <v>-1.4054180000000001E-3</v>
      </c>
      <c r="AA2399">
        <v>0.99632880000000001</v>
      </c>
      <c r="AB2399">
        <v>27</v>
      </c>
      <c r="AC2399">
        <v>289.12560000000002</v>
      </c>
      <c r="AD2399">
        <v>3.8653979999999999</v>
      </c>
      <c r="AE2399">
        <v>8.6305000000000103</v>
      </c>
      <c r="AF2399">
        <v>-24.804289811063398</v>
      </c>
      <c r="AG2399">
        <v>3.8653979999999999</v>
      </c>
      <c r="AH2399">
        <v>288.13706931224601</v>
      </c>
      <c r="AI2399">
        <v>89.234247204267305</v>
      </c>
      <c r="AJ2399">
        <v>94.920179251411199</v>
      </c>
      <c r="AK2399">
        <v>289.22856844817397</v>
      </c>
      <c r="AL2399">
        <v>77.9213096921128</v>
      </c>
      <c r="AM2399">
        <v>91.264121402390302</v>
      </c>
      <c r="AN2399">
        <v>1.0000000617518701</v>
      </c>
    </row>
    <row r="2400" spans="1:40" x14ac:dyDescent="0.25">
      <c r="A2400" t="str">
        <f>"20190303170811465"</f>
        <v>20190303170811465</v>
      </c>
      <c r="B2400" t="str">
        <f>"1551604091454720"</f>
        <v>1551604091454720</v>
      </c>
      <c r="C2400" t="s">
        <v>40</v>
      </c>
      <c r="D2400">
        <v>4.6842370000000004</v>
      </c>
      <c r="E2400">
        <v>0.47861199999999998</v>
      </c>
      <c r="F2400" t="s">
        <v>53</v>
      </c>
      <c r="G2400">
        <v>-157.8382</v>
      </c>
      <c r="H2400">
        <v>5.1984339999999998</v>
      </c>
      <c r="I2400">
        <v>221.4179</v>
      </c>
      <c r="J2400">
        <v>-446.70710000000003</v>
      </c>
      <c r="K2400">
        <v>1.1212819999999999</v>
      </c>
      <c r="L2400">
        <v>212.84119999999999</v>
      </c>
      <c r="M2400">
        <v>0.99847220000000003</v>
      </c>
      <c r="N2400">
        <v>-6.4575600000000002E-3</v>
      </c>
      <c r="O2400">
        <v>-5.4881109999999997E-2</v>
      </c>
      <c r="P2400">
        <v>0.978823</v>
      </c>
      <c r="Q2400">
        <v>0.202046</v>
      </c>
      <c r="R2400">
        <v>-3.2916099999999997E-2</v>
      </c>
      <c r="S2400">
        <v>3.0596619999999999</v>
      </c>
      <c r="T2400">
        <v>4.314697E-2</v>
      </c>
      <c r="U2400">
        <v>9.0621950000000007E-2</v>
      </c>
      <c r="V2400">
        <v>-2.127327E-2</v>
      </c>
      <c r="W2400">
        <v>0.20832220000000001</v>
      </c>
      <c r="X2400">
        <v>0.9778289</v>
      </c>
      <c r="Y2400">
        <v>-8.4402740000000004E-2</v>
      </c>
      <c r="Z2400">
        <v>-1.4503140000000001E-3</v>
      </c>
      <c r="AA2400">
        <v>0.9964307</v>
      </c>
      <c r="AB2400">
        <v>27</v>
      </c>
      <c r="AC2400">
        <v>288.8689</v>
      </c>
      <c r="AD2400">
        <v>4.0771519999999999</v>
      </c>
      <c r="AE2400">
        <v>8.5767000000000095</v>
      </c>
      <c r="AF2400">
        <v>-24.412688002584801</v>
      </c>
      <c r="AG2400">
        <v>4.0771519999999999</v>
      </c>
      <c r="AH2400">
        <v>287.90551474550102</v>
      </c>
      <c r="AI2400">
        <v>89.191565166193499</v>
      </c>
      <c r="AJ2400">
        <v>94.846749939413399</v>
      </c>
      <c r="AK2400">
        <v>288.96745132421802</v>
      </c>
      <c r="AL2400">
        <v>77.975953319574799</v>
      </c>
      <c r="AM2400">
        <v>91.246308369927306</v>
      </c>
      <c r="AN2400">
        <v>1.00000002435227</v>
      </c>
    </row>
    <row r="2401" spans="1:40" x14ac:dyDescent="0.25">
      <c r="A2401" t="str">
        <f>"20190303170811485"</f>
        <v>20190303170811485</v>
      </c>
      <c r="B2401" t="str">
        <f>"1551604091475217"</f>
        <v>1551604091475217</v>
      </c>
      <c r="C2401" t="s">
        <v>40</v>
      </c>
      <c r="D2401">
        <v>4.6651499999999997</v>
      </c>
      <c r="E2401">
        <v>0.47863879999999998</v>
      </c>
      <c r="F2401" t="s">
        <v>53</v>
      </c>
      <c r="G2401">
        <v>-157.25</v>
      </c>
      <c r="H2401">
        <v>4.9588099999999997</v>
      </c>
      <c r="I2401">
        <v>221.8604</v>
      </c>
      <c r="J2401">
        <v>-446.45280000000002</v>
      </c>
      <c r="K2401">
        <v>1.1212979999999999</v>
      </c>
      <c r="L2401">
        <v>212.82839999999999</v>
      </c>
      <c r="M2401">
        <v>0.99853519999999896</v>
      </c>
      <c r="N2401">
        <v>-6.2937959999999999E-3</v>
      </c>
      <c r="O2401">
        <v>-5.3739429999999998E-2</v>
      </c>
      <c r="P2401">
        <v>0.97857099999999997</v>
      </c>
      <c r="Q2401">
        <v>0.2033739</v>
      </c>
      <c r="R2401">
        <v>-3.2218169999999997E-2</v>
      </c>
      <c r="S2401">
        <v>3.0596920000000001</v>
      </c>
      <c r="T2401">
        <v>4.0565009999999999E-2</v>
      </c>
      <c r="U2401">
        <v>9.5336909999999997E-2</v>
      </c>
      <c r="V2401">
        <v>-2.0857179999999999E-2</v>
      </c>
      <c r="W2401">
        <v>0.20948749999999999</v>
      </c>
      <c r="X2401">
        <v>0.97758880000000004</v>
      </c>
      <c r="Y2401">
        <v>-8.4799159999999998E-2</v>
      </c>
      <c r="Z2401">
        <v>-1.3453740000000001E-3</v>
      </c>
      <c r="AA2401">
        <v>0.99639710000000004</v>
      </c>
      <c r="AB2401">
        <v>27</v>
      </c>
      <c r="AC2401">
        <v>289.20280000000002</v>
      </c>
      <c r="AD2401">
        <v>3.8375119999999998</v>
      </c>
      <c r="AE2401">
        <v>9.032</v>
      </c>
      <c r="AF2401">
        <v>-24.5565294324572</v>
      </c>
      <c r="AG2401">
        <v>3.8375119999999998</v>
      </c>
      <c r="AH2401">
        <v>288.24879563810498</v>
      </c>
      <c r="AI2401">
        <v>89.240007846933807</v>
      </c>
      <c r="AJ2401">
        <v>94.869392126737793</v>
      </c>
      <c r="AK2401">
        <v>289.318367586531</v>
      </c>
      <c r="AL2401">
        <v>77.907679229874304</v>
      </c>
      <c r="AM2401">
        <v>91.222238953511194</v>
      </c>
      <c r="AN2401">
        <v>0.99999994824961902</v>
      </c>
    </row>
    <row r="2402" spans="1:40" x14ac:dyDescent="0.25">
      <c r="A2402" t="str">
        <f>"20190303170811508"</f>
        <v>20190303170811508</v>
      </c>
      <c r="B2402" t="str">
        <f>"1551604091494736"</f>
        <v>1551604091494736</v>
      </c>
      <c r="C2402" t="s">
        <v>40</v>
      </c>
      <c r="D2402">
        <v>4.6654220000000004</v>
      </c>
      <c r="E2402">
        <v>0.47988069999999999</v>
      </c>
      <c r="F2402" t="s">
        <v>53</v>
      </c>
      <c r="G2402">
        <v>-157.25</v>
      </c>
      <c r="H2402">
        <v>5.5014459999999996</v>
      </c>
      <c r="I2402">
        <v>221.93190000000001</v>
      </c>
      <c r="J2402">
        <v>-446.17200000000003</v>
      </c>
      <c r="K2402">
        <v>1.1213139999999999</v>
      </c>
      <c r="L2402">
        <v>212.81460000000001</v>
      </c>
      <c r="M2402">
        <v>0.99860479999999996</v>
      </c>
      <c r="N2402">
        <v>-6.1264830000000003E-3</v>
      </c>
      <c r="O2402">
        <v>-5.2450320000000002E-2</v>
      </c>
      <c r="P2402">
        <v>0.97840890000000003</v>
      </c>
      <c r="Q2402">
        <v>0.20431099999999999</v>
      </c>
      <c r="R2402">
        <v>-3.1198389999999999E-2</v>
      </c>
      <c r="S2402">
        <v>3.0592350000000001</v>
      </c>
      <c r="T2402">
        <v>4.6334510000000002E-2</v>
      </c>
      <c r="U2402">
        <v>9.6298220000000004E-2</v>
      </c>
      <c r="V2402">
        <v>-2.0621540000000001E-2</v>
      </c>
      <c r="W2402">
        <v>0.21025859999999999</v>
      </c>
      <c r="X2402">
        <v>0.97742830000000003</v>
      </c>
      <c r="Y2402">
        <v>-8.382676E-2</v>
      </c>
      <c r="Z2402">
        <v>-1.4930879999999901E-3</v>
      </c>
      <c r="AA2402">
        <v>0.99647920000000001</v>
      </c>
      <c r="AB2402">
        <v>27</v>
      </c>
      <c r="AC2402">
        <v>288.92200000000003</v>
      </c>
      <c r="AD2402">
        <v>4.3801319999999997</v>
      </c>
      <c r="AE2402">
        <v>9.1173000000000002</v>
      </c>
      <c r="AF2402">
        <v>-24.253516034524299</v>
      </c>
      <c r="AG2402">
        <v>4.3801319999999997</v>
      </c>
      <c r="AH2402">
        <v>287.979958159972</v>
      </c>
      <c r="AI2402">
        <v>89.131680517669693</v>
      </c>
      <c r="AJ2402">
        <v>94.814059046254499</v>
      </c>
      <c r="AK2402">
        <v>289.03265368846098</v>
      </c>
      <c r="AL2402">
        <v>77.862492760946594</v>
      </c>
      <c r="AM2402">
        <v>91.208632848716903</v>
      </c>
      <c r="AN2402">
        <v>1.0000000042134101</v>
      </c>
    </row>
    <row r="2403" spans="1:40" x14ac:dyDescent="0.25">
      <c r="A2403" t="str">
        <f>"20190303170811532"</f>
        <v>20190303170811532</v>
      </c>
      <c r="B2403" t="str">
        <f>"1551604091524993"</f>
        <v>1551604091524993</v>
      </c>
      <c r="C2403" t="s">
        <v>40</v>
      </c>
      <c r="D2403">
        <v>4.6107149999999999</v>
      </c>
      <c r="E2403">
        <v>0.53101030000000005</v>
      </c>
      <c r="F2403" t="s">
        <v>53</v>
      </c>
      <c r="G2403">
        <v>-157.8382</v>
      </c>
      <c r="H2403">
        <v>5.798959</v>
      </c>
      <c r="I2403">
        <v>221.2638</v>
      </c>
      <c r="J2403">
        <v>-445.8777</v>
      </c>
      <c r="K2403">
        <v>1.1213219999999999</v>
      </c>
      <c r="L2403">
        <v>212.8005</v>
      </c>
      <c r="M2403">
        <v>0.99867709999999998</v>
      </c>
      <c r="N2403">
        <v>-5.9652809999999898E-3</v>
      </c>
      <c r="O2403">
        <v>-5.107569E-2</v>
      </c>
      <c r="P2403">
        <v>0.9785239</v>
      </c>
      <c r="Q2403">
        <v>0.20389589999999999</v>
      </c>
      <c r="R2403">
        <v>-3.0297959999999999E-2</v>
      </c>
      <c r="S2403">
        <v>3.0586850000000001</v>
      </c>
      <c r="T2403">
        <v>4.9621699999999998E-2</v>
      </c>
      <c r="U2403">
        <v>8.9630130000000002E-2</v>
      </c>
      <c r="V2403">
        <v>-2.0190630000000001E-2</v>
      </c>
      <c r="W2403">
        <v>0.2096866</v>
      </c>
      <c r="X2403">
        <v>0.97756019999999999</v>
      </c>
      <c r="Y2403">
        <v>-8.0288120000000004E-2</v>
      </c>
      <c r="Z2403">
        <v>-1.5444460000000001E-3</v>
      </c>
      <c r="AA2403">
        <v>0.9967705</v>
      </c>
      <c r="AB2403">
        <v>28</v>
      </c>
      <c r="AC2403">
        <v>288.03949999999998</v>
      </c>
      <c r="AD2403">
        <v>4.6776369999999998</v>
      </c>
      <c r="AE2403">
        <v>8.4633000000000003</v>
      </c>
      <c r="AF2403">
        <v>-23.158227138097001</v>
      </c>
      <c r="AG2403">
        <v>4.6776369999999998</v>
      </c>
      <c r="AH2403">
        <v>287.15559238362101</v>
      </c>
      <c r="AI2403">
        <v>89.069779361073898</v>
      </c>
      <c r="AJ2403">
        <v>94.610752021510095</v>
      </c>
      <c r="AK2403">
        <v>288.12587181520502</v>
      </c>
      <c r="AL2403">
        <v>77.896013627002205</v>
      </c>
      <c r="AM2403">
        <v>91.183224754378799</v>
      </c>
      <c r="AN2403">
        <v>1.00000003819169</v>
      </c>
    </row>
    <row r="2404" spans="1:40" x14ac:dyDescent="0.25">
      <c r="A2404" t="str">
        <f>"20190303170811552"</f>
        <v>20190303170811552</v>
      </c>
      <c r="B2404" t="str">
        <f>"1551604091545488"</f>
        <v>1551604091545488</v>
      </c>
      <c r="C2404" t="s">
        <v>40</v>
      </c>
      <c r="D2404">
        <v>4.6519579999999996</v>
      </c>
      <c r="E2404">
        <v>0.54072140000000002</v>
      </c>
      <c r="F2404" t="s">
        <v>86</v>
      </c>
      <c r="G2404">
        <v>-279.2355</v>
      </c>
      <c r="H2404">
        <v>0.161802</v>
      </c>
      <c r="I2404">
        <v>195.72730000000001</v>
      </c>
      <c r="J2404">
        <v>-445.63080000000002</v>
      </c>
      <c r="K2404">
        <v>1.1213249999999999</v>
      </c>
      <c r="L2404">
        <v>212.78909999999999</v>
      </c>
      <c r="M2404">
        <v>0.99873659999999997</v>
      </c>
      <c r="N2404">
        <v>-5.8377430000000003E-3</v>
      </c>
      <c r="O2404">
        <v>-4.9913369999999999E-2</v>
      </c>
      <c r="P2404">
        <v>0.97865869999999999</v>
      </c>
      <c r="Q2404">
        <v>0.2034079</v>
      </c>
      <c r="R2404">
        <v>-2.9202860000000001E-2</v>
      </c>
      <c r="S2404">
        <v>3.0598139999999998</v>
      </c>
      <c r="T2404">
        <v>-1.76183E-2</v>
      </c>
      <c r="U2404">
        <v>-0.31349179999999999</v>
      </c>
      <c r="V2404">
        <v>-2.0158369999999998E-2</v>
      </c>
      <c r="W2404">
        <v>0.20907390000000001</v>
      </c>
      <c r="X2404">
        <v>0.97769209999999995</v>
      </c>
      <c r="Y2404">
        <v>5.2137950000000002E-2</v>
      </c>
      <c r="Z2404">
        <v>-3.0682179999999998E-4</v>
      </c>
      <c r="AA2404">
        <v>0.99863979999999997</v>
      </c>
      <c r="AB2404">
        <v>28</v>
      </c>
      <c r="AC2404">
        <v>166.39529999999999</v>
      </c>
      <c r="AD2404">
        <v>-0.95952300000000001</v>
      </c>
      <c r="AE2404">
        <v>-17.061799999999899</v>
      </c>
      <c r="AF2404">
        <v>8.7347543959700609</v>
      </c>
      <c r="AG2404">
        <v>-0.95952300000000001</v>
      </c>
      <c r="AH2404">
        <v>167.034019496279</v>
      </c>
      <c r="AI2404">
        <v>90.328681551527694</v>
      </c>
      <c r="AJ2404">
        <v>87.006543201354205</v>
      </c>
      <c r="AK2404">
        <v>167.26500018781201</v>
      </c>
      <c r="AL2404">
        <v>77.931914650955704</v>
      </c>
      <c r="AM2404">
        <v>91.181175440343196</v>
      </c>
      <c r="AN2404">
        <v>1.00000004897233</v>
      </c>
    </row>
    <row r="2405" spans="1:40" x14ac:dyDescent="0.25">
      <c r="A2405" t="str">
        <f>"20190303170811574"</f>
        <v>20190303170811574</v>
      </c>
      <c r="B2405" t="str">
        <f>"1551604091565009"</f>
        <v>1551604091565009</v>
      </c>
      <c r="C2405" t="s">
        <v>40</v>
      </c>
      <c r="D2405">
        <v>4.6156269999999999</v>
      </c>
      <c r="E2405">
        <v>0.54487629999999998</v>
      </c>
      <c r="F2405" t="s">
        <v>63</v>
      </c>
      <c r="G2405">
        <v>-383.0446</v>
      </c>
      <c r="H2405">
        <v>8.0000989999999994E-2</v>
      </c>
      <c r="I2405">
        <v>204.8792</v>
      </c>
      <c r="J2405">
        <v>-445.34730000000002</v>
      </c>
      <c r="K2405">
        <v>1.1213219999999999</v>
      </c>
      <c r="L2405">
        <v>212.77629999999999</v>
      </c>
      <c r="M2405">
        <v>0.99880329999999995</v>
      </c>
      <c r="N2405">
        <v>-5.7029560000000003E-3</v>
      </c>
      <c r="O2405">
        <v>-4.8575100000000003E-2</v>
      </c>
      <c r="P2405">
        <v>0.97860979999999997</v>
      </c>
      <c r="Q2405">
        <v>0.20377780000000001</v>
      </c>
      <c r="R2405">
        <v>-2.824697E-2</v>
      </c>
      <c r="S2405">
        <v>3.0644529999999999</v>
      </c>
      <c r="T2405">
        <v>-5.0987119999999997E-2</v>
      </c>
      <c r="U2405">
        <v>-0.38729859999999999</v>
      </c>
      <c r="V2405">
        <v>-1.980676E-2</v>
      </c>
      <c r="W2405">
        <v>0.20931130000000001</v>
      </c>
      <c r="X2405">
        <v>0.97764839999999997</v>
      </c>
      <c r="Y2405">
        <v>7.7034989999999998E-2</v>
      </c>
      <c r="Z2405">
        <v>-3.309497E-4</v>
      </c>
      <c r="AA2405">
        <v>0.99702840000000004</v>
      </c>
      <c r="AB2405">
        <v>28</v>
      </c>
      <c r="AC2405">
        <v>62.302700000000002</v>
      </c>
      <c r="AD2405">
        <v>-1.0413210100000001</v>
      </c>
      <c r="AE2405">
        <v>-7.8970999999999902</v>
      </c>
      <c r="AF2405">
        <v>4.8600322761726096</v>
      </c>
      <c r="AG2405">
        <v>-1.0413210100000001</v>
      </c>
      <c r="AH2405">
        <v>62.595550138478899</v>
      </c>
      <c r="AI2405">
        <v>90.950208466617397</v>
      </c>
      <c r="AJ2405">
        <v>85.560358343951194</v>
      </c>
      <c r="AK2405">
        <v>62.792572493171001</v>
      </c>
      <c r="AL2405">
        <v>77.918003793686907</v>
      </c>
      <c r="AM2405">
        <v>91.1606304741819</v>
      </c>
      <c r="AN2405">
        <v>0.999999961035973</v>
      </c>
    </row>
    <row r="2406" spans="1:40" x14ac:dyDescent="0.25">
      <c r="A2406" t="str">
        <f>"20190303170811605"</f>
        <v>20190303170811605</v>
      </c>
      <c r="B2406" t="str">
        <f>"1551604091595265"</f>
        <v>1551604091595265</v>
      </c>
      <c r="C2406" t="s">
        <v>40</v>
      </c>
      <c r="D2406">
        <v>4.6405609999999999</v>
      </c>
      <c r="E2406">
        <v>0.54777109999999996</v>
      </c>
      <c r="F2406" t="s">
        <v>63</v>
      </c>
      <c r="G2406">
        <v>-390.02159999999998</v>
      </c>
      <c r="H2406">
        <v>8.0001450000000002E-2</v>
      </c>
      <c r="I2406">
        <v>205.24170000000001</v>
      </c>
      <c r="J2406">
        <v>-444.97410000000002</v>
      </c>
      <c r="K2406">
        <v>1.1213089999999999</v>
      </c>
      <c r="L2406">
        <v>212.76</v>
      </c>
      <c r="M2406">
        <v>0.99888829999999995</v>
      </c>
      <c r="N2406">
        <v>-5.5450009999999999E-3</v>
      </c>
      <c r="O2406">
        <v>-4.6815759999999998E-2</v>
      </c>
      <c r="P2406">
        <v>0.97850539999999997</v>
      </c>
      <c r="Q2406">
        <v>0.2044647</v>
      </c>
      <c r="R2406">
        <v>-2.6869790000000001E-2</v>
      </c>
      <c r="S2406">
        <v>3.0655209999999999</v>
      </c>
      <c r="T2406">
        <v>-5.769813E-2</v>
      </c>
      <c r="U2406">
        <v>-0.41748049999999998</v>
      </c>
      <c r="V2406">
        <v>-1.9461840000000001E-2</v>
      </c>
      <c r="W2406">
        <v>0.20984320000000001</v>
      </c>
      <c r="X2406">
        <v>0.97754129999999995</v>
      </c>
      <c r="Y2406">
        <v>8.8388069999999999E-2</v>
      </c>
      <c r="Z2406">
        <v>-4.5669740000000002E-4</v>
      </c>
      <c r="AA2406">
        <v>0.99608600000000003</v>
      </c>
      <c r="AB2406">
        <v>28</v>
      </c>
      <c r="AC2406">
        <v>54.952500000000001</v>
      </c>
      <c r="AD2406">
        <v>-1.04130755</v>
      </c>
      <c r="AE2406">
        <v>-7.5182999999999804</v>
      </c>
      <c r="AF2406">
        <v>4.9356343328138896</v>
      </c>
      <c r="AG2406">
        <v>-1.04130755</v>
      </c>
      <c r="AH2406">
        <v>55.2247599188739</v>
      </c>
      <c r="AI2406">
        <v>91.075942732166297</v>
      </c>
      <c r="AJ2406">
        <v>84.892840438561294</v>
      </c>
      <c r="AK2406">
        <v>55.4546563940144</v>
      </c>
      <c r="AL2406">
        <v>77.886836013365993</v>
      </c>
      <c r="AM2406">
        <v>91.140549254970693</v>
      </c>
      <c r="AN2406">
        <v>0.99999996250405698</v>
      </c>
    </row>
    <row r="2407" spans="1:40" x14ac:dyDescent="0.25">
      <c r="A2407" t="str">
        <f>"20190303170811642"</f>
        <v>20190303170811642</v>
      </c>
      <c r="B2407" t="str">
        <f>"1551604091635282"</f>
        <v>1551604091635282</v>
      </c>
      <c r="C2407" t="s">
        <v>40</v>
      </c>
      <c r="D2407">
        <v>4.6307219999999996</v>
      </c>
      <c r="E2407">
        <v>0.54981939999999996</v>
      </c>
      <c r="F2407" t="s">
        <v>63</v>
      </c>
      <c r="G2407">
        <v>-390.31959999999998</v>
      </c>
      <c r="H2407">
        <v>8.0001370000000002E-2</v>
      </c>
      <c r="I2407">
        <v>205.0017</v>
      </c>
      <c r="J2407">
        <v>-444.49950000000001</v>
      </c>
      <c r="K2407">
        <v>1.1212899999999999</v>
      </c>
      <c r="L2407">
        <v>212.74019999999999</v>
      </c>
      <c r="M2407">
        <v>0.99899110000000002</v>
      </c>
      <c r="N2407">
        <v>-5.3612140000000004E-3</v>
      </c>
      <c r="O2407">
        <v>-4.4585890000000003E-2</v>
      </c>
      <c r="P2407">
        <v>0.97877369999999997</v>
      </c>
      <c r="Q2407">
        <v>0.20348559999999999</v>
      </c>
      <c r="R2407">
        <v>-2.4408929999999999E-2</v>
      </c>
      <c r="S2407">
        <v>3.0661320000000001</v>
      </c>
      <c r="T2407">
        <v>-5.841756E-2</v>
      </c>
      <c r="U2407">
        <v>-0.43524170000000001</v>
      </c>
      <c r="V2407">
        <v>-1.975213E-2</v>
      </c>
      <c r="W2407">
        <v>0.20868410000000001</v>
      </c>
      <c r="X2407">
        <v>0.97778359999999997</v>
      </c>
      <c r="Y2407">
        <v>9.6240829999999999E-2</v>
      </c>
      <c r="Z2407">
        <v>-5.6525339999999996E-4</v>
      </c>
      <c r="AA2407">
        <v>0.99535790000000002</v>
      </c>
      <c r="AB2407">
        <v>28</v>
      </c>
      <c r="AC2407">
        <v>54.179900000000004</v>
      </c>
      <c r="AD2407">
        <v>-1.0412886299999999</v>
      </c>
      <c r="AE2407">
        <v>-7.7384999999999797</v>
      </c>
      <c r="AF2407">
        <v>5.31318700313824</v>
      </c>
      <c r="AG2407">
        <v>-1.0412886299999999</v>
      </c>
      <c r="AH2407">
        <v>54.451341609127198</v>
      </c>
      <c r="AI2407">
        <v>91.090372809251903</v>
      </c>
      <c r="AJ2407">
        <v>84.426904770094595</v>
      </c>
      <c r="AK2407">
        <v>54.719857832190598</v>
      </c>
      <c r="AL2407">
        <v>77.9547515191869</v>
      </c>
      <c r="AM2407">
        <v>91.157270157605296</v>
      </c>
      <c r="AN2407">
        <v>0.99999998433065296</v>
      </c>
    </row>
    <row r="2408" spans="1:40" x14ac:dyDescent="0.25">
      <c r="A2408" t="str">
        <f>"20190303170811664"</f>
        <v>20190303170811664</v>
      </c>
      <c r="B2408" t="str">
        <f>"1551604091655776"</f>
        <v>1551604091655776</v>
      </c>
      <c r="C2408" t="s">
        <v>40</v>
      </c>
      <c r="D2408">
        <v>4.6601169999999996</v>
      </c>
      <c r="E2408">
        <v>0.55057979999999995</v>
      </c>
      <c r="F2408" t="s">
        <v>63</v>
      </c>
      <c r="G2408">
        <v>-394.71949999999998</v>
      </c>
      <c r="H2408">
        <v>8.0000070000000006E-2</v>
      </c>
      <c r="I2408">
        <v>205.55410000000001</v>
      </c>
      <c r="J2408">
        <v>-444.2165</v>
      </c>
      <c r="K2408">
        <v>1.121281</v>
      </c>
      <c r="L2408">
        <v>212.72890000000001</v>
      </c>
      <c r="M2408">
        <v>0.99905010000000005</v>
      </c>
      <c r="N2408">
        <v>-5.2587270000000004E-3</v>
      </c>
      <c r="O2408">
        <v>-4.3261550000000003E-2</v>
      </c>
      <c r="P2408">
        <v>0.97884870000000002</v>
      </c>
      <c r="Q2408">
        <v>0.20337150000000001</v>
      </c>
      <c r="R2408">
        <v>-2.2254329999999999E-2</v>
      </c>
      <c r="S2408">
        <v>3.0673520000000001</v>
      </c>
      <c r="T2408">
        <v>-6.4162369999999996E-2</v>
      </c>
      <c r="U2408">
        <v>-0.44279479999999999</v>
      </c>
      <c r="V2408">
        <v>-2.0613780000000002E-2</v>
      </c>
      <c r="W2408">
        <v>0.20846770000000001</v>
      </c>
      <c r="X2408">
        <v>0.97781200000000001</v>
      </c>
      <c r="Y2408">
        <v>9.9902560000000001E-2</v>
      </c>
      <c r="Z2408">
        <v>-6.3072059999999997E-4</v>
      </c>
      <c r="AA2408">
        <v>0.99499700000000002</v>
      </c>
      <c r="AB2408">
        <v>28</v>
      </c>
      <c r="AC2408">
        <v>49.497</v>
      </c>
      <c r="AD2408">
        <v>-1.0412809300000001</v>
      </c>
      <c r="AE2408">
        <v>-7.1748000000000003</v>
      </c>
      <c r="AF2408">
        <v>5.0245584863092798</v>
      </c>
      <c r="AG2408">
        <v>-1.0412809300000001</v>
      </c>
      <c r="AH2408">
        <v>49.739495908635597</v>
      </c>
      <c r="AI2408">
        <v>91.193223284247793</v>
      </c>
      <c r="AJ2408">
        <v>84.231692640964098</v>
      </c>
      <c r="AK2408">
        <v>50.003478950996097</v>
      </c>
      <c r="AL2408">
        <v>77.967429452196995</v>
      </c>
      <c r="AM2408">
        <v>91.207704211510503</v>
      </c>
      <c r="AN2408">
        <v>1.0000000086065799</v>
      </c>
    </row>
    <row r="2409" spans="1:40" x14ac:dyDescent="0.25">
      <c r="A2409" t="str">
        <f>"20190303170811686"</f>
        <v>20190303170811686</v>
      </c>
      <c r="B2409" t="str">
        <f>"1551604091675296"</f>
        <v>1551604091675296</v>
      </c>
      <c r="C2409" t="s">
        <v>40</v>
      </c>
      <c r="D2409">
        <v>4.6481589999999997</v>
      </c>
      <c r="E2409">
        <v>0.55125259999999998</v>
      </c>
      <c r="F2409" t="s">
        <v>63</v>
      </c>
      <c r="G2409">
        <v>-394.83100000000002</v>
      </c>
      <c r="H2409">
        <v>8.0000039999999994E-2</v>
      </c>
      <c r="I2409">
        <v>205.60489999999999</v>
      </c>
      <c r="J2409">
        <v>-443.93560000000002</v>
      </c>
      <c r="K2409">
        <v>1.121275</v>
      </c>
      <c r="L2409">
        <v>212.71809999999999</v>
      </c>
      <c r="M2409">
        <v>0.99910639999999995</v>
      </c>
      <c r="N2409">
        <v>-5.1597800000000001E-3</v>
      </c>
      <c r="O2409">
        <v>-4.1950099999999997E-2</v>
      </c>
      <c r="P2409">
        <v>0.97874559999999999</v>
      </c>
      <c r="Q2409">
        <v>0.2040846</v>
      </c>
      <c r="R2409">
        <v>-2.0168930000000002E-2</v>
      </c>
      <c r="S2409">
        <v>3.0682070000000001</v>
      </c>
      <c r="T2409">
        <v>-6.4692379999999994E-2</v>
      </c>
      <c r="U2409">
        <v>-0.4425964</v>
      </c>
      <c r="V2409">
        <v>-2.14138E-2</v>
      </c>
      <c r="W2409">
        <v>0.20908089999999999</v>
      </c>
      <c r="X2409">
        <v>0.97766390000000003</v>
      </c>
      <c r="Y2409">
        <v>0.1011058</v>
      </c>
      <c r="Z2409">
        <v>-6.5904519999999999E-4</v>
      </c>
      <c r="AA2409">
        <v>0.99487539999999997</v>
      </c>
      <c r="AB2409">
        <v>29</v>
      </c>
      <c r="AC2409">
        <v>49.104599999999998</v>
      </c>
      <c r="AD2409">
        <v>-1.04127496</v>
      </c>
      <c r="AE2409">
        <v>-7.1132</v>
      </c>
      <c r="AF2409">
        <v>5.04474605537147</v>
      </c>
      <c r="AG2409">
        <v>-1.04127496</v>
      </c>
      <c r="AH2409">
        <v>49.338046346548097</v>
      </c>
      <c r="AI2409">
        <v>91.202773543883197</v>
      </c>
      <c r="AJ2409">
        <v>84.161875899751195</v>
      </c>
      <c r="AK2409">
        <v>49.606214667112397</v>
      </c>
      <c r="AL2409">
        <v>77.931504375254505</v>
      </c>
      <c r="AM2409">
        <v>91.254750449297305</v>
      </c>
      <c r="AN2409">
        <v>1.0000000374692199</v>
      </c>
    </row>
    <row r="2410" spans="1:40" x14ac:dyDescent="0.25">
      <c r="A2410" t="str">
        <f>"20190303170811709"</f>
        <v>20190303170811709</v>
      </c>
      <c r="B2410" t="str">
        <f>"1551604091694816"</f>
        <v>1551604091694816</v>
      </c>
      <c r="C2410" t="s">
        <v>40</v>
      </c>
      <c r="D2410">
        <v>4.6767089999999998</v>
      </c>
      <c r="E2410">
        <v>0.55188999999999999</v>
      </c>
      <c r="F2410" t="s">
        <v>63</v>
      </c>
      <c r="G2410">
        <v>-393.72089999999997</v>
      </c>
      <c r="H2410">
        <v>8.0000370000000001E-2</v>
      </c>
      <c r="I2410">
        <v>205.48949999999999</v>
      </c>
      <c r="J2410">
        <v>-443.6447</v>
      </c>
      <c r="K2410">
        <v>1.12127</v>
      </c>
      <c r="L2410">
        <v>212.7072</v>
      </c>
      <c r="M2410">
        <v>0.99916300000000002</v>
      </c>
      <c r="N2410">
        <v>-5.0568200000000001E-3</v>
      </c>
      <c r="O2410">
        <v>-4.0593949999999997E-2</v>
      </c>
      <c r="P2410">
        <v>0.97873719999999997</v>
      </c>
      <c r="Q2410">
        <v>0.2042959</v>
      </c>
      <c r="R2410">
        <v>-1.8356190000000001E-2</v>
      </c>
      <c r="S2410">
        <v>3.0693049999999999</v>
      </c>
      <c r="T2410">
        <v>-6.3646439999999999E-2</v>
      </c>
      <c r="U2410">
        <v>-0.44183349999999999</v>
      </c>
      <c r="V2410">
        <v>-2.1900909999999999E-2</v>
      </c>
      <c r="W2410">
        <v>0.2091896</v>
      </c>
      <c r="X2410">
        <v>0.97762979999999999</v>
      </c>
      <c r="Y2410">
        <v>0.1021639</v>
      </c>
      <c r="Z2410">
        <v>-6.8119909999999999E-4</v>
      </c>
      <c r="AA2410">
        <v>0.99476739999999997</v>
      </c>
      <c r="AB2410">
        <v>29</v>
      </c>
      <c r="AC2410">
        <v>49.9238</v>
      </c>
      <c r="AD2410">
        <v>-1.0412696299999999</v>
      </c>
      <c r="AE2410">
        <v>-7.2176999999999998</v>
      </c>
      <c r="AF2410">
        <v>5.1829119566078496</v>
      </c>
      <c r="AG2410">
        <v>-1.0412696299999999</v>
      </c>
      <c r="AH2410">
        <v>50.154275228990699</v>
      </c>
      <c r="AI2410">
        <v>91.183067490464694</v>
      </c>
      <c r="AJ2410">
        <v>84.1000318827341</v>
      </c>
      <c r="AK2410">
        <v>50.432114198570503</v>
      </c>
      <c r="AL2410">
        <v>77.925134810201598</v>
      </c>
      <c r="AM2410">
        <v>91.2833281686421</v>
      </c>
      <c r="AN2410">
        <v>0.99999998222751396</v>
      </c>
    </row>
    <row r="2411" spans="1:40" x14ac:dyDescent="0.25">
      <c r="A2411" t="str">
        <f>"20190303170811732"</f>
        <v>20190303170811732</v>
      </c>
      <c r="B2411" t="str">
        <f>"1551604091725073"</f>
        <v>1551604091725073</v>
      </c>
      <c r="C2411" t="s">
        <v>40</v>
      </c>
      <c r="D2411">
        <v>4.6855440000000002</v>
      </c>
      <c r="E2411">
        <v>0.55284239999999996</v>
      </c>
      <c r="F2411" t="s">
        <v>63</v>
      </c>
      <c r="G2411">
        <v>-393.45830000000001</v>
      </c>
      <c r="H2411">
        <v>8.0000450000000001E-2</v>
      </c>
      <c r="I2411">
        <v>205.49690000000001</v>
      </c>
      <c r="J2411">
        <v>-443.33640000000003</v>
      </c>
      <c r="K2411">
        <v>1.121264</v>
      </c>
      <c r="L2411">
        <v>212.6962</v>
      </c>
      <c r="M2411">
        <v>0.99922080000000002</v>
      </c>
      <c r="N2411">
        <v>-4.9519220000000001E-3</v>
      </c>
      <c r="O2411">
        <v>-3.9159840000000001E-2</v>
      </c>
      <c r="P2411">
        <v>0.97876859999999999</v>
      </c>
      <c r="Q2411">
        <v>0.2043325</v>
      </c>
      <c r="R2411">
        <v>-1.6143879999999999E-2</v>
      </c>
      <c r="S2411">
        <v>3.0702509999999998</v>
      </c>
      <c r="T2411">
        <v>-6.3701750000000001E-2</v>
      </c>
      <c r="U2411">
        <v>-0.44110110000000002</v>
      </c>
      <c r="V2411">
        <v>-2.2711909999999998E-2</v>
      </c>
      <c r="W2411">
        <v>0.209121</v>
      </c>
      <c r="X2411">
        <v>0.977626</v>
      </c>
      <c r="Y2411">
        <v>0.10331559999999999</v>
      </c>
      <c r="Z2411">
        <v>-7.0890809999999999E-4</v>
      </c>
      <c r="AA2411">
        <v>0.99464839999999999</v>
      </c>
      <c r="AB2411">
        <v>29</v>
      </c>
      <c r="AC2411">
        <v>49.878100000000003</v>
      </c>
      <c r="AD2411">
        <v>-1.04126355</v>
      </c>
      <c r="AE2411">
        <v>-7.1992999999999903</v>
      </c>
      <c r="AF2411">
        <v>5.2382992267973503</v>
      </c>
      <c r="AG2411">
        <v>-1.04126355</v>
      </c>
      <c r="AH2411">
        <v>50.100378537471997</v>
      </c>
      <c r="AI2411">
        <v>91.1841847949525</v>
      </c>
      <c r="AJ2411">
        <v>84.031065545762004</v>
      </c>
      <c r="AK2411">
        <v>50.384242955193898</v>
      </c>
      <c r="AL2411">
        <v>77.929154536298896</v>
      </c>
      <c r="AM2411">
        <v>91.3308387411262</v>
      </c>
      <c r="AN2411">
        <v>1.0000000096864201</v>
      </c>
    </row>
    <row r="2412" spans="1:40" x14ac:dyDescent="0.25">
      <c r="A2412" t="str">
        <f>"20190303170811754"</f>
        <v>20190303170811754</v>
      </c>
      <c r="B2412" t="str">
        <f>"1551604091745569"</f>
        <v>1551604091745569</v>
      </c>
      <c r="C2412" t="s">
        <v>40</v>
      </c>
      <c r="D2412">
        <v>4.7092260000000001</v>
      </c>
      <c r="E2412">
        <v>0.55338069999999995</v>
      </c>
      <c r="F2412" t="s">
        <v>63</v>
      </c>
      <c r="G2412">
        <v>-394.08499999999998</v>
      </c>
      <c r="H2412">
        <v>8.0000260000000004E-2</v>
      </c>
      <c r="I2412">
        <v>205.61259999999999</v>
      </c>
      <c r="J2412">
        <v>-443.04939999999999</v>
      </c>
      <c r="K2412">
        <v>1.121254</v>
      </c>
      <c r="L2412">
        <v>212.68620000000001</v>
      </c>
      <c r="M2412">
        <v>0.99927259999999996</v>
      </c>
      <c r="N2412">
        <v>-4.8596380000000003E-3</v>
      </c>
      <c r="O2412">
        <v>-3.7826600000000002E-2</v>
      </c>
      <c r="P2412">
        <v>0.97868259999999996</v>
      </c>
      <c r="Q2412">
        <v>0.20490610000000001</v>
      </c>
      <c r="R2412">
        <v>-1.392418E-2</v>
      </c>
      <c r="S2412">
        <v>3.0713810000000001</v>
      </c>
      <c r="T2412">
        <v>-6.4934610000000004E-2</v>
      </c>
      <c r="U2412">
        <v>-0.44174190000000002</v>
      </c>
      <c r="V2412">
        <v>-2.3626370000000001E-2</v>
      </c>
      <c r="W2412">
        <v>0.2096008</v>
      </c>
      <c r="X2412">
        <v>0.97750159999999997</v>
      </c>
      <c r="Y2412">
        <v>0.10479330000000001</v>
      </c>
      <c r="Z2412">
        <v>-7.4610110000000002E-4</v>
      </c>
      <c r="AA2412">
        <v>0.99449370000000004</v>
      </c>
      <c r="AB2412">
        <v>29</v>
      </c>
      <c r="AC2412">
        <v>48.964399999999998</v>
      </c>
      <c r="AD2412">
        <v>-1.0412537399999999</v>
      </c>
      <c r="AE2412">
        <v>-7.0736000000000203</v>
      </c>
      <c r="AF2412">
        <v>5.2140492645720302</v>
      </c>
      <c r="AG2412">
        <v>-1.0412537399999999</v>
      </c>
      <c r="AH2412">
        <v>49.175146119515396</v>
      </c>
      <c r="AI2412">
        <v>91.206262261010096</v>
      </c>
      <c r="AJ2412">
        <v>83.947532384655801</v>
      </c>
      <c r="AK2412">
        <v>49.461758106239401</v>
      </c>
      <c r="AL2412">
        <v>77.901041345462005</v>
      </c>
      <c r="AM2412">
        <v>91.384578573865099</v>
      </c>
      <c r="AN2412">
        <v>1.00000003936128</v>
      </c>
    </row>
    <row r="2413" spans="1:40" x14ac:dyDescent="0.25">
      <c r="A2413" t="str">
        <f>"20190303170811776"</f>
        <v>20190303170811776</v>
      </c>
      <c r="B2413" t="str">
        <f>"1551604091765089"</f>
        <v>1551604091765089</v>
      </c>
      <c r="C2413" t="s">
        <v>40</v>
      </c>
      <c r="D2413">
        <v>4.7012929999999997</v>
      </c>
      <c r="E2413">
        <v>0.55391959999999996</v>
      </c>
      <c r="F2413" t="s">
        <v>63</v>
      </c>
      <c r="G2413">
        <v>-393.35860000000002</v>
      </c>
      <c r="H2413">
        <v>8.0000479999999999E-2</v>
      </c>
      <c r="I2413">
        <v>205.5829</v>
      </c>
      <c r="J2413">
        <v>-442.76280000000003</v>
      </c>
      <c r="K2413">
        <v>1.121243</v>
      </c>
      <c r="L2413">
        <v>212.67670000000001</v>
      </c>
      <c r="M2413">
        <v>0.9993225</v>
      </c>
      <c r="N2413">
        <v>-4.7742239999999997E-3</v>
      </c>
      <c r="O2413">
        <v>-3.6496710000000002E-2</v>
      </c>
      <c r="P2413">
        <v>0.97872210000000004</v>
      </c>
      <c r="Q2413">
        <v>0.20486170000000001</v>
      </c>
      <c r="R2413">
        <v>-1.160828E-2</v>
      </c>
      <c r="S2413">
        <v>3.0725709999999999</v>
      </c>
      <c r="T2413">
        <v>-6.4384579999999997E-2</v>
      </c>
      <c r="U2413">
        <v>-0.43922420000000001</v>
      </c>
      <c r="V2413">
        <v>-2.4644119999999999E-2</v>
      </c>
      <c r="W2413">
        <v>0.20946980000000001</v>
      </c>
      <c r="X2413">
        <v>0.9775045</v>
      </c>
      <c r="Y2413">
        <v>0.1052642</v>
      </c>
      <c r="Z2413">
        <v>-7.6305929999999995E-4</v>
      </c>
      <c r="AA2413">
        <v>0.99444399999999999</v>
      </c>
      <c r="AB2413">
        <v>29</v>
      </c>
      <c r="AC2413">
        <v>49.404200000000003</v>
      </c>
      <c r="AD2413">
        <v>-1.0412425199999999</v>
      </c>
      <c r="AE2413">
        <v>-7.0938000000000097</v>
      </c>
      <c r="AF2413">
        <v>5.2836631613686302</v>
      </c>
      <c r="AG2413">
        <v>-1.0412425199999999</v>
      </c>
      <c r="AH2413">
        <v>49.608597263756401</v>
      </c>
      <c r="AI2413">
        <v>91.195652939741294</v>
      </c>
      <c r="AJ2413">
        <v>83.920516974498696</v>
      </c>
      <c r="AK2413">
        <v>49.900042132906499</v>
      </c>
      <c r="AL2413">
        <v>77.908716871932597</v>
      </c>
      <c r="AM2413">
        <v>91.444192860152896</v>
      </c>
      <c r="AN2413">
        <v>0.99999998864143202</v>
      </c>
    </row>
    <row r="2414" spans="1:40" x14ac:dyDescent="0.25">
      <c r="A2414" t="str">
        <f>"20190303170811801"</f>
        <v>20190303170811801</v>
      </c>
      <c r="B2414" t="str">
        <f>"1551604091795345"</f>
        <v>1551604091795345</v>
      </c>
      <c r="C2414" t="s">
        <v>40</v>
      </c>
      <c r="D2414">
        <v>4.7260099999999996</v>
      </c>
      <c r="E2414">
        <v>0.55482100000000001</v>
      </c>
      <c r="F2414" t="s">
        <v>63</v>
      </c>
      <c r="G2414">
        <v>-393.1431</v>
      </c>
      <c r="H2414">
        <v>8.000053E-2</v>
      </c>
      <c r="I2414">
        <v>205.6225</v>
      </c>
      <c r="J2414">
        <v>-442.44290000000001</v>
      </c>
      <c r="K2414">
        <v>1.121237</v>
      </c>
      <c r="L2414">
        <v>212.66650000000001</v>
      </c>
      <c r="M2414">
        <v>0.99937589999999998</v>
      </c>
      <c r="N2414">
        <v>-4.6892660000000001E-3</v>
      </c>
      <c r="O2414">
        <v>-3.5014000000000003E-2</v>
      </c>
      <c r="P2414">
        <v>0.97867910000000002</v>
      </c>
      <c r="Q2414">
        <v>0.20516960000000001</v>
      </c>
      <c r="R2414">
        <v>-9.630609E-3</v>
      </c>
      <c r="S2414">
        <v>3.0735169999999998</v>
      </c>
      <c r="T2414">
        <v>-6.4496040000000004E-2</v>
      </c>
      <c r="U2414">
        <v>-0.43695070000000003</v>
      </c>
      <c r="V2414">
        <v>-2.517285E-2</v>
      </c>
      <c r="W2414">
        <v>0.20969270000000001</v>
      </c>
      <c r="X2414">
        <v>0.97744330000000001</v>
      </c>
      <c r="Y2414">
        <v>0.1059755</v>
      </c>
      <c r="Z2414">
        <v>-7.8903950000000001E-4</v>
      </c>
      <c r="AA2414">
        <v>0.99436840000000004</v>
      </c>
      <c r="AB2414">
        <v>29</v>
      </c>
      <c r="AC2414">
        <v>49.299799999999998</v>
      </c>
      <c r="AD2414">
        <v>-1.0412364700000001</v>
      </c>
      <c r="AE2414">
        <v>-7.0440000000000103</v>
      </c>
      <c r="AF2414">
        <v>5.3111568618741103</v>
      </c>
      <c r="AG2414">
        <v>-1.0412364700000001</v>
      </c>
      <c r="AH2414">
        <v>49.494574481151403</v>
      </c>
      <c r="AI2414">
        <v>91.198298243031502</v>
      </c>
      <c r="AJ2414">
        <v>83.875149934172697</v>
      </c>
      <c r="AK2414">
        <v>49.789612005599501</v>
      </c>
      <c r="AL2414">
        <v>77.895656354949793</v>
      </c>
      <c r="AM2414">
        <v>91.475256231108702</v>
      </c>
      <c r="AN2414">
        <v>1.00000005276264</v>
      </c>
    </row>
    <row r="2415" spans="1:40" x14ac:dyDescent="0.25">
      <c r="A2415" t="str">
        <f>"20190303170811842"</f>
        <v>20190303170811842</v>
      </c>
      <c r="B2415" t="str">
        <f>"1551604091835361"</f>
        <v>1551604091835361</v>
      </c>
      <c r="C2415" t="s">
        <v>40</v>
      </c>
      <c r="D2415">
        <v>4.7110289999999999</v>
      </c>
      <c r="E2415">
        <v>0.56495150000000005</v>
      </c>
      <c r="F2415" t="s">
        <v>63</v>
      </c>
      <c r="G2415">
        <v>-393.00240000000002</v>
      </c>
      <c r="H2415">
        <v>8.0000580000000002E-2</v>
      </c>
      <c r="I2415">
        <v>205.62700000000001</v>
      </c>
      <c r="J2415">
        <v>-441.89350000000002</v>
      </c>
      <c r="K2415">
        <v>1.1212299999999999</v>
      </c>
      <c r="L2415">
        <v>212.65010000000001</v>
      </c>
      <c r="M2415">
        <v>0.99946219999999997</v>
      </c>
      <c r="N2415">
        <v>-4.567542E-3</v>
      </c>
      <c r="O2415">
        <v>-3.2471590000000002E-2</v>
      </c>
      <c r="P2415">
        <v>0.97852459999999997</v>
      </c>
      <c r="Q2415">
        <v>0.2060438</v>
      </c>
      <c r="R2415">
        <v>-5.9950890000000003E-3</v>
      </c>
      <c r="S2415">
        <v>3.0746150000000001</v>
      </c>
      <c r="T2415">
        <v>-6.4752699999999996E-2</v>
      </c>
      <c r="U2415">
        <v>-0.43777470000000002</v>
      </c>
      <c r="V2415">
        <v>-2.6322970000000001E-2</v>
      </c>
      <c r="W2415">
        <v>0.21044280000000001</v>
      </c>
      <c r="X2415">
        <v>0.97725169999999995</v>
      </c>
      <c r="Y2415">
        <v>0.1087153</v>
      </c>
      <c r="Z2415">
        <v>-8.5627320000000002E-4</v>
      </c>
      <c r="AA2415">
        <v>0.99407259999999997</v>
      </c>
      <c r="AB2415">
        <v>29</v>
      </c>
      <c r="AC2415">
        <v>48.891100000000002</v>
      </c>
      <c r="AD2415">
        <v>-1.0412294200000001</v>
      </c>
      <c r="AE2415">
        <v>-7.0231000000000003</v>
      </c>
      <c r="AF2415">
        <v>5.4293952422370202</v>
      </c>
      <c r="AG2415">
        <v>-1.0412294200000001</v>
      </c>
      <c r="AH2415">
        <v>49.071563936977</v>
      </c>
      <c r="AI2415">
        <v>91.208182849320295</v>
      </c>
      <c r="AJ2415">
        <v>83.686337702666606</v>
      </c>
      <c r="AK2415">
        <v>49.381989415396397</v>
      </c>
      <c r="AL2415">
        <v>77.851697018139603</v>
      </c>
      <c r="AM2415">
        <v>91.542929519318804</v>
      </c>
      <c r="AN2415">
        <v>0.99999997798717499</v>
      </c>
    </row>
    <row r="2416" spans="1:40" x14ac:dyDescent="0.25">
      <c r="A2416" t="str">
        <f>"20190303170811866"</f>
        <v>20190303170811866</v>
      </c>
      <c r="B2416" t="str">
        <f>"1551604091854881"</f>
        <v>1551604091854881</v>
      </c>
      <c r="C2416" t="s">
        <v>40</v>
      </c>
      <c r="D2416">
        <v>4.6857499999999996</v>
      </c>
      <c r="E2416">
        <v>0.56555009999999994</v>
      </c>
      <c r="F2416" t="s">
        <v>63</v>
      </c>
      <c r="G2416">
        <v>-394.08269999999999</v>
      </c>
      <c r="H2416">
        <v>8.0000269999999998E-2</v>
      </c>
      <c r="I2416">
        <v>204.7612</v>
      </c>
      <c r="J2416">
        <v>-441.57960000000003</v>
      </c>
      <c r="K2416">
        <v>1.1212299999999999</v>
      </c>
      <c r="L2416">
        <v>212.6413</v>
      </c>
      <c r="M2416">
        <v>0.99950859999999997</v>
      </c>
      <c r="N2416">
        <v>-4.5065490000000003E-3</v>
      </c>
      <c r="O2416">
        <v>-3.1021099999999999E-2</v>
      </c>
      <c r="P2416">
        <v>0.97860729999999996</v>
      </c>
      <c r="Q2416">
        <v>0.20568030000000001</v>
      </c>
      <c r="R2416">
        <v>-4.8004969999999999E-3</v>
      </c>
      <c r="S2416">
        <v>3.0768740000000001</v>
      </c>
      <c r="T2416">
        <v>-6.7008609999999996E-2</v>
      </c>
      <c r="U2416">
        <v>-0.50769039999999999</v>
      </c>
      <c r="V2416">
        <v>-2.6104519999999999E-2</v>
      </c>
      <c r="W2416">
        <v>0.2100204</v>
      </c>
      <c r="X2416">
        <v>0.97734840000000001</v>
      </c>
      <c r="Y2416">
        <v>0.13208239999999999</v>
      </c>
      <c r="Z2416">
        <v>-1.1965840000000001E-3</v>
      </c>
      <c r="AA2416">
        <v>0.99123799999999995</v>
      </c>
      <c r="AB2416">
        <v>30</v>
      </c>
      <c r="AC2416">
        <v>47.496899999999997</v>
      </c>
      <c r="AD2416">
        <v>-1.04122973</v>
      </c>
      <c r="AE2416">
        <v>-7.8800999999999899</v>
      </c>
      <c r="AF2416">
        <v>6.3998932149680803</v>
      </c>
      <c r="AG2416">
        <v>-1.04122973</v>
      </c>
      <c r="AH2416">
        <v>47.696184899853499</v>
      </c>
      <c r="AI2416">
        <v>91.239489837124296</v>
      </c>
      <c r="AJ2416">
        <v>82.357676277496196</v>
      </c>
      <c r="AK2416">
        <v>48.134902581335297</v>
      </c>
      <c r="AL2416">
        <v>77.876451703052098</v>
      </c>
      <c r="AM2416">
        <v>91.529979792630101</v>
      </c>
      <c r="AN2416">
        <v>0.99999995468157399</v>
      </c>
    </row>
    <row r="2417" spans="1:40" x14ac:dyDescent="0.25">
      <c r="A2417" t="str">
        <f>"20190303170811889"</f>
        <v>20190303170811889</v>
      </c>
      <c r="B2417" t="str">
        <f>"1551604091875376"</f>
        <v>1551604091875376</v>
      </c>
      <c r="C2417" t="s">
        <v>40</v>
      </c>
      <c r="D2417">
        <v>4.6906179999999997</v>
      </c>
      <c r="E2417">
        <v>0.56629649999999998</v>
      </c>
      <c r="F2417" t="s">
        <v>63</v>
      </c>
      <c r="G2417">
        <v>-396.13720000000001</v>
      </c>
      <c r="H2417">
        <v>8.0001130000000004E-2</v>
      </c>
      <c r="I2417">
        <v>205.15209999999999</v>
      </c>
      <c r="J2417">
        <v>-441.27179999999998</v>
      </c>
      <c r="K2417">
        <v>1.1212260000000001</v>
      </c>
      <c r="L2417">
        <v>212.63310000000001</v>
      </c>
      <c r="M2417">
        <v>0.99955190000000005</v>
      </c>
      <c r="N2417">
        <v>-4.4534489999999999E-3</v>
      </c>
      <c r="O2417">
        <v>-2.95997E-2</v>
      </c>
      <c r="P2417">
        <v>0.97877539999999996</v>
      </c>
      <c r="Q2417">
        <v>0.2049018</v>
      </c>
      <c r="R2417">
        <v>-3.6935269999999998E-3</v>
      </c>
      <c r="S2417">
        <v>3.0779109999999998</v>
      </c>
      <c r="T2417">
        <v>-7.0524690000000001E-2</v>
      </c>
      <c r="U2417">
        <v>-0.50726320000000003</v>
      </c>
      <c r="V2417">
        <v>-2.5827269999999999E-2</v>
      </c>
      <c r="W2417">
        <v>0.2091905</v>
      </c>
      <c r="X2417">
        <v>0.97753380000000001</v>
      </c>
      <c r="Y2417">
        <v>0.133300799999999</v>
      </c>
      <c r="Z2417">
        <v>-1.2735139999999999E-3</v>
      </c>
      <c r="AA2417">
        <v>0.99107480000000003</v>
      </c>
      <c r="AB2417">
        <v>30</v>
      </c>
      <c r="AC2417">
        <v>45.134599999999899</v>
      </c>
      <c r="AD2417">
        <v>-1.04122487</v>
      </c>
      <c r="AE2417">
        <v>-7.4810000000000203</v>
      </c>
      <c r="AF2417">
        <v>6.1385585701177003</v>
      </c>
      <c r="AG2417">
        <v>-1.04122487</v>
      </c>
      <c r="AH2417">
        <v>45.312790267977</v>
      </c>
      <c r="AI2417">
        <v>91.304434524864007</v>
      </c>
      <c r="AJ2417">
        <v>82.285063560540195</v>
      </c>
      <c r="AK2417">
        <v>45.738550615627702</v>
      </c>
      <c r="AL2417">
        <v>77.9250825605328</v>
      </c>
      <c r="AM2417">
        <v>91.513450872709896</v>
      </c>
      <c r="AN2417">
        <v>1.00000002165417</v>
      </c>
    </row>
    <row r="2418" spans="1:40" x14ac:dyDescent="0.25">
      <c r="A2418" t="str">
        <f>"20190303170811912"</f>
        <v>20190303170811912</v>
      </c>
      <c r="B2418" t="str">
        <f>"1551604091905632"</f>
        <v>1551604091905632</v>
      </c>
      <c r="C2418" t="s">
        <v>40</v>
      </c>
      <c r="D2418">
        <v>4.9344570000000001</v>
      </c>
      <c r="E2418">
        <v>0.56677409999999995</v>
      </c>
      <c r="F2418" t="s">
        <v>63</v>
      </c>
      <c r="G2418">
        <v>-396.80220000000003</v>
      </c>
      <c r="H2418">
        <v>8.0000929999999998E-2</v>
      </c>
      <c r="I2418">
        <v>205.26990000000001</v>
      </c>
      <c r="J2418">
        <v>-440.964</v>
      </c>
      <c r="K2418">
        <v>1.121218</v>
      </c>
      <c r="L2418">
        <v>212.62540000000001</v>
      </c>
      <c r="M2418">
        <v>0.99959330000000002</v>
      </c>
      <c r="N2418">
        <v>-4.4088699999999996E-3</v>
      </c>
      <c r="O2418">
        <v>-2.8179389999999999E-2</v>
      </c>
      <c r="P2418">
        <v>0.97881910000000005</v>
      </c>
      <c r="Q2418">
        <v>0.2047098</v>
      </c>
      <c r="R2418">
        <v>-2.7557520000000002E-3</v>
      </c>
      <c r="S2418">
        <v>3.078217</v>
      </c>
      <c r="T2418">
        <v>-7.2074289999999999E-2</v>
      </c>
      <c r="U2418">
        <v>-0.50968930000000001</v>
      </c>
      <c r="V2418">
        <v>-2.538062E-2</v>
      </c>
      <c r="W2418">
        <v>0.20895549999999999</v>
      </c>
      <c r="X2418">
        <v>0.97759569999999996</v>
      </c>
      <c r="Y2418">
        <v>0.13545119999999999</v>
      </c>
      <c r="Z2418">
        <v>-1.3441389999999901E-3</v>
      </c>
      <c r="AA2418">
        <v>0.99078310000000003</v>
      </c>
      <c r="AB2418">
        <v>30</v>
      </c>
      <c r="AC2418">
        <v>44.1617999999999</v>
      </c>
      <c r="AD2418">
        <v>-1.0412170700000001</v>
      </c>
      <c r="AE2418">
        <v>-7.3555000000000001</v>
      </c>
      <c r="AF2418">
        <v>6.1048124356394604</v>
      </c>
      <c r="AG2418">
        <v>-1.0412170700000001</v>
      </c>
      <c r="AH2418">
        <v>44.327561590376398</v>
      </c>
      <c r="AI2418">
        <v>91.333004631673703</v>
      </c>
      <c r="AJ2418">
        <v>82.158526479764802</v>
      </c>
      <c r="AK2418">
        <v>44.758078426243998</v>
      </c>
      <c r="AL2418">
        <v>77.938850661798</v>
      </c>
      <c r="AM2418">
        <v>91.487195380603694</v>
      </c>
      <c r="AN2418">
        <v>0.99999996475516095</v>
      </c>
    </row>
    <row r="2419" spans="1:40" x14ac:dyDescent="0.25">
      <c r="A2419" t="str">
        <f>"20190303170811931"</f>
        <v>20190303170811931</v>
      </c>
      <c r="B2419" t="str">
        <f>"1551604091925153"</f>
        <v>1551604091925153</v>
      </c>
      <c r="C2419" t="s">
        <v>40</v>
      </c>
      <c r="D2419">
        <v>4.6674790000000002</v>
      </c>
      <c r="E2419">
        <v>0.51370909999999903</v>
      </c>
      <c r="F2419" t="s">
        <v>63</v>
      </c>
      <c r="G2419">
        <v>-396.72710000000001</v>
      </c>
      <c r="H2419">
        <v>8.0000959999999996E-2</v>
      </c>
      <c r="I2419">
        <v>205.28620000000001</v>
      </c>
      <c r="J2419">
        <v>-440.68090000000001</v>
      </c>
      <c r="K2419">
        <v>1.121218</v>
      </c>
      <c r="L2419">
        <v>212.61859999999999</v>
      </c>
      <c r="M2419">
        <v>0.99962930000000005</v>
      </c>
      <c r="N2419">
        <v>-4.3702380000000002E-3</v>
      </c>
      <c r="O2419">
        <v>-2.6874599999999998E-2</v>
      </c>
      <c r="P2419">
        <v>0.97881399999999996</v>
      </c>
      <c r="Q2419">
        <v>0.20474049999999999</v>
      </c>
      <c r="R2419">
        <v>-2.1801490000000001E-3</v>
      </c>
      <c r="S2419">
        <v>3.0786739999999999</v>
      </c>
      <c r="T2419">
        <v>-7.2463749999999993E-2</v>
      </c>
      <c r="U2419">
        <v>-0.51077269999999997</v>
      </c>
      <c r="V2419">
        <v>-2.4682809999999999E-2</v>
      </c>
      <c r="W2419">
        <v>0.20894989999999999</v>
      </c>
      <c r="X2419">
        <v>0.97761480000000001</v>
      </c>
      <c r="Y2419">
        <v>0.13705880000000001</v>
      </c>
      <c r="Z2419">
        <v>-1.392346E-3</v>
      </c>
      <c r="AA2419">
        <v>0.9905619</v>
      </c>
      <c r="AB2419">
        <v>30</v>
      </c>
      <c r="AC2419">
        <v>43.953800000000001</v>
      </c>
      <c r="AD2419">
        <v>-1.04121704</v>
      </c>
      <c r="AE2419">
        <v>-7.3323999999999696</v>
      </c>
      <c r="AF2419">
        <v>6.1451444892069098</v>
      </c>
      <c r="AG2419">
        <v>-1.04121704</v>
      </c>
      <c r="AH2419">
        <v>44.110898108951602</v>
      </c>
      <c r="AI2419">
        <v>91.339260177380993</v>
      </c>
      <c r="AJ2419">
        <v>82.0690969606122</v>
      </c>
      <c r="AK2419">
        <v>44.549054599350697</v>
      </c>
      <c r="AL2419">
        <v>77.939179186056705</v>
      </c>
      <c r="AM2419">
        <v>91.446296077792297</v>
      </c>
      <c r="AN2419">
        <v>0.99999999949927298</v>
      </c>
    </row>
    <row r="2420" spans="1:40" x14ac:dyDescent="0.25">
      <c r="A2420" t="str">
        <f>"20190303170811955"</f>
        <v>20190303170811955</v>
      </c>
      <c r="B2420" t="str">
        <f>"1551604091945648"</f>
        <v>1551604091945648</v>
      </c>
      <c r="C2420" t="s">
        <v>40</v>
      </c>
      <c r="D2420">
        <v>4.7197570000000004</v>
      </c>
      <c r="E2420">
        <v>0.50137900000000002</v>
      </c>
      <c r="F2420" t="s">
        <v>63</v>
      </c>
      <c r="G2420">
        <v>-373.54270000000002</v>
      </c>
      <c r="H2420" s="1">
        <v>3.4845150000000001E-7</v>
      </c>
      <c r="I2420">
        <v>210.73</v>
      </c>
      <c r="J2420">
        <v>-440.36700000000002</v>
      </c>
      <c r="K2420">
        <v>1.121227</v>
      </c>
      <c r="L2420">
        <v>212.61160000000001</v>
      </c>
      <c r="M2420">
        <v>0.99966719999999998</v>
      </c>
      <c r="N2420">
        <v>-4.3305230000000002E-3</v>
      </c>
      <c r="O2420">
        <v>-2.5428780000000002E-2</v>
      </c>
      <c r="P2420">
        <v>0.97872380000000003</v>
      </c>
      <c r="Q2420">
        <v>0.20517659999999999</v>
      </c>
      <c r="R2420">
        <v>-1.627725E-3</v>
      </c>
      <c r="S2420">
        <v>3.0754999999999999</v>
      </c>
      <c r="T2420">
        <v>-5.1361320000000002E-2</v>
      </c>
      <c r="U2420">
        <v>-8.6517330000000003E-2</v>
      </c>
      <c r="V2420">
        <v>-2.3823919999999998E-2</v>
      </c>
      <c r="W2420">
        <v>0.2093486</v>
      </c>
      <c r="X2420">
        <v>0.97755080000000005</v>
      </c>
      <c r="Y2420">
        <v>2.6934300000000001E-3</v>
      </c>
      <c r="Z2420">
        <v>2.8604889999999999E-4</v>
      </c>
      <c r="AA2420">
        <v>0.99999629999999995</v>
      </c>
      <c r="AB2420">
        <v>30</v>
      </c>
      <c r="AC2420">
        <v>66.824299999999894</v>
      </c>
      <c r="AD2420">
        <v>-1.1212266515485001</v>
      </c>
      <c r="AE2420">
        <v>-1.8816000000000199</v>
      </c>
      <c r="AF2420">
        <v>0.18166399176880599</v>
      </c>
      <c r="AG2420">
        <v>-1.1212266515485001</v>
      </c>
      <c r="AH2420">
        <v>66.831738338578106</v>
      </c>
      <c r="AI2420">
        <v>90.961149495045007</v>
      </c>
      <c r="AJ2420">
        <v>89.844257314844995</v>
      </c>
      <c r="AK2420">
        <v>66.841389874584493</v>
      </c>
      <c r="AL2420">
        <v>77.915818608196503</v>
      </c>
      <c r="AM2420">
        <v>91.396080813187595</v>
      </c>
      <c r="AN2420">
        <v>0.999999991033383</v>
      </c>
    </row>
    <row r="2421" spans="1:40" x14ac:dyDescent="0.25">
      <c r="A2421" t="str">
        <f>"20190303170811987"</f>
        <v>20190303170811987</v>
      </c>
      <c r="B2421" t="str">
        <f>"1551604091974929"</f>
        <v>1551604091974929</v>
      </c>
      <c r="C2421" t="s">
        <v>40</v>
      </c>
      <c r="D2421">
        <v>4.7195220000000004</v>
      </c>
      <c r="E2421">
        <v>0.49510120000000002</v>
      </c>
      <c r="F2421" t="s">
        <v>63</v>
      </c>
      <c r="G2421">
        <v>-354.78309999999999</v>
      </c>
      <c r="H2421" s="1">
        <v>1.0789510000000001E-6</v>
      </c>
      <c r="I2421">
        <v>213.00550000000001</v>
      </c>
      <c r="J2421">
        <v>-439.93610000000001</v>
      </c>
      <c r="K2421">
        <v>1.121229</v>
      </c>
      <c r="L2421">
        <v>212.6027</v>
      </c>
      <c r="M2421">
        <v>0.99971600000000005</v>
      </c>
      <c r="N2421">
        <v>-4.2841939999999998E-3</v>
      </c>
      <c r="O2421">
        <v>-2.3447229999999999E-2</v>
      </c>
      <c r="P2421">
        <v>0.97866770000000003</v>
      </c>
      <c r="Q2421">
        <v>0.20544870000000001</v>
      </c>
      <c r="R2421">
        <v>-6.8761590000000002E-4</v>
      </c>
      <c r="S2421">
        <v>3.0736690000000002</v>
      </c>
      <c r="T2421">
        <v>-4.0267829999999998E-2</v>
      </c>
      <c r="U2421">
        <v>1.41448999999999E-2</v>
      </c>
      <c r="V2421">
        <v>-2.2830369999999999E-2</v>
      </c>
      <c r="W2421">
        <v>0.20957709999999999</v>
      </c>
      <c r="X2421">
        <v>0.97752559999999999</v>
      </c>
      <c r="Y2421">
        <v>-2.8043740000000001E-2</v>
      </c>
      <c r="Z2421">
        <v>4.5045950000000001E-4</v>
      </c>
      <c r="AA2421">
        <v>0.99960660000000001</v>
      </c>
      <c r="AB2421">
        <v>30</v>
      </c>
      <c r="AC2421">
        <v>85.153000000000006</v>
      </c>
      <c r="AD2421">
        <v>-1.1212279210489999</v>
      </c>
      <c r="AE2421">
        <v>0.40280000000001298</v>
      </c>
      <c r="AF2421">
        <v>-2.39889345070798</v>
      </c>
      <c r="AG2421">
        <v>-1.1212279210489999</v>
      </c>
      <c r="AH2421">
        <v>85.1053894689571</v>
      </c>
      <c r="AI2421">
        <v>90.754504627231299</v>
      </c>
      <c r="AJ2421">
        <v>91.614587358766698</v>
      </c>
      <c r="AK2421">
        <v>85.146574555302394</v>
      </c>
      <c r="AL2421">
        <v>77.902430140551203</v>
      </c>
      <c r="AM2421">
        <v>91.337914919109394</v>
      </c>
      <c r="AN2421">
        <v>1.0000000426470499</v>
      </c>
    </row>
    <row r="2422" spans="1:40" x14ac:dyDescent="0.25">
      <c r="A2422" t="str">
        <f>"20190303170812024"</f>
        <v>20190303170812024</v>
      </c>
      <c r="B2422" t="str">
        <f>"1551604092014944"</f>
        <v>1551604092014944</v>
      </c>
      <c r="C2422" t="s">
        <v>40</v>
      </c>
      <c r="D2422">
        <v>4.6488129999999996</v>
      </c>
      <c r="E2422">
        <v>0.49218469999999997</v>
      </c>
      <c r="F2422" t="s">
        <v>63</v>
      </c>
      <c r="G2422">
        <v>-344.25229999999999</v>
      </c>
      <c r="H2422" s="1">
        <v>7.2605380000000004E-7</v>
      </c>
      <c r="I2422">
        <v>214.69649999999999</v>
      </c>
      <c r="J2422">
        <v>-439.42829999999998</v>
      </c>
      <c r="K2422">
        <v>1.121227</v>
      </c>
      <c r="L2422">
        <v>212.5932</v>
      </c>
      <c r="M2422">
        <v>0.99976799999999999</v>
      </c>
      <c r="N2422">
        <v>-4.2439180000000002E-3</v>
      </c>
      <c r="O2422">
        <v>-2.112081E-2</v>
      </c>
      <c r="P2422">
        <v>0.97865519999999995</v>
      </c>
      <c r="Q2422">
        <v>0.2055101</v>
      </c>
      <c r="R2422">
        <v>-1.844335E-4</v>
      </c>
      <c r="S2422">
        <v>3.0729980000000001</v>
      </c>
      <c r="T2422">
        <v>-3.6009550000000001E-2</v>
      </c>
      <c r="U2422">
        <v>6.7245479999999996E-2</v>
      </c>
      <c r="V2422">
        <v>-2.106361E-2</v>
      </c>
      <c r="W2422">
        <v>0.2096036</v>
      </c>
      <c r="X2422">
        <v>0.97755950000000003</v>
      </c>
      <c r="Y2422">
        <v>-4.2983920000000002E-2</v>
      </c>
      <c r="Z2422">
        <v>5.008654E-4</v>
      </c>
      <c r="AA2422">
        <v>0.99907570000000001</v>
      </c>
      <c r="AB2422">
        <v>31</v>
      </c>
      <c r="AC2422">
        <v>95.176000000000002</v>
      </c>
      <c r="AD2422">
        <v>-1.1212262739462</v>
      </c>
      <c r="AE2422">
        <v>2.10329999999998</v>
      </c>
      <c r="AF2422">
        <v>-4.1124725149942298</v>
      </c>
      <c r="AG2422">
        <v>-1.1212262739462</v>
      </c>
      <c r="AH2422">
        <v>95.097153706319105</v>
      </c>
      <c r="AI2422">
        <v>90.674873820124304</v>
      </c>
      <c r="AJ2422">
        <v>92.476210797007298</v>
      </c>
      <c r="AK2422">
        <v>95.192637433717806</v>
      </c>
      <c r="AL2422">
        <v>77.900876303116902</v>
      </c>
      <c r="AM2422">
        <v>91.234369093260696</v>
      </c>
      <c r="AN2422">
        <v>0.99999996041971995</v>
      </c>
    </row>
    <row r="2423" spans="1:40" x14ac:dyDescent="0.25">
      <c r="A2423" t="str">
        <f>"20190303170812044"</f>
        <v>20190303170812044</v>
      </c>
      <c r="B2423" t="str">
        <f>"1551604092035442"</f>
        <v>1551604092035442</v>
      </c>
      <c r="C2423" t="s">
        <v>40</v>
      </c>
      <c r="D2423">
        <v>4.6484579999999998</v>
      </c>
      <c r="E2423">
        <v>0.49125170000000001</v>
      </c>
      <c r="F2423" t="s">
        <v>63</v>
      </c>
      <c r="G2423">
        <v>-337.29969999999997</v>
      </c>
      <c r="H2423" s="1">
        <v>2.3011159999999999E-6</v>
      </c>
      <c r="I2423">
        <v>215.6831</v>
      </c>
      <c r="J2423">
        <v>-439.14420000000001</v>
      </c>
      <c r="K2423">
        <v>1.1212279999999999</v>
      </c>
      <c r="L2423">
        <v>212.58850000000001</v>
      </c>
      <c r="M2423">
        <v>0.99979450000000003</v>
      </c>
      <c r="N2423">
        <v>-4.2271740000000002E-3</v>
      </c>
      <c r="O2423">
        <v>-1.9824990000000001E-2</v>
      </c>
      <c r="P2423">
        <v>0.97854470000000005</v>
      </c>
      <c r="Q2423">
        <v>0.20603450000000001</v>
      </c>
      <c r="R2423">
        <v>-6.0203669999999896E-4</v>
      </c>
      <c r="S2423">
        <v>3.0725099999999999</v>
      </c>
      <c r="T2423">
        <v>-3.3731700000000003E-2</v>
      </c>
      <c r="U2423">
        <v>9.2956540000000004E-2</v>
      </c>
      <c r="V2423">
        <v>-1.9380979999999999E-2</v>
      </c>
      <c r="W2423">
        <v>0.21011560000000001</v>
      </c>
      <c r="X2423">
        <v>0.97748449999999998</v>
      </c>
      <c r="Y2423">
        <v>-5.004596E-2</v>
      </c>
      <c r="Z2423">
        <v>5.1426819999999998E-4</v>
      </c>
      <c r="AA2423">
        <v>0.99874680000000005</v>
      </c>
      <c r="AB2423">
        <v>31</v>
      </c>
      <c r="AC2423">
        <v>101.8445</v>
      </c>
      <c r="AD2423">
        <v>-1.1212256988839999</v>
      </c>
      <c r="AE2423">
        <v>3.0945999999999798</v>
      </c>
      <c r="AF2423">
        <v>-5.11245701633589</v>
      </c>
      <c r="AG2423">
        <v>-1.1212256988839999</v>
      </c>
      <c r="AH2423">
        <v>101.750811668224</v>
      </c>
      <c r="AI2423">
        <v>90.630540160237103</v>
      </c>
      <c r="AJ2423">
        <v>92.876400484601504</v>
      </c>
      <c r="AK2423">
        <v>101.88533770348999</v>
      </c>
      <c r="AL2423">
        <v>77.870874050327799</v>
      </c>
      <c r="AM2423">
        <v>91.135877730836398</v>
      </c>
      <c r="AN2423">
        <v>1.0000000677446801</v>
      </c>
    </row>
    <row r="2424" spans="1:40" x14ac:dyDescent="0.25">
      <c r="A2424" t="str">
        <f>"20190303170812066"</f>
        <v>20190303170812066</v>
      </c>
      <c r="B2424" t="str">
        <f>"1551604092054961"</f>
        <v>1551604092054961</v>
      </c>
      <c r="C2424" t="s">
        <v>40</v>
      </c>
      <c r="D2424">
        <v>4.5915629999999998</v>
      </c>
      <c r="E2424">
        <v>0.49079299999999998</v>
      </c>
      <c r="F2424" t="s">
        <v>63</v>
      </c>
      <c r="G2424">
        <v>-329.99740000000003</v>
      </c>
      <c r="H2424" s="1">
        <v>-1.6044700000000001E-6</v>
      </c>
      <c r="I2424">
        <v>216.13290000000001</v>
      </c>
      <c r="J2424">
        <v>-438.83940000000001</v>
      </c>
      <c r="K2424">
        <v>1.1212260000000001</v>
      </c>
      <c r="L2424">
        <v>212.58369999999999</v>
      </c>
      <c r="M2424">
        <v>0.99982110000000002</v>
      </c>
      <c r="N2424">
        <v>-4.2133910000000004E-3</v>
      </c>
      <c r="O2424">
        <v>-1.8445599999999999E-2</v>
      </c>
      <c r="P2424">
        <v>0.97850170000000003</v>
      </c>
      <c r="Q2424">
        <v>0.2062389</v>
      </c>
      <c r="R2424">
        <v>-4.2157430000000002E-4</v>
      </c>
      <c r="S2424">
        <v>3.072479</v>
      </c>
      <c r="T2424">
        <v>-3.1562569999999998E-2</v>
      </c>
      <c r="U2424">
        <v>9.977722E-2</v>
      </c>
      <c r="V2424">
        <v>-1.8212610000000001E-2</v>
      </c>
      <c r="W2424">
        <v>0.21030950000000001</v>
      </c>
      <c r="X2424">
        <v>0.97746520000000003</v>
      </c>
      <c r="Y2424">
        <v>-5.08838E-2</v>
      </c>
      <c r="Z2424">
        <v>4.8025189999999999E-4</v>
      </c>
      <c r="AA2424">
        <v>0.9987045</v>
      </c>
      <c r="AB2424">
        <v>31</v>
      </c>
      <c r="AC2424">
        <v>108.841999999999</v>
      </c>
      <c r="AD2424">
        <v>-1.12122760447</v>
      </c>
      <c r="AE2424">
        <v>3.5492000000000101</v>
      </c>
      <c r="AF2424">
        <v>-5.5556807992864199</v>
      </c>
      <c r="AG2424">
        <v>-1.12122760447</v>
      </c>
      <c r="AH2424">
        <v>108.746486345798</v>
      </c>
      <c r="AI2424">
        <v>90.589956256364104</v>
      </c>
      <c r="AJ2424">
        <v>92.924605360159305</v>
      </c>
      <c r="AK2424">
        <v>108.894081717242</v>
      </c>
      <c r="AL2424">
        <v>77.859509667060905</v>
      </c>
      <c r="AM2424">
        <v>91.067439489637707</v>
      </c>
      <c r="AN2424">
        <v>1.0000000010821499</v>
      </c>
    </row>
    <row r="2425" spans="1:40" x14ac:dyDescent="0.25">
      <c r="A2425" t="str">
        <f>"20190303170812092"</f>
        <v>20190303170812092</v>
      </c>
      <c r="B2425" t="str">
        <f>"1551604092085217"</f>
        <v>1551604092085217</v>
      </c>
      <c r="C2425" t="s">
        <v>40</v>
      </c>
      <c r="D2425">
        <v>4.6528280000000004</v>
      </c>
      <c r="E2425">
        <v>0.49010609999999999</v>
      </c>
      <c r="F2425" t="s">
        <v>63</v>
      </c>
      <c r="G2425">
        <v>-327.52539999999999</v>
      </c>
      <c r="H2425" s="1">
        <v>2.4678529999999999E-6</v>
      </c>
      <c r="I2425">
        <v>216.39099999999999</v>
      </c>
      <c r="J2425">
        <v>-438.48849999999999</v>
      </c>
      <c r="K2425">
        <v>1.121219</v>
      </c>
      <c r="L2425">
        <v>212.5788</v>
      </c>
      <c r="M2425">
        <v>0.99984859999999998</v>
      </c>
      <c r="N2425">
        <v>-4.2024250000000001E-3</v>
      </c>
      <c r="O2425">
        <v>-1.6883840000000001E-2</v>
      </c>
      <c r="P2425">
        <v>0.97837189999999996</v>
      </c>
      <c r="Q2425">
        <v>0.20685229999999999</v>
      </c>
      <c r="R2425">
        <v>9.6975079999999996E-4</v>
      </c>
      <c r="S2425">
        <v>3.072479</v>
      </c>
      <c r="T2425">
        <v>-3.094792E-2</v>
      </c>
      <c r="U2425">
        <v>0.10508729999999999</v>
      </c>
      <c r="V2425">
        <v>-1.8073180000000001E-2</v>
      </c>
      <c r="W2425">
        <v>0.21091219999999999</v>
      </c>
      <c r="X2425">
        <v>0.97733789999999998</v>
      </c>
      <c r="Y2425">
        <v>-5.1048070000000001E-2</v>
      </c>
      <c r="Z2425">
        <v>4.633986E-4</v>
      </c>
      <c r="AA2425">
        <v>0.99869609999999998</v>
      </c>
      <c r="AB2425">
        <v>31</v>
      </c>
      <c r="AC2425">
        <v>110.9631</v>
      </c>
      <c r="AD2425">
        <v>-1.121216532147</v>
      </c>
      <c r="AE2425">
        <v>3.81219999999999</v>
      </c>
      <c r="AF2425">
        <v>-5.6845767042909596</v>
      </c>
      <c r="AG2425">
        <v>-1.121216532147</v>
      </c>
      <c r="AH2425">
        <v>110.871611107926</v>
      </c>
      <c r="AI2425">
        <v>90.578637953861005</v>
      </c>
      <c r="AJ2425">
        <v>92.935082288609706</v>
      </c>
      <c r="AK2425">
        <v>111.022906143219</v>
      </c>
      <c r="AL2425">
        <v>77.824184952000493</v>
      </c>
      <c r="AM2425">
        <v>91.059407318885604</v>
      </c>
      <c r="AN2425">
        <v>0.99999998336028095</v>
      </c>
    </row>
    <row r="2426" spans="1:40" x14ac:dyDescent="0.25">
      <c r="A2426" t="str">
        <f>"20190303170812110"</f>
        <v>20190303170812110</v>
      </c>
      <c r="B2426" t="str">
        <f>"1551604092105713"</f>
        <v>1551604092105713</v>
      </c>
      <c r="C2426" t="s">
        <v>40</v>
      </c>
      <c r="D2426">
        <v>4.5944890000000003</v>
      </c>
      <c r="E2426">
        <v>0.48974719999999999</v>
      </c>
      <c r="F2426" t="s">
        <v>71</v>
      </c>
      <c r="G2426">
        <v>-318.73309999999998</v>
      </c>
      <c r="H2426" s="1">
        <v>4.778429E-6</v>
      </c>
      <c r="I2426">
        <v>217.0401</v>
      </c>
      <c r="J2426">
        <v>-438.20929999999998</v>
      </c>
      <c r="K2426">
        <v>1.121216</v>
      </c>
      <c r="L2426">
        <v>212.5752</v>
      </c>
      <c r="M2426">
        <v>0.99986850000000005</v>
      </c>
      <c r="N2426">
        <v>-4.1973009999999996E-3</v>
      </c>
      <c r="O2426">
        <v>-1.5671859999999999E-2</v>
      </c>
      <c r="P2426">
        <v>0.97798149999999995</v>
      </c>
      <c r="Q2426">
        <v>0.2086673</v>
      </c>
      <c r="R2426">
        <v>3.2225439999999999E-3</v>
      </c>
      <c r="S2426">
        <v>3.0722960000000001</v>
      </c>
      <c r="T2426">
        <v>-2.876449E-2</v>
      </c>
      <c r="U2426">
        <v>0.11445619999999999</v>
      </c>
      <c r="V2426">
        <v>-1.9134109999999999E-2</v>
      </c>
      <c r="W2426">
        <v>0.21271799999999999</v>
      </c>
      <c r="X2426">
        <v>0.97692630000000003</v>
      </c>
      <c r="Y2426">
        <v>-5.2881450000000003E-2</v>
      </c>
      <c r="Z2426">
        <v>4.3941029999999999E-4</v>
      </c>
      <c r="AA2426">
        <v>0.99860070000000001</v>
      </c>
      <c r="AB2426">
        <v>31</v>
      </c>
      <c r="AC2426">
        <v>119.47620000000001</v>
      </c>
      <c r="AD2426">
        <v>-1.1212112215709999</v>
      </c>
      <c r="AE2426">
        <v>4.4649000000000001</v>
      </c>
      <c r="AF2426">
        <v>-6.3362249653812599</v>
      </c>
      <c r="AG2426">
        <v>-1.1212112215709999</v>
      </c>
      <c r="AH2426">
        <v>119.381053999616</v>
      </c>
      <c r="AI2426">
        <v>90.537342358932094</v>
      </c>
      <c r="AJ2426">
        <v>93.038159030363602</v>
      </c>
      <c r="AK2426">
        <v>119.554342938575</v>
      </c>
      <c r="AL2426">
        <v>77.718318634642301</v>
      </c>
      <c r="AM2426">
        <v>91.122053520991898</v>
      </c>
      <c r="AN2426">
        <v>1.0000000286605899</v>
      </c>
    </row>
    <row r="2427" spans="1:40" x14ac:dyDescent="0.25">
      <c r="A2427" t="str">
        <f>"20190303170812134"</f>
        <v>20190303170812134</v>
      </c>
      <c r="B2427" t="str">
        <f>"1551604092125234"</f>
        <v>1551604092125234</v>
      </c>
      <c r="C2427" t="s">
        <v>40</v>
      </c>
      <c r="D2427">
        <v>4.5878560000000004</v>
      </c>
      <c r="E2427">
        <v>0.48912519999999998</v>
      </c>
      <c r="F2427" t="s">
        <v>71</v>
      </c>
      <c r="G2427">
        <v>-290.54469999999998</v>
      </c>
      <c r="H2427" s="1">
        <v>9.9103780000000003E-7</v>
      </c>
      <c r="I2427">
        <v>218.5292</v>
      </c>
      <c r="J2427">
        <v>-437.8877</v>
      </c>
      <c r="K2427">
        <v>1.1212070000000001</v>
      </c>
      <c r="L2427">
        <v>212.57149999999999</v>
      </c>
      <c r="M2427">
        <v>0.99988880000000002</v>
      </c>
      <c r="N2427">
        <v>-4.1946300000000004E-3</v>
      </c>
      <c r="O2427">
        <v>-1.4310990000000001E-2</v>
      </c>
      <c r="P2427">
        <v>0.97756120000000002</v>
      </c>
      <c r="Q2427">
        <v>0.21057400000000001</v>
      </c>
      <c r="R2427">
        <v>5.7272E-3</v>
      </c>
      <c r="S2427">
        <v>3.0721129999999999</v>
      </c>
      <c r="T2427">
        <v>-2.332652E-2</v>
      </c>
      <c r="U2427">
        <v>0.1238708</v>
      </c>
      <c r="V2427">
        <v>-2.0298429999999999E-2</v>
      </c>
      <c r="W2427">
        <v>0.21461759999999999</v>
      </c>
      <c r="X2427">
        <v>0.9764872</v>
      </c>
      <c r="Y2427">
        <v>-5.458118E-2</v>
      </c>
      <c r="Z2427">
        <v>3.7027400000000003E-4</v>
      </c>
      <c r="AA2427">
        <v>0.99850930000000004</v>
      </c>
      <c r="AB2427">
        <v>32</v>
      </c>
      <c r="AC2427">
        <v>147.34299999999999</v>
      </c>
      <c r="AD2427">
        <v>-1.1212060089622</v>
      </c>
      <c r="AE2427">
        <v>5.9577000000000098</v>
      </c>
      <c r="AF2427">
        <v>-8.0652663619444809</v>
      </c>
      <c r="AG2427">
        <v>-1.1212060089622</v>
      </c>
      <c r="AH2427">
        <v>147.23413778391901</v>
      </c>
      <c r="AI2427">
        <v>90.435652837703401</v>
      </c>
      <c r="AJ2427">
        <v>93.135443649843396</v>
      </c>
      <c r="AK2427">
        <v>147.459136554428</v>
      </c>
      <c r="AL2427">
        <v>77.606906239656098</v>
      </c>
      <c r="AM2427">
        <v>91.190847045841394</v>
      </c>
      <c r="AN2427">
        <v>0.99999999612703205</v>
      </c>
    </row>
    <row r="2428" spans="1:40" x14ac:dyDescent="0.25">
      <c r="A2428" t="str">
        <f>"20190303170812155"</f>
        <v>20190303170812155</v>
      </c>
      <c r="B2428" t="str">
        <f>"1551604092145729"</f>
        <v>1551604092145729</v>
      </c>
      <c r="C2428" t="s">
        <v>40</v>
      </c>
      <c r="D2428">
        <v>4.6091639999999998</v>
      </c>
      <c r="E2428">
        <v>0.48885469999999998</v>
      </c>
      <c r="F2428" t="s">
        <v>63</v>
      </c>
      <c r="G2428">
        <v>-255.06030000000001</v>
      </c>
      <c r="H2428">
        <v>7.9999760000000003E-2</v>
      </c>
      <c r="I2428">
        <v>220.68770000000001</v>
      </c>
      <c r="J2428">
        <v>-437.5779</v>
      </c>
      <c r="K2428">
        <v>1.121186</v>
      </c>
      <c r="L2428">
        <v>212.56829999999999</v>
      </c>
      <c r="M2428">
        <v>0.99990610000000002</v>
      </c>
      <c r="N2428">
        <v>-4.1934479999999998E-3</v>
      </c>
      <c r="O2428">
        <v>-1.3045030000000001E-2</v>
      </c>
      <c r="P2428">
        <v>0.9773733</v>
      </c>
      <c r="Q2428">
        <v>0.21139520000000001</v>
      </c>
      <c r="R2428">
        <v>7.3058810000000002E-3</v>
      </c>
      <c r="S2428">
        <v>3.0718380000000001</v>
      </c>
      <c r="T2428">
        <v>-1.7494200000000001E-2</v>
      </c>
      <c r="U2428">
        <v>0.13636779999999901</v>
      </c>
      <c r="V2428">
        <v>-2.062754E-2</v>
      </c>
      <c r="W2428">
        <v>0.21543680000000001</v>
      </c>
      <c r="X2428">
        <v>0.9762999</v>
      </c>
      <c r="Y2428">
        <v>-5.7376129999999997E-2</v>
      </c>
      <c r="Z2428">
        <v>3.0324520000000002E-4</v>
      </c>
      <c r="AA2428">
        <v>0.99835260000000003</v>
      </c>
      <c r="AB2428">
        <v>32</v>
      </c>
      <c r="AC2428">
        <v>182.51759999999999</v>
      </c>
      <c r="AD2428">
        <v>-1.04118624</v>
      </c>
      <c r="AE2428">
        <v>8.1194000000000095</v>
      </c>
      <c r="AF2428">
        <v>-10.499336652874</v>
      </c>
      <c r="AG2428">
        <v>-1.04118624</v>
      </c>
      <c r="AH2428">
        <v>182.39022688734499</v>
      </c>
      <c r="AI2428">
        <v>90.326532492510495</v>
      </c>
      <c r="AJ2428">
        <v>93.294609164399503</v>
      </c>
      <c r="AK2428">
        <v>182.69514225330099</v>
      </c>
      <c r="AL2428">
        <v>77.558845376808804</v>
      </c>
      <c r="AM2428">
        <v>91.210381325167504</v>
      </c>
      <c r="AN2428">
        <v>1.0000000024703499</v>
      </c>
    </row>
    <row r="2429" spans="1:40" x14ac:dyDescent="0.25">
      <c r="A2429" t="str">
        <f>"20190303170812177"</f>
        <v>20190303170812177</v>
      </c>
      <c r="B2429" t="str">
        <f>"1551604092165252"</f>
        <v>1551604092165252</v>
      </c>
      <c r="C2429" t="s">
        <v>40</v>
      </c>
      <c r="D2429">
        <v>4.6188279999999997</v>
      </c>
      <c r="E2429">
        <v>0.48856470000000002</v>
      </c>
      <c r="F2429" t="s">
        <v>63</v>
      </c>
      <c r="G2429">
        <v>-242.34630000000001</v>
      </c>
      <c r="H2429">
        <v>8.0000399999999902E-2</v>
      </c>
      <c r="I2429">
        <v>221.6995</v>
      </c>
      <c r="J2429">
        <v>-437.25760000000002</v>
      </c>
      <c r="K2429">
        <v>1.121151</v>
      </c>
      <c r="L2429">
        <v>212.56530000000001</v>
      </c>
      <c r="M2429">
        <v>0.99992170000000002</v>
      </c>
      <c r="N2429">
        <v>-4.1908789999999998E-3</v>
      </c>
      <c r="O2429">
        <v>-1.179757E-2</v>
      </c>
      <c r="P2429">
        <v>0.97738510000000001</v>
      </c>
      <c r="Q2429">
        <v>0.21130060000000001</v>
      </c>
      <c r="R2429">
        <v>8.3944239999999993E-3</v>
      </c>
      <c r="S2429">
        <v>3.0718990000000002</v>
      </c>
      <c r="T2429">
        <v>-1.6382689999999998E-2</v>
      </c>
      <c r="U2429">
        <v>0.14367679999999999</v>
      </c>
      <c r="V2429">
        <v>-2.0479939999999999E-2</v>
      </c>
      <c r="W2429">
        <v>0.21534220000000001</v>
      </c>
      <c r="X2429">
        <v>0.97632379999999996</v>
      </c>
      <c r="Y2429">
        <v>-5.8500290000000003E-2</v>
      </c>
      <c r="Z2429">
        <v>2.9203310000000001E-4</v>
      </c>
      <c r="AA2429">
        <v>0.99828729999999999</v>
      </c>
      <c r="AB2429">
        <v>32</v>
      </c>
      <c r="AC2429">
        <v>194.91130000000001</v>
      </c>
      <c r="AD2429">
        <v>-1.0411505999999999</v>
      </c>
      <c r="AE2429">
        <v>9.1341999999999892</v>
      </c>
      <c r="AF2429">
        <v>-11.4327385301539</v>
      </c>
      <c r="AG2429">
        <v>-1.0411505999999999</v>
      </c>
      <c r="AH2429">
        <v>194.78442717648201</v>
      </c>
      <c r="AI2429">
        <v>90.305725061008502</v>
      </c>
      <c r="AJ2429">
        <v>93.359082697522695</v>
      </c>
      <c r="AK2429">
        <v>195.12243483346799</v>
      </c>
      <c r="AL2429">
        <v>77.5643948799528</v>
      </c>
      <c r="AM2429">
        <v>91.201693602733997</v>
      </c>
      <c r="AN2429">
        <v>0.99999992674483895</v>
      </c>
    </row>
    <row r="2430" spans="1:40" x14ac:dyDescent="0.25">
      <c r="A2430" t="str">
        <f>"20190303170812202"</f>
        <v>20190303170812202</v>
      </c>
      <c r="B2430" t="str">
        <f>"1551604092195505"</f>
        <v>1551604092195505</v>
      </c>
      <c r="C2430" t="s">
        <v>40</v>
      </c>
      <c r="D2430">
        <v>4.6454110000000002</v>
      </c>
      <c r="E2430">
        <v>0.48843500000000001</v>
      </c>
      <c r="F2430" t="s">
        <v>63</v>
      </c>
      <c r="G2430">
        <v>-255.03049999999999</v>
      </c>
      <c r="H2430">
        <v>7.9999730000000005E-2</v>
      </c>
      <c r="I2430">
        <v>221.41669999999999</v>
      </c>
      <c r="J2430">
        <v>-436.90719999999999</v>
      </c>
      <c r="K2430">
        <v>1.121092</v>
      </c>
      <c r="L2430">
        <v>212.5624</v>
      </c>
      <c r="M2430">
        <v>0.99993600000000005</v>
      </c>
      <c r="N2430">
        <v>-4.1877260000000001E-3</v>
      </c>
      <c r="O2430">
        <v>-1.051581E-2</v>
      </c>
      <c r="P2430">
        <v>0.97744969999999998</v>
      </c>
      <c r="Q2430">
        <v>0.21095749999999999</v>
      </c>
      <c r="R2430">
        <v>9.44533E-3</v>
      </c>
      <c r="S2430">
        <v>3.07193</v>
      </c>
      <c r="T2430">
        <v>-1.7551420000000002E-2</v>
      </c>
      <c r="U2430">
        <v>0.14921570000000001</v>
      </c>
      <c r="V2430">
        <v>-2.025339E-2</v>
      </c>
      <c r="W2430">
        <v>0.214999</v>
      </c>
      <c r="X2430">
        <v>0.97640420000000006</v>
      </c>
      <c r="Y2430">
        <v>-5.901588E-2</v>
      </c>
      <c r="Z2430">
        <v>3.0817840000000002E-4</v>
      </c>
      <c r="AA2430">
        <v>0.99825699999999995</v>
      </c>
      <c r="AB2430">
        <v>32</v>
      </c>
      <c r="AC2430">
        <v>181.8767</v>
      </c>
      <c r="AD2430">
        <v>-1.04109227</v>
      </c>
      <c r="AE2430">
        <v>8.8542999999999896</v>
      </c>
      <c r="AF2430">
        <v>-10.7660559598025</v>
      </c>
      <c r="AG2430">
        <v>-1.04109227</v>
      </c>
      <c r="AH2430">
        <v>181.76759070446801</v>
      </c>
      <c r="AI2430">
        <v>90.327589682639299</v>
      </c>
      <c r="AJ2430">
        <v>93.389656777562095</v>
      </c>
      <c r="AK2430">
        <v>182.08912341090399</v>
      </c>
      <c r="AL2430">
        <v>77.584530931390404</v>
      </c>
      <c r="AM2430">
        <v>91.188306420006299</v>
      </c>
      <c r="AN2430">
        <v>0.999999965792565</v>
      </c>
    </row>
    <row r="2431" spans="1:40" x14ac:dyDescent="0.25">
      <c r="A2431" t="str">
        <f>"20190303170812225"</f>
        <v>20190303170812225</v>
      </c>
      <c r="B2431" t="str">
        <f>"1551604092215025"</f>
        <v>1551604092215025</v>
      </c>
      <c r="C2431" t="s">
        <v>40</v>
      </c>
      <c r="D2431">
        <v>4.6453980000000001</v>
      </c>
      <c r="E2431">
        <v>0.4884037</v>
      </c>
      <c r="F2431" t="s">
        <v>71</v>
      </c>
      <c r="G2431">
        <v>-283.46839999999997</v>
      </c>
      <c r="H2431">
        <v>7.9999290000000001E-2</v>
      </c>
      <c r="I2431">
        <v>220.21129999999999</v>
      </c>
      <c r="J2431">
        <v>-436.57510000000002</v>
      </c>
      <c r="K2431">
        <v>1.121024</v>
      </c>
      <c r="L2431">
        <v>212.5599</v>
      </c>
      <c r="M2431">
        <v>0.99994720000000004</v>
      </c>
      <c r="N2431">
        <v>-4.1861119999999996E-3</v>
      </c>
      <c r="O2431">
        <v>-9.3903489999999992E-3</v>
      </c>
      <c r="P2431">
        <v>0.97737700000000005</v>
      </c>
      <c r="Q2431">
        <v>0.2112869</v>
      </c>
      <c r="R2431">
        <v>9.5980059999999992E-3</v>
      </c>
      <c r="S2431">
        <v>3.0722659999999999</v>
      </c>
      <c r="T2431">
        <v>-2.0845530000000001E-2</v>
      </c>
      <c r="U2431">
        <v>0.1531525</v>
      </c>
      <c r="V2431">
        <v>-1.9278389999999999E-2</v>
      </c>
      <c r="W2431">
        <v>0.21533160000000001</v>
      </c>
      <c r="X2431">
        <v>0.97635070000000002</v>
      </c>
      <c r="Y2431">
        <v>-5.9162550000000001E-2</v>
      </c>
      <c r="Z2431">
        <v>3.4888850000000001E-4</v>
      </c>
      <c r="AA2431">
        <v>0.99824829999999998</v>
      </c>
      <c r="AB2431">
        <v>32</v>
      </c>
      <c r="AC2431">
        <v>153.10669999999999</v>
      </c>
      <c r="AD2431">
        <v>-1.0410247100000001</v>
      </c>
      <c r="AE2431">
        <v>7.65139999999999</v>
      </c>
      <c r="AF2431">
        <v>-9.0883813919372507</v>
      </c>
      <c r="AG2431">
        <v>-1.0410247100000001</v>
      </c>
      <c r="AH2431">
        <v>153.02104272142901</v>
      </c>
      <c r="AI2431">
        <v>90.389099964740495</v>
      </c>
      <c r="AJ2431">
        <v>93.398976295215803</v>
      </c>
      <c r="AK2431">
        <v>153.29423317374199</v>
      </c>
      <c r="AL2431">
        <v>77.5650180071205</v>
      </c>
      <c r="AM2431">
        <v>91.131178445184204</v>
      </c>
      <c r="AN2431">
        <v>1.00000002183502</v>
      </c>
    </row>
    <row r="2432" spans="1:40" x14ac:dyDescent="0.25">
      <c r="A2432" t="str">
        <f>"20190303170812246"</f>
        <v>20190303170812246</v>
      </c>
      <c r="B2432" t="str">
        <f>"1551604092235521"</f>
        <v>1551604092235521</v>
      </c>
      <c r="C2432" t="s">
        <v>40</v>
      </c>
      <c r="D2432">
        <v>4.5876039999999998</v>
      </c>
      <c r="E2432">
        <v>0.48830800000000002</v>
      </c>
      <c r="F2432" t="s">
        <v>71</v>
      </c>
      <c r="G2432">
        <v>-282.80290000000002</v>
      </c>
      <c r="H2432">
        <v>7.9999130000000002E-2</v>
      </c>
      <c r="I2432">
        <v>220.2372</v>
      </c>
      <c r="J2432">
        <v>-436.27229999999997</v>
      </c>
      <c r="K2432">
        <v>1.120976</v>
      </c>
      <c r="L2432">
        <v>212.55799999999999</v>
      </c>
      <c r="M2432">
        <v>0.99995560000000006</v>
      </c>
      <c r="N2432">
        <v>-4.1862440000000004E-3</v>
      </c>
      <c r="O2432">
        <v>-8.4502789999999998E-3</v>
      </c>
      <c r="P2432">
        <v>0.97710240000000004</v>
      </c>
      <c r="Q2432">
        <v>0.21257039999999999</v>
      </c>
      <c r="R2432">
        <v>9.2123389999999999E-3</v>
      </c>
      <c r="S2432">
        <v>3.0724490000000002</v>
      </c>
      <c r="T2432">
        <v>-2.0800229999999999E-2</v>
      </c>
      <c r="U2432">
        <v>0.15339659999999999</v>
      </c>
      <c r="V2432">
        <v>-1.7944890000000002E-2</v>
      </c>
      <c r="W2432">
        <v>0.2166198</v>
      </c>
      <c r="X2432">
        <v>0.97609109999999999</v>
      </c>
      <c r="Y2432">
        <v>-5.8300270000000001E-2</v>
      </c>
      <c r="Z2432">
        <v>3.4114989999999999E-4</v>
      </c>
      <c r="AA2432">
        <v>0.99829909999999999</v>
      </c>
      <c r="AB2432">
        <v>32</v>
      </c>
      <c r="AC2432">
        <v>153.46939999999901</v>
      </c>
      <c r="AD2432">
        <v>-1.0409768699999999</v>
      </c>
      <c r="AE2432">
        <v>7.6791999999999998</v>
      </c>
      <c r="AF2432">
        <v>-8.9753844268982501</v>
      </c>
      <c r="AG2432">
        <v>-1.0409768699999999</v>
      </c>
      <c r="AH2432">
        <v>153.39198873111999</v>
      </c>
      <c r="AI2432">
        <v>90.388161273425695</v>
      </c>
      <c r="AJ2432">
        <v>93.348714402430105</v>
      </c>
      <c r="AK2432">
        <v>153.65787765468599</v>
      </c>
      <c r="AL2432">
        <v>77.4894251746572</v>
      </c>
      <c r="AM2432">
        <v>91.053232273544097</v>
      </c>
      <c r="AN2432">
        <v>0.99999999616418001</v>
      </c>
    </row>
    <row r="2433" spans="1:40" x14ac:dyDescent="0.25">
      <c r="A2433" t="str">
        <f>"20190303170812267"</f>
        <v>20190303170812267</v>
      </c>
      <c r="B2433" t="str">
        <f>"1551604092255044"</f>
        <v>1551604092255044</v>
      </c>
      <c r="C2433" t="s">
        <v>40</v>
      </c>
      <c r="D2433">
        <v>4.6053689999999996</v>
      </c>
      <c r="E2433">
        <v>0.48818729999999999</v>
      </c>
      <c r="F2433" t="s">
        <v>63</v>
      </c>
      <c r="G2433">
        <v>-259.4135</v>
      </c>
      <c r="H2433">
        <v>8.0001009999999997E-2</v>
      </c>
      <c r="I2433">
        <v>221.37190000000001</v>
      </c>
      <c r="J2433">
        <v>-435.96629999999999</v>
      </c>
      <c r="K2433">
        <v>1.1209150000000001</v>
      </c>
      <c r="L2433">
        <v>212.55619999999999</v>
      </c>
      <c r="M2433">
        <v>0.99996260000000003</v>
      </c>
      <c r="N2433">
        <v>-4.1883160000000001E-3</v>
      </c>
      <c r="O2433">
        <v>-7.5846189999999999E-3</v>
      </c>
      <c r="P2433">
        <v>0.97698890000000005</v>
      </c>
      <c r="Q2433">
        <v>0.21310119999999999</v>
      </c>
      <c r="R2433">
        <v>8.9787300000000007E-3</v>
      </c>
      <c r="S2433">
        <v>3.0728149999999999</v>
      </c>
      <c r="T2433">
        <v>-1.8086310000000001E-2</v>
      </c>
      <c r="U2433">
        <v>0.1531372</v>
      </c>
      <c r="V2433">
        <v>-1.6833230000000001E-2</v>
      </c>
      <c r="W2433">
        <v>0.2171565</v>
      </c>
      <c r="X2433">
        <v>0.97599170000000002</v>
      </c>
      <c r="Y2433">
        <v>-5.7346500000000002E-2</v>
      </c>
      <c r="Z2433">
        <v>3.017017E-4</v>
      </c>
      <c r="AA2433">
        <v>0.99835430000000003</v>
      </c>
      <c r="AB2433">
        <v>32</v>
      </c>
      <c r="AC2433">
        <v>176.55279999999999</v>
      </c>
      <c r="AD2433">
        <v>-1.04091399</v>
      </c>
      <c r="AE2433">
        <v>8.8157000000000192</v>
      </c>
      <c r="AF2433">
        <v>-10.154191627566</v>
      </c>
      <c r="AG2433">
        <v>-1.04091399</v>
      </c>
      <c r="AH2433">
        <v>176.47473829291499</v>
      </c>
      <c r="AI2433">
        <v>90.337389979708007</v>
      </c>
      <c r="AJ2433">
        <v>93.293114626345499</v>
      </c>
      <c r="AK2433">
        <v>176.769693005042</v>
      </c>
      <c r="AL2433">
        <v>77.457925402966296</v>
      </c>
      <c r="AM2433">
        <v>90.988100019517304</v>
      </c>
      <c r="AN2433">
        <v>1.00000005079668</v>
      </c>
    </row>
    <row r="2434" spans="1:40" x14ac:dyDescent="0.25">
      <c r="A2434" t="str">
        <f>"20190303170812311"</f>
        <v>20190303170812311</v>
      </c>
      <c r="B2434" t="str">
        <f>"1551604092305793"</f>
        <v>1551604092305793</v>
      </c>
      <c r="C2434" t="s">
        <v>40</v>
      </c>
      <c r="D2434">
        <v>4.6388160000000003</v>
      </c>
      <c r="E2434">
        <v>0.48806460000000002</v>
      </c>
      <c r="F2434" t="s">
        <v>63</v>
      </c>
      <c r="G2434">
        <v>-251.24969999999999</v>
      </c>
      <c r="H2434">
        <v>8.0000070000000006E-2</v>
      </c>
      <c r="I2434">
        <v>221.79949999999999</v>
      </c>
      <c r="J2434">
        <v>-435.33319999999998</v>
      </c>
      <c r="K2434">
        <v>1.1207800000000001</v>
      </c>
      <c r="L2434">
        <v>212.5531</v>
      </c>
      <c r="M2434">
        <v>0.9999728</v>
      </c>
      <c r="N2434">
        <v>-4.1983630000000001E-3</v>
      </c>
      <c r="O2434">
        <v>-6.05494E-3</v>
      </c>
      <c r="P2434">
        <v>0.97706369999999998</v>
      </c>
      <c r="Q2434">
        <v>0.2127811</v>
      </c>
      <c r="R2434">
        <v>8.4208379999999999E-3</v>
      </c>
      <c r="S2434">
        <v>3.0730590000000002</v>
      </c>
      <c r="T2434">
        <v>-1.7317300000000001E-2</v>
      </c>
      <c r="U2434">
        <v>0.1537781</v>
      </c>
      <c r="V2434">
        <v>-1.471388E-2</v>
      </c>
      <c r="W2434">
        <v>0.21685579999999999</v>
      </c>
      <c r="X2434">
        <v>0.97609279999999998</v>
      </c>
      <c r="Y2434">
        <v>-5.6023139999999999E-2</v>
      </c>
      <c r="Z2434">
        <v>2.8412529999999997E-4</v>
      </c>
      <c r="AA2434">
        <v>0.99842940000000002</v>
      </c>
      <c r="AB2434">
        <v>32</v>
      </c>
      <c r="AC2434">
        <v>184.08349999999999</v>
      </c>
      <c r="AD2434">
        <v>-1.04077992999999</v>
      </c>
      <c r="AE2434">
        <v>9.2463999999999906</v>
      </c>
      <c r="AF2434">
        <v>-10.3605245799599</v>
      </c>
      <c r="AG2434">
        <v>-1.04077992999999</v>
      </c>
      <c r="AH2434">
        <v>184.01827103177999</v>
      </c>
      <c r="AI2434">
        <v>90.323540564670495</v>
      </c>
      <c r="AJ2434">
        <v>93.222442488586793</v>
      </c>
      <c r="AK2434">
        <v>184.31263593676999</v>
      </c>
      <c r="AL2434">
        <v>77.4755747537791</v>
      </c>
      <c r="AM2434">
        <v>90.8636262628944</v>
      </c>
      <c r="AN2434">
        <v>1.0000000452350599</v>
      </c>
    </row>
    <row r="2435" spans="1:40" x14ac:dyDescent="0.25">
      <c r="A2435" t="str">
        <f>"20190303170812333"</f>
        <v>20190303170812333</v>
      </c>
      <c r="B2435" t="str">
        <f>"1551604092325069"</f>
        <v>1551604092325069</v>
      </c>
      <c r="C2435" t="s">
        <v>40</v>
      </c>
      <c r="D2435">
        <v>4.6038100000000002</v>
      </c>
      <c r="E2435">
        <v>0.48805169999999998</v>
      </c>
      <c r="F2435" t="s">
        <v>71</v>
      </c>
      <c r="G2435">
        <v>-285.84589999999997</v>
      </c>
      <c r="H2435">
        <v>7.9999509999999996E-2</v>
      </c>
      <c r="I2435">
        <v>220.10239999999999</v>
      </c>
      <c r="J2435">
        <v>-434.98919999999998</v>
      </c>
      <c r="K2435">
        <v>1.1207180000000001</v>
      </c>
      <c r="L2435">
        <v>212.55160000000001</v>
      </c>
      <c r="M2435">
        <v>0.9999768</v>
      </c>
      <c r="N2435">
        <v>-4.2069179999999996E-3</v>
      </c>
      <c r="O2435">
        <v>-5.3444039999999996E-3</v>
      </c>
      <c r="P2435">
        <v>0.97700580000000004</v>
      </c>
      <c r="Q2435">
        <v>0.21305940000000001</v>
      </c>
      <c r="R2435">
        <v>8.0772580000000004E-3</v>
      </c>
      <c r="S2435">
        <v>3.0737299999999999</v>
      </c>
      <c r="T2435">
        <v>-2.1400329999999999E-2</v>
      </c>
      <c r="U2435">
        <v>0.1552277</v>
      </c>
      <c r="V2435">
        <v>-1.364573E-2</v>
      </c>
      <c r="W2435">
        <v>0.2171458</v>
      </c>
      <c r="X2435">
        <v>0.97604380000000002</v>
      </c>
      <c r="Y2435">
        <v>-5.5771859999999999E-2</v>
      </c>
      <c r="Z2435">
        <v>3.2613450000000001E-4</v>
      </c>
      <c r="AA2435">
        <v>0.99844350000000004</v>
      </c>
      <c r="AB2435">
        <v>33</v>
      </c>
      <c r="AC2435">
        <v>149.14330000000001</v>
      </c>
      <c r="AD2435">
        <v>-1.0407184899999999</v>
      </c>
      <c r="AE2435">
        <v>7.5507999999999802</v>
      </c>
      <c r="AF2435">
        <v>-8.3473759071267004</v>
      </c>
      <c r="AG2435">
        <v>-1.0407184899999999</v>
      </c>
      <c r="AH2435">
        <v>149.09357396898099</v>
      </c>
      <c r="AI2435">
        <v>90.399310142064706</v>
      </c>
      <c r="AJ2435">
        <v>93.204501755620001</v>
      </c>
      <c r="AK2435">
        <v>149.33069201726201</v>
      </c>
      <c r="AL2435">
        <v>77.458552831907198</v>
      </c>
      <c r="AM2435">
        <v>90.800980247028804</v>
      </c>
      <c r="AN2435">
        <v>1.00000000196165</v>
      </c>
    </row>
    <row r="2436" spans="1:40" x14ac:dyDescent="0.25">
      <c r="A2436" t="str">
        <f>"20190303170812357"</f>
        <v>20190303170812357</v>
      </c>
      <c r="B2436" t="str">
        <f>"1551604092345564"</f>
        <v>1551604092345564</v>
      </c>
      <c r="C2436" t="s">
        <v>40</v>
      </c>
      <c r="D2436">
        <v>4.6843870000000001</v>
      </c>
      <c r="E2436">
        <v>0.48793330000000001</v>
      </c>
      <c r="F2436" t="s">
        <v>71</v>
      </c>
      <c r="G2436">
        <v>-283.21230000000003</v>
      </c>
      <c r="H2436">
        <v>7.9999249999999994E-2</v>
      </c>
      <c r="I2436">
        <v>220.1619</v>
      </c>
      <c r="J2436">
        <v>-434.64640000000003</v>
      </c>
      <c r="K2436">
        <v>1.120671</v>
      </c>
      <c r="L2436">
        <v>212.5504</v>
      </c>
      <c r="M2436">
        <v>0.99998019999999999</v>
      </c>
      <c r="N2436">
        <v>-4.2172920000000001E-3</v>
      </c>
      <c r="O2436">
        <v>-4.6941639999999998E-3</v>
      </c>
      <c r="P2436">
        <v>0.9769137</v>
      </c>
      <c r="Q2436">
        <v>0.21350959999999999</v>
      </c>
      <c r="R2436">
        <v>7.3133989999999999E-3</v>
      </c>
      <c r="S2436">
        <v>3.0739139999999998</v>
      </c>
      <c r="T2436">
        <v>-2.1077510000000001E-2</v>
      </c>
      <c r="U2436">
        <v>0.15412899999999999</v>
      </c>
      <c r="V2436">
        <v>-1.222258E-2</v>
      </c>
      <c r="W2436">
        <v>0.21760940000000001</v>
      </c>
      <c r="X2436">
        <v>0.97595940000000003</v>
      </c>
      <c r="Y2436">
        <v>-5.4763739999999998E-2</v>
      </c>
      <c r="Z2436">
        <v>3.1557109999999998E-4</v>
      </c>
      <c r="AA2436">
        <v>0.99849929999999998</v>
      </c>
      <c r="AB2436">
        <v>33</v>
      </c>
      <c r="AC2436">
        <v>151.4341</v>
      </c>
      <c r="AD2436">
        <v>-1.04067175</v>
      </c>
      <c r="AE2436">
        <v>7.6115000000000004</v>
      </c>
      <c r="AF2436">
        <v>-8.3218868631097092</v>
      </c>
      <c r="AG2436">
        <v>-1.04067175</v>
      </c>
      <c r="AH2436">
        <v>151.38957008907599</v>
      </c>
      <c r="AI2436">
        <v>90.393258806817499</v>
      </c>
      <c r="AJ2436">
        <v>93.146383235617407</v>
      </c>
      <c r="AK2436">
        <v>151.62169610715</v>
      </c>
      <c r="AL2436">
        <v>77.431339707999001</v>
      </c>
      <c r="AM2436">
        <v>90.717515134283005</v>
      </c>
      <c r="AN2436">
        <v>0.99999999643928805</v>
      </c>
    </row>
    <row r="2437" spans="1:40" x14ac:dyDescent="0.25">
      <c r="A2437" t="str">
        <f>"20190303170812381"</f>
        <v>20190303170812381</v>
      </c>
      <c r="B2437" t="str">
        <f>"1551604092374844"</f>
        <v>1551604092374844</v>
      </c>
      <c r="C2437" t="s">
        <v>40</v>
      </c>
      <c r="D2437">
        <v>4.6949860000000001</v>
      </c>
      <c r="E2437">
        <v>0.45632899999999998</v>
      </c>
      <c r="F2437" t="s">
        <v>63</v>
      </c>
      <c r="G2437">
        <v>-273.8734</v>
      </c>
      <c r="H2437">
        <v>8.0000899999999903E-2</v>
      </c>
      <c r="I2437">
        <v>220.5547</v>
      </c>
      <c r="J2437">
        <v>-434.28519999999997</v>
      </c>
      <c r="K2437">
        <v>1.120617</v>
      </c>
      <c r="L2437">
        <v>212.54929999999999</v>
      </c>
      <c r="M2437">
        <v>0.99998290000000001</v>
      </c>
      <c r="N2437">
        <v>-4.2300469999999998E-3</v>
      </c>
      <c r="O2437">
        <v>-4.0783900000000003E-3</v>
      </c>
      <c r="P2437">
        <v>0.97701309999999997</v>
      </c>
      <c r="Q2437">
        <v>0.21308820000000001</v>
      </c>
      <c r="R2437">
        <v>6.2598879999999999E-3</v>
      </c>
      <c r="S2437">
        <v>3.0740660000000002</v>
      </c>
      <c r="T2437">
        <v>-1.9898180000000001E-2</v>
      </c>
      <c r="U2437">
        <v>0.15304570000000001</v>
      </c>
      <c r="V2437">
        <v>-1.054214E-2</v>
      </c>
      <c r="W2437">
        <v>0.21720490000000001</v>
      </c>
      <c r="X2437">
        <v>0.97606910000000002</v>
      </c>
      <c r="Y2437">
        <v>-5.3795580000000003E-2</v>
      </c>
      <c r="Z2437">
        <v>2.969917E-4</v>
      </c>
      <c r="AA2437">
        <v>0.99855190000000005</v>
      </c>
      <c r="AB2437">
        <v>33</v>
      </c>
      <c r="AC2437">
        <v>160.411799999999</v>
      </c>
      <c r="AD2437">
        <v>-1.0406161</v>
      </c>
      <c r="AE2437">
        <v>8.0053999999999998</v>
      </c>
      <c r="AF2437">
        <v>-8.6591975466595201</v>
      </c>
      <c r="AG2437">
        <v>-1.0406161</v>
      </c>
      <c r="AH2437">
        <v>160.37108429788299</v>
      </c>
      <c r="AI2437">
        <v>90.3712349642975</v>
      </c>
      <c r="AJ2437">
        <v>93.0906704110471</v>
      </c>
      <c r="AK2437">
        <v>160.60806101469001</v>
      </c>
      <c r="AL2437">
        <v>77.455083788051198</v>
      </c>
      <c r="AM2437">
        <v>90.618805209315298</v>
      </c>
      <c r="AN2437">
        <v>0.99999999663729899</v>
      </c>
    </row>
    <row r="2438" spans="1:40" x14ac:dyDescent="0.25">
      <c r="A2438" t="str">
        <f>"20190303170812403"</f>
        <v>20190303170812403</v>
      </c>
      <c r="B2438" t="str">
        <f>"1551604092395340"</f>
        <v>1551604092395340</v>
      </c>
      <c r="C2438" t="s">
        <v>40</v>
      </c>
      <c r="D2438">
        <v>4.6922509999999997</v>
      </c>
      <c r="E2438">
        <v>0.45500079999999998</v>
      </c>
      <c r="F2438" t="s">
        <v>87</v>
      </c>
      <c r="G2438">
        <v>-273.90989999999999</v>
      </c>
      <c r="H2438">
        <v>1.536076</v>
      </c>
      <c r="I2438">
        <v>233.54519999999999</v>
      </c>
      <c r="J2438">
        <v>-433.96499999999997</v>
      </c>
      <c r="K2438">
        <v>1.120566</v>
      </c>
      <c r="L2438">
        <v>212.54849999999999</v>
      </c>
      <c r="M2438">
        <v>0.9999846</v>
      </c>
      <c r="N2438">
        <v>-4.2426340000000003E-3</v>
      </c>
      <c r="O2438">
        <v>-3.5864640000000001E-3</v>
      </c>
      <c r="P2438">
        <v>0.97715529999999995</v>
      </c>
      <c r="Q2438">
        <v>0.2124818</v>
      </c>
      <c r="R2438">
        <v>4.3701180000000001E-3</v>
      </c>
      <c r="S2438">
        <v>3.066284</v>
      </c>
      <c r="T2438">
        <v>7.9438689999999992E-3</v>
      </c>
      <c r="U2438">
        <v>0.40142820000000001</v>
      </c>
      <c r="V2438">
        <v>-8.1490490000000002E-3</v>
      </c>
      <c r="W2438">
        <v>0.21661559999999999</v>
      </c>
      <c r="X2438">
        <v>0.9762229</v>
      </c>
      <c r="Y2438">
        <v>-0.1333647</v>
      </c>
      <c r="Z2438" s="1">
        <v>8.7687859999999995E-5</v>
      </c>
      <c r="AA2438">
        <v>0.99106709999999998</v>
      </c>
      <c r="AB2438">
        <v>33</v>
      </c>
      <c r="AC2438">
        <v>160.05509999999899</v>
      </c>
      <c r="AD2438">
        <v>0.41550999999999999</v>
      </c>
      <c r="AE2438">
        <v>20.996700000000001</v>
      </c>
      <c r="AF2438">
        <v>-21.570459048802</v>
      </c>
      <c r="AG2438">
        <v>0.41550999999999999</v>
      </c>
      <c r="AH2438">
        <v>159.97770610192899</v>
      </c>
      <c r="AI2438">
        <v>89.8525206026939</v>
      </c>
      <c r="AJ2438">
        <v>97.679115504584004</v>
      </c>
      <c r="AK2438">
        <v>161.42590808718199</v>
      </c>
      <c r="AL2438">
        <v>77.489670927898999</v>
      </c>
      <c r="AM2438">
        <v>90.478267074387205</v>
      </c>
      <c r="AN2438">
        <v>0.99999993782368501</v>
      </c>
    </row>
    <row r="2439" spans="1:40" x14ac:dyDescent="0.25">
      <c r="A2439" t="str">
        <f>"20190303170812447"</f>
        <v>20190303170812447</v>
      </c>
      <c r="B2439" t="str">
        <f>"1551604092435356"</f>
        <v>1551604092435356</v>
      </c>
      <c r="C2439" t="s">
        <v>40</v>
      </c>
      <c r="D2439">
        <v>4.7076900000000004</v>
      </c>
      <c r="E2439">
        <v>0.45346890000000001</v>
      </c>
      <c r="F2439" t="s">
        <v>87</v>
      </c>
      <c r="G2439">
        <v>-273.90989999999999</v>
      </c>
      <c r="H2439">
        <v>1.572003</v>
      </c>
      <c r="I2439">
        <v>233.77369999999999</v>
      </c>
      <c r="J2439">
        <v>-433.3109</v>
      </c>
      <c r="K2439">
        <v>1.1204689999999999</v>
      </c>
      <c r="L2439">
        <v>212.5471</v>
      </c>
      <c r="M2439">
        <v>0.99998719999999996</v>
      </c>
      <c r="N2439">
        <v>-4.2714049999999998E-3</v>
      </c>
      <c r="O2439">
        <v>-2.699885E-3</v>
      </c>
      <c r="P2439">
        <v>0.9774275</v>
      </c>
      <c r="Q2439">
        <v>0.21124850000000001</v>
      </c>
      <c r="R2439">
        <v>3.1259539999999998E-3</v>
      </c>
      <c r="S2439">
        <v>3.0664370000000001</v>
      </c>
      <c r="T2439">
        <v>8.6494680000000004E-3</v>
      </c>
      <c r="U2439">
        <v>0.40664670000000003</v>
      </c>
      <c r="V2439">
        <v>-5.9977290000000003E-3</v>
      </c>
      <c r="W2439">
        <v>0.21541540000000001</v>
      </c>
      <c r="X2439">
        <v>0.97650409999999999</v>
      </c>
      <c r="Y2439">
        <v>-0.13413739999999999</v>
      </c>
      <c r="Z2439" s="1">
        <v>8.0307889999999997E-5</v>
      </c>
      <c r="AA2439">
        <v>0.99096269999999997</v>
      </c>
      <c r="AB2439">
        <v>33</v>
      </c>
      <c r="AC2439">
        <v>159.40100000000001</v>
      </c>
      <c r="AD2439">
        <v>0.45153399999999899</v>
      </c>
      <c r="AE2439">
        <v>21.226599999999902</v>
      </c>
      <c r="AF2439">
        <v>-21.6567201942756</v>
      </c>
      <c r="AG2439">
        <v>0.45153399999999899</v>
      </c>
      <c r="AH2439">
        <v>159.34185281307199</v>
      </c>
      <c r="AI2439">
        <v>89.839118008812505</v>
      </c>
      <c r="AJ2439">
        <v>97.739848391516006</v>
      </c>
      <c r="AK2439">
        <v>160.80747330403901</v>
      </c>
      <c r="AL2439">
        <v>77.560101112465702</v>
      </c>
      <c r="AM2439">
        <v>90.351908647559796</v>
      </c>
      <c r="AN2439">
        <v>1.0000000123135599</v>
      </c>
    </row>
    <row r="2440" spans="1:40" x14ac:dyDescent="0.25">
      <c r="A2440" t="str">
        <f>"20190303170812469"</f>
        <v>20190303170812469</v>
      </c>
      <c r="B2440" t="str">
        <f>"1551604092465612"</f>
        <v>1551604092465612</v>
      </c>
      <c r="C2440" t="s">
        <v>40</v>
      </c>
      <c r="D2440">
        <v>4.7002329999999999</v>
      </c>
      <c r="E2440">
        <v>0.45249790000000001</v>
      </c>
      <c r="F2440" t="s">
        <v>88</v>
      </c>
      <c r="G2440">
        <v>-277.05040000000002</v>
      </c>
      <c r="H2440">
        <v>1.5811329999999999</v>
      </c>
      <c r="I2440">
        <v>233.7028</v>
      </c>
      <c r="J2440">
        <v>-432.96679999999998</v>
      </c>
      <c r="K2440">
        <v>1.120441</v>
      </c>
      <c r="L2440">
        <v>212.54660000000001</v>
      </c>
      <c r="M2440">
        <v>0.99998830000000005</v>
      </c>
      <c r="N2440">
        <v>-4.2880510000000002E-3</v>
      </c>
      <c r="O2440">
        <v>-2.2777959999999999E-3</v>
      </c>
      <c r="P2440">
        <v>0.97734310000000002</v>
      </c>
      <c r="Q2440">
        <v>0.2116305</v>
      </c>
      <c r="R2440">
        <v>3.6020819999999999E-3</v>
      </c>
      <c r="S2440">
        <v>3.0660099999999999</v>
      </c>
      <c r="T2440">
        <v>9.0386870000000001E-3</v>
      </c>
      <c r="U2440">
        <v>0.41510010000000003</v>
      </c>
      <c r="V2440">
        <v>-6.0446800000000002E-3</v>
      </c>
      <c r="W2440">
        <v>0.21581349999999999</v>
      </c>
      <c r="X2440">
        <v>0.9764159</v>
      </c>
      <c r="Y2440">
        <v>-0.13642079999999901</v>
      </c>
      <c r="Z2440" s="1">
        <v>7.7238829999999999E-5</v>
      </c>
      <c r="AA2440">
        <v>0.99065099999999995</v>
      </c>
      <c r="AB2440">
        <v>34</v>
      </c>
      <c r="AC2440">
        <v>155.91639999999899</v>
      </c>
      <c r="AD2440">
        <v>0.46069199999999899</v>
      </c>
      <c r="AE2440">
        <v>21.156199999999899</v>
      </c>
      <c r="AF2440">
        <v>-21.511109695242201</v>
      </c>
      <c r="AG2440">
        <v>0.46069199999999899</v>
      </c>
      <c r="AH2440">
        <v>155.866469384212</v>
      </c>
      <c r="AI2440">
        <v>89.832242356886198</v>
      </c>
      <c r="AJ2440">
        <v>97.857745332237002</v>
      </c>
      <c r="AK2440">
        <v>157.34451485749099</v>
      </c>
      <c r="AL2440">
        <v>77.536742165752003</v>
      </c>
      <c r="AM2440">
        <v>90.354695400020404</v>
      </c>
      <c r="AN2440">
        <v>1.0000000073556801</v>
      </c>
    </row>
    <row r="2441" spans="1:40" x14ac:dyDescent="0.25">
      <c r="A2441" t="str">
        <f>"20190303170812490"</f>
        <v>20190303170812490</v>
      </c>
      <c r="B2441" t="str">
        <f>"1551604092485132"</f>
        <v>1551604092485132</v>
      </c>
      <c r="C2441" t="s">
        <v>40</v>
      </c>
      <c r="D2441">
        <v>4.7052880000000004</v>
      </c>
      <c r="E2441">
        <v>0.45199980000000001</v>
      </c>
      <c r="F2441" t="s">
        <v>88</v>
      </c>
      <c r="G2441">
        <v>-276.9135</v>
      </c>
      <c r="H2441">
        <v>1.9036580000000001</v>
      </c>
      <c r="I2441">
        <v>234.18020000000001</v>
      </c>
      <c r="J2441">
        <v>-432.64620000000002</v>
      </c>
      <c r="K2441">
        <v>1.1204160000000001</v>
      </c>
      <c r="L2441">
        <v>212.5462</v>
      </c>
      <c r="M2441">
        <v>0.99998900000000002</v>
      </c>
      <c r="N2441">
        <v>-4.3044590000000001E-3</v>
      </c>
      <c r="O2441">
        <v>-1.905859E-3</v>
      </c>
      <c r="P2441">
        <v>0.97730919999999999</v>
      </c>
      <c r="Q2441">
        <v>0.21178240000000001</v>
      </c>
      <c r="R2441">
        <v>3.9286729999999997E-3</v>
      </c>
      <c r="S2441">
        <v>3.0646360000000001</v>
      </c>
      <c r="T2441">
        <v>1.53811E-2</v>
      </c>
      <c r="U2441">
        <v>0.42485050000000002</v>
      </c>
      <c r="V2441">
        <v>-5.9969610000000003E-3</v>
      </c>
      <c r="W2441">
        <v>0.21598149999999999</v>
      </c>
      <c r="X2441">
        <v>0.976379</v>
      </c>
      <c r="Y2441">
        <v>-0.13920399999999999</v>
      </c>
      <c r="Z2441" s="1">
        <v>-6.4318769999999894E-5</v>
      </c>
      <c r="AA2441">
        <v>0.99026369999999997</v>
      </c>
      <c r="AB2441">
        <v>34</v>
      </c>
      <c r="AC2441">
        <v>155.73269999999999</v>
      </c>
      <c r="AD2441">
        <v>0.78324199999999999</v>
      </c>
      <c r="AE2441">
        <v>21.634</v>
      </c>
      <c r="AF2441">
        <v>-21.930223782801001</v>
      </c>
      <c r="AG2441">
        <v>0.78324199999999999</v>
      </c>
      <c r="AH2441">
        <v>155.68732189788301</v>
      </c>
      <c r="AI2441">
        <v>89.714572792051001</v>
      </c>
      <c r="AJ2441">
        <v>98.017970670544798</v>
      </c>
      <c r="AK2441">
        <v>157.226239486064</v>
      </c>
      <c r="AL2441">
        <v>77.526883401870606</v>
      </c>
      <c r="AM2441">
        <v>90.351908669237801</v>
      </c>
      <c r="AN2441">
        <v>0.99999996176224204</v>
      </c>
    </row>
    <row r="2442" spans="1:40" x14ac:dyDescent="0.25">
      <c r="A2442" t="str">
        <f>"20190303170812512"</f>
        <v>20190303170812512</v>
      </c>
      <c r="B2442" t="str">
        <f>"1551604092505629"</f>
        <v>1551604092505629</v>
      </c>
      <c r="C2442" t="s">
        <v>40</v>
      </c>
      <c r="D2442">
        <v>4.6896599999999999</v>
      </c>
      <c r="E2442">
        <v>0.45163110000000001</v>
      </c>
      <c r="F2442" t="s">
        <v>88</v>
      </c>
      <c r="G2442">
        <v>-276.84070000000003</v>
      </c>
      <c r="H2442">
        <v>2.0714980000000001</v>
      </c>
      <c r="I2442">
        <v>234.3991</v>
      </c>
      <c r="J2442">
        <v>-432.30869999999999</v>
      </c>
      <c r="K2442">
        <v>1.120398</v>
      </c>
      <c r="L2442">
        <v>212.54589999999999</v>
      </c>
      <c r="M2442">
        <v>0.99998960000000003</v>
      </c>
      <c r="N2442">
        <v>-4.3225059999999899E-3</v>
      </c>
      <c r="O2442">
        <v>-1.5279460000000001E-3</v>
      </c>
      <c r="P2442">
        <v>0.97739489999999996</v>
      </c>
      <c r="Q2442">
        <v>0.2113652</v>
      </c>
      <c r="R2442">
        <v>4.9319380000000003E-3</v>
      </c>
      <c r="S2442">
        <v>3.0638730000000001</v>
      </c>
      <c r="T2442">
        <v>1.8702750000000001E-2</v>
      </c>
      <c r="U2442">
        <v>0.42973329999999998</v>
      </c>
      <c r="V2442">
        <v>-6.6218930000000002E-3</v>
      </c>
      <c r="W2442">
        <v>0.2155821</v>
      </c>
      <c r="X2442">
        <v>0.97646330000000003</v>
      </c>
      <c r="Y2442">
        <v>-0.1404108</v>
      </c>
      <c r="Z2442">
        <v>-1.3737290000000001E-4</v>
      </c>
      <c r="AA2442">
        <v>0.99009340000000001</v>
      </c>
      <c r="AB2442">
        <v>34</v>
      </c>
      <c r="AC2442">
        <v>155.46799999999899</v>
      </c>
      <c r="AD2442">
        <v>0.95109999999999995</v>
      </c>
      <c r="AE2442">
        <v>21.853200000000001</v>
      </c>
      <c r="AF2442">
        <v>-22.0899126790395</v>
      </c>
      <c r="AG2442">
        <v>0.95109999999999995</v>
      </c>
      <c r="AH2442">
        <v>155.42872337262699</v>
      </c>
      <c r="AI2442">
        <v>89.652887848049502</v>
      </c>
      <c r="AJ2442">
        <v>98.088845832690197</v>
      </c>
      <c r="AK2442">
        <v>156.99349312191899</v>
      </c>
      <c r="AL2442">
        <v>77.550320363919994</v>
      </c>
      <c r="AM2442">
        <v>90.388545791011495</v>
      </c>
      <c r="AN2442">
        <v>1.0000000337771</v>
      </c>
    </row>
    <row r="2443" spans="1:40" x14ac:dyDescent="0.25">
      <c r="A2443" t="str">
        <f>"20190303170812534"</f>
        <v>20190303170812534</v>
      </c>
      <c r="B2443" t="str">
        <f>"1551604092525149"</f>
        <v>1551604092525149</v>
      </c>
      <c r="C2443" t="s">
        <v>40</v>
      </c>
      <c r="D2443">
        <v>4.7140979999999999</v>
      </c>
      <c r="E2443">
        <v>0.45133669999999998</v>
      </c>
      <c r="F2443" t="s">
        <v>88</v>
      </c>
      <c r="G2443">
        <v>-276.77109999999999</v>
      </c>
      <c r="H2443">
        <v>2.0864989999999999</v>
      </c>
      <c r="I2443">
        <v>234.66810000000001</v>
      </c>
      <c r="J2443">
        <v>-431.95850000000002</v>
      </c>
      <c r="K2443">
        <v>1.1203909999999999</v>
      </c>
      <c r="L2443">
        <v>212.54570000000001</v>
      </c>
      <c r="M2443">
        <v>0.99999000000000005</v>
      </c>
      <c r="N2443">
        <v>-4.3418839999999998E-3</v>
      </c>
      <c r="O2443">
        <v>-1.145011E-3</v>
      </c>
      <c r="P2443">
        <v>0.9770818</v>
      </c>
      <c r="Q2443">
        <v>0.21278910000000001</v>
      </c>
      <c r="R2443">
        <v>5.6836959999999898E-3</v>
      </c>
      <c r="S2443">
        <v>3.06311</v>
      </c>
      <c r="T2443">
        <v>1.9026040000000001E-2</v>
      </c>
      <c r="U2443">
        <v>0.43566890000000003</v>
      </c>
      <c r="V2443">
        <v>-6.9939579999999998E-3</v>
      </c>
      <c r="W2443">
        <v>0.21702340000000001</v>
      </c>
      <c r="X2443">
        <v>0.97614129999999999</v>
      </c>
      <c r="Y2443">
        <v>-0.1419464</v>
      </c>
      <c r="Z2443">
        <v>-1.4094819999999999E-4</v>
      </c>
      <c r="AA2443">
        <v>0.98987440000000004</v>
      </c>
      <c r="AB2443">
        <v>34</v>
      </c>
      <c r="AC2443">
        <v>155.1874</v>
      </c>
      <c r="AD2443">
        <v>0.96610799999999997</v>
      </c>
      <c r="AE2443">
        <v>22.122399999999999</v>
      </c>
      <c r="AF2443">
        <v>-22.2992314228946</v>
      </c>
      <c r="AG2443">
        <v>0.96610799999999997</v>
      </c>
      <c r="AH2443">
        <v>155.156074181729</v>
      </c>
      <c r="AI2443">
        <v>89.646870196048198</v>
      </c>
      <c r="AJ2443">
        <v>98.178618322543201</v>
      </c>
      <c r="AK2443">
        <v>156.75329802656699</v>
      </c>
      <c r="AL2443">
        <v>77.465736557959005</v>
      </c>
      <c r="AM2443">
        <v>90.410511693881404</v>
      </c>
      <c r="AN2443">
        <v>0.99999995458087598</v>
      </c>
    </row>
    <row r="2444" spans="1:40" x14ac:dyDescent="0.25">
      <c r="A2444" t="str">
        <f>"20190303170812557"</f>
        <v>20190303170812557</v>
      </c>
      <c r="B2444" t="str">
        <f>"1551604092545645"</f>
        <v>1551604092545645</v>
      </c>
      <c r="C2444" t="s">
        <v>40</v>
      </c>
      <c r="D2444">
        <v>4.6930940000000003</v>
      </c>
      <c r="E2444">
        <v>0.45116390000000001</v>
      </c>
      <c r="F2444" t="s">
        <v>88</v>
      </c>
      <c r="G2444">
        <v>-276.82490000000001</v>
      </c>
      <c r="H2444">
        <v>2.3907759999999998</v>
      </c>
      <c r="I2444">
        <v>234.82810000000001</v>
      </c>
      <c r="J2444">
        <v>-431.61410000000001</v>
      </c>
      <c r="K2444">
        <v>1.120395</v>
      </c>
      <c r="L2444">
        <v>212.54570000000001</v>
      </c>
      <c r="M2444">
        <v>0.9999903</v>
      </c>
      <c r="N2444">
        <v>-4.3615670000000002E-3</v>
      </c>
      <c r="O2444">
        <v>-7.7338660000000003E-4</v>
      </c>
      <c r="P2444">
        <v>0.97657559999999999</v>
      </c>
      <c r="Q2444">
        <v>0.2150968</v>
      </c>
      <c r="R2444">
        <v>5.7960669999999898E-3</v>
      </c>
      <c r="S2444">
        <v>3.062408</v>
      </c>
      <c r="T2444">
        <v>2.507794E-2</v>
      </c>
      <c r="U2444">
        <v>0.43986510000000001</v>
      </c>
      <c r="V2444">
        <v>-6.7404149999999996E-3</v>
      </c>
      <c r="W2444">
        <v>0.21934870000000001</v>
      </c>
      <c r="X2444">
        <v>0.97562329999999997</v>
      </c>
      <c r="Y2444">
        <v>-0.14293789999999901</v>
      </c>
      <c r="Z2444">
        <v>-2.7860390000000002E-4</v>
      </c>
      <c r="AA2444">
        <v>0.98973160000000004</v>
      </c>
      <c r="AB2444">
        <v>34</v>
      </c>
      <c r="AC2444">
        <v>154.78919999999999</v>
      </c>
      <c r="AD2444">
        <v>1.27038099999999</v>
      </c>
      <c r="AE2444">
        <v>22.282399999999999</v>
      </c>
      <c r="AF2444">
        <v>-22.400628134224998</v>
      </c>
      <c r="AG2444">
        <v>1.27038099999999</v>
      </c>
      <c r="AH2444">
        <v>154.761707890846</v>
      </c>
      <c r="AI2444">
        <v>89.534541225421407</v>
      </c>
      <c r="AJ2444">
        <v>98.235948315440297</v>
      </c>
      <c r="AK2444">
        <v>156.379628590122</v>
      </c>
      <c r="AL2444">
        <v>77.329218798504101</v>
      </c>
      <c r="AM2444">
        <v>90.395840471619806</v>
      </c>
      <c r="AN2444">
        <v>1.00000005444447</v>
      </c>
    </row>
    <row r="2445" spans="1:40" x14ac:dyDescent="0.25">
      <c r="A2445" t="str">
        <f>"20190303170812579"</f>
        <v>20190303170812579</v>
      </c>
      <c r="B2445" t="str">
        <f>"1551604092574927"</f>
        <v>1551604092574927</v>
      </c>
      <c r="C2445" t="s">
        <v>40</v>
      </c>
      <c r="D2445">
        <v>4.7130340000000004</v>
      </c>
      <c r="E2445">
        <v>0.45078170000000001</v>
      </c>
      <c r="F2445" t="s">
        <v>88</v>
      </c>
      <c r="G2445">
        <v>-276.88679999999999</v>
      </c>
      <c r="H2445">
        <v>2.8282400000000001</v>
      </c>
      <c r="I2445">
        <v>234.87989999999999</v>
      </c>
      <c r="J2445">
        <v>-431.26690000000002</v>
      </c>
      <c r="K2445">
        <v>1.1203920000000001</v>
      </c>
      <c r="L2445">
        <v>212.54570000000001</v>
      </c>
      <c r="M2445">
        <v>0.9999905</v>
      </c>
      <c r="N2445">
        <v>-4.3820100000000004E-3</v>
      </c>
      <c r="O2445">
        <v>-4.00801E-4</v>
      </c>
      <c r="P2445">
        <v>0.97626860000000004</v>
      </c>
      <c r="Q2445">
        <v>0.2164913</v>
      </c>
      <c r="R2445">
        <v>5.5912009999999996E-3</v>
      </c>
      <c r="S2445">
        <v>3.06189</v>
      </c>
      <c r="T2445">
        <v>3.3796430000000002E-2</v>
      </c>
      <c r="U2445">
        <v>0.4419708</v>
      </c>
      <c r="V2445">
        <v>-6.1699049999999998E-3</v>
      </c>
      <c r="W2445">
        <v>0.22076180000000001</v>
      </c>
      <c r="X2445">
        <v>0.97530819999999996</v>
      </c>
      <c r="Y2445">
        <v>-0.14325660000000001</v>
      </c>
      <c r="Z2445">
        <v>-4.7716430000000002E-4</v>
      </c>
      <c r="AA2445">
        <v>0.9896855</v>
      </c>
      <c r="AB2445">
        <v>34</v>
      </c>
      <c r="AC2445">
        <v>154.3801</v>
      </c>
      <c r="AD2445">
        <v>1.707848</v>
      </c>
      <c r="AE2445">
        <v>22.3341999999999</v>
      </c>
      <c r="AF2445">
        <v>-22.393390132673801</v>
      </c>
      <c r="AG2445">
        <v>1.707848</v>
      </c>
      <c r="AH2445">
        <v>154.35263328877701</v>
      </c>
      <c r="AI2445">
        <v>89.372639225938002</v>
      </c>
      <c r="AJ2445">
        <v>98.2548437684612</v>
      </c>
      <c r="AK2445">
        <v>155.977934560004</v>
      </c>
      <c r="AL2445">
        <v>77.246218411661502</v>
      </c>
      <c r="AM2445">
        <v>90.362454453715301</v>
      </c>
      <c r="AN2445">
        <v>0.999999962527093</v>
      </c>
    </row>
    <row r="2446" spans="1:40" x14ac:dyDescent="0.25">
      <c r="A2446" t="str">
        <f>"20190303170812603"</f>
        <v>20190303170812603</v>
      </c>
      <c r="B2446" t="str">
        <f>"1551604092595420"</f>
        <v>1551604092595420</v>
      </c>
      <c r="C2446" t="s">
        <v>40</v>
      </c>
      <c r="D2446">
        <v>4.7193909999999999</v>
      </c>
      <c r="E2446">
        <v>0.45086039999999999</v>
      </c>
      <c r="F2446" t="s">
        <v>88</v>
      </c>
      <c r="G2446">
        <v>-276.9307</v>
      </c>
      <c r="H2446">
        <v>3.1260460000000001</v>
      </c>
      <c r="I2446">
        <v>234.9726</v>
      </c>
      <c r="J2446">
        <v>-430.90499999999997</v>
      </c>
      <c r="K2446">
        <v>1.120387</v>
      </c>
      <c r="L2446">
        <v>212.54599999999999</v>
      </c>
      <c r="M2446">
        <v>0.99999039999999995</v>
      </c>
      <c r="N2446">
        <v>-4.4038699999999998E-3</v>
      </c>
      <c r="O2446" s="1">
        <v>-1.271448E-5</v>
      </c>
      <c r="P2446">
        <v>0.97620759999999995</v>
      </c>
      <c r="Q2446">
        <v>0.21675920000000001</v>
      </c>
      <c r="R2446">
        <v>5.8620929999999996E-3</v>
      </c>
      <c r="S2446">
        <v>3.0615839999999999</v>
      </c>
      <c r="T2446">
        <v>3.9786340000000003E-2</v>
      </c>
      <c r="U2446">
        <v>0.44488529999999998</v>
      </c>
      <c r="V2446">
        <v>-6.0602090000000004E-3</v>
      </c>
      <c r="W2446">
        <v>0.2210511</v>
      </c>
      <c r="X2446">
        <v>0.97524339999999998</v>
      </c>
      <c r="Y2446">
        <v>-0.14380660000000001</v>
      </c>
      <c r="Z2446">
        <v>-6.1139099999999997E-4</v>
      </c>
      <c r="AA2446">
        <v>0.98960559999999997</v>
      </c>
      <c r="AB2446">
        <v>35</v>
      </c>
      <c r="AC2446">
        <v>153.974299999999</v>
      </c>
      <c r="AD2446">
        <v>2.0056590000000001</v>
      </c>
      <c r="AE2446">
        <v>22.426600000000001</v>
      </c>
      <c r="AF2446">
        <v>-22.4248318304845</v>
      </c>
      <c r="AG2446">
        <v>2.0056590000000001</v>
      </c>
      <c r="AH2446">
        <v>153.94843628316801</v>
      </c>
      <c r="AI2446">
        <v>89.261379898950494</v>
      </c>
      <c r="AJ2446">
        <v>98.287676332165901</v>
      </c>
      <c r="AK2446">
        <v>155.586043026624</v>
      </c>
      <c r="AL2446">
        <v>77.229223380861001</v>
      </c>
      <c r="AM2446">
        <v>90.356034123875901</v>
      </c>
      <c r="AN2446">
        <v>1.0000000020939399</v>
      </c>
    </row>
    <row r="2447" spans="1:40" x14ac:dyDescent="0.25">
      <c r="A2447" t="str">
        <f>"20190303170812626"</f>
        <v>20190303170812626</v>
      </c>
      <c r="B2447" t="str">
        <f>"1551604092615446"</f>
        <v>1551604092615446</v>
      </c>
      <c r="C2447" t="s">
        <v>40</v>
      </c>
      <c r="D2447">
        <v>4.6246309999999999</v>
      </c>
      <c r="E2447">
        <v>0.4682192</v>
      </c>
      <c r="F2447" t="s">
        <v>88</v>
      </c>
      <c r="G2447">
        <v>-276.92680000000001</v>
      </c>
      <c r="H2447">
        <v>3.1107450000000001</v>
      </c>
      <c r="I2447">
        <v>234.91249999999999</v>
      </c>
      <c r="J2447">
        <v>-430.54930000000002</v>
      </c>
      <c r="K2447">
        <v>1.120382</v>
      </c>
      <c r="L2447">
        <v>212.5463</v>
      </c>
      <c r="M2447">
        <v>0.99999020000000005</v>
      </c>
      <c r="N2447">
        <v>-4.423026E-3</v>
      </c>
      <c r="O2447">
        <v>3.6852830000000001E-4</v>
      </c>
      <c r="P2447">
        <v>0.97628499999999996</v>
      </c>
      <c r="Q2447">
        <v>0.21640609999999999</v>
      </c>
      <c r="R2447">
        <v>6.0263069999999998E-3</v>
      </c>
      <c r="S2447">
        <v>3.0616759999999998</v>
      </c>
      <c r="T2447">
        <v>3.9575930000000002E-2</v>
      </c>
      <c r="U2447">
        <v>0.44473269999999998</v>
      </c>
      <c r="V2447">
        <v>-5.8500019999999896E-3</v>
      </c>
      <c r="W2447">
        <v>0.2207172</v>
      </c>
      <c r="X2447">
        <v>0.97532030000000003</v>
      </c>
      <c r="Y2447">
        <v>-0.143377</v>
      </c>
      <c r="Z2447">
        <v>-5.9668190000000004E-4</v>
      </c>
      <c r="AA2447">
        <v>0.98966799999999999</v>
      </c>
      <c r="AB2447">
        <v>35</v>
      </c>
      <c r="AC2447">
        <v>153.6225</v>
      </c>
      <c r="AD2447">
        <v>1.9903630000000001</v>
      </c>
      <c r="AE2447">
        <v>22.3661999999999</v>
      </c>
      <c r="AF2447">
        <v>-22.305917075080799</v>
      </c>
      <c r="AG2447">
        <v>1.9903630000000001</v>
      </c>
      <c r="AH2447">
        <v>153.60548276522499</v>
      </c>
      <c r="AI2447">
        <v>89.265328985834998</v>
      </c>
      <c r="AJ2447">
        <v>98.262487183985698</v>
      </c>
      <c r="AK2447">
        <v>155.229378073128</v>
      </c>
      <c r="AL2447">
        <v>77.248838869286203</v>
      </c>
      <c r="AM2447">
        <v>90.343657776120693</v>
      </c>
      <c r="AN2447">
        <v>0.99999999624566505</v>
      </c>
    </row>
    <row r="2448" spans="1:40" x14ac:dyDescent="0.25">
      <c r="A2448" t="str">
        <f>"20190303170812647"</f>
        <v>20190303170812647</v>
      </c>
      <c r="B2448" t="str">
        <f>"1551604092635943"</f>
        <v>1551604092635943</v>
      </c>
      <c r="C2448" t="s">
        <v>40</v>
      </c>
      <c r="D2448">
        <v>4.620247</v>
      </c>
      <c r="E2448">
        <v>0.47040090000000001</v>
      </c>
      <c r="F2448" t="s">
        <v>87</v>
      </c>
      <c r="G2448">
        <v>-259.58539999999999</v>
      </c>
      <c r="H2448">
        <v>2.9530859999999999</v>
      </c>
      <c r="I2448">
        <v>229.64099999999999</v>
      </c>
      <c r="J2448">
        <v>-430.20960000000002</v>
      </c>
      <c r="K2448">
        <v>1.1203700000000001</v>
      </c>
      <c r="L2448">
        <v>212.54679999999999</v>
      </c>
      <c r="M2448">
        <v>0.99998989999999999</v>
      </c>
      <c r="N2448">
        <v>-4.4350689999999998E-3</v>
      </c>
      <c r="O2448">
        <v>7.3268230000000001E-4</v>
      </c>
      <c r="P2448">
        <v>0.97642269999999998</v>
      </c>
      <c r="Q2448">
        <v>0.21580830000000001</v>
      </c>
      <c r="R2448">
        <v>5.0543790000000003E-3</v>
      </c>
      <c r="S2448">
        <v>3.06366</v>
      </c>
      <c r="T2448">
        <v>3.2842400000000001E-2</v>
      </c>
      <c r="U2448">
        <v>0.30633539999999998</v>
      </c>
      <c r="V2448">
        <v>-4.5214440000000003E-3</v>
      </c>
      <c r="W2448">
        <v>0.22013350000000001</v>
      </c>
      <c r="X2448">
        <v>0.97545930000000003</v>
      </c>
      <c r="Y2448">
        <v>-9.8761650000000006E-2</v>
      </c>
      <c r="Z2448">
        <v>-2.9739779999999997E-4</v>
      </c>
      <c r="AA2448">
        <v>0.99511099999999997</v>
      </c>
      <c r="AB2448">
        <v>35</v>
      </c>
      <c r="AC2448">
        <v>170.6242</v>
      </c>
      <c r="AD2448">
        <v>1.832716</v>
      </c>
      <c r="AE2448">
        <v>17.094200000000001</v>
      </c>
      <c r="AF2448">
        <v>-16.967242721025801</v>
      </c>
      <c r="AG2448">
        <v>1.832716</v>
      </c>
      <c r="AH2448">
        <v>170.617189722191</v>
      </c>
      <c r="AI2448">
        <v>89.387591035942194</v>
      </c>
      <c r="AJ2448">
        <v>95.679179017828702</v>
      </c>
      <c r="AK2448">
        <v>171.46857322025201</v>
      </c>
      <c r="AL2448">
        <v>77.283126095560306</v>
      </c>
      <c r="AM2448">
        <v>90.265575204651697</v>
      </c>
      <c r="AN2448">
        <v>1.0000000236172899</v>
      </c>
    </row>
    <row r="2449" spans="1:40" x14ac:dyDescent="0.25">
      <c r="A2449" t="str">
        <f>"20190303170812671"</f>
        <v>20190303170812671</v>
      </c>
      <c r="B2449" t="str">
        <f>"1551604092665223"</f>
        <v>1551604092665223</v>
      </c>
      <c r="C2449" t="s">
        <v>40</v>
      </c>
      <c r="D2449">
        <v>4.5321089999999904</v>
      </c>
      <c r="E2449">
        <v>0.47224519999999998</v>
      </c>
      <c r="F2449" t="s">
        <v>89</v>
      </c>
      <c r="G2449">
        <v>-238.86099999999999</v>
      </c>
      <c r="H2449">
        <v>2.813205</v>
      </c>
      <c r="I2449">
        <v>230.4522</v>
      </c>
      <c r="J2449">
        <v>-429.86169999999998</v>
      </c>
      <c r="K2449">
        <v>1.120366</v>
      </c>
      <c r="L2449">
        <v>212.54730000000001</v>
      </c>
      <c r="M2449">
        <v>0.99998969999999998</v>
      </c>
      <c r="N2449">
        <v>-4.4390209999999996E-3</v>
      </c>
      <c r="O2449">
        <v>1.1054369999999999E-3</v>
      </c>
      <c r="P2449">
        <v>0.97627649999999999</v>
      </c>
      <c r="Q2449">
        <v>0.21648439999999999</v>
      </c>
      <c r="R2449">
        <v>4.4004320000000001E-3</v>
      </c>
      <c r="S2449">
        <v>3.064972</v>
      </c>
      <c r="T2449">
        <v>2.711535E-2</v>
      </c>
      <c r="U2449">
        <v>0.28680420000000001</v>
      </c>
      <c r="V2449">
        <v>-3.5041019999999998E-3</v>
      </c>
      <c r="W2449">
        <v>0.2208135</v>
      </c>
      <c r="X2449">
        <v>0.9753098</v>
      </c>
      <c r="Y2449">
        <v>-9.2065469999999996E-2</v>
      </c>
      <c r="Z2449">
        <v>-1.869063E-4</v>
      </c>
      <c r="AA2449">
        <v>0.99575290000000005</v>
      </c>
      <c r="AB2449">
        <v>35</v>
      </c>
      <c r="AC2449">
        <v>191.00069999999999</v>
      </c>
      <c r="AD2449">
        <v>1.692839</v>
      </c>
      <c r="AE2449">
        <v>17.904899999999898</v>
      </c>
      <c r="AF2449">
        <v>-17.6923700956734</v>
      </c>
      <c r="AG2449">
        <v>1.692839</v>
      </c>
      <c r="AH2449">
        <v>191.00550292206799</v>
      </c>
      <c r="AI2449">
        <v>89.494377969258807</v>
      </c>
      <c r="AJ2449">
        <v>95.292066586506607</v>
      </c>
      <c r="AK2449">
        <v>191.83062271179301</v>
      </c>
      <c r="AL2449">
        <v>77.243182315894103</v>
      </c>
      <c r="AM2449">
        <v>90.205851916718103</v>
      </c>
      <c r="AN2449">
        <v>1.0000000432445499</v>
      </c>
    </row>
    <row r="2450" spans="1:40" x14ac:dyDescent="0.25">
      <c r="A2450" t="str">
        <f>"20190303170812714"</f>
        <v>20190303170812714</v>
      </c>
      <c r="B2450" t="str">
        <f>"1551604092705239"</f>
        <v>1551604092705239</v>
      </c>
      <c r="C2450" t="s">
        <v>40</v>
      </c>
      <c r="D2450">
        <v>4.6580019999999998</v>
      </c>
      <c r="E2450">
        <v>0.47238580000000002</v>
      </c>
      <c r="F2450" t="s">
        <v>53</v>
      </c>
      <c r="G2450">
        <v>-157.8382</v>
      </c>
      <c r="H2450">
        <v>3.2571479999999999</v>
      </c>
      <c r="I2450">
        <v>236.51609999999999</v>
      </c>
      <c r="J2450">
        <v>-429.16370000000001</v>
      </c>
      <c r="K2450">
        <v>1.12036</v>
      </c>
      <c r="L2450">
        <v>212.5489</v>
      </c>
      <c r="M2450">
        <v>0.99998860000000001</v>
      </c>
      <c r="N2450">
        <v>-4.4345019999999999E-3</v>
      </c>
      <c r="O2450">
        <v>1.852053E-3</v>
      </c>
      <c r="P2450">
        <v>0.97607529999999998</v>
      </c>
      <c r="Q2450">
        <v>0.2173399</v>
      </c>
      <c r="R2450">
        <v>6.3896680000000003E-3</v>
      </c>
      <c r="S2450">
        <v>3.066376</v>
      </c>
      <c r="T2450">
        <v>2.408743E-2</v>
      </c>
      <c r="U2450">
        <v>0.27018740000000002</v>
      </c>
      <c r="V2450">
        <v>-4.7653410000000002E-3</v>
      </c>
      <c r="W2450">
        <v>0.22166259999999999</v>
      </c>
      <c r="X2450">
        <v>0.97511179999999997</v>
      </c>
      <c r="Y2450">
        <v>-8.5926799999999998E-2</v>
      </c>
      <c r="Z2450">
        <v>-1.2322569999999999E-4</v>
      </c>
      <c r="AA2450">
        <v>0.99630149999999995</v>
      </c>
      <c r="AB2450">
        <v>35</v>
      </c>
      <c r="AC2450">
        <v>271.32549999999998</v>
      </c>
      <c r="AD2450">
        <v>2.1367880000000001</v>
      </c>
      <c r="AE2450">
        <v>23.967199999999899</v>
      </c>
      <c r="AF2450">
        <v>-23.463200867267101</v>
      </c>
      <c r="AG2450">
        <v>2.1367880000000001</v>
      </c>
      <c r="AH2450">
        <v>271.352724232014</v>
      </c>
      <c r="AI2450">
        <v>89.550506432365907</v>
      </c>
      <c r="AJ2450">
        <v>94.941932872840397</v>
      </c>
      <c r="AK2450">
        <v>272.373619511931</v>
      </c>
      <c r="AL2450">
        <v>77.193295977987006</v>
      </c>
      <c r="AM2450">
        <v>90.280000461175206</v>
      </c>
      <c r="AN2450">
        <v>1.00000001960642</v>
      </c>
    </row>
    <row r="2451" spans="1:40" x14ac:dyDescent="0.25">
      <c r="A2451" t="str">
        <f>"20190303170812736"</f>
        <v>20190303170812736</v>
      </c>
      <c r="B2451" t="str">
        <f>"1551604092725267"</f>
        <v>1551604092725267</v>
      </c>
      <c r="C2451" t="s">
        <v>40</v>
      </c>
      <c r="D2451">
        <v>4.6791769999999904</v>
      </c>
      <c r="E2451">
        <v>0.47265099999999999</v>
      </c>
      <c r="F2451" t="s">
        <v>53</v>
      </c>
      <c r="G2451">
        <v>-157.8382</v>
      </c>
      <c r="H2451">
        <v>3.4139430000000002</v>
      </c>
      <c r="I2451">
        <v>236.84819999999999</v>
      </c>
      <c r="J2451">
        <v>-428.81619999999998</v>
      </c>
      <c r="K2451">
        <v>1.1203529999999999</v>
      </c>
      <c r="L2451">
        <v>212.54990000000001</v>
      </c>
      <c r="M2451">
        <v>0.99998779999999998</v>
      </c>
      <c r="N2451">
        <v>-4.4286430000000003E-3</v>
      </c>
      <c r="O2451">
        <v>2.2232839999999999E-3</v>
      </c>
      <c r="P2451">
        <v>0.97619350000000005</v>
      </c>
      <c r="Q2451">
        <v>0.21677479999999999</v>
      </c>
      <c r="R2451">
        <v>7.4276589999999997E-3</v>
      </c>
      <c r="S2451">
        <v>3.065979</v>
      </c>
      <c r="T2451">
        <v>2.5918130000000001E-2</v>
      </c>
      <c r="U2451">
        <v>0.27458189999999999</v>
      </c>
      <c r="V2451">
        <v>-5.4411980000000004E-3</v>
      </c>
      <c r="W2451">
        <v>0.2210916</v>
      </c>
      <c r="X2451">
        <v>0.97523780000000004</v>
      </c>
      <c r="Y2451">
        <v>-8.6984720000000001E-2</v>
      </c>
      <c r="Z2451">
        <v>-1.453382E-4</v>
      </c>
      <c r="AA2451">
        <v>0.99620960000000003</v>
      </c>
      <c r="AB2451">
        <v>35</v>
      </c>
      <c r="AC2451">
        <v>270.97799999999899</v>
      </c>
      <c r="AD2451">
        <v>2.29359</v>
      </c>
      <c r="AE2451">
        <v>24.298299999999902</v>
      </c>
      <c r="AF2451">
        <v>-23.6940890969422</v>
      </c>
      <c r="AG2451">
        <v>2.29359</v>
      </c>
      <c r="AH2451">
        <v>271.01209201818699</v>
      </c>
      <c r="AI2451">
        <v>89.516956806167698</v>
      </c>
      <c r="AJ2451">
        <v>94.996559834190705</v>
      </c>
      <c r="AK2451">
        <v>272.055553946793</v>
      </c>
      <c r="AL2451">
        <v>77.226843151616293</v>
      </c>
      <c r="AM2451">
        <v>90.319670183039094</v>
      </c>
      <c r="AN2451">
        <v>0.99999993438753498</v>
      </c>
    </row>
    <row r="2452" spans="1:40" x14ac:dyDescent="0.25">
      <c r="A2452" t="str">
        <f>"20190303170812759"</f>
        <v>20190303170812759</v>
      </c>
      <c r="B2452" t="str">
        <f>"1551604092745763"</f>
        <v>1551604092745763</v>
      </c>
      <c r="C2452" t="s">
        <v>40</v>
      </c>
      <c r="D2452">
        <v>4.6787000000000001</v>
      </c>
      <c r="E2452">
        <v>0.47243249999999998</v>
      </c>
      <c r="F2452" t="s">
        <v>53</v>
      </c>
      <c r="G2452">
        <v>-157.8382</v>
      </c>
      <c r="H2452">
        <v>3.054316</v>
      </c>
      <c r="I2452">
        <v>236.87970000000001</v>
      </c>
      <c r="J2452">
        <v>-428.44420000000002</v>
      </c>
      <c r="K2452">
        <v>1.1203510000000001</v>
      </c>
      <c r="L2452">
        <v>212.55099999999999</v>
      </c>
      <c r="M2452">
        <v>0.99998690000000001</v>
      </c>
      <c r="N2452">
        <v>-4.4210849999999999E-3</v>
      </c>
      <c r="O2452">
        <v>2.6196739999999998E-3</v>
      </c>
      <c r="P2452">
        <v>0.97622260000000005</v>
      </c>
      <c r="Q2452">
        <v>0.2166119</v>
      </c>
      <c r="R2452">
        <v>8.3281769999999904E-3</v>
      </c>
      <c r="S2452">
        <v>3.0661930000000002</v>
      </c>
      <c r="T2452">
        <v>2.1883960000000001E-2</v>
      </c>
      <c r="U2452">
        <v>0.27529910000000002</v>
      </c>
      <c r="V2452">
        <v>-5.9552930000000004E-3</v>
      </c>
      <c r="W2452">
        <v>0.2209209</v>
      </c>
      <c r="X2452">
        <v>0.97527350000000002</v>
      </c>
      <c r="Y2452">
        <v>-8.6815429999999999E-2</v>
      </c>
      <c r="Z2452" s="1">
        <v>-8.6669229999999996E-5</v>
      </c>
      <c r="AA2452">
        <v>0.99622440000000001</v>
      </c>
      <c r="AB2452">
        <v>36</v>
      </c>
      <c r="AC2452">
        <v>270.60599999999999</v>
      </c>
      <c r="AD2452">
        <v>1.9339649999999999</v>
      </c>
      <c r="AE2452">
        <v>24.328700000000001</v>
      </c>
      <c r="AF2452">
        <v>-23.618513479567799</v>
      </c>
      <c r="AG2452">
        <v>1.9339649999999999</v>
      </c>
      <c r="AH2452">
        <v>270.65509200446002</v>
      </c>
      <c r="AI2452">
        <v>89.592150079142996</v>
      </c>
      <c r="AJ2452">
        <v>94.987239446319805</v>
      </c>
      <c r="AK2452">
        <v>271.69054681300298</v>
      </c>
      <c r="AL2452">
        <v>77.2368717828775</v>
      </c>
      <c r="AM2452">
        <v>90.349859720231905</v>
      </c>
      <c r="AN2452">
        <v>0.99999995468688696</v>
      </c>
    </row>
    <row r="2453" spans="1:40" x14ac:dyDescent="0.25">
      <c r="A2453" t="str">
        <f>"20190303170812779"</f>
        <v>20190303170812779</v>
      </c>
      <c r="B2453" t="str">
        <f>"1551604092765286"</f>
        <v>1551604092765286</v>
      </c>
      <c r="C2453" t="s">
        <v>40</v>
      </c>
      <c r="D2453">
        <v>4.6813949999999904</v>
      </c>
      <c r="E2453">
        <v>0.4723541</v>
      </c>
      <c r="F2453" t="s">
        <v>89</v>
      </c>
      <c r="G2453">
        <v>-233.08099999999999</v>
      </c>
      <c r="H2453">
        <v>2.5512380000000001</v>
      </c>
      <c r="I2453">
        <v>230.3981</v>
      </c>
      <c r="J2453">
        <v>-428.1123</v>
      </c>
      <c r="K2453">
        <v>1.1203540000000001</v>
      </c>
      <c r="L2453">
        <v>212.5522</v>
      </c>
      <c r="M2453">
        <v>0.99998589999999998</v>
      </c>
      <c r="N2453">
        <v>-4.4152469999999997E-3</v>
      </c>
      <c r="O2453">
        <v>2.973027E-3</v>
      </c>
      <c r="P2453">
        <v>0.97614109999999998</v>
      </c>
      <c r="Q2453">
        <v>0.2169365</v>
      </c>
      <c r="R2453">
        <v>9.3520319999999997E-3</v>
      </c>
      <c r="S2453">
        <v>3.065674</v>
      </c>
      <c r="T2453">
        <v>2.2453669999999998E-2</v>
      </c>
      <c r="U2453">
        <v>0.28005980000000003</v>
      </c>
      <c r="V2453">
        <v>-6.6356280000000002E-3</v>
      </c>
      <c r="W2453">
        <v>0.22123899999999999</v>
      </c>
      <c r="X2453">
        <v>0.97519699999999998</v>
      </c>
      <c r="Y2453">
        <v>-8.8012750000000001E-2</v>
      </c>
      <c r="Z2453" s="1">
        <v>-9.2105270000000005E-5</v>
      </c>
      <c r="AA2453">
        <v>0.99611930000000004</v>
      </c>
      <c r="AB2453">
        <v>36</v>
      </c>
      <c r="AC2453">
        <v>195.03129999999999</v>
      </c>
      <c r="AD2453">
        <v>1.430884</v>
      </c>
      <c r="AE2453">
        <v>17.8459</v>
      </c>
      <c r="AF2453">
        <v>-17.265060585346099</v>
      </c>
      <c r="AG2453">
        <v>1.430884</v>
      </c>
      <c r="AH2453">
        <v>195.07308189315501</v>
      </c>
      <c r="AI2453">
        <v>89.581372603223997</v>
      </c>
      <c r="AJ2453">
        <v>95.057818571197501</v>
      </c>
      <c r="AK2453">
        <v>195.8408461617</v>
      </c>
      <c r="AL2453">
        <v>77.218183607149399</v>
      </c>
      <c r="AM2453">
        <v>90.389857240487103</v>
      </c>
      <c r="AN2453">
        <v>0.99999995774447603</v>
      </c>
    </row>
    <row r="2454" spans="1:40" x14ac:dyDescent="0.25">
      <c r="A2454" t="str">
        <f>"20190303170812802"</f>
        <v>20190303170812802</v>
      </c>
      <c r="B2454" t="str">
        <f>"1551604092795539"</f>
        <v>1551604092795539</v>
      </c>
      <c r="C2454" t="s">
        <v>40</v>
      </c>
      <c r="D2454">
        <v>4.7038520000000004</v>
      </c>
      <c r="E2454">
        <v>0.47255190000000002</v>
      </c>
      <c r="F2454" t="s">
        <v>89</v>
      </c>
      <c r="G2454">
        <v>-234.63730000000001</v>
      </c>
      <c r="H2454">
        <v>2.5581649999999998</v>
      </c>
      <c r="I2454">
        <v>230.45760000000001</v>
      </c>
      <c r="J2454">
        <v>-427.74329999999998</v>
      </c>
      <c r="K2454">
        <v>1.120358</v>
      </c>
      <c r="L2454">
        <v>212.55359999999999</v>
      </c>
      <c r="M2454">
        <v>0.9999846</v>
      </c>
      <c r="N2454">
        <v>-4.4110629999999998E-3</v>
      </c>
      <c r="O2454">
        <v>3.3650619999999998E-3</v>
      </c>
      <c r="P2454">
        <v>0.97602990000000001</v>
      </c>
      <c r="Q2454">
        <v>0.217388</v>
      </c>
      <c r="R2454">
        <v>1.0401189999999999E-2</v>
      </c>
      <c r="S2454">
        <v>3.0655519999999998</v>
      </c>
      <c r="T2454">
        <v>2.2781610000000001E-2</v>
      </c>
      <c r="U2454">
        <v>0.28370669999999998</v>
      </c>
      <c r="V2454">
        <v>-7.304016E-3</v>
      </c>
      <c r="W2454">
        <v>0.2216854</v>
      </c>
      <c r="X2454">
        <v>0.97509089999999998</v>
      </c>
      <c r="Y2454">
        <v>-8.8800850000000001E-2</v>
      </c>
      <c r="Z2454" s="1">
        <v>-9.321547E-5</v>
      </c>
      <c r="AA2454">
        <v>0.99604939999999997</v>
      </c>
      <c r="AB2454">
        <v>36</v>
      </c>
      <c r="AC2454">
        <v>193.10599999999999</v>
      </c>
      <c r="AD2454">
        <v>1.4378070000000001</v>
      </c>
      <c r="AE2454">
        <v>17.904</v>
      </c>
      <c r="AF2454">
        <v>-17.253130306334299</v>
      </c>
      <c r="AG2454">
        <v>1.4378070000000001</v>
      </c>
      <c r="AH2454">
        <v>193.15453841305299</v>
      </c>
      <c r="AI2454">
        <v>89.575199813947805</v>
      </c>
      <c r="AJ2454">
        <v>95.104280976663503</v>
      </c>
      <c r="AK2454">
        <v>193.92888774985499</v>
      </c>
      <c r="AL2454">
        <v>77.191956234409602</v>
      </c>
      <c r="AM2454">
        <v>90.429171745466704</v>
      </c>
      <c r="AN2454">
        <v>1.00000001424284</v>
      </c>
    </row>
    <row r="2455" spans="1:40" x14ac:dyDescent="0.25">
      <c r="A2455" t="str">
        <f>"20190303170812828"</f>
        <v>20190303170812828</v>
      </c>
      <c r="B2455" t="str">
        <f>"1551604092815059"</f>
        <v>1551604092815059</v>
      </c>
      <c r="C2455" t="s">
        <v>40</v>
      </c>
      <c r="D2455">
        <v>4.6457009999999999</v>
      </c>
      <c r="E2455">
        <v>0.47274630000000001</v>
      </c>
      <c r="F2455" t="s">
        <v>89</v>
      </c>
      <c r="G2455">
        <v>-234.63730000000001</v>
      </c>
      <c r="H2455">
        <v>2.4607830000000002</v>
      </c>
      <c r="I2455">
        <v>230.52680000000001</v>
      </c>
      <c r="J2455">
        <v>-427.31880000000001</v>
      </c>
      <c r="K2455">
        <v>1.120355</v>
      </c>
      <c r="L2455">
        <v>212.55539999999999</v>
      </c>
      <c r="M2455">
        <v>0.99998299999999996</v>
      </c>
      <c r="N2455">
        <v>-4.4094800000000003E-3</v>
      </c>
      <c r="O2455">
        <v>3.8155659999999998E-3</v>
      </c>
      <c r="P2455">
        <v>0.97609659999999998</v>
      </c>
      <c r="Q2455">
        <v>0.21706300000000001</v>
      </c>
      <c r="R2455">
        <v>1.0919669999999999E-2</v>
      </c>
      <c r="S2455">
        <v>3.065887</v>
      </c>
      <c r="T2455">
        <v>2.1281479999999998E-2</v>
      </c>
      <c r="U2455">
        <v>0.28535460000000001</v>
      </c>
      <c r="V2455">
        <v>-7.3836199999999996E-3</v>
      </c>
      <c r="W2455">
        <v>0.221359</v>
      </c>
      <c r="X2455">
        <v>0.97516449999999999</v>
      </c>
      <c r="Y2455">
        <v>-8.8873140000000003E-2</v>
      </c>
      <c r="Z2455" s="1">
        <v>-6.8200079999999996E-5</v>
      </c>
      <c r="AA2455">
        <v>0.99604300000000001</v>
      </c>
      <c r="AB2455">
        <v>36</v>
      </c>
      <c r="AC2455">
        <v>192.6815</v>
      </c>
      <c r="AD2455">
        <v>1.340428</v>
      </c>
      <c r="AE2455">
        <v>17.971399999999999</v>
      </c>
      <c r="AF2455">
        <v>-17.235246132950699</v>
      </c>
      <c r="AG2455">
        <v>1.340428</v>
      </c>
      <c r="AH2455">
        <v>192.739421798184</v>
      </c>
      <c r="AI2455">
        <v>89.603120069783003</v>
      </c>
      <c r="AJ2455">
        <v>95.109941948101607</v>
      </c>
      <c r="AK2455">
        <v>193.51313953213901</v>
      </c>
      <c r="AL2455">
        <v>77.211134682239205</v>
      </c>
      <c r="AM2455">
        <v>90.433816222081404</v>
      </c>
      <c r="AN2455">
        <v>1.0000000633927699</v>
      </c>
    </row>
    <row r="2456" spans="1:40" x14ac:dyDescent="0.25">
      <c r="A2456" t="str">
        <f>"20190303170812871"</f>
        <v>20190303170812871</v>
      </c>
      <c r="B2456" t="str">
        <f>"1551604092864835"</f>
        <v>1551604092864835</v>
      </c>
      <c r="C2456" t="s">
        <v>40</v>
      </c>
      <c r="D2456">
        <v>4.7754709999999996</v>
      </c>
      <c r="E2456">
        <v>0.50604669999999996</v>
      </c>
      <c r="F2456" t="s">
        <v>89</v>
      </c>
      <c r="G2456">
        <v>-234.63730000000001</v>
      </c>
      <c r="H2456">
        <v>2.285647</v>
      </c>
      <c r="I2456">
        <v>230.47399999999999</v>
      </c>
      <c r="J2456">
        <v>-426.6431</v>
      </c>
      <c r="K2456">
        <v>1.120341</v>
      </c>
      <c r="L2456">
        <v>212.55869999999999</v>
      </c>
      <c r="M2456">
        <v>0.99997999999999998</v>
      </c>
      <c r="N2456">
        <v>-4.4149749999999998E-3</v>
      </c>
      <c r="O2456">
        <v>4.5317810000000004E-3</v>
      </c>
      <c r="P2456">
        <v>0.97628870000000001</v>
      </c>
      <c r="Q2456">
        <v>0.21621360000000001</v>
      </c>
      <c r="R2456">
        <v>1.0589629999999999E-2</v>
      </c>
      <c r="S2456">
        <v>3.0661619999999998</v>
      </c>
      <c r="T2456">
        <v>1.8543359999999998E-2</v>
      </c>
      <c r="U2456">
        <v>0.28514099999999998</v>
      </c>
      <c r="V2456">
        <v>-6.3553630000000002E-3</v>
      </c>
      <c r="W2456">
        <v>0.22051680000000001</v>
      </c>
      <c r="X2456">
        <v>0.97536250000000002</v>
      </c>
      <c r="Y2456">
        <v>-8.8083049999999996E-2</v>
      </c>
      <c r="Z2456" s="1">
        <v>-2.360207E-5</v>
      </c>
      <c r="AA2456">
        <v>0.99611309999999997</v>
      </c>
      <c r="AB2456">
        <v>36</v>
      </c>
      <c r="AC2456">
        <v>192.00579999999999</v>
      </c>
      <c r="AD2456">
        <v>1.165306</v>
      </c>
      <c r="AE2456">
        <v>17.915299999999998</v>
      </c>
      <c r="AF2456">
        <v>-17.044356931255599</v>
      </c>
      <c r="AG2456">
        <v>1.165306</v>
      </c>
      <c r="AH2456">
        <v>192.07800336617399</v>
      </c>
      <c r="AI2456">
        <v>89.653760562472101</v>
      </c>
      <c r="AJ2456">
        <v>95.070952996181404</v>
      </c>
      <c r="AK2456">
        <v>192.836271013545</v>
      </c>
      <c r="AL2456">
        <v>77.260611415003197</v>
      </c>
      <c r="AM2456">
        <v>90.373328197410103</v>
      </c>
      <c r="AN2456">
        <v>1.0000000280636701</v>
      </c>
    </row>
    <row r="2457" spans="1:40" x14ac:dyDescent="0.25">
      <c r="A2457" t="str">
        <f>"20190303170812891"</f>
        <v>20190303170812891</v>
      </c>
      <c r="B2457" t="str">
        <f>"1551604092885331"</f>
        <v>1551604092885331</v>
      </c>
      <c r="C2457" t="s">
        <v>40</v>
      </c>
      <c r="D2457">
        <v>4.6801329999999997</v>
      </c>
      <c r="E2457">
        <v>0.51183659999999997</v>
      </c>
      <c r="F2457" t="s">
        <v>90</v>
      </c>
      <c r="G2457">
        <v>-107.39749999999999</v>
      </c>
      <c r="H2457">
        <v>1.186631</v>
      </c>
      <c r="I2457">
        <v>214.477</v>
      </c>
      <c r="J2457">
        <v>-426.30250000000001</v>
      </c>
      <c r="K2457">
        <v>1.1203399999999999</v>
      </c>
      <c r="L2457">
        <v>212.56049999999999</v>
      </c>
      <c r="M2457">
        <v>0.99997820000000004</v>
      </c>
      <c r="N2457">
        <v>-4.4212069999999999E-3</v>
      </c>
      <c r="O2457">
        <v>4.892029E-3</v>
      </c>
      <c r="P2457">
        <v>0.97639600000000004</v>
      </c>
      <c r="Q2457">
        <v>0.2157464</v>
      </c>
      <c r="R2457">
        <v>1.021244E-2</v>
      </c>
      <c r="S2457">
        <v>3.07254</v>
      </c>
      <c r="T2457">
        <v>6.3848500000000005E-4</v>
      </c>
      <c r="U2457">
        <v>1.8463130000000001E-2</v>
      </c>
      <c r="V2457">
        <v>-5.6267009999999996E-3</v>
      </c>
      <c r="W2457">
        <v>0.22005630000000001</v>
      </c>
      <c r="X2457">
        <v>0.97547099999999998</v>
      </c>
      <c r="Y2457">
        <v>-1.116962E-3</v>
      </c>
      <c r="Z2457" s="1">
        <v>2.499843E-5</v>
      </c>
      <c r="AA2457">
        <v>0.99999939999999998</v>
      </c>
      <c r="AB2457">
        <v>36</v>
      </c>
      <c r="AC2457">
        <v>318.90499999999997</v>
      </c>
      <c r="AD2457">
        <v>6.62910000000001E-2</v>
      </c>
      <c r="AE2457">
        <v>1.9165000000000101</v>
      </c>
      <c r="AF2457">
        <v>-0.356369201133516</v>
      </c>
      <c r="AG2457">
        <v>6.62910000000001E-2</v>
      </c>
      <c r="AH2457">
        <v>318.91054577929799</v>
      </c>
      <c r="AI2457">
        <v>89.988090101930297</v>
      </c>
      <c r="AJ2457">
        <v>90.064025611397</v>
      </c>
      <c r="AK2457">
        <v>318.91075178292999</v>
      </c>
      <c r="AL2457">
        <v>77.2876609054791</v>
      </c>
      <c r="AM2457">
        <v>90.330489214415294</v>
      </c>
      <c r="AN2457">
        <v>1.00000005338741</v>
      </c>
    </row>
    <row r="2458" spans="1:40" x14ac:dyDescent="0.25">
      <c r="A2458" t="str">
        <f>"20190303170812914"</f>
        <v>20190303170812914</v>
      </c>
      <c r="B2458" t="str">
        <f>"1551604092904851"</f>
        <v>1551604092904851</v>
      </c>
      <c r="C2458" t="s">
        <v>40</v>
      </c>
      <c r="D2458">
        <v>4.895384</v>
      </c>
      <c r="E2458">
        <v>0.5144396</v>
      </c>
      <c r="F2458" t="s">
        <v>63</v>
      </c>
      <c r="G2458">
        <v>-238.76759999999999</v>
      </c>
      <c r="H2458" s="1">
        <v>3.2931770000000001E-6</v>
      </c>
      <c r="I2458">
        <v>210.85769999999999</v>
      </c>
      <c r="J2458">
        <v>-425.91289999999998</v>
      </c>
      <c r="K2458">
        <v>1.1203430000000001</v>
      </c>
      <c r="L2458">
        <v>212.56280000000001</v>
      </c>
      <c r="M2458">
        <v>0.99997610000000003</v>
      </c>
      <c r="N2458">
        <v>-4.4325620000000001E-3</v>
      </c>
      <c r="O2458">
        <v>5.3038269999999997E-3</v>
      </c>
      <c r="P2458">
        <v>0.97648760000000001</v>
      </c>
      <c r="Q2458">
        <v>0.2153098</v>
      </c>
      <c r="R2458">
        <v>1.0669619999999999E-2</v>
      </c>
      <c r="S2458">
        <v>3.0769039999999999</v>
      </c>
      <c r="T2458">
        <v>-1.8381479999999999E-2</v>
      </c>
      <c r="U2458">
        <v>-2.793884E-2</v>
      </c>
      <c r="V2458">
        <v>-5.6821450000000004E-3</v>
      </c>
      <c r="W2458">
        <v>0.21963160000000001</v>
      </c>
      <c r="X2458">
        <v>0.9755663</v>
      </c>
      <c r="Y2458">
        <v>1.4382880000000001E-2</v>
      </c>
      <c r="Z2458" s="1">
        <v>-8.3013579999999999E-5</v>
      </c>
      <c r="AA2458">
        <v>0.99989660000000002</v>
      </c>
      <c r="AB2458">
        <v>37</v>
      </c>
      <c r="AC2458">
        <v>187.14529999999999</v>
      </c>
      <c r="AD2458">
        <v>-1.1203397068230001</v>
      </c>
      <c r="AE2458">
        <v>-1.7051000000000101</v>
      </c>
      <c r="AF2458">
        <v>2.6975754061519099</v>
      </c>
      <c r="AG2458">
        <v>-1.1203397068230001</v>
      </c>
      <c r="AH2458">
        <v>187.12691836782801</v>
      </c>
      <c r="AI2458">
        <v>90.342993417743202</v>
      </c>
      <c r="AJ2458">
        <v>89.174095411704002</v>
      </c>
      <c r="AK2458">
        <v>187.14971453884201</v>
      </c>
      <c r="AL2458">
        <v>77.312603543788796</v>
      </c>
      <c r="AM2458">
        <v>90.333713091213596</v>
      </c>
      <c r="AN2458">
        <v>0.99999996609302499</v>
      </c>
    </row>
    <row r="2459" spans="1:40" x14ac:dyDescent="0.25">
      <c r="A2459" t="str">
        <f>"20190303170812937"</f>
        <v>20190303170812937</v>
      </c>
      <c r="B2459" t="str">
        <f>"1551604092925347"</f>
        <v>1551604092925347</v>
      </c>
      <c r="C2459" t="s">
        <v>40</v>
      </c>
      <c r="D2459">
        <v>4.8357060000000001</v>
      </c>
      <c r="E2459">
        <v>0.51599410000000001</v>
      </c>
      <c r="F2459" t="s">
        <v>71</v>
      </c>
      <c r="G2459">
        <v>-285.34559999999999</v>
      </c>
      <c r="H2459" s="1">
        <v>5.2198959999999997E-6</v>
      </c>
      <c r="I2459">
        <v>210.42570000000001</v>
      </c>
      <c r="J2459">
        <v>-425.54379999999998</v>
      </c>
      <c r="K2459">
        <v>1.120344</v>
      </c>
      <c r="L2459">
        <v>212.5651</v>
      </c>
      <c r="M2459">
        <v>0.99997400000000003</v>
      </c>
      <c r="N2459">
        <v>-4.4538240000000003E-3</v>
      </c>
      <c r="O2459">
        <v>5.6945069999999997E-3</v>
      </c>
      <c r="P2459">
        <v>0.97683039999999999</v>
      </c>
      <c r="Q2459">
        <v>0.21372099999999999</v>
      </c>
      <c r="R2459">
        <v>1.122104E-2</v>
      </c>
      <c r="S2459">
        <v>3.0781860000000001</v>
      </c>
      <c r="T2459">
        <v>-2.4533510000000001E-2</v>
      </c>
      <c r="U2459">
        <v>-4.679871E-2</v>
      </c>
      <c r="V2459">
        <v>-5.8498550000000002E-3</v>
      </c>
      <c r="W2459">
        <v>0.21806500000000001</v>
      </c>
      <c r="X2459">
        <v>0.97591669999999997</v>
      </c>
      <c r="Y2459">
        <v>2.0894179999999998E-2</v>
      </c>
      <c r="Z2459">
        <v>-1.498142E-4</v>
      </c>
      <c r="AA2459">
        <v>0.9997817</v>
      </c>
      <c r="AB2459">
        <v>37</v>
      </c>
      <c r="AC2459">
        <v>140.19820000000001</v>
      </c>
      <c r="AD2459">
        <v>-1.1203387801039999</v>
      </c>
      <c r="AE2459">
        <v>-2.13939999999999</v>
      </c>
      <c r="AF2459">
        <v>2.9375452140897602</v>
      </c>
      <c r="AG2459">
        <v>-1.1203387801039999</v>
      </c>
      <c r="AH2459">
        <v>140.17479468909201</v>
      </c>
      <c r="AI2459">
        <v>90.457822873539897</v>
      </c>
      <c r="AJ2459">
        <v>88.799468112604799</v>
      </c>
      <c r="AK2459">
        <v>140.21004741813701</v>
      </c>
      <c r="AL2459">
        <v>77.404593298017602</v>
      </c>
      <c r="AM2459">
        <v>90.343439135776094</v>
      </c>
      <c r="AN2459">
        <v>0.99999998518370503</v>
      </c>
    </row>
    <row r="2460" spans="1:40" x14ac:dyDescent="0.25">
      <c r="A2460" t="str">
        <f>"20190303170812959"</f>
        <v>20190303170812959</v>
      </c>
      <c r="B2460" t="str">
        <f>"1551604092944870"</f>
        <v>1551604092944870</v>
      </c>
      <c r="C2460" t="s">
        <v>40</v>
      </c>
      <c r="D2460">
        <v>4.8318969999999997</v>
      </c>
      <c r="E2460">
        <v>0.51682320000000004</v>
      </c>
      <c r="F2460" t="s">
        <v>63</v>
      </c>
      <c r="G2460">
        <v>-325.02809999999999</v>
      </c>
      <c r="H2460" s="1">
        <v>1.138914E-6</v>
      </c>
      <c r="I2460">
        <v>210.69479999999999</v>
      </c>
      <c r="J2460">
        <v>-425.18459999999999</v>
      </c>
      <c r="K2460">
        <v>1.1203459999999901</v>
      </c>
      <c r="L2460">
        <v>212.56739999999999</v>
      </c>
      <c r="M2460">
        <v>0.99997159999999996</v>
      </c>
      <c r="N2460">
        <v>-4.4850239999999998E-3</v>
      </c>
      <c r="O2460">
        <v>6.0787410000000004E-3</v>
      </c>
      <c r="P2460">
        <v>0.97699650000000005</v>
      </c>
      <c r="Q2460">
        <v>0.21296899999999999</v>
      </c>
      <c r="R2460">
        <v>1.106919E-2</v>
      </c>
      <c r="S2460">
        <v>3.0793149999999998</v>
      </c>
      <c r="T2460">
        <v>-3.4321900000000002E-2</v>
      </c>
      <c r="U2460">
        <v>-5.729675E-2</v>
      </c>
      <c r="V2460">
        <v>-5.3239519999999999E-3</v>
      </c>
      <c r="W2460">
        <v>0.2173446</v>
      </c>
      <c r="X2460">
        <v>0.97608039999999996</v>
      </c>
      <c r="Y2460">
        <v>2.467888E-2</v>
      </c>
      <c r="Z2460">
        <v>-2.333546E-4</v>
      </c>
      <c r="AA2460">
        <v>0.99969540000000001</v>
      </c>
      <c r="AB2460">
        <v>37</v>
      </c>
      <c r="AC2460">
        <v>100.15649999999999</v>
      </c>
      <c r="AD2460">
        <v>-1.1203448610859901</v>
      </c>
      <c r="AE2460">
        <v>-1.8726</v>
      </c>
      <c r="AF2460">
        <v>2.4810865285150201</v>
      </c>
      <c r="AG2460">
        <v>-1.1203448610859901</v>
      </c>
      <c r="AH2460">
        <v>100.130741824631</v>
      </c>
      <c r="AI2460">
        <v>90.640848736905497</v>
      </c>
      <c r="AJ2460">
        <v>88.580588722670797</v>
      </c>
      <c r="AK2460">
        <v>100.16774142068201</v>
      </c>
      <c r="AL2460">
        <v>77.446883502429202</v>
      </c>
      <c r="AM2460">
        <v>90.312512119835603</v>
      </c>
      <c r="AN2460">
        <v>0.99999998343910901</v>
      </c>
    </row>
    <row r="2461" spans="1:40" x14ac:dyDescent="0.25">
      <c r="A2461" t="str">
        <f>"20190303170813004"</f>
        <v>20190303170813004</v>
      </c>
      <c r="B2461" t="str">
        <f>"1551604092995619"</f>
        <v>1551604092995619</v>
      </c>
      <c r="C2461" t="s">
        <v>40</v>
      </c>
      <c r="D2461">
        <v>4.8861600000000003</v>
      </c>
      <c r="E2461">
        <v>0.51832909999999999</v>
      </c>
      <c r="F2461" t="s">
        <v>63</v>
      </c>
      <c r="G2461">
        <v>-335.78530000000001</v>
      </c>
      <c r="H2461" s="1">
        <v>1.713439E-6</v>
      </c>
      <c r="I2461">
        <v>210.6908</v>
      </c>
      <c r="J2461">
        <v>-424.4434</v>
      </c>
      <c r="K2461">
        <v>1.1203829999999999</v>
      </c>
      <c r="L2461">
        <v>212.5727</v>
      </c>
      <c r="M2461">
        <v>0.99996569999999996</v>
      </c>
      <c r="N2461">
        <v>-4.5811630000000001E-3</v>
      </c>
      <c r="O2461">
        <v>6.903523E-3</v>
      </c>
      <c r="P2461">
        <v>0.97696229999999995</v>
      </c>
      <c r="Q2461">
        <v>0.21312780000000001</v>
      </c>
      <c r="R2461">
        <v>1.1023420000000001E-2</v>
      </c>
      <c r="S2461">
        <v>3.0798030000000001</v>
      </c>
      <c r="T2461">
        <v>-3.85958E-2</v>
      </c>
      <c r="U2461">
        <v>-6.4651490000000006E-2</v>
      </c>
      <c r="V2461">
        <v>-4.484053E-3</v>
      </c>
      <c r="W2461">
        <v>0.21759770000000001</v>
      </c>
      <c r="X2461">
        <v>0.97602829999999996</v>
      </c>
      <c r="Y2461">
        <v>2.788583E-2</v>
      </c>
      <c r="Z2461">
        <v>-2.9347139999999998E-4</v>
      </c>
      <c r="AA2461">
        <v>0.99961109999999997</v>
      </c>
      <c r="AB2461">
        <v>37</v>
      </c>
      <c r="AC2461">
        <v>88.658099999999905</v>
      </c>
      <c r="AD2461">
        <v>-1.1203812865609999</v>
      </c>
      <c r="AE2461">
        <v>-1.8818999999999999</v>
      </c>
      <c r="AF2461">
        <v>2.4935167689176598</v>
      </c>
      <c r="AG2461">
        <v>-1.1203812865609999</v>
      </c>
      <c r="AH2461">
        <v>88.628848068042601</v>
      </c>
      <c r="AI2461">
        <v>90.723966460467494</v>
      </c>
      <c r="AJ2461">
        <v>88.388444477879602</v>
      </c>
      <c r="AK2461">
        <v>88.670996328970702</v>
      </c>
      <c r="AL2461">
        <v>77.432027263078297</v>
      </c>
      <c r="AM2461">
        <v>90.263225466405302</v>
      </c>
      <c r="AN2461">
        <v>1.0000000540887399</v>
      </c>
    </row>
    <row r="2462" spans="1:40" x14ac:dyDescent="0.25">
      <c r="A2462" t="str">
        <f>"20190303170813026"</f>
        <v>20190303170813026</v>
      </c>
      <c r="B2462" t="str">
        <f>"1551604093016115"</f>
        <v>1551604093016115</v>
      </c>
      <c r="C2462" t="s">
        <v>40</v>
      </c>
      <c r="D2462">
        <v>4.9428780000000003</v>
      </c>
      <c r="E2462">
        <v>0.51867509999999994</v>
      </c>
      <c r="F2462" t="s">
        <v>63</v>
      </c>
      <c r="G2462">
        <v>-337.1669</v>
      </c>
      <c r="H2462" s="1">
        <v>2.460348E-6</v>
      </c>
      <c r="I2462">
        <v>210.42310000000001</v>
      </c>
      <c r="J2462">
        <v>-424.0455</v>
      </c>
      <c r="K2462">
        <v>1.1204069999999999</v>
      </c>
      <c r="L2462">
        <v>212.57579999999999</v>
      </c>
      <c r="M2462">
        <v>0.99996220000000002</v>
      </c>
      <c r="N2462">
        <v>-4.6486549999999998E-3</v>
      </c>
      <c r="O2462">
        <v>7.3689799999999998E-3</v>
      </c>
      <c r="P2462">
        <v>0.97697230000000002</v>
      </c>
      <c r="Q2462">
        <v>0.21305760000000001</v>
      </c>
      <c r="R2462">
        <v>1.1479949999999999E-2</v>
      </c>
      <c r="S2462">
        <v>3.0802610000000001</v>
      </c>
      <c r="T2462">
        <v>-3.9541720000000002E-2</v>
      </c>
      <c r="U2462">
        <v>-7.5866699999999995E-2</v>
      </c>
      <c r="V2462">
        <v>-4.493833E-3</v>
      </c>
      <c r="W2462">
        <v>0.21759310000000001</v>
      </c>
      <c r="X2462">
        <v>0.97602920000000004</v>
      </c>
      <c r="Y2462">
        <v>3.1984819999999997E-2</v>
      </c>
      <c r="Z2462">
        <v>-3.3994659999999998E-4</v>
      </c>
      <c r="AA2462">
        <v>0.9994883</v>
      </c>
      <c r="AB2462">
        <v>37</v>
      </c>
      <c r="AC2462">
        <v>86.878600000000006</v>
      </c>
      <c r="AD2462">
        <v>-1.1204045396519999</v>
      </c>
      <c r="AE2462">
        <v>-2.1526999999999799</v>
      </c>
      <c r="AF2462">
        <v>2.79239090952768</v>
      </c>
      <c r="AG2462">
        <v>-1.1204045396519999</v>
      </c>
      <c r="AH2462">
        <v>86.845943033561994</v>
      </c>
      <c r="AI2462">
        <v>90.738753428865706</v>
      </c>
      <c r="AJ2462">
        <v>88.158381301397796</v>
      </c>
      <c r="AK2462">
        <v>86.898047013225707</v>
      </c>
      <c r="AL2462">
        <v>77.432296289723894</v>
      </c>
      <c r="AM2462">
        <v>90.263799326256404</v>
      </c>
      <c r="AN2462">
        <v>0.99999997547763997</v>
      </c>
    </row>
    <row r="2463" spans="1:40" x14ac:dyDescent="0.25">
      <c r="A2463" t="str">
        <f>"20190303170813051"</f>
        <v>20190303170813051</v>
      </c>
      <c r="B2463" t="str">
        <f>"1551604093045395"</f>
        <v>1551604093045395</v>
      </c>
      <c r="C2463" t="s">
        <v>40</v>
      </c>
      <c r="D2463">
        <v>4.9451340000000004</v>
      </c>
      <c r="E2463">
        <v>0.5192175</v>
      </c>
      <c r="F2463" t="s">
        <v>63</v>
      </c>
      <c r="G2463">
        <v>-338.62329999999997</v>
      </c>
      <c r="H2463" s="1">
        <v>3.2343340000000002E-6</v>
      </c>
      <c r="I2463">
        <v>210.44739999999999</v>
      </c>
      <c r="J2463">
        <v>-423.65750000000003</v>
      </c>
      <c r="K2463">
        <v>1.120433</v>
      </c>
      <c r="L2463">
        <v>212.57910000000001</v>
      </c>
      <c r="M2463">
        <v>0.99995820000000002</v>
      </c>
      <c r="N2463">
        <v>-4.7313820000000001E-3</v>
      </c>
      <c r="O2463">
        <v>7.8425219999999993E-3</v>
      </c>
      <c r="P2463">
        <v>0.97705260000000005</v>
      </c>
      <c r="Q2463">
        <v>0.2127059</v>
      </c>
      <c r="R2463">
        <v>1.117254E-2</v>
      </c>
      <c r="S2463">
        <v>3.0803829999999999</v>
      </c>
      <c r="T2463">
        <v>-4.0402529999999999E-2</v>
      </c>
      <c r="U2463">
        <v>-7.6751710000000001E-2</v>
      </c>
      <c r="V2463">
        <v>-3.7321889999999999E-3</v>
      </c>
      <c r="W2463">
        <v>0.21732309999999999</v>
      </c>
      <c r="X2463">
        <v>0.97609259999999998</v>
      </c>
      <c r="Y2463">
        <v>3.2743870000000001E-2</v>
      </c>
      <c r="Z2463">
        <v>-3.579174E-4</v>
      </c>
      <c r="AA2463">
        <v>0.99946369999999896</v>
      </c>
      <c r="AB2463">
        <v>37</v>
      </c>
      <c r="AC2463">
        <v>85.034199999999998</v>
      </c>
      <c r="AD2463">
        <v>-1.1204297656660001</v>
      </c>
      <c r="AE2463">
        <v>-2.1317000000000199</v>
      </c>
      <c r="AF2463">
        <v>2.79803892281639</v>
      </c>
      <c r="AG2463">
        <v>-1.1204297656660001</v>
      </c>
      <c r="AH2463">
        <v>85.000118942720604</v>
      </c>
      <c r="AI2463">
        <v>90.754792262926401</v>
      </c>
      <c r="AJ2463">
        <v>88.114614958153496</v>
      </c>
      <c r="AK2463">
        <v>85.053539637983505</v>
      </c>
      <c r="AL2463">
        <v>77.448145884183603</v>
      </c>
      <c r="AM2463">
        <v>90.219075153271604</v>
      </c>
      <c r="AN2463">
        <v>1.0000000114015499</v>
      </c>
    </row>
    <row r="2464" spans="1:40" x14ac:dyDescent="0.25">
      <c r="A2464" t="str">
        <f>"20190303170813075"</f>
        <v>20190303170813075</v>
      </c>
      <c r="B2464" t="str">
        <f>"1551604093064915"</f>
        <v>1551604093064915</v>
      </c>
      <c r="C2464" t="s">
        <v>40</v>
      </c>
      <c r="D2464">
        <v>4.7459449999999999</v>
      </c>
      <c r="E2464">
        <v>0.51939230000000003</v>
      </c>
      <c r="F2464" t="s">
        <v>63</v>
      </c>
      <c r="G2464">
        <v>-342.48660000000001</v>
      </c>
      <c r="H2464" s="1">
        <v>-2.135588E-7</v>
      </c>
      <c r="I2464">
        <v>210.43530000000001</v>
      </c>
      <c r="J2464">
        <v>-423.2346</v>
      </c>
      <c r="K2464">
        <v>1.1204639999999999</v>
      </c>
      <c r="L2464">
        <v>212.58279999999999</v>
      </c>
      <c r="M2464">
        <v>0.99995319999999999</v>
      </c>
      <c r="N2464">
        <v>-4.8412000000000004E-3</v>
      </c>
      <c r="O2464">
        <v>8.3830199999999997E-3</v>
      </c>
      <c r="P2464">
        <v>0.97716919999999996</v>
      </c>
      <c r="Q2464">
        <v>0.21222199999999999</v>
      </c>
      <c r="R2464">
        <v>1.0119929999999999E-2</v>
      </c>
      <c r="S2464">
        <v>3.0806580000000001</v>
      </c>
      <c r="T2464">
        <v>-4.2523499999999999E-2</v>
      </c>
      <c r="U2464">
        <v>-8.1359860000000006E-2</v>
      </c>
      <c r="V2464">
        <v>-2.1615200000000001E-3</v>
      </c>
      <c r="W2464">
        <v>0.216948</v>
      </c>
      <c r="X2464">
        <v>0.97618079999999996</v>
      </c>
      <c r="Y2464">
        <v>3.4775159999999999E-2</v>
      </c>
      <c r="Z2464">
        <v>-3.9926700000000002E-4</v>
      </c>
      <c r="AA2464">
        <v>0.99939509999999998</v>
      </c>
      <c r="AB2464">
        <v>38</v>
      </c>
      <c r="AC2464">
        <v>80.747999999999905</v>
      </c>
      <c r="AD2464">
        <v>-1.1204642135588001</v>
      </c>
      <c r="AE2464">
        <v>-2.1474999999999702</v>
      </c>
      <c r="AF2464">
        <v>2.8238012071989198</v>
      </c>
      <c r="AG2464">
        <v>-1.1204642135588001</v>
      </c>
      <c r="AH2464">
        <v>80.711630211342396</v>
      </c>
      <c r="AI2464">
        <v>90.794860665989304</v>
      </c>
      <c r="AJ2464">
        <v>87.996250031572998</v>
      </c>
      <c r="AK2464">
        <v>80.768784469522103</v>
      </c>
      <c r="AL2464">
        <v>77.4701630671712</v>
      </c>
      <c r="AM2464">
        <v>90.126867657026096</v>
      </c>
      <c r="AN2464">
        <v>1.00000003058067</v>
      </c>
    </row>
    <row r="2465" spans="1:40" x14ac:dyDescent="0.25">
      <c r="A2465" t="str">
        <f>"20190303170813095"</f>
        <v>20190303170813095</v>
      </c>
      <c r="B2465" t="str">
        <f>"1551604093085412"</f>
        <v>1551604093085412</v>
      </c>
      <c r="C2465" t="s">
        <v>40</v>
      </c>
      <c r="D2465">
        <v>4.9458699999999904</v>
      </c>
      <c r="E2465">
        <v>0.51970139999999998</v>
      </c>
      <c r="F2465" t="s">
        <v>63</v>
      </c>
      <c r="G2465">
        <v>-345.52550000000002</v>
      </c>
      <c r="H2465" s="1">
        <v>1.4036040000000001E-6</v>
      </c>
      <c r="I2465">
        <v>210.43549999999999</v>
      </c>
      <c r="J2465">
        <v>-422.9006</v>
      </c>
      <c r="K2465">
        <v>1.120476</v>
      </c>
      <c r="L2465">
        <v>212.58600000000001</v>
      </c>
      <c r="M2465">
        <v>0.99994899999999998</v>
      </c>
      <c r="N2465">
        <v>-4.9338769999999997E-3</v>
      </c>
      <c r="O2465">
        <v>8.8235689999999999E-3</v>
      </c>
      <c r="P2465">
        <v>0.97736319999999999</v>
      </c>
      <c r="Q2465">
        <v>0.21137610000000001</v>
      </c>
      <c r="R2465">
        <v>9.0192870000000008E-3</v>
      </c>
      <c r="S2465">
        <v>3.0806269999999998</v>
      </c>
      <c r="T2465">
        <v>-4.4418569999999997E-2</v>
      </c>
      <c r="U2465">
        <v>-8.5128780000000001E-2</v>
      </c>
      <c r="V2465">
        <v>-6.353175E-4</v>
      </c>
      <c r="W2465">
        <v>0.2161952</v>
      </c>
      <c r="X2465">
        <v>0.97634989999999999</v>
      </c>
      <c r="Y2465">
        <v>3.643681E-2</v>
      </c>
      <c r="Z2465">
        <v>-4.3620479999999999E-4</v>
      </c>
      <c r="AA2465">
        <v>0.99933590000000005</v>
      </c>
      <c r="AB2465">
        <v>38</v>
      </c>
      <c r="AC2465">
        <v>77.375099999999904</v>
      </c>
      <c r="AD2465">
        <v>-1.1204745963959899</v>
      </c>
      <c r="AE2465">
        <v>-2.1504999999999899</v>
      </c>
      <c r="AF2465">
        <v>2.8325555246979102</v>
      </c>
      <c r="AG2465">
        <v>-1.1204745963959899</v>
      </c>
      <c r="AH2465">
        <v>77.336907371608802</v>
      </c>
      <c r="AI2465">
        <v>90.829500016792096</v>
      </c>
      <c r="AJ2465">
        <v>87.902412060728395</v>
      </c>
      <c r="AK2465">
        <v>77.396873812360596</v>
      </c>
      <c r="AL2465">
        <v>77.514342833026106</v>
      </c>
      <c r="AM2465">
        <v>90.037282746956905</v>
      </c>
      <c r="AN2465">
        <v>0.99999994768068601</v>
      </c>
    </row>
    <row r="2466" spans="1:40" x14ac:dyDescent="0.25">
      <c r="A2466" t="str">
        <f>"20190303170813140"</f>
        <v>20190303170813140</v>
      </c>
      <c r="B2466" t="str">
        <f>"1551604093135187"</f>
        <v>1551604093135187</v>
      </c>
      <c r="C2466" t="s">
        <v>40</v>
      </c>
      <c r="D2466">
        <v>4.8871310000000001</v>
      </c>
      <c r="E2466">
        <v>0.52014850000000001</v>
      </c>
      <c r="F2466" t="s">
        <v>63</v>
      </c>
      <c r="G2466">
        <v>-351.48899999999998</v>
      </c>
      <c r="H2466" s="1">
        <v>-5.6396799999999998E-7</v>
      </c>
      <c r="I2466">
        <v>210.48820000000001</v>
      </c>
      <c r="J2466">
        <v>-422.14879999999999</v>
      </c>
      <c r="K2466">
        <v>1.1205309999999999</v>
      </c>
      <c r="L2466">
        <v>212.59360000000001</v>
      </c>
      <c r="M2466">
        <v>0.9999382</v>
      </c>
      <c r="N2466">
        <v>-5.160525E-3</v>
      </c>
      <c r="O2466">
        <v>9.8551969999999996E-3</v>
      </c>
      <c r="P2466">
        <v>0.97758310000000004</v>
      </c>
      <c r="Q2466">
        <v>0.21037310000000001</v>
      </c>
      <c r="R2466">
        <v>8.6488480000000006E-3</v>
      </c>
      <c r="S2466">
        <v>3.0808110000000002</v>
      </c>
      <c r="T2466">
        <v>-4.8339130000000001E-2</v>
      </c>
      <c r="U2466">
        <v>-9.0499880000000005E-2</v>
      </c>
      <c r="V2466">
        <v>7.2992309999999998E-4</v>
      </c>
      <c r="W2466">
        <v>0.2154163</v>
      </c>
      <c r="X2466">
        <v>0.976522</v>
      </c>
      <c r="Y2466">
        <v>3.9205379999999998E-2</v>
      </c>
      <c r="Z2466">
        <v>-5.1242829999999999E-4</v>
      </c>
      <c r="AA2466">
        <v>0.99923099999999998</v>
      </c>
      <c r="AB2466">
        <v>38</v>
      </c>
      <c r="AC2466">
        <v>70.659799999999905</v>
      </c>
      <c r="AD2466">
        <v>-1.120531563968</v>
      </c>
      <c r="AE2466">
        <v>-2.1053999999999999</v>
      </c>
      <c r="AF2466">
        <v>2.8009694545635901</v>
      </c>
      <c r="AG2466">
        <v>-1.120531563968</v>
      </c>
      <c r="AH2466">
        <v>70.617875778400403</v>
      </c>
      <c r="AI2466">
        <v>90.908352340439095</v>
      </c>
      <c r="AJ2466">
        <v>87.728625400767797</v>
      </c>
      <c r="AK2466">
        <v>70.682284911601698</v>
      </c>
      <c r="AL2466">
        <v>77.560047718471793</v>
      </c>
      <c r="AM2466">
        <v>89.9571730025433</v>
      </c>
      <c r="AN2466">
        <v>0.99999996578870998</v>
      </c>
    </row>
    <row r="2467" spans="1:40" x14ac:dyDescent="0.25">
      <c r="A2467" t="str">
        <f>"20190303170813159"</f>
        <v>20190303170813159</v>
      </c>
      <c r="B2467" t="str">
        <f>"1551604093144947"</f>
        <v>1551604093144947</v>
      </c>
      <c r="C2467" t="s">
        <v>40</v>
      </c>
      <c r="D2467">
        <v>4.9392809999999896</v>
      </c>
      <c r="E2467">
        <v>0.52031119999999997</v>
      </c>
      <c r="F2467" t="s">
        <v>63</v>
      </c>
      <c r="G2467">
        <v>-356.07080000000002</v>
      </c>
      <c r="H2467" s="1">
        <v>1.8715030000000001E-6</v>
      </c>
      <c r="I2467">
        <v>210.5505</v>
      </c>
      <c r="J2467">
        <v>-421.80880000000002</v>
      </c>
      <c r="K2467">
        <v>1.1205459999999901</v>
      </c>
      <c r="L2467">
        <v>212.59739999999999</v>
      </c>
      <c r="M2467">
        <v>0.99993290000000001</v>
      </c>
      <c r="N2467">
        <v>-5.2735269999999897E-3</v>
      </c>
      <c r="O2467">
        <v>1.033358E-2</v>
      </c>
      <c r="P2467">
        <v>0.97757099999999997</v>
      </c>
      <c r="Q2467">
        <v>0.21040349999999999</v>
      </c>
      <c r="R2467">
        <v>9.2622280000000008E-3</v>
      </c>
      <c r="S2467">
        <v>3.080902</v>
      </c>
      <c r="T2467">
        <v>-5.2244899999999997E-2</v>
      </c>
      <c r="U2467">
        <v>-9.5260620000000004E-2</v>
      </c>
      <c r="V2467">
        <v>5.781925E-4</v>
      </c>
      <c r="W2467">
        <v>0.2155569</v>
      </c>
      <c r="X2467">
        <v>0.97649109999999995</v>
      </c>
      <c r="Y2467">
        <v>4.1223620000000002E-2</v>
      </c>
      <c r="Z2467">
        <v>-5.7885939999999996E-4</v>
      </c>
      <c r="AA2467">
        <v>0.99914979999999998</v>
      </c>
      <c r="AB2467">
        <v>38</v>
      </c>
      <c r="AC2467">
        <v>65.738</v>
      </c>
      <c r="AD2467">
        <v>-1.1205441284969999</v>
      </c>
      <c r="AE2467">
        <v>-2.0468999999999902</v>
      </c>
      <c r="AF2467">
        <v>2.7253178186564302</v>
      </c>
      <c r="AG2467">
        <v>-1.1205441284969999</v>
      </c>
      <c r="AH2467">
        <v>65.694268708138196</v>
      </c>
      <c r="AI2467">
        <v>90.976357093989805</v>
      </c>
      <c r="AJ2467">
        <v>87.624454507044405</v>
      </c>
      <c r="AK2467">
        <v>65.760321756007698</v>
      </c>
      <c r="AL2467">
        <v>77.551798427240101</v>
      </c>
      <c r="AM2467">
        <v>89.9660744617901</v>
      </c>
      <c r="AN2467">
        <v>0.99999998991169303</v>
      </c>
    </row>
    <row r="2468" spans="1:40" x14ac:dyDescent="0.25">
      <c r="A2468" t="str">
        <f>"20190303170813183"</f>
        <v>20190303170813183</v>
      </c>
      <c r="B2468" t="str">
        <f>"1551604093175204"</f>
        <v>1551604093175204</v>
      </c>
      <c r="C2468" t="s">
        <v>40</v>
      </c>
      <c r="D2468">
        <v>4.8818659999999996</v>
      </c>
      <c r="E2468">
        <v>0.52051729999999996</v>
      </c>
      <c r="F2468" t="s">
        <v>63</v>
      </c>
      <c r="G2468">
        <v>-355.64</v>
      </c>
      <c r="H2468" s="1">
        <v>1.642209E-6</v>
      </c>
      <c r="I2468">
        <v>210.5522</v>
      </c>
      <c r="J2468">
        <v>-421.41489999999999</v>
      </c>
      <c r="K2468">
        <v>1.1205769999999999</v>
      </c>
      <c r="L2468">
        <v>212.6019</v>
      </c>
      <c r="M2468">
        <v>0.99992599999999998</v>
      </c>
      <c r="N2468">
        <v>-5.4132729999999997E-3</v>
      </c>
      <c r="O2468">
        <v>1.0893450000000001E-2</v>
      </c>
      <c r="P2468">
        <v>0.97761120000000001</v>
      </c>
      <c r="Q2468">
        <v>0.21018429999999999</v>
      </c>
      <c r="R2468">
        <v>9.9395160000000007E-3</v>
      </c>
      <c r="S2468">
        <v>3.080994</v>
      </c>
      <c r="T2468">
        <v>-5.2175520000000003E-2</v>
      </c>
      <c r="U2468">
        <v>-9.5230099999999998E-2</v>
      </c>
      <c r="V2468">
        <v>4.4308280000000003E-4</v>
      </c>
      <c r="W2468">
        <v>0.21547450000000001</v>
      </c>
      <c r="X2468">
        <v>0.97650939999999997</v>
      </c>
      <c r="Y2468">
        <v>4.1772089999999998E-2</v>
      </c>
      <c r="Z2468">
        <v>-5.921616E-4</v>
      </c>
      <c r="AA2468">
        <v>0.99912699999999999</v>
      </c>
      <c r="AB2468">
        <v>38</v>
      </c>
      <c r="AC2468">
        <v>65.774900000000002</v>
      </c>
      <c r="AD2468">
        <v>-1.120575357791</v>
      </c>
      <c r="AE2468">
        <v>-2.0497000000000001</v>
      </c>
      <c r="AF2468">
        <v>2.7653026369899698</v>
      </c>
      <c r="AG2468">
        <v>-1.120575357791</v>
      </c>
      <c r="AH2468">
        <v>65.729609424086107</v>
      </c>
      <c r="AI2468">
        <v>90.975835585371399</v>
      </c>
      <c r="AJ2468">
        <v>87.590936669665098</v>
      </c>
      <c r="AK2468">
        <v>65.797295862744605</v>
      </c>
      <c r="AL2468">
        <v>77.556633752149494</v>
      </c>
      <c r="AM2468">
        <v>89.9740025311864</v>
      </c>
      <c r="AN2468">
        <v>1.0000000323804801</v>
      </c>
    </row>
    <row r="2469" spans="1:40" x14ac:dyDescent="0.25">
      <c r="A2469" t="str">
        <f>"20190303170813205"</f>
        <v>20190303170813205</v>
      </c>
      <c r="B2469" t="str">
        <f>"1551604093195699"</f>
        <v>1551604093195699</v>
      </c>
      <c r="C2469" t="s">
        <v>40</v>
      </c>
      <c r="D2469">
        <v>4.825723</v>
      </c>
      <c r="E2469">
        <v>0.52054149999999999</v>
      </c>
      <c r="F2469" t="s">
        <v>63</v>
      </c>
      <c r="G2469">
        <v>-355.13330000000002</v>
      </c>
      <c r="H2469" s="1">
        <v>1.3720369999999999E-6</v>
      </c>
      <c r="I2469">
        <v>210.5642</v>
      </c>
      <c r="J2469">
        <v>-421.0215</v>
      </c>
      <c r="K2469">
        <v>1.1206039999999999</v>
      </c>
      <c r="L2469">
        <v>212.60659999999999</v>
      </c>
      <c r="M2469">
        <v>0.99991890000000005</v>
      </c>
      <c r="N2469">
        <v>-5.5653079999999997E-3</v>
      </c>
      <c r="O2469">
        <v>1.14556E-2</v>
      </c>
      <c r="P2469">
        <v>0.97779300000000002</v>
      </c>
      <c r="Q2469">
        <v>0.20931669999999999</v>
      </c>
      <c r="R2469">
        <v>1.036481E-2</v>
      </c>
      <c r="S2469">
        <v>3.0808719999999998</v>
      </c>
      <c r="T2469">
        <v>-5.2086109999999998E-2</v>
      </c>
      <c r="U2469">
        <v>-9.4711299999999998E-2</v>
      </c>
      <c r="V2469">
        <v>5.6538680000000003E-4</v>
      </c>
      <c r="W2469">
        <v>0.21475639999999999</v>
      </c>
      <c r="X2469">
        <v>0.97666750000000002</v>
      </c>
      <c r="Y2469">
        <v>4.2166809999999999E-2</v>
      </c>
      <c r="Z2469">
        <v>-6.0359089999999997E-4</v>
      </c>
      <c r="AA2469">
        <v>0.99911039999999995</v>
      </c>
      <c r="AB2469">
        <v>38</v>
      </c>
      <c r="AC2469">
        <v>65.888199999999898</v>
      </c>
      <c r="AD2469">
        <v>-1.1206026279629999</v>
      </c>
      <c r="AE2469">
        <v>-2.0423999999999798</v>
      </c>
      <c r="AF2469">
        <v>2.79625845937881</v>
      </c>
      <c r="AG2469">
        <v>-1.1206026279629999</v>
      </c>
      <c r="AH2469">
        <v>65.841452166376996</v>
      </c>
      <c r="AI2469">
        <v>90.974185602213893</v>
      </c>
      <c r="AJ2469">
        <v>87.568134009966499</v>
      </c>
      <c r="AK2469">
        <v>65.910330260125093</v>
      </c>
      <c r="AL2469">
        <v>77.598764004718802</v>
      </c>
      <c r="AM2469">
        <v>89.966831829856304</v>
      </c>
      <c r="AN2469">
        <v>1.00000001827972</v>
      </c>
    </row>
    <row r="2470" spans="1:40" x14ac:dyDescent="0.25">
      <c r="A2470" t="str">
        <f>"20190303170813232"</f>
        <v>20190303170813232</v>
      </c>
      <c r="B2470" t="str">
        <f>"1551604093224979"</f>
        <v>1551604093224979</v>
      </c>
      <c r="C2470" t="s">
        <v>40</v>
      </c>
      <c r="D2470">
        <v>4.6582179999999997</v>
      </c>
      <c r="E2470">
        <v>0.52083679999999999</v>
      </c>
      <c r="F2470" t="s">
        <v>63</v>
      </c>
      <c r="G2470">
        <v>-356.68819999999999</v>
      </c>
      <c r="H2470" s="1">
        <v>2.1955329999999998E-6</v>
      </c>
      <c r="I2470">
        <v>210.65360000000001</v>
      </c>
      <c r="J2470">
        <v>-420.57549999999998</v>
      </c>
      <c r="K2470">
        <v>1.120636</v>
      </c>
      <c r="L2470">
        <v>212.6122</v>
      </c>
      <c r="M2470">
        <v>0.99991039999999998</v>
      </c>
      <c r="N2470">
        <v>-5.7510790000000001E-3</v>
      </c>
      <c r="O2470">
        <v>1.2095379999999999E-2</v>
      </c>
      <c r="P2470">
        <v>0.97796369999999999</v>
      </c>
      <c r="Q2470">
        <v>0.20846990000000001</v>
      </c>
      <c r="R2470">
        <v>1.129467E-2</v>
      </c>
      <c r="S2470">
        <v>3.0806580000000001</v>
      </c>
      <c r="T2470">
        <v>-5.3660989999999999E-2</v>
      </c>
      <c r="U2470">
        <v>-9.3521119999999999E-2</v>
      </c>
      <c r="V2470">
        <v>2.5935800000000001E-4</v>
      </c>
      <c r="W2470">
        <v>0.2140918</v>
      </c>
      <c r="X2470">
        <v>0.9768135</v>
      </c>
      <c r="Y2470">
        <v>4.2421939999999998E-2</v>
      </c>
      <c r="Z2470">
        <v>-6.3246769999999997E-4</v>
      </c>
      <c r="AA2470">
        <v>0.99909959999999998</v>
      </c>
      <c r="AB2470">
        <v>38</v>
      </c>
      <c r="AC2470">
        <v>63.887299999999897</v>
      </c>
      <c r="AD2470">
        <v>-1.1206338044669999</v>
      </c>
      <c r="AE2470">
        <v>-1.9585999999999899</v>
      </c>
      <c r="AF2470">
        <v>2.7303713102743101</v>
      </c>
      <c r="AG2470">
        <v>-1.1206338044669999</v>
      </c>
      <c r="AH2470">
        <v>63.839312379736</v>
      </c>
      <c r="AI2470">
        <v>91.004747147609294</v>
      </c>
      <c r="AJ2470">
        <v>87.550984430973003</v>
      </c>
      <c r="AK2470">
        <v>63.907499972485198</v>
      </c>
      <c r="AL2470">
        <v>77.6377492024654</v>
      </c>
      <c r="AM2470">
        <v>89.984787148791696</v>
      </c>
      <c r="AN2470">
        <v>0.99999998993803096</v>
      </c>
    </row>
    <row r="2471" spans="1:40" x14ac:dyDescent="0.25">
      <c r="A2471" t="str">
        <f>"20190303170813272"</f>
        <v>20190303170813272</v>
      </c>
      <c r="B2471" t="str">
        <f>"1551604093264995"</f>
        <v>1551604093264995</v>
      </c>
      <c r="C2471" t="s">
        <v>40</v>
      </c>
      <c r="D2471">
        <v>4.7154360000000004</v>
      </c>
      <c r="E2471">
        <v>0.52095599999999997</v>
      </c>
      <c r="F2471" t="s">
        <v>63</v>
      </c>
      <c r="G2471">
        <v>-359.07819999999998</v>
      </c>
      <c r="H2471" s="1">
        <v>3.4626239999999999E-6</v>
      </c>
      <c r="I2471">
        <v>210.7621</v>
      </c>
      <c r="J2471">
        <v>-419.87430000000001</v>
      </c>
      <c r="K2471">
        <v>1.12069</v>
      </c>
      <c r="L2471">
        <v>212.6217</v>
      </c>
      <c r="M2471">
        <v>0.9998958</v>
      </c>
      <c r="N2471">
        <v>-6.0697059999999898E-3</v>
      </c>
      <c r="O2471">
        <v>1.31022E-2</v>
      </c>
      <c r="P2471">
        <v>0.97786759999999995</v>
      </c>
      <c r="Q2471">
        <v>0.20888190000000001</v>
      </c>
      <c r="R2471">
        <v>1.1980620000000001E-2</v>
      </c>
      <c r="S2471">
        <v>3.0806269999999998</v>
      </c>
      <c r="T2471">
        <v>-5.6136610000000003E-2</v>
      </c>
      <c r="U2471">
        <v>-9.2681879999999994E-2</v>
      </c>
      <c r="V2471">
        <v>5.4940580000000004E-4</v>
      </c>
      <c r="W2471">
        <v>0.21481510000000001</v>
      </c>
      <c r="X2471">
        <v>0.97665460000000004</v>
      </c>
      <c r="Y2471">
        <v>4.3155209999999999E-2</v>
      </c>
      <c r="Z2471">
        <v>-6.8327509999999896E-4</v>
      </c>
      <c r="AA2471">
        <v>0.99906810000000001</v>
      </c>
      <c r="AB2471">
        <v>38</v>
      </c>
      <c r="AC2471">
        <v>60.796100000000003</v>
      </c>
      <c r="AD2471">
        <v>-1.120686537376</v>
      </c>
      <c r="AE2471">
        <v>-1.8595999999999999</v>
      </c>
      <c r="AF2471">
        <v>2.6551163063152701</v>
      </c>
      <c r="AG2471">
        <v>-1.120686537376</v>
      </c>
      <c r="AH2471">
        <v>60.745894072346502</v>
      </c>
      <c r="AI2471">
        <v>91.055908382011793</v>
      </c>
      <c r="AJ2471">
        <v>87.497276231675599</v>
      </c>
      <c r="AK2471">
        <v>60.814218958758801</v>
      </c>
      <c r="AL2471">
        <v>77.595320373355904</v>
      </c>
      <c r="AM2471">
        <v>89.967768922339999</v>
      </c>
      <c r="AN2471">
        <v>1.00000001836795</v>
      </c>
    </row>
    <row r="2472" spans="1:40" x14ac:dyDescent="0.25">
      <c r="A2472" t="str">
        <f>"20190303170813294"</f>
        <v>20190303170813294</v>
      </c>
      <c r="B2472" t="str">
        <f>"1551604093285491"</f>
        <v>1551604093285491</v>
      </c>
      <c r="C2472" t="s">
        <v>40</v>
      </c>
      <c r="D2472">
        <v>4.8301249999999998</v>
      </c>
      <c r="E2472">
        <v>0.52099770000000001</v>
      </c>
      <c r="F2472" t="s">
        <v>63</v>
      </c>
      <c r="G2472">
        <v>-354.37270000000001</v>
      </c>
      <c r="H2472" s="1">
        <v>9.6340200000000001E-7</v>
      </c>
      <c r="I2472">
        <v>210.65309999999999</v>
      </c>
      <c r="J2472">
        <v>-419.48599999999999</v>
      </c>
      <c r="K2472">
        <v>1.1207210000000001</v>
      </c>
      <c r="L2472">
        <v>212.62729999999999</v>
      </c>
      <c r="M2472">
        <v>0.99988719999999998</v>
      </c>
      <c r="N2472">
        <v>-6.2530349999999997E-3</v>
      </c>
      <c r="O2472">
        <v>1.3659559999999999E-2</v>
      </c>
      <c r="P2472">
        <v>0.97788319999999995</v>
      </c>
      <c r="Q2472">
        <v>0.20874019999999999</v>
      </c>
      <c r="R2472">
        <v>1.3119820000000001E-2</v>
      </c>
      <c r="S2472">
        <v>3.080292</v>
      </c>
      <c r="T2472">
        <v>-5.2701829999999998E-2</v>
      </c>
      <c r="U2472">
        <v>-9.2575069999999995E-2</v>
      </c>
      <c r="V2472" s="1">
        <v>-4.7421549999999997E-5</v>
      </c>
      <c r="W2472">
        <v>0.21485190000000001</v>
      </c>
      <c r="X2472">
        <v>0.97664669999999998</v>
      </c>
      <c r="Y2472">
        <v>4.368176E-2</v>
      </c>
      <c r="Z2472">
        <v>-6.5844370000000001E-4</v>
      </c>
      <c r="AA2472">
        <v>0.99904530000000002</v>
      </c>
      <c r="AB2472">
        <v>39</v>
      </c>
      <c r="AC2472">
        <v>65.113299999999896</v>
      </c>
      <c r="AD2472">
        <v>-1.1207200365979999</v>
      </c>
      <c r="AE2472">
        <v>-1.97419999999999</v>
      </c>
      <c r="AF2472">
        <v>2.8626049205283901</v>
      </c>
      <c r="AG2472">
        <v>-1.1207200365979999</v>
      </c>
      <c r="AH2472">
        <v>65.061001249641393</v>
      </c>
      <c r="AI2472">
        <v>90.985907549477005</v>
      </c>
      <c r="AJ2472">
        <v>87.480680263665107</v>
      </c>
      <c r="AK2472">
        <v>65.133588907239798</v>
      </c>
      <c r="AL2472">
        <v>77.593161990943102</v>
      </c>
      <c r="AM2472">
        <v>90.002782024114495</v>
      </c>
      <c r="AN2472">
        <v>1.00000005890165</v>
      </c>
    </row>
    <row r="2473" spans="1:40" x14ac:dyDescent="0.25">
      <c r="A2473" t="str">
        <f>"20190303170813316"</f>
        <v>20190303170813316</v>
      </c>
      <c r="B2473" t="str">
        <f>"1551604093305987"</f>
        <v>1551604093305987</v>
      </c>
      <c r="C2473" t="s">
        <v>40</v>
      </c>
      <c r="D2473">
        <v>4.7758050000000001</v>
      </c>
      <c r="E2473">
        <v>0.5210842</v>
      </c>
      <c r="F2473" t="s">
        <v>63</v>
      </c>
      <c r="G2473">
        <v>-353</v>
      </c>
      <c r="H2473" s="1">
        <v>2.3199020000000001E-7</v>
      </c>
      <c r="I2473">
        <v>210.6738</v>
      </c>
      <c r="J2473">
        <v>-419.10160000000002</v>
      </c>
      <c r="K2473">
        <v>1.1207499999999999</v>
      </c>
      <c r="L2473">
        <v>212.63300000000001</v>
      </c>
      <c r="M2473">
        <v>0.9998785</v>
      </c>
      <c r="N2473">
        <v>-6.4382119999999996E-3</v>
      </c>
      <c r="O2473">
        <v>1.421093E-2</v>
      </c>
      <c r="P2473">
        <v>0.9777728</v>
      </c>
      <c r="Q2473">
        <v>0.2091807</v>
      </c>
      <c r="R2473">
        <v>1.4292289999999999E-2</v>
      </c>
      <c r="S2473">
        <v>3.0801090000000002</v>
      </c>
      <c r="T2473">
        <v>-5.1919819999999998E-2</v>
      </c>
      <c r="U2473">
        <v>-9.0499880000000005E-2</v>
      </c>
      <c r="V2473">
        <v>-6.8571189999999996E-4</v>
      </c>
      <c r="W2473">
        <v>0.2154712</v>
      </c>
      <c r="X2473">
        <v>0.97650990000000004</v>
      </c>
      <c r="Y2473">
        <v>4.3562179999999999E-2</v>
      </c>
      <c r="Z2473">
        <v>-6.5534070000000005E-4</v>
      </c>
      <c r="AA2473">
        <v>0.99905049999999995</v>
      </c>
      <c r="AB2473">
        <v>39</v>
      </c>
      <c r="AC2473">
        <v>66.101600000000005</v>
      </c>
      <c r="AD2473">
        <v>-1.1207497680098</v>
      </c>
      <c r="AE2473">
        <v>-1.9591999999999801</v>
      </c>
      <c r="AF2473">
        <v>2.8975544050397501</v>
      </c>
      <c r="AG2473">
        <v>-1.1207497680098</v>
      </c>
      <c r="AH2473">
        <v>66.048111914556799</v>
      </c>
      <c r="AI2473">
        <v>90.971206909192205</v>
      </c>
      <c r="AJ2473">
        <v>87.488024259672301</v>
      </c>
      <c r="AK2473">
        <v>66.121138745869104</v>
      </c>
      <c r="AL2473">
        <v>77.556826290912994</v>
      </c>
      <c r="AM2473">
        <v>90.040233479839003</v>
      </c>
      <c r="AN2473">
        <v>0.99999994651412805</v>
      </c>
    </row>
    <row r="2474" spans="1:40" x14ac:dyDescent="0.25">
      <c r="A2474" t="str">
        <f>"20190303170813339"</f>
        <v>20190303170813339</v>
      </c>
      <c r="B2474" t="str">
        <f>"1551604093325507"</f>
        <v>1551604093325507</v>
      </c>
      <c r="C2474" t="s">
        <v>40</v>
      </c>
      <c r="D2474">
        <v>4.7749670000000002</v>
      </c>
      <c r="E2474">
        <v>0.52120619999999995</v>
      </c>
      <c r="F2474" t="s">
        <v>63</v>
      </c>
      <c r="G2474">
        <v>-349.60570000000001</v>
      </c>
      <c r="H2474" s="1">
        <v>3.574913E-6</v>
      </c>
      <c r="I2474">
        <v>210.672</v>
      </c>
      <c r="J2474">
        <v>-418.73039999999997</v>
      </c>
      <c r="K2474">
        <v>1.120781</v>
      </c>
      <c r="L2474">
        <v>212.6387</v>
      </c>
      <c r="M2474">
        <v>0.99986940000000002</v>
      </c>
      <c r="N2474">
        <v>-6.6290119999999897E-3</v>
      </c>
      <c r="O2474">
        <v>1.4743320000000001E-2</v>
      </c>
      <c r="P2474">
        <v>0.97781300000000004</v>
      </c>
      <c r="Q2474">
        <v>0.20895459999999999</v>
      </c>
      <c r="R2474">
        <v>1.4822470000000001E-2</v>
      </c>
      <c r="S2474">
        <v>3.080139</v>
      </c>
      <c r="T2474">
        <v>-4.9672840000000003E-2</v>
      </c>
      <c r="U2474">
        <v>-8.6914060000000001E-2</v>
      </c>
      <c r="V2474">
        <v>-6.9642770000000003E-4</v>
      </c>
      <c r="W2474">
        <v>0.2154317</v>
      </c>
      <c r="X2474">
        <v>0.97651869999999996</v>
      </c>
      <c r="Y2474">
        <v>4.2932520000000002E-2</v>
      </c>
      <c r="Z2474">
        <v>-6.2843090000000001E-4</v>
      </c>
      <c r="AA2474">
        <v>0.99907780000000002</v>
      </c>
      <c r="AB2474">
        <v>39</v>
      </c>
      <c r="AC2474">
        <v>69.124699999999905</v>
      </c>
      <c r="AD2474">
        <v>-1.120777425087</v>
      </c>
      <c r="AE2474">
        <v>-1.9666999999999999</v>
      </c>
      <c r="AF2474">
        <v>2.9848520834258401</v>
      </c>
      <c r="AG2474">
        <v>-1.120777425087</v>
      </c>
      <c r="AH2474">
        <v>69.070047216404703</v>
      </c>
      <c r="AI2474">
        <v>90.928771890463196</v>
      </c>
      <c r="AJ2474">
        <v>87.5255108121858</v>
      </c>
      <c r="AK2474">
        <v>69.143596279575206</v>
      </c>
      <c r="AL2474">
        <v>77.559145047176202</v>
      </c>
      <c r="AM2474">
        <v>90.040861850552304</v>
      </c>
      <c r="AN2474">
        <v>1.0000000369130599</v>
      </c>
    </row>
    <row r="2475" spans="1:40" x14ac:dyDescent="0.25">
      <c r="A2475" t="str">
        <f>"20190303170813372"</f>
        <v>20190303170813372</v>
      </c>
      <c r="B2475" t="str">
        <f>"1551604093365523"</f>
        <v>1551604093365523</v>
      </c>
      <c r="C2475" t="s">
        <v>40</v>
      </c>
      <c r="D2475">
        <v>4.7179679999999999</v>
      </c>
      <c r="E2475">
        <v>0.5213179</v>
      </c>
      <c r="F2475" t="s">
        <v>63</v>
      </c>
      <c r="G2475">
        <v>-348.91629999999998</v>
      </c>
      <c r="H2475" s="1">
        <v>3.208023E-6</v>
      </c>
      <c r="I2475">
        <v>210.68350000000001</v>
      </c>
      <c r="J2475">
        <v>-418.15199999999999</v>
      </c>
      <c r="K2475">
        <v>1.1208209999999901</v>
      </c>
      <c r="L2475">
        <v>212.648</v>
      </c>
      <c r="M2475">
        <v>0.99985469999999999</v>
      </c>
      <c r="N2475">
        <v>-6.9505249999999999E-3</v>
      </c>
      <c r="O2475">
        <v>1.5572280000000001E-2</v>
      </c>
      <c r="P2475">
        <v>0.97791890000000004</v>
      </c>
      <c r="Q2475">
        <v>0.2083236</v>
      </c>
      <c r="R2475">
        <v>1.662162E-2</v>
      </c>
      <c r="S2475">
        <v>3.0799560000000001</v>
      </c>
      <c r="T2475">
        <v>-4.9444790000000002E-2</v>
      </c>
      <c r="U2475">
        <v>-8.6257929999999997E-2</v>
      </c>
      <c r="V2475">
        <v>-1.6864989999999999E-3</v>
      </c>
      <c r="W2475">
        <v>0.21511449999999999</v>
      </c>
      <c r="X2475">
        <v>0.97658739999999999</v>
      </c>
      <c r="Y2475">
        <v>4.354972E-2</v>
      </c>
      <c r="Z2475">
        <v>-6.4259400000000002E-4</v>
      </c>
      <c r="AA2475">
        <v>0.99905100000000002</v>
      </c>
      <c r="AB2475">
        <v>39</v>
      </c>
      <c r="AC2475">
        <v>69.235699999999994</v>
      </c>
      <c r="AD2475">
        <v>-1.1208177919769999</v>
      </c>
      <c r="AE2475">
        <v>-1.9644999999999799</v>
      </c>
      <c r="AF2475">
        <v>3.0416489403185301</v>
      </c>
      <c r="AG2475">
        <v>-1.1208177919769999</v>
      </c>
      <c r="AH2475">
        <v>69.178597180955606</v>
      </c>
      <c r="AI2475">
        <v>90.927317793298499</v>
      </c>
      <c r="AJ2475">
        <v>87.482437013373499</v>
      </c>
      <c r="AK2475">
        <v>69.254502876880693</v>
      </c>
      <c r="AL2475">
        <v>77.577755413884205</v>
      </c>
      <c r="AM2475">
        <v>90.098945756206106</v>
      </c>
      <c r="AN2475">
        <v>1.0000000211139399</v>
      </c>
    </row>
    <row r="2476" spans="1:40" x14ac:dyDescent="0.25">
      <c r="A2476" t="str">
        <f>"20190303170813406"</f>
        <v>20190303170813406</v>
      </c>
      <c r="B2476" t="str">
        <f>"1551604093394804"</f>
        <v>1551604093394804</v>
      </c>
      <c r="C2476" t="s">
        <v>40</v>
      </c>
      <c r="D2476">
        <v>4.62141</v>
      </c>
      <c r="E2476">
        <v>0.5215166</v>
      </c>
      <c r="F2476" t="s">
        <v>63</v>
      </c>
      <c r="G2476">
        <v>-349.10739999999998</v>
      </c>
      <c r="H2476" s="1">
        <v>3.3097039999999999E-6</v>
      </c>
      <c r="I2476">
        <v>210.7987</v>
      </c>
      <c r="J2476">
        <v>-417.54160000000002</v>
      </c>
      <c r="K2476">
        <v>1.1208629999999999</v>
      </c>
      <c r="L2476">
        <v>212.6583</v>
      </c>
      <c r="M2476">
        <v>0.99983820000000001</v>
      </c>
      <c r="N2476">
        <v>-7.29859699999999E-3</v>
      </c>
      <c r="O2476">
        <v>1.644694E-2</v>
      </c>
      <c r="P2476">
        <v>0.97805600000000004</v>
      </c>
      <c r="Q2476">
        <v>0.2075803</v>
      </c>
      <c r="R2476">
        <v>1.780785E-2</v>
      </c>
      <c r="S2476">
        <v>3.079834</v>
      </c>
      <c r="T2476">
        <v>-4.9995659999999997E-2</v>
      </c>
      <c r="U2476">
        <v>-8.2489010000000001E-2</v>
      </c>
      <c r="V2476">
        <v>-2.0163780000000001E-3</v>
      </c>
      <c r="W2476">
        <v>0.21471170000000001</v>
      </c>
      <c r="X2476">
        <v>0.97667539999999997</v>
      </c>
      <c r="Y2476">
        <v>4.3202940000000002E-2</v>
      </c>
      <c r="Z2476">
        <v>-6.5519600000000003E-4</v>
      </c>
      <c r="AA2476">
        <v>0.99906609999999996</v>
      </c>
      <c r="AB2476">
        <v>39</v>
      </c>
      <c r="AC2476">
        <v>68.434200000000004</v>
      </c>
      <c r="AD2476">
        <v>-1.120859690296</v>
      </c>
      <c r="AE2476">
        <v>-1.8595999999999999</v>
      </c>
      <c r="AF2476">
        <v>2.9841115792505102</v>
      </c>
      <c r="AG2476">
        <v>-1.120859690296</v>
      </c>
      <c r="AH2476">
        <v>68.376028525732295</v>
      </c>
      <c r="AI2476">
        <v>90.938248731390004</v>
      </c>
      <c r="AJ2476">
        <v>87.501045696673003</v>
      </c>
      <c r="AK2476">
        <v>68.450292368364003</v>
      </c>
      <c r="AL2476">
        <v>77.601386173340401</v>
      </c>
      <c r="AM2476">
        <v>90.118288824682693</v>
      </c>
      <c r="AN2476">
        <v>1.00000000843114</v>
      </c>
    </row>
    <row r="2477" spans="1:40" x14ac:dyDescent="0.25">
      <c r="A2477" t="str">
        <f>"20190303170813452"</f>
        <v>20190303170813452</v>
      </c>
      <c r="B2477" t="str">
        <f>"1551604093445556"</f>
        <v>1551604093445556</v>
      </c>
      <c r="C2477" t="s">
        <v>40</v>
      </c>
      <c r="D2477">
        <v>4.4718070000000001</v>
      </c>
      <c r="E2477">
        <v>0.53039009999999998</v>
      </c>
      <c r="F2477" t="s">
        <v>63</v>
      </c>
      <c r="G2477">
        <v>-350.12810000000002</v>
      </c>
      <c r="H2477" s="1">
        <v>-1.3065060000000001E-6</v>
      </c>
      <c r="I2477">
        <v>210.9074</v>
      </c>
      <c r="J2477">
        <v>-416.75799999999998</v>
      </c>
      <c r="K2477">
        <v>1.120908</v>
      </c>
      <c r="L2477">
        <v>212.67240000000001</v>
      </c>
      <c r="M2477">
        <v>0.99981580000000003</v>
      </c>
      <c r="N2477">
        <v>-7.7406569999999997E-3</v>
      </c>
      <c r="O2477">
        <v>1.7568110000000001E-2</v>
      </c>
      <c r="P2477">
        <v>0.97812299999999996</v>
      </c>
      <c r="Q2477">
        <v>0.20717869999999999</v>
      </c>
      <c r="R2477">
        <v>1.8777990000000001E-2</v>
      </c>
      <c r="S2477">
        <v>3.0796199999999998</v>
      </c>
      <c r="T2477">
        <v>-5.1203970000000001E-2</v>
      </c>
      <c r="U2477">
        <v>-7.9986570000000007E-2</v>
      </c>
      <c r="V2477">
        <v>-1.8910890000000001E-3</v>
      </c>
      <c r="W2477">
        <v>0.2147424</v>
      </c>
      <c r="X2477">
        <v>0.97666889999999995</v>
      </c>
      <c r="Y2477">
        <v>4.3513320000000001E-2</v>
      </c>
      <c r="Z2477">
        <v>-6.8619030000000004E-4</v>
      </c>
      <c r="AA2477">
        <v>0.99905259999999996</v>
      </c>
      <c r="AB2477">
        <v>39</v>
      </c>
      <c r="AC2477">
        <v>66.629900000000006</v>
      </c>
      <c r="AD2477">
        <v>-1.1209093065060001</v>
      </c>
      <c r="AE2477">
        <v>-1.7650000000000099</v>
      </c>
      <c r="AF2477">
        <v>2.9344940502677002</v>
      </c>
      <c r="AG2477">
        <v>-1.1209093065060001</v>
      </c>
      <c r="AH2477">
        <v>66.569780936530194</v>
      </c>
      <c r="AI2477">
        <v>90.963725774630404</v>
      </c>
      <c r="AJ2477">
        <v>87.475951643980906</v>
      </c>
      <c r="AK2477">
        <v>66.6438551326534</v>
      </c>
      <c r="AL2477">
        <v>77.599585170231904</v>
      </c>
      <c r="AM2477">
        <v>90.110939626496204</v>
      </c>
      <c r="AN2477">
        <v>1.00000000740128</v>
      </c>
    </row>
    <row r="2478" spans="1:40" x14ac:dyDescent="0.25">
      <c r="A2478" t="str">
        <f>"20190303170813473"</f>
        <v>20190303170813473</v>
      </c>
      <c r="B2478" t="str">
        <f>"1551604093465076"</f>
        <v>1551604093465076</v>
      </c>
      <c r="C2478" t="s">
        <v>40</v>
      </c>
      <c r="D2478">
        <v>4.5027119999999998</v>
      </c>
      <c r="E2478">
        <v>0.52905979999999997</v>
      </c>
      <c r="F2478" t="s">
        <v>63</v>
      </c>
      <c r="G2478">
        <v>-338.64789999999999</v>
      </c>
      <c r="H2478">
        <v>8.0000639999999998E-2</v>
      </c>
      <c r="I2478">
        <v>208.85990000000001</v>
      </c>
      <c r="J2478">
        <v>-416.36290000000002</v>
      </c>
      <c r="K2478">
        <v>1.1209340000000001</v>
      </c>
      <c r="L2478">
        <v>212.6799</v>
      </c>
      <c r="M2478">
        <v>0.99980389999999997</v>
      </c>
      <c r="N2478">
        <v>-7.9627199999999995E-3</v>
      </c>
      <c r="O2478">
        <v>1.8133750000000001E-2</v>
      </c>
      <c r="P2478">
        <v>0.97829569999999999</v>
      </c>
      <c r="Q2478">
        <v>0.2062812</v>
      </c>
      <c r="R2478">
        <v>1.9638160000000002E-2</v>
      </c>
      <c r="S2478">
        <v>3.0786440000000002</v>
      </c>
      <c r="T2478">
        <v>-4.1026470000000002E-2</v>
      </c>
      <c r="U2478">
        <v>-0.1502686</v>
      </c>
      <c r="V2478">
        <v>-2.1946019999999999E-3</v>
      </c>
      <c r="W2478">
        <v>0.2140629</v>
      </c>
      <c r="X2478">
        <v>0.97681739999999995</v>
      </c>
      <c r="Y2478">
        <v>6.684698E-2</v>
      </c>
      <c r="Z2478">
        <v>-8.0866279999999998E-4</v>
      </c>
      <c r="AA2478">
        <v>0.99776290000000001</v>
      </c>
      <c r="AB2478">
        <v>39</v>
      </c>
      <c r="AC2478">
        <v>77.715000000000003</v>
      </c>
      <c r="AD2478">
        <v>-1.0409333599999999</v>
      </c>
      <c r="AE2478">
        <v>-3.8199999999999901</v>
      </c>
      <c r="AF2478">
        <v>5.2277452180087902</v>
      </c>
      <c r="AG2478">
        <v>-1.0409333599999999</v>
      </c>
      <c r="AH2478">
        <v>77.619055663233198</v>
      </c>
      <c r="AI2478">
        <v>90.766599431392706</v>
      </c>
      <c r="AJ2478">
        <v>86.1468732429</v>
      </c>
      <c r="AK2478">
        <v>77.801868000559395</v>
      </c>
      <c r="AL2478">
        <v>77.639444315073206</v>
      </c>
      <c r="AM2478">
        <v>90.1287254104477</v>
      </c>
      <c r="AN2478">
        <v>0.99999998718855398</v>
      </c>
    </row>
    <row r="2479" spans="1:40" x14ac:dyDescent="0.25">
      <c r="A2479" t="str">
        <f>"20190303170813495"</f>
        <v>20190303170813495</v>
      </c>
      <c r="B2479" t="str">
        <f>"1551604093485572"</f>
        <v>1551604093485572</v>
      </c>
      <c r="C2479" t="s">
        <v>40</v>
      </c>
      <c r="D2479">
        <v>4.4274579999999997</v>
      </c>
      <c r="E2479">
        <v>0.52798299999999998</v>
      </c>
      <c r="F2479" t="s">
        <v>63</v>
      </c>
      <c r="G2479">
        <v>-337.19470000000001</v>
      </c>
      <c r="H2479">
        <v>8.0001059999999999E-2</v>
      </c>
      <c r="I2479">
        <v>209.15020000000001</v>
      </c>
      <c r="J2479">
        <v>-415.98559999999998</v>
      </c>
      <c r="K2479">
        <v>1.1209549999999999</v>
      </c>
      <c r="L2479">
        <v>212.68719999999999</v>
      </c>
      <c r="M2479">
        <v>0.99979229999999997</v>
      </c>
      <c r="N2479">
        <v>-8.1649459999999993E-3</v>
      </c>
      <c r="O2479">
        <v>1.867392E-2</v>
      </c>
      <c r="P2479">
        <v>0.97825189999999995</v>
      </c>
      <c r="Q2479">
        <v>0.20640910000000001</v>
      </c>
      <c r="R2479">
        <v>2.0450909999999999E-2</v>
      </c>
      <c r="S2479">
        <v>3.07782</v>
      </c>
      <c r="T2479">
        <v>-4.0468339999999998E-2</v>
      </c>
      <c r="U2479">
        <v>-0.13722229999999999</v>
      </c>
      <c r="V2479">
        <v>-2.4804110000000001E-3</v>
      </c>
      <c r="W2479">
        <v>0.21438850000000001</v>
      </c>
      <c r="X2479">
        <v>0.97674530000000004</v>
      </c>
      <c r="Y2479">
        <v>6.3179180000000001E-2</v>
      </c>
      <c r="Z2479">
        <v>-7.6623299999999995E-4</v>
      </c>
      <c r="AA2479">
        <v>0.9980019</v>
      </c>
      <c r="AB2479">
        <v>39</v>
      </c>
      <c r="AC2479">
        <v>78.790899999999894</v>
      </c>
      <c r="AD2479">
        <v>-1.0409539400000001</v>
      </c>
      <c r="AE2479">
        <v>-3.5369999999999702</v>
      </c>
      <c r="AF2479">
        <v>5.0068950160441901</v>
      </c>
      <c r="AG2479">
        <v>-1.0409539400000001</v>
      </c>
      <c r="AH2479">
        <v>78.697399512518302</v>
      </c>
      <c r="AI2479">
        <v>90.7562952122003</v>
      </c>
      <c r="AJ2479">
        <v>86.359627826671897</v>
      </c>
      <c r="AK2479">
        <v>78.863383599993995</v>
      </c>
      <c r="AL2479">
        <v>77.620345337334399</v>
      </c>
      <c r="AM2479">
        <v>90.1455003430885</v>
      </c>
      <c r="AN2479">
        <v>0.999999981221534</v>
      </c>
    </row>
    <row r="2480" spans="1:40" x14ac:dyDescent="0.25">
      <c r="A2480" t="str">
        <f>"20190303170813518"</f>
        <v>20190303170813518</v>
      </c>
      <c r="B2480" t="str">
        <f>"1551604093505095"</f>
        <v>1551604093505095</v>
      </c>
      <c r="C2480" t="s">
        <v>40</v>
      </c>
      <c r="D2480">
        <v>4.7454919999999996</v>
      </c>
      <c r="E2480">
        <v>0.52772240000000004</v>
      </c>
      <c r="F2480" t="s">
        <v>63</v>
      </c>
      <c r="G2480">
        <v>-329.85559999999998</v>
      </c>
      <c r="H2480">
        <v>8.0000039999999994E-2</v>
      </c>
      <c r="I2480">
        <v>209.1611</v>
      </c>
      <c r="J2480">
        <v>-415.57740000000001</v>
      </c>
      <c r="K2480">
        <v>1.1209830000000001</v>
      </c>
      <c r="L2480">
        <v>212.6953</v>
      </c>
      <c r="M2480">
        <v>0.99977950000000004</v>
      </c>
      <c r="N2480">
        <v>-8.3776059999999992E-3</v>
      </c>
      <c r="O2480">
        <v>1.9257779999999999E-2</v>
      </c>
      <c r="P2480">
        <v>0.97831089999999998</v>
      </c>
      <c r="Q2480">
        <v>0.2060109</v>
      </c>
      <c r="R2480">
        <v>2.161457E-2</v>
      </c>
      <c r="S2480">
        <v>3.0771790000000001</v>
      </c>
      <c r="T2480">
        <v>-3.7190319999999999E-2</v>
      </c>
      <c r="U2480">
        <v>-0.12597659999999999</v>
      </c>
      <c r="V2480">
        <v>-3.0715769999999998E-3</v>
      </c>
      <c r="W2480">
        <v>0.21419750000000001</v>
      </c>
      <c r="X2480">
        <v>0.97678549999999997</v>
      </c>
      <c r="Y2480">
        <v>6.0131909999999997E-2</v>
      </c>
      <c r="Z2480">
        <v>-6.8660710000000003E-4</v>
      </c>
      <c r="AA2480">
        <v>0.99819020000000003</v>
      </c>
      <c r="AB2480">
        <v>39</v>
      </c>
      <c r="AC2480">
        <v>85.721800000000002</v>
      </c>
      <c r="AD2480">
        <v>-1.04098296</v>
      </c>
      <c r="AE2480">
        <v>-3.53419999999999</v>
      </c>
      <c r="AF2480">
        <v>5.1836508260768603</v>
      </c>
      <c r="AG2480">
        <v>-1.04098296</v>
      </c>
      <c r="AH2480">
        <v>85.625232942495103</v>
      </c>
      <c r="AI2480">
        <v>90.695262476378005</v>
      </c>
      <c r="AJ2480">
        <v>86.535609086062905</v>
      </c>
      <c r="AK2480">
        <v>85.788311545724198</v>
      </c>
      <c r="AL2480">
        <v>77.631548813353305</v>
      </c>
      <c r="AM2480">
        <v>90.180170383849699</v>
      </c>
      <c r="AN2480">
        <v>0.99999995830088195</v>
      </c>
    </row>
    <row r="2481" spans="1:40" x14ac:dyDescent="0.25">
      <c r="A2481" t="str">
        <f>"20190303170813540"</f>
        <v>20190303170813540</v>
      </c>
      <c r="B2481" t="str">
        <f>"1551604093535348"</f>
        <v>1551604093535348</v>
      </c>
      <c r="C2481" t="s">
        <v>40</v>
      </c>
      <c r="D2481">
        <v>4.5449289999999998</v>
      </c>
      <c r="E2481">
        <v>0.52708580000000005</v>
      </c>
      <c r="F2481" t="s">
        <v>63</v>
      </c>
      <c r="G2481">
        <v>-330.25009999999997</v>
      </c>
      <c r="H2481">
        <v>8.0001610000000001E-2</v>
      </c>
      <c r="I2481">
        <v>209.3603</v>
      </c>
      <c r="J2481">
        <v>-415.19869999999997</v>
      </c>
      <c r="K2481">
        <v>1.1210059999999999</v>
      </c>
      <c r="L2481">
        <v>212.70310000000001</v>
      </c>
      <c r="M2481">
        <v>0.99976739999999997</v>
      </c>
      <c r="N2481">
        <v>-8.5671649999999998E-3</v>
      </c>
      <c r="O2481">
        <v>1.9799310000000001E-2</v>
      </c>
      <c r="P2481">
        <v>0.97815859999999999</v>
      </c>
      <c r="Q2481">
        <v>0.2065931</v>
      </c>
      <c r="R2481">
        <v>2.291899E-2</v>
      </c>
      <c r="S2481">
        <v>3.077118</v>
      </c>
      <c r="T2481">
        <v>-3.7540440000000001E-2</v>
      </c>
      <c r="U2481">
        <v>-0.1202698</v>
      </c>
      <c r="V2481">
        <v>-3.8510749999999998E-3</v>
      </c>
      <c r="W2481">
        <v>0.21496270000000001</v>
      </c>
      <c r="X2481">
        <v>0.97661469999999995</v>
      </c>
      <c r="Y2481">
        <v>5.8825080000000002E-2</v>
      </c>
      <c r="Z2481">
        <v>-6.8268470000000005E-4</v>
      </c>
      <c r="AA2481">
        <v>0.99826809999999999</v>
      </c>
      <c r="AB2481">
        <v>39</v>
      </c>
      <c r="AC2481">
        <v>84.948599999999999</v>
      </c>
      <c r="AD2481">
        <v>-1.0410043899999999</v>
      </c>
      <c r="AE2481">
        <v>-3.3428000000000102</v>
      </c>
      <c r="AF2481">
        <v>5.0233766383296903</v>
      </c>
      <c r="AG2481">
        <v>-1.0410043899999999</v>
      </c>
      <c r="AH2481">
        <v>84.853036174559506</v>
      </c>
      <c r="AI2481">
        <v>90.701659451684094</v>
      </c>
      <c r="AJ2481">
        <v>86.611992273954499</v>
      </c>
      <c r="AK2481">
        <v>85.007974631981597</v>
      </c>
      <c r="AL2481">
        <v>77.586661406691306</v>
      </c>
      <c r="AM2481">
        <v>90.225932704503407</v>
      </c>
      <c r="AN2481">
        <v>1.0000000327130101</v>
      </c>
    </row>
    <row r="2482" spans="1:40" x14ac:dyDescent="0.25">
      <c r="A2482" t="str">
        <f>"20190303170813561"</f>
        <v>20190303170813561</v>
      </c>
      <c r="B2482" t="str">
        <f>"1551604093554868"</f>
        <v>1551604093554868</v>
      </c>
      <c r="C2482" t="s">
        <v>40</v>
      </c>
      <c r="D2482">
        <v>4.4844819999999999</v>
      </c>
      <c r="E2482">
        <v>0.49835489999999999</v>
      </c>
      <c r="F2482" t="s">
        <v>63</v>
      </c>
      <c r="G2482">
        <v>-325.20429999999999</v>
      </c>
      <c r="H2482">
        <v>8.0001399999999903E-2</v>
      </c>
      <c r="I2482">
        <v>209.4427</v>
      </c>
      <c r="J2482">
        <v>-414.82429999999999</v>
      </c>
      <c r="K2482">
        <v>1.121027</v>
      </c>
      <c r="L2482">
        <v>212.71090000000001</v>
      </c>
      <c r="M2482">
        <v>0.99975499999999995</v>
      </c>
      <c r="N2482">
        <v>-8.744E-3</v>
      </c>
      <c r="O2482">
        <v>2.0334499999999998E-2</v>
      </c>
      <c r="P2482">
        <v>0.97784289999999996</v>
      </c>
      <c r="Q2482">
        <v>0.20791870000000001</v>
      </c>
      <c r="R2482">
        <v>2.4356010000000001E-2</v>
      </c>
      <c r="S2482">
        <v>3.077118</v>
      </c>
      <c r="T2482">
        <v>-3.5594340000000002E-2</v>
      </c>
      <c r="U2482">
        <v>-0.1114807</v>
      </c>
      <c r="V2482">
        <v>-4.772447E-3</v>
      </c>
      <c r="W2482">
        <v>0.21645690000000001</v>
      </c>
      <c r="X2482">
        <v>0.9762805</v>
      </c>
      <c r="Y2482">
        <v>5.6512920000000001E-2</v>
      </c>
      <c r="Z2482">
        <v>-6.3131229999999997E-4</v>
      </c>
      <c r="AA2482">
        <v>0.9984016</v>
      </c>
      <c r="AB2482">
        <v>39</v>
      </c>
      <c r="AC2482">
        <v>89.62</v>
      </c>
      <c r="AD2482">
        <v>-1.0410256</v>
      </c>
      <c r="AE2482">
        <v>-3.2682000000000002</v>
      </c>
      <c r="AF2482">
        <v>5.0892859516837401</v>
      </c>
      <c r="AG2482">
        <v>-1.0410256</v>
      </c>
      <c r="AH2482">
        <v>89.522944931286901</v>
      </c>
      <c r="AI2482">
        <v>90.665165207065499</v>
      </c>
      <c r="AJ2482">
        <v>86.746296849534303</v>
      </c>
      <c r="AK2482">
        <v>89.673531406809701</v>
      </c>
      <c r="AL2482">
        <v>77.498985408809006</v>
      </c>
      <c r="AM2482">
        <v>90.280082305231701</v>
      </c>
      <c r="AN2482">
        <v>0.99999999024411301</v>
      </c>
    </row>
    <row r="2483" spans="1:40" x14ac:dyDescent="0.25">
      <c r="A2483" t="str">
        <f>"20190303170813585"</f>
        <v>20190303170813585</v>
      </c>
      <c r="B2483" t="str">
        <f>"1551604093575363"</f>
        <v>1551604093575363</v>
      </c>
      <c r="C2483" t="s">
        <v>40</v>
      </c>
      <c r="D2483">
        <v>4.4187479999999999</v>
      </c>
      <c r="E2483">
        <v>0.496896</v>
      </c>
      <c r="F2483" t="s">
        <v>53</v>
      </c>
      <c r="G2483">
        <v>-168.35059999999999</v>
      </c>
      <c r="H2483">
        <v>1.4245939999999999</v>
      </c>
      <c r="I2483">
        <v>222.38890000000001</v>
      </c>
      <c r="J2483">
        <v>-414.4085</v>
      </c>
      <c r="K2483">
        <v>1.1210420000000001</v>
      </c>
      <c r="L2483">
        <v>212.7199</v>
      </c>
      <c r="M2483">
        <v>0.99974130000000005</v>
      </c>
      <c r="N2483">
        <v>-8.9249669999999903E-3</v>
      </c>
      <c r="O2483">
        <v>2.0927230000000002E-2</v>
      </c>
      <c r="P2483">
        <v>0.97775699999999999</v>
      </c>
      <c r="Q2483">
        <v>0.2082253</v>
      </c>
      <c r="R2483">
        <v>2.5170669999999999E-2</v>
      </c>
      <c r="S2483">
        <v>3.0641479999999999</v>
      </c>
      <c r="T2483">
        <v>3.7746429999999998E-3</v>
      </c>
      <c r="U2483">
        <v>0.12031559999999999</v>
      </c>
      <c r="V2483">
        <v>-5.0097830000000003E-3</v>
      </c>
      <c r="W2483">
        <v>0.21693960000000001</v>
      </c>
      <c r="X2483">
        <v>0.97617209999999999</v>
      </c>
      <c r="Y2483">
        <v>-1.8315970000000001E-2</v>
      </c>
      <c r="Z2483">
        <v>2.829916E-4</v>
      </c>
      <c r="AA2483">
        <v>0.99983219999999995</v>
      </c>
      <c r="AB2483">
        <v>39</v>
      </c>
      <c r="AC2483">
        <v>246.05789999999999</v>
      </c>
      <c r="AD2483">
        <v>0.30355199999999999</v>
      </c>
      <c r="AE2483">
        <v>9.6690000000000094</v>
      </c>
      <c r="AF2483">
        <v>-4.51736080580958</v>
      </c>
      <c r="AG2483">
        <v>0.30355199999999999</v>
      </c>
      <c r="AH2483">
        <v>246.20598871178299</v>
      </c>
      <c r="AI2483">
        <v>89.929370877708095</v>
      </c>
      <c r="AJ2483">
        <v>91.051138811821602</v>
      </c>
      <c r="AK2483">
        <v>246.24761434380099</v>
      </c>
      <c r="AL2483">
        <v>77.470654792462</v>
      </c>
      <c r="AM2483">
        <v>90.294043337428207</v>
      </c>
      <c r="AN2483">
        <v>0.99999992839613505</v>
      </c>
    </row>
    <row r="2484" spans="1:40" x14ac:dyDescent="0.25">
      <c r="A2484" t="str">
        <f>"20190303170813606"</f>
        <v>20190303170813606</v>
      </c>
      <c r="B2484" t="str">
        <f>"1551604093594887"</f>
        <v>1551604093594887</v>
      </c>
      <c r="C2484" t="s">
        <v>40</v>
      </c>
      <c r="D2484">
        <v>4.2935860000000003</v>
      </c>
      <c r="E2484">
        <v>0.49653750000000002</v>
      </c>
      <c r="F2484" t="s">
        <v>53</v>
      </c>
      <c r="G2484">
        <v>-168.35059999999999</v>
      </c>
      <c r="H2484">
        <v>1.105423</v>
      </c>
      <c r="I2484">
        <v>223.54429999999999</v>
      </c>
      <c r="J2484">
        <v>-414.02730000000003</v>
      </c>
      <c r="K2484">
        <v>1.121057</v>
      </c>
      <c r="L2484">
        <v>212.72829999999999</v>
      </c>
      <c r="M2484">
        <v>0.99972839999999996</v>
      </c>
      <c r="N2484">
        <v>-9.0742050000000001E-3</v>
      </c>
      <c r="O2484">
        <v>2.1465689999999999E-2</v>
      </c>
      <c r="P2484">
        <v>0.97775060000000003</v>
      </c>
      <c r="Q2484">
        <v>0.20823249999999999</v>
      </c>
      <c r="R2484">
        <v>2.5351760000000001E-2</v>
      </c>
      <c r="S2484">
        <v>3.0648499999999999</v>
      </c>
      <c r="T2484">
        <v>-1.9383430000000001E-4</v>
      </c>
      <c r="U2484">
        <v>0.13482669999999999</v>
      </c>
      <c r="V2484">
        <v>-4.6633059999999999E-3</v>
      </c>
      <c r="W2484">
        <v>0.2170928</v>
      </c>
      <c r="X2484">
        <v>0.9761398</v>
      </c>
      <c r="Y2484">
        <v>-2.2493679999999999E-2</v>
      </c>
      <c r="Z2484">
        <v>2.9618999999999999E-4</v>
      </c>
      <c r="AA2484">
        <v>0.99974689999999999</v>
      </c>
      <c r="AB2484">
        <v>39</v>
      </c>
      <c r="AC2484">
        <v>245.67670000000001</v>
      </c>
      <c r="AD2484">
        <v>-1.5633999999999901E-2</v>
      </c>
      <c r="AE2484">
        <v>10.816000000000001</v>
      </c>
      <c r="AF2484">
        <v>-5.5396705712896797</v>
      </c>
      <c r="AG2484">
        <v>-1.5633999999999901E-2</v>
      </c>
      <c r="AH2484">
        <v>245.85226934077201</v>
      </c>
      <c r="AI2484">
        <v>90.003642573277801</v>
      </c>
      <c r="AJ2484">
        <v>91.290799733928395</v>
      </c>
      <c r="AK2484">
        <v>245.91467328011899</v>
      </c>
      <c r="AL2484">
        <v>77.461663306944402</v>
      </c>
      <c r="AM2484">
        <v>90.273716653877202</v>
      </c>
      <c r="AN2484">
        <v>0.999999969689364</v>
      </c>
    </row>
    <row r="2485" spans="1:40" x14ac:dyDescent="0.25">
      <c r="A2485" t="str">
        <f>"20190303170813631"</f>
        <v>20190303170813631</v>
      </c>
      <c r="B2485" t="str">
        <f>"1551604093625139"</f>
        <v>1551604093625139</v>
      </c>
      <c r="C2485" t="s">
        <v>40</v>
      </c>
      <c r="D2485">
        <v>4.3970840000000004</v>
      </c>
      <c r="E2485">
        <v>0.49650719999999998</v>
      </c>
      <c r="F2485" t="s">
        <v>53</v>
      </c>
      <c r="G2485">
        <v>-168.35059999999999</v>
      </c>
      <c r="H2485">
        <v>1.0621940000000001</v>
      </c>
      <c r="I2485">
        <v>223.78319999999999</v>
      </c>
      <c r="J2485">
        <v>-413.6053</v>
      </c>
      <c r="K2485">
        <v>1.1210580000000001</v>
      </c>
      <c r="L2485">
        <v>212.7379</v>
      </c>
      <c r="M2485">
        <v>0.9997144</v>
      </c>
      <c r="N2485">
        <v>-9.2215709999999996E-3</v>
      </c>
      <c r="O2485">
        <v>2.2048310000000002E-2</v>
      </c>
      <c r="P2485">
        <v>0.97769740000000005</v>
      </c>
      <c r="Q2485">
        <v>0.20837629999999999</v>
      </c>
      <c r="R2485">
        <v>2.6217919999999999E-2</v>
      </c>
      <c r="S2485">
        <v>3.064819</v>
      </c>
      <c r="T2485">
        <v>-7.3361399999999995E-4</v>
      </c>
      <c r="U2485">
        <v>0.1379089</v>
      </c>
      <c r="V2485">
        <v>-4.9571520000000003E-3</v>
      </c>
      <c r="W2485">
        <v>0.21737989999999999</v>
      </c>
      <c r="X2485">
        <v>0.97607449999999996</v>
      </c>
      <c r="Y2485">
        <v>-2.2914899999999998E-2</v>
      </c>
      <c r="Z2485">
        <v>3.0643780000000001E-4</v>
      </c>
      <c r="AA2485">
        <v>0.9997374</v>
      </c>
      <c r="AB2485">
        <v>39</v>
      </c>
      <c r="AC2485">
        <v>245.25470000000001</v>
      </c>
      <c r="AD2485">
        <v>-5.8863999999999798E-2</v>
      </c>
      <c r="AE2485">
        <v>11.0452999999999</v>
      </c>
      <c r="AF2485">
        <v>-5.6349329466862903</v>
      </c>
      <c r="AG2485">
        <v>-5.8863999999999798E-2</v>
      </c>
      <c r="AH2485">
        <v>245.43860153799301</v>
      </c>
      <c r="AI2485">
        <v>90.013737733873498</v>
      </c>
      <c r="AJ2485">
        <v>91.3152012993433</v>
      </c>
      <c r="AK2485">
        <v>245.50328523099199</v>
      </c>
      <c r="AL2485">
        <v>77.444811783326401</v>
      </c>
      <c r="AM2485">
        <v>90.290983368706506</v>
      </c>
      <c r="AN2485">
        <v>1.0000000119151</v>
      </c>
    </row>
    <row r="2486" spans="1:40" x14ac:dyDescent="0.25">
      <c r="A2486" t="str">
        <f>"20190303170813656"</f>
        <v>20190303170813656</v>
      </c>
      <c r="B2486" t="str">
        <f>"1551604093645636"</f>
        <v>1551604093645636</v>
      </c>
      <c r="C2486" t="s">
        <v>40</v>
      </c>
      <c r="D2486">
        <v>4.3555999999999999</v>
      </c>
      <c r="E2486">
        <v>0.49638549999999998</v>
      </c>
      <c r="F2486" t="s">
        <v>53</v>
      </c>
      <c r="G2486">
        <v>-168.35059999999999</v>
      </c>
      <c r="H2486">
        <v>1.0481210000000001</v>
      </c>
      <c r="I2486">
        <v>223.96039999999999</v>
      </c>
      <c r="J2486">
        <v>-413.15949999999998</v>
      </c>
      <c r="K2486">
        <v>1.1210530000000001</v>
      </c>
      <c r="L2486">
        <v>212.7483</v>
      </c>
      <c r="M2486">
        <v>0.99970000000000003</v>
      </c>
      <c r="N2486">
        <v>-9.3569570000000008E-3</v>
      </c>
      <c r="O2486">
        <v>2.2637500000000001E-2</v>
      </c>
      <c r="P2486">
        <v>0.97763199999999995</v>
      </c>
      <c r="Q2486">
        <v>0.20866850000000001</v>
      </c>
      <c r="R2486">
        <v>2.6328009999999999E-2</v>
      </c>
      <c r="S2486">
        <v>3.06488</v>
      </c>
      <c r="T2486">
        <v>-9.1075900000000003E-4</v>
      </c>
      <c r="U2486">
        <v>0.14024349999999999</v>
      </c>
      <c r="V2486">
        <v>-4.4843060000000004E-3</v>
      </c>
      <c r="W2486">
        <v>0.21780440000000001</v>
      </c>
      <c r="X2486">
        <v>0.97598209999999996</v>
      </c>
      <c r="Y2486">
        <v>-2.3084770000000001E-2</v>
      </c>
      <c r="Z2486">
        <v>3.1651960000000001E-4</v>
      </c>
      <c r="AA2486">
        <v>0.99973339999999999</v>
      </c>
      <c r="AB2486">
        <v>39</v>
      </c>
      <c r="AC2486">
        <v>244.80889999999999</v>
      </c>
      <c r="AD2486">
        <v>-7.2932000000000205E-2</v>
      </c>
      <c r="AE2486">
        <v>11.2120999999999</v>
      </c>
      <c r="AF2486">
        <v>-5.6671222048716601</v>
      </c>
      <c r="AG2486">
        <v>-7.2932000000000205E-2</v>
      </c>
      <c r="AH2486">
        <v>244.99996284363601</v>
      </c>
      <c r="AI2486">
        <v>90.017051342235504</v>
      </c>
      <c r="AJ2486">
        <v>91.325078945612404</v>
      </c>
      <c r="AK2486">
        <v>245.06550835754999</v>
      </c>
      <c r="AL2486">
        <v>77.419892026636006</v>
      </c>
      <c r="AM2486">
        <v>90.263252778762407</v>
      </c>
      <c r="AN2486">
        <v>0.99999996259003499</v>
      </c>
    </row>
    <row r="2487" spans="1:40" x14ac:dyDescent="0.25">
      <c r="A2487" t="str">
        <f>"20190303170813697"</f>
        <v>20190303170813697</v>
      </c>
      <c r="B2487" t="str">
        <f>"1551604093685652"</f>
        <v>1551604093685652</v>
      </c>
      <c r="C2487" t="s">
        <v>40</v>
      </c>
      <c r="D2487">
        <v>4.3560119999999998</v>
      </c>
      <c r="E2487">
        <v>0.49629970000000001</v>
      </c>
      <c r="F2487" t="s">
        <v>53</v>
      </c>
      <c r="G2487">
        <v>-168.35059999999999</v>
      </c>
      <c r="H2487">
        <v>0.98999689999999996</v>
      </c>
      <c r="I2487">
        <v>224.0882</v>
      </c>
      <c r="J2487">
        <v>-412.4375</v>
      </c>
      <c r="K2487">
        <v>1.121032</v>
      </c>
      <c r="L2487">
        <v>212.76560000000001</v>
      </c>
      <c r="M2487">
        <v>0.9996777</v>
      </c>
      <c r="N2487">
        <v>-9.5389849999999998E-3</v>
      </c>
      <c r="O2487">
        <v>2.3533370000000001E-2</v>
      </c>
      <c r="P2487">
        <v>0.97771839999999999</v>
      </c>
      <c r="Q2487">
        <v>0.20814170000000001</v>
      </c>
      <c r="R2487">
        <v>2.7275089999999998E-2</v>
      </c>
      <c r="S2487">
        <v>3.0651860000000002</v>
      </c>
      <c r="T2487">
        <v>-1.640201E-3</v>
      </c>
      <c r="U2487">
        <v>0.141983</v>
      </c>
      <c r="V2487">
        <v>-4.533998E-3</v>
      </c>
      <c r="W2487">
        <v>0.2174567</v>
      </c>
      <c r="X2487">
        <v>0.97605940000000002</v>
      </c>
      <c r="Y2487">
        <v>-2.275042E-2</v>
      </c>
      <c r="Z2487">
        <v>3.2648449999999999E-4</v>
      </c>
      <c r="AA2487">
        <v>0.99974110000000005</v>
      </c>
      <c r="AB2487">
        <v>40</v>
      </c>
      <c r="AC2487">
        <v>244.08690000000001</v>
      </c>
      <c r="AD2487">
        <v>-0.13103509999999899</v>
      </c>
      <c r="AE2487">
        <v>11.3225999999999</v>
      </c>
      <c r="AF2487">
        <v>-5.5750145604647701</v>
      </c>
      <c r="AG2487">
        <v>-0.13103509999999899</v>
      </c>
      <c r="AH2487">
        <v>244.28569523130199</v>
      </c>
      <c r="AI2487">
        <v>90.030725512200902</v>
      </c>
      <c r="AJ2487">
        <v>91.307360083961498</v>
      </c>
      <c r="AK2487">
        <v>244.34933773633799</v>
      </c>
      <c r="AL2487">
        <v>77.440303000318295</v>
      </c>
      <c r="AM2487">
        <v>90.266148844266993</v>
      </c>
      <c r="AN2487">
        <v>0.99999996292055604</v>
      </c>
    </row>
    <row r="2488" spans="1:40" x14ac:dyDescent="0.25">
      <c r="A2488" t="str">
        <f>"20190303170813718"</f>
        <v>20190303170813718</v>
      </c>
      <c r="B2488" t="str">
        <f>"1551604093705171"</f>
        <v>1551604093705171</v>
      </c>
      <c r="C2488" t="s">
        <v>40</v>
      </c>
      <c r="D2488">
        <v>4.2891329999999996</v>
      </c>
      <c r="E2488">
        <v>0.49622909999999998</v>
      </c>
      <c r="F2488" t="s">
        <v>53</v>
      </c>
      <c r="G2488">
        <v>-168.35059999999999</v>
      </c>
      <c r="H2488">
        <v>0.50447749999999902</v>
      </c>
      <c r="I2488">
        <v>224.32660000000001</v>
      </c>
      <c r="J2488">
        <v>-412.04730000000001</v>
      </c>
      <c r="K2488">
        <v>1.121008</v>
      </c>
      <c r="L2488">
        <v>212.77520000000001</v>
      </c>
      <c r="M2488">
        <v>0.99966650000000001</v>
      </c>
      <c r="N2488">
        <v>-9.6118750000000006E-3</v>
      </c>
      <c r="O2488">
        <v>2.397519E-2</v>
      </c>
      <c r="P2488">
        <v>0.9776802</v>
      </c>
      <c r="Q2488">
        <v>0.20828869999999999</v>
      </c>
      <c r="R2488">
        <v>2.7521509999999999E-2</v>
      </c>
      <c r="S2488">
        <v>3.065979</v>
      </c>
      <c r="T2488">
        <v>-7.7438350000000001E-3</v>
      </c>
      <c r="U2488">
        <v>0.14521789999999901</v>
      </c>
      <c r="V2488">
        <v>-4.3359770000000004E-3</v>
      </c>
      <c r="W2488">
        <v>0.21767500000000001</v>
      </c>
      <c r="X2488">
        <v>0.97601170000000004</v>
      </c>
      <c r="Y2488">
        <v>-2.3348440000000002E-2</v>
      </c>
      <c r="Z2488">
        <v>3.1161189999999998E-4</v>
      </c>
      <c r="AA2488">
        <v>0.99972740000000004</v>
      </c>
      <c r="AB2488">
        <v>40</v>
      </c>
      <c r="AC2488">
        <v>243.69669999999999</v>
      </c>
      <c r="AD2488">
        <v>-0.61653049999999998</v>
      </c>
      <c r="AE2488">
        <v>11.551399999999999</v>
      </c>
      <c r="AF2488">
        <v>-5.7050991576982097</v>
      </c>
      <c r="AG2488">
        <v>-0.61653049999999998</v>
      </c>
      <c r="AH2488">
        <v>243.90204604311501</v>
      </c>
      <c r="AI2488">
        <v>90.144791162142596</v>
      </c>
      <c r="AJ2488">
        <v>91.339958039231504</v>
      </c>
      <c r="AK2488">
        <v>243.96953975911501</v>
      </c>
      <c r="AL2488">
        <v>77.427489125221598</v>
      </c>
      <c r="AM2488">
        <v>90.254537468975101</v>
      </c>
      <c r="AN2488">
        <v>1.00000002242921</v>
      </c>
    </row>
    <row r="2489" spans="1:40" x14ac:dyDescent="0.25">
      <c r="A2489" t="str">
        <f>"20190303170813740"</f>
        <v>20190303170813740</v>
      </c>
      <c r="B2489" t="str">
        <f>"1551604093725668"</f>
        <v>1551604093725668</v>
      </c>
      <c r="C2489" t="s">
        <v>40</v>
      </c>
      <c r="D2489">
        <v>4.4824809999999999</v>
      </c>
      <c r="E2489">
        <v>0.49617559999999999</v>
      </c>
      <c r="F2489" t="s">
        <v>53</v>
      </c>
      <c r="G2489">
        <v>-168.35059999999999</v>
      </c>
      <c r="H2489">
        <v>0.45846940000000003</v>
      </c>
      <c r="I2489">
        <v>224.3715</v>
      </c>
      <c r="J2489">
        <v>-411.66800000000001</v>
      </c>
      <c r="K2489">
        <v>1.1209769999999999</v>
      </c>
      <c r="L2489">
        <v>212.78460000000001</v>
      </c>
      <c r="M2489">
        <v>0.99965630000000005</v>
      </c>
      <c r="N2489">
        <v>-9.6627669999999992E-3</v>
      </c>
      <c r="O2489">
        <v>2.4369849999999998E-2</v>
      </c>
      <c r="P2489">
        <v>0.97773670000000001</v>
      </c>
      <c r="Q2489">
        <v>0.20805319999999999</v>
      </c>
      <c r="R2489">
        <v>2.7294659999999998E-2</v>
      </c>
      <c r="S2489">
        <v>3.0661930000000002</v>
      </c>
      <c r="T2489">
        <v>-8.3353519999999903E-3</v>
      </c>
      <c r="U2489">
        <v>0.14590449999999999</v>
      </c>
      <c r="V2489">
        <v>-3.7073789999999998E-3</v>
      </c>
      <c r="W2489">
        <v>0.21749070000000001</v>
      </c>
      <c r="X2489">
        <v>0.97605540000000002</v>
      </c>
      <c r="Y2489">
        <v>-2.3173780000000001E-2</v>
      </c>
      <c r="Z2489">
        <v>3.1271780000000001E-4</v>
      </c>
      <c r="AA2489">
        <v>0.99973140000000005</v>
      </c>
      <c r="AB2489">
        <v>40</v>
      </c>
      <c r="AC2489">
        <v>243.31739999999999</v>
      </c>
      <c r="AD2489">
        <v>-0.66250759999999997</v>
      </c>
      <c r="AE2489">
        <v>11.586899999999901</v>
      </c>
      <c r="AF2489">
        <v>-5.6535312294975597</v>
      </c>
      <c r="AG2489">
        <v>-0.66250759999999997</v>
      </c>
      <c r="AH2489">
        <v>243.525713541931</v>
      </c>
      <c r="AI2489">
        <v>90.155829831606397</v>
      </c>
      <c r="AJ2489">
        <v>91.329901881187595</v>
      </c>
      <c r="AK2489">
        <v>243.59222994132901</v>
      </c>
      <c r="AL2489">
        <v>77.438308243825304</v>
      </c>
      <c r="AM2489">
        <v>90.217627143119998</v>
      </c>
      <c r="AN2489">
        <v>1.00000004655734</v>
      </c>
    </row>
    <row r="2490" spans="1:40" x14ac:dyDescent="0.25">
      <c r="A2490" t="str">
        <f>"20190303170813763"</f>
        <v>20190303170813763</v>
      </c>
      <c r="B2490" t="str">
        <f>"1551604093754947"</f>
        <v>1551604093754947</v>
      </c>
      <c r="C2490" t="s">
        <v>40</v>
      </c>
      <c r="D2490">
        <v>4.4067379999999998</v>
      </c>
      <c r="E2490">
        <v>0.4961815</v>
      </c>
      <c r="F2490" t="s">
        <v>53</v>
      </c>
      <c r="G2490">
        <v>-168.35059999999999</v>
      </c>
      <c r="H2490">
        <v>0.352273</v>
      </c>
      <c r="I2490">
        <v>224.39160000000001</v>
      </c>
      <c r="J2490">
        <v>-411.25360000000001</v>
      </c>
      <c r="K2490">
        <v>1.1209199999999999</v>
      </c>
      <c r="L2490">
        <v>212.79499999999999</v>
      </c>
      <c r="M2490">
        <v>0.99964679999999995</v>
      </c>
      <c r="N2490">
        <v>-9.6928970000000007E-3</v>
      </c>
      <c r="O2490">
        <v>2.4749469999999999E-2</v>
      </c>
      <c r="P2490">
        <v>0.97791939999999999</v>
      </c>
      <c r="Q2490">
        <v>0.20729</v>
      </c>
      <c r="R2490">
        <v>2.65472E-2</v>
      </c>
      <c r="S2490">
        <v>3.066284</v>
      </c>
      <c r="T2490">
        <v>-9.6864700000000008E-3</v>
      </c>
      <c r="U2490">
        <v>0.14627079999999901</v>
      </c>
      <c r="V2490">
        <v>-2.562871E-3</v>
      </c>
      <c r="W2490">
        <v>0.21675990000000001</v>
      </c>
      <c r="X2490">
        <v>0.97622160000000002</v>
      </c>
      <c r="Y2490">
        <v>-2.29117E-2</v>
      </c>
      <c r="Z2490">
        <v>3.0897219999999998E-4</v>
      </c>
      <c r="AA2490">
        <v>0.9997374</v>
      </c>
      <c r="AB2490">
        <v>40</v>
      </c>
      <c r="AC2490">
        <v>242.90299999999999</v>
      </c>
      <c r="AD2490">
        <v>-0.76864699999999997</v>
      </c>
      <c r="AE2490">
        <v>11.5966</v>
      </c>
      <c r="AF2490">
        <v>-5.5809893979193301</v>
      </c>
      <c r="AG2490">
        <v>-0.76864699999999997</v>
      </c>
      <c r="AH2490">
        <v>243.11318244633901</v>
      </c>
      <c r="AI2490">
        <v>90.181102818398003</v>
      </c>
      <c r="AJ2490">
        <v>91.315070539555506</v>
      </c>
      <c r="AK2490">
        <v>243.17844834618299</v>
      </c>
      <c r="AL2490">
        <v>77.481202943923293</v>
      </c>
      <c r="AM2490">
        <v>90.150418055065202</v>
      </c>
      <c r="AN2490">
        <v>1.0000000174311601</v>
      </c>
    </row>
    <row r="2491" spans="1:40" x14ac:dyDescent="0.25">
      <c r="A2491" t="str">
        <f>"20190303170813785"</f>
        <v>20190303170813785</v>
      </c>
      <c r="B2491" t="str">
        <f>"1551604093775443"</f>
        <v>1551604093775443</v>
      </c>
      <c r="C2491" t="s">
        <v>40</v>
      </c>
      <c r="D2491">
        <v>4.4473289999999999</v>
      </c>
      <c r="E2491">
        <v>0.49619730000000001</v>
      </c>
      <c r="F2491" t="s">
        <v>53</v>
      </c>
      <c r="G2491">
        <v>-168.35059999999999</v>
      </c>
      <c r="H2491">
        <v>9.5848080000000002E-2</v>
      </c>
      <c r="I2491">
        <v>224.24590000000001</v>
      </c>
      <c r="J2491">
        <v>-410.86130000000003</v>
      </c>
      <c r="K2491">
        <v>1.1208720000000001</v>
      </c>
      <c r="L2491">
        <v>212.80500000000001</v>
      </c>
      <c r="M2491">
        <v>0.99963919999999995</v>
      </c>
      <c r="N2491">
        <v>-9.6977969999999993E-3</v>
      </c>
      <c r="O2491">
        <v>2.5051449999999999E-2</v>
      </c>
      <c r="P2491">
        <v>0.97811930000000002</v>
      </c>
      <c r="Q2491">
        <v>0.20646110000000001</v>
      </c>
      <c r="R2491">
        <v>2.5627299999999902E-2</v>
      </c>
      <c r="S2491">
        <v>3.0665279999999999</v>
      </c>
      <c r="T2491">
        <v>-1.294029E-2</v>
      </c>
      <c r="U2491">
        <v>0.14456179999999999</v>
      </c>
      <c r="V2491">
        <v>-1.3183719999999999E-3</v>
      </c>
      <c r="W2491">
        <v>0.2159392</v>
      </c>
      <c r="X2491">
        <v>0.97640590000000005</v>
      </c>
      <c r="Y2491">
        <v>-2.204965E-2</v>
      </c>
      <c r="Z2491">
        <v>2.9071780000000002E-4</v>
      </c>
      <c r="AA2491">
        <v>0.9997568</v>
      </c>
      <c r="AB2491">
        <v>40</v>
      </c>
      <c r="AC2491">
        <v>242.51070000000001</v>
      </c>
      <c r="AD2491">
        <v>-1.02502391999999</v>
      </c>
      <c r="AE2491">
        <v>11.440899999999999</v>
      </c>
      <c r="AF2491">
        <v>-5.3616836004735404</v>
      </c>
      <c r="AG2491">
        <v>-1.02502391999999</v>
      </c>
      <c r="AH2491">
        <v>242.716882116552</v>
      </c>
      <c r="AI2491">
        <v>90.241906829588402</v>
      </c>
      <c r="AJ2491">
        <v>91.265473929313103</v>
      </c>
      <c r="AK2491">
        <v>242.77825930146199</v>
      </c>
      <c r="AL2491">
        <v>77.529365804611999</v>
      </c>
      <c r="AM2491">
        <v>90.077362401767303</v>
      </c>
      <c r="AN2491">
        <v>0.99999997887809</v>
      </c>
    </row>
    <row r="2492" spans="1:40" x14ac:dyDescent="0.25">
      <c r="A2492" t="str">
        <f>"20190303170813809"</f>
        <v>20190303170813809</v>
      </c>
      <c r="B2492" t="str">
        <f>"1551604093794963"</f>
        <v>1551604093794963</v>
      </c>
      <c r="C2492" t="s">
        <v>40</v>
      </c>
      <c r="D2492">
        <v>4.4206719999999997</v>
      </c>
      <c r="E2492">
        <v>0.49617790000000001</v>
      </c>
      <c r="F2492" t="s">
        <v>63</v>
      </c>
      <c r="G2492">
        <v>-226.97450000000001</v>
      </c>
      <c r="H2492">
        <v>8.0000299999999996E-2</v>
      </c>
      <c r="I2492">
        <v>221.3415</v>
      </c>
      <c r="J2492">
        <v>-410.44630000000001</v>
      </c>
      <c r="K2492">
        <v>1.120803</v>
      </c>
      <c r="L2492">
        <v>212.81559999999999</v>
      </c>
      <c r="M2492">
        <v>0.99963310000000005</v>
      </c>
      <c r="N2492">
        <v>-9.6758850000000004E-3</v>
      </c>
      <c r="O2492">
        <v>2.5306120000000001E-2</v>
      </c>
      <c r="P2492">
        <v>0.97808580000000001</v>
      </c>
      <c r="Q2492">
        <v>0.20667840000000001</v>
      </c>
      <c r="R2492">
        <v>2.5142009999999999E-2</v>
      </c>
      <c r="S2492">
        <v>3.0670470000000001</v>
      </c>
      <c r="T2492">
        <v>-1.7360690000000002E-2</v>
      </c>
      <c r="U2492">
        <v>0.142379799999999</v>
      </c>
      <c r="V2492">
        <v>-5.5525080000000003E-4</v>
      </c>
      <c r="W2492">
        <v>0.21613560000000001</v>
      </c>
      <c r="X2492">
        <v>0.97636319999999999</v>
      </c>
      <c r="Y2492">
        <v>-2.1076850000000001E-2</v>
      </c>
      <c r="Z2492">
        <v>2.6330519999999999E-4</v>
      </c>
      <c r="AA2492">
        <v>0.9997779</v>
      </c>
      <c r="AB2492">
        <v>40</v>
      </c>
      <c r="AC2492">
        <v>183.4718</v>
      </c>
      <c r="AD2492">
        <v>-1.0408027</v>
      </c>
      <c r="AE2492">
        <v>8.5259</v>
      </c>
      <c r="AF2492">
        <v>-3.8798688105689698</v>
      </c>
      <c r="AG2492">
        <v>-1.0408027</v>
      </c>
      <c r="AH2492">
        <v>183.622908559618</v>
      </c>
      <c r="AI2492">
        <v>90.324685284652702</v>
      </c>
      <c r="AJ2492">
        <v>91.210453728121493</v>
      </c>
      <c r="AK2492">
        <v>183.666842952509</v>
      </c>
      <c r="AL2492">
        <v>77.517841044672807</v>
      </c>
      <c r="AM2492">
        <v>90.032583698342606</v>
      </c>
      <c r="AN2492">
        <v>1.0000000021025199</v>
      </c>
    </row>
    <row r="2493" spans="1:40" x14ac:dyDescent="0.25">
      <c r="A2493" t="str">
        <f>"20190303170813832"</f>
        <v>20190303170813832</v>
      </c>
      <c r="B2493" t="str">
        <f>"1551604093825220"</f>
        <v>1551604093825220</v>
      </c>
      <c r="C2493" t="s">
        <v>40</v>
      </c>
      <c r="D2493">
        <v>4.4379019999999896</v>
      </c>
      <c r="E2493">
        <v>0.49622749999999999</v>
      </c>
      <c r="F2493" t="s">
        <v>63</v>
      </c>
      <c r="G2493">
        <v>-215.13339999999999</v>
      </c>
      <c r="H2493">
        <v>7.999974E-2</v>
      </c>
      <c r="I2493">
        <v>221.77090000000001</v>
      </c>
      <c r="J2493">
        <v>-410.05259999999998</v>
      </c>
      <c r="K2493">
        <v>1.120735</v>
      </c>
      <c r="L2493">
        <v>212.82570000000001</v>
      </c>
      <c r="M2493">
        <v>0.99962910000000005</v>
      </c>
      <c r="N2493">
        <v>-9.6309929999999992E-3</v>
      </c>
      <c r="O2493">
        <v>2.547628E-2</v>
      </c>
      <c r="P2493">
        <v>0.9779909</v>
      </c>
      <c r="Q2493">
        <v>0.20723559999999999</v>
      </c>
      <c r="R2493">
        <v>2.4235219999999998E-2</v>
      </c>
      <c r="S2493">
        <v>3.0670169999999999</v>
      </c>
      <c r="T2493">
        <v>-1.634383E-2</v>
      </c>
      <c r="U2493">
        <v>0.140625</v>
      </c>
      <c r="V2493">
        <v>5.451818E-4</v>
      </c>
      <c r="W2493">
        <v>0.21664820000000001</v>
      </c>
      <c r="X2493">
        <v>0.97624960000000005</v>
      </c>
      <c r="Y2493">
        <v>-2.0336469999999999E-2</v>
      </c>
      <c r="Z2493">
        <v>2.6178079999999998E-4</v>
      </c>
      <c r="AA2493">
        <v>0.99979320000000005</v>
      </c>
      <c r="AB2493">
        <v>40</v>
      </c>
      <c r="AC2493">
        <v>194.91919999999999</v>
      </c>
      <c r="AD2493">
        <v>-1.0407352599999999</v>
      </c>
      <c r="AE2493">
        <v>8.9451999999999998</v>
      </c>
      <c r="AF2493">
        <v>-3.9761371416417299</v>
      </c>
      <c r="AG2493">
        <v>-1.0407352599999999</v>
      </c>
      <c r="AH2493">
        <v>195.07827992317399</v>
      </c>
      <c r="AI2493">
        <v>90.305604449234195</v>
      </c>
      <c r="AJ2493">
        <v>91.167656067293095</v>
      </c>
      <c r="AK2493">
        <v>195.12157260086499</v>
      </c>
      <c r="AL2493">
        <v>77.487758577377903</v>
      </c>
      <c r="AM2493">
        <v>89.968003456329001</v>
      </c>
      <c r="AN2493">
        <v>1.00000001064329</v>
      </c>
    </row>
    <row r="2494" spans="1:40" x14ac:dyDescent="0.25">
      <c r="A2494" t="str">
        <f>"20190303170813854"</f>
        <v>20190303170813854</v>
      </c>
      <c r="B2494" t="str">
        <f>"1551604093845716"</f>
        <v>1551604093845716</v>
      </c>
      <c r="C2494" t="s">
        <v>40</v>
      </c>
      <c r="D2494">
        <v>4.5382879999999997</v>
      </c>
      <c r="E2494">
        <v>0.49620880000000001</v>
      </c>
      <c r="F2494" t="s">
        <v>57</v>
      </c>
      <c r="G2494">
        <v>-179.95779999999999</v>
      </c>
      <c r="H2494">
        <v>3.2650599999999898E-2</v>
      </c>
      <c r="I2494">
        <v>223.0994</v>
      </c>
      <c r="J2494">
        <v>-409.63580000000002</v>
      </c>
      <c r="K2494">
        <v>1.120668</v>
      </c>
      <c r="L2494">
        <v>212.8365</v>
      </c>
      <c r="M2494">
        <v>0.99962660000000003</v>
      </c>
      <c r="N2494">
        <v>-9.5697809999999994E-3</v>
      </c>
      <c r="O2494">
        <v>2.5597580000000002E-2</v>
      </c>
      <c r="P2494">
        <v>0.97795209999999999</v>
      </c>
      <c r="Q2494">
        <v>0.2075197</v>
      </c>
      <c r="R2494">
        <v>2.3356539999999999E-2</v>
      </c>
      <c r="S2494">
        <v>3.0671689999999998</v>
      </c>
      <c r="T2494">
        <v>-1.450419E-2</v>
      </c>
      <c r="U2494">
        <v>0.1369476</v>
      </c>
      <c r="V2494">
        <v>1.5715099999999999E-3</v>
      </c>
      <c r="W2494">
        <v>0.21687210000000001</v>
      </c>
      <c r="X2494">
        <v>0.97619869999999997</v>
      </c>
      <c r="Y2494">
        <v>-1.901686E-2</v>
      </c>
      <c r="Z2494">
        <v>2.5992799999999998E-4</v>
      </c>
      <c r="AA2494">
        <v>0.99981909999999896</v>
      </c>
      <c r="AB2494">
        <v>40</v>
      </c>
      <c r="AC2494">
        <v>229.678</v>
      </c>
      <c r="AD2494">
        <v>-1.08801739999999</v>
      </c>
      <c r="AE2494">
        <v>10.2629</v>
      </c>
      <c r="AF2494">
        <v>-4.3799689882156496</v>
      </c>
      <c r="AG2494">
        <v>-1.08801739999999</v>
      </c>
      <c r="AH2494">
        <v>229.86030363653401</v>
      </c>
      <c r="AI2494">
        <v>90.271151758488799</v>
      </c>
      <c r="AJ2494">
        <v>91.091634210645793</v>
      </c>
      <c r="AK2494">
        <v>229.904604342932</v>
      </c>
      <c r="AL2494">
        <v>77.474616721112</v>
      </c>
      <c r="AM2494">
        <v>89.907763846969601</v>
      </c>
      <c r="AN2494">
        <v>0.99999993964188805</v>
      </c>
    </row>
    <row r="2495" spans="1:40" x14ac:dyDescent="0.25">
      <c r="A2495" t="str">
        <f>"20190303170813876"</f>
        <v>20190303170813876</v>
      </c>
      <c r="B2495" t="str">
        <f>"1551604093865235"</f>
        <v>1551604093865235</v>
      </c>
      <c r="C2495" t="s">
        <v>40</v>
      </c>
      <c r="D2495">
        <v>4.4782039999999999</v>
      </c>
      <c r="E2495">
        <v>0.49617099999999997</v>
      </c>
      <c r="F2495" t="s">
        <v>53</v>
      </c>
      <c r="G2495">
        <v>-168.35059999999999</v>
      </c>
      <c r="H2495">
        <v>6.3250539999999994E-2</v>
      </c>
      <c r="I2495">
        <v>223.41149999999999</v>
      </c>
      <c r="J2495">
        <v>-409.24369999999999</v>
      </c>
      <c r="K2495">
        <v>1.1206119999999999</v>
      </c>
      <c r="L2495">
        <v>212.8466</v>
      </c>
      <c r="M2495">
        <v>0.99962530000000005</v>
      </c>
      <c r="N2495">
        <v>-9.5061009999999994E-3</v>
      </c>
      <c r="O2495">
        <v>2.5671220000000002E-2</v>
      </c>
      <c r="P2495">
        <v>0.9780645</v>
      </c>
      <c r="Q2495">
        <v>0.20699590000000001</v>
      </c>
      <c r="R2495">
        <v>2.3297769999999999E-2</v>
      </c>
      <c r="S2495">
        <v>3.0672299999999999</v>
      </c>
      <c r="T2495">
        <v>-1.344121E-2</v>
      </c>
      <c r="U2495">
        <v>0.13442989999999999</v>
      </c>
      <c r="V2495">
        <v>1.7294820000000001E-3</v>
      </c>
      <c r="W2495">
        <v>0.21628790000000001</v>
      </c>
      <c r="X2495">
        <v>0.97632810000000003</v>
      </c>
      <c r="Y2495">
        <v>-1.8123360000000002E-2</v>
      </c>
      <c r="Z2495">
        <v>2.574373E-4</v>
      </c>
      <c r="AA2495">
        <v>0.99983569999999999</v>
      </c>
      <c r="AB2495">
        <v>40</v>
      </c>
      <c r="AC2495">
        <v>240.8931</v>
      </c>
      <c r="AD2495">
        <v>-1.0573614600000001</v>
      </c>
      <c r="AE2495">
        <v>10.5648999999999</v>
      </c>
      <c r="AF2495">
        <v>-4.37703491574631</v>
      </c>
      <c r="AG2495">
        <v>-1.0573614600000001</v>
      </c>
      <c r="AH2495">
        <v>241.08029438953801</v>
      </c>
      <c r="AI2495">
        <v>90.251252298853501</v>
      </c>
      <c r="AJ2495">
        <v>91.040143398790505</v>
      </c>
      <c r="AK2495">
        <v>241.12234403069499</v>
      </c>
      <c r="AL2495">
        <v>77.508903502176096</v>
      </c>
      <c r="AM2495">
        <v>89.8985055170523</v>
      </c>
      <c r="AN2495">
        <v>1.000000002822</v>
      </c>
    </row>
    <row r="2496" spans="1:40" x14ac:dyDescent="0.25">
      <c r="A2496" t="str">
        <f>"20190303170813919"</f>
        <v>20190303170813919</v>
      </c>
      <c r="B2496" t="str">
        <f>"1551604093905252"</f>
        <v>1551604093905252</v>
      </c>
      <c r="C2496" t="s">
        <v>40</v>
      </c>
      <c r="D2496">
        <v>4.5027929999999996</v>
      </c>
      <c r="E2496">
        <v>0.49606919999999999</v>
      </c>
      <c r="F2496" t="s">
        <v>57</v>
      </c>
      <c r="G2496">
        <v>-179.95779999999999</v>
      </c>
      <c r="H2496">
        <v>1.239205E-2</v>
      </c>
      <c r="I2496">
        <v>222.91059999999999</v>
      </c>
      <c r="J2496">
        <v>-408.48410000000001</v>
      </c>
      <c r="K2496">
        <v>1.1205160000000001</v>
      </c>
      <c r="L2496">
        <v>212.86609999999999</v>
      </c>
      <c r="M2496">
        <v>0.99962589999999996</v>
      </c>
      <c r="N2496">
        <v>-9.3560269999999994E-3</v>
      </c>
      <c r="O2496">
        <v>2.570441E-2</v>
      </c>
      <c r="P2496">
        <v>0.97795549999999998</v>
      </c>
      <c r="Q2496">
        <v>0.20732059999999999</v>
      </c>
      <c r="R2496">
        <v>2.4936280000000002E-2</v>
      </c>
      <c r="S2496">
        <v>3.0672000000000001</v>
      </c>
      <c r="T2496">
        <v>-1.482487E-2</v>
      </c>
      <c r="U2496">
        <v>0.13462829999999901</v>
      </c>
      <c r="V2496">
        <v>1.600385E-4</v>
      </c>
      <c r="W2496">
        <v>0.2164643</v>
      </c>
      <c r="X2496">
        <v>0.97629049999999995</v>
      </c>
      <c r="Y2496">
        <v>-1.8155020000000001E-2</v>
      </c>
      <c r="Z2496">
        <v>2.4511260000000001E-4</v>
      </c>
      <c r="AA2496">
        <v>0.99983509999999998</v>
      </c>
      <c r="AB2496">
        <v>40</v>
      </c>
      <c r="AC2496">
        <v>228.52629999999999</v>
      </c>
      <c r="AD2496">
        <v>-1.10812395</v>
      </c>
      <c r="AE2496">
        <v>10.044499999999999</v>
      </c>
      <c r="AF2496">
        <v>-4.1666928345769803</v>
      </c>
      <c r="AG2496">
        <v>-1.10812395</v>
      </c>
      <c r="AH2496">
        <v>228.70361748741999</v>
      </c>
      <c r="AI2496">
        <v>90.277563578662196</v>
      </c>
      <c r="AJ2496">
        <v>91.0437417129571</v>
      </c>
      <c r="AK2496">
        <v>228.744254397129</v>
      </c>
      <c r="AL2496">
        <v>77.498550988359895</v>
      </c>
      <c r="AM2496">
        <v>89.990607784744896</v>
      </c>
      <c r="AN2496">
        <v>0.99999997958853004</v>
      </c>
    </row>
    <row r="2497" spans="1:40" x14ac:dyDescent="0.25">
      <c r="A2497" t="str">
        <f>"20190303170813942"</f>
        <v>20190303170813942</v>
      </c>
      <c r="B2497" t="str">
        <f>"1551604093935508"</f>
        <v>1551604093935508</v>
      </c>
      <c r="C2497" t="s">
        <v>40</v>
      </c>
      <c r="D2497">
        <v>4.5169990000000002</v>
      </c>
      <c r="E2497">
        <v>0.49600139999999998</v>
      </c>
      <c r="F2497" t="s">
        <v>53</v>
      </c>
      <c r="G2497">
        <v>-168.35059999999999</v>
      </c>
      <c r="H2497">
        <v>5.6309699999999997E-2</v>
      </c>
      <c r="I2497">
        <v>223.94370000000001</v>
      </c>
      <c r="J2497">
        <v>-408.05799999999999</v>
      </c>
      <c r="K2497">
        <v>1.120458</v>
      </c>
      <c r="L2497">
        <v>212.87710000000001</v>
      </c>
      <c r="M2497">
        <v>0.99962819999999997</v>
      </c>
      <c r="N2497">
        <v>-9.2556459999999993E-3</v>
      </c>
      <c r="O2497">
        <v>2.565079E-2</v>
      </c>
      <c r="P2497">
        <v>0.97775489999999998</v>
      </c>
      <c r="Q2497">
        <v>0.20818710000000001</v>
      </c>
      <c r="R2497">
        <v>2.5564460000000001E-2</v>
      </c>
      <c r="S2497">
        <v>3.0669249999999999</v>
      </c>
      <c r="T2497">
        <v>-1.359105E-2</v>
      </c>
      <c r="U2497">
        <v>0.14147950000000001</v>
      </c>
      <c r="V2497">
        <v>-5.0111909999999999E-4</v>
      </c>
      <c r="W2497">
        <v>0.21723100000000001</v>
      </c>
      <c r="X2497">
        <v>0.97612010000000005</v>
      </c>
      <c r="Y2497">
        <v>-2.0441609999999999E-2</v>
      </c>
      <c r="Z2497">
        <v>2.6368829999999998E-4</v>
      </c>
      <c r="AA2497">
        <v>0.99979099999999999</v>
      </c>
      <c r="AB2497">
        <v>40</v>
      </c>
      <c r="AC2497">
        <v>239.70740000000001</v>
      </c>
      <c r="AD2497">
        <v>-1.0641483</v>
      </c>
      <c r="AE2497">
        <v>11.0665999999999</v>
      </c>
      <c r="AF2497">
        <v>-4.9139146974389201</v>
      </c>
      <c r="AG2497">
        <v>-1.0641483</v>
      </c>
      <c r="AH2497">
        <v>239.90768211181901</v>
      </c>
      <c r="AI2497">
        <v>90.254089491833199</v>
      </c>
      <c r="AJ2497">
        <v>91.173398065940006</v>
      </c>
      <c r="AK2497">
        <v>239.960361113088</v>
      </c>
      <c r="AL2497">
        <v>77.453551883405595</v>
      </c>
      <c r="AM2497">
        <v>90.029414420357597</v>
      </c>
      <c r="AN2497">
        <v>1.00000000405268</v>
      </c>
    </row>
    <row r="2498" spans="1:40" x14ac:dyDescent="0.25">
      <c r="A2498" t="str">
        <f>"20190303170813964"</f>
        <v>20190303170813964</v>
      </c>
      <c r="B2498" t="str">
        <f>"1551604093955028"</f>
        <v>1551604093955028</v>
      </c>
      <c r="C2498" t="s">
        <v>40</v>
      </c>
      <c r="D2498">
        <v>4.6526889999999996</v>
      </c>
      <c r="E2498">
        <v>0.49597750000000002</v>
      </c>
      <c r="F2498" t="s">
        <v>53</v>
      </c>
      <c r="G2498">
        <v>-168.35059999999999</v>
      </c>
      <c r="H2498">
        <v>0.23910049999999999</v>
      </c>
      <c r="I2498">
        <v>224.16890000000001</v>
      </c>
      <c r="J2498">
        <v>-407.65300000000002</v>
      </c>
      <c r="K2498">
        <v>1.120393</v>
      </c>
      <c r="L2498">
        <v>212.88740000000001</v>
      </c>
      <c r="M2498">
        <v>0.99963179999999996</v>
      </c>
      <c r="N2498">
        <v>-9.1578219999999995E-3</v>
      </c>
      <c r="O2498">
        <v>2.554499E-2</v>
      </c>
      <c r="P2498">
        <v>0.97782610000000003</v>
      </c>
      <c r="Q2498">
        <v>0.2078469</v>
      </c>
      <c r="R2498">
        <v>2.5613500000000001E-2</v>
      </c>
      <c r="S2498">
        <v>3.0668639999999998</v>
      </c>
      <c r="T2498">
        <v>-1.1275530000000001E-2</v>
      </c>
      <c r="U2498">
        <v>0.14447019999999999</v>
      </c>
      <c r="V2498">
        <v>-6.2452679999999998E-4</v>
      </c>
      <c r="W2498">
        <v>0.21679580000000001</v>
      </c>
      <c r="X2498">
        <v>0.9762168</v>
      </c>
      <c r="Y2498">
        <v>-2.15214E-2</v>
      </c>
      <c r="Z2498">
        <v>2.7816620000000001E-4</v>
      </c>
      <c r="AA2498">
        <v>0.9997684</v>
      </c>
      <c r="AB2498">
        <v>40</v>
      </c>
      <c r="AC2498">
        <v>239.30240000000001</v>
      </c>
      <c r="AD2498">
        <v>-0.88129249999999903</v>
      </c>
      <c r="AE2498">
        <v>11.2814999999999</v>
      </c>
      <c r="AF2498">
        <v>-5.16451503596784</v>
      </c>
      <c r="AG2498">
        <v>-0.88129249999999903</v>
      </c>
      <c r="AH2498">
        <v>239.509259426526</v>
      </c>
      <c r="AI2498">
        <v>90.210774223761703</v>
      </c>
      <c r="AJ2498">
        <v>91.235271935175106</v>
      </c>
      <c r="AK2498">
        <v>239.56655493426001</v>
      </c>
      <c r="AL2498">
        <v>77.479096015870795</v>
      </c>
      <c r="AM2498">
        <v>90.036654506407999</v>
      </c>
      <c r="AN2498">
        <v>1.0000000247667999</v>
      </c>
    </row>
    <row r="2499" spans="1:40" x14ac:dyDescent="0.25">
      <c r="A2499" t="str">
        <f>"20190303170813986"</f>
        <v>20190303170813986</v>
      </c>
      <c r="B2499" t="str">
        <f>"1551604093975524"</f>
        <v>1551604093975524</v>
      </c>
      <c r="C2499" t="s">
        <v>40</v>
      </c>
      <c r="D2499">
        <v>4.5496349999999897</v>
      </c>
      <c r="E2499">
        <v>0.49596899999999999</v>
      </c>
      <c r="F2499" t="s">
        <v>53</v>
      </c>
      <c r="G2499">
        <v>-168.35059999999999</v>
      </c>
      <c r="H2499">
        <v>0.14697739999999901</v>
      </c>
      <c r="I2499">
        <v>224.14349999999999</v>
      </c>
      <c r="J2499">
        <v>-407.27339999999998</v>
      </c>
      <c r="K2499">
        <v>1.1203129999999999</v>
      </c>
      <c r="L2499">
        <v>212.89699999999999</v>
      </c>
      <c r="M2499">
        <v>0.99963670000000004</v>
      </c>
      <c r="N2499">
        <v>-9.0684719999999993E-3</v>
      </c>
      <c r="O2499">
        <v>2.5382789999999999E-2</v>
      </c>
      <c r="P2499">
        <v>0.97801349999999998</v>
      </c>
      <c r="Q2499">
        <v>0.20695359999999999</v>
      </c>
      <c r="R2499">
        <v>2.5688300000000001E-2</v>
      </c>
      <c r="S2499">
        <v>3.0668639999999998</v>
      </c>
      <c r="T2499">
        <v>-1.247442E-2</v>
      </c>
      <c r="U2499">
        <v>0.14425660000000001</v>
      </c>
      <c r="V2499">
        <v>-8.2114759999999895E-4</v>
      </c>
      <c r="W2499">
        <v>0.21581719999999999</v>
      </c>
      <c r="X2499">
        <v>0.97643349999999995</v>
      </c>
      <c r="Y2499">
        <v>-2.1614020000000001E-2</v>
      </c>
      <c r="Z2499">
        <v>2.6894519999999999E-4</v>
      </c>
      <c r="AA2499">
        <v>0.9997663</v>
      </c>
      <c r="AB2499">
        <v>40</v>
      </c>
      <c r="AC2499">
        <v>238.9228</v>
      </c>
      <c r="AD2499">
        <v>-0.97333559999999997</v>
      </c>
      <c r="AE2499">
        <v>11.2464999999999</v>
      </c>
      <c r="AF2499">
        <v>-5.17801391992968</v>
      </c>
      <c r="AG2499">
        <v>-0.97333559999999997</v>
      </c>
      <c r="AH2499">
        <v>239.12733339503001</v>
      </c>
      <c r="AI2499">
        <v>90.233158809258398</v>
      </c>
      <c r="AJ2499">
        <v>91.240477126491001</v>
      </c>
      <c r="AK2499">
        <v>239.185369090509</v>
      </c>
      <c r="AL2499">
        <v>77.536525709130999</v>
      </c>
      <c r="AM2499">
        <v>90.048183804371803</v>
      </c>
      <c r="AN2499">
        <v>1.0000000590107301</v>
      </c>
    </row>
    <row r="2500" spans="1:40" x14ac:dyDescent="0.25">
      <c r="A2500" t="str">
        <f>"20190303170814008"</f>
        <v>20190303170814008</v>
      </c>
      <c r="B2500" t="str">
        <f>"1551604093995043"</f>
        <v>1551604093995043</v>
      </c>
      <c r="C2500" t="s">
        <v>40</v>
      </c>
      <c r="D2500">
        <v>4.536829</v>
      </c>
      <c r="E2500">
        <v>0.49595990000000001</v>
      </c>
      <c r="F2500" t="s">
        <v>57</v>
      </c>
      <c r="G2500">
        <v>-183.94970000000001</v>
      </c>
      <c r="H2500" s="1">
        <v>1.6601289999999999E-6</v>
      </c>
      <c r="I2500">
        <v>223.4126</v>
      </c>
      <c r="J2500">
        <v>-406.85750000000002</v>
      </c>
      <c r="K2500">
        <v>1.120228</v>
      </c>
      <c r="L2500">
        <v>212.9074</v>
      </c>
      <c r="M2500">
        <v>0.99964390000000003</v>
      </c>
      <c r="N2500">
        <v>-8.9769589999999996E-3</v>
      </c>
      <c r="O2500">
        <v>2.5128689999999999E-2</v>
      </c>
      <c r="P2500">
        <v>0.97810220000000003</v>
      </c>
      <c r="Q2500">
        <v>0.206593</v>
      </c>
      <c r="R2500">
        <v>2.5212229999999999E-2</v>
      </c>
      <c r="S2500">
        <v>3.0668639999999998</v>
      </c>
      <c r="T2500">
        <v>-1.5385029999999999E-2</v>
      </c>
      <c r="U2500">
        <v>0.14440919999999999</v>
      </c>
      <c r="V2500">
        <v>-5.5162240000000001E-4</v>
      </c>
      <c r="W2500">
        <v>0.21536830000000001</v>
      </c>
      <c r="X2500">
        <v>0.97653279999999998</v>
      </c>
      <c r="Y2500">
        <v>-2.1917499999999999E-2</v>
      </c>
      <c r="Z2500">
        <v>2.5292990000000003E-4</v>
      </c>
      <c r="AA2500">
        <v>0.99975970000000003</v>
      </c>
      <c r="AB2500">
        <v>40</v>
      </c>
      <c r="AC2500">
        <v>222.90780000000001</v>
      </c>
      <c r="AD2500">
        <v>-1.120226339871</v>
      </c>
      <c r="AE2500">
        <v>10.5052</v>
      </c>
      <c r="AF2500">
        <v>-4.9001521498410501</v>
      </c>
      <c r="AG2500">
        <v>-1.120226339871</v>
      </c>
      <c r="AH2500">
        <v>223.095776108716</v>
      </c>
      <c r="AI2500">
        <v>90.287626358429193</v>
      </c>
      <c r="AJ2500">
        <v>91.258261838019607</v>
      </c>
      <c r="AK2500">
        <v>223.15239572026599</v>
      </c>
      <c r="AL2500">
        <v>77.562865201787602</v>
      </c>
      <c r="AM2500">
        <v>90.032365151527102</v>
      </c>
      <c r="AN2500">
        <v>1.0000000592039899</v>
      </c>
    </row>
    <row r="2501" spans="1:40" x14ac:dyDescent="0.25">
      <c r="A2501" t="str">
        <f>"20190303170814030"</f>
        <v>20190303170814030</v>
      </c>
      <c r="B2501" t="str">
        <f>"1551604094025907"</f>
        <v>1551604094025907</v>
      </c>
      <c r="C2501" t="s">
        <v>40</v>
      </c>
      <c r="D2501">
        <v>4.5948149999999996</v>
      </c>
      <c r="E2501">
        <v>0.49594660000000002</v>
      </c>
      <c r="F2501" t="s">
        <v>63</v>
      </c>
      <c r="G2501">
        <v>-212.38059999999999</v>
      </c>
      <c r="H2501">
        <v>8.0000399999999902E-2</v>
      </c>
      <c r="I2501">
        <v>221.96199999999999</v>
      </c>
      <c r="J2501">
        <v>-406.46839999999997</v>
      </c>
      <c r="K2501">
        <v>1.1201449999999999</v>
      </c>
      <c r="L2501">
        <v>212.9169</v>
      </c>
      <c r="M2501">
        <v>0.99965269999999995</v>
      </c>
      <c r="N2501">
        <v>-8.8969029999999994E-3</v>
      </c>
      <c r="O2501">
        <v>2.4805890000000001E-2</v>
      </c>
      <c r="P2501">
        <v>0.97806179999999998</v>
      </c>
      <c r="Q2501">
        <v>0.206868</v>
      </c>
      <c r="R2501">
        <v>2.451385E-2</v>
      </c>
      <c r="S2501">
        <v>3.0669249999999999</v>
      </c>
      <c r="T2501">
        <v>-1.6404510000000001E-2</v>
      </c>
      <c r="U2501">
        <v>0.14279169999999999</v>
      </c>
      <c r="V2501">
        <v>-1.2834230000000001E-4</v>
      </c>
      <c r="W2501">
        <v>0.21556429999999999</v>
      </c>
      <c r="X2501">
        <v>0.97648959999999996</v>
      </c>
      <c r="Y2501">
        <v>-2.171321E-2</v>
      </c>
      <c r="Z2501">
        <v>2.427343E-4</v>
      </c>
      <c r="AA2501">
        <v>0.99976419999999999</v>
      </c>
      <c r="AB2501">
        <v>40</v>
      </c>
      <c r="AC2501">
        <v>194.08779999999999</v>
      </c>
      <c r="AD2501">
        <v>-1.0401446000000001</v>
      </c>
      <c r="AE2501">
        <v>9.0451000000000192</v>
      </c>
      <c r="AF2501">
        <v>-4.2274841724631598</v>
      </c>
      <c r="AG2501">
        <v>-1.0401446000000001</v>
      </c>
      <c r="AH2501">
        <v>194.24688571983799</v>
      </c>
      <c r="AI2501">
        <v>90.306729333238096</v>
      </c>
      <c r="AJ2501">
        <v>91.2467575432605</v>
      </c>
      <c r="AK2501">
        <v>194.29566679438099</v>
      </c>
      <c r="AL2501">
        <v>77.551363870175393</v>
      </c>
      <c r="AM2501">
        <v>90.007530517560696</v>
      </c>
      <c r="AN2501">
        <v>0.99999996140719705</v>
      </c>
    </row>
    <row r="2502" spans="1:40" x14ac:dyDescent="0.25">
      <c r="A2502" t="str">
        <f>"20190303170814056"</f>
        <v>20190303170814056</v>
      </c>
      <c r="B2502" t="str">
        <f>"1551604094045427"</f>
        <v>1551604094045427</v>
      </c>
      <c r="C2502" t="s">
        <v>40</v>
      </c>
      <c r="D2502">
        <v>4.7130419999999997</v>
      </c>
      <c r="E2502">
        <v>0.4959462</v>
      </c>
      <c r="F2502" t="s">
        <v>57</v>
      </c>
      <c r="G2502">
        <v>-181.84700000000001</v>
      </c>
      <c r="H2502" s="1">
        <v>1.4618830000000001E-6</v>
      </c>
      <c r="I2502">
        <v>223.2184</v>
      </c>
      <c r="J2502">
        <v>-406.0172</v>
      </c>
      <c r="K2502">
        <v>1.120039</v>
      </c>
      <c r="L2502">
        <v>212.92769999999999</v>
      </c>
      <c r="M2502">
        <v>0.99966509999999997</v>
      </c>
      <c r="N2502">
        <v>-8.8067930000000003E-3</v>
      </c>
      <c r="O2502">
        <v>2.4332719999999999E-2</v>
      </c>
      <c r="P2502">
        <v>0.97795480000000001</v>
      </c>
      <c r="Q2502">
        <v>0.2074773</v>
      </c>
      <c r="R2502">
        <v>2.361369E-2</v>
      </c>
      <c r="S2502">
        <v>3.0669559999999998</v>
      </c>
      <c r="T2502">
        <v>-1.529431E-2</v>
      </c>
      <c r="U2502">
        <v>0.14065549999999999</v>
      </c>
      <c r="V2502">
        <v>3.5445490000000001E-4</v>
      </c>
      <c r="W2502">
        <v>0.216084</v>
      </c>
      <c r="X2502">
        <v>0.97637470000000004</v>
      </c>
      <c r="Y2502">
        <v>-2.149121E-2</v>
      </c>
      <c r="Z2502">
        <v>2.4122480000000001E-4</v>
      </c>
      <c r="AA2502">
        <v>0.99976900000000002</v>
      </c>
      <c r="AB2502">
        <v>41</v>
      </c>
      <c r="AC2502">
        <v>224.17019999999999</v>
      </c>
      <c r="AD2502">
        <v>-1.120037538117</v>
      </c>
      <c r="AE2502">
        <v>10.290699999999999</v>
      </c>
      <c r="AF2502">
        <v>-4.8326500794035896</v>
      </c>
      <c r="AG2502">
        <v>-1.120037538117</v>
      </c>
      <c r="AH2502">
        <v>224.348643172441</v>
      </c>
      <c r="AI2502">
        <v>90.285974574633897</v>
      </c>
      <c r="AJ2502">
        <v>91.234006299836494</v>
      </c>
      <c r="AK2502">
        <v>224.403481889636</v>
      </c>
      <c r="AL2502">
        <v>77.520868879729804</v>
      </c>
      <c r="AM2502">
        <v>89.979199820616401</v>
      </c>
      <c r="AN2502">
        <v>0.99999998774718302</v>
      </c>
    </row>
    <row r="2503" spans="1:40" x14ac:dyDescent="0.25">
      <c r="A2503" t="str">
        <f>"20190303170814079"</f>
        <v>20190303170814079</v>
      </c>
      <c r="B2503" t="str">
        <f>"1551604094064947"</f>
        <v>1551604094064947</v>
      </c>
      <c r="C2503" t="s">
        <v>40</v>
      </c>
      <c r="D2503">
        <v>4.5955450000000004</v>
      </c>
      <c r="E2503">
        <v>0.49593290000000001</v>
      </c>
      <c r="F2503" t="s">
        <v>53</v>
      </c>
      <c r="G2503">
        <v>-168.35059999999999</v>
      </c>
      <c r="H2503">
        <v>0.10923579999999999</v>
      </c>
      <c r="I2503">
        <v>223.61539999999999</v>
      </c>
      <c r="J2503">
        <v>-405.57659999999998</v>
      </c>
      <c r="K2503">
        <v>1.1199539999999999</v>
      </c>
      <c r="L2503">
        <v>212.93799999999999</v>
      </c>
      <c r="M2503">
        <v>0.99967890000000004</v>
      </c>
      <c r="N2503">
        <v>-8.7241419999999903E-3</v>
      </c>
      <c r="O2503">
        <v>2.3790140000000001E-2</v>
      </c>
      <c r="P2503">
        <v>0.97784110000000002</v>
      </c>
      <c r="Q2503">
        <v>0.20809820000000001</v>
      </c>
      <c r="R2503">
        <v>2.2847389999999999E-2</v>
      </c>
      <c r="S2503">
        <v>3.067078</v>
      </c>
      <c r="T2503">
        <v>-1.304364E-2</v>
      </c>
      <c r="U2503">
        <v>0.1379242</v>
      </c>
      <c r="V2503">
        <v>6.3034379999999995E-4</v>
      </c>
      <c r="W2503">
        <v>0.21662310000000001</v>
      </c>
      <c r="X2503">
        <v>0.97625510000000004</v>
      </c>
      <c r="Y2503">
        <v>-2.1143769999999999E-2</v>
      </c>
      <c r="Z2503">
        <v>2.4360620000000001E-4</v>
      </c>
      <c r="AA2503">
        <v>0.99977640000000001</v>
      </c>
      <c r="AB2503">
        <v>41</v>
      </c>
      <c r="AC2503">
        <v>237.226</v>
      </c>
      <c r="AD2503">
        <v>-1.0107181999999999</v>
      </c>
      <c r="AE2503">
        <v>10.6774</v>
      </c>
      <c r="AF2503">
        <v>-5.03043208588028</v>
      </c>
      <c r="AG2503">
        <v>-1.0107181999999999</v>
      </c>
      <c r="AH2503">
        <v>237.40857956852901</v>
      </c>
      <c r="AI2503">
        <v>90.243868785532399</v>
      </c>
      <c r="AJ2503">
        <v>91.213854214205398</v>
      </c>
      <c r="AK2503">
        <v>237.464019276599</v>
      </c>
      <c r="AL2503">
        <v>77.489231453723903</v>
      </c>
      <c r="AM2503">
        <v>89.963005535783196</v>
      </c>
      <c r="AN2503">
        <v>0.99999999253146299</v>
      </c>
    </row>
    <row r="2504" spans="1:40" x14ac:dyDescent="0.25">
      <c r="A2504" t="str">
        <f>"20190303170814101"</f>
        <v>20190303170814101</v>
      </c>
      <c r="B2504" t="str">
        <f>"1551604094085443"</f>
        <v>1551604094085443</v>
      </c>
      <c r="C2504" t="s">
        <v>40</v>
      </c>
      <c r="D2504">
        <v>4.599469</v>
      </c>
      <c r="E2504">
        <v>0.49592740000000002</v>
      </c>
      <c r="F2504" t="s">
        <v>53</v>
      </c>
      <c r="G2504">
        <v>-168.35059999999999</v>
      </c>
      <c r="H2504">
        <v>0.25982860000000002</v>
      </c>
      <c r="I2504">
        <v>223.4025</v>
      </c>
      <c r="J2504">
        <v>-405.18630000000002</v>
      </c>
      <c r="K2504">
        <v>1.119888</v>
      </c>
      <c r="L2504">
        <v>212.9469</v>
      </c>
      <c r="M2504">
        <v>0.99969220000000003</v>
      </c>
      <c r="N2504">
        <v>-8.6564980000000003E-3</v>
      </c>
      <c r="O2504">
        <v>2.3250610000000001E-2</v>
      </c>
      <c r="P2504">
        <v>0.97764059999999997</v>
      </c>
      <c r="Q2504">
        <v>0.2092108</v>
      </c>
      <c r="R2504">
        <v>2.12052E-2</v>
      </c>
      <c r="S2504">
        <v>3.0672000000000001</v>
      </c>
      <c r="T2504">
        <v>-1.11202E-2</v>
      </c>
      <c r="U2504">
        <v>0.13529969999999999</v>
      </c>
      <c r="V2504">
        <v>1.7742750000000001E-3</v>
      </c>
      <c r="W2504">
        <v>0.2176661</v>
      </c>
      <c r="X2504">
        <v>0.97602160000000004</v>
      </c>
      <c r="Y2504">
        <v>-2.082796E-2</v>
      </c>
      <c r="Z2504">
        <v>2.4491010000000002E-4</v>
      </c>
      <c r="AA2504">
        <v>0.99978299999999998</v>
      </c>
      <c r="AB2504">
        <v>41</v>
      </c>
      <c r="AC2504">
        <v>236.8357</v>
      </c>
      <c r="AD2504">
        <v>-0.86005939999999903</v>
      </c>
      <c r="AE2504">
        <v>10.4556</v>
      </c>
      <c r="AF2504">
        <v>-4.9459274404708404</v>
      </c>
      <c r="AG2504">
        <v>-0.86005939999999903</v>
      </c>
      <c r="AH2504">
        <v>237.01165961291301</v>
      </c>
      <c r="AI2504">
        <v>90.2078667004794</v>
      </c>
      <c r="AJ2504">
        <v>91.195467112980694</v>
      </c>
      <c r="AK2504">
        <v>237.064819601908</v>
      </c>
      <c r="AL2504">
        <v>77.428010294156806</v>
      </c>
      <c r="AM2504">
        <v>89.895844152204603</v>
      </c>
      <c r="AN2504">
        <v>0.99999992140376903</v>
      </c>
    </row>
    <row r="2505" spans="1:40" x14ac:dyDescent="0.25">
      <c r="A2505" t="str">
        <f>"20190303170814143"</f>
        <v>20190303170814143</v>
      </c>
      <c r="B2505" t="str">
        <f>"1551604094135877"</f>
        <v>1551604094135877</v>
      </c>
      <c r="C2505" t="s">
        <v>40</v>
      </c>
      <c r="D2505">
        <v>4.6484240000000003</v>
      </c>
      <c r="E2505">
        <v>0.49591079999999998</v>
      </c>
      <c r="F2505" t="s">
        <v>53</v>
      </c>
      <c r="G2505">
        <v>-168.35059999999999</v>
      </c>
      <c r="H2505">
        <v>0.55048750000000002</v>
      </c>
      <c r="I2505">
        <v>222.9528</v>
      </c>
      <c r="J2505">
        <v>-404.41180000000003</v>
      </c>
      <c r="K2505">
        <v>1.119796</v>
      </c>
      <c r="L2505">
        <v>212.96369999999999</v>
      </c>
      <c r="M2505">
        <v>0.99972030000000001</v>
      </c>
      <c r="N2505">
        <v>-8.5361900000000008E-3</v>
      </c>
      <c r="O2505">
        <v>2.2056559999999999E-2</v>
      </c>
      <c r="P2505">
        <v>0.97716999999999998</v>
      </c>
      <c r="Q2505">
        <v>0.2117076</v>
      </c>
      <c r="R2505">
        <v>1.7859239999999998E-2</v>
      </c>
      <c r="S2505">
        <v>3.0674130000000002</v>
      </c>
      <c r="T2505">
        <v>-7.3739290000000004E-3</v>
      </c>
      <c r="U2505">
        <v>0.12959289999999901</v>
      </c>
      <c r="V2505">
        <v>3.9981640000000002E-3</v>
      </c>
      <c r="W2505">
        <v>0.22003719999999999</v>
      </c>
      <c r="X2505">
        <v>0.97548330000000005</v>
      </c>
      <c r="Y2505">
        <v>-2.016279E-2</v>
      </c>
      <c r="Z2505">
        <v>2.455642E-4</v>
      </c>
      <c r="AA2505">
        <v>0.99979669999999998</v>
      </c>
      <c r="AB2505">
        <v>41</v>
      </c>
      <c r="AC2505">
        <v>236.06120000000001</v>
      </c>
      <c r="AD2505">
        <v>-0.5693085</v>
      </c>
      <c r="AE2505">
        <v>9.9891000000000005</v>
      </c>
      <c r="AF2505">
        <v>-4.7797543352716101</v>
      </c>
      <c r="AG2505">
        <v>-0.5693085</v>
      </c>
      <c r="AH2505">
        <v>236.222729630434</v>
      </c>
      <c r="AI2505">
        <v>90.138057145753393</v>
      </c>
      <c r="AJ2505">
        <v>91.159170354535505</v>
      </c>
      <c r="AK2505">
        <v>236.271767584972</v>
      </c>
      <c r="AL2505">
        <v>77.288782212466003</v>
      </c>
      <c r="AM2505">
        <v>89.765166005138497</v>
      </c>
      <c r="AN2505">
        <v>1.0000000116390499</v>
      </c>
    </row>
    <row r="2506" spans="1:40" x14ac:dyDescent="0.25">
      <c r="A2506" t="str">
        <f>"20190303170814166"</f>
        <v>20190303170814166</v>
      </c>
      <c r="B2506" t="str">
        <f>"1551604094155396"</f>
        <v>1551604094155396</v>
      </c>
      <c r="C2506" t="s">
        <v>40</v>
      </c>
      <c r="D2506">
        <v>4.5894870000000001</v>
      </c>
      <c r="E2506">
        <v>0.49587379999999998</v>
      </c>
      <c r="F2506" t="s">
        <v>53</v>
      </c>
      <c r="G2506">
        <v>-168.35059999999999</v>
      </c>
      <c r="H2506">
        <v>1.175071</v>
      </c>
      <c r="I2506">
        <v>222.2971</v>
      </c>
      <c r="J2506">
        <v>-403.99369999999999</v>
      </c>
      <c r="K2506">
        <v>1.1197469999999901</v>
      </c>
      <c r="L2506">
        <v>212.97239999999999</v>
      </c>
      <c r="M2506">
        <v>0.9997357</v>
      </c>
      <c r="N2506">
        <v>-8.4810200000000006E-3</v>
      </c>
      <c r="O2506">
        <v>2.137184E-2</v>
      </c>
      <c r="P2506">
        <v>0.97736440000000002</v>
      </c>
      <c r="Q2506">
        <v>0.2109231</v>
      </c>
      <c r="R2506">
        <v>1.6447610000000001E-2</v>
      </c>
      <c r="S2506">
        <v>3.0677490000000001</v>
      </c>
      <c r="T2506">
        <v>7.1907039999999996E-4</v>
      </c>
      <c r="U2506">
        <v>0.1212921</v>
      </c>
      <c r="V2506">
        <v>4.7659360000000001E-3</v>
      </c>
      <c r="W2506">
        <v>0.2191989</v>
      </c>
      <c r="X2506">
        <v>0.97566850000000005</v>
      </c>
      <c r="Y2506">
        <v>-1.814284E-2</v>
      </c>
      <c r="Z2506">
        <v>2.6106440000000001E-4</v>
      </c>
      <c r="AA2506">
        <v>0.99983540000000004</v>
      </c>
      <c r="AB2506">
        <v>41</v>
      </c>
      <c r="AC2506">
        <v>235.6431</v>
      </c>
      <c r="AD2506">
        <v>5.5324000000000102E-2</v>
      </c>
      <c r="AE2506">
        <v>9.3247</v>
      </c>
      <c r="AF2506">
        <v>-4.2862624407479002</v>
      </c>
      <c r="AG2506">
        <v>5.5324000000000102E-2</v>
      </c>
      <c r="AH2506">
        <v>235.78855451548</v>
      </c>
      <c r="AI2506">
        <v>89.986558685849403</v>
      </c>
      <c r="AJ2506">
        <v>91.041431811877004</v>
      </c>
      <c r="AK2506">
        <v>235.82751651780401</v>
      </c>
      <c r="AL2506">
        <v>77.338014410754298</v>
      </c>
      <c r="AM2506">
        <v>89.720124359500602</v>
      </c>
      <c r="AN2506">
        <v>0.99999994689970595</v>
      </c>
    </row>
    <row r="2507" spans="1:40" x14ac:dyDescent="0.25">
      <c r="A2507" t="str">
        <f>"20190303170814187"</f>
        <v>20190303170814187</v>
      </c>
      <c r="B2507" t="str">
        <f>"1551604094175892"</f>
        <v>1551604094175892</v>
      </c>
      <c r="C2507" t="s">
        <v>40</v>
      </c>
      <c r="D2507">
        <v>4.7063410000000001</v>
      </c>
      <c r="E2507">
        <v>0.4958166</v>
      </c>
      <c r="F2507" t="s">
        <v>53</v>
      </c>
      <c r="G2507">
        <v>-168.35059999999999</v>
      </c>
      <c r="H2507">
        <v>0.99053570000000002</v>
      </c>
      <c r="I2507">
        <v>222.0582</v>
      </c>
      <c r="J2507">
        <v>-403.60019999999997</v>
      </c>
      <c r="K2507">
        <v>1.119694</v>
      </c>
      <c r="L2507">
        <v>212.9804</v>
      </c>
      <c r="M2507">
        <v>0.99974989999999997</v>
      </c>
      <c r="N2507">
        <v>-8.4361490000000004E-3</v>
      </c>
      <c r="O2507">
        <v>2.0714110000000001E-2</v>
      </c>
      <c r="P2507">
        <v>0.97777820000000004</v>
      </c>
      <c r="Q2507">
        <v>0.20905860000000001</v>
      </c>
      <c r="R2507">
        <v>1.5630169999999999E-2</v>
      </c>
      <c r="S2507">
        <v>3.0678100000000001</v>
      </c>
      <c r="T2507">
        <v>-1.681447E-3</v>
      </c>
      <c r="U2507">
        <v>0.11828610000000001</v>
      </c>
      <c r="V2507">
        <v>4.9639269999999999E-3</v>
      </c>
      <c r="W2507">
        <v>0.2172934</v>
      </c>
      <c r="X2507">
        <v>0.97609369999999995</v>
      </c>
      <c r="Y2507">
        <v>-1.7821429999999999E-2</v>
      </c>
      <c r="Z2507">
        <v>2.434487E-4</v>
      </c>
      <c r="AA2507">
        <v>0.99984119999999999</v>
      </c>
      <c r="AB2507">
        <v>41</v>
      </c>
      <c r="AC2507">
        <v>235.24959999999999</v>
      </c>
      <c r="AD2507">
        <v>-0.129158299999999</v>
      </c>
      <c r="AE2507">
        <v>9.0777999999999892</v>
      </c>
      <c r="AF2507">
        <v>-4.2026916162678196</v>
      </c>
      <c r="AG2507">
        <v>-0.129158299999999</v>
      </c>
      <c r="AH2507">
        <v>235.38709559459801</v>
      </c>
      <c r="AI2507">
        <v>90.031433522222798</v>
      </c>
      <c r="AJ2507">
        <v>91.022872173745398</v>
      </c>
      <c r="AK2507">
        <v>235.424646269562</v>
      </c>
      <c r="AL2507">
        <v>77.449888914643793</v>
      </c>
      <c r="AM2507">
        <v>89.708624679069601</v>
      </c>
      <c r="AN2507">
        <v>0.99999998671725499</v>
      </c>
    </row>
    <row r="2508" spans="1:40" x14ac:dyDescent="0.25">
      <c r="A2508" t="str">
        <f>"20190303170814209"</f>
        <v>20190303170814209</v>
      </c>
      <c r="B2508" t="str">
        <f>"1551604094195412"</f>
        <v>1551604094195412</v>
      </c>
      <c r="C2508" t="s">
        <v>40</v>
      </c>
      <c r="D2508">
        <v>4.767525</v>
      </c>
      <c r="E2508">
        <v>0.4958167</v>
      </c>
      <c r="F2508" t="s">
        <v>53</v>
      </c>
      <c r="G2508">
        <v>-168.35059999999999</v>
      </c>
      <c r="H2508">
        <v>0.52460669999999898</v>
      </c>
      <c r="I2508">
        <v>221.90880000000001</v>
      </c>
      <c r="J2508">
        <v>-403.20179999999999</v>
      </c>
      <c r="K2508">
        <v>1.119656</v>
      </c>
      <c r="L2508">
        <v>212.98820000000001</v>
      </c>
      <c r="M2508">
        <v>0.99976390000000004</v>
      </c>
      <c r="N2508">
        <v>-8.3972709999999996E-3</v>
      </c>
      <c r="O2508">
        <v>2.0041199999999999E-2</v>
      </c>
      <c r="P2508">
        <v>0.97800869999999995</v>
      </c>
      <c r="Q2508">
        <v>0.20808550000000001</v>
      </c>
      <c r="R2508">
        <v>1.4113799999999999E-2</v>
      </c>
      <c r="S2508">
        <v>3.067993</v>
      </c>
      <c r="T2508">
        <v>-7.7600480000000003E-3</v>
      </c>
      <c r="U2508">
        <v>0.1164398</v>
      </c>
      <c r="V2508">
        <v>5.8403819999999999E-3</v>
      </c>
      <c r="W2508">
        <v>0.2162828</v>
      </c>
      <c r="X2508">
        <v>0.97631330000000005</v>
      </c>
      <c r="Y2508">
        <v>-1.7890779999999998E-2</v>
      </c>
      <c r="Z2508">
        <v>2.1535679999999999E-4</v>
      </c>
      <c r="AA2508">
        <v>0.9998399</v>
      </c>
      <c r="AB2508">
        <v>41</v>
      </c>
      <c r="AC2508">
        <v>234.85120000000001</v>
      </c>
      <c r="AD2508">
        <v>-0.5950493</v>
      </c>
      <c r="AE2508">
        <v>8.9206000000000092</v>
      </c>
      <c r="AF2508">
        <v>-4.2119154384038104</v>
      </c>
      <c r="AG2508">
        <v>-0.5950493</v>
      </c>
      <c r="AH2508">
        <v>234.98130745574201</v>
      </c>
      <c r="AI2508">
        <v>90.145067986025396</v>
      </c>
      <c r="AJ2508">
        <v>91.026886525785599</v>
      </c>
      <c r="AK2508">
        <v>235.01980590779999</v>
      </c>
      <c r="AL2508">
        <v>77.509202882115403</v>
      </c>
      <c r="AM2508">
        <v>89.657256284604003</v>
      </c>
      <c r="AN2508">
        <v>1.0000000096973101</v>
      </c>
    </row>
    <row r="2509" spans="1:40" x14ac:dyDescent="0.25">
      <c r="A2509" t="str">
        <f>"20190303170814233"</f>
        <v>20190303170814233</v>
      </c>
      <c r="B2509" t="str">
        <f>"1551604094225395"</f>
        <v>1551604094225395</v>
      </c>
      <c r="C2509" t="s">
        <v>40</v>
      </c>
      <c r="D2509">
        <v>4.5009139999999999</v>
      </c>
      <c r="E2509">
        <v>0.52572479999999999</v>
      </c>
      <c r="F2509" t="s">
        <v>53</v>
      </c>
      <c r="G2509">
        <v>-157.25</v>
      </c>
      <c r="H2509">
        <v>0.25314900000000001</v>
      </c>
      <c r="I2509">
        <v>221.98099999999999</v>
      </c>
      <c r="J2509">
        <v>-402.77190000000002</v>
      </c>
      <c r="K2509">
        <v>1.1196280000000001</v>
      </c>
      <c r="L2509">
        <v>212.99619999999999</v>
      </c>
      <c r="M2509">
        <v>0.99977870000000002</v>
      </c>
      <c r="N2509">
        <v>-8.3627709999999997E-3</v>
      </c>
      <c r="O2509">
        <v>1.9311140000000001E-2</v>
      </c>
      <c r="P2509">
        <v>0.97804329999999995</v>
      </c>
      <c r="Q2509">
        <v>0.20802480000000001</v>
      </c>
      <c r="R2509">
        <v>1.254655E-2</v>
      </c>
      <c r="S2509">
        <v>3.068146</v>
      </c>
      <c r="T2509">
        <v>-1.080859E-2</v>
      </c>
      <c r="U2509">
        <v>0.11218259999999999</v>
      </c>
      <c r="V2509">
        <v>6.7077760000000004E-3</v>
      </c>
      <c r="W2509">
        <v>0.2161864</v>
      </c>
      <c r="X2509">
        <v>0.97632909999999995</v>
      </c>
      <c r="Y2509">
        <v>-1.7233370000000001E-2</v>
      </c>
      <c r="Z2509">
        <v>1.9589839999999999E-4</v>
      </c>
      <c r="AA2509">
        <v>0.9998515</v>
      </c>
      <c r="AB2509">
        <v>41</v>
      </c>
      <c r="AC2509">
        <v>245.52189999999999</v>
      </c>
      <c r="AD2509">
        <v>-0.866479</v>
      </c>
      <c r="AE2509">
        <v>8.9847999999999999</v>
      </c>
      <c r="AF2509">
        <v>-4.2415987998948603</v>
      </c>
      <c r="AG2509">
        <v>-0.866479</v>
      </c>
      <c r="AH2509">
        <v>245.646569905973</v>
      </c>
      <c r="AI2509">
        <v>90.202070741872305</v>
      </c>
      <c r="AJ2509">
        <v>90.989232461764999</v>
      </c>
      <c r="AK2509">
        <v>245.68471513874599</v>
      </c>
      <c r="AL2509">
        <v>77.514860326592199</v>
      </c>
      <c r="AM2509">
        <v>89.606361002835598</v>
      </c>
      <c r="AN2509">
        <v>1.00000003265531</v>
      </c>
    </row>
    <row r="2510" spans="1:40" x14ac:dyDescent="0.25">
      <c r="A2510" t="str">
        <f>"20190303170814256"</f>
        <v>20190303170814256</v>
      </c>
      <c r="B2510" t="str">
        <f>"1551604094245891"</f>
        <v>1551604094245891</v>
      </c>
      <c r="C2510" t="s">
        <v>40</v>
      </c>
      <c r="D2510">
        <v>4.505649</v>
      </c>
      <c r="E2510">
        <v>0.52699689999999999</v>
      </c>
      <c r="F2510" t="s">
        <v>71</v>
      </c>
      <c r="G2510">
        <v>-294.57810000000001</v>
      </c>
      <c r="H2510" s="1">
        <v>2.0312320000000002E-6</v>
      </c>
      <c r="I2510">
        <v>208.39580000000001</v>
      </c>
      <c r="J2510">
        <v>-402.33030000000002</v>
      </c>
      <c r="K2510">
        <v>1.119605</v>
      </c>
      <c r="L2510">
        <v>213.0042</v>
      </c>
      <c r="M2510">
        <v>0.99979309999999999</v>
      </c>
      <c r="N2510">
        <v>-8.3340569999999902E-3</v>
      </c>
      <c r="O2510">
        <v>1.856058E-2</v>
      </c>
      <c r="P2510">
        <v>0.97778330000000002</v>
      </c>
      <c r="Q2510">
        <v>0.2092907</v>
      </c>
      <c r="R2510">
        <v>1.1712820000000001E-2</v>
      </c>
      <c r="S2510">
        <v>3.075806</v>
      </c>
      <c r="T2510">
        <v>-3.182948E-2</v>
      </c>
      <c r="U2510">
        <v>-0.13078310000000001</v>
      </c>
      <c r="V2510">
        <v>6.8170280000000001E-3</v>
      </c>
      <c r="W2510">
        <v>0.21742130000000001</v>
      </c>
      <c r="X2510">
        <v>0.97605399999999998</v>
      </c>
      <c r="Y2510">
        <v>6.1012789999999997E-2</v>
      </c>
      <c r="Z2510">
        <v>-6.0729459999999996E-4</v>
      </c>
      <c r="AA2510">
        <v>0.99813680000000005</v>
      </c>
      <c r="AB2510">
        <v>41</v>
      </c>
      <c r="AC2510">
        <v>107.7522</v>
      </c>
      <c r="AD2510">
        <v>-1.119602968768</v>
      </c>
      <c r="AE2510">
        <v>-4.6083999999999801</v>
      </c>
      <c r="AF2510">
        <v>6.6069066824222302</v>
      </c>
      <c r="AG2510">
        <v>-1.119602968768</v>
      </c>
      <c r="AH2510">
        <v>107.63649995737499</v>
      </c>
      <c r="AI2510">
        <v>90.594832779510398</v>
      </c>
      <c r="AJ2510">
        <v>86.487497073008996</v>
      </c>
      <c r="AK2510">
        <v>107.84489255311</v>
      </c>
      <c r="AL2510">
        <v>77.442380852826602</v>
      </c>
      <c r="AM2510">
        <v>89.599837117152205</v>
      </c>
      <c r="AN2510">
        <v>0.99999995224021998</v>
      </c>
    </row>
    <row r="2511" spans="1:40" x14ac:dyDescent="0.25">
      <c r="A2511" t="str">
        <f>"20190303170814280"</f>
        <v>20190303170814280</v>
      </c>
      <c r="B2511" t="str">
        <f>"1551604094265411"</f>
        <v>1551604094265411</v>
      </c>
      <c r="C2511" t="s">
        <v>40</v>
      </c>
      <c r="D2511">
        <v>4.5643979999999997</v>
      </c>
      <c r="E2511">
        <v>0.52792269999999997</v>
      </c>
      <c r="F2511" t="s">
        <v>63</v>
      </c>
      <c r="G2511">
        <v>-258.82</v>
      </c>
      <c r="H2511">
        <v>8.0000710000000003E-2</v>
      </c>
      <c r="I2511">
        <v>206.26179999999999</v>
      </c>
      <c r="J2511">
        <v>-401.89589999999998</v>
      </c>
      <c r="K2511">
        <v>1.119583</v>
      </c>
      <c r="L2511">
        <v>213.01169999999999</v>
      </c>
      <c r="M2511">
        <v>0.99980659999999999</v>
      </c>
      <c r="N2511">
        <v>-8.3115930000000008E-3</v>
      </c>
      <c r="O2511">
        <v>1.782214E-2</v>
      </c>
      <c r="P2511">
        <v>0.97782619999999998</v>
      </c>
      <c r="Q2511">
        <v>0.20913319999999999</v>
      </c>
      <c r="R2511">
        <v>1.0923769999999999E-2</v>
      </c>
      <c r="S2511">
        <v>3.0746769999999999</v>
      </c>
      <c r="T2511">
        <v>-2.2273299999999999E-2</v>
      </c>
      <c r="U2511">
        <v>-0.144455</v>
      </c>
      <c r="V2511">
        <v>6.8946909999999997E-3</v>
      </c>
      <c r="W2511">
        <v>0.2172412</v>
      </c>
      <c r="X2511">
        <v>0.97609360000000001</v>
      </c>
      <c r="Y2511">
        <v>6.4722420000000003E-2</v>
      </c>
      <c r="Z2511">
        <v>-4.8442869999999999E-4</v>
      </c>
      <c r="AA2511">
        <v>0.99790319999999999</v>
      </c>
      <c r="AB2511">
        <v>41</v>
      </c>
      <c r="AC2511">
        <v>143.07589999999999</v>
      </c>
      <c r="AD2511">
        <v>-1.03958229</v>
      </c>
      <c r="AE2511">
        <v>-6.7498999999999896</v>
      </c>
      <c r="AF2511">
        <v>9.2983449208790301</v>
      </c>
      <c r="AG2511">
        <v>-1.03958229</v>
      </c>
      <c r="AH2511">
        <v>142.925343451234</v>
      </c>
      <c r="AI2511">
        <v>90.415860342097403</v>
      </c>
      <c r="AJ2511">
        <v>86.277733620040394</v>
      </c>
      <c r="AK2511">
        <v>143.23125968257901</v>
      </c>
      <c r="AL2511">
        <v>77.452953064020903</v>
      </c>
      <c r="AM2511">
        <v>89.595294830760693</v>
      </c>
      <c r="AN2511">
        <v>0.99999999585119204</v>
      </c>
    </row>
    <row r="2512" spans="1:40" x14ac:dyDescent="0.25">
      <c r="A2512" t="str">
        <f>"20190303170814303"</f>
        <v>20190303170814303</v>
      </c>
      <c r="B2512" t="str">
        <f>"1551604094295667"</f>
        <v>1551604094295667</v>
      </c>
      <c r="C2512" t="s">
        <v>40</v>
      </c>
      <c r="D2512">
        <v>4.6596549999999999</v>
      </c>
      <c r="E2512">
        <v>0.52883630000000004</v>
      </c>
      <c r="F2512" t="s">
        <v>63</v>
      </c>
      <c r="G2512">
        <v>-257.32409999999999</v>
      </c>
      <c r="H2512">
        <v>8.0001169999999996E-2</v>
      </c>
      <c r="I2512">
        <v>205.75909999999999</v>
      </c>
      <c r="J2512">
        <v>-401.44619999999998</v>
      </c>
      <c r="K2512">
        <v>1.1195619999999999</v>
      </c>
      <c r="L2512">
        <v>213.01910000000001</v>
      </c>
      <c r="M2512">
        <v>0.99982020000000005</v>
      </c>
      <c r="N2512">
        <v>-8.2956379999999993E-3</v>
      </c>
      <c r="O2512">
        <v>1.7056999999999999E-2</v>
      </c>
      <c r="P2512">
        <v>0.97806079999999995</v>
      </c>
      <c r="Q2512">
        <v>0.20801910000000001</v>
      </c>
      <c r="R2512">
        <v>1.120547E-2</v>
      </c>
      <c r="S2512">
        <v>3.0744929999999999</v>
      </c>
      <c r="T2512">
        <v>-2.2107959999999999E-2</v>
      </c>
      <c r="U2512">
        <v>-0.15423580000000001</v>
      </c>
      <c r="V2512">
        <v>5.8757970000000003E-3</v>
      </c>
      <c r="W2512">
        <v>0.21611559999999999</v>
      </c>
      <c r="X2512">
        <v>0.9763501</v>
      </c>
      <c r="Y2512">
        <v>6.7128400000000005E-2</v>
      </c>
      <c r="Z2512">
        <v>-5.0100169999999996E-4</v>
      </c>
      <c r="AA2512">
        <v>0.99774419999999997</v>
      </c>
      <c r="AB2512">
        <v>41</v>
      </c>
      <c r="AC2512">
        <v>144.12209999999999</v>
      </c>
      <c r="AD2512">
        <v>-1.0395608300000001</v>
      </c>
      <c r="AE2512">
        <v>-7.2600000000000096</v>
      </c>
      <c r="AF2512">
        <v>9.7168144812405899</v>
      </c>
      <c r="AG2512">
        <v>-1.0395608300000001</v>
      </c>
      <c r="AH2512">
        <v>143.969821905663</v>
      </c>
      <c r="AI2512">
        <v>90.412768608730801</v>
      </c>
      <c r="AJ2512">
        <v>86.138847585876803</v>
      </c>
      <c r="AK2512">
        <v>144.30109767403201</v>
      </c>
      <c r="AL2512">
        <v>77.519014642593007</v>
      </c>
      <c r="AM2512">
        <v>89.655190996427507</v>
      </c>
      <c r="AN2512">
        <v>0.99999999766187697</v>
      </c>
    </row>
    <row r="2513" spans="1:40" x14ac:dyDescent="0.25">
      <c r="A2513" t="str">
        <f>"20190303170814322"</f>
        <v>20190303170814322</v>
      </c>
      <c r="B2513" t="str">
        <f>"1551604094315188"</f>
        <v>1551604094315188</v>
      </c>
      <c r="C2513" t="s">
        <v>40</v>
      </c>
      <c r="D2513">
        <v>4.5184100000000003</v>
      </c>
      <c r="E2513">
        <v>0.52869469999999996</v>
      </c>
      <c r="F2513" t="s">
        <v>63</v>
      </c>
      <c r="G2513">
        <v>-259.8501</v>
      </c>
      <c r="H2513">
        <v>8.0000429999999997E-2</v>
      </c>
      <c r="I2513">
        <v>205.63399999999999</v>
      </c>
      <c r="J2513">
        <v>-401.10359999999997</v>
      </c>
      <c r="K2513">
        <v>1.1195459999999999</v>
      </c>
      <c r="L2513">
        <v>213.02459999999999</v>
      </c>
      <c r="M2513">
        <v>0.99983</v>
      </c>
      <c r="N2513">
        <v>-8.2915980000000007E-3</v>
      </c>
      <c r="O2513">
        <v>1.6474619999999999E-2</v>
      </c>
      <c r="P2513">
        <v>0.9781282</v>
      </c>
      <c r="Q2513">
        <v>0.2076829</v>
      </c>
      <c r="R2513">
        <v>1.1538390000000001E-2</v>
      </c>
      <c r="S2513">
        <v>3.0739139999999998</v>
      </c>
      <c r="T2513">
        <v>-2.256787E-2</v>
      </c>
      <c r="U2513">
        <v>-0.1603241</v>
      </c>
      <c r="V2513">
        <v>4.9796069999999996E-3</v>
      </c>
      <c r="W2513">
        <v>0.21577760000000001</v>
      </c>
      <c r="X2513">
        <v>0.97642980000000001</v>
      </c>
      <c r="Y2513">
        <v>6.8527370000000004E-2</v>
      </c>
      <c r="Z2513">
        <v>-5.2006429999999998E-4</v>
      </c>
      <c r="AA2513">
        <v>0.99764909999999996</v>
      </c>
      <c r="AB2513">
        <v>41</v>
      </c>
      <c r="AC2513">
        <v>141.25349999999901</v>
      </c>
      <c r="AD2513">
        <v>-1.03954557</v>
      </c>
      <c r="AE2513">
        <v>-7.3905999999999699</v>
      </c>
      <c r="AF2513">
        <v>9.7162496136888006</v>
      </c>
      <c r="AG2513">
        <v>-1.03954557</v>
      </c>
      <c r="AH2513">
        <v>141.10494530372401</v>
      </c>
      <c r="AI2513">
        <v>90.421103592268295</v>
      </c>
      <c r="AJ2513">
        <v>86.06092663599</v>
      </c>
      <c r="AK2513">
        <v>141.44289218873701</v>
      </c>
      <c r="AL2513">
        <v>77.538848140008398</v>
      </c>
      <c r="AM2513">
        <v>89.707804912022894</v>
      </c>
      <c r="AN2513">
        <v>0.99999996173783601</v>
      </c>
    </row>
    <row r="2514" spans="1:40" x14ac:dyDescent="0.25">
      <c r="A2514" t="str">
        <f>"20190303170814344"</f>
        <v>20190303170814344</v>
      </c>
      <c r="B2514" t="str">
        <f>"1551604094335684"</f>
        <v>1551604094335684</v>
      </c>
      <c r="C2514" t="s">
        <v>40</v>
      </c>
      <c r="D2514">
        <v>4.6228889999999998</v>
      </c>
      <c r="E2514">
        <v>0.52920719999999899</v>
      </c>
      <c r="F2514" t="s">
        <v>63</v>
      </c>
      <c r="G2514">
        <v>-250.6985</v>
      </c>
      <c r="H2514">
        <v>8.0001669999999997E-2</v>
      </c>
      <c r="I2514">
        <v>205.27359999999999</v>
      </c>
      <c r="J2514">
        <v>-400.68189999999998</v>
      </c>
      <c r="K2514">
        <v>1.1195329999999999</v>
      </c>
      <c r="L2514">
        <v>213.03100000000001</v>
      </c>
      <c r="M2514">
        <v>0.99984130000000004</v>
      </c>
      <c r="N2514">
        <v>-8.2976019999999994E-3</v>
      </c>
      <c r="O2514">
        <v>1.5758250000000001E-2</v>
      </c>
      <c r="P2514">
        <v>0.97803549999999995</v>
      </c>
      <c r="Q2514">
        <v>0.20809739999999999</v>
      </c>
      <c r="R2514">
        <v>1.191394E-2</v>
      </c>
      <c r="S2514">
        <v>3.0734249999999999</v>
      </c>
      <c r="T2514">
        <v>-2.1242380000000002E-2</v>
      </c>
      <c r="U2514">
        <v>-0.1583862</v>
      </c>
      <c r="V2514">
        <v>3.9084819999999996E-3</v>
      </c>
      <c r="W2514">
        <v>0.21619940000000001</v>
      </c>
      <c r="X2514">
        <v>0.97634140000000003</v>
      </c>
      <c r="Y2514">
        <v>6.7193799999999998E-2</v>
      </c>
      <c r="Z2514">
        <v>-4.8921019999999997E-4</v>
      </c>
      <c r="AA2514">
        <v>0.99773990000000001</v>
      </c>
      <c r="AB2514">
        <v>42</v>
      </c>
      <c r="AC2514">
        <v>149.98339999999999</v>
      </c>
      <c r="AD2514">
        <v>-1.03953133</v>
      </c>
      <c r="AE2514">
        <v>-7.7573999999999899</v>
      </c>
      <c r="AF2514">
        <v>10.1195093961712</v>
      </c>
      <c r="AG2514">
        <v>-1.03953133</v>
      </c>
      <c r="AH2514">
        <v>149.835349515519</v>
      </c>
      <c r="AI2514">
        <v>90.396598226946296</v>
      </c>
      <c r="AJ2514">
        <v>86.136252044427295</v>
      </c>
      <c r="AK2514">
        <v>150.18028186231001</v>
      </c>
      <c r="AL2514">
        <v>77.514096937523604</v>
      </c>
      <c r="AM2514">
        <v>89.770635223843399</v>
      </c>
      <c r="AN2514">
        <v>0.99999999307293197</v>
      </c>
    </row>
    <row r="2515" spans="1:40" x14ac:dyDescent="0.25">
      <c r="A2515" t="str">
        <f>"20190303170814367"</f>
        <v>20190303170814367</v>
      </c>
      <c r="B2515" t="str">
        <f>"1551604094355204"</f>
        <v>1551604094355204</v>
      </c>
      <c r="C2515" t="s">
        <v>40</v>
      </c>
      <c r="D2515">
        <v>4.5448029999999999</v>
      </c>
      <c r="E2515">
        <v>0.52886330000000004</v>
      </c>
      <c r="F2515" t="s">
        <v>46</v>
      </c>
      <c r="G2515">
        <v>-219.07769999999999</v>
      </c>
      <c r="H2515">
        <v>-0.05</v>
      </c>
      <c r="I2515">
        <v>203.4941</v>
      </c>
      <c r="J2515">
        <v>-400.26139999999998</v>
      </c>
      <c r="K2515">
        <v>1.1195329999999999</v>
      </c>
      <c r="L2515">
        <v>213.03710000000001</v>
      </c>
      <c r="M2515">
        <v>0.99985219999999997</v>
      </c>
      <c r="N2515">
        <v>-8.3190709999999904E-3</v>
      </c>
      <c r="O2515">
        <v>1.5045950000000001E-2</v>
      </c>
      <c r="P2515">
        <v>0.97780100000000003</v>
      </c>
      <c r="Q2515">
        <v>0.2092117</v>
      </c>
      <c r="R2515">
        <v>1.166524E-2</v>
      </c>
      <c r="S2515">
        <v>3.0735779999999999</v>
      </c>
      <c r="T2515">
        <v>-1.9793870000000002E-2</v>
      </c>
      <c r="U2515">
        <v>-0.16140750000000001</v>
      </c>
      <c r="V2515">
        <v>3.463214E-3</v>
      </c>
      <c r="W2515">
        <v>0.21733340000000001</v>
      </c>
      <c r="X2515">
        <v>0.9760913</v>
      </c>
      <c r="Y2515">
        <v>6.7458870000000004E-2</v>
      </c>
      <c r="Z2515">
        <v>-4.6962749999999998E-4</v>
      </c>
      <c r="AA2515">
        <v>0.997722</v>
      </c>
      <c r="AB2515">
        <v>42</v>
      </c>
      <c r="AC2515">
        <v>181.18369999999999</v>
      </c>
      <c r="AD2515">
        <v>-1.1695329999999999</v>
      </c>
      <c r="AE2515">
        <v>-9.5429999999999993</v>
      </c>
      <c r="AF2515">
        <v>12.267585171081601</v>
      </c>
      <c r="AG2515">
        <v>-1.1695329999999999</v>
      </c>
      <c r="AH2515">
        <v>181.01207944327001</v>
      </c>
      <c r="AI2515">
        <v>90.369340090229898</v>
      </c>
      <c r="AJ2515">
        <v>86.122868229189805</v>
      </c>
      <c r="AK2515">
        <v>181.43107329711901</v>
      </c>
      <c r="AL2515">
        <v>77.447541310778703</v>
      </c>
      <c r="AM2515">
        <v>89.7967129579839</v>
      </c>
      <c r="AN2515">
        <v>1.0000000132712299</v>
      </c>
    </row>
    <row r="2516" spans="1:40" x14ac:dyDescent="0.25">
      <c r="A2516" t="str">
        <f>"20190303170814391"</f>
        <v>20190303170814391</v>
      </c>
      <c r="B2516" t="str">
        <f>"1551604094385460"</f>
        <v>1551604094385460</v>
      </c>
      <c r="C2516" t="s">
        <v>40</v>
      </c>
      <c r="D2516">
        <v>4.5197180000000001</v>
      </c>
      <c r="E2516">
        <v>0.528775</v>
      </c>
      <c r="F2516" t="s">
        <v>54</v>
      </c>
      <c r="G2516">
        <v>-168.41229999999999</v>
      </c>
      <c r="H2516">
        <v>5.8206559999999997E-2</v>
      </c>
      <c r="I2516">
        <v>200.9365</v>
      </c>
      <c r="J2516">
        <v>-399.8313</v>
      </c>
      <c r="K2516">
        <v>1.11955</v>
      </c>
      <c r="L2516">
        <v>213.04310000000001</v>
      </c>
      <c r="M2516">
        <v>0.99986240000000004</v>
      </c>
      <c r="N2516">
        <v>-8.3577740000000001E-3</v>
      </c>
      <c r="O2516">
        <v>1.433575E-2</v>
      </c>
      <c r="P2516">
        <v>0.97757539999999998</v>
      </c>
      <c r="Q2516">
        <v>0.21029429999999999</v>
      </c>
      <c r="R2516">
        <v>1.1083330000000001E-2</v>
      </c>
      <c r="S2516">
        <v>3.0729980000000001</v>
      </c>
      <c r="T2516">
        <v>-1.40667E-2</v>
      </c>
      <c r="U2516">
        <v>-0.1603851</v>
      </c>
      <c r="V2516">
        <v>3.3492869999999998E-3</v>
      </c>
      <c r="W2516">
        <v>0.2184517</v>
      </c>
      <c r="X2516">
        <v>0.97584199999999999</v>
      </c>
      <c r="Y2516">
        <v>6.6430169999999997E-2</v>
      </c>
      <c r="Z2516">
        <v>-3.755939E-4</v>
      </c>
      <c r="AA2516">
        <v>0.99779099999999998</v>
      </c>
      <c r="AB2516">
        <v>42</v>
      </c>
      <c r="AC2516">
        <v>231.41900000000001</v>
      </c>
      <c r="AD2516">
        <v>-1.0613434399999999</v>
      </c>
      <c r="AE2516">
        <v>-12.1066</v>
      </c>
      <c r="AF2516">
        <v>15.422712801425</v>
      </c>
      <c r="AG2516">
        <v>-1.0613434399999999</v>
      </c>
      <c r="AH2516">
        <v>231.216803942735</v>
      </c>
      <c r="AI2516">
        <v>90.262417111915497</v>
      </c>
      <c r="AJ2516">
        <v>86.183887586285607</v>
      </c>
      <c r="AK2516">
        <v>231.733029466121</v>
      </c>
      <c r="AL2516">
        <v>77.381889668039307</v>
      </c>
      <c r="AM2516">
        <v>89.803350075160395</v>
      </c>
      <c r="AN2516">
        <v>0.99999998596014905</v>
      </c>
    </row>
    <row r="2517" spans="1:40" x14ac:dyDescent="0.25">
      <c r="A2517" t="str">
        <f>"20190303170814411"</f>
        <v>20190303170814411</v>
      </c>
      <c r="B2517" t="str">
        <f>"1551604094404980"</f>
        <v>1551604094404980</v>
      </c>
      <c r="C2517" t="s">
        <v>40</v>
      </c>
      <c r="D2517">
        <v>4.6790430000000001</v>
      </c>
      <c r="E2517">
        <v>0.5290608</v>
      </c>
      <c r="F2517" t="s">
        <v>54</v>
      </c>
      <c r="G2517">
        <v>-168.41239999999999</v>
      </c>
      <c r="H2517">
        <v>0.34295750000000003</v>
      </c>
      <c r="I2517">
        <v>200.92750000000001</v>
      </c>
      <c r="J2517">
        <v>-399.42790000000002</v>
      </c>
      <c r="K2517">
        <v>1.11957</v>
      </c>
      <c r="L2517">
        <v>213.04839999999999</v>
      </c>
      <c r="M2517">
        <v>0.9998707</v>
      </c>
      <c r="N2517">
        <v>-8.4094700000000005E-3</v>
      </c>
      <c r="O2517">
        <v>1.3710450000000001E-2</v>
      </c>
      <c r="P2517">
        <v>0.97753310000000004</v>
      </c>
      <c r="Q2517">
        <v>0.2105234</v>
      </c>
      <c r="R2517">
        <v>1.043206E-2</v>
      </c>
      <c r="S2517">
        <v>3.072845</v>
      </c>
      <c r="T2517">
        <v>-1.031137E-2</v>
      </c>
      <c r="U2517">
        <v>-0.1608734</v>
      </c>
      <c r="V2517">
        <v>3.3804249999999998E-3</v>
      </c>
      <c r="W2517">
        <v>0.21873129999999999</v>
      </c>
      <c r="X2517">
        <v>0.97577930000000002</v>
      </c>
      <c r="Y2517">
        <v>6.5967440000000002E-2</v>
      </c>
      <c r="Z2517">
        <v>-3.1894369999999999E-4</v>
      </c>
      <c r="AA2517">
        <v>0.99782170000000003</v>
      </c>
      <c r="AB2517">
        <v>42</v>
      </c>
      <c r="AC2517">
        <v>231.0155</v>
      </c>
      <c r="AD2517">
        <v>-0.77661250000000004</v>
      </c>
      <c r="AE2517">
        <v>-12.120899999999899</v>
      </c>
      <c r="AF2517">
        <v>15.287026641320701</v>
      </c>
      <c r="AG2517">
        <v>-0.77661250000000004</v>
      </c>
      <c r="AH2517">
        <v>230.824994400452</v>
      </c>
      <c r="AI2517">
        <v>90.192350000916093</v>
      </c>
      <c r="AJ2517">
        <v>86.210961055740199</v>
      </c>
      <c r="AK2517">
        <v>231.33195704544701</v>
      </c>
      <c r="AL2517">
        <v>77.365473257484794</v>
      </c>
      <c r="AM2517">
        <v>89.801509100852996</v>
      </c>
      <c r="AN2517">
        <v>1.00000002559068</v>
      </c>
    </row>
    <row r="2518" spans="1:40" x14ac:dyDescent="0.25">
      <c r="A2518" t="str">
        <f>"20190303170814434"</f>
        <v>20190303170814434</v>
      </c>
      <c r="B2518" t="str">
        <f>"1551604094425910"</f>
        <v>1551604094425910</v>
      </c>
      <c r="C2518" t="s">
        <v>40</v>
      </c>
      <c r="D2518">
        <v>4.5573169999999896</v>
      </c>
      <c r="E2518">
        <v>0.52905119999999894</v>
      </c>
      <c r="F2518" t="s">
        <v>54</v>
      </c>
      <c r="G2518">
        <v>-168.4126</v>
      </c>
      <c r="H2518">
        <v>0.38878819999999997</v>
      </c>
      <c r="I2518">
        <v>200.65199999999999</v>
      </c>
      <c r="J2518">
        <v>-398.99430000000001</v>
      </c>
      <c r="K2518">
        <v>1.1196079999999999</v>
      </c>
      <c r="L2518">
        <v>213.0538</v>
      </c>
      <c r="M2518">
        <v>0.9998785</v>
      </c>
      <c r="N2518">
        <v>-8.4755159999999902E-3</v>
      </c>
      <c r="O2518">
        <v>1.3085889999999999E-2</v>
      </c>
      <c r="P2518">
        <v>0.97757799999999995</v>
      </c>
      <c r="Q2518">
        <v>0.21034310000000001</v>
      </c>
      <c r="R2518">
        <v>9.8462459999999995E-3</v>
      </c>
      <c r="S2518">
        <v>3.072784</v>
      </c>
      <c r="T2518">
        <v>-9.7198489999999992E-3</v>
      </c>
      <c r="U2518">
        <v>-0.16488649999999999</v>
      </c>
      <c r="V2518">
        <v>3.3399839999999998E-3</v>
      </c>
      <c r="W2518">
        <v>0.2186159</v>
      </c>
      <c r="X2518">
        <v>0.97580529999999999</v>
      </c>
      <c r="Y2518">
        <v>6.6644770000000006E-2</v>
      </c>
      <c r="Z2518">
        <v>-3.1850569999999998E-4</v>
      </c>
      <c r="AA2518">
        <v>0.99777669999999996</v>
      </c>
      <c r="AB2518">
        <v>42</v>
      </c>
      <c r="AC2518">
        <v>230.58170000000001</v>
      </c>
      <c r="AD2518">
        <v>-0.73081979999999902</v>
      </c>
      <c r="AE2518">
        <v>-12.4017999999999</v>
      </c>
      <c r="AF2518">
        <v>15.4180586059926</v>
      </c>
      <c r="AG2518">
        <v>-0.73081979999999902</v>
      </c>
      <c r="AH2518">
        <v>230.397353083409</v>
      </c>
      <c r="AI2518">
        <v>90.181335879122997</v>
      </c>
      <c r="AJ2518">
        <v>86.171507448222897</v>
      </c>
      <c r="AK2518">
        <v>230.91381711928599</v>
      </c>
      <c r="AL2518">
        <v>77.372249177874906</v>
      </c>
      <c r="AM2518">
        <v>89.803888911523899</v>
      </c>
      <c r="AN2518">
        <v>1.0000000253670001</v>
      </c>
    </row>
    <row r="2519" spans="1:40" x14ac:dyDescent="0.25">
      <c r="A2519" t="str">
        <f>"20190303170814482"</f>
        <v>20190303170814482</v>
      </c>
      <c r="B2519" t="str">
        <f>"1551604094464950"</f>
        <v>1551604094464950</v>
      </c>
      <c r="C2519" t="s">
        <v>40</v>
      </c>
      <c r="D2519">
        <v>4.7484489999999999</v>
      </c>
      <c r="E2519">
        <v>0.5288138</v>
      </c>
      <c r="F2519" t="s">
        <v>54</v>
      </c>
      <c r="G2519">
        <v>-168.4126</v>
      </c>
      <c r="H2519">
        <v>0.33314510000000003</v>
      </c>
      <c r="I2519">
        <v>200.565</v>
      </c>
      <c r="J2519">
        <v>-398.11739999999998</v>
      </c>
      <c r="K2519">
        <v>1.119729</v>
      </c>
      <c r="L2519">
        <v>213.0643</v>
      </c>
      <c r="M2519">
        <v>0.99988999999999995</v>
      </c>
      <c r="N2519">
        <v>-8.6412920000000001E-3</v>
      </c>
      <c r="O2519">
        <v>1.2053650000000001E-2</v>
      </c>
      <c r="P2519">
        <v>0.97812909999999997</v>
      </c>
      <c r="Q2519">
        <v>0.2078313</v>
      </c>
      <c r="R2519">
        <v>8.3481370000000003E-3</v>
      </c>
      <c r="S2519">
        <v>3.0727540000000002</v>
      </c>
      <c r="T2519">
        <v>-1.0480049999999999E-2</v>
      </c>
      <c r="U2519">
        <v>-0.16642760000000001</v>
      </c>
      <c r="V2519">
        <v>3.7729450000000002E-3</v>
      </c>
      <c r="W2519">
        <v>0.21627070000000001</v>
      </c>
      <c r="X2519">
        <v>0.97632620000000003</v>
      </c>
      <c r="Y2519">
        <v>6.6114099999999995E-2</v>
      </c>
      <c r="Z2519">
        <v>-3.3554020000000002E-4</v>
      </c>
      <c r="AA2519">
        <v>0.99781200000000003</v>
      </c>
      <c r="AB2519">
        <v>42</v>
      </c>
      <c r="AC2519">
        <v>229.70480000000001</v>
      </c>
      <c r="AD2519">
        <v>-0.7865839</v>
      </c>
      <c r="AE2519">
        <v>-12.4993</v>
      </c>
      <c r="AF2519">
        <v>15.267098069754001</v>
      </c>
      <c r="AG2519">
        <v>-0.7865839</v>
      </c>
      <c r="AH2519">
        <v>229.534759793142</v>
      </c>
      <c r="AI2519">
        <v>90.195911074887704</v>
      </c>
      <c r="AJ2519">
        <v>86.194677678799906</v>
      </c>
      <c r="AK2519">
        <v>230.04327625687901</v>
      </c>
      <c r="AL2519">
        <v>77.509913476232498</v>
      </c>
      <c r="AM2519">
        <v>89.778585529360996</v>
      </c>
      <c r="AN2519">
        <v>1.0000000497994499</v>
      </c>
    </row>
    <row r="2520" spans="1:40" x14ac:dyDescent="0.25">
      <c r="A2520" t="str">
        <f>"20190303170814502"</f>
        <v>20190303170814502</v>
      </c>
      <c r="B2520" t="str">
        <f>"1551604094495205"</f>
        <v>1551604094495205</v>
      </c>
      <c r="C2520" t="s">
        <v>40</v>
      </c>
      <c r="D2520">
        <v>4.4943980000000003</v>
      </c>
      <c r="E2520">
        <v>0.5288754</v>
      </c>
      <c r="F2520" t="s">
        <v>57</v>
      </c>
      <c r="G2520">
        <v>-197.92580000000001</v>
      </c>
      <c r="H2520" s="1">
        <v>5.067078E-6</v>
      </c>
      <c r="I2520">
        <v>202.13480000000001</v>
      </c>
      <c r="J2520">
        <v>-397.7389</v>
      </c>
      <c r="K2520">
        <v>1.119794</v>
      </c>
      <c r="L2520">
        <v>213.0686</v>
      </c>
      <c r="M2520">
        <v>0.99989320000000004</v>
      </c>
      <c r="N2520">
        <v>-8.7248109999999903E-3</v>
      </c>
      <c r="O2520">
        <v>1.171967E-2</v>
      </c>
      <c r="P2520">
        <v>0.97849079999999999</v>
      </c>
      <c r="Q2520">
        <v>0.20612459999999999</v>
      </c>
      <c r="R2520">
        <v>8.2931180000000004E-3</v>
      </c>
      <c r="S2520">
        <v>3.0721440000000002</v>
      </c>
      <c r="T2520">
        <v>-1.7183299999999999E-2</v>
      </c>
      <c r="U2520">
        <v>-0.1677246</v>
      </c>
      <c r="V2520">
        <v>3.4706289999999998E-3</v>
      </c>
      <c r="W2520">
        <v>0.21464929999999999</v>
      </c>
      <c r="X2520">
        <v>0.97668500000000003</v>
      </c>
      <c r="Y2520">
        <v>6.6210359999999996E-2</v>
      </c>
      <c r="Z2520">
        <v>-4.3742359999999998E-4</v>
      </c>
      <c r="AA2520">
        <v>0.99780559999999996</v>
      </c>
      <c r="AB2520">
        <v>42</v>
      </c>
      <c r="AC2520">
        <v>199.81309999999999</v>
      </c>
      <c r="AD2520">
        <v>-1.1197889329220001</v>
      </c>
      <c r="AE2520">
        <v>-10.9337999999999</v>
      </c>
      <c r="AF2520">
        <v>13.2744662336403</v>
      </c>
      <c r="AG2520">
        <v>-1.1197889329220001</v>
      </c>
      <c r="AH2520">
        <v>199.664978710692</v>
      </c>
      <c r="AI2520">
        <v>90.320623005078403</v>
      </c>
      <c r="AJ2520">
        <v>86.196362213195997</v>
      </c>
      <c r="AK2520">
        <v>200.10889311718199</v>
      </c>
      <c r="AL2520">
        <v>77.605046399270293</v>
      </c>
      <c r="AM2520">
        <v>89.796401545044105</v>
      </c>
      <c r="AN2520">
        <v>0.99999997824057196</v>
      </c>
    </row>
    <row r="2521" spans="1:40" x14ac:dyDescent="0.25">
      <c r="A2521" t="str">
        <f>"20190303170814522"</f>
        <v>20190303170814522</v>
      </c>
      <c r="B2521" t="str">
        <f>"1551604094515701"</f>
        <v>1551604094515701</v>
      </c>
      <c r="C2521" t="s">
        <v>40</v>
      </c>
      <c r="D2521">
        <v>4.532794</v>
      </c>
      <c r="E2521">
        <v>0.52860600000000002</v>
      </c>
      <c r="F2521" t="s">
        <v>63</v>
      </c>
      <c r="G2521">
        <v>-254.77809999999999</v>
      </c>
      <c r="H2521">
        <v>8.0000470000000004E-2</v>
      </c>
      <c r="I2521">
        <v>205.24359999999999</v>
      </c>
      <c r="J2521">
        <v>-397.33550000000002</v>
      </c>
      <c r="K2521">
        <v>1.1198779999999999</v>
      </c>
      <c r="L2521">
        <v>213.07320000000001</v>
      </c>
      <c r="M2521">
        <v>0.9998958</v>
      </c>
      <c r="N2521">
        <v>-8.819304E-3</v>
      </c>
      <c r="O2521">
        <v>1.1441460000000001E-2</v>
      </c>
      <c r="P2521">
        <v>0.97847519999999999</v>
      </c>
      <c r="Q2521">
        <v>0.2061799</v>
      </c>
      <c r="R2521">
        <v>8.7491870000000003E-3</v>
      </c>
      <c r="S2521">
        <v>3.0720830000000001</v>
      </c>
      <c r="T2521">
        <v>-2.234411E-2</v>
      </c>
      <c r="U2521">
        <v>-0.16815189999999999</v>
      </c>
      <c r="V2521">
        <v>2.7056860000000001E-3</v>
      </c>
      <c r="W2521">
        <v>0.21479880000000001</v>
      </c>
      <c r="X2521">
        <v>0.97665460000000004</v>
      </c>
      <c r="Y2521">
        <v>6.6071000000000005E-2</v>
      </c>
      <c r="Z2521">
        <v>-5.140082E-4</v>
      </c>
      <c r="AA2521">
        <v>0.9978148</v>
      </c>
      <c r="AB2521">
        <v>42</v>
      </c>
      <c r="AC2521">
        <v>142.5574</v>
      </c>
      <c r="AD2521">
        <v>-1.03987753</v>
      </c>
      <c r="AE2521">
        <v>-7.8296000000000197</v>
      </c>
      <c r="AF2521">
        <v>9.4597136235590007</v>
      </c>
      <c r="AG2521">
        <v>-1.03987753</v>
      </c>
      <c r="AH2521">
        <v>142.45092569234399</v>
      </c>
      <c r="AI2521">
        <v>90.417326905700804</v>
      </c>
      <c r="AJ2521">
        <v>86.2007474045122</v>
      </c>
      <c r="AK2521">
        <v>142.76846205560599</v>
      </c>
      <c r="AL2521">
        <v>77.596276718545894</v>
      </c>
      <c r="AM2521">
        <v>89.841270402155899</v>
      </c>
      <c r="AN2521">
        <v>1.00000002645966</v>
      </c>
    </row>
    <row r="2522" spans="1:40" x14ac:dyDescent="0.25">
      <c r="A2522" t="str">
        <f>"20190303170814544"</f>
        <v>20190303170814544</v>
      </c>
      <c r="B2522" t="str">
        <f>"1551604094535652"</f>
        <v>1551604094535652</v>
      </c>
      <c r="C2522" t="s">
        <v>40</v>
      </c>
      <c r="D2522">
        <v>4.5346109999999999</v>
      </c>
      <c r="E2522">
        <v>0.52849019999999902</v>
      </c>
      <c r="F2522" t="s">
        <v>63</v>
      </c>
      <c r="G2522">
        <v>-251.4365</v>
      </c>
      <c r="H2522">
        <v>8.0001439999999993E-2</v>
      </c>
      <c r="I2522">
        <v>205.25460000000001</v>
      </c>
      <c r="J2522">
        <v>-396.9246</v>
      </c>
      <c r="K2522">
        <v>1.119969</v>
      </c>
      <c r="L2522">
        <v>213.07769999999999</v>
      </c>
      <c r="M2522">
        <v>0.99989709999999998</v>
      </c>
      <c r="N2522">
        <v>-8.9213039999999997E-3</v>
      </c>
      <c r="O2522">
        <v>1.123937E-2</v>
      </c>
      <c r="P2522">
        <v>0.97832229999999998</v>
      </c>
      <c r="Q2522">
        <v>0.20686889999999999</v>
      </c>
      <c r="R2522">
        <v>9.5429030000000001E-3</v>
      </c>
      <c r="S2522">
        <v>3.0720519999999998</v>
      </c>
      <c r="T2522">
        <v>-2.1895649999999999E-2</v>
      </c>
      <c r="U2522">
        <v>-0.1646271</v>
      </c>
      <c r="V2522">
        <v>1.6749200000000001E-3</v>
      </c>
      <c r="W2522">
        <v>0.21558720000000001</v>
      </c>
      <c r="X2522">
        <v>0.9764832</v>
      </c>
      <c r="Y2522">
        <v>6.4728460000000002E-2</v>
      </c>
      <c r="Z2522">
        <v>-4.993148E-4</v>
      </c>
      <c r="AA2522">
        <v>0.99790279999999998</v>
      </c>
      <c r="AB2522">
        <v>42</v>
      </c>
      <c r="AC2522">
        <v>145.4881</v>
      </c>
      <c r="AD2522">
        <v>-1.03996756</v>
      </c>
      <c r="AE2522">
        <v>-7.8230999999999797</v>
      </c>
      <c r="AF2522">
        <v>9.4573835474328796</v>
      </c>
      <c r="AG2522">
        <v>-1.03996756</v>
      </c>
      <c r="AH2522">
        <v>145.38357242790801</v>
      </c>
      <c r="AI2522">
        <v>90.408980646082298</v>
      </c>
      <c r="AJ2522">
        <v>86.278081812624293</v>
      </c>
      <c r="AK2522">
        <v>145.69456670717</v>
      </c>
      <c r="AL2522">
        <v>77.550021235690593</v>
      </c>
      <c r="AM2522">
        <v>89.901723088622205</v>
      </c>
      <c r="AN2522">
        <v>1.0000000430215401</v>
      </c>
    </row>
    <row r="2523" spans="1:40" x14ac:dyDescent="0.25">
      <c r="A2523" t="str">
        <f>"20190303170814567"</f>
        <v>20190303170814567</v>
      </c>
      <c r="B2523" t="str">
        <f>"1551604094555172"</f>
        <v>1551604094555172</v>
      </c>
      <c r="C2523" t="s">
        <v>40</v>
      </c>
      <c r="D2523">
        <v>4.5409889999999997</v>
      </c>
      <c r="E2523">
        <v>0.52843050000000003</v>
      </c>
      <c r="F2523" t="s">
        <v>46</v>
      </c>
      <c r="G2523">
        <v>-208.5829</v>
      </c>
      <c r="H2523">
        <v>-0.05</v>
      </c>
      <c r="I2523">
        <v>203.16909999999999</v>
      </c>
      <c r="J2523">
        <v>-396.48430000000002</v>
      </c>
      <c r="K2523">
        <v>1.1200600000000001</v>
      </c>
      <c r="L2523">
        <v>213.08260000000001</v>
      </c>
      <c r="M2523">
        <v>0.9998977</v>
      </c>
      <c r="N2523">
        <v>-9.0324870000000005E-3</v>
      </c>
      <c r="O2523">
        <v>1.109486E-2</v>
      </c>
      <c r="P2523">
        <v>0.97807189999999999</v>
      </c>
      <c r="Q2523">
        <v>0.20799509999999999</v>
      </c>
      <c r="R2523">
        <v>1.065032E-2</v>
      </c>
      <c r="S2523">
        <v>3.0720830000000001</v>
      </c>
      <c r="T2523">
        <v>-1.9083619999999999E-2</v>
      </c>
      <c r="U2523">
        <v>-0.16162109999999999</v>
      </c>
      <c r="V2523">
        <v>3.8621670000000001E-4</v>
      </c>
      <c r="W2523">
        <v>0.2168214</v>
      </c>
      <c r="X2523">
        <v>0.97621119999999995</v>
      </c>
      <c r="Y2523">
        <v>6.3610680000000003E-2</v>
      </c>
      <c r="Z2523">
        <v>-4.5366189999999999E-4</v>
      </c>
      <c r="AA2523">
        <v>0.99797469999999999</v>
      </c>
      <c r="AB2523">
        <v>42</v>
      </c>
      <c r="AC2523">
        <v>187.9014</v>
      </c>
      <c r="AD2523">
        <v>-1.1700600000000001</v>
      </c>
      <c r="AE2523">
        <v>-9.9135000000000204</v>
      </c>
      <c r="AF2523">
        <v>11.997250547444199</v>
      </c>
      <c r="AG2523">
        <v>-1.1700600000000001</v>
      </c>
      <c r="AH2523">
        <v>187.77257963161</v>
      </c>
      <c r="AI2523">
        <v>90.356293870025596</v>
      </c>
      <c r="AJ2523">
        <v>86.344201371249795</v>
      </c>
      <c r="AK2523">
        <v>188.15909417992799</v>
      </c>
      <c r="AL2523">
        <v>77.477593035435106</v>
      </c>
      <c r="AM2523">
        <v>89.977332173885102</v>
      </c>
      <c r="AN2523">
        <v>0.99999998783336896</v>
      </c>
    </row>
    <row r="2524" spans="1:40" x14ac:dyDescent="0.25">
      <c r="A2524" t="str">
        <f>"20190303170814612"</f>
        <v>20190303170814612</v>
      </c>
      <c r="B2524" t="str">
        <f>"1551604094604948"</f>
        <v>1551604094604948</v>
      </c>
      <c r="C2524" t="s">
        <v>40</v>
      </c>
      <c r="D2524">
        <v>4.4898669999999896</v>
      </c>
      <c r="E2524">
        <v>0.53334820000000005</v>
      </c>
      <c r="F2524" t="s">
        <v>57</v>
      </c>
      <c r="G2524">
        <v>-179.95779999999999</v>
      </c>
      <c r="H2524">
        <v>4.4674899999999997E-2</v>
      </c>
      <c r="I2524">
        <v>201.9616</v>
      </c>
      <c r="J2524">
        <v>-395.66460000000001</v>
      </c>
      <c r="K2524">
        <v>1.1201970000000001</v>
      </c>
      <c r="L2524">
        <v>213.0916</v>
      </c>
      <c r="M2524">
        <v>0.99989729999999999</v>
      </c>
      <c r="N2524">
        <v>-9.2269599999999993E-3</v>
      </c>
      <c r="O2524">
        <v>1.096603E-2</v>
      </c>
      <c r="P2524">
        <v>0.97749370000000002</v>
      </c>
      <c r="Q2524">
        <v>0.2106008</v>
      </c>
      <c r="R2524">
        <v>1.238652E-2</v>
      </c>
      <c r="S2524">
        <v>3.0722049999999999</v>
      </c>
      <c r="T2524">
        <v>-1.525819E-2</v>
      </c>
      <c r="U2524">
        <v>-0.15779109999999999</v>
      </c>
      <c r="V2524">
        <v>-1.5354419999999999E-3</v>
      </c>
      <c r="W2524">
        <v>0.21961249999999999</v>
      </c>
      <c r="X2524">
        <v>0.97558599999999995</v>
      </c>
      <c r="Y2524">
        <v>6.2239959999999997E-2</v>
      </c>
      <c r="Z2524">
        <v>-3.9511489999999999E-4</v>
      </c>
      <c r="AA2524">
        <v>0.99806110000000003</v>
      </c>
      <c r="AB2524">
        <v>42</v>
      </c>
      <c r="AC2524">
        <v>215.70679999999999</v>
      </c>
      <c r="AD2524">
        <v>-1.0755220999999999</v>
      </c>
      <c r="AE2524">
        <v>-11.1299999999999</v>
      </c>
      <c r="AF2524">
        <v>13.4945440575836</v>
      </c>
      <c r="AG2524">
        <v>-1.0755220999999999</v>
      </c>
      <c r="AH2524">
        <v>215.56642673984001</v>
      </c>
      <c r="AI2524">
        <v>90.285304067355895</v>
      </c>
      <c r="AJ2524">
        <v>86.417935675679004</v>
      </c>
      <c r="AK2524">
        <v>215.99107343705799</v>
      </c>
      <c r="AL2524">
        <v>77.3137260474615</v>
      </c>
      <c r="AM2524">
        <v>90.090175826270695</v>
      </c>
      <c r="AN2524">
        <v>1.0000000255671899</v>
      </c>
    </row>
    <row r="2525" spans="1:40" x14ac:dyDescent="0.25">
      <c r="A2525" t="str">
        <f>"20190303170814635"</f>
        <v>20190303170814635</v>
      </c>
      <c r="B2525" t="str">
        <f>"1551604094624907"</f>
        <v>1551604094624907</v>
      </c>
      <c r="C2525" t="s">
        <v>40</v>
      </c>
      <c r="D2525">
        <v>4.490742</v>
      </c>
      <c r="E2525">
        <v>0.53772319999999996</v>
      </c>
      <c r="F2525" t="s">
        <v>54</v>
      </c>
      <c r="G2525">
        <v>-168.41659999999999</v>
      </c>
      <c r="H2525">
        <v>10.06265</v>
      </c>
      <c r="I2525">
        <v>198.18440000000001</v>
      </c>
      <c r="J2525">
        <v>-395.22019999999998</v>
      </c>
      <c r="K2525">
        <v>1.1202449999999999</v>
      </c>
      <c r="L2525">
        <v>213.09639999999999</v>
      </c>
      <c r="M2525">
        <v>0.99989669999999997</v>
      </c>
      <c r="N2525">
        <v>-9.3248040000000008E-3</v>
      </c>
      <c r="O2525">
        <v>1.0939040000000001E-2</v>
      </c>
      <c r="P2525">
        <v>0.97736290000000003</v>
      </c>
      <c r="Q2525">
        <v>0.211149</v>
      </c>
      <c r="R2525">
        <v>1.332473E-2</v>
      </c>
      <c r="S2525">
        <v>3.045776</v>
      </c>
      <c r="T2525">
        <v>0.119855</v>
      </c>
      <c r="U2525">
        <v>-0.19979859999999999</v>
      </c>
      <c r="V2525">
        <v>-2.523141E-3</v>
      </c>
      <c r="W2525">
        <v>0.2202558</v>
      </c>
      <c r="X2525">
        <v>0.9754389</v>
      </c>
      <c r="Y2525">
        <v>7.6312279999999996E-2</v>
      </c>
      <c r="Z2525">
        <v>1.674718E-3</v>
      </c>
      <c r="AA2525">
        <v>0.99708249999999998</v>
      </c>
      <c r="AB2525">
        <v>42</v>
      </c>
      <c r="AC2525">
        <v>226.80359999999999</v>
      </c>
      <c r="AD2525">
        <v>8.9424049999999902</v>
      </c>
      <c r="AE2525">
        <v>-14.9119999999999</v>
      </c>
      <c r="AF2525">
        <v>17.365349821471199</v>
      </c>
      <c r="AG2525">
        <v>8.9424049999999902</v>
      </c>
      <c r="AH2525">
        <v>226.27665080123899</v>
      </c>
      <c r="AI2525">
        <v>87.743489074767297</v>
      </c>
      <c r="AJ2525">
        <v>85.611501192395906</v>
      </c>
      <c r="AK2525">
        <v>227.11812934997499</v>
      </c>
      <c r="AL2525">
        <v>77.275942404543997</v>
      </c>
      <c r="AM2525">
        <v>90.148205087981296</v>
      </c>
      <c r="AN2525">
        <v>1.0000000156536699</v>
      </c>
    </row>
    <row r="2526" spans="1:40" x14ac:dyDescent="0.25">
      <c r="A2526" t="str">
        <f>"20190303170814658"</f>
        <v>20190303170814658</v>
      </c>
      <c r="B2526" t="str">
        <f>"1551604094645405"</f>
        <v>1551604094645405</v>
      </c>
      <c r="C2526" t="s">
        <v>40</v>
      </c>
      <c r="D2526">
        <v>4.4250480000000003</v>
      </c>
      <c r="E2526">
        <v>0.53934629999999995</v>
      </c>
      <c r="F2526" t="s">
        <v>54</v>
      </c>
      <c r="G2526">
        <v>-168.41900000000001</v>
      </c>
      <c r="H2526">
        <v>14.69603</v>
      </c>
      <c r="I2526">
        <v>195.4725</v>
      </c>
      <c r="J2526">
        <v>-394.79289999999997</v>
      </c>
      <c r="K2526">
        <v>1.120279</v>
      </c>
      <c r="L2526">
        <v>213.101</v>
      </c>
      <c r="M2526">
        <v>0.99989600000000001</v>
      </c>
      <c r="N2526">
        <v>-9.4121159999999999E-3</v>
      </c>
      <c r="O2526">
        <v>1.0926119999999999E-2</v>
      </c>
      <c r="P2526">
        <v>0.97749529999999996</v>
      </c>
      <c r="Q2526">
        <v>0.21056179999999999</v>
      </c>
      <c r="R2526">
        <v>1.290724E-2</v>
      </c>
      <c r="S2526">
        <v>3.0334469999999998</v>
      </c>
      <c r="T2526">
        <v>0.1815755</v>
      </c>
      <c r="U2526">
        <v>-0.23571780000000001</v>
      </c>
      <c r="V2526">
        <v>-2.134543E-3</v>
      </c>
      <c r="W2526">
        <v>0.21975439999999999</v>
      </c>
      <c r="X2526">
        <v>0.97555289999999995</v>
      </c>
      <c r="Y2526">
        <v>8.8203649999999995E-2</v>
      </c>
      <c r="Z2526">
        <v>2.9725620000000002E-3</v>
      </c>
      <c r="AA2526">
        <v>0.99609800000000004</v>
      </c>
      <c r="AB2526">
        <v>42</v>
      </c>
      <c r="AC2526">
        <v>226.37389999999999</v>
      </c>
      <c r="AD2526">
        <v>13.575751</v>
      </c>
      <c r="AE2526">
        <v>-17.628499999999999</v>
      </c>
      <c r="AF2526">
        <v>20.029345116221702</v>
      </c>
      <c r="AG2526">
        <v>13.575751</v>
      </c>
      <c r="AH2526">
        <v>225.36214643336299</v>
      </c>
      <c r="AI2526">
        <v>86.566187136029001</v>
      </c>
      <c r="AJ2526">
        <v>84.921109950643796</v>
      </c>
      <c r="AK2526">
        <v>226.65739062746499</v>
      </c>
      <c r="AL2526">
        <v>77.305391946291195</v>
      </c>
      <c r="AM2526">
        <v>90.125364918621102</v>
      </c>
      <c r="AN2526">
        <v>1.0000000066457899</v>
      </c>
    </row>
    <row r="2527" spans="1:40" x14ac:dyDescent="0.25">
      <c r="A2527" t="str">
        <f>"20190303170814682"</f>
        <v>20190303170814682</v>
      </c>
      <c r="B2527" t="str">
        <f>"1551604094675658"</f>
        <v>1551604094675658</v>
      </c>
      <c r="C2527" t="s">
        <v>40</v>
      </c>
      <c r="D2527">
        <v>4.4358209999999998</v>
      </c>
      <c r="E2527">
        <v>0.54062310000000002</v>
      </c>
      <c r="F2527" t="s">
        <v>91</v>
      </c>
      <c r="G2527">
        <v>-280.03879999999998</v>
      </c>
      <c r="H2527">
        <v>9.3666900000000002</v>
      </c>
      <c r="I2527">
        <v>203.5333</v>
      </c>
      <c r="J2527">
        <v>-394.32040000000001</v>
      </c>
      <c r="K2527">
        <v>1.1203000000000001</v>
      </c>
      <c r="L2527">
        <v>213.1061</v>
      </c>
      <c r="M2527">
        <v>0.99989530000000004</v>
      </c>
      <c r="N2527">
        <v>-9.4994139999999994E-3</v>
      </c>
      <c r="O2527">
        <v>1.0918310000000001E-2</v>
      </c>
      <c r="P2527">
        <v>0.97764320000000005</v>
      </c>
      <c r="Q2527">
        <v>0.20992530000000001</v>
      </c>
      <c r="R2527">
        <v>1.2064190000000001E-2</v>
      </c>
      <c r="S2527">
        <v>3.0255429999999999</v>
      </c>
      <c r="T2527">
        <v>0.21742020000000001</v>
      </c>
      <c r="U2527">
        <v>-0.25225829999999999</v>
      </c>
      <c r="V2527">
        <v>-1.314132E-3</v>
      </c>
      <c r="W2527">
        <v>0.21920410000000001</v>
      </c>
      <c r="X2527">
        <v>0.97567809999999999</v>
      </c>
      <c r="Y2527">
        <v>9.3720049999999999E-2</v>
      </c>
      <c r="Z2527">
        <v>3.7965809999999998E-3</v>
      </c>
      <c r="AA2527">
        <v>0.99559129999999996</v>
      </c>
      <c r="AB2527">
        <v>42</v>
      </c>
      <c r="AC2527">
        <v>114.2816</v>
      </c>
      <c r="AD2527">
        <v>8.2463899999999999</v>
      </c>
      <c r="AE2527">
        <v>-9.5728000000000009</v>
      </c>
      <c r="AF2527">
        <v>10.764389509453901</v>
      </c>
      <c r="AG2527">
        <v>8.2463899999999999</v>
      </c>
      <c r="AH2527">
        <v>113.582975121906</v>
      </c>
      <c r="AI2527">
        <v>85.865937151866405</v>
      </c>
      <c r="AJ2527">
        <v>84.586182473378997</v>
      </c>
      <c r="AK2527">
        <v>114.389541773218</v>
      </c>
      <c r="AL2527">
        <v>77.337709209706304</v>
      </c>
      <c r="AM2527">
        <v>90.077171120057201</v>
      </c>
      <c r="AN2527">
        <v>0.99999995960966503</v>
      </c>
    </row>
    <row r="2528" spans="1:40" x14ac:dyDescent="0.25">
      <c r="A2528" t="str">
        <f>"20190303170814703"</f>
        <v>20190303170814703</v>
      </c>
      <c r="B2528" t="str">
        <f>"1551604094695178"</f>
        <v>1551604094695178</v>
      </c>
      <c r="C2528" t="s">
        <v>40</v>
      </c>
      <c r="D2528">
        <v>4.3941160000000004</v>
      </c>
      <c r="E2528">
        <v>0.54126019999999997</v>
      </c>
      <c r="F2528" t="s">
        <v>92</v>
      </c>
      <c r="G2528">
        <v>-280.06740000000002</v>
      </c>
      <c r="H2528">
        <v>10.018840000000001</v>
      </c>
      <c r="I2528">
        <v>203.05</v>
      </c>
      <c r="J2528">
        <v>-393.92430000000002</v>
      </c>
      <c r="K2528">
        <v>1.1203240000000001</v>
      </c>
      <c r="L2528">
        <v>213.1104</v>
      </c>
      <c r="M2528">
        <v>0.99989470000000003</v>
      </c>
      <c r="N2528">
        <v>-9.561155E-3</v>
      </c>
      <c r="O2528">
        <v>1.0913259999999999E-2</v>
      </c>
      <c r="P2528">
        <v>0.97773690000000002</v>
      </c>
      <c r="Q2528">
        <v>0.2095418</v>
      </c>
      <c r="R2528">
        <v>1.1083000000000001E-2</v>
      </c>
      <c r="S2528">
        <v>3.0213930000000002</v>
      </c>
      <c r="T2528">
        <v>0.23532139999999999</v>
      </c>
      <c r="U2528">
        <v>-0.26593020000000001</v>
      </c>
      <c r="V2528">
        <v>-3.4925020000000002E-4</v>
      </c>
      <c r="W2528">
        <v>0.21888160000000001</v>
      </c>
      <c r="X2528">
        <v>0.97575129999999999</v>
      </c>
      <c r="Y2528">
        <v>9.8243209999999997E-2</v>
      </c>
      <c r="Z2528">
        <v>4.2926370000000002E-3</v>
      </c>
      <c r="AA2528">
        <v>0.99515319999999996</v>
      </c>
      <c r="AB2528">
        <v>42</v>
      </c>
      <c r="AC2528">
        <v>113.8569</v>
      </c>
      <c r="AD2528">
        <v>8.8985159999999901</v>
      </c>
      <c r="AE2528">
        <v>-10.0603999999999</v>
      </c>
      <c r="AF2528">
        <v>11.2343172816778</v>
      </c>
      <c r="AG2528">
        <v>8.8985159999999901</v>
      </c>
      <c r="AH2528">
        <v>113.055103805865</v>
      </c>
      <c r="AI2528">
        <v>85.5215201208336</v>
      </c>
      <c r="AJ2528">
        <v>84.325132172430301</v>
      </c>
      <c r="AK2528">
        <v>113.959861215879</v>
      </c>
      <c r="AL2528">
        <v>77.356646722987804</v>
      </c>
      <c r="AM2528">
        <v>90.020507850309301</v>
      </c>
      <c r="AN2528">
        <v>0.99999993812297405</v>
      </c>
    </row>
    <row r="2529" spans="1:40" x14ac:dyDescent="0.25">
      <c r="A2529" t="str">
        <f>"20190303170814746"</f>
        <v>20190303170814746</v>
      </c>
      <c r="B2529" t="str">
        <f>"1551604094735565"</f>
        <v>1551604094735565</v>
      </c>
      <c r="C2529" t="s">
        <v>40</v>
      </c>
      <c r="D2529">
        <v>4.3691409999999999</v>
      </c>
      <c r="E2529">
        <v>0.54107269999999996</v>
      </c>
      <c r="F2529" t="s">
        <v>92</v>
      </c>
      <c r="G2529">
        <v>-280.18360000000001</v>
      </c>
      <c r="H2529">
        <v>10.246309999999999</v>
      </c>
      <c r="I2529">
        <v>202.75989999999999</v>
      </c>
      <c r="J2529">
        <v>-393.11180000000002</v>
      </c>
      <c r="K2529">
        <v>1.120341</v>
      </c>
      <c r="L2529">
        <v>213.11920000000001</v>
      </c>
      <c r="M2529">
        <v>0.99989439999999996</v>
      </c>
      <c r="N2529">
        <v>-9.6226520000000006E-3</v>
      </c>
      <c r="O2529">
        <v>1.0901660000000001E-2</v>
      </c>
      <c r="P2529">
        <v>0.97815030000000003</v>
      </c>
      <c r="Q2529">
        <v>0.20770959999999999</v>
      </c>
      <c r="R2529">
        <v>8.8808280000000003E-3</v>
      </c>
      <c r="S2529">
        <v>3.0195310000000002</v>
      </c>
      <c r="T2529">
        <v>0.24227109999999999</v>
      </c>
      <c r="U2529">
        <v>-0.27478029999999998</v>
      </c>
      <c r="V2529">
        <v>1.8260869999999999E-3</v>
      </c>
      <c r="W2529">
        <v>0.21711230000000001</v>
      </c>
      <c r="X2529">
        <v>0.97614489999999998</v>
      </c>
      <c r="Y2529">
        <v>0.1011514</v>
      </c>
      <c r="Z2529">
        <v>4.5308140000000002E-3</v>
      </c>
      <c r="AA2529">
        <v>0.99486070000000004</v>
      </c>
      <c r="AB2529">
        <v>42</v>
      </c>
      <c r="AC2529">
        <v>112.9282</v>
      </c>
      <c r="AD2529">
        <v>9.1259689999999996</v>
      </c>
      <c r="AE2529">
        <v>-10.359299999999999</v>
      </c>
      <c r="AF2529">
        <v>11.515271924352399</v>
      </c>
      <c r="AG2529">
        <v>9.1259689999999996</v>
      </c>
      <c r="AH2529">
        <v>112.082690629669</v>
      </c>
      <c r="AI2529">
        <v>85.369413274624407</v>
      </c>
      <c r="AJ2529">
        <v>84.134065787207604</v>
      </c>
      <c r="AK2529">
        <v>113.04164868077</v>
      </c>
      <c r="AL2529">
        <v>77.460518815242196</v>
      </c>
      <c r="AM2529">
        <v>89.892816162770302</v>
      </c>
      <c r="AN2529">
        <v>0.99999997560051501</v>
      </c>
    </row>
    <row r="2530" spans="1:40" x14ac:dyDescent="0.25">
      <c r="A2530" t="str">
        <f>"20190303170814768"</f>
        <v>20190303170814768</v>
      </c>
      <c r="B2530" t="str">
        <f>"1551604094755084"</f>
        <v>1551604094755084</v>
      </c>
      <c r="C2530" t="s">
        <v>40</v>
      </c>
      <c r="D2530">
        <v>4.3155710000000003</v>
      </c>
      <c r="E2530">
        <v>0.54119709999999999</v>
      </c>
      <c r="F2530" t="s">
        <v>92</v>
      </c>
      <c r="G2530">
        <v>-280.23829999999998</v>
      </c>
      <c r="H2530">
        <v>10.25803</v>
      </c>
      <c r="I2530">
        <v>202.6234</v>
      </c>
      <c r="J2530">
        <v>-392.68860000000001</v>
      </c>
      <c r="K2530">
        <v>1.1203449999999999</v>
      </c>
      <c r="L2530">
        <v>213.12379999999999</v>
      </c>
      <c r="M2530">
        <v>0.99989439999999996</v>
      </c>
      <c r="N2530">
        <v>-9.621971E-3</v>
      </c>
      <c r="O2530">
        <v>1.0895810000000001E-2</v>
      </c>
      <c r="P2530">
        <v>0.97820090000000004</v>
      </c>
      <c r="Q2530">
        <v>0.2074645</v>
      </c>
      <c r="R2530">
        <v>9.0472699999999996E-3</v>
      </c>
      <c r="S2530">
        <v>3.0177</v>
      </c>
      <c r="T2530">
        <v>0.24429709999999999</v>
      </c>
      <c r="U2530">
        <v>-0.2806091</v>
      </c>
      <c r="V2530">
        <v>1.6466979999999901E-3</v>
      </c>
      <c r="W2530">
        <v>0.216867</v>
      </c>
      <c r="X2530">
        <v>0.97619979999999995</v>
      </c>
      <c r="Y2530">
        <v>0.1030937</v>
      </c>
      <c r="Z2530">
        <v>4.6427100000000004E-3</v>
      </c>
      <c r="AA2530">
        <v>0.99466080000000001</v>
      </c>
      <c r="AB2530">
        <v>43</v>
      </c>
      <c r="AC2530">
        <v>112.4503</v>
      </c>
      <c r="AD2530">
        <v>9.1376849999999994</v>
      </c>
      <c r="AE2530">
        <v>-10.5003999999999</v>
      </c>
      <c r="AF2530">
        <v>11.648816402101399</v>
      </c>
      <c r="AG2530">
        <v>9.1376849999999994</v>
      </c>
      <c r="AH2530">
        <v>111.598675683545</v>
      </c>
      <c r="AI2530">
        <v>85.344253651815507</v>
      </c>
      <c r="AJ2530">
        <v>84.040970845875194</v>
      </c>
      <c r="AK2530">
        <v>112.576447914518</v>
      </c>
      <c r="AL2530">
        <v>77.474917183445299</v>
      </c>
      <c r="AM2530">
        <v>89.903350977899606</v>
      </c>
      <c r="AN2530">
        <v>1.0000000284116699</v>
      </c>
    </row>
    <row r="2531" spans="1:40" x14ac:dyDescent="0.25">
      <c r="A2531" t="str">
        <f>"20190303170814791"</f>
        <v>20190303170814791</v>
      </c>
      <c r="B2531" t="str">
        <f>"1551604094785340"</f>
        <v>1551604094785340</v>
      </c>
      <c r="C2531" t="s">
        <v>40</v>
      </c>
      <c r="D2531">
        <v>4.3455180000000002</v>
      </c>
      <c r="E2531">
        <v>0.54200360000000003</v>
      </c>
      <c r="F2531" t="s">
        <v>92</v>
      </c>
      <c r="G2531">
        <v>-280.23379999999997</v>
      </c>
      <c r="H2531">
        <v>10.37172</v>
      </c>
      <c r="I2531">
        <v>202.63480000000001</v>
      </c>
      <c r="J2531">
        <v>-392.25720000000001</v>
      </c>
      <c r="K2531">
        <v>1.1203449999999999</v>
      </c>
      <c r="L2531">
        <v>213.1285</v>
      </c>
      <c r="M2531">
        <v>0.99989470000000003</v>
      </c>
      <c r="N2531">
        <v>-9.5974900000000002E-3</v>
      </c>
      <c r="O2531">
        <v>1.0890530000000001E-2</v>
      </c>
      <c r="P2531">
        <v>0.97800229999999999</v>
      </c>
      <c r="Q2531">
        <v>0.20837069999999999</v>
      </c>
      <c r="R2531">
        <v>9.6511110000000004E-3</v>
      </c>
      <c r="S2531">
        <v>3.0168149999999998</v>
      </c>
      <c r="T2531">
        <v>0.24818480000000001</v>
      </c>
      <c r="U2531">
        <v>-0.28138730000000001</v>
      </c>
      <c r="V2531">
        <v>1.0296369999999999E-3</v>
      </c>
      <c r="W2531">
        <v>0.21774760000000001</v>
      </c>
      <c r="X2531">
        <v>0.97600450000000005</v>
      </c>
      <c r="Y2531">
        <v>0.1033574</v>
      </c>
      <c r="Z2531">
        <v>4.734027E-3</v>
      </c>
      <c r="AA2531">
        <v>0.99463299999999999</v>
      </c>
      <c r="AB2531">
        <v>43</v>
      </c>
      <c r="AC2531">
        <v>112.0234</v>
      </c>
      <c r="AD2531">
        <v>9.2513749999999995</v>
      </c>
      <c r="AE2531">
        <v>-10.493699999999899</v>
      </c>
      <c r="AF2531">
        <v>11.634469127489</v>
      </c>
      <c r="AG2531">
        <v>9.2513749999999995</v>
      </c>
      <c r="AH2531">
        <v>111.15099441288901</v>
      </c>
      <c r="AI2531">
        <v>85.267830606064507</v>
      </c>
      <c r="AJ2531">
        <v>84.024458930886397</v>
      </c>
      <c r="AK2531">
        <v>112.140502808946</v>
      </c>
      <c r="AL2531">
        <v>77.423226050315293</v>
      </c>
      <c r="AM2531">
        <v>89.939555778026204</v>
      </c>
      <c r="AN2531">
        <v>0.99999993073917803</v>
      </c>
    </row>
    <row r="2532" spans="1:40" x14ac:dyDescent="0.25">
      <c r="A2532" t="str">
        <f>"20190303170814813"</f>
        <v>20190303170814813</v>
      </c>
      <c r="B2532" t="str">
        <f>"1551604094805837"</f>
        <v>1551604094805837</v>
      </c>
      <c r="C2532" t="s">
        <v>40</v>
      </c>
      <c r="D2532">
        <v>4.2961280000000004</v>
      </c>
      <c r="E2532">
        <v>0.54214419999999997</v>
      </c>
      <c r="F2532" t="s">
        <v>92</v>
      </c>
      <c r="G2532">
        <v>-280.28890000000001</v>
      </c>
      <c r="H2532">
        <v>10.66948</v>
      </c>
      <c r="I2532">
        <v>202.49719999999999</v>
      </c>
      <c r="J2532">
        <v>-391.8331</v>
      </c>
      <c r="K2532">
        <v>1.120347</v>
      </c>
      <c r="L2532">
        <v>213.13310000000001</v>
      </c>
      <c r="M2532">
        <v>0.99989510000000004</v>
      </c>
      <c r="N2532">
        <v>-9.5538159999999997E-3</v>
      </c>
      <c r="O2532">
        <v>1.088685E-2</v>
      </c>
      <c r="P2532">
        <v>0.97799579999999997</v>
      </c>
      <c r="Q2532">
        <v>0.2083296</v>
      </c>
      <c r="R2532">
        <v>1.1099049999999999E-2</v>
      </c>
      <c r="S2532">
        <v>3.0154719999999999</v>
      </c>
      <c r="T2532">
        <v>0.2571715</v>
      </c>
      <c r="U2532">
        <v>-0.28631590000000001</v>
      </c>
      <c r="V2532">
        <v>-4.270705E-4</v>
      </c>
      <c r="W2532">
        <v>0.21766479999999999</v>
      </c>
      <c r="X2532">
        <v>0.97602350000000004</v>
      </c>
      <c r="Y2532">
        <v>0.10497339999999999</v>
      </c>
      <c r="Z2532">
        <v>4.9831980000000003E-3</v>
      </c>
      <c r="AA2532">
        <v>0.99446250000000003</v>
      </c>
      <c r="AB2532">
        <v>43</v>
      </c>
      <c r="AC2532">
        <v>111.5442</v>
      </c>
      <c r="AD2532">
        <v>9.5491329999999994</v>
      </c>
      <c r="AE2532">
        <v>-10.635899999999999</v>
      </c>
      <c r="AF2532">
        <v>11.764248805987</v>
      </c>
      <c r="AG2532">
        <v>9.5491329999999994</v>
      </c>
      <c r="AH2532">
        <v>110.61839456270199</v>
      </c>
      <c r="AI2532">
        <v>85.093704766295602</v>
      </c>
      <c r="AJ2532">
        <v>83.929420935911395</v>
      </c>
      <c r="AK2532">
        <v>111.651299619174</v>
      </c>
      <c r="AL2532">
        <v>77.428087741122795</v>
      </c>
      <c r="AM2532">
        <v>90.025070436975</v>
      </c>
      <c r="AN2532">
        <v>1.00000001005025</v>
      </c>
    </row>
    <row r="2533" spans="1:40" x14ac:dyDescent="0.25">
      <c r="A2533" t="str">
        <f>"20190303170814834"</f>
        <v>20190303170814834</v>
      </c>
      <c r="B2533" t="str">
        <f>"1551604094825863"</f>
        <v>1551604094825863</v>
      </c>
      <c r="C2533" t="s">
        <v>40</v>
      </c>
      <c r="D2533">
        <v>4.2881210000000003</v>
      </c>
      <c r="E2533">
        <v>0.54230119999999904</v>
      </c>
      <c r="F2533" t="s">
        <v>92</v>
      </c>
      <c r="G2533">
        <v>-280.22669999999999</v>
      </c>
      <c r="H2533">
        <v>10.729369999999999</v>
      </c>
      <c r="I2533">
        <v>202.65289999999999</v>
      </c>
      <c r="J2533">
        <v>-391.41820000000001</v>
      </c>
      <c r="K2533">
        <v>1.120336</v>
      </c>
      <c r="L2533">
        <v>213.1377</v>
      </c>
      <c r="M2533">
        <v>0.9998958</v>
      </c>
      <c r="N2533">
        <v>-9.5011390000000005E-3</v>
      </c>
      <c r="O2533">
        <v>1.088397E-2</v>
      </c>
      <c r="P2533">
        <v>0.97790049999999995</v>
      </c>
      <c r="Q2533">
        <v>0.20872170000000001</v>
      </c>
      <c r="R2533">
        <v>1.208447E-2</v>
      </c>
      <c r="S2533">
        <v>3.0154109999999998</v>
      </c>
      <c r="T2533">
        <v>0.25961840000000003</v>
      </c>
      <c r="U2533">
        <v>-0.2831573</v>
      </c>
      <c r="V2533">
        <v>-1.4192009999999999E-3</v>
      </c>
      <c r="W2533">
        <v>0.218004</v>
      </c>
      <c r="X2533">
        <v>0.9759468</v>
      </c>
      <c r="Y2533">
        <v>0.1039354</v>
      </c>
      <c r="Z2533">
        <v>4.996988E-3</v>
      </c>
      <c r="AA2533">
        <v>0.99457150000000005</v>
      </c>
      <c r="AB2533">
        <v>43</v>
      </c>
      <c r="AC2533">
        <v>111.1915</v>
      </c>
      <c r="AD2533">
        <v>9.6090339999999994</v>
      </c>
      <c r="AE2533">
        <v>-10.4848</v>
      </c>
      <c r="AF2533">
        <v>11.6085076080159</v>
      </c>
      <c r="AG2533">
        <v>9.6090339999999994</v>
      </c>
      <c r="AH2533">
        <v>110.254644342684</v>
      </c>
      <c r="AI2533">
        <v>85.046325073937794</v>
      </c>
      <c r="AJ2533">
        <v>83.989577757355903</v>
      </c>
      <c r="AK2533">
        <v>111.279726735962</v>
      </c>
      <c r="AL2533">
        <v>77.408174143538702</v>
      </c>
      <c r="AM2533">
        <v>90.083318240568204</v>
      </c>
      <c r="AN2533">
        <v>0.99999995728885804</v>
      </c>
    </row>
    <row r="2534" spans="1:40" x14ac:dyDescent="0.25">
      <c r="A2534" t="str">
        <f>"20190303170814857"</f>
        <v>20190303170814857</v>
      </c>
      <c r="B2534" t="str">
        <f>"1551604094845382"</f>
        <v>1551604094845382</v>
      </c>
      <c r="C2534" t="s">
        <v>40</v>
      </c>
      <c r="D2534">
        <v>4.2839720000000003</v>
      </c>
      <c r="E2534">
        <v>0.54242959999999996</v>
      </c>
      <c r="F2534" t="s">
        <v>92</v>
      </c>
      <c r="G2534">
        <v>-280.19069999999999</v>
      </c>
      <c r="H2534">
        <v>10.860609999999999</v>
      </c>
      <c r="I2534">
        <v>202.74270000000001</v>
      </c>
      <c r="J2534">
        <v>-390.97809999999998</v>
      </c>
      <c r="K2534">
        <v>1.1203270000000001</v>
      </c>
      <c r="L2534">
        <v>213.14250000000001</v>
      </c>
      <c r="M2534">
        <v>0.99989629999999996</v>
      </c>
      <c r="N2534">
        <v>-9.4361059999999997E-3</v>
      </c>
      <c r="O2534">
        <v>1.088214E-2</v>
      </c>
      <c r="P2534">
        <v>0.97798989999999997</v>
      </c>
      <c r="Q2534">
        <v>0.2082378</v>
      </c>
      <c r="R2534">
        <v>1.314887E-2</v>
      </c>
      <c r="S2534">
        <v>3.0149840000000001</v>
      </c>
      <c r="T2534">
        <v>0.26402340000000002</v>
      </c>
      <c r="U2534">
        <v>-0.28176879999999999</v>
      </c>
      <c r="V2534">
        <v>-2.4870640000000002E-3</v>
      </c>
      <c r="W2534">
        <v>0.21745809999999999</v>
      </c>
      <c r="X2534">
        <v>0.97606649999999995</v>
      </c>
      <c r="Y2534">
        <v>0.1034799</v>
      </c>
      <c r="Z2534">
        <v>5.0737619999999999E-3</v>
      </c>
      <c r="AA2534">
        <v>0.99461860000000002</v>
      </c>
      <c r="AB2534">
        <v>43</v>
      </c>
      <c r="AC2534">
        <v>110.78740000000001</v>
      </c>
      <c r="AD2534">
        <v>9.7402829999999998</v>
      </c>
      <c r="AE2534">
        <v>-10.399800000000001</v>
      </c>
      <c r="AF2534">
        <v>11.516599549113501</v>
      </c>
      <c r="AG2534">
        <v>9.7402829999999998</v>
      </c>
      <c r="AH2534">
        <v>109.826154824575</v>
      </c>
      <c r="AI2534">
        <v>84.959295943574205</v>
      </c>
      <c r="AJ2534">
        <v>84.013722958461102</v>
      </c>
      <c r="AK2534">
        <v>110.85706771174399</v>
      </c>
      <c r="AL2534">
        <v>77.440221440790594</v>
      </c>
      <c r="AM2534">
        <v>90.145992063233194</v>
      </c>
      <c r="AN2534">
        <v>1.0000000115826</v>
      </c>
    </row>
    <row r="2535" spans="1:40" x14ac:dyDescent="0.25">
      <c r="A2535" t="str">
        <f>"20190303170814881"</f>
        <v>20190303170814881</v>
      </c>
      <c r="B2535" t="str">
        <f>"1551604094875638"</f>
        <v>1551604094875638</v>
      </c>
      <c r="C2535" t="s">
        <v>40</v>
      </c>
      <c r="D2535">
        <v>4.2742750000000003</v>
      </c>
      <c r="E2535">
        <v>0.54260799999999998</v>
      </c>
      <c r="F2535" t="s">
        <v>92</v>
      </c>
      <c r="G2535">
        <v>-280.1515</v>
      </c>
      <c r="H2535">
        <v>10.885960000000001</v>
      </c>
      <c r="I2535">
        <v>202.8407</v>
      </c>
      <c r="J2535">
        <v>-390.5206</v>
      </c>
      <c r="K2535">
        <v>1.120317</v>
      </c>
      <c r="L2535">
        <v>213.1474</v>
      </c>
      <c r="M2535">
        <v>0.99989709999999998</v>
      </c>
      <c r="N2535">
        <v>-9.3621920000000001E-3</v>
      </c>
      <c r="O2535">
        <v>1.088105E-2</v>
      </c>
      <c r="P2535">
        <v>0.9780027</v>
      </c>
      <c r="Q2535">
        <v>0.2080891</v>
      </c>
      <c r="R2535">
        <v>1.4497009999999999E-2</v>
      </c>
      <c r="S2535">
        <v>3.0147089999999999</v>
      </c>
      <c r="T2535">
        <v>0.2656443</v>
      </c>
      <c r="U2535">
        <v>-0.28022770000000002</v>
      </c>
      <c r="V2535">
        <v>-3.8383839999999998E-3</v>
      </c>
      <c r="W2535">
        <v>0.2172375</v>
      </c>
      <c r="X2535">
        <v>0.97611119999999996</v>
      </c>
      <c r="Y2535">
        <v>0.102979399999999</v>
      </c>
      <c r="Z2535">
        <v>5.0911100000000003E-3</v>
      </c>
      <c r="AA2535">
        <v>0.99467050000000001</v>
      </c>
      <c r="AB2535">
        <v>43</v>
      </c>
      <c r="AC2535">
        <v>110.3691</v>
      </c>
      <c r="AD2535">
        <v>9.7656429999999901</v>
      </c>
      <c r="AE2535">
        <v>-10.306699999999999</v>
      </c>
      <c r="AF2535">
        <v>11.41845165827</v>
      </c>
      <c r="AG2535">
        <v>9.7656429999999901</v>
      </c>
      <c r="AH2535">
        <v>109.40131387500099</v>
      </c>
      <c r="AI2535">
        <v>84.926460688854604</v>
      </c>
      <c r="AJ2535">
        <v>84.041489560589994</v>
      </c>
      <c r="AK2535">
        <v>110.428240496044</v>
      </c>
      <c r="AL2535">
        <v>77.453169911348496</v>
      </c>
      <c r="AM2535">
        <v>90.225304319622396</v>
      </c>
      <c r="AN2535">
        <v>0.99999996968171001</v>
      </c>
    </row>
    <row r="2536" spans="1:40" x14ac:dyDescent="0.25">
      <c r="A2536" t="str">
        <f>"20190303170814902"</f>
        <v>20190303170814902</v>
      </c>
      <c r="B2536" t="str">
        <f>"1551604094895158"</f>
        <v>1551604094895158</v>
      </c>
      <c r="C2536" t="s">
        <v>40</v>
      </c>
      <c r="D2536">
        <v>4.3306579999999997</v>
      </c>
      <c r="E2536">
        <v>0.51652259999999905</v>
      </c>
      <c r="F2536" t="s">
        <v>92</v>
      </c>
      <c r="G2536">
        <v>-280.1046</v>
      </c>
      <c r="H2536">
        <v>10.96306</v>
      </c>
      <c r="I2536">
        <v>202.9579</v>
      </c>
      <c r="J2536">
        <v>-390.10640000000001</v>
      </c>
      <c r="K2536">
        <v>1.120309</v>
      </c>
      <c r="L2536">
        <v>213.15199999999999</v>
      </c>
      <c r="M2536">
        <v>0.99989760000000005</v>
      </c>
      <c r="N2536">
        <v>-9.2951100000000005E-3</v>
      </c>
      <c r="O2536">
        <v>1.088039E-2</v>
      </c>
      <c r="P2536">
        <v>0.97788079999999999</v>
      </c>
      <c r="Q2536">
        <v>0.20855779999999999</v>
      </c>
      <c r="R2536">
        <v>1.591089E-2</v>
      </c>
      <c r="S2536">
        <v>3.014465</v>
      </c>
      <c r="T2536">
        <v>0.2687155</v>
      </c>
      <c r="U2536">
        <v>-0.27818300000000001</v>
      </c>
      <c r="V2536">
        <v>-5.2556460000000001E-3</v>
      </c>
      <c r="W2536">
        <v>0.21763959999999999</v>
      </c>
      <c r="X2536">
        <v>0.97601499999999997</v>
      </c>
      <c r="Y2536">
        <v>0.1023095</v>
      </c>
      <c r="Z2536">
        <v>5.1308179999999997E-3</v>
      </c>
      <c r="AA2536">
        <v>0.99473940000000005</v>
      </c>
      <c r="AB2536">
        <v>43</v>
      </c>
      <c r="AC2536">
        <v>110.0018</v>
      </c>
      <c r="AD2536">
        <v>9.8427509999999998</v>
      </c>
      <c r="AE2536">
        <v>-10.194100000000001</v>
      </c>
      <c r="AF2536">
        <v>11.300703985243</v>
      </c>
      <c r="AG2536">
        <v>9.8427509999999998</v>
      </c>
      <c r="AH2536">
        <v>109.01895813603601</v>
      </c>
      <c r="AI2536">
        <v>84.868399042570502</v>
      </c>
      <c r="AJ2536">
        <v>84.081961317780596</v>
      </c>
      <c r="AK2536">
        <v>110.04416790942101</v>
      </c>
      <c r="AL2536">
        <v>77.429566276346904</v>
      </c>
      <c r="AM2536">
        <v>90.308523356681405</v>
      </c>
      <c r="AN2536">
        <v>0.99999994876401699</v>
      </c>
    </row>
    <row r="2537" spans="1:40" x14ac:dyDescent="0.25">
      <c r="A2537" t="str">
        <f>"20190303170814924"</f>
        <v>20190303170814924</v>
      </c>
      <c r="B2537" t="str">
        <f>"1551604094915654"</f>
        <v>1551604094915654</v>
      </c>
      <c r="C2537" t="s">
        <v>40</v>
      </c>
      <c r="D2537">
        <v>4.3831740000000003</v>
      </c>
      <c r="E2537">
        <v>0.50078750000000005</v>
      </c>
      <c r="F2537" t="s">
        <v>54</v>
      </c>
      <c r="G2537">
        <v>-169.3989</v>
      </c>
      <c r="H2537">
        <v>19.418710000000001</v>
      </c>
      <c r="I2537">
        <v>208.42019999999999</v>
      </c>
      <c r="J2537">
        <v>-389.68400000000003</v>
      </c>
      <c r="K2537">
        <v>1.1202989999999999</v>
      </c>
      <c r="L2537">
        <v>213.1566</v>
      </c>
      <c r="M2537">
        <v>0.99989839999999997</v>
      </c>
      <c r="N2537">
        <v>-9.2308340000000003E-3</v>
      </c>
      <c r="O2537">
        <v>1.087988E-2</v>
      </c>
      <c r="P2537">
        <v>0.97781530000000005</v>
      </c>
      <c r="Q2537">
        <v>0.2088054</v>
      </c>
      <c r="R2537">
        <v>1.6667729999999999E-2</v>
      </c>
      <c r="S2537">
        <v>3.0155940000000001</v>
      </c>
      <c r="T2537">
        <v>0.25001719999999999</v>
      </c>
      <c r="U2537">
        <v>-6.4651490000000006E-2</v>
      </c>
      <c r="V2537">
        <v>-6.0149230000000001E-3</v>
      </c>
      <c r="W2537">
        <v>0.2178244</v>
      </c>
      <c r="X2537">
        <v>0.97596939999999999</v>
      </c>
      <c r="Y2537">
        <v>3.2166630000000002E-2</v>
      </c>
      <c r="Z2537">
        <v>2.182916E-3</v>
      </c>
      <c r="AA2537">
        <v>0.99948009999999998</v>
      </c>
      <c r="AB2537">
        <v>43</v>
      </c>
      <c r="AC2537">
        <v>220.2851</v>
      </c>
      <c r="AD2537">
        <v>18.298410999999899</v>
      </c>
      <c r="AE2537">
        <v>-4.7363999999999997</v>
      </c>
      <c r="AF2537">
        <v>7.08403862616652</v>
      </c>
      <c r="AG2537">
        <v>18.298410999999899</v>
      </c>
      <c r="AH2537">
        <v>218.712085272785</v>
      </c>
      <c r="AI2537">
        <v>85.220017118795695</v>
      </c>
      <c r="AJ2537">
        <v>88.144850267453506</v>
      </c>
      <c r="AK2537">
        <v>219.59050911355899</v>
      </c>
      <c r="AL2537">
        <v>77.418717876789998</v>
      </c>
      <c r="AM2537">
        <v>90.353110803222094</v>
      </c>
      <c r="AN2537">
        <v>0.99999995913520701</v>
      </c>
    </row>
    <row r="2538" spans="1:40" x14ac:dyDescent="0.25">
      <c r="A2538" t="str">
        <f>"20190303170814946"</f>
        <v>20190303170814946</v>
      </c>
      <c r="B2538" t="str">
        <f>"1551604094935178"</f>
        <v>1551604094935178</v>
      </c>
      <c r="C2538" t="s">
        <v>40</v>
      </c>
      <c r="D2538">
        <v>4.3241500000000004</v>
      </c>
      <c r="E2538">
        <v>0.50030370000000002</v>
      </c>
      <c r="F2538" t="s">
        <v>53</v>
      </c>
      <c r="G2538">
        <v>-138.3837</v>
      </c>
      <c r="H2538">
        <v>12.066470000000001</v>
      </c>
      <c r="I2538">
        <v>218.89709999999999</v>
      </c>
      <c r="J2538">
        <v>-389.25150000000002</v>
      </c>
      <c r="K2538">
        <v>1.1202909999999999</v>
      </c>
      <c r="L2538">
        <v>213.16130000000001</v>
      </c>
      <c r="M2538">
        <v>0.99989890000000003</v>
      </c>
      <c r="N2538">
        <v>-9.1712770000000002E-3</v>
      </c>
      <c r="O2538">
        <v>1.087952E-2</v>
      </c>
      <c r="P2538">
        <v>0.97798790000000002</v>
      </c>
      <c r="Q2538">
        <v>0.2079395</v>
      </c>
      <c r="R2538">
        <v>1.7359409999999999E-2</v>
      </c>
      <c r="S2538">
        <v>3.0386350000000002</v>
      </c>
      <c r="T2538">
        <v>0.132358</v>
      </c>
      <c r="U2538">
        <v>6.9412230000000005E-2</v>
      </c>
      <c r="V2538">
        <v>-6.7064899999999998E-3</v>
      </c>
      <c r="W2538">
        <v>0.21690190000000001</v>
      </c>
      <c r="X2538">
        <v>0.97617039999999999</v>
      </c>
      <c r="Y2538">
        <v>-1.196493E-2</v>
      </c>
      <c r="Z2538">
        <v>3.6776840000000001E-4</v>
      </c>
      <c r="AA2538">
        <v>0.99992840000000005</v>
      </c>
      <c r="AB2538">
        <v>43</v>
      </c>
      <c r="AC2538">
        <v>250.86779999999999</v>
      </c>
      <c r="AD2538">
        <v>10.946179000000001</v>
      </c>
      <c r="AE2538">
        <v>5.7357999999999798</v>
      </c>
      <c r="AF2538">
        <v>-3.00031565745264</v>
      </c>
      <c r="AG2538">
        <v>10.946179000000001</v>
      </c>
      <c r="AH2538">
        <v>250.43880526272201</v>
      </c>
      <c r="AI2538">
        <v>87.497488384256499</v>
      </c>
      <c r="AJ2538">
        <v>90.686384047417405</v>
      </c>
      <c r="AK2538">
        <v>250.695863368673</v>
      </c>
      <c r="AL2538">
        <v>77.472868830816594</v>
      </c>
      <c r="AM2538">
        <v>90.393627513153405</v>
      </c>
      <c r="AN2538">
        <v>1.00000003053394</v>
      </c>
    </row>
    <row r="2539" spans="1:40" x14ac:dyDescent="0.25">
      <c r="A2539" t="str">
        <f>"20190303170814968"</f>
        <v>20190303170814968</v>
      </c>
      <c r="B2539" t="str">
        <f>"1551604094955670"</f>
        <v>1551604094955670</v>
      </c>
      <c r="C2539" t="s">
        <v>40</v>
      </c>
      <c r="D2539">
        <v>4.262632</v>
      </c>
      <c r="E2539">
        <v>0.50045499999999998</v>
      </c>
      <c r="F2539" t="s">
        <v>53</v>
      </c>
      <c r="G2539">
        <v>-156.5693</v>
      </c>
      <c r="H2539">
        <v>10.827870000000001</v>
      </c>
      <c r="I2539">
        <v>218.89709999999999</v>
      </c>
      <c r="J2539">
        <v>-388.85309999999998</v>
      </c>
      <c r="K2539">
        <v>1.1202840000000001</v>
      </c>
      <c r="L2539">
        <v>213.16560000000001</v>
      </c>
      <c r="M2539">
        <v>0.99989930000000005</v>
      </c>
      <c r="N2539">
        <v>-9.1228190000000008E-3</v>
      </c>
      <c r="O2539">
        <v>1.087959E-2</v>
      </c>
      <c r="P2539">
        <v>0.9781067</v>
      </c>
      <c r="Q2539">
        <v>0.2073497</v>
      </c>
      <c r="R2539">
        <v>1.7706659999999999E-2</v>
      </c>
      <c r="S2539">
        <v>3.0392760000000001</v>
      </c>
      <c r="T2539">
        <v>0.1268003</v>
      </c>
      <c r="U2539">
        <v>7.4920650000000005E-2</v>
      </c>
      <c r="V2539">
        <v>-7.0524239999999998E-3</v>
      </c>
      <c r="W2539">
        <v>0.21626600000000001</v>
      </c>
      <c r="X2539">
        <v>0.97630899999999998</v>
      </c>
      <c r="Y2539">
        <v>-1.376984E-2</v>
      </c>
      <c r="Z2539">
        <v>3.2857390000000001E-4</v>
      </c>
      <c r="AA2539">
        <v>0.99990509999999999</v>
      </c>
      <c r="AB2539">
        <v>43</v>
      </c>
      <c r="AC2539">
        <v>232.28380000000001</v>
      </c>
      <c r="AD2539">
        <v>9.7075859999999992</v>
      </c>
      <c r="AE2539">
        <v>5.7314999999999801</v>
      </c>
      <c r="AF2539">
        <v>-3.1983206594494402</v>
      </c>
      <c r="AG2539">
        <v>9.7075859999999992</v>
      </c>
      <c r="AH2539">
        <v>231.92758019592199</v>
      </c>
      <c r="AI2539">
        <v>87.603448237520993</v>
      </c>
      <c r="AJ2539">
        <v>90.790068435699396</v>
      </c>
      <c r="AK2539">
        <v>232.15268453438901</v>
      </c>
      <c r="AL2539">
        <v>77.510188553488206</v>
      </c>
      <c r="AM2539">
        <v>90.413872147640106</v>
      </c>
      <c r="AN2539">
        <v>0.99999999146063701</v>
      </c>
    </row>
    <row r="2540" spans="1:40" x14ac:dyDescent="0.25">
      <c r="A2540" t="str">
        <f>"20190303170814990"</f>
        <v>20190303170814990</v>
      </c>
      <c r="B2540" t="str">
        <f>"1551604094984951"</f>
        <v>1551604094984951</v>
      </c>
      <c r="C2540" t="s">
        <v>40</v>
      </c>
      <c r="D2540">
        <v>4.259779</v>
      </c>
      <c r="E2540">
        <v>0.50069140000000001</v>
      </c>
      <c r="F2540" t="s">
        <v>53</v>
      </c>
      <c r="G2540">
        <v>-155.1337</v>
      </c>
      <c r="H2540">
        <v>10.62612</v>
      </c>
      <c r="I2540">
        <v>218.89709999999999</v>
      </c>
      <c r="J2540">
        <v>-388.41239999999999</v>
      </c>
      <c r="K2540">
        <v>1.1202749999999999</v>
      </c>
      <c r="L2540">
        <v>213.1704</v>
      </c>
      <c r="M2540">
        <v>0.99989969999999995</v>
      </c>
      <c r="N2540">
        <v>-9.0727700000000008E-3</v>
      </c>
      <c r="O2540">
        <v>1.0879649999999999E-2</v>
      </c>
      <c r="P2540">
        <v>0.97828820000000005</v>
      </c>
      <c r="Q2540">
        <v>0.20653740000000001</v>
      </c>
      <c r="R2540">
        <v>1.7167149999999999E-2</v>
      </c>
      <c r="S2540">
        <v>3.0395810000000001</v>
      </c>
      <c r="T2540">
        <v>0.1236266</v>
      </c>
      <c r="U2540">
        <v>7.4539179999999997E-2</v>
      </c>
      <c r="V2540">
        <v>-6.5118019999999997E-3</v>
      </c>
      <c r="W2540">
        <v>0.2154065</v>
      </c>
      <c r="X2540">
        <v>0.9765028</v>
      </c>
      <c r="Y2540">
        <v>-1.364189E-2</v>
      </c>
      <c r="Z2540">
        <v>3.2552850000000001E-4</v>
      </c>
      <c r="AA2540">
        <v>0.99990690000000004</v>
      </c>
      <c r="AB2540">
        <v>43</v>
      </c>
      <c r="AC2540">
        <v>233.27869999999999</v>
      </c>
      <c r="AD2540">
        <v>9.5058449999999901</v>
      </c>
      <c r="AE2540">
        <v>5.7266999999999904</v>
      </c>
      <c r="AF2540">
        <v>-3.1829840115587098</v>
      </c>
      <c r="AG2540">
        <v>9.5058449999999901</v>
      </c>
      <c r="AH2540">
        <v>232.94064107090699</v>
      </c>
      <c r="AI2540">
        <v>87.663387495473998</v>
      </c>
      <c r="AJ2540">
        <v>90.782861247712106</v>
      </c>
      <c r="AK2540">
        <v>233.15624533541299</v>
      </c>
      <c r="AL2540">
        <v>77.5606236680526</v>
      </c>
      <c r="AM2540">
        <v>90.382070836206907</v>
      </c>
      <c r="AN2540">
        <v>1.0000000411076799</v>
      </c>
    </row>
    <row r="2541" spans="1:40" x14ac:dyDescent="0.25">
      <c r="A2541" t="str">
        <f>"20190303170815013"</f>
        <v>20190303170815013</v>
      </c>
      <c r="B2541" t="str">
        <f>"1551604095005449"</f>
        <v>1551604095005449</v>
      </c>
      <c r="C2541" t="s">
        <v>40</v>
      </c>
      <c r="D2541">
        <v>4.0966509999999996</v>
      </c>
      <c r="E2541">
        <v>0.50086129999999995</v>
      </c>
      <c r="F2541" t="s">
        <v>53</v>
      </c>
      <c r="G2541">
        <v>-141.2441</v>
      </c>
      <c r="H2541">
        <v>10.887740000000001</v>
      </c>
      <c r="I2541">
        <v>218.9469</v>
      </c>
      <c r="J2541">
        <v>-387.96069999999997</v>
      </c>
      <c r="K2541">
        <v>1.120269</v>
      </c>
      <c r="L2541">
        <v>213.1754</v>
      </c>
      <c r="M2541">
        <v>0.99990020000000002</v>
      </c>
      <c r="N2541">
        <v>-9.0253460000000001E-3</v>
      </c>
      <c r="O2541">
        <v>1.087958E-2</v>
      </c>
      <c r="P2541">
        <v>0.97824199999999994</v>
      </c>
      <c r="Q2541">
        <v>0.2068122</v>
      </c>
      <c r="R2541">
        <v>1.6483459999999998E-2</v>
      </c>
      <c r="S2541">
        <v>3.0399479999999999</v>
      </c>
      <c r="T2541">
        <v>0.12013169999999999</v>
      </c>
      <c r="U2541">
        <v>7.1044919999999998E-2</v>
      </c>
      <c r="V2541">
        <v>-5.8293479999999998E-3</v>
      </c>
      <c r="W2541">
        <v>0.2156342</v>
      </c>
      <c r="X2541">
        <v>0.97645680000000001</v>
      </c>
      <c r="Y2541">
        <v>-1.2490920000000001E-2</v>
      </c>
      <c r="Z2541">
        <v>3.3754489999999999E-4</v>
      </c>
      <c r="AA2541">
        <v>0.99992190000000003</v>
      </c>
      <c r="AB2541">
        <v>43</v>
      </c>
      <c r="AC2541">
        <v>246.7166</v>
      </c>
      <c r="AD2541">
        <v>9.7674710000000005</v>
      </c>
      <c r="AE2541">
        <v>5.7714999999999996</v>
      </c>
      <c r="AF2541">
        <v>-3.0820483618317498</v>
      </c>
      <c r="AG2541">
        <v>9.7674710000000005</v>
      </c>
      <c r="AH2541">
        <v>246.378839066626</v>
      </c>
      <c r="AI2541">
        <v>87.729925811425204</v>
      </c>
      <c r="AJ2541">
        <v>90.716697723683396</v>
      </c>
      <c r="AK2541">
        <v>246.59163581042</v>
      </c>
      <c r="AL2541">
        <v>77.547262746978404</v>
      </c>
      <c r="AM2541">
        <v>90.342045925582894</v>
      </c>
      <c r="AN2541">
        <v>0.99999998588699202</v>
      </c>
    </row>
    <row r="2542" spans="1:40" x14ac:dyDescent="0.25">
      <c r="A2542" t="str">
        <f>"20190303170815036"</f>
        <v>20190303170815036</v>
      </c>
      <c r="B2542" t="str">
        <f>"1551604095025943"</f>
        <v>1551604095025943</v>
      </c>
      <c r="C2542" t="s">
        <v>40</v>
      </c>
      <c r="D2542">
        <v>4.0530670000000004</v>
      </c>
      <c r="E2542">
        <v>0.50105169999999999</v>
      </c>
      <c r="F2542" t="s">
        <v>53</v>
      </c>
      <c r="G2542">
        <v>-124.6118</v>
      </c>
      <c r="H2542">
        <v>11.62082</v>
      </c>
      <c r="I2542">
        <v>219.0326</v>
      </c>
      <c r="J2542">
        <v>-387.52120000000002</v>
      </c>
      <c r="K2542">
        <v>1.1202650000000001</v>
      </c>
      <c r="L2542">
        <v>213.18010000000001</v>
      </c>
      <c r="M2542">
        <v>0.99990060000000003</v>
      </c>
      <c r="N2542">
        <v>-8.9841339999999995E-3</v>
      </c>
      <c r="O2542">
        <v>1.0879959999999999E-2</v>
      </c>
      <c r="P2542">
        <v>0.97828409999999999</v>
      </c>
      <c r="Q2542">
        <v>0.20666799999999999</v>
      </c>
      <c r="R2542">
        <v>1.5776780000000001E-2</v>
      </c>
      <c r="S2542">
        <v>3.039917</v>
      </c>
      <c r="T2542">
        <v>0.1212116</v>
      </c>
      <c r="U2542">
        <v>6.7611690000000002E-2</v>
      </c>
      <c r="V2542">
        <v>-5.1222960000000001E-3</v>
      </c>
      <c r="W2542">
        <v>0.2154498</v>
      </c>
      <c r="X2542">
        <v>0.97650150000000002</v>
      </c>
      <c r="Y2542">
        <v>-1.136276E-2</v>
      </c>
      <c r="Z2542">
        <v>3.5591639999999999E-4</v>
      </c>
      <c r="AA2542">
        <v>0.99993540000000003</v>
      </c>
      <c r="AB2542">
        <v>43</v>
      </c>
      <c r="AC2542">
        <v>262.90940000000001</v>
      </c>
      <c r="AD2542">
        <v>10.500555</v>
      </c>
      <c r="AE2542">
        <v>5.8524999999999903</v>
      </c>
      <c r="AF2542">
        <v>-2.9868325910774098</v>
      </c>
      <c r="AG2542">
        <v>10.500555</v>
      </c>
      <c r="AH2542">
        <v>262.53892315133999</v>
      </c>
      <c r="AI2542">
        <v>87.709756316003904</v>
      </c>
      <c r="AJ2542">
        <v>90.651810089209803</v>
      </c>
      <c r="AK2542">
        <v>262.765806363195</v>
      </c>
      <c r="AL2542">
        <v>77.558082801369494</v>
      </c>
      <c r="AM2542">
        <v>90.300545621710896</v>
      </c>
      <c r="AN2542">
        <v>1.0000000168693</v>
      </c>
    </row>
    <row r="2543" spans="1:40" x14ac:dyDescent="0.25">
      <c r="A2543" t="str">
        <f>"20190303170815058"</f>
        <v>20190303170815058</v>
      </c>
      <c r="B2543" t="str">
        <f>"1551604095045466"</f>
        <v>1551604095045466</v>
      </c>
      <c r="C2543" t="s">
        <v>40</v>
      </c>
      <c r="D2543">
        <v>4.0543990000000001</v>
      </c>
      <c r="E2543">
        <v>0.50122630000000001</v>
      </c>
      <c r="F2543" t="s">
        <v>90</v>
      </c>
      <c r="G2543">
        <v>-107.39749999999999</v>
      </c>
      <c r="H2543">
        <v>12.28792</v>
      </c>
      <c r="I2543">
        <v>219.011</v>
      </c>
      <c r="J2543">
        <v>-387.10390000000001</v>
      </c>
      <c r="K2543">
        <v>1.120263</v>
      </c>
      <c r="L2543">
        <v>213.18469999999999</v>
      </c>
      <c r="M2543">
        <v>0.99990080000000003</v>
      </c>
      <c r="N2543">
        <v>-8.9502820000000004E-3</v>
      </c>
      <c r="O2543">
        <v>1.0880239999999999E-2</v>
      </c>
      <c r="P2543">
        <v>0.97841469999999997</v>
      </c>
      <c r="Q2543">
        <v>0.20607030000000001</v>
      </c>
      <c r="R2543">
        <v>1.5481200000000001E-2</v>
      </c>
      <c r="S2543">
        <v>3.0399780000000001</v>
      </c>
      <c r="T2543">
        <v>0.121195</v>
      </c>
      <c r="U2543">
        <v>6.3278199999999896E-2</v>
      </c>
      <c r="V2543">
        <v>-4.8254420000000001E-3</v>
      </c>
      <c r="W2543">
        <v>0.2148207</v>
      </c>
      <c r="X2543">
        <v>0.9766416</v>
      </c>
      <c r="Y2543">
        <v>-9.9381220000000006E-3</v>
      </c>
      <c r="Z2543">
        <v>3.7734690000000001E-4</v>
      </c>
      <c r="AA2543">
        <v>0.99995049999999996</v>
      </c>
      <c r="AB2543">
        <v>43</v>
      </c>
      <c r="AC2543">
        <v>279.70639999999997</v>
      </c>
      <c r="AD2543">
        <v>11.167657</v>
      </c>
      <c r="AE2543">
        <v>5.8262999999999998</v>
      </c>
      <c r="AF2543">
        <v>-2.7781338479848499</v>
      </c>
      <c r="AG2543">
        <v>11.167657</v>
      </c>
      <c r="AH2543">
        <v>279.30818057057297</v>
      </c>
      <c r="AI2543">
        <v>87.710459583683303</v>
      </c>
      <c r="AJ2543">
        <v>90.569872658913994</v>
      </c>
      <c r="AK2543">
        <v>279.54515614510399</v>
      </c>
      <c r="AL2543">
        <v>77.594991823029105</v>
      </c>
      <c r="AM2543">
        <v>90.283087686544107</v>
      </c>
      <c r="AN2543">
        <v>1.00000001644477</v>
      </c>
    </row>
    <row r="2544" spans="1:40" x14ac:dyDescent="0.25">
      <c r="A2544" t="str">
        <f>"20190303170815081"</f>
        <v>20190303170815081</v>
      </c>
      <c r="B2544" t="str">
        <f>"1551604095075718"</f>
        <v>1551604095075718</v>
      </c>
      <c r="C2544" t="s">
        <v>40</v>
      </c>
      <c r="D2544">
        <v>4.2037909999999998</v>
      </c>
      <c r="E2544">
        <v>0.50141190000000002</v>
      </c>
      <c r="F2544" t="s">
        <v>90</v>
      </c>
      <c r="G2544">
        <v>-107.39749999999999</v>
      </c>
      <c r="H2544">
        <v>12.10863</v>
      </c>
      <c r="I2544">
        <v>218.77369999999999</v>
      </c>
      <c r="J2544">
        <v>-386.6422</v>
      </c>
      <c r="K2544">
        <v>1.1202490000000001</v>
      </c>
      <c r="L2544">
        <v>213.18969999999999</v>
      </c>
      <c r="M2544">
        <v>0.99990109999999999</v>
      </c>
      <c r="N2544">
        <v>-8.9188110000000004E-3</v>
      </c>
      <c r="O2544">
        <v>1.0880570000000001E-2</v>
      </c>
      <c r="P2544">
        <v>0.97852980000000001</v>
      </c>
      <c r="Q2544">
        <v>0.20557639999999999</v>
      </c>
      <c r="R2544">
        <v>1.4775699999999999E-2</v>
      </c>
      <c r="S2544">
        <v>3.0400390000000002</v>
      </c>
      <c r="T2544">
        <v>0.1194296</v>
      </c>
      <c r="U2544">
        <v>6.0745239999999999E-2</v>
      </c>
      <c r="V2544">
        <v>-4.1189950000000003E-3</v>
      </c>
      <c r="W2544">
        <v>0.21429670000000001</v>
      </c>
      <c r="X2544">
        <v>0.97675990000000001</v>
      </c>
      <c r="Y2544">
        <v>-9.1049349999999998E-3</v>
      </c>
      <c r="Z2544">
        <v>3.8607589999999997E-4</v>
      </c>
      <c r="AA2544">
        <v>0.99995849999999997</v>
      </c>
      <c r="AB2544">
        <v>44</v>
      </c>
      <c r="AC2544">
        <v>279.24470000000002</v>
      </c>
      <c r="AD2544">
        <v>10.988381</v>
      </c>
      <c r="AE2544">
        <v>5.5839999999999996</v>
      </c>
      <c r="AF2544">
        <v>-2.54127382222693</v>
      </c>
      <c r="AG2544">
        <v>10.988381</v>
      </c>
      <c r="AH2544">
        <v>278.85730391971299</v>
      </c>
      <c r="AI2544">
        <v>87.743519060089298</v>
      </c>
      <c r="AJ2544">
        <v>90.522131685096895</v>
      </c>
      <c r="AK2544">
        <v>279.08528900501398</v>
      </c>
      <c r="AL2544">
        <v>77.625730127132599</v>
      </c>
      <c r="AM2544">
        <v>90.241614782106595</v>
      </c>
      <c r="AN2544">
        <v>0.99999997199935398</v>
      </c>
    </row>
    <row r="2545" spans="1:40" x14ac:dyDescent="0.25">
      <c r="A2545" t="str">
        <f>"20190303170815126"</f>
        <v>20190303170815126</v>
      </c>
      <c r="B2545" t="str">
        <f>"1551604095115735"</f>
        <v>1551604095115735</v>
      </c>
      <c r="C2545" t="s">
        <v>40</v>
      </c>
      <c r="D2545">
        <v>4.1488589999999999</v>
      </c>
      <c r="E2545">
        <v>0.50158919999999996</v>
      </c>
      <c r="F2545" t="s">
        <v>90</v>
      </c>
      <c r="G2545">
        <v>-107.39749999999999</v>
      </c>
      <c r="H2545">
        <v>12.040940000000001</v>
      </c>
      <c r="I2545">
        <v>218.41640000000001</v>
      </c>
      <c r="J2545">
        <v>-385.77780000000001</v>
      </c>
      <c r="K2545">
        <v>1.120244</v>
      </c>
      <c r="L2545">
        <v>213.19909999999999</v>
      </c>
      <c r="M2545">
        <v>0.9999015</v>
      </c>
      <c r="N2545">
        <v>-8.8749080000000008E-3</v>
      </c>
      <c r="O2545">
        <v>1.0881790000000001E-2</v>
      </c>
      <c r="P2545">
        <v>0.97852830000000002</v>
      </c>
      <c r="Q2545">
        <v>0.2055767</v>
      </c>
      <c r="R2545">
        <v>1.486851E-2</v>
      </c>
      <c r="S2545">
        <v>3.0399780000000001</v>
      </c>
      <c r="T2545">
        <v>0.1188879</v>
      </c>
      <c r="U2545">
        <v>5.6900020000000003E-2</v>
      </c>
      <c r="V2545">
        <v>-4.2112549999999997E-3</v>
      </c>
      <c r="W2545">
        <v>0.2142539</v>
      </c>
      <c r="X2545">
        <v>0.97676890000000005</v>
      </c>
      <c r="Y2545">
        <v>-7.8404410000000001E-3</v>
      </c>
      <c r="Z2545">
        <v>4.034415E-4</v>
      </c>
      <c r="AA2545">
        <v>0.9999692</v>
      </c>
      <c r="AB2545">
        <v>44</v>
      </c>
      <c r="AC2545">
        <v>278.38029999999998</v>
      </c>
      <c r="AD2545">
        <v>10.920696</v>
      </c>
      <c r="AE2545">
        <v>5.2173000000000203</v>
      </c>
      <c r="AF2545">
        <v>-2.1842358374923001</v>
      </c>
      <c r="AG2545">
        <v>10.920696</v>
      </c>
      <c r="AH2545">
        <v>277.992925900221</v>
      </c>
      <c r="AI2545">
        <v>87.750414226690495</v>
      </c>
      <c r="AJ2545">
        <v>90.450173037001207</v>
      </c>
      <c r="AK2545">
        <v>278.21592215019598</v>
      </c>
      <c r="AL2545">
        <v>77.628240751265395</v>
      </c>
      <c r="AM2545">
        <v>90.247024288889193</v>
      </c>
      <c r="AN2545">
        <v>0.99999997617054703</v>
      </c>
    </row>
    <row r="2546" spans="1:40" x14ac:dyDescent="0.25">
      <c r="A2546" t="str">
        <f>"20190303170815148"</f>
        <v>20190303170815148</v>
      </c>
      <c r="B2546" t="str">
        <f>"1551604095135254"</f>
        <v>1551604095135254</v>
      </c>
      <c r="C2546" t="s">
        <v>40</v>
      </c>
      <c r="D2546">
        <v>3.995644</v>
      </c>
      <c r="E2546">
        <v>0.50171639999999995</v>
      </c>
      <c r="F2546" t="s">
        <v>90</v>
      </c>
      <c r="G2546">
        <v>-107.39749999999999</v>
      </c>
      <c r="H2546">
        <v>12.046849999999999</v>
      </c>
      <c r="I2546">
        <v>218.31880000000001</v>
      </c>
      <c r="J2546">
        <v>-385.33139999999997</v>
      </c>
      <c r="K2546">
        <v>1.1202540000000001</v>
      </c>
      <c r="L2546">
        <v>213.20400000000001</v>
      </c>
      <c r="M2546">
        <v>0.9999017</v>
      </c>
      <c r="N2546">
        <v>-8.8589559999999994E-3</v>
      </c>
      <c r="O2546">
        <v>1.088222E-2</v>
      </c>
      <c r="P2546">
        <v>0.9783676</v>
      </c>
      <c r="Q2546">
        <v>0.20630480000000001</v>
      </c>
      <c r="R2546">
        <v>1.5346830000000001E-2</v>
      </c>
      <c r="S2546">
        <v>3.0399479999999999</v>
      </c>
      <c r="T2546">
        <v>0.11932039999999999</v>
      </c>
      <c r="U2546">
        <v>5.5908199999999998E-2</v>
      </c>
      <c r="V2546">
        <v>-4.6907019999999997E-3</v>
      </c>
      <c r="W2546">
        <v>0.21496499999999999</v>
      </c>
      <c r="X2546">
        <v>0.97661050000000005</v>
      </c>
      <c r="Y2546">
        <v>-7.5142769999999998E-3</v>
      </c>
      <c r="Z2546">
        <v>4.091718E-4</v>
      </c>
      <c r="AA2546">
        <v>0.99997170000000002</v>
      </c>
      <c r="AB2546">
        <v>44</v>
      </c>
      <c r="AC2546">
        <v>277.93389999999999</v>
      </c>
      <c r="AD2546">
        <v>10.926596</v>
      </c>
      <c r="AE2546">
        <v>5.1147999999999998</v>
      </c>
      <c r="AF2546">
        <v>-2.0866171439161501</v>
      </c>
      <c r="AG2546">
        <v>10.926596</v>
      </c>
      <c r="AH2546">
        <v>277.54428696743201</v>
      </c>
      <c r="AI2546">
        <v>87.745559674550606</v>
      </c>
      <c r="AJ2546">
        <v>90.430749646072996</v>
      </c>
      <c r="AK2546">
        <v>277.767124943743</v>
      </c>
      <c r="AL2546">
        <v>77.586526201978899</v>
      </c>
      <c r="AM2546">
        <v>90.275191963333796</v>
      </c>
      <c r="AN2546">
        <v>1.0000000113102501</v>
      </c>
    </row>
    <row r="2547" spans="1:40" x14ac:dyDescent="0.25">
      <c r="A2547" t="str">
        <f>"20190303170815168"</f>
        <v>20190303170815168</v>
      </c>
      <c r="B2547" t="str">
        <f>"1551604095155751"</f>
        <v>1551604095155751</v>
      </c>
      <c r="C2547" t="s">
        <v>40</v>
      </c>
      <c r="D2547">
        <v>3.9687070000000002</v>
      </c>
      <c r="E2547">
        <v>0.50182479999999996</v>
      </c>
      <c r="F2547" t="s">
        <v>90</v>
      </c>
      <c r="G2547">
        <v>-107.39749999999999</v>
      </c>
      <c r="H2547">
        <v>12.27838</v>
      </c>
      <c r="I2547">
        <v>218.34649999999999</v>
      </c>
      <c r="J2547">
        <v>-384.9384</v>
      </c>
      <c r="K2547">
        <v>1.1202529999999999</v>
      </c>
      <c r="L2547">
        <v>213.20820000000001</v>
      </c>
      <c r="M2547">
        <v>0.99990179999999995</v>
      </c>
      <c r="N2547">
        <v>-8.8483780000000005E-3</v>
      </c>
      <c r="O2547">
        <v>1.088275E-2</v>
      </c>
      <c r="P2547">
        <v>0.97831590000000002</v>
      </c>
      <c r="Q2547">
        <v>0.20650930000000001</v>
      </c>
      <c r="R2547">
        <v>1.5873040000000001E-2</v>
      </c>
      <c r="S2547">
        <v>3.0397340000000002</v>
      </c>
      <c r="T2547">
        <v>0.1220359</v>
      </c>
      <c r="U2547">
        <v>5.6243899999999999E-2</v>
      </c>
      <c r="V2547">
        <v>-5.2166959999999998E-3</v>
      </c>
      <c r="W2547">
        <v>0.21515919999999999</v>
      </c>
      <c r="X2547">
        <v>0.97656509999999996</v>
      </c>
      <c r="Y2547">
        <v>-7.6255969999999996E-3</v>
      </c>
      <c r="Z2547">
        <v>4.1367630000000002E-4</v>
      </c>
      <c r="AA2547">
        <v>0.9999709</v>
      </c>
      <c r="AB2547">
        <v>44</v>
      </c>
      <c r="AC2547">
        <v>277.54090000000002</v>
      </c>
      <c r="AD2547">
        <v>11.158127</v>
      </c>
      <c r="AE2547">
        <v>5.1382999999999797</v>
      </c>
      <c r="AF2547">
        <v>-2.1140538991365099</v>
      </c>
      <c r="AG2547">
        <v>11.158127</v>
      </c>
      <c r="AH2547">
        <v>277.13260127744701</v>
      </c>
      <c r="AI2547">
        <v>87.694425394322096</v>
      </c>
      <c r="AJ2547">
        <v>90.437061594751299</v>
      </c>
      <c r="AK2547">
        <v>277.36519556866</v>
      </c>
      <c r="AL2547">
        <v>77.575133183443796</v>
      </c>
      <c r="AM2547">
        <v>90.306064409627595</v>
      </c>
      <c r="AN2547">
        <v>1.0000000448999</v>
      </c>
    </row>
    <row r="2548" spans="1:40" x14ac:dyDescent="0.25">
      <c r="A2548" t="str">
        <f>"20190303170815193"</f>
        <v>20190303170815193</v>
      </c>
      <c r="B2548" t="str">
        <f>"1551604095185031"</f>
        <v>1551604095185031</v>
      </c>
      <c r="C2548" t="s">
        <v>40</v>
      </c>
      <c r="D2548">
        <v>3.9808910000000002</v>
      </c>
      <c r="E2548">
        <v>0.50187780000000004</v>
      </c>
      <c r="F2548" t="s">
        <v>90</v>
      </c>
      <c r="G2548">
        <v>-107.39749999999999</v>
      </c>
      <c r="H2548">
        <v>12.396140000000001</v>
      </c>
      <c r="I2548">
        <v>218.39410000000001</v>
      </c>
      <c r="J2548">
        <v>-384.45740000000001</v>
      </c>
      <c r="K2548">
        <v>1.120258</v>
      </c>
      <c r="L2548">
        <v>213.21350000000001</v>
      </c>
      <c r="M2548">
        <v>0.9999017</v>
      </c>
      <c r="N2548">
        <v>-8.8474529999999999E-3</v>
      </c>
      <c r="O2548">
        <v>1.088341E-2</v>
      </c>
      <c r="P2548">
        <v>0.97826590000000002</v>
      </c>
      <c r="Q2548">
        <v>0.2067427</v>
      </c>
      <c r="R2548">
        <v>1.5915599999999998E-2</v>
      </c>
      <c r="S2548">
        <v>3.03952</v>
      </c>
      <c r="T2548">
        <v>0.12348969999999999</v>
      </c>
      <c r="U2548">
        <v>5.6793209999999997E-2</v>
      </c>
      <c r="V2548">
        <v>-5.2592619999999998E-3</v>
      </c>
      <c r="W2548">
        <v>0.2153911</v>
      </c>
      <c r="X2548">
        <v>0.97651370000000004</v>
      </c>
      <c r="Y2548">
        <v>-7.806899E-3</v>
      </c>
      <c r="Z2548">
        <v>4.1421250000000002E-4</v>
      </c>
      <c r="AA2548">
        <v>0.99996940000000001</v>
      </c>
      <c r="AB2548">
        <v>44</v>
      </c>
      <c r="AC2548">
        <v>277.05990000000003</v>
      </c>
      <c r="AD2548">
        <v>11.275881999999999</v>
      </c>
      <c r="AE2548">
        <v>5.1805999999999903</v>
      </c>
      <c r="AF2548">
        <v>-2.1612403114584602</v>
      </c>
      <c r="AG2548">
        <v>11.275881999999999</v>
      </c>
      <c r="AH2548">
        <v>276.64181715241898</v>
      </c>
      <c r="AI2548">
        <v>87.665995153664596</v>
      </c>
      <c r="AJ2548">
        <v>90.4476092242882</v>
      </c>
      <c r="AK2548">
        <v>276.87995859569497</v>
      </c>
      <c r="AL2548">
        <v>77.561526663628797</v>
      </c>
      <c r="AM2548">
        <v>90.308577956947005</v>
      </c>
      <c r="AN2548">
        <v>0.99999999604184198</v>
      </c>
    </row>
    <row r="2549" spans="1:40" x14ac:dyDescent="0.25">
      <c r="A2549" t="str">
        <f>"20190303170815214"</f>
        <v>20190303170815214</v>
      </c>
      <c r="B2549" t="str">
        <f>"1551604095205527"</f>
        <v>1551604095205527</v>
      </c>
      <c r="C2549" t="s">
        <v>40</v>
      </c>
      <c r="D2549">
        <v>4.0329350000000002</v>
      </c>
      <c r="E2549">
        <v>0.50196799999999997</v>
      </c>
      <c r="F2549" t="s">
        <v>90</v>
      </c>
      <c r="G2549">
        <v>-107.39749999999999</v>
      </c>
      <c r="H2549">
        <v>12.456519999999999</v>
      </c>
      <c r="I2549">
        <v>218.35419999999999</v>
      </c>
      <c r="J2549">
        <v>-384.03710000000001</v>
      </c>
      <c r="K2549">
        <v>1.1202589999999999</v>
      </c>
      <c r="L2549">
        <v>213.21809999999999</v>
      </c>
      <c r="M2549">
        <v>0.9999015</v>
      </c>
      <c r="N2549">
        <v>-8.8584619999999992E-3</v>
      </c>
      <c r="O2549">
        <v>1.0884069999999999E-2</v>
      </c>
      <c r="P2549">
        <v>0.97808689999999998</v>
      </c>
      <c r="Q2549">
        <v>0.20755280000000001</v>
      </c>
      <c r="R2549">
        <v>1.6365169999999998E-2</v>
      </c>
      <c r="S2549">
        <v>3.03952</v>
      </c>
      <c r="T2549">
        <v>0.1243664</v>
      </c>
      <c r="U2549">
        <v>5.6396479999999999E-2</v>
      </c>
      <c r="V2549">
        <v>-5.709871E-3</v>
      </c>
      <c r="W2549">
        <v>0.21621009999999999</v>
      </c>
      <c r="X2549">
        <v>0.97633020000000004</v>
      </c>
      <c r="Y2549">
        <v>-7.6759259999999996E-3</v>
      </c>
      <c r="Z2549">
        <v>4.1851650000000002E-4</v>
      </c>
      <c r="AA2549">
        <v>0.99997040000000004</v>
      </c>
      <c r="AB2549">
        <v>44</v>
      </c>
      <c r="AC2549">
        <v>276.63959999999997</v>
      </c>
      <c r="AD2549">
        <v>11.336261</v>
      </c>
      <c r="AE2549">
        <v>5.1360999999999901</v>
      </c>
      <c r="AF2549">
        <v>-2.1211520672874098</v>
      </c>
      <c r="AG2549">
        <v>11.336261</v>
      </c>
      <c r="AH2549">
        <v>276.215446035551</v>
      </c>
      <c r="AI2549">
        <v>87.649890739695905</v>
      </c>
      <c r="AJ2549">
        <v>90.439985069495094</v>
      </c>
      <c r="AK2549">
        <v>276.45611356627899</v>
      </c>
      <c r="AL2549">
        <v>77.513469549402302</v>
      </c>
      <c r="AM2549">
        <v>90.335079033845005</v>
      </c>
      <c r="AN2549">
        <v>1.0000000347004401</v>
      </c>
    </row>
    <row r="2550" spans="1:40" x14ac:dyDescent="0.25">
      <c r="A2550" t="str">
        <f>"20190303170815237"</f>
        <v>20190303170815237</v>
      </c>
      <c r="B2550" t="str">
        <f>"1551604095225050"</f>
        <v>1551604095225050</v>
      </c>
      <c r="C2550" t="s">
        <v>40</v>
      </c>
      <c r="D2550">
        <v>3.9348269999999999</v>
      </c>
      <c r="E2550">
        <v>0.50205370000000005</v>
      </c>
      <c r="F2550" t="s">
        <v>90</v>
      </c>
      <c r="G2550">
        <v>-107.39749999999999</v>
      </c>
      <c r="H2550">
        <v>12.69741</v>
      </c>
      <c r="I2550">
        <v>218.37909999999999</v>
      </c>
      <c r="J2550">
        <v>-383.57979999999998</v>
      </c>
      <c r="K2550">
        <v>1.120261</v>
      </c>
      <c r="L2550">
        <v>213.22309999999999</v>
      </c>
      <c r="M2550">
        <v>0.99990140000000005</v>
      </c>
      <c r="N2550">
        <v>-8.8800189999999994E-3</v>
      </c>
      <c r="O2550">
        <v>1.0884629999999999E-2</v>
      </c>
      <c r="P2550">
        <v>0.97810070000000005</v>
      </c>
      <c r="Q2550">
        <v>0.20743600000000001</v>
      </c>
      <c r="R2550">
        <v>1.701186E-2</v>
      </c>
      <c r="S2550">
        <v>3.039307</v>
      </c>
      <c r="T2550">
        <v>0.12719320000000001</v>
      </c>
      <c r="U2550">
        <v>5.6701660000000001E-2</v>
      </c>
      <c r="V2550">
        <v>-6.3561919999999897E-3</v>
      </c>
      <c r="W2550">
        <v>0.21611469999999999</v>
      </c>
      <c r="X2550">
        <v>0.97634730000000003</v>
      </c>
      <c r="Y2550">
        <v>-7.7772350000000004E-3</v>
      </c>
      <c r="Z2550">
        <v>4.2375589999999998E-4</v>
      </c>
      <c r="AA2550">
        <v>0.99996969999999996</v>
      </c>
      <c r="AB2550">
        <v>44</v>
      </c>
      <c r="AC2550">
        <v>276.1823</v>
      </c>
      <c r="AD2550">
        <v>11.577149</v>
      </c>
      <c r="AE2550">
        <v>5.1559999999999997</v>
      </c>
      <c r="AF2550">
        <v>-2.1456651029729201</v>
      </c>
      <c r="AG2550">
        <v>11.577149</v>
      </c>
      <c r="AH2550">
        <v>275.73771445845603</v>
      </c>
      <c r="AI2550">
        <v>87.595858919805195</v>
      </c>
      <c r="AJ2550">
        <v>90.445840619196602</v>
      </c>
      <c r="AK2550">
        <v>275.988987882625</v>
      </c>
      <c r="AL2550">
        <v>77.519067581361199</v>
      </c>
      <c r="AM2550">
        <v>90.373000294592899</v>
      </c>
      <c r="AN2550">
        <v>1.0000000074750599</v>
      </c>
    </row>
    <row r="2551" spans="1:40" x14ac:dyDescent="0.25">
      <c r="A2551" t="str">
        <f>"20190303170815258"</f>
        <v>20190303170815258</v>
      </c>
      <c r="B2551" t="str">
        <f>"1551604095245549"</f>
        <v>1551604095245549</v>
      </c>
      <c r="C2551" t="s">
        <v>40</v>
      </c>
      <c r="D2551">
        <v>3.9477820000000001</v>
      </c>
      <c r="E2551">
        <v>0.50211039999999996</v>
      </c>
      <c r="F2551" t="s">
        <v>90</v>
      </c>
      <c r="G2551">
        <v>-107.39749999999999</v>
      </c>
      <c r="H2551">
        <v>12.66962</v>
      </c>
      <c r="I2551">
        <v>218.477</v>
      </c>
      <c r="J2551">
        <v>-383.17230000000001</v>
      </c>
      <c r="K2551">
        <v>1.120261</v>
      </c>
      <c r="L2551">
        <v>213.22749999999999</v>
      </c>
      <c r="M2551">
        <v>0.99990120000000005</v>
      </c>
      <c r="N2551">
        <v>-8.9066660000000006E-3</v>
      </c>
      <c r="O2551">
        <v>1.0884990000000001E-2</v>
      </c>
      <c r="P2551">
        <v>0.97825589999999996</v>
      </c>
      <c r="Q2551">
        <v>0.20667389999999999</v>
      </c>
      <c r="R2551">
        <v>1.7371480000000002E-2</v>
      </c>
      <c r="S2551">
        <v>3.0391849999999998</v>
      </c>
      <c r="T2551">
        <v>0.12709280000000001</v>
      </c>
      <c r="U2551">
        <v>5.781555E-2</v>
      </c>
      <c r="V2551">
        <v>-6.7139239999999996E-3</v>
      </c>
      <c r="W2551">
        <v>0.2153804</v>
      </c>
      <c r="X2551">
        <v>0.97650709999999996</v>
      </c>
      <c r="Y2551">
        <v>-8.1437509999999994E-3</v>
      </c>
      <c r="Z2551">
        <v>4.179206E-4</v>
      </c>
      <c r="AA2551">
        <v>0.99996669999999999</v>
      </c>
      <c r="AB2551">
        <v>44</v>
      </c>
      <c r="AC2551">
        <v>275.77480000000003</v>
      </c>
      <c r="AD2551">
        <v>11.5493589999999</v>
      </c>
      <c r="AE2551">
        <v>5.24950000000001</v>
      </c>
      <c r="AF2551">
        <v>-2.2433311289412998</v>
      </c>
      <c r="AG2551">
        <v>11.5493589999999</v>
      </c>
      <c r="AH2551">
        <v>275.332870544478</v>
      </c>
      <c r="AI2551">
        <v>87.598107715043596</v>
      </c>
      <c r="AJ2551">
        <v>90.466818805045904</v>
      </c>
      <c r="AK2551">
        <v>275.58412477885503</v>
      </c>
      <c r="AL2551">
        <v>77.5621539438159</v>
      </c>
      <c r="AM2551">
        <v>90.393927957971201</v>
      </c>
      <c r="AN2551">
        <v>0.99999995491502203</v>
      </c>
    </row>
    <row r="2552" spans="1:40" x14ac:dyDescent="0.25">
      <c r="A2552" t="str">
        <f>"20190303170815283"</f>
        <v>20190303170815283</v>
      </c>
      <c r="B2552" t="str">
        <f>"1551604095275799"</f>
        <v>1551604095275799</v>
      </c>
      <c r="C2552" t="s">
        <v>40</v>
      </c>
      <c r="D2552">
        <v>3.8856320000000002</v>
      </c>
      <c r="E2552">
        <v>0.50139299999999998</v>
      </c>
      <c r="F2552" t="s">
        <v>90</v>
      </c>
      <c r="G2552">
        <v>-107.39749999999999</v>
      </c>
      <c r="H2552">
        <v>12.4458</v>
      </c>
      <c r="I2552">
        <v>218.50530000000001</v>
      </c>
      <c r="J2552">
        <v>-382.68540000000002</v>
      </c>
      <c r="K2552">
        <v>1.120263</v>
      </c>
      <c r="L2552">
        <v>213.2328</v>
      </c>
      <c r="M2552">
        <v>0.99990080000000003</v>
      </c>
      <c r="N2552">
        <v>-8.9482260000000001E-3</v>
      </c>
      <c r="O2552">
        <v>1.0885819999999999E-2</v>
      </c>
      <c r="P2552">
        <v>0.97844560000000003</v>
      </c>
      <c r="Q2552">
        <v>0.2057533</v>
      </c>
      <c r="R2552">
        <v>1.7614330000000001E-2</v>
      </c>
      <c r="S2552">
        <v>3.039307</v>
      </c>
      <c r="T2552">
        <v>0.124819</v>
      </c>
      <c r="U2552">
        <v>5.8166500000000003E-2</v>
      </c>
      <c r="V2552">
        <v>-6.9541719999999998E-3</v>
      </c>
      <c r="W2552">
        <v>0.21450169999999999</v>
      </c>
      <c r="X2552">
        <v>0.97669890000000004</v>
      </c>
      <c r="Y2552">
        <v>-8.2573509999999996E-3</v>
      </c>
      <c r="Z2552">
        <v>4.1165979999999999E-4</v>
      </c>
      <c r="AA2552">
        <v>0.99996580000000002</v>
      </c>
      <c r="AB2552">
        <v>44</v>
      </c>
      <c r="AC2552">
        <v>275.28789999999998</v>
      </c>
      <c r="AD2552">
        <v>11.325536999999899</v>
      </c>
      <c r="AE2552">
        <v>5.2725</v>
      </c>
      <c r="AF2552">
        <v>-2.2714901121723599</v>
      </c>
      <c r="AG2552">
        <v>11.325536999999899</v>
      </c>
      <c r="AH2552">
        <v>274.86393269379602</v>
      </c>
      <c r="AI2552">
        <v>87.640590800905997</v>
      </c>
      <c r="AJ2552">
        <v>90.473484580919106</v>
      </c>
      <c r="AK2552">
        <v>275.10654109193399</v>
      </c>
      <c r="AL2552">
        <v>77.613705720186999</v>
      </c>
      <c r="AM2552">
        <v>90.407943505100903</v>
      </c>
      <c r="AN2552">
        <v>1.00000004053615</v>
      </c>
    </row>
    <row r="2553" spans="1:40" x14ac:dyDescent="0.25">
      <c r="A2553" t="str">
        <f>"20190303170815307"</f>
        <v>20190303170815307</v>
      </c>
      <c r="B2553" t="str">
        <f>"1551604095295320"</f>
        <v>1551604095295320</v>
      </c>
      <c r="C2553" t="s">
        <v>40</v>
      </c>
      <c r="D2553">
        <v>3.8724080000000001</v>
      </c>
      <c r="E2553">
        <v>0.47703420000000002</v>
      </c>
      <c r="F2553" t="s">
        <v>90</v>
      </c>
      <c r="G2553">
        <v>-107.39749999999999</v>
      </c>
      <c r="H2553">
        <v>12.024369999999999</v>
      </c>
      <c r="I2553">
        <v>219.0908</v>
      </c>
      <c r="J2553">
        <v>-382.21910000000003</v>
      </c>
      <c r="K2553">
        <v>1.120268</v>
      </c>
      <c r="L2553">
        <v>213.23779999999999</v>
      </c>
      <c r="M2553">
        <v>0.99990020000000002</v>
      </c>
      <c r="N2553">
        <v>-8.9979510000000006E-3</v>
      </c>
      <c r="O2553">
        <v>1.08866E-2</v>
      </c>
      <c r="P2553">
        <v>0.97842039999999997</v>
      </c>
      <c r="Q2553">
        <v>0.2058498</v>
      </c>
      <c r="R2553">
        <v>1.7877870000000001E-2</v>
      </c>
      <c r="S2553">
        <v>3.039612</v>
      </c>
      <c r="T2553">
        <v>0.1203991</v>
      </c>
      <c r="U2553">
        <v>6.4682009999999998E-2</v>
      </c>
      <c r="V2553">
        <v>-7.2170709999999898E-3</v>
      </c>
      <c r="W2553">
        <v>0.214647</v>
      </c>
      <c r="X2553">
        <v>0.97666500000000001</v>
      </c>
      <c r="Y2553">
        <v>-1.039559E-2</v>
      </c>
      <c r="Z2553">
        <v>3.6989640000000001E-4</v>
      </c>
      <c r="AA2553">
        <v>0.99994590000000005</v>
      </c>
      <c r="AB2553">
        <v>44</v>
      </c>
      <c r="AC2553">
        <v>274.82159999999999</v>
      </c>
      <c r="AD2553">
        <v>10.904102</v>
      </c>
      <c r="AE2553">
        <v>5.8529999999999998</v>
      </c>
      <c r="AF2553">
        <v>-2.8561646779732501</v>
      </c>
      <c r="AG2553">
        <v>10.904102</v>
      </c>
      <c r="AH2553">
        <v>274.43719315382401</v>
      </c>
      <c r="AI2553">
        <v>87.724809875467201</v>
      </c>
      <c r="AJ2553">
        <v>90.596275861189895</v>
      </c>
      <c r="AK2553">
        <v>274.66858230100399</v>
      </c>
      <c r="AL2553">
        <v>77.605181239273406</v>
      </c>
      <c r="AM2553">
        <v>90.423379748934295</v>
      </c>
      <c r="AN2553">
        <v>0.99999997147390896</v>
      </c>
    </row>
    <row r="2554" spans="1:40" x14ac:dyDescent="0.25">
      <c r="A2554" t="str">
        <f>"20190303170815328"</f>
        <v>20190303170815328</v>
      </c>
      <c r="B2554" t="str">
        <f>"1551604095315815"</f>
        <v>1551604095315815</v>
      </c>
      <c r="C2554" t="s">
        <v>40</v>
      </c>
      <c r="D2554">
        <v>3.9161260000000002</v>
      </c>
      <c r="E2554">
        <v>0.4769485</v>
      </c>
      <c r="F2554" t="s">
        <v>53</v>
      </c>
      <c r="G2554">
        <v>-157.25</v>
      </c>
      <c r="H2554">
        <v>2.3392309999999998</v>
      </c>
      <c r="I2554">
        <v>232.75200000000001</v>
      </c>
      <c r="J2554">
        <v>-381.78530000000001</v>
      </c>
      <c r="K2554">
        <v>1.120277</v>
      </c>
      <c r="L2554">
        <v>213.24260000000001</v>
      </c>
      <c r="M2554">
        <v>0.99989969999999995</v>
      </c>
      <c r="N2554">
        <v>-9.0550939999999996E-3</v>
      </c>
      <c r="O2554">
        <v>1.088736E-2</v>
      </c>
      <c r="P2554">
        <v>0.97835899999999998</v>
      </c>
      <c r="Q2554">
        <v>0.20613519999999999</v>
      </c>
      <c r="R2554">
        <v>1.7934039999999998E-2</v>
      </c>
      <c r="S2554">
        <v>3.0578609999999999</v>
      </c>
      <c r="T2554">
        <v>1.6569380000000002E-2</v>
      </c>
      <c r="U2554">
        <v>0.26524350000000002</v>
      </c>
      <c r="V2554">
        <v>-7.2723999999999896E-3</v>
      </c>
      <c r="W2554">
        <v>0.2149874</v>
      </c>
      <c r="X2554">
        <v>0.9765897</v>
      </c>
      <c r="Y2554">
        <v>-7.5566699999999903E-2</v>
      </c>
      <c r="Z2554">
        <v>2.957201E-4</v>
      </c>
      <c r="AA2554">
        <v>0.99714069999999999</v>
      </c>
      <c r="AB2554">
        <v>44</v>
      </c>
      <c r="AC2554">
        <v>224.53530000000001</v>
      </c>
      <c r="AD2554">
        <v>1.2189540000000001</v>
      </c>
      <c r="AE2554">
        <v>19.509399999999999</v>
      </c>
      <c r="AF2554">
        <v>-17.063047546017302</v>
      </c>
      <c r="AG2554">
        <v>1.2189540000000001</v>
      </c>
      <c r="AH2554">
        <v>224.72783200032401</v>
      </c>
      <c r="AI2554">
        <v>89.690114972800899</v>
      </c>
      <c r="AJ2554">
        <v>94.342000601472506</v>
      </c>
      <c r="AK2554">
        <v>225.37797566749501</v>
      </c>
      <c r="AL2554">
        <v>77.585211353796495</v>
      </c>
      <c r="AM2554">
        <v>90.426658324438094</v>
      </c>
      <c r="AN2554">
        <v>0.99999995605330305</v>
      </c>
    </row>
    <row r="2555" spans="1:40" x14ac:dyDescent="0.25">
      <c r="A2555" t="str">
        <f>"20190303170815348"</f>
        <v>20190303170815348</v>
      </c>
      <c r="B2555" t="str">
        <f>"1551604095335335"</f>
        <v>1551604095335335</v>
      </c>
      <c r="C2555" t="s">
        <v>40</v>
      </c>
      <c r="D2555">
        <v>3.8551980000000001</v>
      </c>
      <c r="E2555">
        <v>0.47671400000000003</v>
      </c>
      <c r="F2555" t="s">
        <v>53</v>
      </c>
      <c r="G2555">
        <v>-157.25</v>
      </c>
      <c r="H2555">
        <v>2.2558220000000002</v>
      </c>
      <c r="I2555">
        <v>232.8142</v>
      </c>
      <c r="J2555">
        <v>-381.38459999999998</v>
      </c>
      <c r="K2555">
        <v>1.1202859999999999</v>
      </c>
      <c r="L2555">
        <v>213.24690000000001</v>
      </c>
      <c r="M2555">
        <v>0.99989930000000005</v>
      </c>
      <c r="N2555">
        <v>-9.120263E-3</v>
      </c>
      <c r="O2555">
        <v>1.088771E-2</v>
      </c>
      <c r="P2555">
        <v>0.97848230000000003</v>
      </c>
      <c r="Q2555">
        <v>0.20556440000000001</v>
      </c>
      <c r="R2555">
        <v>1.778217E-2</v>
      </c>
      <c r="S2555">
        <v>3.0582280000000002</v>
      </c>
      <c r="T2555">
        <v>1.5467170000000001E-2</v>
      </c>
      <c r="U2555">
        <v>0.266571</v>
      </c>
      <c r="V2555">
        <v>-7.1195369999999996E-3</v>
      </c>
      <c r="W2555">
        <v>0.21448159999999999</v>
      </c>
      <c r="X2555">
        <v>0.97670210000000002</v>
      </c>
      <c r="Y2555">
        <v>-7.5985650000000002E-2</v>
      </c>
      <c r="Z2555">
        <v>3.0945719999999998E-4</v>
      </c>
      <c r="AA2555">
        <v>0.99710889999999996</v>
      </c>
      <c r="AB2555">
        <v>44</v>
      </c>
      <c r="AC2555">
        <v>224.13460000000001</v>
      </c>
      <c r="AD2555">
        <v>1.1355360000000001</v>
      </c>
      <c r="AE2555">
        <v>19.5672999999999</v>
      </c>
      <c r="AF2555">
        <v>-17.125290235742401</v>
      </c>
      <c r="AG2555">
        <v>1.1355360000000001</v>
      </c>
      <c r="AH2555">
        <v>224.328651302754</v>
      </c>
      <c r="AI2555">
        <v>89.710816650262601</v>
      </c>
      <c r="AJ2555">
        <v>94.365502957676796</v>
      </c>
      <c r="AK2555">
        <v>224.98424123253301</v>
      </c>
      <c r="AL2555">
        <v>77.614884528394299</v>
      </c>
      <c r="AM2555">
        <v>90.417642388102195</v>
      </c>
      <c r="AN2555">
        <v>1.0000000183450299</v>
      </c>
    </row>
    <row r="2556" spans="1:40" x14ac:dyDescent="0.25">
      <c r="A2556" t="str">
        <f>"20190303170815371"</f>
        <v>20190303170815371</v>
      </c>
      <c r="B2556" t="str">
        <f>"1551604095365592"</f>
        <v>1551604095365592</v>
      </c>
      <c r="C2556" t="s">
        <v>40</v>
      </c>
      <c r="D2556">
        <v>3.8769089999999999</v>
      </c>
      <c r="E2556">
        <v>0.47672690000000001</v>
      </c>
      <c r="F2556" t="s">
        <v>53</v>
      </c>
      <c r="G2556">
        <v>-157.25</v>
      </c>
      <c r="H2556">
        <v>2.0806369999999998</v>
      </c>
      <c r="I2556">
        <v>232.9025</v>
      </c>
      <c r="J2556">
        <v>-380.9545</v>
      </c>
      <c r="K2556">
        <v>1.120296</v>
      </c>
      <c r="L2556">
        <v>213.2516</v>
      </c>
      <c r="M2556">
        <v>0.99989850000000002</v>
      </c>
      <c r="N2556">
        <v>-9.1982069999999999E-3</v>
      </c>
      <c r="O2556">
        <v>1.0888180000000001E-2</v>
      </c>
      <c r="P2556">
        <v>0.97862669999999996</v>
      </c>
      <c r="Q2556">
        <v>0.2048991</v>
      </c>
      <c r="R2556">
        <v>1.7503910000000001E-2</v>
      </c>
      <c r="S2556">
        <v>3.0583499999999999</v>
      </c>
      <c r="T2556">
        <v>1.3104920000000001E-2</v>
      </c>
      <c r="U2556">
        <v>0.26820369999999999</v>
      </c>
      <c r="V2556">
        <v>-6.8396059999999998E-3</v>
      </c>
      <c r="W2556">
        <v>0.21389340000000001</v>
      </c>
      <c r="X2556">
        <v>0.97683299999999995</v>
      </c>
      <c r="Y2556">
        <v>-7.6509889999999997E-2</v>
      </c>
      <c r="Z2556">
        <v>3.3548379999999997E-4</v>
      </c>
      <c r="AA2556">
        <v>0.99706879999999998</v>
      </c>
      <c r="AB2556">
        <v>44</v>
      </c>
      <c r="AC2556">
        <v>223.7045</v>
      </c>
      <c r="AD2556">
        <v>0.960341</v>
      </c>
      <c r="AE2556">
        <v>19.6509</v>
      </c>
      <c r="AF2556">
        <v>-17.213582533330101</v>
      </c>
      <c r="AG2556">
        <v>0.960341</v>
      </c>
      <c r="AH2556">
        <v>223.901115022575</v>
      </c>
      <c r="AI2556">
        <v>89.7549755001195</v>
      </c>
      <c r="AJ2556">
        <v>94.396268226796394</v>
      </c>
      <c r="AK2556">
        <v>224.56388620350401</v>
      </c>
      <c r="AL2556">
        <v>77.649385606860406</v>
      </c>
      <c r="AM2556">
        <v>90.401168012834802</v>
      </c>
      <c r="AN2556">
        <v>0.999999938331395</v>
      </c>
    </row>
    <row r="2557" spans="1:40" x14ac:dyDescent="0.25">
      <c r="A2557" t="str">
        <f>"20190303170815394"</f>
        <v>20190303170815394</v>
      </c>
      <c r="B2557" t="str">
        <f>"1551604095385111"</f>
        <v>1551604095385111</v>
      </c>
      <c r="C2557" t="s">
        <v>40</v>
      </c>
      <c r="D2557">
        <v>3.895654</v>
      </c>
      <c r="E2557">
        <v>0.47693679999999999</v>
      </c>
      <c r="F2557" t="s">
        <v>53</v>
      </c>
      <c r="G2557">
        <v>-157.25</v>
      </c>
      <c r="H2557">
        <v>2.0654720000000002</v>
      </c>
      <c r="I2557">
        <v>232.8056</v>
      </c>
      <c r="J2557">
        <v>-380.46269999999998</v>
      </c>
      <c r="K2557">
        <v>1.1203099999999999</v>
      </c>
      <c r="L2557">
        <v>213.2569</v>
      </c>
      <c r="M2557">
        <v>0.99989760000000005</v>
      </c>
      <c r="N2557">
        <v>-9.2917739999999992E-3</v>
      </c>
      <c r="O2557">
        <v>1.088912E-2</v>
      </c>
      <c r="P2557">
        <v>0.97855559999999997</v>
      </c>
      <c r="Q2557">
        <v>0.2052687</v>
      </c>
      <c r="R2557">
        <v>1.7146270000000002E-2</v>
      </c>
      <c r="S2557">
        <v>3.0580440000000002</v>
      </c>
      <c r="T2557">
        <v>1.292133E-2</v>
      </c>
      <c r="U2557">
        <v>0.26730350000000003</v>
      </c>
      <c r="V2557">
        <v>-6.4812079999999996E-3</v>
      </c>
      <c r="W2557">
        <v>0.21435409999999999</v>
      </c>
      <c r="X2557">
        <v>0.97673449999999995</v>
      </c>
      <c r="Y2557">
        <v>-7.6226340000000004E-2</v>
      </c>
      <c r="Z2557">
        <v>3.4100139999999998E-4</v>
      </c>
      <c r="AA2557">
        <v>0.99709049999999999</v>
      </c>
      <c r="AB2557">
        <v>44</v>
      </c>
      <c r="AC2557">
        <v>223.21270000000001</v>
      </c>
      <c r="AD2557">
        <v>0.94516199999999995</v>
      </c>
      <c r="AE2557">
        <v>19.5487</v>
      </c>
      <c r="AF2557">
        <v>-17.116541671512699</v>
      </c>
      <c r="AG2557">
        <v>0.94516199999999995</v>
      </c>
      <c r="AH2557">
        <v>223.40836712052501</v>
      </c>
      <c r="AI2557">
        <v>89.758311513895606</v>
      </c>
      <c r="AJ2557">
        <v>94.381185217553195</v>
      </c>
      <c r="AK2557">
        <v>224.06509730312399</v>
      </c>
      <c r="AL2557">
        <v>77.622363269353301</v>
      </c>
      <c r="AM2557">
        <v>90.380185623056406</v>
      </c>
      <c r="AN2557">
        <v>0.99999998486709896</v>
      </c>
    </row>
    <row r="2558" spans="1:40" x14ac:dyDescent="0.25">
      <c r="A2558" t="str">
        <f>"20190303170815417"</f>
        <v>20190303170815417</v>
      </c>
      <c r="B2558" t="str">
        <f>"1551604095405608"</f>
        <v>1551604095405608</v>
      </c>
      <c r="C2558" t="s">
        <v>40</v>
      </c>
      <c r="D2558">
        <v>3.8716080000000002</v>
      </c>
      <c r="E2558">
        <v>0.47693550000000001</v>
      </c>
      <c r="F2558" t="s">
        <v>53</v>
      </c>
      <c r="G2558">
        <v>-157.25</v>
      </c>
      <c r="H2558">
        <v>2.2830970000000002</v>
      </c>
      <c r="I2558">
        <v>232.58369999999999</v>
      </c>
      <c r="J2558">
        <v>-380.03199999999998</v>
      </c>
      <c r="K2558">
        <v>1.120314</v>
      </c>
      <c r="L2558">
        <v>213.26159999999999</v>
      </c>
      <c r="M2558">
        <v>0.99989689999999998</v>
      </c>
      <c r="N2558">
        <v>-9.3734990000000004E-3</v>
      </c>
      <c r="O2558">
        <v>1.0889859999999999E-2</v>
      </c>
      <c r="P2558">
        <v>0.9784216</v>
      </c>
      <c r="Q2558">
        <v>0.20599899999999999</v>
      </c>
      <c r="R2558">
        <v>1.5985739999999998E-2</v>
      </c>
      <c r="S2558">
        <v>3.0577700000000001</v>
      </c>
      <c r="T2558">
        <v>1.5929699999999901E-2</v>
      </c>
      <c r="U2558">
        <v>0.26475520000000002</v>
      </c>
      <c r="V2558">
        <v>-5.3210009999999997E-3</v>
      </c>
      <c r="W2558">
        <v>0.21516250000000001</v>
      </c>
      <c r="X2558">
        <v>0.97656379999999998</v>
      </c>
      <c r="Y2558">
        <v>-7.5408820000000001E-2</v>
      </c>
      <c r="Z2558">
        <v>3.1654889999999997E-4</v>
      </c>
      <c r="AA2558">
        <v>0.99715259999999994</v>
      </c>
      <c r="AB2558">
        <v>44</v>
      </c>
      <c r="AC2558">
        <v>222.78200000000001</v>
      </c>
      <c r="AD2558">
        <v>1.1627829999999999</v>
      </c>
      <c r="AE2558">
        <v>19.322099999999999</v>
      </c>
      <c r="AF2558">
        <v>-16.894326314234601</v>
      </c>
      <c r="AG2558">
        <v>1.1627829999999999</v>
      </c>
      <c r="AH2558">
        <v>222.97318401964199</v>
      </c>
      <c r="AI2558">
        <v>89.702064872936901</v>
      </c>
      <c r="AJ2558">
        <v>94.332931883611195</v>
      </c>
      <c r="AK2558">
        <v>223.61531950600801</v>
      </c>
      <c r="AL2558">
        <v>77.574939447326997</v>
      </c>
      <c r="AM2558">
        <v>90.312184296719707</v>
      </c>
      <c r="AN2558">
        <v>1.00000003496416</v>
      </c>
    </row>
    <row r="2559" spans="1:40" x14ac:dyDescent="0.25">
      <c r="A2559" t="str">
        <f>"20190303170815438"</f>
        <v>20190303170815438</v>
      </c>
      <c r="B2559" t="str">
        <f>"1551604095425127"</f>
        <v>1551604095425127</v>
      </c>
      <c r="C2559" t="s">
        <v>40</v>
      </c>
      <c r="D2559">
        <v>3.9246750000000001</v>
      </c>
      <c r="E2559">
        <v>0.47700969999999998</v>
      </c>
      <c r="F2559" t="s">
        <v>53</v>
      </c>
      <c r="G2559">
        <v>-157.25</v>
      </c>
      <c r="H2559">
        <v>2.4053740000000001</v>
      </c>
      <c r="I2559">
        <v>232.3031</v>
      </c>
      <c r="J2559">
        <v>-379.58859999999999</v>
      </c>
      <c r="K2559">
        <v>1.1203240000000001</v>
      </c>
      <c r="L2559">
        <v>213.2664</v>
      </c>
      <c r="M2559">
        <v>0.99989600000000001</v>
      </c>
      <c r="N2559">
        <v>-9.4577059999999998E-3</v>
      </c>
      <c r="O2559">
        <v>1.0890830000000001E-2</v>
      </c>
      <c r="P2559">
        <v>0.97849549999999996</v>
      </c>
      <c r="Q2559">
        <v>0.20567840000000001</v>
      </c>
      <c r="R2559">
        <v>1.559751E-2</v>
      </c>
      <c r="S2559">
        <v>3.0581360000000002</v>
      </c>
      <c r="T2559">
        <v>1.764083E-2</v>
      </c>
      <c r="U2559">
        <v>0.26138309999999998</v>
      </c>
      <c r="V2559">
        <v>-4.9315060000000004E-3</v>
      </c>
      <c r="W2559">
        <v>0.21492449999999999</v>
      </c>
      <c r="X2559">
        <v>0.97661819999999999</v>
      </c>
      <c r="Y2559">
        <v>-7.4306120000000003E-2</v>
      </c>
      <c r="Z2559">
        <v>3.0363159999999999E-4</v>
      </c>
      <c r="AA2559">
        <v>0.99723539999999999</v>
      </c>
      <c r="AB2559">
        <v>44</v>
      </c>
      <c r="AC2559">
        <v>222.33860000000001</v>
      </c>
      <c r="AD2559">
        <v>1.28505</v>
      </c>
      <c r="AE2559">
        <v>19.0367</v>
      </c>
      <c r="AF2559">
        <v>-16.613459844285501</v>
      </c>
      <c r="AG2559">
        <v>1.28505</v>
      </c>
      <c r="AH2559">
        <v>222.52536800582001</v>
      </c>
      <c r="AI2559">
        <v>89.6700475725129</v>
      </c>
      <c r="AJ2559">
        <v>94.269708486079395</v>
      </c>
      <c r="AK2559">
        <v>223.14837621552499</v>
      </c>
      <c r="AL2559">
        <v>77.588901879605402</v>
      </c>
      <c r="AM2559">
        <v>90.289316827125205</v>
      </c>
      <c r="AN2559">
        <v>0.999999984511458</v>
      </c>
    </row>
    <row r="2560" spans="1:40" x14ac:dyDescent="0.25">
      <c r="A2560" t="str">
        <f>"20190303170815461"</f>
        <v>20190303170815461</v>
      </c>
      <c r="B2560" t="str">
        <f>"1551604095455383"</f>
        <v>1551604095455383</v>
      </c>
      <c r="C2560" t="s">
        <v>40</v>
      </c>
      <c r="D2560">
        <v>3.9204430000000001</v>
      </c>
      <c r="E2560">
        <v>0.47720750000000001</v>
      </c>
      <c r="F2560" t="s">
        <v>53</v>
      </c>
      <c r="G2560">
        <v>-157.25</v>
      </c>
      <c r="H2560">
        <v>2.3124009999999999</v>
      </c>
      <c r="I2560">
        <v>232.1557</v>
      </c>
      <c r="J2560">
        <v>-379.161</v>
      </c>
      <c r="K2560">
        <v>1.1203299999999901</v>
      </c>
      <c r="L2560">
        <v>213.27109999999999</v>
      </c>
      <c r="M2560">
        <v>0.99989519999999998</v>
      </c>
      <c r="N2560">
        <v>-9.5407249999999999E-3</v>
      </c>
      <c r="O2560">
        <v>1.0891619999999999E-2</v>
      </c>
      <c r="P2560">
        <v>0.97862179999999999</v>
      </c>
      <c r="Q2560">
        <v>0.20511360000000001</v>
      </c>
      <c r="R2560">
        <v>1.5103709999999999E-2</v>
      </c>
      <c r="S2560">
        <v>3.058319</v>
      </c>
      <c r="T2560">
        <v>1.6398070000000001E-2</v>
      </c>
      <c r="U2560">
        <v>0.25982670000000002</v>
      </c>
      <c r="V2560">
        <v>-4.4355640000000003E-3</v>
      </c>
      <c r="W2560">
        <v>0.21444250000000001</v>
      </c>
      <c r="X2560">
        <v>0.97672650000000005</v>
      </c>
      <c r="Y2560">
        <v>-7.3796379999999995E-2</v>
      </c>
      <c r="Z2560">
        <v>3.1721769999999998E-4</v>
      </c>
      <c r="AA2560">
        <v>0.99727330000000003</v>
      </c>
      <c r="AB2560">
        <v>45</v>
      </c>
      <c r="AC2560">
        <v>221.91099999999901</v>
      </c>
      <c r="AD2560">
        <v>1.1920709999999901</v>
      </c>
      <c r="AE2560">
        <v>18.884599999999999</v>
      </c>
      <c r="AF2560">
        <v>-16.4659277944636</v>
      </c>
      <c r="AG2560">
        <v>1.1920709999999901</v>
      </c>
      <c r="AH2560">
        <v>222.09716638358799</v>
      </c>
      <c r="AI2560">
        <v>89.693318691190299</v>
      </c>
      <c r="AJ2560">
        <v>94.240060076850199</v>
      </c>
      <c r="AK2560">
        <v>222.709899032397</v>
      </c>
      <c r="AL2560">
        <v>77.617177400705202</v>
      </c>
      <c r="AM2560">
        <v>90.260192950580503</v>
      </c>
      <c r="AN2560">
        <v>0.99999995791824803</v>
      </c>
    </row>
    <row r="2561" spans="1:40" x14ac:dyDescent="0.25">
      <c r="A2561" t="str">
        <f>"20190303170815506"</f>
        <v>20190303170815506</v>
      </c>
      <c r="B2561" t="str">
        <f>"1551604095495399"</f>
        <v>1551604095495399</v>
      </c>
      <c r="C2561" t="s">
        <v>40</v>
      </c>
      <c r="D2561">
        <v>3.9218709999999999</v>
      </c>
      <c r="E2561">
        <v>0.47717670000000001</v>
      </c>
      <c r="F2561" t="s">
        <v>53</v>
      </c>
      <c r="G2561">
        <v>-157.25</v>
      </c>
      <c r="H2561">
        <v>2.151176</v>
      </c>
      <c r="I2561">
        <v>231.8965</v>
      </c>
      <c r="J2561">
        <v>-378.25299999999999</v>
      </c>
      <c r="K2561">
        <v>1.1203419999999999</v>
      </c>
      <c r="L2561">
        <v>213.28100000000001</v>
      </c>
      <c r="M2561">
        <v>0.99989349999999999</v>
      </c>
      <c r="N2561">
        <v>-9.7180119999999998E-3</v>
      </c>
      <c r="O2561">
        <v>1.089242E-2</v>
      </c>
      <c r="P2561">
        <v>0.97875199999999996</v>
      </c>
      <c r="Q2561">
        <v>0.20457259999999999</v>
      </c>
      <c r="R2561">
        <v>1.394925E-2</v>
      </c>
      <c r="S2561">
        <v>3.0585939999999998</v>
      </c>
      <c r="T2561">
        <v>1.420891E-2</v>
      </c>
      <c r="U2561">
        <v>0.25671389999999999</v>
      </c>
      <c r="V2561">
        <v>-3.2789350000000002E-3</v>
      </c>
      <c r="W2561">
        <v>0.2140755</v>
      </c>
      <c r="X2561">
        <v>0.9768116</v>
      </c>
      <c r="Y2561">
        <v>-7.2780159999999997E-2</v>
      </c>
      <c r="Z2561">
        <v>3.4169810000000001E-4</v>
      </c>
      <c r="AA2561">
        <v>0.99734800000000001</v>
      </c>
      <c r="AB2561">
        <v>45</v>
      </c>
      <c r="AC2561">
        <v>221.00299999999999</v>
      </c>
      <c r="AD2561">
        <v>1.030834</v>
      </c>
      <c r="AE2561">
        <v>18.615500000000001</v>
      </c>
      <c r="AF2561">
        <v>-16.206674376457698</v>
      </c>
      <c r="AG2561">
        <v>1.030834</v>
      </c>
      <c r="AH2561">
        <v>221.18788706956599</v>
      </c>
      <c r="AI2561">
        <v>89.733691989587598</v>
      </c>
      <c r="AJ2561">
        <v>94.190634742561201</v>
      </c>
      <c r="AK2561">
        <v>221.78322817422199</v>
      </c>
      <c r="AL2561">
        <v>77.63870524715</v>
      </c>
      <c r="AM2561">
        <v>90.192328214745402</v>
      </c>
      <c r="AN2561">
        <v>0.99999998650477195</v>
      </c>
    </row>
    <row r="2562" spans="1:40" x14ac:dyDescent="0.25">
      <c r="A2562" t="str">
        <f>"20190303170815527"</f>
        <v>20190303170815527</v>
      </c>
      <c r="B2562" t="str">
        <f>"1551604095514919"</f>
        <v>1551604095514919</v>
      </c>
      <c r="C2562" t="s">
        <v>40</v>
      </c>
      <c r="D2562">
        <v>3.924693</v>
      </c>
      <c r="E2562">
        <v>0.47707040000000001</v>
      </c>
      <c r="F2562" t="s">
        <v>53</v>
      </c>
      <c r="G2562">
        <v>-157.25</v>
      </c>
      <c r="H2562">
        <v>1.9311739999999999</v>
      </c>
      <c r="I2562">
        <v>231.66040000000001</v>
      </c>
      <c r="J2562">
        <v>-377.8245</v>
      </c>
      <c r="K2562">
        <v>1.1203479999999999</v>
      </c>
      <c r="L2562">
        <v>213.28559999999999</v>
      </c>
      <c r="M2562">
        <v>0.99989269999999997</v>
      </c>
      <c r="N2562">
        <v>-9.7989919999999994E-3</v>
      </c>
      <c r="O2562">
        <v>1.0892860000000001E-2</v>
      </c>
      <c r="P2562">
        <v>0.97871889999999995</v>
      </c>
      <c r="Q2562">
        <v>0.20475189999999999</v>
      </c>
      <c r="R2562">
        <v>1.365009E-2</v>
      </c>
      <c r="S2562">
        <v>3.0591430000000002</v>
      </c>
      <c r="T2562">
        <v>1.1224390000000001E-2</v>
      </c>
      <c r="U2562">
        <v>0.25440980000000002</v>
      </c>
      <c r="V2562">
        <v>-2.9801950000000002E-3</v>
      </c>
      <c r="W2562">
        <v>0.21433360000000001</v>
      </c>
      <c r="X2562">
        <v>0.97675599999999996</v>
      </c>
      <c r="Y2562">
        <v>-7.2018609999999997E-2</v>
      </c>
      <c r="Z2562">
        <v>3.6803790000000002E-4</v>
      </c>
      <c r="AA2562">
        <v>0.99740320000000005</v>
      </c>
      <c r="AB2562">
        <v>45</v>
      </c>
      <c r="AC2562">
        <v>220.5745</v>
      </c>
      <c r="AD2562">
        <v>0.81082600000000005</v>
      </c>
      <c r="AE2562">
        <v>18.3748</v>
      </c>
      <c r="AF2562">
        <v>-15.970693010309599</v>
      </c>
      <c r="AG2562">
        <v>0.81082600000000005</v>
      </c>
      <c r="AH2562">
        <v>220.758613510148</v>
      </c>
      <c r="AI2562">
        <v>89.790107379562798</v>
      </c>
      <c r="AJ2562">
        <v>94.137831368418901</v>
      </c>
      <c r="AK2562">
        <v>221.33704143896699</v>
      </c>
      <c r="AL2562">
        <v>77.623566331068204</v>
      </c>
      <c r="AM2562">
        <v>90.174815476706897</v>
      </c>
      <c r="AN2562">
        <v>1.0000000285935899</v>
      </c>
    </row>
    <row r="2563" spans="1:40" x14ac:dyDescent="0.25">
      <c r="A2563" t="str">
        <f>"20190303170815550"</f>
        <v>20190303170815550</v>
      </c>
      <c r="B2563" t="str">
        <f>"1551604095535415"</f>
        <v>1551604095535415</v>
      </c>
      <c r="C2563" t="s">
        <v>40</v>
      </c>
      <c r="D2563">
        <v>3.952572</v>
      </c>
      <c r="E2563">
        <v>0.47692620000000002</v>
      </c>
      <c r="F2563" t="s">
        <v>53</v>
      </c>
      <c r="G2563">
        <v>-157.25</v>
      </c>
      <c r="H2563">
        <v>1.9764250000000001</v>
      </c>
      <c r="I2563">
        <v>231.62710000000001</v>
      </c>
      <c r="J2563">
        <v>-377.3897</v>
      </c>
      <c r="K2563">
        <v>1.1203559999999999</v>
      </c>
      <c r="L2563">
        <v>213.29040000000001</v>
      </c>
      <c r="M2563">
        <v>0.999892</v>
      </c>
      <c r="N2563">
        <v>-9.8792589999999996E-3</v>
      </c>
      <c r="O2563">
        <v>1.0893109999999999E-2</v>
      </c>
      <c r="P2563">
        <v>0.97867919999999997</v>
      </c>
      <c r="Q2563">
        <v>0.20495640000000001</v>
      </c>
      <c r="R2563">
        <v>1.341503E-2</v>
      </c>
      <c r="S2563">
        <v>3.0591740000000001</v>
      </c>
      <c r="T2563">
        <v>1.187384E-2</v>
      </c>
      <c r="U2563">
        <v>0.25437929999999997</v>
      </c>
      <c r="V2563">
        <v>-2.7448160000000002E-3</v>
      </c>
      <c r="W2563">
        <v>0.21461620000000001</v>
      </c>
      <c r="X2563">
        <v>0.97669459999999997</v>
      </c>
      <c r="Y2563">
        <v>-7.2007699999999994E-2</v>
      </c>
      <c r="Z2563">
        <v>3.6645450000000001E-4</v>
      </c>
      <c r="AA2563">
        <v>0.99740399999999996</v>
      </c>
      <c r="AB2563">
        <v>45</v>
      </c>
      <c r="AC2563">
        <v>220.1397</v>
      </c>
      <c r="AD2563">
        <v>0.85606899999999997</v>
      </c>
      <c r="AE2563">
        <v>18.3367</v>
      </c>
      <c r="AF2563">
        <v>-15.937249924825901</v>
      </c>
      <c r="AG2563">
        <v>0.85606899999999997</v>
      </c>
      <c r="AH2563">
        <v>220.32308202402601</v>
      </c>
      <c r="AI2563">
        <v>89.777957567442598</v>
      </c>
      <c r="AJ2563">
        <v>94.137330853015996</v>
      </c>
      <c r="AK2563">
        <v>220.90040575305599</v>
      </c>
      <c r="AL2563">
        <v>77.606988346895207</v>
      </c>
      <c r="AM2563">
        <v>90.1610185602744</v>
      </c>
      <c r="AN2563">
        <v>0.99999999449323596</v>
      </c>
    </row>
    <row r="2564" spans="1:40" x14ac:dyDescent="0.25">
      <c r="A2564" t="str">
        <f>"20190303170815571"</f>
        <v>20190303170815571</v>
      </c>
      <c r="B2564" t="str">
        <f>"1551604095565671"</f>
        <v>1551604095565671</v>
      </c>
      <c r="C2564" t="s">
        <v>40</v>
      </c>
      <c r="D2564">
        <v>3.977395</v>
      </c>
      <c r="E2564">
        <v>0.4767169</v>
      </c>
      <c r="F2564" t="s">
        <v>53</v>
      </c>
      <c r="G2564">
        <v>-157.25</v>
      </c>
      <c r="H2564">
        <v>1.989716</v>
      </c>
      <c r="I2564">
        <v>231.6474</v>
      </c>
      <c r="J2564">
        <v>-376.94290000000001</v>
      </c>
      <c r="K2564">
        <v>1.1203639999999999</v>
      </c>
      <c r="L2564">
        <v>213.29519999999999</v>
      </c>
      <c r="M2564">
        <v>0.99989119999999998</v>
      </c>
      <c r="N2564">
        <v>-9.9583729999999995E-3</v>
      </c>
      <c r="O2564">
        <v>1.08939E-2</v>
      </c>
      <c r="P2564">
        <v>0.97875239999999997</v>
      </c>
      <c r="Q2564">
        <v>0.20459649999999999</v>
      </c>
      <c r="R2564">
        <v>1.357121E-2</v>
      </c>
      <c r="S2564">
        <v>3.059326</v>
      </c>
      <c r="T2564">
        <v>1.208246E-2</v>
      </c>
      <c r="U2564">
        <v>0.2551117</v>
      </c>
      <c r="V2564">
        <v>-2.8996199999999999E-3</v>
      </c>
      <c r="W2564">
        <v>0.214334</v>
      </c>
      <c r="X2564">
        <v>0.97675610000000002</v>
      </c>
      <c r="Y2564">
        <v>-7.2239990000000004E-2</v>
      </c>
      <c r="Z2564">
        <v>3.6917889999999999E-4</v>
      </c>
      <c r="AA2564">
        <v>0.99738720000000003</v>
      </c>
      <c r="AB2564">
        <v>45</v>
      </c>
      <c r="AC2564">
        <v>219.69290000000001</v>
      </c>
      <c r="AD2564">
        <v>0.86935200000000001</v>
      </c>
      <c r="AE2564">
        <v>18.3522</v>
      </c>
      <c r="AF2564">
        <v>-15.957431869634499</v>
      </c>
      <c r="AG2564">
        <v>0.86935200000000001</v>
      </c>
      <c r="AH2564">
        <v>219.87637984293099</v>
      </c>
      <c r="AI2564">
        <v>89.774058122465206</v>
      </c>
      <c r="AJ2564">
        <v>94.150938529520801</v>
      </c>
      <c r="AK2564">
        <v>220.456385295611</v>
      </c>
      <c r="AL2564">
        <v>77.623542195167204</v>
      </c>
      <c r="AM2564">
        <v>90.170089032623096</v>
      </c>
      <c r="AN2564">
        <v>0.99999997511967698</v>
      </c>
    </row>
    <row r="2565" spans="1:40" x14ac:dyDescent="0.25">
      <c r="A2565" t="str">
        <f>"20190303170815593"</f>
        <v>20190303170815593</v>
      </c>
      <c r="B2565" t="str">
        <f>"1551604095585191"</f>
        <v>1551604095585191</v>
      </c>
      <c r="C2565" t="s">
        <v>40</v>
      </c>
      <c r="D2565">
        <v>3.9305729999999999</v>
      </c>
      <c r="E2565">
        <v>0.47662579999999999</v>
      </c>
      <c r="F2565" t="s">
        <v>53</v>
      </c>
      <c r="G2565">
        <v>-157.25</v>
      </c>
      <c r="H2565">
        <v>1.933573</v>
      </c>
      <c r="I2565">
        <v>231.77119999999999</v>
      </c>
      <c r="J2565">
        <v>-376.49009999999998</v>
      </c>
      <c r="K2565">
        <v>1.120374</v>
      </c>
      <c r="L2565">
        <v>213.30019999999999</v>
      </c>
      <c r="M2565">
        <v>0.99989030000000001</v>
      </c>
      <c r="N2565">
        <v>-1.003312E-2</v>
      </c>
      <c r="O2565">
        <v>1.089466E-2</v>
      </c>
      <c r="P2565">
        <v>0.97873359999999998</v>
      </c>
      <c r="Q2565">
        <v>0.20470360000000001</v>
      </c>
      <c r="R2565">
        <v>1.330454E-2</v>
      </c>
      <c r="S2565">
        <v>3.0592350000000001</v>
      </c>
      <c r="T2565">
        <v>1.132476E-2</v>
      </c>
      <c r="U2565">
        <v>0.25727840000000002</v>
      </c>
      <c r="V2565">
        <v>-2.6326359999999998E-3</v>
      </c>
      <c r="W2565">
        <v>0.21451419999999999</v>
      </c>
      <c r="X2565">
        <v>0.97671730000000001</v>
      </c>
      <c r="Y2565">
        <v>-7.2943140000000004E-2</v>
      </c>
      <c r="Z2565">
        <v>3.8118640000000002E-4</v>
      </c>
      <c r="AA2565">
        <v>0.997336</v>
      </c>
      <c r="AB2565">
        <v>45</v>
      </c>
      <c r="AC2565">
        <v>219.24010000000001</v>
      </c>
      <c r="AD2565">
        <v>0.81319900000000001</v>
      </c>
      <c r="AE2565">
        <v>18.471</v>
      </c>
      <c r="AF2565">
        <v>-16.0810173661778</v>
      </c>
      <c r="AG2565">
        <v>0.81319900000000001</v>
      </c>
      <c r="AH2565">
        <v>219.42533493503601</v>
      </c>
      <c r="AI2565">
        <v>89.788228482727405</v>
      </c>
      <c r="AJ2565">
        <v>94.191540416696199</v>
      </c>
      <c r="AK2565">
        <v>220.015313156829</v>
      </c>
      <c r="AL2565">
        <v>77.612971672869705</v>
      </c>
      <c r="AM2565">
        <v>90.154434211933406</v>
      </c>
      <c r="AN2565">
        <v>0.99999997844661903</v>
      </c>
    </row>
    <row r="2566" spans="1:40" x14ac:dyDescent="0.25">
      <c r="A2566" t="str">
        <f>"20190303170815617"</f>
        <v>20190303170815617</v>
      </c>
      <c r="B2566" t="str">
        <f>"1551604095605687"</f>
        <v>1551604095605687</v>
      </c>
      <c r="C2566" t="s">
        <v>40</v>
      </c>
      <c r="D2566">
        <v>4.0138449999999999</v>
      </c>
      <c r="E2566">
        <v>0.47639949999999998</v>
      </c>
      <c r="F2566" t="s">
        <v>53</v>
      </c>
      <c r="G2566">
        <v>-157.25</v>
      </c>
      <c r="H2566">
        <v>1.958955</v>
      </c>
      <c r="I2566">
        <v>231.7337</v>
      </c>
      <c r="J2566">
        <v>-376.02749999999997</v>
      </c>
      <c r="K2566">
        <v>1.1203749999999999</v>
      </c>
      <c r="L2566">
        <v>213.30520000000001</v>
      </c>
      <c r="M2566">
        <v>0.99988969999999999</v>
      </c>
      <c r="N2566">
        <v>-1.0102740000000001E-2</v>
      </c>
      <c r="O2566">
        <v>1.0895200000000001E-2</v>
      </c>
      <c r="P2566">
        <v>0.97865849999999999</v>
      </c>
      <c r="Q2566">
        <v>0.20503260000000001</v>
      </c>
      <c r="R2566">
        <v>1.376468E-2</v>
      </c>
      <c r="S2566">
        <v>3.0592350000000001</v>
      </c>
      <c r="T2566">
        <v>1.170218E-2</v>
      </c>
      <c r="U2566">
        <v>0.25721739999999998</v>
      </c>
      <c r="V2566">
        <v>-3.0925060000000001E-3</v>
      </c>
      <c r="W2566">
        <v>0.21491060000000001</v>
      </c>
      <c r="X2566">
        <v>0.97662879999999996</v>
      </c>
      <c r="Y2566">
        <v>-7.2922890000000004E-2</v>
      </c>
      <c r="Z2566">
        <v>3.812806E-4</v>
      </c>
      <c r="AA2566">
        <v>0.99733749999999999</v>
      </c>
      <c r="AB2566">
        <v>45</v>
      </c>
      <c r="AC2566">
        <v>218.7775</v>
      </c>
      <c r="AD2566">
        <v>0.83857999999999999</v>
      </c>
      <c r="AE2566">
        <v>18.4284999999999</v>
      </c>
      <c r="AF2566">
        <v>-16.043425972127601</v>
      </c>
      <c r="AG2566">
        <v>0.83857999999999999</v>
      </c>
      <c r="AH2566">
        <v>218.96211133326301</v>
      </c>
      <c r="AI2566">
        <v>89.781156625489501</v>
      </c>
      <c r="AJ2566">
        <v>94.190592208230797</v>
      </c>
      <c r="AK2566">
        <v>219.55067964563401</v>
      </c>
      <c r="AL2566">
        <v>77.589717179899196</v>
      </c>
      <c r="AM2566">
        <v>90.181427119203093</v>
      </c>
      <c r="AN2566">
        <v>0.999999971287579</v>
      </c>
    </row>
    <row r="2567" spans="1:40" x14ac:dyDescent="0.25">
      <c r="A2567" t="str">
        <f>"20190303170815637"</f>
        <v>20190303170815637</v>
      </c>
      <c r="B2567" t="str">
        <f>"1551604095625211"</f>
        <v>1551604095625211</v>
      </c>
      <c r="C2567" t="s">
        <v>40</v>
      </c>
      <c r="D2567">
        <v>4.0280430000000003</v>
      </c>
      <c r="E2567">
        <v>0.47618739999999998</v>
      </c>
      <c r="F2567" t="s">
        <v>53</v>
      </c>
      <c r="G2567">
        <v>-157.25</v>
      </c>
      <c r="H2567">
        <v>1.9956510000000001</v>
      </c>
      <c r="I2567">
        <v>231.90690000000001</v>
      </c>
      <c r="J2567">
        <v>-375.60680000000002</v>
      </c>
      <c r="K2567">
        <v>1.1203799999999999</v>
      </c>
      <c r="L2567">
        <v>213.3098</v>
      </c>
      <c r="M2567">
        <v>0.99988920000000003</v>
      </c>
      <c r="N2567">
        <v>-1.016011E-2</v>
      </c>
      <c r="O2567">
        <v>1.0895739999999999E-2</v>
      </c>
      <c r="P2567">
        <v>0.97848429999999997</v>
      </c>
      <c r="Q2567">
        <v>0.20585010000000001</v>
      </c>
      <c r="R2567">
        <v>1.395094E-2</v>
      </c>
      <c r="S2567">
        <v>3.0592649999999999</v>
      </c>
      <c r="T2567">
        <v>1.224017E-2</v>
      </c>
      <c r="U2567">
        <v>0.26011659999999998</v>
      </c>
      <c r="V2567">
        <v>-3.2809319999999999E-3</v>
      </c>
      <c r="W2567">
        <v>0.21578230000000001</v>
      </c>
      <c r="X2567">
        <v>0.97643599999999997</v>
      </c>
      <c r="Y2567">
        <v>-7.385999E-2</v>
      </c>
      <c r="Z2567">
        <v>3.8243270000000001E-4</v>
      </c>
      <c r="AA2567">
        <v>0.99726859999999995</v>
      </c>
      <c r="AB2567">
        <v>45</v>
      </c>
      <c r="AC2567">
        <v>218.35679999999999</v>
      </c>
      <c r="AD2567">
        <v>0.87527099999999902</v>
      </c>
      <c r="AE2567">
        <v>18.597100000000001</v>
      </c>
      <c r="AF2567">
        <v>-16.216455970604901</v>
      </c>
      <c r="AG2567">
        <v>0.87527099999999902</v>
      </c>
      <c r="AH2567">
        <v>218.542990343817</v>
      </c>
      <c r="AI2567">
        <v>89.771159102319501</v>
      </c>
      <c r="AJ2567">
        <v>94.243717983305501</v>
      </c>
      <c r="AK2567">
        <v>219.14556388845199</v>
      </c>
      <c r="AL2567">
        <v>77.538573012066294</v>
      </c>
      <c r="AM2567">
        <v>90.192519375574307</v>
      </c>
      <c r="AN2567">
        <v>1.00000001380203</v>
      </c>
    </row>
    <row r="2568" spans="1:40" x14ac:dyDescent="0.25">
      <c r="A2568" t="str">
        <f>"20190303170815661"</f>
        <v>20190303170815661</v>
      </c>
      <c r="B2568" t="str">
        <f>"1551604095655463"</f>
        <v>1551604095655463</v>
      </c>
      <c r="C2568" t="s">
        <v>40</v>
      </c>
      <c r="D2568">
        <v>4.008769</v>
      </c>
      <c r="E2568">
        <v>0.47598000000000001</v>
      </c>
      <c r="F2568" t="s">
        <v>53</v>
      </c>
      <c r="G2568">
        <v>-157.25</v>
      </c>
      <c r="H2568">
        <v>2.1938119999999999</v>
      </c>
      <c r="I2568">
        <v>232.0762</v>
      </c>
      <c r="J2568">
        <v>-375.14449999999999</v>
      </c>
      <c r="K2568">
        <v>1.120384</v>
      </c>
      <c r="L2568">
        <v>213.31479999999999</v>
      </c>
      <c r="M2568">
        <v>0.99988849999999996</v>
      </c>
      <c r="N2568">
        <v>-1.021709E-2</v>
      </c>
      <c r="O2568">
        <v>1.0896100000000001E-2</v>
      </c>
      <c r="P2568">
        <v>0.97857590000000005</v>
      </c>
      <c r="Q2568">
        <v>0.2054019</v>
      </c>
      <c r="R2568">
        <v>1.4120519999999999E-2</v>
      </c>
      <c r="S2568">
        <v>3.0590820000000001</v>
      </c>
      <c r="T2568">
        <v>1.503909E-2</v>
      </c>
      <c r="U2568">
        <v>0.2629089</v>
      </c>
      <c r="V2568">
        <v>-3.4483880000000001E-3</v>
      </c>
      <c r="W2568">
        <v>0.21539069999999999</v>
      </c>
      <c r="X2568">
        <v>0.9765218</v>
      </c>
      <c r="Y2568">
        <v>-7.4768559999999998E-2</v>
      </c>
      <c r="Z2568">
        <v>3.638178E-4</v>
      </c>
      <c r="AA2568">
        <v>0.9972008</v>
      </c>
      <c r="AB2568">
        <v>45</v>
      </c>
      <c r="AC2568">
        <v>217.89449999999999</v>
      </c>
      <c r="AD2568">
        <v>1.0734279999999901</v>
      </c>
      <c r="AE2568">
        <v>18.761399999999998</v>
      </c>
      <c r="AF2568">
        <v>-16.385567349837299</v>
      </c>
      <c r="AG2568">
        <v>1.0734279999999901</v>
      </c>
      <c r="AH2568">
        <v>218.08074658429399</v>
      </c>
      <c r="AI2568">
        <v>89.718776038728393</v>
      </c>
      <c r="AJ2568">
        <v>94.296863322557002</v>
      </c>
      <c r="AK2568">
        <v>218.698082057915</v>
      </c>
      <c r="AL2568">
        <v>77.561549367085107</v>
      </c>
      <c r="AM2568">
        <v>90.202327543798702</v>
      </c>
      <c r="AN2568">
        <v>0.99999993545076205</v>
      </c>
    </row>
    <row r="2569" spans="1:40" x14ac:dyDescent="0.25">
      <c r="A2569" t="str">
        <f>"20190303170815684"</f>
        <v>20190303170815684</v>
      </c>
      <c r="B2569" t="str">
        <f>"1551604095674983"</f>
        <v>1551604095674983</v>
      </c>
      <c r="C2569" t="s">
        <v>40</v>
      </c>
      <c r="D2569">
        <v>4.0913430000000002</v>
      </c>
      <c r="E2569">
        <v>0.46586919999999998</v>
      </c>
      <c r="F2569" t="s">
        <v>53</v>
      </c>
      <c r="G2569">
        <v>-157.25</v>
      </c>
      <c r="H2569">
        <v>2.1357439999999999</v>
      </c>
      <c r="I2569">
        <v>232.25489999999999</v>
      </c>
      <c r="J2569">
        <v>-374.68849999999998</v>
      </c>
      <c r="K2569">
        <v>1.1203860000000001</v>
      </c>
      <c r="L2569">
        <v>213.31979999999999</v>
      </c>
      <c r="M2569">
        <v>0.99988790000000005</v>
      </c>
      <c r="N2569">
        <v>-1.0267399999999999E-2</v>
      </c>
      <c r="O2569">
        <v>1.0896319999999999E-2</v>
      </c>
      <c r="P2569">
        <v>0.97875389999999995</v>
      </c>
      <c r="Q2569">
        <v>0.20452509999999999</v>
      </c>
      <c r="R2569">
        <v>1.45072999999999E-2</v>
      </c>
      <c r="S2569">
        <v>3.0588380000000002</v>
      </c>
      <c r="T2569">
        <v>1.4254569999999999E-2</v>
      </c>
      <c r="U2569">
        <v>0.26588440000000002</v>
      </c>
      <c r="V2569">
        <v>-3.8332560000000002E-3</v>
      </c>
      <c r="W2569">
        <v>0.21456449999999999</v>
      </c>
      <c r="X2569">
        <v>0.97670230000000002</v>
      </c>
      <c r="Y2569">
        <v>-7.5737910000000006E-2</v>
      </c>
      <c r="Z2569">
        <v>3.7577200000000002E-4</v>
      </c>
      <c r="AA2569">
        <v>0.99712769999999995</v>
      </c>
      <c r="AB2569">
        <v>45</v>
      </c>
      <c r="AC2569">
        <v>217.4385</v>
      </c>
      <c r="AD2569">
        <v>1.01535799999999</v>
      </c>
      <c r="AE2569">
        <v>18.935099999999998</v>
      </c>
      <c r="AF2569">
        <v>-16.564212880270599</v>
      </c>
      <c r="AG2569">
        <v>1.01535799999999</v>
      </c>
      <c r="AH2569">
        <v>217.62721408204499</v>
      </c>
      <c r="AI2569">
        <v>89.733454623387402</v>
      </c>
      <c r="AJ2569">
        <v>94.3525491691328</v>
      </c>
      <c r="AK2569">
        <v>218.259039696695</v>
      </c>
      <c r="AL2569">
        <v>77.610021269155396</v>
      </c>
      <c r="AM2569">
        <v>90.224867150346398</v>
      </c>
      <c r="AN2569">
        <v>1.0000000006685501</v>
      </c>
    </row>
    <row r="2570" spans="1:40" x14ac:dyDescent="0.25">
      <c r="A2570" t="str">
        <f>"20190303170815707"</f>
        <v>20190303170815707</v>
      </c>
      <c r="B2570" t="str">
        <f>"1551604095695479"</f>
        <v>1551604095695479</v>
      </c>
      <c r="C2570" t="s">
        <v>40</v>
      </c>
      <c r="D2570">
        <v>4.0686960000000001</v>
      </c>
      <c r="E2570">
        <v>0.46308050000000001</v>
      </c>
      <c r="F2570" t="s">
        <v>53</v>
      </c>
      <c r="G2570">
        <v>-157.8382</v>
      </c>
      <c r="H2570">
        <v>2.9030429999999998</v>
      </c>
      <c r="I2570">
        <v>237.9529</v>
      </c>
      <c r="J2570">
        <v>-374.2217</v>
      </c>
      <c r="K2570">
        <v>1.120385</v>
      </c>
      <c r="L2570">
        <v>213.32490000000001</v>
      </c>
      <c r="M2570">
        <v>0.99988750000000004</v>
      </c>
      <c r="N2570">
        <v>-1.031344E-2</v>
      </c>
      <c r="O2570">
        <v>1.089643E-2</v>
      </c>
      <c r="P2570">
        <v>0.9786956</v>
      </c>
      <c r="Q2570">
        <v>0.2048026</v>
      </c>
      <c r="R2570">
        <v>1.45205E-2</v>
      </c>
      <c r="S2570">
        <v>3.0547179999999998</v>
      </c>
      <c r="T2570">
        <v>2.511263E-2</v>
      </c>
      <c r="U2570">
        <v>0.34700009999999998</v>
      </c>
      <c r="V2570">
        <v>-3.8469480000000002E-3</v>
      </c>
      <c r="W2570">
        <v>0.21488679999999999</v>
      </c>
      <c r="X2570">
        <v>0.97663140000000004</v>
      </c>
      <c r="Y2570">
        <v>-0.10203760000000001</v>
      </c>
      <c r="Z2570">
        <v>3.1111939999999997E-4</v>
      </c>
      <c r="AA2570">
        <v>0.99478049999999996</v>
      </c>
      <c r="AB2570">
        <v>45</v>
      </c>
      <c r="AC2570">
        <v>216.3835</v>
      </c>
      <c r="AD2570">
        <v>1.7826580000000001</v>
      </c>
      <c r="AE2570">
        <v>24.627999999999901</v>
      </c>
      <c r="AF2570">
        <v>-22.267112821390899</v>
      </c>
      <c r="AG2570">
        <v>1.7826580000000001</v>
      </c>
      <c r="AH2570">
        <v>216.62450933005701</v>
      </c>
      <c r="AI2570">
        <v>89.530980369461403</v>
      </c>
      <c r="AJ2570">
        <v>95.868894681290499</v>
      </c>
      <c r="AK2570">
        <v>217.773231195741</v>
      </c>
      <c r="AL2570">
        <v>77.591113975240603</v>
      </c>
      <c r="AM2570">
        <v>90.225686727314496</v>
      </c>
      <c r="AN2570">
        <v>1.0000000136445499</v>
      </c>
    </row>
    <row r="2571" spans="1:40" x14ac:dyDescent="0.25">
      <c r="A2571" t="str">
        <f>"20190303170815729"</f>
        <v>20190303170815729</v>
      </c>
      <c r="B2571" t="str">
        <f>"1551604095725735"</f>
        <v>1551604095725735</v>
      </c>
      <c r="C2571" t="s">
        <v>40</v>
      </c>
      <c r="D2571">
        <v>4.1148959999999999</v>
      </c>
      <c r="E2571">
        <v>0.46194970000000002</v>
      </c>
      <c r="F2571" t="s">
        <v>89</v>
      </c>
      <c r="G2571">
        <v>-232.92750000000001</v>
      </c>
      <c r="H2571">
        <v>2.5485989999999998</v>
      </c>
      <c r="I2571">
        <v>230.3981</v>
      </c>
      <c r="J2571">
        <v>-373.7722</v>
      </c>
      <c r="K2571">
        <v>1.1203890000000001</v>
      </c>
      <c r="L2571">
        <v>213.3297</v>
      </c>
      <c r="M2571">
        <v>0.99988699999999997</v>
      </c>
      <c r="N2571">
        <v>-1.035291E-2</v>
      </c>
      <c r="O2571">
        <v>1.0896879999999999E-2</v>
      </c>
      <c r="P2571">
        <v>0.97875060000000003</v>
      </c>
      <c r="Q2571">
        <v>0.2046075</v>
      </c>
      <c r="R2571">
        <v>1.352336E-2</v>
      </c>
      <c r="S2571">
        <v>3.0534059999999998</v>
      </c>
      <c r="T2571">
        <v>3.0863999999999999E-2</v>
      </c>
      <c r="U2571">
        <v>0.36895749999999999</v>
      </c>
      <c r="V2571">
        <v>-2.8485989999999998E-3</v>
      </c>
      <c r="W2571">
        <v>0.2147308</v>
      </c>
      <c r="X2571">
        <v>0.97666909999999896</v>
      </c>
      <c r="Y2571">
        <v>-0.10913870000000001</v>
      </c>
      <c r="Z2571">
        <v>2.395842E-4</v>
      </c>
      <c r="AA2571">
        <v>0.99402650000000004</v>
      </c>
      <c r="AB2571">
        <v>45</v>
      </c>
      <c r="AC2571">
        <v>140.84469999999999</v>
      </c>
      <c r="AD2571">
        <v>1.42821</v>
      </c>
      <c r="AE2571">
        <v>17.068399999999901</v>
      </c>
      <c r="AF2571">
        <v>-15.5309625204236</v>
      </c>
      <c r="AG2571">
        <v>1.42821</v>
      </c>
      <c r="AH2571">
        <v>141.00804960096701</v>
      </c>
      <c r="AI2571">
        <v>89.423183484516301</v>
      </c>
      <c r="AJ2571">
        <v>96.285358744730303</v>
      </c>
      <c r="AK2571">
        <v>141.86796901656001</v>
      </c>
      <c r="AL2571">
        <v>77.600265342776197</v>
      </c>
      <c r="AM2571">
        <v>90.167111089538906</v>
      </c>
      <c r="AN2571">
        <v>0.99999998093985598</v>
      </c>
    </row>
    <row r="2572" spans="1:40" x14ac:dyDescent="0.25">
      <c r="A2572" t="str">
        <f>"20190303170815751"</f>
        <v>20190303170815751</v>
      </c>
      <c r="B2572" t="str">
        <f>"1551604095745255"</f>
        <v>1551604095745255</v>
      </c>
      <c r="C2572" t="s">
        <v>40</v>
      </c>
      <c r="D2572">
        <v>4.0925129999999896</v>
      </c>
      <c r="E2572">
        <v>0.4612194</v>
      </c>
      <c r="F2572" t="s">
        <v>89</v>
      </c>
      <c r="G2572">
        <v>-234.63730000000001</v>
      </c>
      <c r="H2572">
        <v>2.516041</v>
      </c>
      <c r="I2572">
        <v>230.43549999999999</v>
      </c>
      <c r="J2572">
        <v>-373.34449999999998</v>
      </c>
      <c r="K2572">
        <v>1.1203860000000001</v>
      </c>
      <c r="L2572">
        <v>213.33439999999999</v>
      </c>
      <c r="M2572">
        <v>0.99988690000000002</v>
      </c>
      <c r="N2572">
        <v>-1.0386350000000001E-2</v>
      </c>
      <c r="O2572">
        <v>1.089736E-2</v>
      </c>
      <c r="P2572">
        <v>0.97878880000000001</v>
      </c>
      <c r="Q2572">
        <v>0.20447019999999999</v>
      </c>
      <c r="R2572">
        <v>1.2832359999999999E-2</v>
      </c>
      <c r="S2572">
        <v>3.053528</v>
      </c>
      <c r="T2572">
        <v>3.0629630000000001E-2</v>
      </c>
      <c r="U2572">
        <v>0.37541200000000002</v>
      </c>
      <c r="V2572">
        <v>-2.157066E-3</v>
      </c>
      <c r="W2572">
        <v>0.21462600000000001</v>
      </c>
      <c r="X2572">
        <v>0.9766939</v>
      </c>
      <c r="Y2572">
        <v>-0.1112037</v>
      </c>
      <c r="Z2572">
        <v>2.4570499999999998E-4</v>
      </c>
      <c r="AA2572">
        <v>0.99379759999999995</v>
      </c>
      <c r="AB2572">
        <v>45</v>
      </c>
      <c r="AC2572">
        <v>138.70719999999901</v>
      </c>
      <c r="AD2572">
        <v>1.3956550000000001</v>
      </c>
      <c r="AE2572">
        <v>17.101099999999999</v>
      </c>
      <c r="AF2572">
        <v>-15.5869065535085</v>
      </c>
      <c r="AG2572">
        <v>1.3956550000000001</v>
      </c>
      <c r="AH2572">
        <v>138.87148078010301</v>
      </c>
      <c r="AI2572">
        <v>89.427790954119899</v>
      </c>
      <c r="AJ2572">
        <v>96.404063993916296</v>
      </c>
      <c r="AK2572">
        <v>139.750447880661</v>
      </c>
      <c r="AL2572">
        <v>77.606413188047895</v>
      </c>
      <c r="AM2572">
        <v>90.126539724460102</v>
      </c>
      <c r="AN2572">
        <v>0.99999997355346804</v>
      </c>
    </row>
    <row r="2573" spans="1:40" x14ac:dyDescent="0.25">
      <c r="A2573" t="str">
        <f>"20190303170815773"</f>
        <v>20190303170815773</v>
      </c>
      <c r="B2573" t="str">
        <f>"1551604095765752"</f>
        <v>1551604095765752</v>
      </c>
      <c r="C2573" t="s">
        <v>40</v>
      </c>
      <c r="D2573">
        <v>4.162668</v>
      </c>
      <c r="E2573">
        <v>0.4607965</v>
      </c>
      <c r="F2573" t="s">
        <v>89</v>
      </c>
      <c r="G2573">
        <v>-234.63730000000001</v>
      </c>
      <c r="H2573">
        <v>2.5587789999999999</v>
      </c>
      <c r="I2573">
        <v>230.56610000000001</v>
      </c>
      <c r="J2573">
        <v>-372.88549999999998</v>
      </c>
      <c r="K2573">
        <v>1.1203879999999999</v>
      </c>
      <c r="L2573">
        <v>213.33940000000001</v>
      </c>
      <c r="M2573">
        <v>0.99988650000000001</v>
      </c>
      <c r="N2573">
        <v>-1.0418520000000001E-2</v>
      </c>
      <c r="O2573">
        <v>1.089791E-2</v>
      </c>
      <c r="P2573">
        <v>0.97884839999999995</v>
      </c>
      <c r="Q2573">
        <v>0.2042079</v>
      </c>
      <c r="R2573">
        <v>1.2458459999999999E-2</v>
      </c>
      <c r="S2573">
        <v>3.0534669999999999</v>
      </c>
      <c r="T2573">
        <v>3.1664369999999997E-2</v>
      </c>
      <c r="U2573">
        <v>0.37933349999999999</v>
      </c>
      <c r="V2573">
        <v>-1.7817849999999999E-3</v>
      </c>
      <c r="W2573">
        <v>0.2143959</v>
      </c>
      <c r="X2573">
        <v>0.97674519999999998</v>
      </c>
      <c r="Y2573">
        <v>-0.11246250000000001</v>
      </c>
      <c r="Z2573">
        <v>2.3291450000000001E-4</v>
      </c>
      <c r="AA2573">
        <v>0.99365590000000004</v>
      </c>
      <c r="AB2573">
        <v>45</v>
      </c>
      <c r="AC2573">
        <v>138.248199999999</v>
      </c>
      <c r="AD2573">
        <v>1.438391</v>
      </c>
      <c r="AE2573">
        <v>17.226699999999902</v>
      </c>
      <c r="AF2573">
        <v>-15.7173035145779</v>
      </c>
      <c r="AG2573">
        <v>1.438391</v>
      </c>
      <c r="AH2573">
        <v>138.41298020982001</v>
      </c>
      <c r="AI2573">
        <v>89.408403981581401</v>
      </c>
      <c r="AJ2573">
        <v>96.478396724610207</v>
      </c>
      <c r="AK2573">
        <v>139.30992674250601</v>
      </c>
      <c r="AL2573">
        <v>77.619911254969196</v>
      </c>
      <c r="AM2573">
        <v>90.1045192208353</v>
      </c>
      <c r="AN2573">
        <v>0.99999998120881795</v>
      </c>
    </row>
    <row r="2574" spans="1:40" x14ac:dyDescent="0.25">
      <c r="A2574" t="str">
        <f>"20190303170815796"</f>
        <v>20190303170815796</v>
      </c>
      <c r="B2574" t="str">
        <f>"1551604095785272"</f>
        <v>1551604095785272</v>
      </c>
      <c r="C2574" t="s">
        <v>40</v>
      </c>
      <c r="D2574">
        <v>4.1597790000000003</v>
      </c>
      <c r="E2574">
        <v>0.46056130000000001</v>
      </c>
      <c r="F2574" t="s">
        <v>89</v>
      </c>
      <c r="G2574">
        <v>-234.63730000000001</v>
      </c>
      <c r="H2574">
        <v>2.5085229999999998</v>
      </c>
      <c r="I2574">
        <v>230.57919999999999</v>
      </c>
      <c r="J2574">
        <v>-372.44049999999999</v>
      </c>
      <c r="K2574">
        <v>1.1203890000000001</v>
      </c>
      <c r="L2574">
        <v>213.3443</v>
      </c>
      <c r="M2574">
        <v>0.9998861</v>
      </c>
      <c r="N2574">
        <v>-1.0446570000000001E-2</v>
      </c>
      <c r="O2574">
        <v>1.089859E-2</v>
      </c>
      <c r="P2574">
        <v>0.97896110000000003</v>
      </c>
      <c r="Q2574">
        <v>0.20366909999999999</v>
      </c>
      <c r="R2574">
        <v>1.241956E-2</v>
      </c>
      <c r="S2574">
        <v>3.0535580000000002</v>
      </c>
      <c r="T2574">
        <v>3.0660389999999999E-2</v>
      </c>
      <c r="U2574">
        <v>0.38078309999999999</v>
      </c>
      <c r="V2574">
        <v>-1.7409979999999999E-3</v>
      </c>
      <c r="W2574">
        <v>0.21388589999999999</v>
      </c>
      <c r="X2574">
        <v>0.97685710000000003</v>
      </c>
      <c r="Y2574">
        <v>-0.1129228</v>
      </c>
      <c r="Z2574">
        <v>2.4981629999999998E-4</v>
      </c>
      <c r="AA2574">
        <v>0.99360380000000004</v>
      </c>
      <c r="AB2574">
        <v>45</v>
      </c>
      <c r="AC2574">
        <v>137.80319999999901</v>
      </c>
      <c r="AD2574">
        <v>1.388134</v>
      </c>
      <c r="AE2574">
        <v>17.2348999999999</v>
      </c>
      <c r="AF2574">
        <v>-15.7303622417665</v>
      </c>
      <c r="AG2574">
        <v>1.388134</v>
      </c>
      <c r="AH2574">
        <v>137.96907681599899</v>
      </c>
      <c r="AI2574">
        <v>89.427265603317494</v>
      </c>
      <c r="AJ2574">
        <v>96.504415844171902</v>
      </c>
      <c r="AK2574">
        <v>138.86985767155599</v>
      </c>
      <c r="AL2574">
        <v>77.649826298607806</v>
      </c>
      <c r="AM2574">
        <v>90.102114968426605</v>
      </c>
      <c r="AN2574">
        <v>1.0000000015566199</v>
      </c>
    </row>
    <row r="2575" spans="1:40" x14ac:dyDescent="0.25">
      <c r="A2575" t="str">
        <f>"20190303170815819"</f>
        <v>20190303170815819</v>
      </c>
      <c r="B2575" t="str">
        <f>"1551604095815527"</f>
        <v>1551604095815527</v>
      </c>
      <c r="C2575" t="s">
        <v>40</v>
      </c>
      <c r="D2575">
        <v>4.2095440000000002</v>
      </c>
      <c r="E2575">
        <v>0.46000580000000002</v>
      </c>
      <c r="F2575" t="s">
        <v>89</v>
      </c>
      <c r="G2575">
        <v>-234.63730000000001</v>
      </c>
      <c r="H2575">
        <v>2.3623799999999999</v>
      </c>
      <c r="I2575">
        <v>230.5984</v>
      </c>
      <c r="J2575">
        <v>-371.97179999999997</v>
      </c>
      <c r="K2575">
        <v>1.1203860000000001</v>
      </c>
      <c r="L2575">
        <v>213.3494</v>
      </c>
      <c r="M2575">
        <v>0.99988580000000005</v>
      </c>
      <c r="N2575">
        <v>-1.0473039999999999E-2</v>
      </c>
      <c r="O2575">
        <v>1.089911E-2</v>
      </c>
      <c r="P2575">
        <v>0.97893830000000004</v>
      </c>
      <c r="Q2575">
        <v>0.20378930000000001</v>
      </c>
      <c r="R2575">
        <v>1.2235080000000001E-2</v>
      </c>
      <c r="S2575">
        <v>3.0538639999999999</v>
      </c>
      <c r="T2575">
        <v>2.7523760000000001E-2</v>
      </c>
      <c r="U2575">
        <v>0.38236999999999999</v>
      </c>
      <c r="V2575">
        <v>-1.5560229999999999E-3</v>
      </c>
      <c r="W2575">
        <v>0.21403130000000001</v>
      </c>
      <c r="X2575">
        <v>0.97682559999999996</v>
      </c>
      <c r="Y2575">
        <v>-0.113418699999999</v>
      </c>
      <c r="Z2575">
        <v>2.9868419999999998E-4</v>
      </c>
      <c r="AA2575">
        <v>0.99354730000000002</v>
      </c>
      <c r="AB2575">
        <v>45</v>
      </c>
      <c r="AC2575">
        <v>137.334499999999</v>
      </c>
      <c r="AD2575">
        <v>1.2419939999999901</v>
      </c>
      <c r="AE2575">
        <v>17.248999999999899</v>
      </c>
      <c r="AF2575">
        <v>-15.7498013844968</v>
      </c>
      <c r="AG2575">
        <v>1.2419939999999901</v>
      </c>
      <c r="AH2575">
        <v>137.50327967712701</v>
      </c>
      <c r="AI2575">
        <v>89.485853321076902</v>
      </c>
      <c r="AJ2575">
        <v>96.534255271212999</v>
      </c>
      <c r="AK2575">
        <v>138.407914205487</v>
      </c>
      <c r="AL2575">
        <v>77.641298428806707</v>
      </c>
      <c r="AM2575">
        <v>90.091268569658396</v>
      </c>
      <c r="AN2575">
        <v>1.0000000357013099</v>
      </c>
    </row>
    <row r="2576" spans="1:40" x14ac:dyDescent="0.25">
      <c r="A2576" t="str">
        <f>"20190303170815839"</f>
        <v>20190303170815839</v>
      </c>
      <c r="B2576" t="str">
        <f>"1551604095835047"</f>
        <v>1551604095835047</v>
      </c>
      <c r="C2576" t="s">
        <v>40</v>
      </c>
      <c r="D2576">
        <v>4.1885960000000004</v>
      </c>
      <c r="E2576">
        <v>0.45972220000000003</v>
      </c>
      <c r="F2576" t="s">
        <v>89</v>
      </c>
      <c r="G2576">
        <v>-234.63730000000001</v>
      </c>
      <c r="H2576">
        <v>2.398889</v>
      </c>
      <c r="I2576">
        <v>230.72479999999999</v>
      </c>
      <c r="J2576">
        <v>-371.5539</v>
      </c>
      <c r="K2576">
        <v>1.1203920000000001</v>
      </c>
      <c r="L2576">
        <v>213.35400000000001</v>
      </c>
      <c r="M2576">
        <v>0.99988560000000004</v>
      </c>
      <c r="N2576">
        <v>-1.049435E-2</v>
      </c>
      <c r="O2576">
        <v>1.0899829999999999E-2</v>
      </c>
      <c r="P2576">
        <v>0.97884059999999995</v>
      </c>
      <c r="Q2576">
        <v>0.2042814</v>
      </c>
      <c r="R2576">
        <v>1.1850289999999999E-2</v>
      </c>
      <c r="S2576">
        <v>3.053833</v>
      </c>
      <c r="T2576">
        <v>2.842927E-2</v>
      </c>
      <c r="U2576">
        <v>0.38636779999999998</v>
      </c>
      <c r="V2576">
        <v>-1.1720809999999999E-3</v>
      </c>
      <c r="W2576">
        <v>0.21454309999999999</v>
      </c>
      <c r="X2576">
        <v>0.97671379999999997</v>
      </c>
      <c r="Y2576">
        <v>-0.1146995</v>
      </c>
      <c r="Z2576">
        <v>2.8749180000000002E-4</v>
      </c>
      <c r="AA2576">
        <v>0.99340019999999996</v>
      </c>
      <c r="AB2576">
        <v>45</v>
      </c>
      <c r="AC2576">
        <v>136.91659999999999</v>
      </c>
      <c r="AD2576">
        <v>1.278497</v>
      </c>
      <c r="AE2576">
        <v>17.3707999999999</v>
      </c>
      <c r="AF2576">
        <v>-15.875955877938599</v>
      </c>
      <c r="AG2576">
        <v>1.278497</v>
      </c>
      <c r="AH2576">
        <v>137.08605102180499</v>
      </c>
      <c r="AI2576">
        <v>89.469208895360396</v>
      </c>
      <c r="AJ2576">
        <v>96.606004382026299</v>
      </c>
      <c r="AK2576">
        <v>138.00820959048099</v>
      </c>
      <c r="AL2576">
        <v>77.611276390047607</v>
      </c>
      <c r="AM2576">
        <v>90.068756336105395</v>
      </c>
      <c r="AN2576">
        <v>0.99999998132096002</v>
      </c>
    </row>
    <row r="2577" spans="1:40" x14ac:dyDescent="0.25">
      <c r="A2577" t="str">
        <f>"20190303170815884"</f>
        <v>20190303170815884</v>
      </c>
      <c r="B2577" t="str">
        <f>"1551604095875063"</f>
        <v>1551604095875063</v>
      </c>
      <c r="C2577" t="s">
        <v>40</v>
      </c>
      <c r="D2577">
        <v>4.2820999999999998</v>
      </c>
      <c r="E2577">
        <v>0.4591809</v>
      </c>
      <c r="F2577" t="s">
        <v>89</v>
      </c>
      <c r="G2577">
        <v>-237.2287</v>
      </c>
      <c r="H2577">
        <v>2.4351250000000002</v>
      </c>
      <c r="I2577">
        <v>230.41890000000001</v>
      </c>
      <c r="J2577">
        <v>-370.64449999999999</v>
      </c>
      <c r="K2577">
        <v>1.120393</v>
      </c>
      <c r="L2577">
        <v>213.3639</v>
      </c>
      <c r="M2577">
        <v>0.99988509999999997</v>
      </c>
      <c r="N2577">
        <v>-1.053514E-2</v>
      </c>
      <c r="O2577">
        <v>1.0900979999999999E-2</v>
      </c>
      <c r="P2577">
        <v>0.97861609999999999</v>
      </c>
      <c r="Q2577">
        <v>0.20531140000000001</v>
      </c>
      <c r="R2577">
        <v>1.2570019999999999E-2</v>
      </c>
      <c r="S2577">
        <v>3.0538639999999999</v>
      </c>
      <c r="T2577">
        <v>2.9890179999999999E-2</v>
      </c>
      <c r="U2577">
        <v>0.38796999999999998</v>
      </c>
      <c r="V2577">
        <v>-1.89258E-3</v>
      </c>
      <c r="W2577">
        <v>0.21561089999999999</v>
      </c>
      <c r="X2577">
        <v>0.9764775</v>
      </c>
      <c r="Y2577">
        <v>-0.1152099</v>
      </c>
      <c r="Z2577">
        <v>2.6842160000000001E-4</v>
      </c>
      <c r="AA2577">
        <v>0.99334109999999998</v>
      </c>
      <c r="AB2577">
        <v>45</v>
      </c>
      <c r="AC2577">
        <v>133.41579999999999</v>
      </c>
      <c r="AD2577">
        <v>1.314732</v>
      </c>
      <c r="AE2577">
        <v>17.055</v>
      </c>
      <c r="AF2577">
        <v>-15.598052505691999</v>
      </c>
      <c r="AG2577">
        <v>1.314732</v>
      </c>
      <c r="AH2577">
        <v>133.581035059664</v>
      </c>
      <c r="AI2577">
        <v>89.439906599361905</v>
      </c>
      <c r="AJ2577">
        <v>96.660179308629495</v>
      </c>
      <c r="AK2577">
        <v>134.495058235659</v>
      </c>
      <c r="AL2577">
        <v>77.548629761128595</v>
      </c>
      <c r="AM2577">
        <v>90.111048857357105</v>
      </c>
      <c r="AN2577">
        <v>0.99999997503205695</v>
      </c>
    </row>
    <row r="2578" spans="1:40" x14ac:dyDescent="0.25">
      <c r="A2578" t="str">
        <f>"20190303170815908"</f>
        <v>20190303170815908</v>
      </c>
      <c r="B2578" t="str">
        <f>"1551604095895559"</f>
        <v>1551604095895559</v>
      </c>
      <c r="C2578" t="s">
        <v>40</v>
      </c>
      <c r="D2578">
        <v>4.2531319999999999</v>
      </c>
      <c r="E2578">
        <v>0.45903579999999999</v>
      </c>
      <c r="F2578" t="s">
        <v>89</v>
      </c>
      <c r="G2578">
        <v>-238.6645</v>
      </c>
      <c r="H2578">
        <v>2.5026000000000002</v>
      </c>
      <c r="I2578">
        <v>230.41890000000001</v>
      </c>
      <c r="J2578">
        <v>-370.16079999999999</v>
      </c>
      <c r="K2578">
        <v>1.120401</v>
      </c>
      <c r="L2578">
        <v>213.3691</v>
      </c>
      <c r="M2578">
        <v>0.99988500000000002</v>
      </c>
      <c r="N2578">
        <v>-1.0553659999999999E-2</v>
      </c>
      <c r="O2578">
        <v>1.0901360000000001E-2</v>
      </c>
      <c r="P2578">
        <v>0.97850490000000001</v>
      </c>
      <c r="Q2578">
        <v>0.2058189</v>
      </c>
      <c r="R2578">
        <v>1.2914409999999999E-2</v>
      </c>
      <c r="S2578">
        <v>3.0537719999999999</v>
      </c>
      <c r="T2578">
        <v>3.1981589999999997E-2</v>
      </c>
      <c r="U2578">
        <v>0.3946228</v>
      </c>
      <c r="V2578">
        <v>-2.2378039999999999E-3</v>
      </c>
      <c r="W2578">
        <v>0.21613560000000001</v>
      </c>
      <c r="X2578">
        <v>0.97636080000000003</v>
      </c>
      <c r="Y2578">
        <v>-0.1173419</v>
      </c>
      <c r="Z2578">
        <v>2.38147E-4</v>
      </c>
      <c r="AA2578">
        <v>0.99309150000000002</v>
      </c>
      <c r="AB2578">
        <v>45</v>
      </c>
      <c r="AC2578">
        <v>131.49629999999999</v>
      </c>
      <c r="AD2578">
        <v>1.382199</v>
      </c>
      <c r="AE2578">
        <v>17.049800000000001</v>
      </c>
      <c r="AF2578">
        <v>-15.6135220051349</v>
      </c>
      <c r="AG2578">
        <v>1.382199</v>
      </c>
      <c r="AH2578">
        <v>131.660055441525</v>
      </c>
      <c r="AI2578">
        <v>89.402702271988801</v>
      </c>
      <c r="AJ2578">
        <v>96.763101078747297</v>
      </c>
      <c r="AK2578">
        <v>132.58982895511201</v>
      </c>
      <c r="AL2578">
        <v>77.517841126644001</v>
      </c>
      <c r="AM2578">
        <v>90.131320819170995</v>
      </c>
      <c r="AN2578">
        <v>1.00000000856537</v>
      </c>
    </row>
    <row r="2579" spans="1:40" x14ac:dyDescent="0.25">
      <c r="A2579" t="str">
        <f>"20190303170815929"</f>
        <v>20190303170815929</v>
      </c>
      <c r="B2579" t="str">
        <f>"1551604095915079"</f>
        <v>1551604095915079</v>
      </c>
      <c r="C2579" t="s">
        <v>40</v>
      </c>
      <c r="D2579">
        <v>4.3624859999999996</v>
      </c>
      <c r="E2579">
        <v>0.45883930000000001</v>
      </c>
      <c r="F2579" t="s">
        <v>89</v>
      </c>
      <c r="G2579">
        <v>-238.86099999999999</v>
      </c>
      <c r="H2579">
        <v>2.560521</v>
      </c>
      <c r="I2579">
        <v>230.4341</v>
      </c>
      <c r="J2579">
        <v>-369.73140000000001</v>
      </c>
      <c r="K2579">
        <v>1.1204000000000001</v>
      </c>
      <c r="L2579">
        <v>213.37379999999999</v>
      </c>
      <c r="M2579">
        <v>0.99988480000000002</v>
      </c>
      <c r="N2579">
        <v>-1.056838E-2</v>
      </c>
      <c r="O2579">
        <v>1.090176E-2</v>
      </c>
      <c r="P2579">
        <v>0.97847340000000005</v>
      </c>
      <c r="Q2579">
        <v>0.20597070000000001</v>
      </c>
      <c r="R2579">
        <v>1.288662E-2</v>
      </c>
      <c r="S2579">
        <v>3.0536500000000002</v>
      </c>
      <c r="T2579">
        <v>3.3492920000000002E-2</v>
      </c>
      <c r="U2579">
        <v>0.39688109999999999</v>
      </c>
      <c r="V2579">
        <v>-2.2102530000000001E-3</v>
      </c>
      <c r="W2579">
        <v>0.21630089999999999</v>
      </c>
      <c r="X2579">
        <v>0.97632430000000003</v>
      </c>
      <c r="Y2579">
        <v>-0.1180686</v>
      </c>
      <c r="Z2579">
        <v>2.155557E-4</v>
      </c>
      <c r="AA2579">
        <v>0.99300540000000004</v>
      </c>
      <c r="AB2579">
        <v>45</v>
      </c>
      <c r="AC2579">
        <v>130.87039999999999</v>
      </c>
      <c r="AD2579">
        <v>1.440121</v>
      </c>
      <c r="AE2579">
        <v>17.060300000000002</v>
      </c>
      <c r="AF2579">
        <v>-15.630627681863601</v>
      </c>
      <c r="AG2579">
        <v>1.440121</v>
      </c>
      <c r="AH2579">
        <v>131.03301780177199</v>
      </c>
      <c r="AI2579">
        <v>89.374747407465193</v>
      </c>
      <c r="AJ2579">
        <v>96.802537749239605</v>
      </c>
      <c r="AK2579">
        <v>131.96985346837101</v>
      </c>
      <c r="AL2579">
        <v>77.508141217706793</v>
      </c>
      <c r="AM2579">
        <v>90.129708901248904</v>
      </c>
      <c r="AN2579">
        <v>1.00000005166481</v>
      </c>
    </row>
    <row r="2580" spans="1:40" x14ac:dyDescent="0.25">
      <c r="A2580" t="str">
        <f>"20190303170815961"</f>
        <v>20190303170815961</v>
      </c>
      <c r="B2580" t="str">
        <f>"1551604095955096"</f>
        <v>1551604095955096</v>
      </c>
      <c r="C2580" t="s">
        <v>40</v>
      </c>
      <c r="D2580">
        <v>4.3608379999999904</v>
      </c>
      <c r="E2580">
        <v>0.45840639999999999</v>
      </c>
      <c r="F2580" t="s">
        <v>89</v>
      </c>
      <c r="G2580">
        <v>-238.86089999999999</v>
      </c>
      <c r="H2580">
        <v>2.5277639999999999</v>
      </c>
      <c r="I2580">
        <v>230.4325</v>
      </c>
      <c r="J2580">
        <v>-369.08190000000002</v>
      </c>
      <c r="K2580">
        <v>1.1204080000000001</v>
      </c>
      <c r="L2580">
        <v>213.3809</v>
      </c>
      <c r="M2580">
        <v>0.99988449999999995</v>
      </c>
      <c r="N2580">
        <v>-1.0588409999999999E-2</v>
      </c>
      <c r="O2580">
        <v>1.090236E-2</v>
      </c>
      <c r="P2580">
        <v>0.97835459999999996</v>
      </c>
      <c r="Q2580">
        <v>0.20655419999999999</v>
      </c>
      <c r="R2580">
        <v>1.2557850000000001E-2</v>
      </c>
      <c r="S2580">
        <v>3.0538020000000001</v>
      </c>
      <c r="T2580">
        <v>3.2840130000000002E-2</v>
      </c>
      <c r="U2580">
        <v>0.39805600000000002</v>
      </c>
      <c r="V2580">
        <v>-1.88225E-3</v>
      </c>
      <c r="W2580">
        <v>0.21690280000000001</v>
      </c>
      <c r="X2580">
        <v>0.97619140000000004</v>
      </c>
      <c r="Y2580">
        <v>-0.1184374</v>
      </c>
      <c r="Z2580">
        <v>2.272563E-4</v>
      </c>
      <c r="AA2580">
        <v>0.99296150000000005</v>
      </c>
      <c r="AB2580">
        <v>45</v>
      </c>
      <c r="AC2580">
        <v>130.221</v>
      </c>
      <c r="AD2580">
        <v>1.4073559999999901</v>
      </c>
      <c r="AE2580">
        <v>17.051600000000001</v>
      </c>
      <c r="AF2580">
        <v>-15.6289959389311</v>
      </c>
      <c r="AG2580">
        <v>1.4073559999999901</v>
      </c>
      <c r="AH2580">
        <v>130.38420061457001</v>
      </c>
      <c r="AI2580">
        <v>89.385973487712505</v>
      </c>
      <c r="AJ2580">
        <v>96.835362054052396</v>
      </c>
      <c r="AK2580">
        <v>131.32511540017899</v>
      </c>
      <c r="AL2580">
        <v>77.472815726212104</v>
      </c>
      <c r="AM2580">
        <v>90.110475104923594</v>
      </c>
      <c r="AN2580">
        <v>1.00000000847343</v>
      </c>
    </row>
    <row r="2581" spans="1:40" x14ac:dyDescent="0.25">
      <c r="A2581" t="str">
        <f>"20190303170815984"</f>
        <v>20190303170815984</v>
      </c>
      <c r="B2581" t="str">
        <f>"1551604095975592"</f>
        <v>1551604095975592</v>
      </c>
      <c r="C2581" t="s">
        <v>40</v>
      </c>
      <c r="D2581">
        <v>4.421729</v>
      </c>
      <c r="E2581">
        <v>0.45846629999999999</v>
      </c>
      <c r="F2581" t="s">
        <v>89</v>
      </c>
      <c r="G2581">
        <v>-238.86089999999999</v>
      </c>
      <c r="H2581">
        <v>2.5163120000000001</v>
      </c>
      <c r="I2581">
        <v>230.45660000000001</v>
      </c>
      <c r="J2581">
        <v>-368.61439999999999</v>
      </c>
      <c r="K2581">
        <v>1.1204000000000001</v>
      </c>
      <c r="L2581">
        <v>213.386</v>
      </c>
      <c r="M2581">
        <v>0.99988440000000001</v>
      </c>
      <c r="N2581">
        <v>-1.0601620000000001E-2</v>
      </c>
      <c r="O2581">
        <v>1.0902770000000001E-2</v>
      </c>
      <c r="P2581">
        <v>0.97831270000000004</v>
      </c>
      <c r="Q2581">
        <v>0.20673230000000001</v>
      </c>
      <c r="R2581">
        <v>1.2899290000000001E-2</v>
      </c>
      <c r="S2581">
        <v>3.0543520000000002</v>
      </c>
      <c r="T2581">
        <v>3.2741069999999997E-2</v>
      </c>
      <c r="U2581">
        <v>0.4005127</v>
      </c>
      <c r="V2581">
        <v>-2.2238200000000001E-3</v>
      </c>
      <c r="W2581">
        <v>0.21709319999999999</v>
      </c>
      <c r="X2581">
        <v>0.97614840000000003</v>
      </c>
      <c r="Y2581">
        <v>-0.1191994</v>
      </c>
      <c r="Z2581">
        <v>2.2988920000000001E-4</v>
      </c>
      <c r="AA2581">
        <v>0.99287029999999998</v>
      </c>
      <c r="AB2581">
        <v>45</v>
      </c>
      <c r="AC2581">
        <v>129.7535</v>
      </c>
      <c r="AD2581">
        <v>1.395912</v>
      </c>
      <c r="AE2581">
        <v>17.070599999999999</v>
      </c>
      <c r="AF2581">
        <v>-15.653052404688999</v>
      </c>
      <c r="AG2581">
        <v>1.395912</v>
      </c>
      <c r="AH2581">
        <v>129.91713367129199</v>
      </c>
      <c r="AI2581">
        <v>89.388821329911096</v>
      </c>
      <c r="AJ2581">
        <v>96.8701599737484</v>
      </c>
      <c r="AK2581">
        <v>130.86415949854199</v>
      </c>
      <c r="AL2581">
        <v>77.461640862779504</v>
      </c>
      <c r="AM2581">
        <v>90.1305285958247</v>
      </c>
      <c r="AN2581">
        <v>1.0000000508420901</v>
      </c>
    </row>
    <row r="2582" spans="1:40" x14ac:dyDescent="0.25">
      <c r="A2582" t="str">
        <f>"20190303170816007"</f>
        <v>20190303170816007</v>
      </c>
      <c r="B2582" t="str">
        <f>"1551604095995111"</f>
        <v>1551604095995111</v>
      </c>
      <c r="C2582" t="s">
        <v>40</v>
      </c>
      <c r="D2582">
        <v>4.4481809999999999</v>
      </c>
      <c r="E2582">
        <v>0.45828370000000002</v>
      </c>
      <c r="F2582" t="s">
        <v>89</v>
      </c>
      <c r="G2582">
        <v>-238.86089999999999</v>
      </c>
      <c r="H2582">
        <v>2.4791189999999999</v>
      </c>
      <c r="I2582">
        <v>230.41970000000001</v>
      </c>
      <c r="J2582">
        <v>-368.14159999999998</v>
      </c>
      <c r="K2582">
        <v>1.1204019999999999</v>
      </c>
      <c r="L2582">
        <v>213.3912</v>
      </c>
      <c r="M2582">
        <v>0.99988440000000001</v>
      </c>
      <c r="N2582">
        <v>-1.061425E-2</v>
      </c>
      <c r="O2582">
        <v>1.090324E-2</v>
      </c>
      <c r="P2582">
        <v>0.97838199999999997</v>
      </c>
      <c r="Q2582">
        <v>0.2064223</v>
      </c>
      <c r="R2582">
        <v>1.2614179999999999E-2</v>
      </c>
      <c r="S2582">
        <v>3.0545040000000001</v>
      </c>
      <c r="T2582">
        <v>3.1985279999999998E-2</v>
      </c>
      <c r="U2582">
        <v>0.4009857</v>
      </c>
      <c r="V2582">
        <v>-1.9372250000000001E-3</v>
      </c>
      <c r="W2582">
        <v>0.21679619999999999</v>
      </c>
      <c r="X2582">
        <v>0.9762149</v>
      </c>
      <c r="Y2582">
        <v>-0.1193438</v>
      </c>
      <c r="Z2582">
        <v>2.428415E-4</v>
      </c>
      <c r="AA2582">
        <v>0.99285299999999999</v>
      </c>
      <c r="AB2582">
        <v>45</v>
      </c>
      <c r="AC2582">
        <v>129.2807</v>
      </c>
      <c r="AD2582">
        <v>1.35871699999999</v>
      </c>
      <c r="AE2582">
        <v>17.028500000000001</v>
      </c>
      <c r="AF2582">
        <v>-15.6161345332493</v>
      </c>
      <c r="AG2582">
        <v>1.35871699999999</v>
      </c>
      <c r="AH2582">
        <v>129.444636522461</v>
      </c>
      <c r="AI2582">
        <v>89.402945052014303</v>
      </c>
      <c r="AJ2582">
        <v>96.878890451813902</v>
      </c>
      <c r="AK2582">
        <v>130.39027453793699</v>
      </c>
      <c r="AL2582">
        <v>77.479071436180504</v>
      </c>
      <c r="AM2582">
        <v>90.113699013168599</v>
      </c>
      <c r="AN2582">
        <v>0.99999993807857301</v>
      </c>
    </row>
    <row r="2583" spans="1:40" x14ac:dyDescent="0.25">
      <c r="A2583" t="str">
        <f>"20190303170816029"</f>
        <v>20190303170816029</v>
      </c>
      <c r="B2583" t="str">
        <f>"1551604096015607"</f>
        <v>1551604096015607</v>
      </c>
      <c r="C2583" t="s">
        <v>40</v>
      </c>
      <c r="D2583">
        <v>4.4600160000000004</v>
      </c>
      <c r="E2583">
        <v>0.45808589999999999</v>
      </c>
      <c r="F2583" t="s">
        <v>89</v>
      </c>
      <c r="G2583">
        <v>-238.50970000000001</v>
      </c>
      <c r="H2583">
        <v>2.37384</v>
      </c>
      <c r="I2583">
        <v>230.41890000000001</v>
      </c>
      <c r="J2583">
        <v>-367.72030000000001</v>
      </c>
      <c r="K2583">
        <v>1.1203970000000001</v>
      </c>
      <c r="L2583">
        <v>213.39580000000001</v>
      </c>
      <c r="M2583">
        <v>0.9998842</v>
      </c>
      <c r="N2583">
        <v>-1.06274E-2</v>
      </c>
      <c r="O2583">
        <v>1.0903639999999999E-2</v>
      </c>
      <c r="P2583">
        <v>0.97856330000000002</v>
      </c>
      <c r="Q2583">
        <v>0.2055334</v>
      </c>
      <c r="R2583">
        <v>1.3037E-2</v>
      </c>
      <c r="S2583">
        <v>3.0549010000000001</v>
      </c>
      <c r="T2583">
        <v>2.9538390000000001E-2</v>
      </c>
      <c r="U2583">
        <v>0.40127560000000001</v>
      </c>
      <c r="V2583">
        <v>-2.3575689999999999E-3</v>
      </c>
      <c r="W2583">
        <v>0.21592239999999999</v>
      </c>
      <c r="X2583">
        <v>0.97640769999999999</v>
      </c>
      <c r="Y2583">
        <v>-0.1194197</v>
      </c>
      <c r="Z2583">
        <v>2.8278519999999998E-4</v>
      </c>
      <c r="AA2583">
        <v>0.99284380000000005</v>
      </c>
      <c r="AB2583">
        <v>45</v>
      </c>
      <c r="AC2583">
        <v>129.2106</v>
      </c>
      <c r="AD2583">
        <v>1.2534430000000001</v>
      </c>
      <c r="AE2583">
        <v>17.023099999999999</v>
      </c>
      <c r="AF2583">
        <v>-15.6116985877674</v>
      </c>
      <c r="AG2583">
        <v>1.2534430000000001</v>
      </c>
      <c r="AH2583">
        <v>129.376574967788</v>
      </c>
      <c r="AI2583">
        <v>89.4489143363502</v>
      </c>
      <c r="AJ2583">
        <v>96.880538247456499</v>
      </c>
      <c r="AK2583">
        <v>130.32112032416401</v>
      </c>
      <c r="AL2583">
        <v>77.530352136328204</v>
      </c>
      <c r="AM2583">
        <v>90.138342304254707</v>
      </c>
      <c r="AN2583">
        <v>1.0000000187863101</v>
      </c>
    </row>
    <row r="2584" spans="1:40" x14ac:dyDescent="0.25">
      <c r="A2584" t="str">
        <f>"20190303170816051"</f>
        <v>20190303170816051</v>
      </c>
      <c r="B2584" t="str">
        <f>"1551604096045864"</f>
        <v>1551604096045864</v>
      </c>
      <c r="C2584" t="s">
        <v>40</v>
      </c>
      <c r="D2584">
        <v>4.5316409999999996</v>
      </c>
      <c r="E2584">
        <v>0.4579413</v>
      </c>
      <c r="F2584" t="s">
        <v>89</v>
      </c>
      <c r="G2584">
        <v>-238.86080000000001</v>
      </c>
      <c r="H2584">
        <v>2.22078</v>
      </c>
      <c r="I2584">
        <v>230.43879999999999</v>
      </c>
      <c r="J2584">
        <v>-367.2722</v>
      </c>
      <c r="K2584">
        <v>1.1203959999999999</v>
      </c>
      <c r="L2584">
        <v>213.4007</v>
      </c>
      <c r="M2584">
        <v>0.99988390000000005</v>
      </c>
      <c r="N2584">
        <v>-1.064697E-2</v>
      </c>
      <c r="O2584">
        <v>1.0904189999999999E-2</v>
      </c>
      <c r="P2584">
        <v>0.97865230000000003</v>
      </c>
      <c r="Q2584">
        <v>0.20511309999999999</v>
      </c>
      <c r="R2584">
        <v>1.2976629999999999E-2</v>
      </c>
      <c r="S2584">
        <v>3.0548709999999999</v>
      </c>
      <c r="T2584">
        <v>2.6086689999999999E-2</v>
      </c>
      <c r="U2584">
        <v>0.40403749999999999</v>
      </c>
      <c r="V2584">
        <v>-2.295854E-3</v>
      </c>
      <c r="W2584">
        <v>0.2155224</v>
      </c>
      <c r="X2584">
        <v>0.97649620000000004</v>
      </c>
      <c r="Y2584">
        <v>-0.1203029</v>
      </c>
      <c r="Z2584">
        <v>3.4010890000000003E-4</v>
      </c>
      <c r="AA2584">
        <v>0.99273719999999999</v>
      </c>
      <c r="AB2584">
        <v>45</v>
      </c>
      <c r="AC2584">
        <v>128.41139999999999</v>
      </c>
      <c r="AD2584">
        <v>1.100384</v>
      </c>
      <c r="AE2584">
        <v>17.038099999999901</v>
      </c>
      <c r="AF2584">
        <v>-15.6356570221438</v>
      </c>
      <c r="AG2584">
        <v>1.100384</v>
      </c>
      <c r="AH2584">
        <v>128.580283493476</v>
      </c>
      <c r="AI2584">
        <v>89.513262731824994</v>
      </c>
      <c r="AJ2584">
        <v>96.9332574674428</v>
      </c>
      <c r="AK2584">
        <v>129.53213469531099</v>
      </c>
      <c r="AL2584">
        <v>77.553822868078996</v>
      </c>
      <c r="AM2584">
        <v>90.134708667786995</v>
      </c>
      <c r="AN2584">
        <v>1.0000000022308899</v>
      </c>
    </row>
    <row r="2585" spans="1:40" x14ac:dyDescent="0.25">
      <c r="A2585" t="str">
        <f>"20190303170816074"</f>
        <v>20190303170816074</v>
      </c>
      <c r="B2585" t="str">
        <f>"1551604096065383"</f>
        <v>1551604096065383</v>
      </c>
      <c r="C2585" t="s">
        <v>40</v>
      </c>
      <c r="D2585">
        <v>4.5251489999999999</v>
      </c>
      <c r="E2585">
        <v>0.45785900000000002</v>
      </c>
      <c r="F2585" t="s">
        <v>89</v>
      </c>
      <c r="G2585">
        <v>-238.86080000000001</v>
      </c>
      <c r="H2585">
        <v>2.1546460000000001</v>
      </c>
      <c r="I2585">
        <v>230.4374</v>
      </c>
      <c r="J2585">
        <v>-366.78739999999999</v>
      </c>
      <c r="K2585">
        <v>1.1203970000000001</v>
      </c>
      <c r="L2585">
        <v>213.40600000000001</v>
      </c>
      <c r="M2585">
        <v>0.99988379999999999</v>
      </c>
      <c r="N2585">
        <v>-1.067274E-2</v>
      </c>
      <c r="O2585">
        <v>1.0904769999999999E-2</v>
      </c>
      <c r="P2585">
        <v>0.97863860000000003</v>
      </c>
      <c r="Q2585">
        <v>0.20520269999999999</v>
      </c>
      <c r="R2585">
        <v>1.2604519999999999E-2</v>
      </c>
      <c r="S2585">
        <v>3.0549010000000001</v>
      </c>
      <c r="T2585">
        <v>2.460468E-2</v>
      </c>
      <c r="U2585">
        <v>0.405304</v>
      </c>
      <c r="V2585">
        <v>-1.9233E-3</v>
      </c>
      <c r="W2585">
        <v>0.21563650000000001</v>
      </c>
      <c r="X2585">
        <v>0.9764718</v>
      </c>
      <c r="Y2585">
        <v>-0.12070549999999999</v>
      </c>
      <c r="Z2585">
        <v>3.6631579999999998E-4</v>
      </c>
      <c r="AA2585">
        <v>0.99268829999999997</v>
      </c>
      <c r="AB2585">
        <v>46</v>
      </c>
      <c r="AC2585">
        <v>127.926599999999</v>
      </c>
      <c r="AD2585">
        <v>1.034249</v>
      </c>
      <c r="AE2585">
        <v>17.031400000000001</v>
      </c>
      <c r="AF2585">
        <v>-15.634293815866799</v>
      </c>
      <c r="AG2585">
        <v>1.034249</v>
      </c>
      <c r="AH2585">
        <v>128.09649993067501</v>
      </c>
      <c r="AI2585">
        <v>89.540812222844806</v>
      </c>
      <c r="AJ2585">
        <v>96.958585292111493</v>
      </c>
      <c r="AK2585">
        <v>129.05120731168799</v>
      </c>
      <c r="AL2585">
        <v>77.547127814726096</v>
      </c>
      <c r="AM2585">
        <v>90.112852035496701</v>
      </c>
      <c r="AN2585">
        <v>0.99999998770518905</v>
      </c>
    </row>
    <row r="2586" spans="1:40" x14ac:dyDescent="0.25">
      <c r="A2586" t="str">
        <f>"20190303170816097"</f>
        <v>20190303170816097</v>
      </c>
      <c r="B2586" t="str">
        <f>"1551604096085880"</f>
        <v>1551604096085880</v>
      </c>
      <c r="C2586" t="s">
        <v>40</v>
      </c>
      <c r="D2586">
        <v>4.530392</v>
      </c>
      <c r="E2586">
        <v>0.45768419999999999</v>
      </c>
      <c r="F2586" t="s">
        <v>89</v>
      </c>
      <c r="G2586">
        <v>-238.38470000000001</v>
      </c>
      <c r="H2586">
        <v>2.1614</v>
      </c>
      <c r="I2586">
        <v>230.41890000000001</v>
      </c>
      <c r="J2586">
        <v>-366.31330000000003</v>
      </c>
      <c r="K2586">
        <v>1.1203989999999999</v>
      </c>
      <c r="L2586">
        <v>213.4111</v>
      </c>
      <c r="M2586">
        <v>0.99988350000000004</v>
      </c>
      <c r="N2586">
        <v>-1.069999E-2</v>
      </c>
      <c r="O2586">
        <v>1.090528E-2</v>
      </c>
      <c r="P2586">
        <v>0.97864370000000001</v>
      </c>
      <c r="Q2586">
        <v>0.20516690000000001</v>
      </c>
      <c r="R2586">
        <v>1.277585E-2</v>
      </c>
      <c r="S2586">
        <v>3.0550540000000002</v>
      </c>
      <c r="T2586">
        <v>2.4768229999999999E-2</v>
      </c>
      <c r="U2586">
        <v>0.40478520000000001</v>
      </c>
      <c r="V2586">
        <v>-2.0941850000000001E-3</v>
      </c>
      <c r="W2586">
        <v>0.21562770000000001</v>
      </c>
      <c r="X2586">
        <v>0.97647340000000005</v>
      </c>
      <c r="Y2586">
        <v>-0.1205329</v>
      </c>
      <c r="Z2586">
        <v>3.6541610000000001E-4</v>
      </c>
      <c r="AA2586">
        <v>0.99270930000000002</v>
      </c>
      <c r="AB2586">
        <v>46</v>
      </c>
      <c r="AC2586">
        <v>127.9286</v>
      </c>
      <c r="AD2586">
        <v>1.0410010000000001</v>
      </c>
      <c r="AE2586">
        <v>17.0078</v>
      </c>
      <c r="AF2586">
        <v>-15.610596026187</v>
      </c>
      <c r="AG2586">
        <v>1.0410010000000001</v>
      </c>
      <c r="AH2586">
        <v>128.09814243719299</v>
      </c>
      <c r="AI2586">
        <v>89.5378101516946</v>
      </c>
      <c r="AJ2586">
        <v>96.948052728701995</v>
      </c>
      <c r="AK2586">
        <v>129.05002319734101</v>
      </c>
      <c r="AL2586">
        <v>77.547644266842994</v>
      </c>
      <c r="AM2586">
        <v>90.122878695988106</v>
      </c>
      <c r="AN2586">
        <v>0.99999999576283205</v>
      </c>
    </row>
    <row r="2587" spans="1:40" x14ac:dyDescent="0.25">
      <c r="A2587" t="str">
        <f>"20190303170816120"</f>
        <v>20190303170816120</v>
      </c>
      <c r="B2587" t="str">
        <f>"1551604096115160"</f>
        <v>1551604096115160</v>
      </c>
      <c r="C2587" t="s">
        <v>40</v>
      </c>
      <c r="D2587">
        <v>4.4801489999999999</v>
      </c>
      <c r="E2587">
        <v>0.4576364</v>
      </c>
      <c r="F2587" t="s">
        <v>89</v>
      </c>
      <c r="G2587">
        <v>-238.50319999999999</v>
      </c>
      <c r="H2587">
        <v>2.1135429999999999</v>
      </c>
      <c r="I2587">
        <v>230.41890000000001</v>
      </c>
      <c r="J2587">
        <v>-365.8725</v>
      </c>
      <c r="K2587">
        <v>1.120403</v>
      </c>
      <c r="L2587">
        <v>213.41589999999999</v>
      </c>
      <c r="M2587">
        <v>0.99988290000000002</v>
      </c>
      <c r="N2587">
        <v>-1.07292E-2</v>
      </c>
      <c r="O2587">
        <v>1.0905949999999999E-2</v>
      </c>
      <c r="P2587">
        <v>0.97867550000000003</v>
      </c>
      <c r="Q2587">
        <v>0.20500460000000001</v>
      </c>
      <c r="R2587">
        <v>1.2945480000000001E-2</v>
      </c>
      <c r="S2587">
        <v>3.0551759999999999</v>
      </c>
      <c r="T2587">
        <v>2.3740049999999999E-2</v>
      </c>
      <c r="U2587">
        <v>0.40655520000000001</v>
      </c>
      <c r="V2587">
        <v>-2.2632749999999999E-3</v>
      </c>
      <c r="W2587">
        <v>0.21549399999999999</v>
      </c>
      <c r="X2587">
        <v>0.97650250000000005</v>
      </c>
      <c r="Y2587">
        <v>-0.1210923</v>
      </c>
      <c r="Z2587">
        <v>3.8495430000000001E-4</v>
      </c>
      <c r="AA2587">
        <v>0.9926412</v>
      </c>
      <c r="AB2587">
        <v>46</v>
      </c>
      <c r="AC2587">
        <v>127.3693</v>
      </c>
      <c r="AD2587">
        <v>0.99314000000000002</v>
      </c>
      <c r="AE2587">
        <v>17.003</v>
      </c>
      <c r="AF2587">
        <v>-15.6118928615508</v>
      </c>
      <c r="AG2587">
        <v>0.99314000000000002</v>
      </c>
      <c r="AH2587">
        <v>127.53955039668</v>
      </c>
      <c r="AI2587">
        <v>89.557156753675798</v>
      </c>
      <c r="AJ2587">
        <v>96.978758098413394</v>
      </c>
      <c r="AK2587">
        <v>128.495347935898</v>
      </c>
      <c r="AL2587">
        <v>77.555488683632305</v>
      </c>
      <c r="AM2587">
        <v>90.132796253133804</v>
      </c>
      <c r="AN2587">
        <v>0.99999995947798703</v>
      </c>
    </row>
    <row r="2588" spans="1:40" x14ac:dyDescent="0.25">
      <c r="A2588" t="str">
        <f>"20190303170816162"</f>
        <v>20190303170816162</v>
      </c>
      <c r="B2588" t="str">
        <f>"1551604096155176"</f>
        <v>1551604096155176</v>
      </c>
      <c r="C2588" t="s">
        <v>40</v>
      </c>
      <c r="D2588">
        <v>4.5029789999999998</v>
      </c>
      <c r="E2588">
        <v>0.50226689999999996</v>
      </c>
      <c r="F2588" t="s">
        <v>89</v>
      </c>
      <c r="G2588">
        <v>-238.35069999999999</v>
      </c>
      <c r="H2588">
        <v>2.0539740000000002</v>
      </c>
      <c r="I2588">
        <v>230.41890000000001</v>
      </c>
      <c r="J2588">
        <v>-364.97559999999999</v>
      </c>
      <c r="K2588">
        <v>1.1204149999999999</v>
      </c>
      <c r="L2588">
        <v>213.42570000000001</v>
      </c>
      <c r="M2588">
        <v>0.99988220000000005</v>
      </c>
      <c r="N2588">
        <v>-1.080587E-2</v>
      </c>
      <c r="O2588">
        <v>1.090702E-2</v>
      </c>
      <c r="P2588">
        <v>0.97883710000000002</v>
      </c>
      <c r="Q2588">
        <v>0.2042629</v>
      </c>
      <c r="R2588">
        <v>1.24481E-2</v>
      </c>
      <c r="S2588">
        <v>3.0553279999999998</v>
      </c>
      <c r="T2588">
        <v>2.2367600000000001E-2</v>
      </c>
      <c r="U2588">
        <v>0.4073792</v>
      </c>
      <c r="V2588">
        <v>-1.7625169999999999E-3</v>
      </c>
      <c r="W2588">
        <v>0.2148291</v>
      </c>
      <c r="X2588">
        <v>0.97665009999999997</v>
      </c>
      <c r="Y2588">
        <v>-0.12134789999999999</v>
      </c>
      <c r="Z2588">
        <v>4.1315960000000001E-4</v>
      </c>
      <c r="AA2588">
        <v>0.99260999999999999</v>
      </c>
      <c r="AB2588">
        <v>46</v>
      </c>
      <c r="AC2588">
        <v>126.6249</v>
      </c>
      <c r="AD2588">
        <v>0.93355900000000003</v>
      </c>
      <c r="AE2588">
        <v>16.993200000000002</v>
      </c>
      <c r="AF2588">
        <v>-15.6101747211104</v>
      </c>
      <c r="AG2588">
        <v>0.93355900000000003</v>
      </c>
      <c r="AH2588">
        <v>126.795952877872</v>
      </c>
      <c r="AI2588">
        <v>89.581317568954404</v>
      </c>
      <c r="AJ2588">
        <v>97.018513275448797</v>
      </c>
      <c r="AK2588">
        <v>127.756654438967</v>
      </c>
      <c r="AL2588">
        <v>77.594499244932706</v>
      </c>
      <c r="AM2588">
        <v>90.103399032869405</v>
      </c>
      <c r="AN2588">
        <v>1.00000003325149</v>
      </c>
    </row>
    <row r="2589" spans="1:40" x14ac:dyDescent="0.25">
      <c r="A2589" t="str">
        <f>"20190303170816185"</f>
        <v>20190303170816185</v>
      </c>
      <c r="B2589" t="str">
        <f>"1551604096175672"</f>
        <v>1551604096175672</v>
      </c>
      <c r="C2589" t="s">
        <v>40</v>
      </c>
      <c r="D2589">
        <v>4.7268919999999897</v>
      </c>
      <c r="E2589">
        <v>0.50531919999999997</v>
      </c>
      <c r="F2589" t="s">
        <v>90</v>
      </c>
      <c r="G2589">
        <v>-107.39749999999999</v>
      </c>
      <c r="H2589">
        <v>1.011306</v>
      </c>
      <c r="I2589">
        <v>217.63249999999999</v>
      </c>
      <c r="J2589">
        <v>-364.52120000000002</v>
      </c>
      <c r="K2589">
        <v>1.1204160000000001</v>
      </c>
      <c r="L2589">
        <v>213.4307</v>
      </c>
      <c r="M2589">
        <v>0.99988160000000004</v>
      </c>
      <c r="N2589">
        <v>-1.084886E-2</v>
      </c>
      <c r="O2589">
        <v>1.090762E-2</v>
      </c>
      <c r="P2589">
        <v>0.97876149999999995</v>
      </c>
      <c r="Q2589">
        <v>0.20467170000000001</v>
      </c>
      <c r="R2589">
        <v>1.1641820000000001E-2</v>
      </c>
      <c r="S2589">
        <v>3.0644529999999999</v>
      </c>
      <c r="T2589">
        <v>-1.2974739999999901E-3</v>
      </c>
      <c r="U2589">
        <v>5.0048830000000002E-2</v>
      </c>
      <c r="V2589">
        <v>-9.5675369999999999E-4</v>
      </c>
      <c r="W2589">
        <v>0.2152789</v>
      </c>
      <c r="X2589">
        <v>0.97655210000000003</v>
      </c>
      <c r="Y2589">
        <v>-5.4226810000000004E-3</v>
      </c>
      <c r="Z2589">
        <v>1.4428330000000001E-4</v>
      </c>
      <c r="AA2589">
        <v>0.99998529999999997</v>
      </c>
      <c r="AB2589">
        <v>46</v>
      </c>
      <c r="AC2589">
        <v>257.12369999999999</v>
      </c>
      <c r="AD2589">
        <v>-0.10911</v>
      </c>
      <c r="AE2589">
        <v>4.2017999999999898</v>
      </c>
      <c r="AF2589">
        <v>-1.3967769222817701</v>
      </c>
      <c r="AG2589">
        <v>-0.10911</v>
      </c>
      <c r="AH2589">
        <v>257.15418998954999</v>
      </c>
      <c r="AI2589">
        <v>90.024310122693507</v>
      </c>
      <c r="AJ2589">
        <v>90.311208755913697</v>
      </c>
      <c r="AK2589">
        <v>257.158006525063</v>
      </c>
      <c r="AL2589">
        <v>77.568109257406704</v>
      </c>
      <c r="AM2589">
        <v>90.056134159666698</v>
      </c>
      <c r="AN2589">
        <v>0.99999996208862996</v>
      </c>
    </row>
    <row r="2590" spans="1:40" x14ac:dyDescent="0.25">
      <c r="A2590" t="str">
        <f>"20190303170816208"</f>
        <v>20190303170816208</v>
      </c>
      <c r="B2590" t="str">
        <f>"1551604096195195"</f>
        <v>1551604096195195</v>
      </c>
      <c r="C2590" t="s">
        <v>40</v>
      </c>
      <c r="D2590">
        <v>4.7259260000000003</v>
      </c>
      <c r="E2590">
        <v>0.50681869999999996</v>
      </c>
      <c r="F2590" t="s">
        <v>90</v>
      </c>
      <c r="G2590">
        <v>-107.39749999999999</v>
      </c>
      <c r="H2590">
        <v>1.1197140000000001</v>
      </c>
      <c r="I2590">
        <v>215.3982</v>
      </c>
      <c r="J2590">
        <v>-364.05169999999998</v>
      </c>
      <c r="K2590">
        <v>1.1204229999999999</v>
      </c>
      <c r="L2590">
        <v>213.4358</v>
      </c>
      <c r="M2590">
        <v>0.99988120000000003</v>
      </c>
      <c r="N2590">
        <v>-1.0896629999999999E-2</v>
      </c>
      <c r="O2590">
        <v>1.0908009999999999E-2</v>
      </c>
      <c r="P2590">
        <v>0.97872440000000005</v>
      </c>
      <c r="Q2590">
        <v>0.20485249999999999</v>
      </c>
      <c r="R2590">
        <v>1.158356E-2</v>
      </c>
      <c r="S2590">
        <v>3.0648499999999999</v>
      </c>
      <c r="T2590" s="1">
        <v>-7.7486039999999999E-6</v>
      </c>
      <c r="U2590">
        <v>2.345276E-2</v>
      </c>
      <c r="V2590">
        <v>-8.9849949999999896E-4</v>
      </c>
      <c r="W2590">
        <v>0.21550620000000001</v>
      </c>
      <c r="X2590">
        <v>0.97650210000000004</v>
      </c>
      <c r="Y2590">
        <v>3.2562020000000001E-3</v>
      </c>
      <c r="Z2590">
        <v>1.0109209999999999E-4</v>
      </c>
      <c r="AA2590">
        <v>0.99999470000000001</v>
      </c>
      <c r="AB2590">
        <v>46</v>
      </c>
      <c r="AC2590">
        <v>256.6542</v>
      </c>
      <c r="AD2590">
        <v>-7.0900000000007003E-4</v>
      </c>
      <c r="AE2590">
        <v>1.9623999999999999</v>
      </c>
      <c r="AF2590">
        <v>0.83746937716658998</v>
      </c>
      <c r="AG2590">
        <v>-7.0900000000007003E-4</v>
      </c>
      <c r="AH2590">
        <v>256.66033592169401</v>
      </c>
      <c r="AI2590">
        <v>90.000158273350905</v>
      </c>
      <c r="AJ2590">
        <v>89.813047503731795</v>
      </c>
      <c r="AK2590">
        <v>256.66170222862797</v>
      </c>
      <c r="AL2590">
        <v>77.554773879388605</v>
      </c>
      <c r="AM2590">
        <v>90.052719000518806</v>
      </c>
      <c r="AN2590">
        <v>1.0000000404220999</v>
      </c>
    </row>
    <row r="2591" spans="1:40" x14ac:dyDescent="0.25">
      <c r="A2591" t="str">
        <f>"20190303170816231"</f>
        <v>20190303170816231</v>
      </c>
      <c r="B2591" t="str">
        <f>"1551604096225448"</f>
        <v>1551604096225448</v>
      </c>
      <c r="C2591" t="s">
        <v>40</v>
      </c>
      <c r="D2591">
        <v>4.6624509999999999</v>
      </c>
      <c r="E2591">
        <v>0.50786940000000003</v>
      </c>
      <c r="F2591" t="s">
        <v>90</v>
      </c>
      <c r="G2591">
        <v>-107.39749999999999</v>
      </c>
      <c r="H2591">
        <v>1.244113</v>
      </c>
      <c r="I2591">
        <v>214.3929</v>
      </c>
      <c r="J2591">
        <v>-363.59989999999999</v>
      </c>
      <c r="K2591">
        <v>1.120431</v>
      </c>
      <c r="L2591">
        <v>213.44069999999999</v>
      </c>
      <c r="M2591">
        <v>0.99988060000000001</v>
      </c>
      <c r="N2591">
        <v>-1.095285E-2</v>
      </c>
      <c r="O2591">
        <v>1.090842E-2</v>
      </c>
      <c r="P2591">
        <v>0.97867119999999996</v>
      </c>
      <c r="Q2591">
        <v>0.20510999999999999</v>
      </c>
      <c r="R2591">
        <v>1.1533409999999999E-2</v>
      </c>
      <c r="S2591">
        <v>3.0647280000000001</v>
      </c>
      <c r="T2591">
        <v>1.477599E-3</v>
      </c>
      <c r="U2591">
        <v>1.1428829999999999E-2</v>
      </c>
      <c r="V2591">
        <v>-8.4815219999999998E-4</v>
      </c>
      <c r="W2591">
        <v>0.2158176</v>
      </c>
      <c r="X2591">
        <v>0.97643329999999995</v>
      </c>
      <c r="Y2591">
        <v>7.1793990000000004E-3</v>
      </c>
      <c r="Z2591" s="1">
        <v>8.7154800000000001E-5</v>
      </c>
      <c r="AA2591">
        <v>0.99997429999999998</v>
      </c>
      <c r="AB2591">
        <v>46</v>
      </c>
      <c r="AC2591">
        <v>256.20240000000001</v>
      </c>
      <c r="AD2591">
        <v>0.123682</v>
      </c>
      <c r="AE2591">
        <v>0.95220000000000404</v>
      </c>
      <c r="AF2591">
        <v>1.8427870264456301</v>
      </c>
      <c r="AG2591">
        <v>0.123682</v>
      </c>
      <c r="AH2591">
        <v>256.19748240783201</v>
      </c>
      <c r="AI2591">
        <v>89.972340584005494</v>
      </c>
      <c r="AJ2591">
        <v>89.587887838089799</v>
      </c>
      <c r="AK2591">
        <v>256.20413961014202</v>
      </c>
      <c r="AL2591">
        <v>77.536501143269902</v>
      </c>
      <c r="AM2591">
        <v>90.049768406324205</v>
      </c>
      <c r="AN2591">
        <v>0.99999997259040097</v>
      </c>
    </row>
    <row r="2592" spans="1:40" x14ac:dyDescent="0.25">
      <c r="A2592" t="str">
        <f>"20190303170816252"</f>
        <v>20190303170816252</v>
      </c>
      <c r="B2592" t="str">
        <f>"1551604096245944"</f>
        <v>1551604096245944</v>
      </c>
      <c r="C2592" t="s">
        <v>40</v>
      </c>
      <c r="D2592">
        <v>4.4837059999999997</v>
      </c>
      <c r="E2592">
        <v>0.50835410000000003</v>
      </c>
      <c r="F2592" t="s">
        <v>90</v>
      </c>
      <c r="G2592">
        <v>-107.39749999999999</v>
      </c>
      <c r="H2592">
        <v>1.4155489999999999</v>
      </c>
      <c r="I2592">
        <v>213.68049999999999</v>
      </c>
      <c r="J2592">
        <v>-363.14640000000003</v>
      </c>
      <c r="K2592">
        <v>1.120449</v>
      </c>
      <c r="L2592">
        <v>213.44569999999999</v>
      </c>
      <c r="M2592">
        <v>0.99987979999999999</v>
      </c>
      <c r="N2592">
        <v>-1.1022550000000001E-2</v>
      </c>
      <c r="O2592">
        <v>1.090904E-2</v>
      </c>
      <c r="P2592">
        <v>0.97882899999999995</v>
      </c>
      <c r="Q2592">
        <v>0.20434389999999999</v>
      </c>
      <c r="R2592">
        <v>1.173712E-2</v>
      </c>
      <c r="S2592">
        <v>3.0646360000000001</v>
      </c>
      <c r="T2592">
        <v>3.530741E-3</v>
      </c>
      <c r="U2592">
        <v>2.8686520000000002E-3</v>
      </c>
      <c r="V2592">
        <v>-1.049922E-3</v>
      </c>
      <c r="W2592">
        <v>0.21512200000000001</v>
      </c>
      <c r="X2592">
        <v>0.97658659999999997</v>
      </c>
      <c r="Y2592">
        <v>9.9729569999999993E-3</v>
      </c>
      <c r="Z2592" s="1">
        <v>8.3598310000000003E-5</v>
      </c>
      <c r="AA2592">
        <v>0.99995029999999996</v>
      </c>
      <c r="AB2592">
        <v>46</v>
      </c>
      <c r="AC2592">
        <v>255.74889999999999</v>
      </c>
      <c r="AD2592">
        <v>0.29509999999999897</v>
      </c>
      <c r="AE2592">
        <v>0.234800000000007</v>
      </c>
      <c r="AF2592">
        <v>2.5553548881555201</v>
      </c>
      <c r="AG2592">
        <v>0.29509999999999897</v>
      </c>
      <c r="AH2592">
        <v>255.73590083516501</v>
      </c>
      <c r="AI2592">
        <v>89.933888308351897</v>
      </c>
      <c r="AJ2592">
        <v>89.4275102660946</v>
      </c>
      <c r="AK2592">
        <v>255.748837531254</v>
      </c>
      <c r="AL2592">
        <v>77.577314903420898</v>
      </c>
      <c r="AM2592">
        <v>90.061598301923496</v>
      </c>
      <c r="AN2592">
        <v>0.99999998225988196</v>
      </c>
    </row>
    <row r="2593" spans="1:40" x14ac:dyDescent="0.25">
      <c r="A2593" t="str">
        <f>"20190303170816275"</f>
        <v>20190303170816275</v>
      </c>
      <c r="B2593" t="str">
        <f>"1551604096265464"</f>
        <v>1551604096265464</v>
      </c>
      <c r="C2593" t="s">
        <v>40</v>
      </c>
      <c r="D2593">
        <v>4.6054079999999997</v>
      </c>
      <c r="E2593">
        <v>0.5086714</v>
      </c>
      <c r="F2593" t="s">
        <v>90</v>
      </c>
      <c r="G2593">
        <v>-107.39749999999999</v>
      </c>
      <c r="H2593">
        <v>1.318127</v>
      </c>
      <c r="I2593">
        <v>213.3578</v>
      </c>
      <c r="J2593">
        <v>-362.67790000000002</v>
      </c>
      <c r="K2593">
        <v>1.1204670000000001</v>
      </c>
      <c r="L2593">
        <v>213.45079999999999</v>
      </c>
      <c r="M2593">
        <v>0.99987890000000001</v>
      </c>
      <c r="N2593">
        <v>-1.1102839999999999E-2</v>
      </c>
      <c r="O2593">
        <v>1.0909429999999999E-2</v>
      </c>
      <c r="P2593">
        <v>0.97882469999999999</v>
      </c>
      <c r="Q2593">
        <v>0.20437569999999999</v>
      </c>
      <c r="R2593">
        <v>1.15251E-2</v>
      </c>
      <c r="S2593">
        <v>3.064362</v>
      </c>
      <c r="T2593">
        <v>2.3691649999999999E-3</v>
      </c>
      <c r="U2593">
        <v>-1.052856E-3</v>
      </c>
      <c r="V2593">
        <v>-8.3755470000000003E-4</v>
      </c>
      <c r="W2593">
        <v>0.21523139999999999</v>
      </c>
      <c r="X2593">
        <v>0.97656270000000001</v>
      </c>
      <c r="Y2593">
        <v>1.1252939999999999E-2</v>
      </c>
      <c r="Z2593" s="1">
        <v>7.1443590000000001E-5</v>
      </c>
      <c r="AA2593">
        <v>0.99993670000000001</v>
      </c>
      <c r="AB2593">
        <v>46</v>
      </c>
      <c r="AC2593">
        <v>255.28039999999999</v>
      </c>
      <c r="AD2593">
        <v>0.197659999999999</v>
      </c>
      <c r="AE2593">
        <v>-9.29999999999893E-2</v>
      </c>
      <c r="AF2593">
        <v>2.8781279209814201</v>
      </c>
      <c r="AG2593">
        <v>0.197659999999999</v>
      </c>
      <c r="AH2593">
        <v>255.26403881853199</v>
      </c>
      <c r="AI2593">
        <v>89.955636674208293</v>
      </c>
      <c r="AJ2593">
        <v>89.354011649759002</v>
      </c>
      <c r="AK2593">
        <v>255.28034041765599</v>
      </c>
      <c r="AL2593">
        <v>77.570896389435106</v>
      </c>
      <c r="AM2593">
        <v>90.049140047694806</v>
      </c>
      <c r="AN2593">
        <v>0.99999998203756202</v>
      </c>
    </row>
    <row r="2594" spans="1:40" x14ac:dyDescent="0.25">
      <c r="A2594" t="str">
        <f>"20190303170816298"</f>
        <v>20190303170816298</v>
      </c>
      <c r="B2594" t="str">
        <f>"1551604096284984"</f>
        <v>1551604096284984</v>
      </c>
      <c r="C2594" t="s">
        <v>40</v>
      </c>
      <c r="D2594">
        <v>4.4939289999999996</v>
      </c>
      <c r="E2594">
        <v>0.50887939999999998</v>
      </c>
      <c r="F2594" t="s">
        <v>90</v>
      </c>
      <c r="G2594">
        <v>-107.39749999999999</v>
      </c>
      <c r="H2594">
        <v>1.300743</v>
      </c>
      <c r="I2594">
        <v>213.0796</v>
      </c>
      <c r="J2594">
        <v>-362.22239999999999</v>
      </c>
      <c r="K2594">
        <v>1.120482</v>
      </c>
      <c r="L2594">
        <v>213.45570000000001</v>
      </c>
      <c r="M2594">
        <v>0.99987800000000004</v>
      </c>
      <c r="N2594">
        <v>-1.118744E-2</v>
      </c>
      <c r="O2594">
        <v>1.090996E-2</v>
      </c>
      <c r="P2594">
        <v>0.97877530000000001</v>
      </c>
      <c r="Q2594">
        <v>0.2046096</v>
      </c>
      <c r="R2594">
        <v>1.157217E-2</v>
      </c>
      <c r="S2594">
        <v>3.0644840000000002</v>
      </c>
      <c r="T2594">
        <v>2.1647210000000001E-3</v>
      </c>
      <c r="U2594">
        <v>-4.4555659999999898E-3</v>
      </c>
      <c r="V2594">
        <v>-8.8405799999999996E-4</v>
      </c>
      <c r="W2594">
        <v>0.21554760000000001</v>
      </c>
      <c r="X2594">
        <v>0.9764929</v>
      </c>
      <c r="Y2594">
        <v>1.236376E-2</v>
      </c>
      <c r="Z2594" s="1">
        <v>6.4971569999999998E-5</v>
      </c>
      <c r="AA2594">
        <v>0.99992360000000002</v>
      </c>
      <c r="AB2594">
        <v>46</v>
      </c>
      <c r="AC2594">
        <v>254.82490000000001</v>
      </c>
      <c r="AD2594">
        <v>0.18026099999999901</v>
      </c>
      <c r="AE2594">
        <v>-0.37610000000000798</v>
      </c>
      <c r="AF2594">
        <v>3.15637921584735</v>
      </c>
      <c r="AG2594">
        <v>0.18026099999999901</v>
      </c>
      <c r="AH2594">
        <v>254.805501105172</v>
      </c>
      <c r="AI2594">
        <v>89.959469476070694</v>
      </c>
      <c r="AJ2594">
        <v>89.290290211654593</v>
      </c>
      <c r="AK2594">
        <v>254.82511378833999</v>
      </c>
      <c r="AL2594">
        <v>77.552343810645894</v>
      </c>
      <c r="AM2594">
        <v>90.051872142035805</v>
      </c>
      <c r="AN2594">
        <v>0.99999996658735801</v>
      </c>
    </row>
    <row r="2595" spans="1:40" x14ac:dyDescent="0.25">
      <c r="A2595" t="str">
        <f>"20190303170816322"</f>
        <v>20190303170816322</v>
      </c>
      <c r="B2595" t="str">
        <f>"1551604096315240"</f>
        <v>1551604096315240</v>
      </c>
      <c r="C2595" t="s">
        <v>40</v>
      </c>
      <c r="D2595">
        <v>4.5373510000000001</v>
      </c>
      <c r="E2595">
        <v>0.50919449999999999</v>
      </c>
      <c r="F2595" t="s">
        <v>90</v>
      </c>
      <c r="G2595">
        <v>-107.39749999999999</v>
      </c>
      <c r="H2595">
        <v>1.328066</v>
      </c>
      <c r="I2595">
        <v>212.95840000000001</v>
      </c>
      <c r="J2595">
        <v>-361.73680000000002</v>
      </c>
      <c r="K2595">
        <v>1.120498</v>
      </c>
      <c r="L2595">
        <v>213.46109999999999</v>
      </c>
      <c r="M2595">
        <v>0.99987689999999996</v>
      </c>
      <c r="N2595">
        <v>-1.1285180000000001E-2</v>
      </c>
      <c r="O2595">
        <v>1.091054E-2</v>
      </c>
      <c r="P2595">
        <v>0.97874729999999999</v>
      </c>
      <c r="Q2595">
        <v>0.204759</v>
      </c>
      <c r="R2595">
        <v>1.131032E-2</v>
      </c>
      <c r="S2595">
        <v>3.0646059999999999</v>
      </c>
      <c r="T2595">
        <v>2.4970769999999999E-3</v>
      </c>
      <c r="U2595">
        <v>-5.9814450000000002E-3</v>
      </c>
      <c r="V2595">
        <v>-6.2280569999999995E-4</v>
      </c>
      <c r="W2595">
        <v>0.21579200000000001</v>
      </c>
      <c r="X2595">
        <v>0.9764391</v>
      </c>
      <c r="Y2595">
        <v>1.2862129999999999E-2</v>
      </c>
      <c r="Z2595" s="1">
        <v>6.4684409999999994E-5</v>
      </c>
      <c r="AA2595">
        <v>0.99991730000000001</v>
      </c>
      <c r="AB2595">
        <v>46</v>
      </c>
      <c r="AC2595">
        <v>254.33930000000001</v>
      </c>
      <c r="AD2595">
        <v>0.207568</v>
      </c>
      <c r="AE2595">
        <v>-0.50269999999997494</v>
      </c>
      <c r="AF2595">
        <v>3.2778234268638902</v>
      </c>
      <c r="AG2595">
        <v>0.207568</v>
      </c>
      <c r="AH2595">
        <v>254.31850490379</v>
      </c>
      <c r="AI2595">
        <v>89.953240602561493</v>
      </c>
      <c r="AJ2595">
        <v>89.261575361165896</v>
      </c>
      <c r="AK2595">
        <v>254.33971209268799</v>
      </c>
      <c r="AL2595">
        <v>77.5380029695567</v>
      </c>
      <c r="AM2595">
        <v>90.036545170331195</v>
      </c>
      <c r="AN2595">
        <v>0.99999994557987304</v>
      </c>
    </row>
    <row r="2596" spans="1:40" x14ac:dyDescent="0.25">
      <c r="A2596" t="str">
        <f>"20190303170816344"</f>
        <v>20190303170816344</v>
      </c>
      <c r="B2596" t="str">
        <f>"1551604096335736"</f>
        <v>1551604096335736</v>
      </c>
      <c r="C2596" t="s">
        <v>40</v>
      </c>
      <c r="D2596">
        <v>4.4985179999999998</v>
      </c>
      <c r="E2596">
        <v>0.50933609999999996</v>
      </c>
      <c r="F2596" t="s">
        <v>90</v>
      </c>
      <c r="G2596">
        <v>-107.39749999999999</v>
      </c>
      <c r="H2596">
        <v>1.3061579999999999</v>
      </c>
      <c r="I2596">
        <v>212.74809999999999</v>
      </c>
      <c r="J2596">
        <v>-361.28089999999997</v>
      </c>
      <c r="K2596">
        <v>1.120511</v>
      </c>
      <c r="L2596">
        <v>213.46600000000001</v>
      </c>
      <c r="M2596">
        <v>0.99987570000000003</v>
      </c>
      <c r="N2596">
        <v>-1.138607E-2</v>
      </c>
      <c r="O2596">
        <v>1.091115E-2</v>
      </c>
      <c r="P2596">
        <v>0.97877530000000001</v>
      </c>
      <c r="Q2596">
        <v>0.20461309999999999</v>
      </c>
      <c r="R2596">
        <v>1.152018E-2</v>
      </c>
      <c r="S2596">
        <v>3.0647579999999999</v>
      </c>
      <c r="T2596">
        <v>2.2377970000000001E-3</v>
      </c>
      <c r="U2596">
        <v>-8.5906980000000008E-3</v>
      </c>
      <c r="V2596">
        <v>-8.309395E-4</v>
      </c>
      <c r="W2596">
        <v>0.21574499999999999</v>
      </c>
      <c r="X2596">
        <v>0.97644940000000002</v>
      </c>
      <c r="Y2596">
        <v>1.3713950000000001E-2</v>
      </c>
      <c r="Z2596" s="1">
        <v>5.9137140000000003E-5</v>
      </c>
      <c r="AA2596">
        <v>0.99990590000000001</v>
      </c>
      <c r="AB2596">
        <v>46</v>
      </c>
      <c r="AC2596">
        <v>253.88339999999999</v>
      </c>
      <c r="AD2596">
        <v>0.18564699999999901</v>
      </c>
      <c r="AE2596">
        <v>-0.71789999999998599</v>
      </c>
      <c r="AF2596">
        <v>3.488194682559</v>
      </c>
      <c r="AG2596">
        <v>0.18564699999999901</v>
      </c>
      <c r="AH2596">
        <v>253.86031541827199</v>
      </c>
      <c r="AI2596">
        <v>89.9581037954961</v>
      </c>
      <c r="AJ2596">
        <v>89.212770785148905</v>
      </c>
      <c r="AK2596">
        <v>253.884347117376</v>
      </c>
      <c r="AL2596">
        <v>77.540761689149804</v>
      </c>
      <c r="AM2596">
        <v>90.048757585276107</v>
      </c>
      <c r="AN2596">
        <v>1.0000000131229001</v>
      </c>
    </row>
    <row r="2597" spans="1:40" x14ac:dyDescent="0.25">
      <c r="A2597" t="str">
        <f>"20190303170816365"</f>
        <v>20190303170816365</v>
      </c>
      <c r="B2597" t="str">
        <f>"1551604096355256"</f>
        <v>1551604096355256</v>
      </c>
      <c r="C2597" t="s">
        <v>40</v>
      </c>
      <c r="D2597">
        <v>4.7213339999999997</v>
      </c>
      <c r="E2597">
        <v>0.50941899999999996</v>
      </c>
      <c r="F2597" t="s">
        <v>90</v>
      </c>
      <c r="G2597">
        <v>-107.39749999999999</v>
      </c>
      <c r="H2597">
        <v>1.3197989999999999</v>
      </c>
      <c r="I2597">
        <v>212.66460000000001</v>
      </c>
      <c r="J2597">
        <v>-360.83920000000001</v>
      </c>
      <c r="K2597">
        <v>1.1205259999999999</v>
      </c>
      <c r="L2597">
        <v>213.4709</v>
      </c>
      <c r="M2597">
        <v>0.9998745</v>
      </c>
      <c r="N2597">
        <v>-1.149212E-2</v>
      </c>
      <c r="O2597">
        <v>1.0911550000000001E-2</v>
      </c>
      <c r="P2597">
        <v>0.97880540000000005</v>
      </c>
      <c r="Q2597">
        <v>0.20447950000000001</v>
      </c>
      <c r="R2597">
        <v>1.133726E-2</v>
      </c>
      <c r="S2597">
        <v>3.064667</v>
      </c>
      <c r="T2597">
        <v>2.40624E-3</v>
      </c>
      <c r="U2597">
        <v>-9.6740720000000006E-3</v>
      </c>
      <c r="V2597">
        <v>-6.4749359999999995E-4</v>
      </c>
      <c r="W2597">
        <v>0.2157152</v>
      </c>
      <c r="X2597">
        <v>0.97645610000000005</v>
      </c>
      <c r="Y2597">
        <v>1.40679E-2</v>
      </c>
      <c r="Z2597" s="1">
        <v>5.8653870000000002E-5</v>
      </c>
      <c r="AA2597">
        <v>0.99990109999999999</v>
      </c>
      <c r="AB2597">
        <v>46</v>
      </c>
      <c r="AC2597">
        <v>253.4417</v>
      </c>
      <c r="AD2597">
        <v>0.19927300000000001</v>
      </c>
      <c r="AE2597">
        <v>-0.80629999999999302</v>
      </c>
      <c r="AF2597">
        <v>3.5718739956950101</v>
      </c>
      <c r="AG2597">
        <v>0.19927300000000001</v>
      </c>
      <c r="AH2597">
        <v>253.41765470336799</v>
      </c>
      <c r="AI2597">
        <v>89.954950393732204</v>
      </c>
      <c r="AJ2597">
        <v>89.192480277800101</v>
      </c>
      <c r="AK2597">
        <v>253.44290423865701</v>
      </c>
      <c r="AL2597">
        <v>77.542509997195395</v>
      </c>
      <c r="AM2597">
        <v>90.037993152077306</v>
      </c>
      <c r="AN2597">
        <v>0.99999999099310599</v>
      </c>
    </row>
    <row r="2598" spans="1:40" x14ac:dyDescent="0.25">
      <c r="A2598" t="str">
        <f>"20190303170816387"</f>
        <v>20190303170816387</v>
      </c>
      <c r="B2598" t="str">
        <f>"1551604096375752"</f>
        <v>1551604096375752</v>
      </c>
      <c r="C2598" t="s">
        <v>40</v>
      </c>
      <c r="D2598">
        <v>4.5593009999999996</v>
      </c>
      <c r="E2598">
        <v>0.50953179999999998</v>
      </c>
      <c r="F2598" t="s">
        <v>90</v>
      </c>
      <c r="G2598">
        <v>-107.39749999999999</v>
      </c>
      <c r="H2598">
        <v>1.269927</v>
      </c>
      <c r="I2598">
        <v>212.57749999999999</v>
      </c>
      <c r="J2598">
        <v>-360.38940000000002</v>
      </c>
      <c r="K2598">
        <v>1.1205419999999999</v>
      </c>
      <c r="L2598">
        <v>213.47579999999999</v>
      </c>
      <c r="M2598">
        <v>0.99987320000000002</v>
      </c>
      <c r="N2598">
        <v>-1.1604389999999999E-2</v>
      </c>
      <c r="O2598">
        <v>1.091202E-2</v>
      </c>
      <c r="P2598">
        <v>0.97881510000000005</v>
      </c>
      <c r="Q2598">
        <v>0.20442370000000001</v>
      </c>
      <c r="R2598">
        <v>1.15088E-2</v>
      </c>
      <c r="S2598">
        <v>3.0646969999999998</v>
      </c>
      <c r="T2598">
        <v>1.807213E-3</v>
      </c>
      <c r="U2598">
        <v>-1.0803220000000001E-2</v>
      </c>
      <c r="V2598">
        <v>-8.1882859999999995E-4</v>
      </c>
      <c r="W2598">
        <v>0.21576919999999999</v>
      </c>
      <c r="X2598">
        <v>0.97644410000000004</v>
      </c>
      <c r="Y2598">
        <v>1.443675E-2</v>
      </c>
      <c r="Z2598" s="1">
        <v>5.35557E-5</v>
      </c>
      <c r="AA2598">
        <v>0.9998958</v>
      </c>
      <c r="AB2598">
        <v>46</v>
      </c>
      <c r="AC2598">
        <v>252.99189999999999</v>
      </c>
      <c r="AD2598">
        <v>0.14938499999999999</v>
      </c>
      <c r="AE2598">
        <v>-0.89830000000000598</v>
      </c>
      <c r="AF2598">
        <v>3.65908359565704</v>
      </c>
      <c r="AG2598">
        <v>0.14938499999999999</v>
      </c>
      <c r="AH2598">
        <v>252.966944251629</v>
      </c>
      <c r="AI2598">
        <v>89.966168568804605</v>
      </c>
      <c r="AJ2598">
        <v>89.171293198368801</v>
      </c>
      <c r="AK2598">
        <v>252.99345069120801</v>
      </c>
      <c r="AL2598">
        <v>77.539342143934704</v>
      </c>
      <c r="AM2598">
        <v>90.048047207133806</v>
      </c>
      <c r="AN2598">
        <v>1.0000000492868599</v>
      </c>
    </row>
    <row r="2599" spans="1:40" x14ac:dyDescent="0.25">
      <c r="A2599" t="str">
        <f>"20190303170816433"</f>
        <v>20190303170816433</v>
      </c>
      <c r="B2599" t="str">
        <f>"1551604096425529"</f>
        <v>1551604096425529</v>
      </c>
      <c r="C2599" t="s">
        <v>40</v>
      </c>
      <c r="D2599">
        <v>4.5773320000000002</v>
      </c>
      <c r="E2599">
        <v>0.50974699999999995</v>
      </c>
      <c r="F2599" t="s">
        <v>90</v>
      </c>
      <c r="G2599">
        <v>-107.39749999999999</v>
      </c>
      <c r="H2599">
        <v>1.249522</v>
      </c>
      <c r="I2599">
        <v>212.55500000000001</v>
      </c>
      <c r="J2599">
        <v>-359.46980000000002</v>
      </c>
      <c r="K2599">
        <v>1.120566</v>
      </c>
      <c r="L2599">
        <v>213.48580000000001</v>
      </c>
      <c r="M2599">
        <v>0.99987020000000004</v>
      </c>
      <c r="N2599">
        <v>-1.184878E-2</v>
      </c>
      <c r="O2599">
        <v>1.09126E-2</v>
      </c>
      <c r="P2599">
        <v>0.97856270000000001</v>
      </c>
      <c r="Q2599">
        <v>0.2056325</v>
      </c>
      <c r="R2599">
        <v>1.141817E-2</v>
      </c>
      <c r="S2599">
        <v>3.0647280000000001</v>
      </c>
      <c r="T2599">
        <v>1.563072E-3</v>
      </c>
      <c r="U2599">
        <v>-1.115417E-2</v>
      </c>
      <c r="V2599">
        <v>-7.3012339999999998E-4</v>
      </c>
      <c r="W2599">
        <v>0.21721380000000001</v>
      </c>
      <c r="X2599">
        <v>0.97612379999999999</v>
      </c>
      <c r="Y2599">
        <v>1.455179E-2</v>
      </c>
      <c r="Z2599" s="1">
        <v>5.2368869999999997E-5</v>
      </c>
      <c r="AA2599">
        <v>0.99989410000000001</v>
      </c>
      <c r="AB2599">
        <v>46</v>
      </c>
      <c r="AC2599">
        <v>252.07230000000001</v>
      </c>
      <c r="AD2599">
        <v>0.12895599999999999</v>
      </c>
      <c r="AE2599">
        <v>-0.93080000000000496</v>
      </c>
      <c r="AF2599">
        <v>3.6817010451334302</v>
      </c>
      <c r="AG2599">
        <v>0.12895599999999999</v>
      </c>
      <c r="AH2599">
        <v>252.04706432342601</v>
      </c>
      <c r="AI2599">
        <v>89.970688626002698</v>
      </c>
      <c r="AJ2599">
        <v>89.163128796559505</v>
      </c>
      <c r="AK2599">
        <v>252.073985540541</v>
      </c>
      <c r="AL2599">
        <v>77.454561686935605</v>
      </c>
      <c r="AM2599">
        <v>90.042856225349894</v>
      </c>
      <c r="AN2599">
        <v>1.00000002045852</v>
      </c>
    </row>
    <row r="2600" spans="1:40" x14ac:dyDescent="0.25">
      <c r="A2600" t="str">
        <f>"20190303170816454"</f>
        <v>20190303170816454</v>
      </c>
      <c r="B2600" t="str">
        <f>"1551604096446024"</f>
        <v>1551604096446024</v>
      </c>
      <c r="C2600" t="s">
        <v>40</v>
      </c>
      <c r="D2600">
        <v>4.717956</v>
      </c>
      <c r="E2600">
        <v>0.50989589999999996</v>
      </c>
      <c r="F2600" t="s">
        <v>90</v>
      </c>
      <c r="G2600">
        <v>-107.39749999999999</v>
      </c>
      <c r="H2600">
        <v>1.4178919999999999</v>
      </c>
      <c r="I2600">
        <v>212.43549999999999</v>
      </c>
      <c r="J2600">
        <v>-359.01679999999999</v>
      </c>
      <c r="K2600">
        <v>1.1205889999999901</v>
      </c>
      <c r="L2600">
        <v>213.49080000000001</v>
      </c>
      <c r="M2600">
        <v>0.99986889999999995</v>
      </c>
      <c r="N2600">
        <v>-1.1972129999999999E-2</v>
      </c>
      <c r="O2600">
        <v>1.091251E-2</v>
      </c>
      <c r="P2600">
        <v>0.97869810000000002</v>
      </c>
      <c r="Q2600">
        <v>0.20502690000000001</v>
      </c>
      <c r="R2600">
        <v>1.069442E-2</v>
      </c>
      <c r="S2600">
        <v>3.0650940000000002</v>
      </c>
      <c r="T2600">
        <v>3.615975E-3</v>
      </c>
      <c r="U2600">
        <v>-1.2771609999999999E-2</v>
      </c>
      <c r="V2600" s="1">
        <v>-5.02076E-6</v>
      </c>
      <c r="W2600">
        <v>0.2167297</v>
      </c>
      <c r="X2600">
        <v>0.97623159999999998</v>
      </c>
      <c r="Y2600">
        <v>1.5078859999999999E-2</v>
      </c>
      <c r="Z2600" s="1">
        <v>6.2152490000000004E-5</v>
      </c>
      <c r="AA2600">
        <v>0.99988630000000001</v>
      </c>
      <c r="AB2600">
        <v>46</v>
      </c>
      <c r="AC2600">
        <v>251.61930000000001</v>
      </c>
      <c r="AD2600">
        <v>0.29730299999999998</v>
      </c>
      <c r="AE2600">
        <v>-1.0553000000000099</v>
      </c>
      <c r="AF2600">
        <v>3.8012264586317399</v>
      </c>
      <c r="AG2600">
        <v>0.29730299999999998</v>
      </c>
      <c r="AH2600">
        <v>251.59244760169699</v>
      </c>
      <c r="AI2600">
        <v>89.932302199485505</v>
      </c>
      <c r="AJ2600">
        <v>89.134403018438505</v>
      </c>
      <c r="AK2600">
        <v>251.62133733424901</v>
      </c>
      <c r="AL2600">
        <v>77.482974551520201</v>
      </c>
      <c r="AM2600">
        <v>90.000294672245701</v>
      </c>
      <c r="AN2600">
        <v>0.99999994986292695</v>
      </c>
    </row>
    <row r="2601" spans="1:40" x14ac:dyDescent="0.25">
      <c r="A2601" t="str">
        <f>"20190303170816477"</f>
        <v>20190303170816477</v>
      </c>
      <c r="B2601" t="str">
        <f>"1551604096465550"</f>
        <v>1551604096465550</v>
      </c>
      <c r="C2601" t="s">
        <v>40</v>
      </c>
      <c r="D2601">
        <v>4.4699710000000001</v>
      </c>
      <c r="E2601">
        <v>0.51005590000000001</v>
      </c>
      <c r="F2601" t="s">
        <v>90</v>
      </c>
      <c r="G2601">
        <v>-107.39749999999999</v>
      </c>
      <c r="H2601">
        <v>1.1860999999999999</v>
      </c>
      <c r="I2601">
        <v>212.1969</v>
      </c>
      <c r="J2601">
        <v>-358.55180000000001</v>
      </c>
      <c r="K2601">
        <v>1.120601</v>
      </c>
      <c r="L2601">
        <v>213.4958</v>
      </c>
      <c r="M2601">
        <v>0.99986739999999996</v>
      </c>
      <c r="N2601">
        <v>-1.209524E-2</v>
      </c>
      <c r="O2601">
        <v>1.091277E-2</v>
      </c>
      <c r="P2601">
        <v>0.97873350000000003</v>
      </c>
      <c r="Q2601">
        <v>0.2048691</v>
      </c>
      <c r="R2601">
        <v>1.0484159999999999E-2</v>
      </c>
      <c r="S2601">
        <v>3.0653380000000001</v>
      </c>
      <c r="T2601">
        <v>7.9870220000000005E-4</v>
      </c>
      <c r="U2601">
        <v>-1.5762330000000001E-2</v>
      </c>
      <c r="V2601">
        <v>2.0584229999999999E-4</v>
      </c>
      <c r="W2601">
        <v>0.21669289999999999</v>
      </c>
      <c r="X2601">
        <v>0.97623979999999999</v>
      </c>
      <c r="Y2601">
        <v>1.605436E-2</v>
      </c>
      <c r="Z2601" s="1">
        <v>3.983761E-5</v>
      </c>
      <c r="AA2601">
        <v>0.99987110000000001</v>
      </c>
      <c r="AB2601">
        <v>46</v>
      </c>
      <c r="AC2601">
        <v>251.15430000000001</v>
      </c>
      <c r="AD2601">
        <v>6.5498999999999905E-2</v>
      </c>
      <c r="AE2601">
        <v>-1.2988999999999999</v>
      </c>
      <c r="AF2601">
        <v>4.0398117081793998</v>
      </c>
      <c r="AG2601">
        <v>6.5498999999999905E-2</v>
      </c>
      <c r="AH2601">
        <v>251.125149857248</v>
      </c>
      <c r="AI2601">
        <v>89.985057925562998</v>
      </c>
      <c r="AJ2601">
        <v>89.078371092948302</v>
      </c>
      <c r="AK2601">
        <v>251.157650211141</v>
      </c>
      <c r="AL2601">
        <v>77.485135015439297</v>
      </c>
      <c r="AM2601">
        <v>89.9879190595789</v>
      </c>
      <c r="AN2601">
        <v>1.0000000011927499</v>
      </c>
    </row>
    <row r="2602" spans="1:40" x14ac:dyDescent="0.25">
      <c r="A2602" t="str">
        <f>"20190303170816497"</f>
        <v>20190303170816497</v>
      </c>
      <c r="B2602" t="str">
        <f>"1551604096485064"</f>
        <v>1551604096485064</v>
      </c>
      <c r="C2602" t="s">
        <v>40</v>
      </c>
      <c r="D2602">
        <v>4.4275820000000001</v>
      </c>
      <c r="E2602">
        <v>0.51018240000000004</v>
      </c>
      <c r="F2602" t="s">
        <v>90</v>
      </c>
      <c r="G2602">
        <v>-107.39749999999999</v>
      </c>
      <c r="H2602">
        <v>1.1022179999999999</v>
      </c>
      <c r="I2602">
        <v>212.0231</v>
      </c>
      <c r="J2602">
        <v>-358.13319999999999</v>
      </c>
      <c r="K2602">
        <v>1.120611</v>
      </c>
      <c r="L2602">
        <v>213.50040000000001</v>
      </c>
      <c r="M2602">
        <v>0.99986600000000003</v>
      </c>
      <c r="N2602">
        <v>-1.2208800000000001E-2</v>
      </c>
      <c r="O2602">
        <v>1.091279E-2</v>
      </c>
      <c r="P2602">
        <v>0.97876790000000002</v>
      </c>
      <c r="Q2602">
        <v>0.20472689999999999</v>
      </c>
      <c r="R2602">
        <v>1.002333E-2</v>
      </c>
      <c r="S2602">
        <v>3.0654300000000001</v>
      </c>
      <c r="T2602">
        <v>-2.2375579999999999E-4</v>
      </c>
      <c r="U2602">
        <v>-1.7974850000000001E-2</v>
      </c>
      <c r="V2602">
        <v>6.6715570000000003E-4</v>
      </c>
      <c r="W2602">
        <v>0.21666170000000001</v>
      </c>
      <c r="X2602">
        <v>0.97624650000000002</v>
      </c>
      <c r="Y2602">
        <v>1.677588E-2</v>
      </c>
      <c r="Z2602" s="1">
        <v>2.941657E-5</v>
      </c>
      <c r="AA2602">
        <v>0.99985930000000001</v>
      </c>
      <c r="AB2602">
        <v>46</v>
      </c>
      <c r="AC2602">
        <v>250.73570000000001</v>
      </c>
      <c r="AD2602">
        <v>-1.83930000000001E-2</v>
      </c>
      <c r="AE2602">
        <v>-1.47730000000001</v>
      </c>
      <c r="AF2602">
        <v>4.2136417614133004</v>
      </c>
      <c r="AG2602">
        <v>-1.83930000000001E-2</v>
      </c>
      <c r="AH2602">
        <v>250.70464338795401</v>
      </c>
      <c r="AI2602">
        <v>90.004202923577694</v>
      </c>
      <c r="AJ2602">
        <v>89.037109335985406</v>
      </c>
      <c r="AK2602">
        <v>250.74005131106901</v>
      </c>
      <c r="AL2602">
        <v>77.486965914731002</v>
      </c>
      <c r="AM2602">
        <v>89.960844725243604</v>
      </c>
      <c r="AN2602">
        <v>0.99999998305293303</v>
      </c>
    </row>
    <row r="2603" spans="1:40" x14ac:dyDescent="0.25">
      <c r="A2603" t="str">
        <f>"20190303170816522"</f>
        <v>20190303170816522</v>
      </c>
      <c r="B2603" t="str">
        <f>"1551604096515320"</f>
        <v>1551604096515320</v>
      </c>
      <c r="C2603" t="s">
        <v>40</v>
      </c>
      <c r="D2603">
        <v>4.6607629999999904</v>
      </c>
      <c r="E2603">
        <v>0.51043139999999998</v>
      </c>
      <c r="F2603" t="s">
        <v>90</v>
      </c>
      <c r="G2603">
        <v>-107.39749999999999</v>
      </c>
      <c r="H2603">
        <v>1.037944</v>
      </c>
      <c r="I2603">
        <v>211.84049999999999</v>
      </c>
      <c r="J2603">
        <v>-357.64640000000003</v>
      </c>
      <c r="K2603">
        <v>1.1206199999999999</v>
      </c>
      <c r="L2603">
        <v>213.50569999999999</v>
      </c>
      <c r="M2603">
        <v>0.99986430000000004</v>
      </c>
      <c r="N2603">
        <v>-1.235035E-2</v>
      </c>
      <c r="O2603">
        <v>1.091256E-2</v>
      </c>
      <c r="P2603">
        <v>0.97878609999999999</v>
      </c>
      <c r="Q2603">
        <v>0.20469770000000001</v>
      </c>
      <c r="R2603">
        <v>8.7612790000000003E-3</v>
      </c>
      <c r="S2603">
        <v>3.0654910000000002</v>
      </c>
      <c r="T2603">
        <v>-1.0100599999999999E-3</v>
      </c>
      <c r="U2603">
        <v>-2.029419E-2</v>
      </c>
      <c r="V2603">
        <v>1.929172E-3</v>
      </c>
      <c r="W2603">
        <v>0.21677109999999999</v>
      </c>
      <c r="X2603">
        <v>0.97622050000000005</v>
      </c>
      <c r="Y2603">
        <v>1.7531999999999999E-2</v>
      </c>
      <c r="Z2603" s="1">
        <v>2.002608E-5</v>
      </c>
      <c r="AA2603">
        <v>0.99984629999999997</v>
      </c>
      <c r="AB2603">
        <v>46</v>
      </c>
      <c r="AC2603">
        <v>250.24889999999999</v>
      </c>
      <c r="AD2603">
        <v>-8.2676000000000194E-2</v>
      </c>
      <c r="AE2603">
        <v>-1.66519999999999</v>
      </c>
      <c r="AF2603">
        <v>4.3961644642094102</v>
      </c>
      <c r="AG2603">
        <v>-8.2676000000000194E-2</v>
      </c>
      <c r="AH2603">
        <v>250.215796682811</v>
      </c>
      <c r="AI2603">
        <v>90.018928679977904</v>
      </c>
      <c r="AJ2603">
        <v>88.993445815787993</v>
      </c>
      <c r="AK2603">
        <v>250.254426548125</v>
      </c>
      <c r="AL2603">
        <v>77.480544719468895</v>
      </c>
      <c r="AM2603">
        <v>89.886774279305499</v>
      </c>
      <c r="AN2603">
        <v>0.99999994806003101</v>
      </c>
    </row>
    <row r="2604" spans="1:40" x14ac:dyDescent="0.25">
      <c r="A2604" t="str">
        <f>"20190303170816567"</f>
        <v>20190303170816567</v>
      </c>
      <c r="B2604" t="str">
        <f>"1551604096555339"</f>
        <v>1551604096555339</v>
      </c>
      <c r="C2604" t="s">
        <v>40</v>
      </c>
      <c r="D2604">
        <v>4.5973090000000001</v>
      </c>
      <c r="E2604">
        <v>0.51072259999999903</v>
      </c>
      <c r="F2604" t="s">
        <v>90</v>
      </c>
      <c r="G2604">
        <v>-107.39749999999999</v>
      </c>
      <c r="H2604">
        <v>0.95259400000000005</v>
      </c>
      <c r="I2604">
        <v>211.387</v>
      </c>
      <c r="J2604">
        <v>-356.74029999999999</v>
      </c>
      <c r="K2604">
        <v>1.1206590000000001</v>
      </c>
      <c r="L2604">
        <v>213.51560000000001</v>
      </c>
      <c r="M2604">
        <v>0.99986059999999999</v>
      </c>
      <c r="N2604">
        <v>-1.264758E-2</v>
      </c>
      <c r="O2604">
        <v>1.091317E-2</v>
      </c>
      <c r="P2604">
        <v>0.97893140000000001</v>
      </c>
      <c r="Q2604">
        <v>0.20403499999999999</v>
      </c>
      <c r="R2604">
        <v>7.9649539999999998E-3</v>
      </c>
      <c r="S2604">
        <v>3.065674</v>
      </c>
      <c r="T2604">
        <v>-2.0577909999999998E-3</v>
      </c>
      <c r="U2604">
        <v>-2.5955200000000001E-2</v>
      </c>
      <c r="V2604">
        <v>2.7278860000000001E-3</v>
      </c>
      <c r="W2604">
        <v>0.21640010000000001</v>
      </c>
      <c r="X2604">
        <v>0.97630099999999997</v>
      </c>
      <c r="Y2604">
        <v>1.9378369999999999E-2</v>
      </c>
      <c r="Z2604" s="1">
        <v>1.6481210000000001E-6</v>
      </c>
      <c r="AA2604">
        <v>0.99981220000000004</v>
      </c>
      <c r="AB2604">
        <v>46</v>
      </c>
      <c r="AC2604">
        <v>249.34280000000001</v>
      </c>
      <c r="AD2604">
        <v>-0.16806499999999999</v>
      </c>
      <c r="AE2604">
        <v>-2.1286</v>
      </c>
      <c r="AF2604">
        <v>4.8498086669690403</v>
      </c>
      <c r="AG2604">
        <v>-0.16806499999999999</v>
      </c>
      <c r="AH2604">
        <v>249.30460427766599</v>
      </c>
      <c r="AI2604">
        <v>90.038617787377902</v>
      </c>
      <c r="AJ2604">
        <v>88.885545958204602</v>
      </c>
      <c r="AK2604">
        <v>249.351828956585</v>
      </c>
      <c r="AL2604">
        <v>77.502319493844595</v>
      </c>
      <c r="AM2604">
        <v>89.839910080949593</v>
      </c>
      <c r="AN2604">
        <v>1.00000004362151</v>
      </c>
    </row>
    <row r="2605" spans="1:40" x14ac:dyDescent="0.25">
      <c r="A2605" t="str">
        <f>"20190303170816586"</f>
        <v>20190303170816586</v>
      </c>
      <c r="B2605" t="str">
        <f>"1551604096575832"</f>
        <v>1551604096575832</v>
      </c>
      <c r="C2605" t="s">
        <v>40</v>
      </c>
      <c r="D2605">
        <v>4.4485239999999999</v>
      </c>
      <c r="E2605">
        <v>0.51080379999999903</v>
      </c>
      <c r="F2605" t="s">
        <v>90</v>
      </c>
      <c r="G2605">
        <v>-107.39749999999999</v>
      </c>
      <c r="H2605">
        <v>0.70845789999999997</v>
      </c>
      <c r="I2605">
        <v>210.95670000000001</v>
      </c>
      <c r="J2605">
        <v>-356.3159</v>
      </c>
      <c r="K2605">
        <v>1.1206719999999999</v>
      </c>
      <c r="L2605">
        <v>213.52019999999999</v>
      </c>
      <c r="M2605">
        <v>0.99985869999999999</v>
      </c>
      <c r="N2605">
        <v>-1.2793570000000001E-2</v>
      </c>
      <c r="O2605">
        <v>1.091342E-2</v>
      </c>
      <c r="P2605">
        <v>0.97902230000000001</v>
      </c>
      <c r="Q2605">
        <v>0.2035892</v>
      </c>
      <c r="R2605">
        <v>8.1921890000000008E-3</v>
      </c>
      <c r="S2605">
        <v>3.0658569999999998</v>
      </c>
      <c r="T2605">
        <v>-5.0677059999999999E-3</v>
      </c>
      <c r="U2605">
        <v>-3.1463619999999998E-2</v>
      </c>
      <c r="V2605">
        <v>2.5019360000000002E-3</v>
      </c>
      <c r="W2605">
        <v>0.21609790000000001</v>
      </c>
      <c r="X2605">
        <v>0.97636849999999997</v>
      </c>
      <c r="Y2605">
        <v>2.1174249999999999E-2</v>
      </c>
      <c r="Z2605" s="1">
        <v>-3.1370920000000003E-5</v>
      </c>
      <c r="AA2605">
        <v>0.99977579999999999</v>
      </c>
      <c r="AB2605">
        <v>46</v>
      </c>
      <c r="AC2605">
        <v>248.91839999999999</v>
      </c>
      <c r="AD2605">
        <v>-0.41221409999999897</v>
      </c>
      <c r="AE2605">
        <v>-2.5634999999999701</v>
      </c>
      <c r="AF2605">
        <v>5.2801059512728301</v>
      </c>
      <c r="AG2605">
        <v>-0.41221409999999897</v>
      </c>
      <c r="AH2605">
        <v>248.87491242072301</v>
      </c>
      <c r="AI2605">
        <v>90.094878156803304</v>
      </c>
      <c r="AJ2605">
        <v>88.784600645421605</v>
      </c>
      <c r="AK2605">
        <v>248.93125852681399</v>
      </c>
      <c r="AL2605">
        <v>77.520053414329894</v>
      </c>
      <c r="AM2605">
        <v>89.853180372318903</v>
      </c>
      <c r="AN2605">
        <v>1.0000000049302</v>
      </c>
    </row>
    <row r="2606" spans="1:40" x14ac:dyDescent="0.25">
      <c r="A2606" t="str">
        <f>"20190303170816609"</f>
        <v>20190303170816609</v>
      </c>
      <c r="B2606" t="str">
        <f>"1551604096595352"</f>
        <v>1551604096595352</v>
      </c>
      <c r="C2606" t="s">
        <v>40</v>
      </c>
      <c r="D2606">
        <v>4.2643800000000001</v>
      </c>
      <c r="E2606">
        <v>0.51590809999999998</v>
      </c>
      <c r="F2606" t="s">
        <v>90</v>
      </c>
      <c r="G2606">
        <v>-107.39749999999999</v>
      </c>
      <c r="H2606">
        <v>0.57033840000000002</v>
      </c>
      <c r="I2606">
        <v>210.9682</v>
      </c>
      <c r="J2606">
        <v>-355.8664</v>
      </c>
      <c r="K2606">
        <v>1.1207009999999999</v>
      </c>
      <c r="L2606">
        <v>213.52520000000001</v>
      </c>
      <c r="M2606">
        <v>0.99985659999999998</v>
      </c>
      <c r="N2606">
        <v>-1.2957949999999999E-2</v>
      </c>
      <c r="O2606">
        <v>1.0913839999999999E-2</v>
      </c>
      <c r="P2606">
        <v>0.97907140000000004</v>
      </c>
      <c r="Q2606">
        <v>0.203371</v>
      </c>
      <c r="R2606">
        <v>7.7397169999999897E-3</v>
      </c>
      <c r="S2606">
        <v>3.0659480000000001</v>
      </c>
      <c r="T2606">
        <v>-6.7778830000000002E-3</v>
      </c>
      <c r="U2606">
        <v>-3.143311E-2</v>
      </c>
      <c r="V2606">
        <v>2.9553880000000002E-3</v>
      </c>
      <c r="W2606">
        <v>0.2160407</v>
      </c>
      <c r="X2606">
        <v>0.97637989999999997</v>
      </c>
      <c r="Y2606">
        <v>2.1164369999999998E-2</v>
      </c>
      <c r="Z2606" s="1">
        <v>-4.3229670000000002E-5</v>
      </c>
      <c r="AA2606">
        <v>0.999776</v>
      </c>
      <c r="AB2606">
        <v>46</v>
      </c>
      <c r="AC2606">
        <v>248.46889999999999</v>
      </c>
      <c r="AD2606">
        <v>-0.55036259999999904</v>
      </c>
      <c r="AE2606">
        <v>-2.5570000000000102</v>
      </c>
      <c r="AF2606">
        <v>5.2687990221754797</v>
      </c>
      <c r="AG2606">
        <v>-0.55036259999999904</v>
      </c>
      <c r="AH2606">
        <v>248.424971529733</v>
      </c>
      <c r="AI2606">
        <v>90.126904766191501</v>
      </c>
      <c r="AJ2606">
        <v>88.785006619213206</v>
      </c>
      <c r="AK2606">
        <v>248.48144723837299</v>
      </c>
      <c r="AL2606">
        <v>77.5234101344072</v>
      </c>
      <c r="AM2606">
        <v>89.826572892285498</v>
      </c>
      <c r="AN2606">
        <v>1.0000000137493601</v>
      </c>
    </row>
    <row r="2607" spans="1:40" x14ac:dyDescent="0.25">
      <c r="A2607" t="str">
        <f>"20190303170816632"</f>
        <v>20190303170816632</v>
      </c>
      <c r="B2607" t="str">
        <f>"1551604096625608"</f>
        <v>1551604096625608</v>
      </c>
      <c r="C2607" t="s">
        <v>40</v>
      </c>
      <c r="D2607">
        <v>4.3476839999999903</v>
      </c>
      <c r="E2607">
        <v>0.51482439999999996</v>
      </c>
      <c r="F2607" t="s">
        <v>63</v>
      </c>
      <c r="G2607">
        <v>-229.53649999999999</v>
      </c>
      <c r="H2607" s="1">
        <v>3.7161680000000001E-6</v>
      </c>
      <c r="I2607">
        <v>210.5412</v>
      </c>
      <c r="J2607">
        <v>-355.4008</v>
      </c>
      <c r="K2607">
        <v>1.1207309999999999</v>
      </c>
      <c r="L2607">
        <v>213.53020000000001</v>
      </c>
      <c r="M2607">
        <v>0.99985400000000002</v>
      </c>
      <c r="N2607">
        <v>-1.314951E-2</v>
      </c>
      <c r="O2607">
        <v>1.091424E-2</v>
      </c>
      <c r="P2607">
        <v>0.97900180000000003</v>
      </c>
      <c r="Q2607">
        <v>0.20368149999999999</v>
      </c>
      <c r="R2607">
        <v>8.3107800000000003E-3</v>
      </c>
      <c r="S2607">
        <v>3.0703740000000002</v>
      </c>
      <c r="T2607">
        <v>-2.7237890000000001E-2</v>
      </c>
      <c r="U2607">
        <v>-7.2525019999999996E-2</v>
      </c>
      <c r="V2607">
        <v>2.3842080000000001E-3</v>
      </c>
      <c r="W2607">
        <v>0.21653790000000001</v>
      </c>
      <c r="X2607">
        <v>0.97627129999999995</v>
      </c>
      <c r="Y2607">
        <v>3.4521589999999998E-2</v>
      </c>
      <c r="Z2607">
        <v>-3.334298E-4</v>
      </c>
      <c r="AA2607">
        <v>0.99940390000000001</v>
      </c>
      <c r="AB2607">
        <v>46</v>
      </c>
      <c r="AC2607">
        <v>125.8643</v>
      </c>
      <c r="AD2607">
        <v>-1.1207272838319999</v>
      </c>
      <c r="AE2607">
        <v>-2.9889999999999999</v>
      </c>
      <c r="AF2607">
        <v>4.3623081862163398</v>
      </c>
      <c r="AG2607">
        <v>-1.1207272838319999</v>
      </c>
      <c r="AH2607">
        <v>125.814206837084</v>
      </c>
      <c r="AI2607">
        <v>90.510059128953401</v>
      </c>
      <c r="AJ2607">
        <v>88.014200723226395</v>
      </c>
      <c r="AK2607">
        <v>125.89479895690999</v>
      </c>
      <c r="AL2607">
        <v>77.494231817946201</v>
      </c>
      <c r="AM2607">
        <v>89.860074976796398</v>
      </c>
      <c r="AN2607">
        <v>0.99999999889394298</v>
      </c>
    </row>
    <row r="2608" spans="1:40" x14ac:dyDescent="0.25">
      <c r="A2608" t="str">
        <f>"20190303170816653"</f>
        <v>20190303170816653</v>
      </c>
      <c r="B2608" t="str">
        <f>"1551604096645128"</f>
        <v>1551604096645128</v>
      </c>
      <c r="C2608" t="s">
        <v>40</v>
      </c>
      <c r="D2608">
        <v>4.4226470000000004</v>
      </c>
      <c r="E2608">
        <v>0.51464089999999996</v>
      </c>
      <c r="F2608" t="s">
        <v>57</v>
      </c>
      <c r="G2608">
        <v>-206.4119</v>
      </c>
      <c r="H2608" s="1">
        <v>5.41803E-6</v>
      </c>
      <c r="I2608">
        <v>210.5256</v>
      </c>
      <c r="J2608">
        <v>-354.9384</v>
      </c>
      <c r="K2608">
        <v>1.1207750000000001</v>
      </c>
      <c r="L2608">
        <v>213.53530000000001</v>
      </c>
      <c r="M2608">
        <v>0.99985119999999905</v>
      </c>
      <c r="N2608">
        <v>-1.336333E-2</v>
      </c>
      <c r="O2608">
        <v>1.091435E-2</v>
      </c>
      <c r="P2608">
        <v>0.97889159999999997</v>
      </c>
      <c r="Q2608">
        <v>0.2041818</v>
      </c>
      <c r="R2608">
        <v>9.0080479999999994E-3</v>
      </c>
      <c r="S2608">
        <v>3.0696720000000002</v>
      </c>
      <c r="T2608">
        <v>-2.3090719999999999E-2</v>
      </c>
      <c r="U2608">
        <v>-6.190491E-2</v>
      </c>
      <c r="V2608">
        <v>1.685703E-3</v>
      </c>
      <c r="W2608">
        <v>0.21724540000000001</v>
      </c>
      <c r="X2608">
        <v>0.97611559999999997</v>
      </c>
      <c r="Y2608">
        <v>3.10718E-2</v>
      </c>
      <c r="Z2608">
        <v>-2.6074879999999999E-4</v>
      </c>
      <c r="AA2608">
        <v>0.99951710000000005</v>
      </c>
      <c r="AB2608">
        <v>46</v>
      </c>
      <c r="AC2608">
        <v>148.5265</v>
      </c>
      <c r="AD2608">
        <v>-1.1207695819700001</v>
      </c>
      <c r="AE2608">
        <v>-3.0097</v>
      </c>
      <c r="AF2608">
        <v>4.6304720136016604</v>
      </c>
      <c r="AG2608">
        <v>-1.1207695819700001</v>
      </c>
      <c r="AH2608">
        <v>148.47634892746299</v>
      </c>
      <c r="AI2608">
        <v>90.432277222533003</v>
      </c>
      <c r="AJ2608">
        <v>88.213718596248597</v>
      </c>
      <c r="AK2608">
        <v>148.552763644284</v>
      </c>
      <c r="AL2608">
        <v>77.452707033073594</v>
      </c>
      <c r="AM2608">
        <v>89.901053142274193</v>
      </c>
      <c r="AN2608">
        <v>1.0000000349895599</v>
      </c>
    </row>
    <row r="2609" spans="1:40" x14ac:dyDescent="0.25">
      <c r="A2609" t="str">
        <f>"20190303170816677"</f>
        <v>20190303170816677</v>
      </c>
      <c r="B2609" t="str">
        <f>"1551604096665624"</f>
        <v>1551604096665624</v>
      </c>
      <c r="C2609" t="s">
        <v>40</v>
      </c>
      <c r="D2609">
        <v>4.3058969999999999</v>
      </c>
      <c r="E2609">
        <v>0.51462470000000005</v>
      </c>
      <c r="F2609" t="s">
        <v>57</v>
      </c>
      <c r="G2609">
        <v>-179.95769999999999</v>
      </c>
      <c r="H2609">
        <v>3.2412209999999997E-2</v>
      </c>
      <c r="I2609">
        <v>210.1661</v>
      </c>
      <c r="J2609">
        <v>-354.47269999999997</v>
      </c>
      <c r="K2609">
        <v>1.1208209999999901</v>
      </c>
      <c r="L2609">
        <v>213.54040000000001</v>
      </c>
      <c r="M2609">
        <v>0.99984819999999996</v>
      </c>
      <c r="N2609">
        <v>-1.3588630000000001E-2</v>
      </c>
      <c r="O2609">
        <v>1.09146E-2</v>
      </c>
      <c r="P2609">
        <v>0.97877400000000003</v>
      </c>
      <c r="Q2609">
        <v>0.2047139</v>
      </c>
      <c r="R2609">
        <v>9.6871779999999994E-3</v>
      </c>
      <c r="S2609">
        <v>3.0692439999999999</v>
      </c>
      <c r="T2609">
        <v>-1.9090409999999999E-2</v>
      </c>
      <c r="U2609">
        <v>-5.9097289999999997E-2</v>
      </c>
      <c r="V2609">
        <v>1.0057390000000001E-3</v>
      </c>
      <c r="W2609">
        <v>0.21799560000000001</v>
      </c>
      <c r="X2609">
        <v>0.97594919999999996</v>
      </c>
      <c r="Y2609">
        <v>3.016139E-2</v>
      </c>
      <c r="Z2609">
        <v>-2.183257E-4</v>
      </c>
      <c r="AA2609">
        <v>0.99954500000000002</v>
      </c>
      <c r="AB2609">
        <v>46</v>
      </c>
      <c r="AC2609">
        <v>174.51499999999999</v>
      </c>
      <c r="AD2609">
        <v>-1.0884087899999999</v>
      </c>
      <c r="AE2609">
        <v>-3.3742999999999999</v>
      </c>
      <c r="AF2609">
        <v>5.27883082265304</v>
      </c>
      <c r="AG2609">
        <v>-1.0884087899999999</v>
      </c>
      <c r="AH2609">
        <v>174.460986875076</v>
      </c>
      <c r="AI2609">
        <v>90.357282711878597</v>
      </c>
      <c r="AJ2609">
        <v>88.2668762825801</v>
      </c>
      <c r="AK2609">
        <v>174.54422542717899</v>
      </c>
      <c r="AL2609">
        <v>77.408667413830898</v>
      </c>
      <c r="AM2609">
        <v>89.940955349322493</v>
      </c>
      <c r="AN2609">
        <v>0.99999996705546701</v>
      </c>
    </row>
    <row r="2610" spans="1:40" x14ac:dyDescent="0.25">
      <c r="A2610" t="str">
        <f>"20190303170816698"</f>
        <v>20190303170816698</v>
      </c>
      <c r="B2610" t="str">
        <f>"1551604096685144"</f>
        <v>1551604096685144</v>
      </c>
      <c r="C2610" t="s">
        <v>40</v>
      </c>
      <c r="D2610">
        <v>4.2698410000000004</v>
      </c>
      <c r="E2610">
        <v>0.5146617</v>
      </c>
      <c r="F2610" t="s">
        <v>54</v>
      </c>
      <c r="G2610">
        <v>-169.392</v>
      </c>
      <c r="H2610">
        <v>0.20772740000000001</v>
      </c>
      <c r="I2610">
        <v>210.0829</v>
      </c>
      <c r="J2610">
        <v>-354.04320000000001</v>
      </c>
      <c r="K2610">
        <v>1.120852</v>
      </c>
      <c r="L2610">
        <v>213.54509999999999</v>
      </c>
      <c r="M2610">
        <v>0.99984530000000005</v>
      </c>
      <c r="N2610">
        <v>-1.3795989999999999E-2</v>
      </c>
      <c r="O2610">
        <v>1.0914709999999999E-2</v>
      </c>
      <c r="P2610">
        <v>0.97877530000000001</v>
      </c>
      <c r="Q2610">
        <v>0.2047137</v>
      </c>
      <c r="R2610">
        <v>9.5557330000000003E-3</v>
      </c>
      <c r="S2610">
        <v>3.0687869999999999</v>
      </c>
      <c r="T2610">
        <v>-1.513922E-2</v>
      </c>
      <c r="U2610">
        <v>-5.732727E-2</v>
      </c>
      <c r="V2610">
        <v>1.1371790000000001E-3</v>
      </c>
      <c r="W2610">
        <v>0.21819810000000001</v>
      </c>
      <c r="X2610">
        <v>0.97590390000000005</v>
      </c>
      <c r="Y2610">
        <v>2.9588440000000001E-2</v>
      </c>
      <c r="Z2610">
        <v>-1.8037819999999999E-4</v>
      </c>
      <c r="AA2610">
        <v>0.99956210000000001</v>
      </c>
      <c r="AB2610">
        <v>45</v>
      </c>
      <c r="AC2610">
        <v>184.65119999999999</v>
      </c>
      <c r="AD2610">
        <v>-0.91312459999999995</v>
      </c>
      <c r="AE2610">
        <v>-3.46219999999999</v>
      </c>
      <c r="AF2610">
        <v>5.4774658643560796</v>
      </c>
      <c r="AG2610">
        <v>-0.91312459999999995</v>
      </c>
      <c r="AH2610">
        <v>184.59789361219899</v>
      </c>
      <c r="AI2610">
        <v>90.283290030791505</v>
      </c>
      <c r="AJ2610">
        <v>88.300394369887002</v>
      </c>
      <c r="AK2610">
        <v>184.68139796658201</v>
      </c>
      <c r="AL2610">
        <v>77.396780055071105</v>
      </c>
      <c r="AM2610">
        <v>89.933235713310495</v>
      </c>
      <c r="AN2610">
        <v>1.0000000630274399</v>
      </c>
    </row>
    <row r="2611" spans="1:40" x14ac:dyDescent="0.25">
      <c r="A2611" t="str">
        <f>"20190303170816722"</f>
        <v>20190303170816722</v>
      </c>
      <c r="B2611" t="str">
        <f>"1551604096715400"</f>
        <v>1551604096715400</v>
      </c>
      <c r="C2611" t="s">
        <v>40</v>
      </c>
      <c r="D2611">
        <v>4.1698269999999997</v>
      </c>
      <c r="E2611">
        <v>0.5149437</v>
      </c>
      <c r="F2611" t="s">
        <v>54</v>
      </c>
      <c r="G2611">
        <v>-169.392</v>
      </c>
      <c r="H2611">
        <v>0.23935699999999999</v>
      </c>
      <c r="I2611">
        <v>210.07900000000001</v>
      </c>
      <c r="J2611">
        <v>-353.56470000000002</v>
      </c>
      <c r="K2611">
        <v>1.120876</v>
      </c>
      <c r="L2611">
        <v>213.55029999999999</v>
      </c>
      <c r="M2611">
        <v>0.99984220000000001</v>
      </c>
      <c r="N2611">
        <v>-1.4016030000000001E-2</v>
      </c>
      <c r="O2611">
        <v>1.091465E-2</v>
      </c>
      <c r="P2611">
        <v>0.97871149999999996</v>
      </c>
      <c r="Q2611">
        <v>0.2050295</v>
      </c>
      <c r="R2611">
        <v>9.3159450000000008E-3</v>
      </c>
      <c r="S2611">
        <v>3.0687259999999998</v>
      </c>
      <c r="T2611">
        <v>-1.464903E-2</v>
      </c>
      <c r="U2611">
        <v>-5.7601930000000003E-2</v>
      </c>
      <c r="V2611">
        <v>1.3762869999999999E-3</v>
      </c>
      <c r="W2611">
        <v>0.21872759999999999</v>
      </c>
      <c r="X2611">
        <v>0.97578500000000001</v>
      </c>
      <c r="Y2611">
        <v>2.9678220000000002E-2</v>
      </c>
      <c r="Z2611">
        <v>-1.77973E-4</v>
      </c>
      <c r="AA2611">
        <v>0.99955950000000005</v>
      </c>
      <c r="AB2611">
        <v>45</v>
      </c>
      <c r="AC2611">
        <v>184.17269999999999</v>
      </c>
      <c r="AD2611">
        <v>-0.88151899999999905</v>
      </c>
      <c r="AE2611">
        <v>-3.4712999999999798</v>
      </c>
      <c r="AF2611">
        <v>5.4813456910815601</v>
      </c>
      <c r="AG2611">
        <v>-0.88151899999999905</v>
      </c>
      <c r="AH2611">
        <v>184.11961899886299</v>
      </c>
      <c r="AI2611">
        <v>90.274194385244201</v>
      </c>
      <c r="AJ2611">
        <v>88.294775736772294</v>
      </c>
      <c r="AK2611">
        <v>184.203301617042</v>
      </c>
      <c r="AL2611">
        <v>77.365690334129994</v>
      </c>
      <c r="AM2611">
        <v>89.919187747087093</v>
      </c>
      <c r="AN2611">
        <v>1.0000000116963299</v>
      </c>
    </row>
    <row r="2612" spans="1:40" x14ac:dyDescent="0.25">
      <c r="A2612" t="str">
        <f>"20190303170816746"</f>
        <v>20190303170816746</v>
      </c>
      <c r="B2612" t="str">
        <f>"1551604096735896"</f>
        <v>1551604096735896</v>
      </c>
      <c r="C2612" t="s">
        <v>40</v>
      </c>
      <c r="D2612">
        <v>4.2374400000000003</v>
      </c>
      <c r="E2612">
        <v>0.51503009999999905</v>
      </c>
      <c r="F2612" t="s">
        <v>54</v>
      </c>
      <c r="G2612">
        <v>-169.3921</v>
      </c>
      <c r="H2612">
        <v>0.2651501</v>
      </c>
      <c r="I2612">
        <v>209.92580000000001</v>
      </c>
      <c r="J2612">
        <v>-353.06979999999999</v>
      </c>
      <c r="K2612">
        <v>1.1209009999999999</v>
      </c>
      <c r="L2612">
        <v>213.5557</v>
      </c>
      <c r="M2612">
        <v>0.99983920000000004</v>
      </c>
      <c r="N2612">
        <v>-1.4224229999999999E-2</v>
      </c>
      <c r="O2612">
        <v>1.091453E-2</v>
      </c>
      <c r="P2612">
        <v>0.97875210000000001</v>
      </c>
      <c r="Q2612">
        <v>0.20483409999999999</v>
      </c>
      <c r="R2612">
        <v>9.3607900000000008E-3</v>
      </c>
      <c r="S2612">
        <v>3.0687869999999999</v>
      </c>
      <c r="T2612">
        <v>-1.425803E-2</v>
      </c>
      <c r="U2612">
        <v>-6.0394290000000003E-2</v>
      </c>
      <c r="V2612">
        <v>1.3316949999999999E-3</v>
      </c>
      <c r="W2612">
        <v>0.21873600000000001</v>
      </c>
      <c r="X2612">
        <v>0.97578319999999996</v>
      </c>
      <c r="Y2612">
        <v>3.0586889999999999E-2</v>
      </c>
      <c r="Z2612">
        <v>-1.8408500000000001E-4</v>
      </c>
      <c r="AA2612">
        <v>0.99953210000000003</v>
      </c>
      <c r="AB2612">
        <v>45</v>
      </c>
      <c r="AC2612">
        <v>183.67769999999999</v>
      </c>
      <c r="AD2612">
        <v>-0.85575089999999898</v>
      </c>
      <c r="AE2612">
        <v>-3.6298999999999899</v>
      </c>
      <c r="AF2612">
        <v>5.6345202109342898</v>
      </c>
      <c r="AG2612">
        <v>-0.85575089999999898</v>
      </c>
      <c r="AH2612">
        <v>183.62315012479601</v>
      </c>
      <c r="AI2612">
        <v>90.266891692675699</v>
      </c>
      <c r="AJ2612">
        <v>88.242416822250803</v>
      </c>
      <c r="AK2612">
        <v>183.711571190722</v>
      </c>
      <c r="AL2612">
        <v>77.365197370126793</v>
      </c>
      <c r="AM2612">
        <v>89.921805934219705</v>
      </c>
      <c r="AN2612">
        <v>1.0000000322549001</v>
      </c>
    </row>
    <row r="2613" spans="1:40" x14ac:dyDescent="0.25">
      <c r="A2613" t="str">
        <f>"20190303170816767"</f>
        <v>20190303170816767</v>
      </c>
      <c r="B2613" t="str">
        <f>"1551604096755416"</f>
        <v>1551604096755416</v>
      </c>
      <c r="C2613" t="s">
        <v>40</v>
      </c>
      <c r="D2613">
        <v>4.2147519999999998</v>
      </c>
      <c r="E2613">
        <v>0.51514740000000003</v>
      </c>
      <c r="F2613" t="s">
        <v>54</v>
      </c>
      <c r="G2613">
        <v>-169.3921</v>
      </c>
      <c r="H2613">
        <v>0.27673150000000002</v>
      </c>
      <c r="I2613">
        <v>209.8869</v>
      </c>
      <c r="J2613">
        <v>-352.66770000000002</v>
      </c>
      <c r="K2613">
        <v>1.120916</v>
      </c>
      <c r="L2613">
        <v>213.56010000000001</v>
      </c>
      <c r="M2613">
        <v>0.99983719999999998</v>
      </c>
      <c r="N2613">
        <v>-1.437575E-2</v>
      </c>
      <c r="O2613">
        <v>1.091457E-2</v>
      </c>
      <c r="P2613">
        <v>0.97866969999999998</v>
      </c>
      <c r="Q2613">
        <v>0.20523069999999999</v>
      </c>
      <c r="R2613">
        <v>9.2960750000000009E-3</v>
      </c>
      <c r="S2613">
        <v>3.068695</v>
      </c>
      <c r="T2613">
        <v>-1.410294E-2</v>
      </c>
      <c r="U2613">
        <v>-6.1294559999999998E-2</v>
      </c>
      <c r="V2613">
        <v>1.3956000000000001E-3</v>
      </c>
      <c r="W2613">
        <v>0.2192789</v>
      </c>
      <c r="X2613">
        <v>0.97566120000000001</v>
      </c>
      <c r="Y2613">
        <v>3.0880620000000001E-2</v>
      </c>
      <c r="Z2613">
        <v>-1.8621520000000001E-4</v>
      </c>
      <c r="AA2613">
        <v>0.99952300000000005</v>
      </c>
      <c r="AB2613">
        <v>45</v>
      </c>
      <c r="AC2613">
        <v>183.2756</v>
      </c>
      <c r="AD2613">
        <v>-0.84418449999999901</v>
      </c>
      <c r="AE2613">
        <v>-3.6732</v>
      </c>
      <c r="AF2613">
        <v>5.6734417199373697</v>
      </c>
      <c r="AG2613">
        <v>-0.84418449999999901</v>
      </c>
      <c r="AH2613">
        <v>183.2206996031</v>
      </c>
      <c r="AI2613">
        <v>90.263860444796805</v>
      </c>
      <c r="AJ2613">
        <v>88.226398917210105</v>
      </c>
      <c r="AK2613">
        <v>183.31046165308999</v>
      </c>
      <c r="AL2613">
        <v>77.3333168843225</v>
      </c>
      <c r="AM2613">
        <v>89.918043337838796</v>
      </c>
      <c r="AN2613">
        <v>0.99999998043500404</v>
      </c>
    </row>
    <row r="2614" spans="1:40" x14ac:dyDescent="0.25">
      <c r="A2614" t="str">
        <f>"20190303170816788"</f>
        <v>20190303170816788</v>
      </c>
      <c r="B2614" t="str">
        <f>"1551604096775913"</f>
        <v>1551604096775913</v>
      </c>
      <c r="C2614" t="s">
        <v>40</v>
      </c>
      <c r="D2614">
        <v>4.2184140000000001</v>
      </c>
      <c r="E2614">
        <v>0.51530730000000002</v>
      </c>
      <c r="F2614" t="s">
        <v>54</v>
      </c>
      <c r="G2614">
        <v>-169.3922</v>
      </c>
      <c r="H2614">
        <v>0.34416770000000002</v>
      </c>
      <c r="I2614">
        <v>209.7955</v>
      </c>
      <c r="J2614">
        <v>-352.2303</v>
      </c>
      <c r="K2614">
        <v>1.1209260000000001</v>
      </c>
      <c r="L2614">
        <v>213.56489999999999</v>
      </c>
      <c r="M2614">
        <v>0.99983500000000003</v>
      </c>
      <c r="N2614">
        <v>-1.452384E-2</v>
      </c>
      <c r="O2614">
        <v>1.091467E-2</v>
      </c>
      <c r="P2614">
        <v>0.97866770000000003</v>
      </c>
      <c r="Q2614">
        <v>0.2052186</v>
      </c>
      <c r="R2614">
        <v>9.7617750000000003E-3</v>
      </c>
      <c r="S2614">
        <v>3.068756</v>
      </c>
      <c r="T2614">
        <v>-1.3005259999999999E-2</v>
      </c>
      <c r="U2614">
        <v>-6.3034060000000003E-2</v>
      </c>
      <c r="V2614">
        <v>9.3006619999999997E-4</v>
      </c>
      <c r="W2614">
        <v>0.21941150000000001</v>
      </c>
      <c r="X2614">
        <v>0.97563200000000005</v>
      </c>
      <c r="Y2614">
        <v>3.1446729999999999E-2</v>
      </c>
      <c r="Z2614">
        <v>-1.827691E-4</v>
      </c>
      <c r="AA2614">
        <v>0.99950539999999999</v>
      </c>
      <c r="AB2614">
        <v>45</v>
      </c>
      <c r="AC2614">
        <v>182.8381</v>
      </c>
      <c r="AD2614">
        <v>-0.77675830000000001</v>
      </c>
      <c r="AE2614">
        <v>-3.7693999999999899</v>
      </c>
      <c r="AF2614">
        <v>5.7648993576237704</v>
      </c>
      <c r="AG2614">
        <v>-0.77675830000000001</v>
      </c>
      <c r="AH2614">
        <v>182.78276299779199</v>
      </c>
      <c r="AI2614">
        <v>90.243363131971094</v>
      </c>
      <c r="AJ2614">
        <v>88.1935115804974</v>
      </c>
      <c r="AK2614">
        <v>182.87530141374299</v>
      </c>
      <c r="AL2614">
        <v>77.325530536177695</v>
      </c>
      <c r="AM2614">
        <v>89.945380172252101</v>
      </c>
      <c r="AN2614">
        <v>1.0000000353896901</v>
      </c>
    </row>
    <row r="2615" spans="1:40" x14ac:dyDescent="0.25">
      <c r="A2615" t="str">
        <f>"20190303170816812"</f>
        <v>20190303170816812</v>
      </c>
      <c r="B2615" t="str">
        <f>"1551604096805192"</f>
        <v>1551604096805192</v>
      </c>
      <c r="C2615" t="s">
        <v>40</v>
      </c>
      <c r="D2615">
        <v>4.2116300000000004</v>
      </c>
      <c r="E2615">
        <v>0.51552120000000001</v>
      </c>
      <c r="F2615" t="s">
        <v>54</v>
      </c>
      <c r="G2615">
        <v>-169.3922</v>
      </c>
      <c r="H2615">
        <v>0.35855100000000001</v>
      </c>
      <c r="I2615">
        <v>209.82910000000001</v>
      </c>
      <c r="J2615">
        <v>-351.77170000000001</v>
      </c>
      <c r="K2615">
        <v>1.1209370000000001</v>
      </c>
      <c r="L2615">
        <v>213.56989999999999</v>
      </c>
      <c r="M2615">
        <v>0.99983310000000003</v>
      </c>
      <c r="N2615">
        <v>-1.466044E-2</v>
      </c>
      <c r="O2615">
        <v>1.091485E-2</v>
      </c>
      <c r="P2615">
        <v>0.97878189999999998</v>
      </c>
      <c r="Q2615">
        <v>0.20466509999999999</v>
      </c>
      <c r="R2615">
        <v>9.9259350000000003E-3</v>
      </c>
      <c r="S2615">
        <v>3.0686650000000002</v>
      </c>
      <c r="T2615">
        <v>-1.2794730000000001E-2</v>
      </c>
      <c r="U2615">
        <v>-6.2698359999999995E-2</v>
      </c>
      <c r="V2615">
        <v>7.674922E-4</v>
      </c>
      <c r="W2615">
        <v>0.2189933</v>
      </c>
      <c r="X2615">
        <v>0.97572610000000004</v>
      </c>
      <c r="Y2615">
        <v>3.1338249999999998E-2</v>
      </c>
      <c r="Z2615">
        <v>-1.8057880000000001E-4</v>
      </c>
      <c r="AA2615">
        <v>0.99950879999999998</v>
      </c>
      <c r="AB2615">
        <v>45</v>
      </c>
      <c r="AC2615">
        <v>182.37950000000001</v>
      </c>
      <c r="AD2615">
        <v>-0.76238600000000001</v>
      </c>
      <c r="AE2615">
        <v>-3.7407999999999699</v>
      </c>
      <c r="AF2615">
        <v>5.7313355630656302</v>
      </c>
      <c r="AG2615">
        <v>-0.76238600000000001</v>
      </c>
      <c r="AH2615">
        <v>182.32461425485999</v>
      </c>
      <c r="AI2615">
        <v>90.2394612502831</v>
      </c>
      <c r="AJ2615">
        <v>88.199512220156507</v>
      </c>
      <c r="AK2615">
        <v>182.41626682654399</v>
      </c>
      <c r="AL2615">
        <v>77.350088942674404</v>
      </c>
      <c r="AM2615">
        <v>89.954931968305402</v>
      </c>
      <c r="AN2615">
        <v>1.0000000383551799</v>
      </c>
    </row>
    <row r="2616" spans="1:40" x14ac:dyDescent="0.25">
      <c r="A2616" t="str">
        <f>"20190303170816833"</f>
        <v>20190303170816833</v>
      </c>
      <c r="B2616" t="str">
        <f>"1551604096825688"</f>
        <v>1551604096825688</v>
      </c>
      <c r="C2616" t="s">
        <v>40</v>
      </c>
      <c r="D2616">
        <v>4.3137670000000004</v>
      </c>
      <c r="E2616">
        <v>0.51554619999999995</v>
      </c>
      <c r="F2616" t="s">
        <v>54</v>
      </c>
      <c r="G2616">
        <v>-169.3921</v>
      </c>
      <c r="H2616">
        <v>0.28769109999999998</v>
      </c>
      <c r="I2616">
        <v>209.79</v>
      </c>
      <c r="J2616">
        <v>-351.32080000000002</v>
      </c>
      <c r="K2616">
        <v>1.1209389999999999</v>
      </c>
      <c r="L2616">
        <v>213.57480000000001</v>
      </c>
      <c r="M2616">
        <v>0.99983140000000004</v>
      </c>
      <c r="N2616">
        <v>-1.4778009999999999E-2</v>
      </c>
      <c r="O2616">
        <v>1.091511E-2</v>
      </c>
      <c r="P2616">
        <v>0.97892460000000003</v>
      </c>
      <c r="Q2616">
        <v>0.20396790000000001</v>
      </c>
      <c r="R2616">
        <v>1.019258E-2</v>
      </c>
      <c r="S2616">
        <v>3.0686040000000001</v>
      </c>
      <c r="T2616">
        <v>-1.4019129999999999E-2</v>
      </c>
      <c r="U2616">
        <v>-6.3598630000000003E-2</v>
      </c>
      <c r="V2616">
        <v>5.0281360000000005E-4</v>
      </c>
      <c r="W2616">
        <v>0.218413</v>
      </c>
      <c r="X2616">
        <v>0.97585630000000001</v>
      </c>
      <c r="Y2616">
        <v>3.1631909999999999E-2</v>
      </c>
      <c r="Z2616">
        <v>-1.9458609999999999E-4</v>
      </c>
      <c r="AA2616">
        <v>0.99949960000000004</v>
      </c>
      <c r="AB2616">
        <v>45</v>
      </c>
      <c r="AC2616">
        <v>181.92869999999999</v>
      </c>
      <c r="AD2616">
        <v>-0.83324789999999904</v>
      </c>
      <c r="AE2616">
        <v>-3.7848000000000099</v>
      </c>
      <c r="AF2616">
        <v>5.7704417782630397</v>
      </c>
      <c r="AG2616">
        <v>-0.83324789999999904</v>
      </c>
      <c r="AH2616">
        <v>181.87273032524999</v>
      </c>
      <c r="AI2616">
        <v>90.262366121045105</v>
      </c>
      <c r="AJ2616">
        <v>88.182734240298203</v>
      </c>
      <c r="AK2616">
        <v>181.96615711813101</v>
      </c>
      <c r="AL2616">
        <v>77.384162125853194</v>
      </c>
      <c r="AM2616">
        <v>89.970478138418201</v>
      </c>
      <c r="AN2616">
        <v>1.0000000048201001</v>
      </c>
    </row>
    <row r="2617" spans="1:40" x14ac:dyDescent="0.25">
      <c r="A2617" t="str">
        <f>"20190303170816855"</f>
        <v>20190303170816855</v>
      </c>
      <c r="B2617" t="str">
        <f>"1551604096845212"</f>
        <v>1551604096845212</v>
      </c>
      <c r="C2617" t="s">
        <v>40</v>
      </c>
      <c r="D2617">
        <v>4.2911789999999996</v>
      </c>
      <c r="E2617">
        <v>0.54531569999999996</v>
      </c>
      <c r="F2617" t="s">
        <v>54</v>
      </c>
      <c r="G2617">
        <v>-169.3921</v>
      </c>
      <c r="H2617">
        <v>0.15080070000000001</v>
      </c>
      <c r="I2617">
        <v>209.8441</v>
      </c>
      <c r="J2617">
        <v>-350.86180000000002</v>
      </c>
      <c r="K2617">
        <v>1.1209480000000001</v>
      </c>
      <c r="L2617">
        <v>213.57980000000001</v>
      </c>
      <c r="M2617">
        <v>0.99982979999999999</v>
      </c>
      <c r="N2617">
        <v>-1.4882579999999999E-2</v>
      </c>
      <c r="O2617">
        <v>1.091551E-2</v>
      </c>
      <c r="P2617">
        <v>0.97899899999999995</v>
      </c>
      <c r="Q2617">
        <v>0.20360139999999999</v>
      </c>
      <c r="R2617">
        <v>1.0371129999999999E-2</v>
      </c>
      <c r="S2617">
        <v>3.0686650000000002</v>
      </c>
      <c r="T2617">
        <v>-1.6363140000000002E-2</v>
      </c>
      <c r="U2617">
        <v>-6.2927250000000004E-2</v>
      </c>
      <c r="V2617">
        <v>3.2537430000000001E-4</v>
      </c>
      <c r="W2617">
        <v>0.2181497</v>
      </c>
      <c r="X2617">
        <v>0.97591530000000004</v>
      </c>
      <c r="Y2617">
        <v>3.1413099999999999E-2</v>
      </c>
      <c r="Z2617">
        <v>-2.132975E-4</v>
      </c>
      <c r="AA2617">
        <v>0.99950649999999996</v>
      </c>
      <c r="AB2617">
        <v>45</v>
      </c>
      <c r="AC2617">
        <v>181.46969999999999</v>
      </c>
      <c r="AD2617">
        <v>-0.97014730000000005</v>
      </c>
      <c r="AE2617">
        <v>-3.7357</v>
      </c>
      <c r="AF2617">
        <v>5.7163675505812197</v>
      </c>
      <c r="AG2617">
        <v>-0.97014730000000005</v>
      </c>
      <c r="AH2617">
        <v>181.41292215192399</v>
      </c>
      <c r="AI2617">
        <v>90.306247434562806</v>
      </c>
      <c r="AJ2617">
        <v>88.195192512105905</v>
      </c>
      <c r="AK2617">
        <v>181.505554646289</v>
      </c>
      <c r="AL2617">
        <v>77.399621266934403</v>
      </c>
      <c r="AM2617">
        <v>89.980897344819496</v>
      </c>
      <c r="AN2617">
        <v>1.0000000351263001</v>
      </c>
    </row>
    <row r="2618" spans="1:40" x14ac:dyDescent="0.25">
      <c r="A2618" t="str">
        <f>"20190303170816877"</f>
        <v>20190303170816877</v>
      </c>
      <c r="B2618" t="str">
        <f>"1551604096865704"</f>
        <v>1551604096865704</v>
      </c>
      <c r="C2618" t="s">
        <v>40</v>
      </c>
      <c r="D2618">
        <v>4.2911760000000001</v>
      </c>
      <c r="E2618">
        <v>0.54908610000000002</v>
      </c>
      <c r="F2618" t="s">
        <v>47</v>
      </c>
      <c r="G2618">
        <v>-349.88069999999999</v>
      </c>
      <c r="H2618">
        <v>1.021717</v>
      </c>
      <c r="I2618">
        <v>213.49010000000001</v>
      </c>
      <c r="J2618">
        <v>-350.43740000000003</v>
      </c>
      <c r="K2618">
        <v>1.120954</v>
      </c>
      <c r="L2618">
        <v>213.58449999999999</v>
      </c>
      <c r="M2618">
        <v>0.99982850000000001</v>
      </c>
      <c r="N2618">
        <v>-1.496714E-2</v>
      </c>
      <c r="O2618">
        <v>1.091553E-2</v>
      </c>
      <c r="P2618">
        <v>0.97889519999999997</v>
      </c>
      <c r="Q2618">
        <v>0.20411029999999999</v>
      </c>
      <c r="R2618">
        <v>1.017794E-2</v>
      </c>
      <c r="S2618">
        <v>3.1333009999999999</v>
      </c>
      <c r="T2618">
        <v>-0.3169824</v>
      </c>
      <c r="U2618">
        <v>-0.2858887</v>
      </c>
      <c r="V2618">
        <v>5.1742889999999999E-4</v>
      </c>
      <c r="W2618">
        <v>0.21873970000000001</v>
      </c>
      <c r="X2618">
        <v>0.97578310000000001</v>
      </c>
      <c r="Y2618">
        <v>0.1011021</v>
      </c>
      <c r="Z2618">
        <v>-6.7875729999999999E-3</v>
      </c>
      <c r="AA2618">
        <v>0.99485290000000004</v>
      </c>
      <c r="AB2618">
        <v>45</v>
      </c>
      <c r="AC2618">
        <v>0.55670000000003395</v>
      </c>
      <c r="AD2618">
        <v>-9.9237000000000006E-2</v>
      </c>
      <c r="AE2618">
        <v>-9.4399999999978904E-2</v>
      </c>
      <c r="AF2618">
        <v>9.7461321633562401E-2</v>
      </c>
      <c r="AG2618">
        <v>-9.9237000000000006E-2</v>
      </c>
      <c r="AH2618">
        <v>0.53898789689122195</v>
      </c>
      <c r="AI2618">
        <v>100.269399362801</v>
      </c>
      <c r="AJ2618">
        <v>79.750367210078196</v>
      </c>
      <c r="AK2618">
        <v>0.55664588777676505</v>
      </c>
      <c r="AL2618">
        <v>77.364979586890101</v>
      </c>
      <c r="AM2618">
        <v>89.969617746618695</v>
      </c>
      <c r="AN2618">
        <v>0.99999999116718297</v>
      </c>
    </row>
    <row r="2619" spans="1:40" x14ac:dyDescent="0.25">
      <c r="A2619" t="str">
        <f>"20190303170816899"</f>
        <v>20190303170816899</v>
      </c>
      <c r="B2619" t="str">
        <f>"1551604096885225"</f>
        <v>1551604096885225</v>
      </c>
      <c r="C2619" t="s">
        <v>40</v>
      </c>
      <c r="D2619">
        <v>4.288138</v>
      </c>
      <c r="E2619">
        <v>0.55065430000000004</v>
      </c>
      <c r="F2619" t="s">
        <v>47</v>
      </c>
      <c r="G2619">
        <v>-349.49470000000002</v>
      </c>
      <c r="H2619">
        <v>0.99017429999999995</v>
      </c>
      <c r="I2619">
        <v>213.49180000000001</v>
      </c>
      <c r="J2619">
        <v>-349.98630000000003</v>
      </c>
      <c r="K2619">
        <v>1.120962</v>
      </c>
      <c r="L2619">
        <v>213.58940000000001</v>
      </c>
      <c r="M2619">
        <v>0.99982740000000003</v>
      </c>
      <c r="N2619">
        <v>-1.5045009999999999E-2</v>
      </c>
      <c r="O2619">
        <v>1.091577E-2</v>
      </c>
      <c r="P2619">
        <v>0.97886519999999999</v>
      </c>
      <c r="Q2619">
        <v>0.2042561</v>
      </c>
      <c r="R2619">
        <v>1.0130139999999999E-2</v>
      </c>
      <c r="S2619">
        <v>3.1593019999999998</v>
      </c>
      <c r="T2619">
        <v>-0.43823790000000001</v>
      </c>
      <c r="U2619">
        <v>-0.31069950000000002</v>
      </c>
      <c r="V2619">
        <v>5.6535190000000005E-4</v>
      </c>
      <c r="W2619">
        <v>0.21896119999999999</v>
      </c>
      <c r="X2619">
        <v>0.97573339999999997</v>
      </c>
      <c r="Y2619">
        <v>0.10751620000000001</v>
      </c>
      <c r="Z2619">
        <v>-9.5592850000000007E-3</v>
      </c>
      <c r="AA2619">
        <v>0.99415739999999997</v>
      </c>
      <c r="AB2619">
        <v>45</v>
      </c>
      <c r="AC2619">
        <v>0.49160000000000498</v>
      </c>
      <c r="AD2619">
        <v>-0.13078769999999901</v>
      </c>
      <c r="AE2619">
        <v>-9.7599999999999895E-2</v>
      </c>
      <c r="AF2619">
        <v>9.6396764918846203E-2</v>
      </c>
      <c r="AG2619">
        <v>-0.13078769999999901</v>
      </c>
      <c r="AH2619">
        <v>0.45923332912659298</v>
      </c>
      <c r="AI2619">
        <v>105.574297312127</v>
      </c>
      <c r="AJ2619">
        <v>78.145267717675907</v>
      </c>
      <c r="AK2619">
        <v>0.48712730301103302</v>
      </c>
      <c r="AL2619">
        <v>77.351973356887896</v>
      </c>
      <c r="AM2619">
        <v>89.966802126293103</v>
      </c>
      <c r="AN2619">
        <v>0.99999999730188505</v>
      </c>
    </row>
    <row r="2620" spans="1:40" x14ac:dyDescent="0.25">
      <c r="A2620" t="str">
        <f>"20190303170816924"</f>
        <v>20190303170816924</v>
      </c>
      <c r="B2620" t="str">
        <f>"1551604096915481"</f>
        <v>1551604096915481</v>
      </c>
      <c r="C2620" t="s">
        <v>40</v>
      </c>
      <c r="D2620">
        <v>4.3079879999999999</v>
      </c>
      <c r="E2620">
        <v>0.55181919999999995</v>
      </c>
      <c r="F2620" t="s">
        <v>47</v>
      </c>
      <c r="G2620">
        <v>-349.09879999999998</v>
      </c>
      <c r="H2620">
        <v>0.97996450000000002</v>
      </c>
      <c r="I2620">
        <v>213.49959999999999</v>
      </c>
      <c r="J2620">
        <v>-349.50330000000002</v>
      </c>
      <c r="K2620">
        <v>1.1209629999999999</v>
      </c>
      <c r="L2620">
        <v>213.59469999999999</v>
      </c>
      <c r="M2620">
        <v>0.99982629999999995</v>
      </c>
      <c r="N2620">
        <v>-1.511647E-2</v>
      </c>
      <c r="O2620">
        <v>1.0915940000000001E-2</v>
      </c>
      <c r="P2620">
        <v>0.97894420000000004</v>
      </c>
      <c r="Q2620">
        <v>0.20388790000000001</v>
      </c>
      <c r="R2620">
        <v>9.9076049999999999E-3</v>
      </c>
      <c r="S2620">
        <v>3.173279</v>
      </c>
      <c r="T2620">
        <v>-0.50427540000000004</v>
      </c>
      <c r="U2620">
        <v>-0.3196869</v>
      </c>
      <c r="V2620">
        <v>7.8875199999999999E-4</v>
      </c>
      <c r="W2620">
        <v>0.21866389999999999</v>
      </c>
      <c r="X2620">
        <v>0.97579990000000005</v>
      </c>
      <c r="Y2620">
        <v>0.10948860000000001</v>
      </c>
      <c r="Z2620">
        <v>-1.101535E-2</v>
      </c>
      <c r="AA2620">
        <v>0.993927</v>
      </c>
      <c r="AB2620">
        <v>45</v>
      </c>
      <c r="AC2620">
        <v>0.40450000000004099</v>
      </c>
      <c r="AD2620">
        <v>-0.140998499999999</v>
      </c>
      <c r="AE2620">
        <v>-9.51000000000021E-2</v>
      </c>
      <c r="AF2620">
        <v>8.9235725512540998E-2</v>
      </c>
      <c r="AG2620">
        <v>-0.140998499999999</v>
      </c>
      <c r="AH2620">
        <v>0.36178205445255501</v>
      </c>
      <c r="AI2620">
        <v>110.72627418748</v>
      </c>
      <c r="AJ2620">
        <v>76.144222946551693</v>
      </c>
      <c r="AK2620">
        <v>0.39840914476692302</v>
      </c>
      <c r="AL2620">
        <v>77.369430261130802</v>
      </c>
      <c r="AM2620">
        <v>89.953687071662799</v>
      </c>
      <c r="AN2620">
        <v>0.99999998406646795</v>
      </c>
    </row>
    <row r="2621" spans="1:40" x14ac:dyDescent="0.25">
      <c r="A2621" t="str">
        <f>"20190303170816957"</f>
        <v>20190303170816957</v>
      </c>
      <c r="B2621" t="str">
        <f>"1551604096945736"</f>
        <v>1551604096945736</v>
      </c>
      <c r="C2621" t="s">
        <v>40</v>
      </c>
      <c r="D2621">
        <v>4.3315739999999998</v>
      </c>
      <c r="E2621">
        <v>0.55259139999999995</v>
      </c>
      <c r="F2621" t="s">
        <v>47</v>
      </c>
      <c r="G2621">
        <v>-348.6979</v>
      </c>
      <c r="H2621">
        <v>0.98078849999999995</v>
      </c>
      <c r="I2621">
        <v>213.51159999999999</v>
      </c>
      <c r="J2621">
        <v>-348.83699999999999</v>
      </c>
      <c r="K2621">
        <v>1.1209709999999999</v>
      </c>
      <c r="L2621">
        <v>213.6019</v>
      </c>
      <c r="M2621">
        <v>0.99982490000000002</v>
      </c>
      <c r="N2621">
        <v>-1.5196579999999999E-2</v>
      </c>
      <c r="O2621">
        <v>1.091628E-2</v>
      </c>
      <c r="P2621">
        <v>0.97887500000000005</v>
      </c>
      <c r="Q2621">
        <v>0.20424600000000001</v>
      </c>
      <c r="R2621">
        <v>9.3622410000000003E-3</v>
      </c>
      <c r="S2621">
        <v>3.1832579999999999</v>
      </c>
      <c r="T2621">
        <v>-0.55412220000000001</v>
      </c>
      <c r="U2621">
        <v>-0.32756039999999997</v>
      </c>
      <c r="V2621">
        <v>1.3336260000000001E-3</v>
      </c>
      <c r="W2621">
        <v>0.21909890000000001</v>
      </c>
      <c r="X2621">
        <v>0.97570170000000001</v>
      </c>
      <c r="Y2621">
        <v>0.11127479999999999</v>
      </c>
      <c r="Z2621">
        <v>-1.2159680000000001E-2</v>
      </c>
      <c r="AA2621">
        <v>0.99371529999999997</v>
      </c>
      <c r="AB2621">
        <v>45</v>
      </c>
      <c r="AC2621">
        <v>0.13909999999998399</v>
      </c>
      <c r="AD2621">
        <v>-0.14018249999999899</v>
      </c>
      <c r="AE2621">
        <v>-9.03000000000133E-2</v>
      </c>
      <c r="AF2621">
        <v>5.3550680785975399E-2</v>
      </c>
      <c r="AG2621">
        <v>-0.14018249999999899</v>
      </c>
      <c r="AH2621">
        <v>8.0551148630482794E-2</v>
      </c>
      <c r="AI2621">
        <v>145.39395460911601</v>
      </c>
      <c r="AJ2621">
        <v>56.383903329085697</v>
      </c>
      <c r="AK2621">
        <v>0.17031528488242401</v>
      </c>
      <c r="AL2621">
        <v>77.343886866351895</v>
      </c>
      <c r="AM2621">
        <v>89.921686009500604</v>
      </c>
      <c r="AN2621">
        <v>0.99999995696120303</v>
      </c>
    </row>
    <row r="2622" spans="1:40" x14ac:dyDescent="0.25">
      <c r="A2622" t="str">
        <f>"20190303170816977"</f>
        <v>20190303170816977</v>
      </c>
      <c r="B2622" t="str">
        <f>"1551604096965256"</f>
        <v>1551604096965256</v>
      </c>
      <c r="C2622" t="s">
        <v>40</v>
      </c>
      <c r="D2622">
        <v>4.3256800000000002</v>
      </c>
      <c r="E2622">
        <v>0.55276080000000005</v>
      </c>
      <c r="F2622" t="s">
        <v>47</v>
      </c>
      <c r="G2622">
        <v>-347.91109999999998</v>
      </c>
      <c r="H2622">
        <v>0.9532062</v>
      </c>
      <c r="I2622">
        <v>213.50479999999999</v>
      </c>
      <c r="J2622">
        <v>-348.42349999999999</v>
      </c>
      <c r="K2622">
        <v>1.120981</v>
      </c>
      <c r="L2622">
        <v>213.60640000000001</v>
      </c>
      <c r="M2622">
        <v>0.9998243</v>
      </c>
      <c r="N2622">
        <v>-1.5237779999999999E-2</v>
      </c>
      <c r="O2622">
        <v>1.0916500000000001E-2</v>
      </c>
      <c r="P2622">
        <v>0.97875540000000005</v>
      </c>
      <c r="Q2622">
        <v>0.20483480000000001</v>
      </c>
      <c r="R2622">
        <v>8.9792109999999904E-3</v>
      </c>
      <c r="S2622">
        <v>3.188507</v>
      </c>
      <c r="T2622">
        <v>-0.57777239999999996</v>
      </c>
      <c r="U2622">
        <v>-0.33412170000000002</v>
      </c>
      <c r="V2622">
        <v>1.715671E-3</v>
      </c>
      <c r="W2622">
        <v>0.21972549999999999</v>
      </c>
      <c r="X2622">
        <v>0.97556019999999999</v>
      </c>
      <c r="Y2622">
        <v>0.1129464</v>
      </c>
      <c r="Z2622">
        <v>-1.27864E-2</v>
      </c>
      <c r="AA2622">
        <v>0.99351880000000004</v>
      </c>
      <c r="AB2622">
        <v>45</v>
      </c>
      <c r="AC2622">
        <v>0.51240000000001296</v>
      </c>
      <c r="AD2622">
        <v>-0.167774799999999</v>
      </c>
      <c r="AE2622">
        <v>-0.10160000000001899</v>
      </c>
      <c r="AF2622">
        <v>9.7165194743794606E-2</v>
      </c>
      <c r="AG2622">
        <v>-0.167774799999999</v>
      </c>
      <c r="AH2622">
        <v>0.463453014083334</v>
      </c>
      <c r="AI2622">
        <v>109.50960750513801</v>
      </c>
      <c r="AJ2622">
        <v>78.159159885706501</v>
      </c>
      <c r="AK2622">
        <v>0.50237252596809701</v>
      </c>
      <c r="AL2622">
        <v>77.3070888242368</v>
      </c>
      <c r="AM2622">
        <v>89.899236760591606</v>
      </c>
      <c r="AN2622">
        <v>0.99999997135063401</v>
      </c>
    </row>
    <row r="2623" spans="1:40" x14ac:dyDescent="0.25">
      <c r="A2623" t="str">
        <f>"20190303170816999"</f>
        <v>20190303170816999</v>
      </c>
      <c r="B2623" t="str">
        <f>"1551604096995512"</f>
        <v>1551604096995512</v>
      </c>
      <c r="C2623" t="s">
        <v>40</v>
      </c>
      <c r="D2623">
        <v>4.3389319999999998</v>
      </c>
      <c r="E2623">
        <v>0.55299370000000003</v>
      </c>
      <c r="F2623" t="s">
        <v>47</v>
      </c>
      <c r="G2623">
        <v>-347.51190000000003</v>
      </c>
      <c r="H2623">
        <v>0.95318970000000003</v>
      </c>
      <c r="I2623">
        <v>213.51009999999999</v>
      </c>
      <c r="J2623">
        <v>-347.9905</v>
      </c>
      <c r="K2623">
        <v>1.120987</v>
      </c>
      <c r="L2623">
        <v>213.6112</v>
      </c>
      <c r="M2623">
        <v>0.99982369999999998</v>
      </c>
      <c r="N2623">
        <v>-1.5274889999999999E-2</v>
      </c>
      <c r="O2623">
        <v>1.091657E-2</v>
      </c>
      <c r="P2623">
        <v>0.97878829999999994</v>
      </c>
      <c r="Q2623">
        <v>0.20466429999999999</v>
      </c>
      <c r="R2623">
        <v>9.278204E-3</v>
      </c>
      <c r="S2623">
        <v>3.1911320000000001</v>
      </c>
      <c r="T2623">
        <v>-0.587431699999999</v>
      </c>
      <c r="U2623">
        <v>-0.3364258</v>
      </c>
      <c r="V2623">
        <v>1.417071E-3</v>
      </c>
      <c r="W2623">
        <v>0.21959200000000001</v>
      </c>
      <c r="X2623">
        <v>0.97559079999999998</v>
      </c>
      <c r="Y2623">
        <v>0.1134957</v>
      </c>
      <c r="Z2623">
        <v>-1.3031030000000001E-2</v>
      </c>
      <c r="AA2623">
        <v>0.99345300000000003</v>
      </c>
      <c r="AB2623">
        <v>45</v>
      </c>
      <c r="AC2623">
        <v>0.47859999999997099</v>
      </c>
      <c r="AD2623">
        <v>-0.16779730000000001</v>
      </c>
      <c r="AE2623">
        <v>-0.10110000000000199</v>
      </c>
      <c r="AF2623">
        <v>9.5125817836819698E-2</v>
      </c>
      <c r="AG2623">
        <v>-0.16779730000000001</v>
      </c>
      <c r="AH2623">
        <v>0.42719922957237899</v>
      </c>
      <c r="AI2623">
        <v>110.976556109236</v>
      </c>
      <c r="AJ2623">
        <v>77.446571689895606</v>
      </c>
      <c r="AK2623">
        <v>0.46872597202805899</v>
      </c>
      <c r="AL2623">
        <v>77.314930080380194</v>
      </c>
      <c r="AM2623">
        <v>89.916776449234803</v>
      </c>
      <c r="AN2623">
        <v>1.00000003179942</v>
      </c>
    </row>
    <row r="2624" spans="1:40" x14ac:dyDescent="0.25">
      <c r="A2624" t="str">
        <f>"20190303170817022"</f>
        <v>20190303170817022</v>
      </c>
      <c r="B2624" t="str">
        <f>"1551604097015032"</f>
        <v>1551604097015032</v>
      </c>
      <c r="C2624" t="s">
        <v>40</v>
      </c>
      <c r="D2624">
        <v>4.3594839999999904</v>
      </c>
      <c r="E2624">
        <v>0.55319759999999996</v>
      </c>
      <c r="F2624" t="s">
        <v>47</v>
      </c>
      <c r="G2624">
        <v>-347.11200000000002</v>
      </c>
      <c r="H2624">
        <v>0.95576430000000001</v>
      </c>
      <c r="I2624">
        <v>213.51859999999999</v>
      </c>
      <c r="J2624">
        <v>-347.52780000000001</v>
      </c>
      <c r="K2624">
        <v>1.120994</v>
      </c>
      <c r="L2624">
        <v>213.61619999999999</v>
      </c>
      <c r="M2624">
        <v>0.99982320000000002</v>
      </c>
      <c r="N2624">
        <v>-1.5308489999999999E-2</v>
      </c>
      <c r="O2624">
        <v>1.0916789999999999E-2</v>
      </c>
      <c r="P2624">
        <v>0.97877170000000002</v>
      </c>
      <c r="Q2624">
        <v>0.2047465</v>
      </c>
      <c r="R2624">
        <v>9.2009859999999995E-3</v>
      </c>
      <c r="S2624">
        <v>3.193756</v>
      </c>
      <c r="T2624">
        <v>-0.60064280000000003</v>
      </c>
      <c r="U2624">
        <v>-0.33660889999999999</v>
      </c>
      <c r="V2624">
        <v>1.4943479999999999E-3</v>
      </c>
      <c r="W2624">
        <v>0.2197065</v>
      </c>
      <c r="X2624">
        <v>0.97556489999999996</v>
      </c>
      <c r="Y2624">
        <v>0.11337650000000001</v>
      </c>
      <c r="Z2624">
        <v>-1.328321E-2</v>
      </c>
      <c r="AA2624">
        <v>0.99346330000000005</v>
      </c>
      <c r="AB2624">
        <v>45</v>
      </c>
      <c r="AC2624">
        <v>0.41580000000004702</v>
      </c>
      <c r="AD2624">
        <v>-0.16522970000000001</v>
      </c>
      <c r="AE2624">
        <v>-9.7599999999999895E-2</v>
      </c>
      <c r="AF2624">
        <v>8.8838126796218095E-2</v>
      </c>
      <c r="AG2624">
        <v>-0.16522970000000001</v>
      </c>
      <c r="AH2624">
        <v>0.36072273179097603</v>
      </c>
      <c r="AI2624">
        <v>113.97769438256501</v>
      </c>
      <c r="AJ2624">
        <v>76.164634058991197</v>
      </c>
      <c r="AK2624">
        <v>0.40658818940728603</v>
      </c>
      <c r="AL2624">
        <v>77.308205425804005</v>
      </c>
      <c r="AM2624">
        <v>89.912235704093604</v>
      </c>
      <c r="AN2624">
        <v>1.0000000266650999</v>
      </c>
    </row>
    <row r="2625" spans="1:40" x14ac:dyDescent="0.25">
      <c r="A2625" t="str">
        <f>"20190303170817045"</f>
        <v>20190303170817045</v>
      </c>
      <c r="B2625" t="str">
        <f>"1551604097035528"</f>
        <v>1551604097035528</v>
      </c>
      <c r="C2625" t="s">
        <v>40</v>
      </c>
      <c r="D2625">
        <v>4.3890219999999998</v>
      </c>
      <c r="E2625">
        <v>0.57164930000000003</v>
      </c>
      <c r="F2625" t="s">
        <v>47</v>
      </c>
      <c r="G2625">
        <v>-346.709</v>
      </c>
      <c r="H2625">
        <v>0.96564380000000005</v>
      </c>
      <c r="I2625">
        <v>213.52930000000001</v>
      </c>
      <c r="J2625">
        <v>-347.07729999999998</v>
      </c>
      <c r="K2625">
        <v>1.121003</v>
      </c>
      <c r="L2625">
        <v>213.62110000000001</v>
      </c>
      <c r="M2625">
        <v>0.99982289999999996</v>
      </c>
      <c r="N2625">
        <v>-1.5335939999999999E-2</v>
      </c>
      <c r="O2625">
        <v>1.091693E-2</v>
      </c>
      <c r="P2625">
        <v>0.97867749999999998</v>
      </c>
      <c r="Q2625">
        <v>0.20520179999999999</v>
      </c>
      <c r="R2625">
        <v>9.0912839999999998E-3</v>
      </c>
      <c r="S2625">
        <v>3.195068</v>
      </c>
      <c r="T2625">
        <v>-0.60623939999999998</v>
      </c>
      <c r="U2625">
        <v>-0.338333099999999</v>
      </c>
      <c r="V2625">
        <v>1.603232E-3</v>
      </c>
      <c r="W2625">
        <v>0.22018750000000001</v>
      </c>
      <c r="X2625">
        <v>0.9754562</v>
      </c>
      <c r="Y2625">
        <v>0.1138163</v>
      </c>
      <c r="Z2625">
        <v>-1.3439019999999999E-2</v>
      </c>
      <c r="AA2625">
        <v>0.99341089999999999</v>
      </c>
      <c r="AB2625">
        <v>45</v>
      </c>
      <c r="AC2625">
        <v>0.36829999999997598</v>
      </c>
      <c r="AD2625">
        <v>-0.155359199999999</v>
      </c>
      <c r="AE2625">
        <v>-9.1800000000006293E-2</v>
      </c>
      <c r="AF2625">
        <v>8.2066980824635899E-2</v>
      </c>
      <c r="AG2625">
        <v>-0.155359199999999</v>
      </c>
      <c r="AH2625">
        <v>0.31457486064594198</v>
      </c>
      <c r="AI2625">
        <v>115.542016838485</v>
      </c>
      <c r="AJ2625">
        <v>75.378448370582802</v>
      </c>
      <c r="AK2625">
        <v>0.36031765612681899</v>
      </c>
      <c r="AL2625">
        <v>77.279953370623105</v>
      </c>
      <c r="AM2625">
        <v>89.905830375092904</v>
      </c>
      <c r="AN2625">
        <v>0.999999951813766</v>
      </c>
    </row>
    <row r="2626" spans="1:40" x14ac:dyDescent="0.25">
      <c r="A2626" t="str">
        <f>"20190303170817066"</f>
        <v>20190303170817066</v>
      </c>
      <c r="B2626" t="str">
        <f>"1551604097055048"</f>
        <v>1551604097055048</v>
      </c>
      <c r="C2626" t="s">
        <v>40</v>
      </c>
      <c r="D2626">
        <v>4.3853970000000002</v>
      </c>
      <c r="E2626">
        <v>0.57312489999999905</v>
      </c>
      <c r="F2626" t="s">
        <v>47</v>
      </c>
      <c r="G2626">
        <v>-346.30990000000003</v>
      </c>
      <c r="H2626">
        <v>0.96569229999999995</v>
      </c>
      <c r="I2626">
        <v>213.50530000000001</v>
      </c>
      <c r="J2626">
        <v>-346.6497</v>
      </c>
      <c r="K2626">
        <v>1.12101299999999</v>
      </c>
      <c r="L2626">
        <v>213.6258</v>
      </c>
      <c r="M2626">
        <v>0.99982260000000001</v>
      </c>
      <c r="N2626">
        <v>-1.5357610000000001E-2</v>
      </c>
      <c r="O2626">
        <v>1.091724E-2</v>
      </c>
      <c r="P2626">
        <v>0.97856359999999998</v>
      </c>
      <c r="Q2626">
        <v>0.2057319</v>
      </c>
      <c r="R2626">
        <v>9.3753929999999992E-3</v>
      </c>
      <c r="S2626">
        <v>3.205902</v>
      </c>
      <c r="T2626">
        <v>-0.64890909999999902</v>
      </c>
      <c r="U2626">
        <v>-0.48391719999999999</v>
      </c>
      <c r="V2626">
        <v>1.3180939999999999E-3</v>
      </c>
      <c r="W2626">
        <v>0.22073719999999999</v>
      </c>
      <c r="X2626">
        <v>0.97533239999999999</v>
      </c>
      <c r="Y2626">
        <v>0.1565076</v>
      </c>
      <c r="Z2626">
        <v>-1.8826909999999999E-2</v>
      </c>
      <c r="AA2626">
        <v>0.98749730000000002</v>
      </c>
      <c r="AB2626">
        <v>45</v>
      </c>
      <c r="AC2626">
        <v>0.33979999999996802</v>
      </c>
      <c r="AD2626">
        <v>-0.15532069999999901</v>
      </c>
      <c r="AE2626">
        <v>-0.120499999999992</v>
      </c>
      <c r="AF2626">
        <v>0.104759941954054</v>
      </c>
      <c r="AG2626">
        <v>-0.15532069999999901</v>
      </c>
      <c r="AH2626">
        <v>0.285480180512455</v>
      </c>
      <c r="AI2626">
        <v>117.05632145877</v>
      </c>
      <c r="AJ2626">
        <v>69.848859141577293</v>
      </c>
      <c r="AK2626">
        <v>0.341464637630503</v>
      </c>
      <c r="AL2626">
        <v>77.247663630920698</v>
      </c>
      <c r="AM2626">
        <v>89.922568780422793</v>
      </c>
      <c r="AN2626">
        <v>0.999999969662695</v>
      </c>
    </row>
    <row r="2627" spans="1:40" x14ac:dyDescent="0.25">
      <c r="A2627" t="str">
        <f>"20190303170817089"</f>
        <v>20190303170817089</v>
      </c>
      <c r="B2627" t="str">
        <f>"1551604097075545"</f>
        <v>1551604097075545</v>
      </c>
      <c r="C2627" t="s">
        <v>40</v>
      </c>
      <c r="D2627">
        <v>4.3816699999999997</v>
      </c>
      <c r="E2627">
        <v>0.57329889999999994</v>
      </c>
      <c r="F2627" t="s">
        <v>47</v>
      </c>
      <c r="G2627">
        <v>-345.90870000000001</v>
      </c>
      <c r="H2627">
        <v>0.97350499999999995</v>
      </c>
      <c r="I2627">
        <v>213.511</v>
      </c>
      <c r="J2627">
        <v>-346.21800000000002</v>
      </c>
      <c r="K2627">
        <v>1.121022</v>
      </c>
      <c r="L2627">
        <v>213.63050000000001</v>
      </c>
      <c r="M2627">
        <v>0.99982219999999999</v>
      </c>
      <c r="N2627">
        <v>-1.537608E-2</v>
      </c>
      <c r="O2627">
        <v>1.091745E-2</v>
      </c>
      <c r="P2627">
        <v>0.97848840000000004</v>
      </c>
      <c r="Q2627">
        <v>0.2060892</v>
      </c>
      <c r="R2627">
        <v>9.3686080000000005E-3</v>
      </c>
      <c r="S2627">
        <v>3.20459</v>
      </c>
      <c r="T2627">
        <v>-0.63810999999999996</v>
      </c>
      <c r="U2627">
        <v>-0.49519350000000001</v>
      </c>
      <c r="V2627">
        <v>1.3243860000000001E-3</v>
      </c>
      <c r="W2627">
        <v>0.2211111</v>
      </c>
      <c r="X2627">
        <v>0.97524770000000005</v>
      </c>
      <c r="Y2627">
        <v>0.160001</v>
      </c>
      <c r="Z2627">
        <v>-1.8910260000000002E-2</v>
      </c>
      <c r="AA2627">
        <v>0.98693569999999997</v>
      </c>
      <c r="AB2627">
        <v>45</v>
      </c>
      <c r="AC2627">
        <v>0.30930000000000701</v>
      </c>
      <c r="AD2627">
        <v>-0.14751700000000001</v>
      </c>
      <c r="AE2627">
        <v>-0.119500000000016</v>
      </c>
      <c r="AF2627">
        <v>0.102569017213843</v>
      </c>
      <c r="AG2627">
        <v>-0.14751700000000001</v>
      </c>
      <c r="AH2627">
        <v>0.25709175448808702</v>
      </c>
      <c r="AI2627">
        <v>118.055069426221</v>
      </c>
      <c r="AJ2627">
        <v>68.250036996566706</v>
      </c>
      <c r="AK2627">
        <v>0.313652417186568</v>
      </c>
      <c r="AL2627">
        <v>77.225698051079107</v>
      </c>
      <c r="AM2627">
        <v>89.922192401376407</v>
      </c>
      <c r="AN2627">
        <v>0.99999997444838795</v>
      </c>
    </row>
    <row r="2628" spans="1:40" x14ac:dyDescent="0.25">
      <c r="A2628" t="str">
        <f>"20190303170817112"</f>
        <v>20190303170817112</v>
      </c>
      <c r="B2628" t="str">
        <f>"1551604097105800"</f>
        <v>1551604097105800</v>
      </c>
      <c r="C2628" t="s">
        <v>40</v>
      </c>
      <c r="D2628">
        <v>4.3549040000000003</v>
      </c>
      <c r="E2628">
        <v>0.57282819999999901</v>
      </c>
      <c r="F2628" t="s">
        <v>47</v>
      </c>
      <c r="G2628">
        <v>-345.50850000000003</v>
      </c>
      <c r="H2628">
        <v>0.98040309999999997</v>
      </c>
      <c r="I2628">
        <v>213.52029999999999</v>
      </c>
      <c r="J2628">
        <v>-345.74709999999999</v>
      </c>
      <c r="K2628">
        <v>1.121019</v>
      </c>
      <c r="L2628">
        <v>213.63570000000001</v>
      </c>
      <c r="M2628">
        <v>0.99982190000000004</v>
      </c>
      <c r="N2628">
        <v>-1.539257E-2</v>
      </c>
      <c r="O2628">
        <v>1.09178E-2</v>
      </c>
      <c r="P2628">
        <v>0.97857019999999995</v>
      </c>
      <c r="Q2628">
        <v>0.20567440000000001</v>
      </c>
      <c r="R2628">
        <v>9.9365559999999992E-3</v>
      </c>
      <c r="S2628">
        <v>3.2044980000000001</v>
      </c>
      <c r="T2628">
        <v>-0.63503779999999999</v>
      </c>
      <c r="U2628">
        <v>-0.49722290000000002</v>
      </c>
      <c r="V2628">
        <v>7.575247E-4</v>
      </c>
      <c r="W2628">
        <v>0.22071350000000001</v>
      </c>
      <c r="X2628">
        <v>0.97533840000000005</v>
      </c>
      <c r="Y2628">
        <v>0.1606351</v>
      </c>
      <c r="Z2628">
        <v>-1.8893699999999999E-2</v>
      </c>
      <c r="AA2628">
        <v>0.98683299999999996</v>
      </c>
      <c r="AB2628">
        <v>44</v>
      </c>
      <c r="AC2628">
        <v>0.23859999999996201</v>
      </c>
      <c r="AD2628">
        <v>-0.14061589999999999</v>
      </c>
      <c r="AE2628">
        <v>-0.115400000000022</v>
      </c>
      <c r="AF2628">
        <v>9.2080130907904206E-2</v>
      </c>
      <c r="AG2628">
        <v>-0.14061589999999999</v>
      </c>
      <c r="AH2628">
        <v>0.185197254077545</v>
      </c>
      <c r="AI2628">
        <v>124.21088708451001</v>
      </c>
      <c r="AJ2628">
        <v>63.563421122571803</v>
      </c>
      <c r="AK2628">
        <v>0.25009918984013002</v>
      </c>
      <c r="AL2628">
        <v>77.249056385757299</v>
      </c>
      <c r="AM2628">
        <v>89.955499589209595</v>
      </c>
      <c r="AN2628">
        <v>1.0000000087202401</v>
      </c>
    </row>
    <row r="2629" spans="1:40" x14ac:dyDescent="0.25">
      <c r="A2629" t="str">
        <f>"20190303170817137"</f>
        <v>20190303170817137</v>
      </c>
      <c r="B2629" t="str">
        <f>"1551604097125320"</f>
        <v>1551604097125320</v>
      </c>
      <c r="C2629" t="s">
        <v>40</v>
      </c>
      <c r="D2629">
        <v>4.3631570000000002</v>
      </c>
      <c r="E2629">
        <v>0.57261090000000003</v>
      </c>
      <c r="F2629" t="s">
        <v>47</v>
      </c>
      <c r="G2629">
        <v>-344.74130000000002</v>
      </c>
      <c r="H2629">
        <v>0.9207516</v>
      </c>
      <c r="I2629">
        <v>213.48140000000001</v>
      </c>
      <c r="J2629">
        <v>-345.27210000000002</v>
      </c>
      <c r="K2629">
        <v>1.1210249999999999</v>
      </c>
      <c r="L2629">
        <v>213.64089999999999</v>
      </c>
      <c r="M2629">
        <v>0.99982179999999998</v>
      </c>
      <c r="N2629">
        <v>-1.540617E-2</v>
      </c>
      <c r="O2629">
        <v>1.091788E-2</v>
      </c>
      <c r="P2629">
        <v>0.97848860000000004</v>
      </c>
      <c r="Q2629">
        <v>0.20608750000000001</v>
      </c>
      <c r="R2629">
        <v>9.3839560000000006E-3</v>
      </c>
      <c r="S2629">
        <v>3.2048030000000001</v>
      </c>
      <c r="T2629">
        <v>-0.63812650000000004</v>
      </c>
      <c r="U2629">
        <v>-0.49192809999999998</v>
      </c>
      <c r="V2629">
        <v>1.309398E-3</v>
      </c>
      <c r="W2629">
        <v>0.22113859999999999</v>
      </c>
      <c r="X2629">
        <v>0.97524149999999998</v>
      </c>
      <c r="Y2629">
        <v>0.15902849999999999</v>
      </c>
      <c r="Z2629">
        <v>-1.881004E-2</v>
      </c>
      <c r="AA2629">
        <v>0.98709480000000005</v>
      </c>
      <c r="AB2629">
        <v>44</v>
      </c>
      <c r="AC2629">
        <v>0.53079999999999905</v>
      </c>
      <c r="AD2629">
        <v>-0.20027339999999999</v>
      </c>
      <c r="AE2629">
        <v>-0.15949999999997999</v>
      </c>
      <c r="AF2629">
        <v>0.146197487413182</v>
      </c>
      <c r="AG2629">
        <v>-0.20027339999999999</v>
      </c>
      <c r="AH2629">
        <v>0.46792952268378302</v>
      </c>
      <c r="AI2629">
        <v>112.22119912188499</v>
      </c>
      <c r="AJ2629">
        <v>72.649376459684504</v>
      </c>
      <c r="AK2629">
        <v>0.52956697241478401</v>
      </c>
      <c r="AL2629">
        <v>77.224082613761396</v>
      </c>
      <c r="AM2629">
        <v>89.923072455363993</v>
      </c>
      <c r="AN2629">
        <v>0.99999998912766597</v>
      </c>
    </row>
    <row r="2630" spans="1:40" x14ac:dyDescent="0.25">
      <c r="A2630" t="str">
        <f>"20190303170817157"</f>
        <v>20190303170817157</v>
      </c>
      <c r="B2630" t="str">
        <f>"1551604097145817"</f>
        <v>1551604097145817</v>
      </c>
      <c r="C2630" t="s">
        <v>40</v>
      </c>
      <c r="D2630">
        <v>4.4107070000000004</v>
      </c>
      <c r="E2630">
        <v>0.5724245</v>
      </c>
      <c r="F2630" t="s">
        <v>47</v>
      </c>
      <c r="G2630">
        <v>-344.3399</v>
      </c>
      <c r="H2630">
        <v>0.93544629999999995</v>
      </c>
      <c r="I2630">
        <v>213.49770000000001</v>
      </c>
      <c r="J2630">
        <v>-344.8535</v>
      </c>
      <c r="K2630">
        <v>1.1210389999999999</v>
      </c>
      <c r="L2630">
        <v>213.6454</v>
      </c>
      <c r="M2630">
        <v>0.99982150000000003</v>
      </c>
      <c r="N2630">
        <v>-1.541582E-2</v>
      </c>
      <c r="O2630">
        <v>1.091816E-2</v>
      </c>
      <c r="P2630">
        <v>0.97830010000000001</v>
      </c>
      <c r="Q2630">
        <v>0.2069896</v>
      </c>
      <c r="R2630">
        <v>9.1733930000000002E-3</v>
      </c>
      <c r="S2630">
        <v>3.2051090000000002</v>
      </c>
      <c r="T2630">
        <v>-0.63810730000000004</v>
      </c>
      <c r="U2630">
        <v>-0.49151610000000001</v>
      </c>
      <c r="V2630">
        <v>1.518255E-3</v>
      </c>
      <c r="W2630">
        <v>0.2220472</v>
      </c>
      <c r="X2630">
        <v>0.97503479999999998</v>
      </c>
      <c r="Y2630">
        <v>0.15889410000000001</v>
      </c>
      <c r="Z2630">
        <v>-1.879453E-2</v>
      </c>
      <c r="AA2630">
        <v>0.98711680000000002</v>
      </c>
      <c r="AB2630">
        <v>44</v>
      </c>
      <c r="AC2630">
        <v>0.51359999999999595</v>
      </c>
      <c r="AD2630">
        <v>-0.185592699999999</v>
      </c>
      <c r="AE2630">
        <v>-0.14769999999998601</v>
      </c>
      <c r="AF2630">
        <v>0.13680066427993501</v>
      </c>
      <c r="AG2630">
        <v>-0.185592699999999</v>
      </c>
      <c r="AH2630">
        <v>0.456857540513876</v>
      </c>
      <c r="AI2630">
        <v>111.264252765937</v>
      </c>
      <c r="AJ2630">
        <v>73.330283865349799</v>
      </c>
      <c r="AK2630">
        <v>0.51174005546283896</v>
      </c>
      <c r="AL2630">
        <v>77.170697405949099</v>
      </c>
      <c r="AM2630">
        <v>89.910783150080107</v>
      </c>
      <c r="AN2630">
        <v>1.0000000626685599</v>
      </c>
    </row>
    <row r="2631" spans="1:40" x14ac:dyDescent="0.25">
      <c r="A2631" t="str">
        <f>"20190303170817178"</f>
        <v>20190303170817178</v>
      </c>
      <c r="B2631" t="str">
        <f>"1551604097165337"</f>
        <v>1551604097165337</v>
      </c>
      <c r="C2631" t="s">
        <v>40</v>
      </c>
      <c r="D2631">
        <v>4.3297410000000003</v>
      </c>
      <c r="E2631">
        <v>0.55485649999999997</v>
      </c>
      <c r="F2631" t="s">
        <v>47</v>
      </c>
      <c r="G2631">
        <v>-343.94240000000002</v>
      </c>
      <c r="H2631">
        <v>0.9403437</v>
      </c>
      <c r="I2631">
        <v>213.5059</v>
      </c>
      <c r="J2631">
        <v>-344.45740000000001</v>
      </c>
      <c r="K2631">
        <v>1.121046</v>
      </c>
      <c r="L2631">
        <v>213.6498</v>
      </c>
      <c r="M2631">
        <v>0.99982150000000003</v>
      </c>
      <c r="N2631">
        <v>-1.54232E-2</v>
      </c>
      <c r="O2631">
        <v>1.0918219999999999E-2</v>
      </c>
      <c r="P2631">
        <v>0.97812600000000005</v>
      </c>
      <c r="Q2631">
        <v>0.2078149</v>
      </c>
      <c r="R2631">
        <v>9.0966929999999994E-3</v>
      </c>
      <c r="S2631">
        <v>3.2056269999999998</v>
      </c>
      <c r="T2631">
        <v>-0.635715699999999</v>
      </c>
      <c r="U2631">
        <v>-0.4910736</v>
      </c>
      <c r="V2631">
        <v>1.5930969999999999E-3</v>
      </c>
      <c r="W2631">
        <v>0.22287689999999999</v>
      </c>
      <c r="X2631">
        <v>0.97484530000000003</v>
      </c>
      <c r="Y2631">
        <v>0.15876560000000001</v>
      </c>
      <c r="Z2631">
        <v>-1.871364E-2</v>
      </c>
      <c r="AA2631">
        <v>0.98713890000000004</v>
      </c>
      <c r="AB2631">
        <v>44</v>
      </c>
      <c r="AC2631">
        <v>0.51499999999998602</v>
      </c>
      <c r="AD2631">
        <v>-0.18070230000000001</v>
      </c>
      <c r="AE2631">
        <v>-0.143900000000002</v>
      </c>
      <c r="AF2631">
        <v>0.13419048372016501</v>
      </c>
      <c r="AG2631">
        <v>-0.18070230000000001</v>
      </c>
      <c r="AH2631">
        <v>0.46077741716495602</v>
      </c>
      <c r="AI2631">
        <v>110.63266657391701</v>
      </c>
      <c r="AJ2631">
        <v>73.763053204885694</v>
      </c>
      <c r="AK2631">
        <v>0.51281208577367698</v>
      </c>
      <c r="AL2631">
        <v>77.121936476050394</v>
      </c>
      <c r="AM2631">
        <v>89.906367037725005</v>
      </c>
      <c r="AN2631">
        <v>1.00000000472187</v>
      </c>
    </row>
    <row r="2632" spans="1:40" x14ac:dyDescent="0.25">
      <c r="A2632" t="str">
        <f>"20190303170817199"</f>
        <v>20190303170817199</v>
      </c>
      <c r="B2632" t="str">
        <f>"1551604097185833"</f>
        <v>1551604097185833</v>
      </c>
      <c r="C2632" t="s">
        <v>40</v>
      </c>
      <c r="D2632">
        <v>4.3058189999999996</v>
      </c>
      <c r="E2632">
        <v>0.54918259999999997</v>
      </c>
      <c r="F2632" t="s">
        <v>47</v>
      </c>
      <c r="G2632">
        <v>-343.52429999999998</v>
      </c>
      <c r="H2632">
        <v>0.99146829999999997</v>
      </c>
      <c r="I2632">
        <v>213.54300000000001</v>
      </c>
      <c r="J2632">
        <v>-344.0258</v>
      </c>
      <c r="K2632">
        <v>1.121051</v>
      </c>
      <c r="L2632">
        <v>213.65450000000001</v>
      </c>
      <c r="M2632">
        <v>0.99982150000000003</v>
      </c>
      <c r="N2632">
        <v>-1.5429480000000001E-2</v>
      </c>
      <c r="O2632">
        <v>1.0918529999999999E-2</v>
      </c>
      <c r="P2632">
        <v>0.97812469999999996</v>
      </c>
      <c r="Q2632">
        <v>0.20779719999999999</v>
      </c>
      <c r="R2632">
        <v>9.6259680000000004E-3</v>
      </c>
      <c r="S2632">
        <v>3.163818</v>
      </c>
      <c r="T2632">
        <v>-0.43945040000000002</v>
      </c>
      <c r="U2632">
        <v>-0.3606567</v>
      </c>
      <c r="V2632">
        <v>1.0640669999999999E-3</v>
      </c>
      <c r="W2632">
        <v>0.22286529999999999</v>
      </c>
      <c r="X2632">
        <v>0.97484870000000001</v>
      </c>
      <c r="Y2632">
        <v>0.1227263</v>
      </c>
      <c r="Z2632">
        <v>-1.0747970000000001E-2</v>
      </c>
      <c r="AA2632">
        <v>0.99238230000000005</v>
      </c>
      <c r="AB2632">
        <v>44</v>
      </c>
      <c r="AC2632">
        <v>0.50150000000002104</v>
      </c>
      <c r="AD2632">
        <v>-0.129582699999999</v>
      </c>
      <c r="AE2632">
        <v>-0.111500000000006</v>
      </c>
      <c r="AF2632">
        <v>0.109973089864876</v>
      </c>
      <c r="AG2632">
        <v>-0.129582699999999</v>
      </c>
      <c r="AH2632">
        <v>0.47032986147482903</v>
      </c>
      <c r="AI2632">
        <v>105.017596685244</v>
      </c>
      <c r="AJ2632">
        <v>76.839471462865006</v>
      </c>
      <c r="AK2632">
        <v>0.50009592602684805</v>
      </c>
      <c r="AL2632">
        <v>77.122618599948296</v>
      </c>
      <c r="AM2632">
        <v>89.937460526944307</v>
      </c>
      <c r="AN2632">
        <v>1.0000000310371699</v>
      </c>
    </row>
    <row r="2633" spans="1:40" x14ac:dyDescent="0.25">
      <c r="A2633" t="str">
        <f>"20190303170817266"</f>
        <v>20190303170817266</v>
      </c>
      <c r="B2633" t="str">
        <f>"1551604097255129"</f>
        <v>1551604097255129</v>
      </c>
      <c r="C2633" t="s">
        <v>40</v>
      </c>
      <c r="D2633">
        <v>4.2710949999999999</v>
      </c>
      <c r="E2633">
        <v>0.54286599999999996</v>
      </c>
      <c r="F2633" t="s">
        <v>63</v>
      </c>
      <c r="G2633">
        <v>-322.0838</v>
      </c>
      <c r="H2633" s="1">
        <v>-4.2790540000000001E-7</v>
      </c>
      <c r="I2633">
        <v>211.74850000000001</v>
      </c>
      <c r="J2633">
        <v>-342.70190000000002</v>
      </c>
      <c r="K2633">
        <v>1.121057</v>
      </c>
      <c r="L2633">
        <v>213.66890000000001</v>
      </c>
      <c r="M2633">
        <v>0.99982119999999997</v>
      </c>
      <c r="N2633">
        <v>-1.544006E-2</v>
      </c>
      <c r="O2633">
        <v>1.091928E-2</v>
      </c>
      <c r="P2633">
        <v>0.97849120000000001</v>
      </c>
      <c r="Q2633">
        <v>0.20607300000000001</v>
      </c>
      <c r="R2633">
        <v>9.4372499999999995E-3</v>
      </c>
      <c r="S2633">
        <v>3.1040040000000002</v>
      </c>
      <c r="T2633">
        <v>-0.16556489999999999</v>
      </c>
      <c r="U2633">
        <v>-0.28297420000000001</v>
      </c>
      <c r="V2633">
        <v>1.257387E-3</v>
      </c>
      <c r="W2633">
        <v>0.2211572</v>
      </c>
      <c r="X2633">
        <v>0.97523740000000003</v>
      </c>
      <c r="Y2633">
        <v>0.10146520000000001</v>
      </c>
      <c r="Z2633">
        <v>-3.8969439999999998E-3</v>
      </c>
      <c r="AA2633">
        <v>0.99483140000000003</v>
      </c>
      <c r="AB2633">
        <v>44</v>
      </c>
      <c r="AC2633">
        <v>20.618099999999998</v>
      </c>
      <c r="AD2633">
        <v>-1.1210574279054</v>
      </c>
      <c r="AE2633">
        <v>-1.9204000000000001</v>
      </c>
      <c r="AF2633">
        <v>2.1391773228117601</v>
      </c>
      <c r="AG2633">
        <v>-1.1210574279054</v>
      </c>
      <c r="AH2633">
        <v>20.535709682508202</v>
      </c>
      <c r="AI2633">
        <v>93.107927915016703</v>
      </c>
      <c r="AJ2633">
        <v>84.053024064438404</v>
      </c>
      <c r="AK2633">
        <v>20.677239214637801</v>
      </c>
      <c r="AL2633">
        <v>77.222990481083301</v>
      </c>
      <c r="AM2633">
        <v>89.926127803963496</v>
      </c>
      <c r="AN2633">
        <v>1.00000003724633</v>
      </c>
    </row>
    <row r="2634" spans="1:40" x14ac:dyDescent="0.25">
      <c r="A2634" t="str">
        <f>"20190303170817289"</f>
        <v>20190303170817289</v>
      </c>
      <c r="B2634" t="str">
        <f>"1551604097275625"</f>
        <v>1551604097275625</v>
      </c>
      <c r="C2634" t="s">
        <v>40</v>
      </c>
      <c r="D2634">
        <v>4.2940889999999996</v>
      </c>
      <c r="E2634">
        <v>0.54252230000000001</v>
      </c>
      <c r="F2634" t="s">
        <v>71</v>
      </c>
      <c r="G2634">
        <v>-318.4769</v>
      </c>
      <c r="H2634" s="1">
        <v>4.6647840000000002E-6</v>
      </c>
      <c r="I2634">
        <v>211.5016</v>
      </c>
      <c r="J2634">
        <v>-342.26080000000002</v>
      </c>
      <c r="K2634">
        <v>1.1210629999999999</v>
      </c>
      <c r="L2634">
        <v>213.6737</v>
      </c>
      <c r="M2634">
        <v>0.99982119999999997</v>
      </c>
      <c r="N2634">
        <v>-1.5441299999999899E-2</v>
      </c>
      <c r="O2634">
        <v>1.091963E-2</v>
      </c>
      <c r="P2634">
        <v>0.97838530000000001</v>
      </c>
      <c r="Q2634">
        <v>0.2065813</v>
      </c>
      <c r="R2634">
        <v>9.3050790000000008E-3</v>
      </c>
      <c r="S2634">
        <v>3.098846</v>
      </c>
      <c r="T2634">
        <v>-0.1434039</v>
      </c>
      <c r="U2634">
        <v>-0.27723690000000001</v>
      </c>
      <c r="V2634">
        <v>1.388734E-3</v>
      </c>
      <c r="W2634">
        <v>0.22166440000000001</v>
      </c>
      <c r="X2634">
        <v>0.97512200000000004</v>
      </c>
      <c r="Y2634">
        <v>9.9834030000000004E-2</v>
      </c>
      <c r="Z2634">
        <v>-3.4129619999999999E-3</v>
      </c>
      <c r="AA2634">
        <v>0.9949983</v>
      </c>
      <c r="AB2634">
        <v>44</v>
      </c>
      <c r="AC2634">
        <v>23.783899999999999</v>
      </c>
      <c r="AD2634">
        <v>-1.121058335216</v>
      </c>
      <c r="AE2634">
        <v>-2.1720999999999999</v>
      </c>
      <c r="AF2634">
        <v>2.4263666787066098</v>
      </c>
      <c r="AG2634">
        <v>-1.121058335216</v>
      </c>
      <c r="AH2634">
        <v>23.7065265645676</v>
      </c>
      <c r="AI2634">
        <v>92.6933943486912</v>
      </c>
      <c r="AJ2634">
        <v>84.156117338140504</v>
      </c>
      <c r="AK2634">
        <v>23.856727118509902</v>
      </c>
      <c r="AL2634">
        <v>77.193189631561694</v>
      </c>
      <c r="AM2634">
        <v>89.918401447950501</v>
      </c>
      <c r="AN2634">
        <v>0.99999997484674097</v>
      </c>
    </row>
    <row r="2635" spans="1:40" x14ac:dyDescent="0.25">
      <c r="A2635" t="str">
        <f>"20190303170817312"</f>
        <v>20190303170817312</v>
      </c>
      <c r="B2635" t="str">
        <f>"1551604097305881"</f>
        <v>1551604097305881</v>
      </c>
      <c r="C2635" t="s">
        <v>40</v>
      </c>
      <c r="D2635">
        <v>4.2862489999999998</v>
      </c>
      <c r="E2635">
        <v>0.5419062</v>
      </c>
      <c r="F2635" t="s">
        <v>71</v>
      </c>
      <c r="G2635">
        <v>-314.98140000000001</v>
      </c>
      <c r="H2635" s="1">
        <v>3.1146709999999998E-6</v>
      </c>
      <c r="I2635">
        <v>211.24440000000001</v>
      </c>
      <c r="J2635">
        <v>-341.79430000000002</v>
      </c>
      <c r="K2635">
        <v>1.1210709999999999</v>
      </c>
      <c r="L2635">
        <v>213.6788</v>
      </c>
      <c r="M2635">
        <v>0.99982130000000002</v>
      </c>
      <c r="N2635">
        <v>-1.54416E-2</v>
      </c>
      <c r="O2635">
        <v>1.0919750000000001E-2</v>
      </c>
      <c r="P2635">
        <v>0.97836469999999998</v>
      </c>
      <c r="Q2635">
        <v>0.20669899999999999</v>
      </c>
      <c r="R2635">
        <v>8.8513359999999996E-3</v>
      </c>
      <c r="S2635">
        <v>3.0957949999999999</v>
      </c>
      <c r="T2635">
        <v>-0.12722310000000001</v>
      </c>
      <c r="U2635">
        <v>-0.27569579999999999</v>
      </c>
      <c r="V2635">
        <v>1.8424019999999999E-3</v>
      </c>
      <c r="W2635">
        <v>0.2217826</v>
      </c>
      <c r="X2635">
        <v>0.97509440000000003</v>
      </c>
      <c r="Y2635">
        <v>9.9458199999999997E-2</v>
      </c>
      <c r="Z2635">
        <v>-3.0881440000000001E-3</v>
      </c>
      <c r="AA2635">
        <v>0.99503699999999995</v>
      </c>
      <c r="AB2635">
        <v>44</v>
      </c>
      <c r="AC2635">
        <v>26.812899999999999</v>
      </c>
      <c r="AD2635">
        <v>-1.1210678853289999</v>
      </c>
      <c r="AE2635">
        <v>-2.4343999999999801</v>
      </c>
      <c r="AF2635">
        <v>2.72235969563505</v>
      </c>
      <c r="AG2635">
        <v>-1.1210678853289999</v>
      </c>
      <c r="AH2635">
        <v>26.7383545349062</v>
      </c>
      <c r="AI2635">
        <v>92.388519382015403</v>
      </c>
      <c r="AJ2635">
        <v>84.186475707124799</v>
      </c>
      <c r="AK2635">
        <v>26.899956110564101</v>
      </c>
      <c r="AL2635">
        <v>77.1862447610049</v>
      </c>
      <c r="AM2635">
        <v>89.8917420373391</v>
      </c>
      <c r="AN2635">
        <v>1.0000000025096201</v>
      </c>
    </row>
    <row r="2636" spans="1:40" x14ac:dyDescent="0.25">
      <c r="A2636" t="str">
        <f>"20190303170817338"</f>
        <v>20190303170817338</v>
      </c>
      <c r="B2636" t="str">
        <f>"1551604097325401"</f>
        <v>1551604097325401</v>
      </c>
      <c r="C2636" t="s">
        <v>40</v>
      </c>
      <c r="D2636">
        <v>4.3291449999999996</v>
      </c>
      <c r="E2636">
        <v>0.54155779999999998</v>
      </c>
      <c r="F2636" t="s">
        <v>71</v>
      </c>
      <c r="G2636">
        <v>-310.16640000000001</v>
      </c>
      <c r="H2636" s="1">
        <v>9.7941819999999899E-7</v>
      </c>
      <c r="I2636">
        <v>210.89009999999999</v>
      </c>
      <c r="J2636">
        <v>-341.31209999999999</v>
      </c>
      <c r="K2636">
        <v>1.1210709999999999</v>
      </c>
      <c r="L2636">
        <v>213.6841</v>
      </c>
      <c r="M2636">
        <v>0.99982119999999997</v>
      </c>
      <c r="N2636">
        <v>-1.5441069999999999E-2</v>
      </c>
      <c r="O2636">
        <v>1.092011E-2</v>
      </c>
      <c r="P2636">
        <v>0.97844609999999999</v>
      </c>
      <c r="Q2636">
        <v>0.2063509</v>
      </c>
      <c r="R2636">
        <v>7.9248119999999998E-3</v>
      </c>
      <c r="S2636">
        <v>3.0919490000000001</v>
      </c>
      <c r="T2636">
        <v>-0.109596</v>
      </c>
      <c r="U2636">
        <v>-0.2726288</v>
      </c>
      <c r="V2636">
        <v>2.770223E-3</v>
      </c>
      <c r="W2636">
        <v>0.2214352</v>
      </c>
      <c r="X2636">
        <v>0.97517109999999996</v>
      </c>
      <c r="Y2636">
        <v>9.8616350000000005E-2</v>
      </c>
      <c r="Z2636">
        <v>-2.7250479999999999E-3</v>
      </c>
      <c r="AA2636">
        <v>0.99512179999999995</v>
      </c>
      <c r="AB2636">
        <v>44</v>
      </c>
      <c r="AC2636">
        <v>31.145699999999898</v>
      </c>
      <c r="AD2636">
        <v>-1.1210700205817901</v>
      </c>
      <c r="AE2636">
        <v>-2.7940000000000098</v>
      </c>
      <c r="AF2636">
        <v>3.1299655750817101</v>
      </c>
      <c r="AG2636">
        <v>-1.1210700205817901</v>
      </c>
      <c r="AH2636">
        <v>31.0733908935367</v>
      </c>
      <c r="AI2636">
        <v>92.055834642242004</v>
      </c>
      <c r="AJ2636">
        <v>84.248102270983694</v>
      </c>
      <c r="AK2636">
        <v>31.2507456569403</v>
      </c>
      <c r="AL2636">
        <v>77.2066561407688</v>
      </c>
      <c r="AM2636">
        <v>89.837237117409003</v>
      </c>
      <c r="AN2636">
        <v>0.99999994810485804</v>
      </c>
    </row>
    <row r="2637" spans="1:40" x14ac:dyDescent="0.25">
      <c r="A2637" t="str">
        <f>"20190303170817361"</f>
        <v>20190303170817361</v>
      </c>
      <c r="B2637" t="str">
        <f>"1551604097355656"</f>
        <v>1551604097355656</v>
      </c>
      <c r="C2637" t="s">
        <v>40</v>
      </c>
      <c r="D2637">
        <v>4.386012</v>
      </c>
      <c r="E2637">
        <v>0.54135299999999997</v>
      </c>
      <c r="F2637" t="s">
        <v>71</v>
      </c>
      <c r="G2637">
        <v>-307.64580000000001</v>
      </c>
      <c r="H2637" s="1">
        <v>1.2970320000000001E-6</v>
      </c>
      <c r="I2637">
        <v>210.70650000000001</v>
      </c>
      <c r="J2637">
        <v>-340.86900000000003</v>
      </c>
      <c r="K2637">
        <v>1.1210709999999999</v>
      </c>
      <c r="L2637">
        <v>213.68889999999999</v>
      </c>
      <c r="M2637">
        <v>0.99982119999999997</v>
      </c>
      <c r="N2637">
        <v>-1.544009E-2</v>
      </c>
      <c r="O2637">
        <v>1.092047E-2</v>
      </c>
      <c r="P2637">
        <v>0.97842640000000003</v>
      </c>
      <c r="Q2637">
        <v>0.20646049999999999</v>
      </c>
      <c r="R2637">
        <v>7.5026040000000004E-3</v>
      </c>
      <c r="S2637">
        <v>3.0900270000000001</v>
      </c>
      <c r="T2637">
        <v>-0.1028961</v>
      </c>
      <c r="U2637">
        <v>-0.27330019999999999</v>
      </c>
      <c r="V2637">
        <v>3.1924480000000001E-3</v>
      </c>
      <c r="W2637">
        <v>0.22154309999999999</v>
      </c>
      <c r="X2637">
        <v>0.97514529999999999</v>
      </c>
      <c r="Y2637">
        <v>9.8894480000000007E-2</v>
      </c>
      <c r="Z2637">
        <v>-2.6028380000000001E-3</v>
      </c>
      <c r="AA2637">
        <v>0.99509449999999999</v>
      </c>
      <c r="AB2637">
        <v>44</v>
      </c>
      <c r="AC2637">
        <v>33.223199999999999</v>
      </c>
      <c r="AD2637">
        <v>-1.1210697029679999</v>
      </c>
      <c r="AE2637">
        <v>-2.9823999999999802</v>
      </c>
      <c r="AF2637">
        <v>3.3413042212853101</v>
      </c>
      <c r="AG2637">
        <v>-1.1210697029679999</v>
      </c>
      <c r="AH2637">
        <v>33.151200157725498</v>
      </c>
      <c r="AI2637">
        <v>91.927069627438698</v>
      </c>
      <c r="AJ2637">
        <v>84.244603835801001</v>
      </c>
      <c r="AK2637">
        <v>33.338014084160299</v>
      </c>
      <c r="AL2637">
        <v>77.200316445352598</v>
      </c>
      <c r="AM2637">
        <v>89.812424729692793</v>
      </c>
      <c r="AN2637">
        <v>0.999999946496965</v>
      </c>
    </row>
    <row r="2638" spans="1:40" x14ac:dyDescent="0.25">
      <c r="A2638" t="str">
        <f>"20190303170817380"</f>
        <v>20190303170817380</v>
      </c>
      <c r="B2638" t="str">
        <f>"1551604097365417"</f>
        <v>1551604097365417</v>
      </c>
      <c r="C2638" t="s">
        <v>40</v>
      </c>
      <c r="D2638">
        <v>4.4649479999999997</v>
      </c>
      <c r="E2638">
        <v>0.54147119999999904</v>
      </c>
      <c r="F2638" t="s">
        <v>71</v>
      </c>
      <c r="G2638">
        <v>-304.84440000000001</v>
      </c>
      <c r="H2638" s="1">
        <v>1.793951E-6</v>
      </c>
      <c r="I2638">
        <v>210.49780000000001</v>
      </c>
      <c r="J2638">
        <v>-340.4837</v>
      </c>
      <c r="K2638">
        <v>1.121068</v>
      </c>
      <c r="L2638">
        <v>213.69309999999999</v>
      </c>
      <c r="M2638">
        <v>0.99982119999999997</v>
      </c>
      <c r="N2638">
        <v>-1.543887E-2</v>
      </c>
      <c r="O2638">
        <v>1.092078E-2</v>
      </c>
      <c r="P2638">
        <v>0.97835620000000001</v>
      </c>
      <c r="Q2638">
        <v>0.20680589999999999</v>
      </c>
      <c r="R2638">
        <v>7.0883129999999997E-3</v>
      </c>
      <c r="S2638">
        <v>3.0885009999999999</v>
      </c>
      <c r="T2638">
        <v>-9.6112729999999993E-2</v>
      </c>
      <c r="U2638">
        <v>-0.2735901</v>
      </c>
      <c r="V2638">
        <v>3.6065009999999998E-3</v>
      </c>
      <c r="W2638">
        <v>0.22188579999999999</v>
      </c>
      <c r="X2638">
        <v>0.97506599999999999</v>
      </c>
      <c r="Y2638">
        <v>9.9039459999999996E-2</v>
      </c>
      <c r="Z2638">
        <v>-2.4748869999999998E-3</v>
      </c>
      <c r="AA2638">
        <v>0.99508039999999998</v>
      </c>
      <c r="AB2638">
        <v>44</v>
      </c>
      <c r="AC2638">
        <v>35.639299999999899</v>
      </c>
      <c r="AD2638">
        <v>-1.121066206049</v>
      </c>
      <c r="AE2638">
        <v>-3.1952999999999698</v>
      </c>
      <c r="AF2638">
        <v>3.5808498434177798</v>
      </c>
      <c r="AG2638">
        <v>-1.121066206049</v>
      </c>
      <c r="AH2638">
        <v>35.567362542012297</v>
      </c>
      <c r="AI2638">
        <v>91.796263224724697</v>
      </c>
      <c r="AJ2638">
        <v>84.250949257135105</v>
      </c>
      <c r="AK2638">
        <v>35.764738964997299</v>
      </c>
      <c r="AL2638">
        <v>77.1801808421083</v>
      </c>
      <c r="AM2638">
        <v>89.788079633776107</v>
      </c>
      <c r="AN2638">
        <v>1.00000000972355</v>
      </c>
    </row>
    <row r="2639" spans="1:40" x14ac:dyDescent="0.25">
      <c r="A2639" t="str">
        <f>"20190303170817424"</f>
        <v>20190303170817424</v>
      </c>
      <c r="B2639" t="str">
        <f>"1551604097415193"</f>
        <v>1551604097415193</v>
      </c>
      <c r="C2639" t="s">
        <v>40</v>
      </c>
      <c r="D2639">
        <v>4.5076330000000002</v>
      </c>
      <c r="E2639">
        <v>0.54154519999999995</v>
      </c>
      <c r="F2639" t="s">
        <v>71</v>
      </c>
      <c r="G2639">
        <v>-302.91820000000001</v>
      </c>
      <c r="H2639" s="1">
        <v>2.1356189999999998E-6</v>
      </c>
      <c r="I2639">
        <v>210.3312</v>
      </c>
      <c r="J2639">
        <v>-339.60500000000002</v>
      </c>
      <c r="K2639">
        <v>1.121075</v>
      </c>
      <c r="L2639">
        <v>213.70269999999999</v>
      </c>
      <c r="M2639">
        <v>0.99982130000000002</v>
      </c>
      <c r="N2639">
        <v>-1.5434089999999999E-2</v>
      </c>
      <c r="O2639">
        <v>1.0921169999999999E-2</v>
      </c>
      <c r="P2639">
        <v>0.97842859999999998</v>
      </c>
      <c r="Q2639">
        <v>0.20648069999999999</v>
      </c>
      <c r="R2639">
        <v>6.5910609999999996E-3</v>
      </c>
      <c r="S2639">
        <v>3.08786</v>
      </c>
      <c r="T2639">
        <v>-9.2150930000000006E-2</v>
      </c>
      <c r="U2639">
        <v>-0.27635189999999998</v>
      </c>
      <c r="V2639">
        <v>4.1047779999999999E-3</v>
      </c>
      <c r="W2639">
        <v>0.22155710000000001</v>
      </c>
      <c r="X2639">
        <v>0.97513879999999997</v>
      </c>
      <c r="Y2639">
        <v>9.9945400000000004E-2</v>
      </c>
      <c r="Z2639">
        <v>-2.4181939999999998E-3</v>
      </c>
      <c r="AA2639">
        <v>0.99499000000000004</v>
      </c>
      <c r="AB2639">
        <v>44</v>
      </c>
      <c r="AC2639">
        <v>36.686799999999998</v>
      </c>
      <c r="AD2639">
        <v>-1.121072864381</v>
      </c>
      <c r="AE2639">
        <v>-3.3714999999999899</v>
      </c>
      <c r="AF2639">
        <v>3.76851984409062</v>
      </c>
      <c r="AG2639">
        <v>-1.121072864381</v>
      </c>
      <c r="AH2639">
        <v>36.613883199046001</v>
      </c>
      <c r="AI2639">
        <v>91.744568930340705</v>
      </c>
      <c r="AJ2639">
        <v>84.123468905432702</v>
      </c>
      <c r="AK2639">
        <v>36.824380362688302</v>
      </c>
      <c r="AL2639">
        <v>77.199495060239101</v>
      </c>
      <c r="AM2639">
        <v>89.758818881845201</v>
      </c>
      <c r="AN2639">
        <v>1.0000000385141301</v>
      </c>
    </row>
    <row r="2640" spans="1:40" x14ac:dyDescent="0.25">
      <c r="A2640" t="str">
        <f>"20190303170817449"</f>
        <v>20190303170817449</v>
      </c>
      <c r="B2640" t="str">
        <f>"1551604097435689"</f>
        <v>1551604097435689</v>
      </c>
      <c r="C2640" t="s">
        <v>40</v>
      </c>
      <c r="D2640">
        <v>4.4853339999999999</v>
      </c>
      <c r="E2640">
        <v>0.54159930000000001</v>
      </c>
      <c r="F2640" t="s">
        <v>71</v>
      </c>
      <c r="G2640">
        <v>-299.14089999999999</v>
      </c>
      <c r="H2640" s="1">
        <v>2.5158469999999999E-6</v>
      </c>
      <c r="I2640">
        <v>210.05619999999999</v>
      </c>
      <c r="J2640">
        <v>-339.14100000000002</v>
      </c>
      <c r="K2640">
        <v>1.1210800000000001</v>
      </c>
      <c r="L2640">
        <v>213.70779999999999</v>
      </c>
      <c r="M2640">
        <v>0.99982130000000002</v>
      </c>
      <c r="N2640">
        <v>-1.543076E-2</v>
      </c>
      <c r="O2640">
        <v>1.092138E-2</v>
      </c>
      <c r="P2640">
        <v>0.97855570000000003</v>
      </c>
      <c r="Q2640">
        <v>0.2058759</v>
      </c>
      <c r="R2640">
        <v>6.6232499999999998E-3</v>
      </c>
      <c r="S2640">
        <v>3.0860599999999998</v>
      </c>
      <c r="T2640">
        <v>-8.5500240000000005E-2</v>
      </c>
      <c r="U2640">
        <v>-0.27810669999999998</v>
      </c>
      <c r="V2640">
        <v>4.0741500000000003E-3</v>
      </c>
      <c r="W2640">
        <v>0.2209516</v>
      </c>
      <c r="X2640">
        <v>0.97527629999999998</v>
      </c>
      <c r="Y2640">
        <v>0.100566</v>
      </c>
      <c r="Z2640">
        <v>-2.3015570000000001E-3</v>
      </c>
      <c r="AA2640">
        <v>0.99492769999999997</v>
      </c>
      <c r="AB2640">
        <v>44</v>
      </c>
      <c r="AC2640">
        <v>40.000099999999897</v>
      </c>
      <c r="AD2640">
        <v>-1.12107748415299</v>
      </c>
      <c r="AE2640">
        <v>-3.6516000000000002</v>
      </c>
      <c r="AF2640">
        <v>4.0851081210297</v>
      </c>
      <c r="AG2640">
        <v>-1.12107748415299</v>
      </c>
      <c r="AH2640">
        <v>39.9267251216042</v>
      </c>
      <c r="AI2640">
        <v>91.600001155166197</v>
      </c>
      <c r="AJ2640">
        <v>84.158103279643797</v>
      </c>
      <c r="AK2640">
        <v>40.150819443967997</v>
      </c>
      <c r="AL2640">
        <v>77.235069273291103</v>
      </c>
      <c r="AM2640">
        <v>89.760652194407896</v>
      </c>
      <c r="AN2640">
        <v>1.0000000347912299</v>
      </c>
    </row>
    <row r="2641" spans="1:40" x14ac:dyDescent="0.25">
      <c r="A2641" t="str">
        <f>"20190303170817468"</f>
        <v>20190303170817468</v>
      </c>
      <c r="B2641" t="str">
        <f>"1551604097455208"</f>
        <v>1551604097455208</v>
      </c>
      <c r="C2641" t="s">
        <v>40</v>
      </c>
      <c r="D2641">
        <v>4.4734299999999996</v>
      </c>
      <c r="E2641">
        <v>0.54150410000000004</v>
      </c>
      <c r="F2641" t="s">
        <v>71</v>
      </c>
      <c r="G2641">
        <v>-298.87689999999998</v>
      </c>
      <c r="H2641" s="1">
        <v>2.4690309999999998E-6</v>
      </c>
      <c r="I2641">
        <v>210.07550000000001</v>
      </c>
      <c r="J2641">
        <v>-338.76760000000002</v>
      </c>
      <c r="K2641">
        <v>1.121089</v>
      </c>
      <c r="L2641">
        <v>213.71190000000001</v>
      </c>
      <c r="M2641">
        <v>0.99982150000000003</v>
      </c>
      <c r="N2641">
        <v>-1.542787E-2</v>
      </c>
      <c r="O2641">
        <v>1.09214E-2</v>
      </c>
      <c r="P2641">
        <v>0.97837160000000001</v>
      </c>
      <c r="Q2641">
        <v>0.20675640000000001</v>
      </c>
      <c r="R2641">
        <v>6.4302760000000004E-3</v>
      </c>
      <c r="S2641">
        <v>3.085693</v>
      </c>
      <c r="T2641">
        <v>-8.5915450000000004E-2</v>
      </c>
      <c r="U2641">
        <v>-0.27836609999999901</v>
      </c>
      <c r="V2641">
        <v>4.2650409999999998E-3</v>
      </c>
      <c r="W2641">
        <v>0.22182579999999999</v>
      </c>
      <c r="X2641">
        <v>0.97507699999999997</v>
      </c>
      <c r="Y2641">
        <v>0.100659</v>
      </c>
      <c r="Z2641">
        <v>-2.311867E-3</v>
      </c>
      <c r="AA2641">
        <v>0.99491830000000003</v>
      </c>
      <c r="AB2641">
        <v>44</v>
      </c>
      <c r="AC2641">
        <v>39.890700000000002</v>
      </c>
      <c r="AD2641">
        <v>-1.1210865309689999</v>
      </c>
      <c r="AE2641">
        <v>-3.6364000000000001</v>
      </c>
      <c r="AF2641">
        <v>4.0687100350882002</v>
      </c>
      <c r="AG2641">
        <v>-1.1210865309689999</v>
      </c>
      <c r="AH2641">
        <v>39.817411147915998</v>
      </c>
      <c r="AI2641">
        <v>91.604425663043003</v>
      </c>
      <c r="AJ2641">
        <v>84.165527850849998</v>
      </c>
      <c r="AK2641">
        <v>40.040447885628502</v>
      </c>
      <c r="AL2641">
        <v>77.183706530906505</v>
      </c>
      <c r="AM2641">
        <v>89.749386673752895</v>
      </c>
      <c r="AN2641">
        <v>1.00000001602468</v>
      </c>
    </row>
    <row r="2642" spans="1:40" x14ac:dyDescent="0.25">
      <c r="A2642" t="str">
        <f>"20190303170817492"</f>
        <v>20190303170817492</v>
      </c>
      <c r="B2642" t="str">
        <f>"1551604097485465"</f>
        <v>1551604097485465</v>
      </c>
      <c r="C2642" t="s">
        <v>40</v>
      </c>
      <c r="D2642">
        <v>4.5293960000000002</v>
      </c>
      <c r="E2642">
        <v>0.54147679999999998</v>
      </c>
      <c r="F2642" t="s">
        <v>71</v>
      </c>
      <c r="G2642">
        <v>-296.262</v>
      </c>
      <c r="H2642" s="1">
        <v>2.0051800000000002E-6</v>
      </c>
      <c r="I2642">
        <v>209.87129999999999</v>
      </c>
      <c r="J2642">
        <v>-338.32100000000003</v>
      </c>
      <c r="K2642">
        <v>1.1211</v>
      </c>
      <c r="L2642">
        <v>213.71680000000001</v>
      </c>
      <c r="M2642">
        <v>0.99982150000000003</v>
      </c>
      <c r="N2642">
        <v>-1.542441E-2</v>
      </c>
      <c r="O2642">
        <v>1.0921729999999999E-2</v>
      </c>
      <c r="P2642">
        <v>0.97802659999999997</v>
      </c>
      <c r="Q2642">
        <v>0.208395</v>
      </c>
      <c r="R2642">
        <v>5.9902719999999996E-3</v>
      </c>
      <c r="S2642">
        <v>3.085388</v>
      </c>
      <c r="T2642">
        <v>-8.1377149999999995E-2</v>
      </c>
      <c r="U2642">
        <v>-0.27877809999999997</v>
      </c>
      <c r="V2642">
        <v>4.7017200000000004E-3</v>
      </c>
      <c r="W2642">
        <v>0.2234556</v>
      </c>
      <c r="X2642">
        <v>0.97470279999999998</v>
      </c>
      <c r="Y2642">
        <v>0.10080509999999999</v>
      </c>
      <c r="Z2642">
        <v>-2.225065E-3</v>
      </c>
      <c r="AA2642">
        <v>0.99490369999999995</v>
      </c>
      <c r="AB2642">
        <v>44</v>
      </c>
      <c r="AC2642">
        <v>42.058999999999898</v>
      </c>
      <c r="AD2642">
        <v>-1.1210979948199999</v>
      </c>
      <c r="AE2642">
        <v>-3.8455000000000101</v>
      </c>
      <c r="AF2642">
        <v>4.3016512062560004</v>
      </c>
      <c r="AG2642">
        <v>-1.1210979948199999</v>
      </c>
      <c r="AH2642">
        <v>41.984903013445098</v>
      </c>
      <c r="AI2642">
        <v>91.521609899508206</v>
      </c>
      <c r="AJ2642">
        <v>84.150053725339404</v>
      </c>
      <c r="AK2642">
        <v>42.219582480913601</v>
      </c>
      <c r="AL2642">
        <v>77.087921895418901</v>
      </c>
      <c r="AM2642">
        <v>89.723621781886493</v>
      </c>
      <c r="AN2642">
        <v>1.00000002983507</v>
      </c>
    </row>
    <row r="2643" spans="1:40" x14ac:dyDescent="0.25">
      <c r="A2643" t="str">
        <f>"20190303170817514"</f>
        <v>20190303170817514</v>
      </c>
      <c r="B2643" t="str">
        <f>"1551604097505961"</f>
        <v>1551604097505961</v>
      </c>
      <c r="C2643" t="s">
        <v>40</v>
      </c>
      <c r="D2643">
        <v>4.5402300000000002</v>
      </c>
      <c r="E2643">
        <v>0.54145149999999997</v>
      </c>
      <c r="F2643" t="s">
        <v>71</v>
      </c>
      <c r="G2643">
        <v>-292.27510000000001</v>
      </c>
      <c r="H2643" s="1">
        <v>1.317971E-6</v>
      </c>
      <c r="I2643">
        <v>209.5411</v>
      </c>
      <c r="J2643">
        <v>-337.85809999999998</v>
      </c>
      <c r="K2643">
        <v>1.121105</v>
      </c>
      <c r="L2643">
        <v>213.7218</v>
      </c>
      <c r="M2643">
        <v>0.99982150000000003</v>
      </c>
      <c r="N2643">
        <v>-1.542056E-2</v>
      </c>
      <c r="O2643">
        <v>1.092193E-2</v>
      </c>
      <c r="P2643">
        <v>0.97785370000000005</v>
      </c>
      <c r="Q2643">
        <v>0.20922209999999999</v>
      </c>
      <c r="R2643">
        <v>5.3372920000000004E-3</v>
      </c>
      <c r="S2643">
        <v>3.0851139999999999</v>
      </c>
      <c r="T2643">
        <v>-7.5114490000000006E-2</v>
      </c>
      <c r="U2643">
        <v>-0.27976990000000002</v>
      </c>
      <c r="V2643">
        <v>5.3530770000000004E-3</v>
      </c>
      <c r="W2643">
        <v>0.22427639999999999</v>
      </c>
      <c r="X2643">
        <v>0.97451080000000001</v>
      </c>
      <c r="Y2643">
        <v>0.1011373</v>
      </c>
      <c r="Z2643">
        <v>-2.1074470000000001E-3</v>
      </c>
      <c r="AA2643">
        <v>0.99487020000000004</v>
      </c>
      <c r="AB2643">
        <v>43</v>
      </c>
      <c r="AC2643">
        <v>45.582999999999899</v>
      </c>
      <c r="AD2643">
        <v>-1.1211036820289999</v>
      </c>
      <c r="AE2643">
        <v>-4.1806999999999999</v>
      </c>
      <c r="AF2643">
        <v>4.6755594215822001</v>
      </c>
      <c r="AG2643">
        <v>-1.1211036820289999</v>
      </c>
      <c r="AH2643">
        <v>45.507315880847798</v>
      </c>
      <c r="AI2643">
        <v>91.403847880098098</v>
      </c>
      <c r="AJ2643">
        <v>84.133841655536699</v>
      </c>
      <c r="AK2643">
        <v>45.760611097862999</v>
      </c>
      <c r="AL2643">
        <v>77.039667526721303</v>
      </c>
      <c r="AM2643">
        <v>89.685272205620905</v>
      </c>
      <c r="AN2643">
        <v>0.99999992917348102</v>
      </c>
    </row>
    <row r="2644" spans="1:40" x14ac:dyDescent="0.25">
      <c r="A2644" t="str">
        <f>"20190303170817538"</f>
        <v>20190303170817538</v>
      </c>
      <c r="B2644" t="str">
        <f>"1551604097525481"</f>
        <v>1551604097525481</v>
      </c>
      <c r="C2644" t="s">
        <v>40</v>
      </c>
      <c r="D2644">
        <v>4.554926</v>
      </c>
      <c r="E2644">
        <v>0.54145679999999996</v>
      </c>
      <c r="F2644" t="s">
        <v>71</v>
      </c>
      <c r="G2644">
        <v>-290.00839999999999</v>
      </c>
      <c r="H2644" s="1">
        <v>9.4327989999999997E-7</v>
      </c>
      <c r="I2644">
        <v>209.36179999999999</v>
      </c>
      <c r="J2644">
        <v>-337.40899999999999</v>
      </c>
      <c r="K2644">
        <v>1.1211070000000001</v>
      </c>
      <c r="L2644">
        <v>213.72669999999999</v>
      </c>
      <c r="M2644">
        <v>0.99982159999999998</v>
      </c>
      <c r="N2644">
        <v>-1.541651E-2</v>
      </c>
      <c r="O2644">
        <v>1.092214E-2</v>
      </c>
      <c r="P2644">
        <v>0.97791550000000005</v>
      </c>
      <c r="Q2644">
        <v>0.20893100000000001</v>
      </c>
      <c r="R2644">
        <v>5.4365169999999897E-3</v>
      </c>
      <c r="S2644">
        <v>3.0849609999999998</v>
      </c>
      <c r="T2644">
        <v>-7.2279689999999994E-2</v>
      </c>
      <c r="U2644">
        <v>-0.2810974</v>
      </c>
      <c r="V2644">
        <v>5.2545780000000002E-3</v>
      </c>
      <c r="W2644">
        <v>0.22398219999999999</v>
      </c>
      <c r="X2644">
        <v>0.97457910000000003</v>
      </c>
      <c r="Y2644">
        <v>0.1015693</v>
      </c>
      <c r="Z2644">
        <v>-2.0593619999999999E-3</v>
      </c>
      <c r="AA2644">
        <v>0.99482630000000005</v>
      </c>
      <c r="AB2644">
        <v>43</v>
      </c>
      <c r="AC2644">
        <v>47.400599999999997</v>
      </c>
      <c r="AD2644">
        <v>-1.1211060567201001</v>
      </c>
      <c r="AE2644">
        <v>-4.3648999999999996</v>
      </c>
      <c r="AF2644">
        <v>4.8797102739002103</v>
      </c>
      <c r="AG2644">
        <v>-1.1211060567201001</v>
      </c>
      <c r="AH2644">
        <v>47.323841691688301</v>
      </c>
      <c r="AI2644">
        <v>91.349933502587007</v>
      </c>
      <c r="AJ2644">
        <v>84.112857662263096</v>
      </c>
      <c r="AK2644">
        <v>47.587965323257897</v>
      </c>
      <c r="AL2644">
        <v>77.056965297061396</v>
      </c>
      <c r="AM2644">
        <v>89.6910848742029</v>
      </c>
      <c r="AN2644">
        <v>1.0000000293318001</v>
      </c>
    </row>
    <row r="2645" spans="1:40" x14ac:dyDescent="0.25">
      <c r="A2645" t="str">
        <f>"20190303170817581"</f>
        <v>20190303170817581</v>
      </c>
      <c r="B2645" t="str">
        <f>"1551604097575257"</f>
        <v>1551604097575257</v>
      </c>
      <c r="C2645" t="s">
        <v>40</v>
      </c>
      <c r="D2645">
        <v>4.6031690000000003</v>
      </c>
      <c r="E2645">
        <v>0.54139349999999997</v>
      </c>
      <c r="F2645" t="s">
        <v>71</v>
      </c>
      <c r="G2645">
        <v>-289.77910000000003</v>
      </c>
      <c r="H2645" s="1">
        <v>3.3651909999999999E-6</v>
      </c>
      <c r="I2645">
        <v>209.3869</v>
      </c>
      <c r="J2645">
        <v>-336.59109999999998</v>
      </c>
      <c r="K2645">
        <v>1.121097</v>
      </c>
      <c r="L2645">
        <v>213.73570000000001</v>
      </c>
      <c r="M2645">
        <v>0.99982179999999998</v>
      </c>
      <c r="N2645">
        <v>-1.5408760000000001E-2</v>
      </c>
      <c r="O2645">
        <v>1.092052E-2</v>
      </c>
      <c r="P2645">
        <v>0.97798810000000003</v>
      </c>
      <c r="Q2645">
        <v>0.20859279999999999</v>
      </c>
      <c r="R2645">
        <v>5.3591369999999999E-3</v>
      </c>
      <c r="S2645">
        <v>3.0848689999999999</v>
      </c>
      <c r="T2645">
        <v>-7.2611090000000003E-2</v>
      </c>
      <c r="U2645">
        <v>-0.2810822</v>
      </c>
      <c r="V2645">
        <v>5.3318080000000004E-3</v>
      </c>
      <c r="W2645">
        <v>0.22363739999999999</v>
      </c>
      <c r="X2645">
        <v>0.97465780000000002</v>
      </c>
      <c r="Y2645">
        <v>0.10156519999999999</v>
      </c>
      <c r="Z2645">
        <v>-2.0656149999999998E-3</v>
      </c>
      <c r="AA2645">
        <v>0.99482669999999995</v>
      </c>
      <c r="AB2645">
        <v>43</v>
      </c>
      <c r="AC2645">
        <v>46.811999999999898</v>
      </c>
      <c r="AD2645">
        <v>-1.1210936348089999</v>
      </c>
      <c r="AE2645">
        <v>-4.3488000000000104</v>
      </c>
      <c r="AF2645">
        <v>4.8570507033456902</v>
      </c>
      <c r="AG2645">
        <v>-1.1210936348089999</v>
      </c>
      <c r="AH2645">
        <v>46.735135652864798</v>
      </c>
      <c r="AI2645">
        <v>91.366802669201405</v>
      </c>
      <c r="AJ2645">
        <v>84.0667117499341</v>
      </c>
      <c r="AK2645">
        <v>47.000220179958298</v>
      </c>
      <c r="AL2645">
        <v>77.077234300715205</v>
      </c>
      <c r="AM2645">
        <v>89.686569944557604</v>
      </c>
      <c r="AN2645">
        <v>0.99999997097807403</v>
      </c>
    </row>
    <row r="2646" spans="1:40" x14ac:dyDescent="0.25">
      <c r="A2646" t="str">
        <f>"20190303170817603"</f>
        <v>20190303170817603</v>
      </c>
      <c r="B2646" t="str">
        <f>"1551604097595752"</f>
        <v>1551604097595752</v>
      </c>
      <c r="C2646" t="s">
        <v>40</v>
      </c>
      <c r="D2646">
        <v>4.5877420000000004</v>
      </c>
      <c r="E2646">
        <v>0.54133880000000001</v>
      </c>
      <c r="F2646" t="s">
        <v>71</v>
      </c>
      <c r="G2646">
        <v>-289.04730000000001</v>
      </c>
      <c r="H2646" s="1">
        <v>3.6908470000000001E-6</v>
      </c>
      <c r="I2646">
        <v>209.40110000000001</v>
      </c>
      <c r="J2646">
        <v>-336.1456</v>
      </c>
      <c r="K2646">
        <v>1.121094</v>
      </c>
      <c r="L2646">
        <v>213.7405</v>
      </c>
      <c r="M2646">
        <v>0.99982199999999999</v>
      </c>
      <c r="N2646">
        <v>-1.540448E-2</v>
      </c>
      <c r="O2646">
        <v>1.091376E-2</v>
      </c>
      <c r="P2646">
        <v>0.97816179999999997</v>
      </c>
      <c r="Q2646">
        <v>0.2077899</v>
      </c>
      <c r="R2646">
        <v>4.8416650000000002E-3</v>
      </c>
      <c r="S2646">
        <v>3.0845639999999999</v>
      </c>
      <c r="T2646">
        <v>-7.273483E-2</v>
      </c>
      <c r="U2646">
        <v>-0.28121950000000001</v>
      </c>
      <c r="V2646">
        <v>5.8459019999999896E-3</v>
      </c>
      <c r="W2646">
        <v>0.22283330000000001</v>
      </c>
      <c r="X2646">
        <v>0.97483900000000001</v>
      </c>
      <c r="Y2646">
        <v>0.1016111</v>
      </c>
      <c r="Z2646">
        <v>-2.0688960000000002E-3</v>
      </c>
      <c r="AA2646">
        <v>0.99482199999999998</v>
      </c>
      <c r="AB2646">
        <v>43</v>
      </c>
      <c r="AC2646">
        <v>47.098300000000002</v>
      </c>
      <c r="AD2646">
        <v>-1.121090309153</v>
      </c>
      <c r="AE2646">
        <v>-4.3393999999999799</v>
      </c>
      <c r="AF2646">
        <v>4.8504968046450996</v>
      </c>
      <c r="AG2646">
        <v>-1.121090309153</v>
      </c>
      <c r="AH2646">
        <v>47.021711642826403</v>
      </c>
      <c r="AI2646">
        <v>91.358579236651906</v>
      </c>
      <c r="AJ2646">
        <v>84.110518524605794</v>
      </c>
      <c r="AK2646">
        <v>47.284516795186398</v>
      </c>
      <c r="AL2646">
        <v>77.124498496149101</v>
      </c>
      <c r="AM2646">
        <v>89.656413523575694</v>
      </c>
      <c r="AN2646">
        <v>0.99999996504004096</v>
      </c>
    </row>
    <row r="2647" spans="1:40" x14ac:dyDescent="0.25">
      <c r="A2647" t="str">
        <f>"20190303170817625"</f>
        <v>20190303170817625</v>
      </c>
      <c r="B2647" t="str">
        <f>"1551604097615276"</f>
        <v>1551604097615276</v>
      </c>
      <c r="C2647" t="s">
        <v>40</v>
      </c>
      <c r="D2647">
        <v>4.5800039999999997</v>
      </c>
      <c r="E2647">
        <v>0.54128039999999999</v>
      </c>
      <c r="F2647" t="s">
        <v>71</v>
      </c>
      <c r="G2647">
        <v>-290.01859999999999</v>
      </c>
      <c r="H2647" s="1">
        <v>9.1854710000000004E-7</v>
      </c>
      <c r="I2647">
        <v>209.51400000000001</v>
      </c>
      <c r="J2647">
        <v>-335.71850000000001</v>
      </c>
      <c r="K2647">
        <v>1.1210910000000001</v>
      </c>
      <c r="L2647">
        <v>213.74520000000001</v>
      </c>
      <c r="M2647">
        <v>0.99982199999999999</v>
      </c>
      <c r="N2647">
        <v>-1.540033E-2</v>
      </c>
      <c r="O2647">
        <v>1.089657E-2</v>
      </c>
      <c r="P2647">
        <v>0.97828879999999996</v>
      </c>
      <c r="Q2647">
        <v>0.20719209999999999</v>
      </c>
      <c r="R2647">
        <v>4.7756659999999996E-3</v>
      </c>
      <c r="S2647">
        <v>3.08432</v>
      </c>
      <c r="T2647">
        <v>-7.496274E-2</v>
      </c>
      <c r="U2647">
        <v>-0.28260800000000003</v>
      </c>
      <c r="V2647">
        <v>5.8999279999999996E-3</v>
      </c>
      <c r="W2647">
        <v>0.2222326</v>
      </c>
      <c r="X2647">
        <v>0.97497579999999995</v>
      </c>
      <c r="Y2647">
        <v>0.1020427</v>
      </c>
      <c r="Z2647">
        <v>-2.121726E-3</v>
      </c>
      <c r="AA2647">
        <v>0.99477769999999999</v>
      </c>
      <c r="AB2647">
        <v>43</v>
      </c>
      <c r="AC2647">
        <v>45.6999</v>
      </c>
      <c r="AD2647">
        <v>-1.1210900814528999</v>
      </c>
      <c r="AE2647">
        <v>-4.2312000000000003</v>
      </c>
      <c r="AF2647">
        <v>4.7261599560781899</v>
      </c>
      <c r="AG2647">
        <v>-1.1210900814528999</v>
      </c>
      <c r="AH2647">
        <v>45.623852178428997</v>
      </c>
      <c r="AI2647">
        <v>91.400125538711706</v>
      </c>
      <c r="AJ2647">
        <v>84.085843288520707</v>
      </c>
      <c r="AK2647">
        <v>45.881688269943901</v>
      </c>
      <c r="AL2647">
        <v>77.159801402797001</v>
      </c>
      <c r="AM2647">
        <v>89.653286935236906</v>
      </c>
      <c r="AN2647">
        <v>0.999999974119402</v>
      </c>
    </row>
    <row r="2648" spans="1:40" x14ac:dyDescent="0.25">
      <c r="A2648" t="str">
        <f>"20190303170817646"</f>
        <v>20190303170817646</v>
      </c>
      <c r="B2648" t="str">
        <f>"1551604097635769"</f>
        <v>1551604097635769</v>
      </c>
      <c r="C2648" t="s">
        <v>40</v>
      </c>
      <c r="D2648">
        <v>4.5989890000000004</v>
      </c>
      <c r="E2648">
        <v>0.54119269999999997</v>
      </c>
      <c r="F2648" t="s">
        <v>71</v>
      </c>
      <c r="G2648">
        <v>-290.73930000000001</v>
      </c>
      <c r="H2648" s="1">
        <v>1.0255529999999999E-6</v>
      </c>
      <c r="I2648">
        <v>209.62780000000001</v>
      </c>
      <c r="J2648">
        <v>-335.31699999999898</v>
      </c>
      <c r="K2648">
        <v>1.121081</v>
      </c>
      <c r="L2648">
        <v>213.74950000000001</v>
      </c>
      <c r="M2648">
        <v>0.9998224</v>
      </c>
      <c r="N2648">
        <v>-1.5396399999999999E-2</v>
      </c>
      <c r="O2648">
        <v>1.0863899999999999E-2</v>
      </c>
      <c r="P2648">
        <v>0.97837870000000005</v>
      </c>
      <c r="Q2648">
        <v>0.20677590000000001</v>
      </c>
      <c r="R2648">
        <v>4.3490309999999997E-3</v>
      </c>
      <c r="S2648">
        <v>3.0842589999999999</v>
      </c>
      <c r="T2648">
        <v>-7.6874020000000001E-2</v>
      </c>
      <c r="U2648">
        <v>-0.28233340000000001</v>
      </c>
      <c r="V2648">
        <v>6.3017940000000003E-3</v>
      </c>
      <c r="W2648">
        <v>0.22181419999999999</v>
      </c>
      <c r="X2648">
        <v>0.97506859999999995</v>
      </c>
      <c r="Y2648">
        <v>0.1019221</v>
      </c>
      <c r="Z2648">
        <v>-2.1571400000000001E-3</v>
      </c>
      <c r="AA2648">
        <v>0.99478999999999995</v>
      </c>
      <c r="AB2648">
        <v>43</v>
      </c>
      <c r="AC2648">
        <v>44.577699999999901</v>
      </c>
      <c r="AD2648">
        <v>-1.1210799744469999</v>
      </c>
      <c r="AE2648">
        <v>-4.1216999999999997</v>
      </c>
      <c r="AF2648">
        <v>4.6029152978089503</v>
      </c>
      <c r="AG2648">
        <v>-1.1210799744469999</v>
      </c>
      <c r="AH2648">
        <v>44.5023779232706</v>
      </c>
      <c r="AI2648">
        <v>91.435404987269706</v>
      </c>
      <c r="AJ2648">
        <v>84.094851174961406</v>
      </c>
      <c r="AK2648">
        <v>44.753829896149803</v>
      </c>
      <c r="AL2648">
        <v>77.184388107214104</v>
      </c>
      <c r="AM2648">
        <v>89.629706902143994</v>
      </c>
      <c r="AN2648">
        <v>1.0000000133175999</v>
      </c>
    </row>
    <row r="2649" spans="1:40" x14ac:dyDescent="0.25">
      <c r="A2649" t="str">
        <f>"20190303170817670"</f>
        <v>20190303170817670</v>
      </c>
      <c r="B2649" t="str">
        <f>"1551604097666025"</f>
        <v>1551604097666025</v>
      </c>
      <c r="C2649" t="s">
        <v>40</v>
      </c>
      <c r="D2649">
        <v>4.6245370000000001</v>
      </c>
      <c r="E2649">
        <v>0.56985909999999995</v>
      </c>
      <c r="F2649" t="s">
        <v>71</v>
      </c>
      <c r="G2649">
        <v>-291.05919999999998</v>
      </c>
      <c r="H2649" s="1">
        <v>1.0822950000000001E-6</v>
      </c>
      <c r="I2649">
        <v>209.6859</v>
      </c>
      <c r="J2649">
        <v>-334.87720000000002</v>
      </c>
      <c r="K2649">
        <v>1.121062</v>
      </c>
      <c r="L2649">
        <v>213.7543</v>
      </c>
      <c r="M2649">
        <v>0.99982329999999997</v>
      </c>
      <c r="N2649">
        <v>-1.5392049999999999E-2</v>
      </c>
      <c r="O2649">
        <v>1.080506E-2</v>
      </c>
      <c r="P2649">
        <v>0.9784332</v>
      </c>
      <c r="Q2649">
        <v>0.2065332</v>
      </c>
      <c r="R2649">
        <v>3.5727210000000001E-3</v>
      </c>
      <c r="S2649">
        <v>3.084076</v>
      </c>
      <c r="T2649">
        <v>-7.8121780000000002E-2</v>
      </c>
      <c r="U2649">
        <v>-0.283172599999999</v>
      </c>
      <c r="V2649">
        <v>7.03099E-3</v>
      </c>
      <c r="W2649">
        <v>0.22156770000000001</v>
      </c>
      <c r="X2649">
        <v>0.97511970000000003</v>
      </c>
      <c r="Y2649">
        <v>0.1021359</v>
      </c>
      <c r="Z2649">
        <v>-2.185771E-3</v>
      </c>
      <c r="AA2649">
        <v>0.99476810000000004</v>
      </c>
      <c r="AB2649">
        <v>43</v>
      </c>
      <c r="AC2649">
        <v>43.817999999999998</v>
      </c>
      <c r="AD2649">
        <v>-1.1210609177049999</v>
      </c>
      <c r="AE2649">
        <v>-4.0683999999999898</v>
      </c>
      <c r="AF2649">
        <v>4.53872908424486</v>
      </c>
      <c r="AG2649">
        <v>-1.1210609177049999</v>
      </c>
      <c r="AH2649">
        <v>43.7430889446482</v>
      </c>
      <c r="AI2649">
        <v>91.460236051231007</v>
      </c>
      <c r="AJ2649">
        <v>84.076257833985906</v>
      </c>
      <c r="AK2649">
        <v>43.992211466358199</v>
      </c>
      <c r="AL2649">
        <v>77.198872459215494</v>
      </c>
      <c r="AM2649">
        <v>89.586882439419398</v>
      </c>
      <c r="AN2649">
        <v>1.0000000549158701</v>
      </c>
    </row>
    <row r="2650" spans="1:40" x14ac:dyDescent="0.25">
      <c r="A2650" t="str">
        <f>"20190303170817693"</f>
        <v>20190303170817693</v>
      </c>
      <c r="B2650" t="str">
        <f>"1551604097685545"</f>
        <v>1551604097685545</v>
      </c>
      <c r="C2650" t="s">
        <v>40</v>
      </c>
      <c r="D2650">
        <v>4.6014489999999997</v>
      </c>
      <c r="E2650">
        <v>0.57255809999999996</v>
      </c>
      <c r="F2650" t="s">
        <v>71</v>
      </c>
      <c r="G2650">
        <v>-291.07420000000002</v>
      </c>
      <c r="H2650" s="1">
        <v>1.6967019999999901E-6</v>
      </c>
      <c r="I2650">
        <v>206.44669999999999</v>
      </c>
      <c r="J2650">
        <v>-334.42270000000002</v>
      </c>
      <c r="K2650">
        <v>1.121038</v>
      </c>
      <c r="L2650">
        <v>213.75909999999999</v>
      </c>
      <c r="M2650">
        <v>0.99982420000000005</v>
      </c>
      <c r="N2650">
        <v>-1.53875E-2</v>
      </c>
      <c r="O2650">
        <v>1.071478E-2</v>
      </c>
      <c r="P2650">
        <v>0.97851560000000004</v>
      </c>
      <c r="Q2650">
        <v>0.20616129999999999</v>
      </c>
      <c r="R2650">
        <v>2.2761510000000001E-3</v>
      </c>
      <c r="S2650">
        <v>3.0846559999999998</v>
      </c>
      <c r="T2650">
        <v>-7.8946349999999998E-2</v>
      </c>
      <c r="U2650">
        <v>-0.51460269999999997</v>
      </c>
      <c r="V2650">
        <v>8.2521460000000001E-3</v>
      </c>
      <c r="W2650">
        <v>0.221192</v>
      </c>
      <c r="X2650">
        <v>0.97519529999999999</v>
      </c>
      <c r="Y2650">
        <v>0.17502229999999999</v>
      </c>
      <c r="Z2650">
        <v>-3.688864E-3</v>
      </c>
      <c r="AA2650">
        <v>0.98455760000000003</v>
      </c>
      <c r="AB2650">
        <v>43</v>
      </c>
      <c r="AC2650">
        <v>43.348500000000001</v>
      </c>
      <c r="AD2650">
        <v>-1.121036303298</v>
      </c>
      <c r="AE2650">
        <v>-7.3123999999999896</v>
      </c>
      <c r="AF2650">
        <v>7.7714510889340698</v>
      </c>
      <c r="AG2650">
        <v>-1.121036303298</v>
      </c>
      <c r="AH2650">
        <v>43.239532823159102</v>
      </c>
      <c r="AI2650">
        <v>91.461717667981404</v>
      </c>
      <c r="AJ2650">
        <v>79.810998700784694</v>
      </c>
      <c r="AK2650">
        <v>43.946665097434398</v>
      </c>
      <c r="AL2650">
        <v>77.220944637488799</v>
      </c>
      <c r="AM2650">
        <v>89.5151721375601</v>
      </c>
      <c r="AN2650">
        <v>0.99999993595984504</v>
      </c>
    </row>
    <row r="2651" spans="1:40" x14ac:dyDescent="0.25">
      <c r="A2651" t="str">
        <f>"20190303170817714"</f>
        <v>20190303170817714</v>
      </c>
      <c r="B2651" t="str">
        <f>"1551604097705065"</f>
        <v>1551604097705065</v>
      </c>
      <c r="C2651" t="s">
        <v>40</v>
      </c>
      <c r="D2651">
        <v>4.6084459999999998</v>
      </c>
      <c r="E2651">
        <v>0.5737894</v>
      </c>
      <c r="F2651" t="s">
        <v>71</v>
      </c>
      <c r="G2651">
        <v>-292.09660000000002</v>
      </c>
      <c r="H2651" s="1">
        <v>1.939738E-6</v>
      </c>
      <c r="I2651">
        <v>206.3545</v>
      </c>
      <c r="J2651">
        <v>-334.00290000000001</v>
      </c>
      <c r="K2651">
        <v>1.1210150000000001</v>
      </c>
      <c r="L2651">
        <v>213.76349999999999</v>
      </c>
      <c r="M2651">
        <v>0.99982550000000003</v>
      </c>
      <c r="N2651">
        <v>-1.5383239999999999E-2</v>
      </c>
      <c r="O2651">
        <v>1.0610649999999999E-2</v>
      </c>
      <c r="P2651">
        <v>0.97859019999999997</v>
      </c>
      <c r="Q2651">
        <v>0.2058162</v>
      </c>
      <c r="R2651">
        <v>1.1846739999999999E-3</v>
      </c>
      <c r="S2651">
        <v>3.0842900000000002</v>
      </c>
      <c r="T2651">
        <v>-8.1689479999999995E-2</v>
      </c>
      <c r="U2651">
        <v>-0.53956599999999999</v>
      </c>
      <c r="V2651">
        <v>9.2537969999999994E-3</v>
      </c>
      <c r="W2651">
        <v>0.22084280000000001</v>
      </c>
      <c r="X2651">
        <v>0.97526550000000001</v>
      </c>
      <c r="Y2651">
        <v>0.18266669999999999</v>
      </c>
      <c r="Z2651">
        <v>-3.9334060000000004E-3</v>
      </c>
      <c r="AA2651">
        <v>0.98316709999999996</v>
      </c>
      <c r="AB2651">
        <v>43</v>
      </c>
      <c r="AC2651">
        <v>41.906299999999902</v>
      </c>
      <c r="AD2651">
        <v>-1.1210130602620001</v>
      </c>
      <c r="AE2651">
        <v>-7.40899999999999</v>
      </c>
      <c r="AF2651">
        <v>7.8478428614916798</v>
      </c>
      <c r="AG2651">
        <v>-1.1210130602620001</v>
      </c>
      <c r="AH2651">
        <v>41.796314384549603</v>
      </c>
      <c r="AI2651">
        <v>91.509979396970394</v>
      </c>
      <c r="AJ2651">
        <v>79.365733467146001</v>
      </c>
      <c r="AK2651">
        <v>42.541476278945098</v>
      </c>
      <c r="AL2651">
        <v>77.241460304432294</v>
      </c>
      <c r="AM2651">
        <v>89.456365880093401</v>
      </c>
      <c r="AN2651">
        <v>0.99999998528050305</v>
      </c>
    </row>
    <row r="2652" spans="1:40" x14ac:dyDescent="0.25">
      <c r="A2652" t="str">
        <f>"20190303170817738"</f>
        <v>20190303170817738</v>
      </c>
      <c r="B2652" t="str">
        <f>"1551604097725561"</f>
        <v>1551604097725561</v>
      </c>
      <c r="C2652" t="s">
        <v>40</v>
      </c>
      <c r="D2652">
        <v>4.5764699999999996</v>
      </c>
      <c r="E2652">
        <v>0.57454349999999998</v>
      </c>
      <c r="F2652" t="s">
        <v>71</v>
      </c>
      <c r="G2652">
        <v>-289.9554</v>
      </c>
      <c r="H2652">
        <v>6.8299149999999998E-3</v>
      </c>
      <c r="I2652">
        <v>205.85900000000001</v>
      </c>
      <c r="J2652">
        <v>-333.56139999999999</v>
      </c>
      <c r="K2652">
        <v>1.1209979999999999</v>
      </c>
      <c r="L2652">
        <v>213.7681</v>
      </c>
      <c r="M2652">
        <v>0.99982680000000002</v>
      </c>
      <c r="N2652">
        <v>-1.537871E-2</v>
      </c>
      <c r="O2652">
        <v>1.048019E-2</v>
      </c>
      <c r="P2652">
        <v>0.97869439999999996</v>
      </c>
      <c r="Q2652">
        <v>0.20532139999999999</v>
      </c>
      <c r="R2652">
        <v>6.9886630000000002E-4</v>
      </c>
      <c r="S2652">
        <v>3.0827330000000002</v>
      </c>
      <c r="T2652">
        <v>-7.797801E-2</v>
      </c>
      <c r="U2652">
        <v>-0.55320740000000002</v>
      </c>
      <c r="V2652">
        <v>9.6238220000000006E-3</v>
      </c>
      <c r="W2652">
        <v>0.2203447</v>
      </c>
      <c r="X2652">
        <v>0.97537459999999998</v>
      </c>
      <c r="Y2652">
        <v>0.18684429999999999</v>
      </c>
      <c r="Z2652">
        <v>-3.8957290000000001E-3</v>
      </c>
      <c r="AA2652">
        <v>0.98238179999999997</v>
      </c>
      <c r="AB2652">
        <v>43</v>
      </c>
      <c r="AC2652">
        <v>43.606000000000002</v>
      </c>
      <c r="AD2652">
        <v>-1.114168085</v>
      </c>
      <c r="AE2652">
        <v>-7.9090999999999898</v>
      </c>
      <c r="AF2652">
        <v>8.3604345463954299</v>
      </c>
      <c r="AG2652">
        <v>-1.114168085</v>
      </c>
      <c r="AH2652">
        <v>43.493216066490803</v>
      </c>
      <c r="AI2652">
        <v>91.441057543151999</v>
      </c>
      <c r="AJ2652">
        <v>79.119104103751098</v>
      </c>
      <c r="AK2652">
        <v>44.3034770659443</v>
      </c>
      <c r="AL2652">
        <v>77.270720414186798</v>
      </c>
      <c r="AM2652">
        <v>89.434692588175295</v>
      </c>
      <c r="AN2652">
        <v>1.00000000754656</v>
      </c>
    </row>
    <row r="2653" spans="1:40" x14ac:dyDescent="0.25">
      <c r="A2653" t="str">
        <f>"20190303170817762"</f>
        <v>20190303170817762</v>
      </c>
      <c r="B2653" t="str">
        <f>"1551604097755818"</f>
        <v>1551604097755818</v>
      </c>
      <c r="C2653" t="s">
        <v>40</v>
      </c>
      <c r="D2653">
        <v>4.6132780000000002</v>
      </c>
      <c r="E2653">
        <v>0.57485600000000003</v>
      </c>
      <c r="F2653" t="s">
        <v>71</v>
      </c>
      <c r="G2653">
        <v>-289.95699999999999</v>
      </c>
      <c r="H2653">
        <v>3.8597350000000002E-2</v>
      </c>
      <c r="I2653">
        <v>205.83250000000001</v>
      </c>
      <c r="J2653">
        <v>-333.08850000000001</v>
      </c>
      <c r="K2653">
        <v>1.1209800000000001</v>
      </c>
      <c r="L2653">
        <v>213.77289999999999</v>
      </c>
      <c r="M2653">
        <v>0.99982859999999996</v>
      </c>
      <c r="N2653">
        <v>-1.537375E-2</v>
      </c>
      <c r="O2653">
        <v>1.031935E-2</v>
      </c>
      <c r="P2653">
        <v>0.97865599999999997</v>
      </c>
      <c r="Q2653">
        <v>0.20550489999999999</v>
      </c>
      <c r="R2653">
        <v>4.4363740000000001E-4</v>
      </c>
      <c r="S2653">
        <v>3.0817570000000001</v>
      </c>
      <c r="T2653">
        <v>-7.64991E-2</v>
      </c>
      <c r="U2653">
        <v>-0.56085209999999996</v>
      </c>
      <c r="V2653">
        <v>9.7317580000000001E-3</v>
      </c>
      <c r="W2653">
        <v>0.2205223</v>
      </c>
      <c r="X2653">
        <v>0.97533340000000002</v>
      </c>
      <c r="Y2653">
        <v>0.18910150000000001</v>
      </c>
      <c r="Z2653">
        <v>-3.8902379999999999E-3</v>
      </c>
      <c r="AA2653">
        <v>0.98194990000000004</v>
      </c>
      <c r="AB2653">
        <v>43</v>
      </c>
      <c r="AC2653">
        <v>43.131500000000003</v>
      </c>
      <c r="AD2653">
        <v>-1.08238264999999</v>
      </c>
      <c r="AE2653">
        <v>-7.9403999999999799</v>
      </c>
      <c r="AF2653">
        <v>8.38001437313563</v>
      </c>
      <c r="AG2653">
        <v>-1.08238264999999</v>
      </c>
      <c r="AH2653">
        <v>43.021048780769497</v>
      </c>
      <c r="AI2653">
        <v>91.414645173181796</v>
      </c>
      <c r="AJ2653">
        <v>78.977454300551898</v>
      </c>
      <c r="AK2653">
        <v>43.842979270258702</v>
      </c>
      <c r="AL2653">
        <v>77.260288185453206</v>
      </c>
      <c r="AM2653">
        <v>89.428328653975896</v>
      </c>
      <c r="AN2653">
        <v>1.0000000165333101</v>
      </c>
    </row>
    <row r="2654" spans="1:40" x14ac:dyDescent="0.25">
      <c r="A2654" t="str">
        <f>"20190303170817783"</f>
        <v>20190303170817783</v>
      </c>
      <c r="B2654" t="str">
        <f>"1551604097775338"</f>
        <v>1551604097775338</v>
      </c>
      <c r="C2654" t="s">
        <v>40</v>
      </c>
      <c r="D2654">
        <v>4.630979</v>
      </c>
      <c r="E2654">
        <v>0.57514940000000003</v>
      </c>
      <c r="F2654" t="s">
        <v>71</v>
      </c>
      <c r="G2654">
        <v>-289.48160000000001</v>
      </c>
      <c r="H2654">
        <v>7.9999390000000004E-2</v>
      </c>
      <c r="I2654">
        <v>205.79810000000001</v>
      </c>
      <c r="J2654">
        <v>-332.70740000000001</v>
      </c>
      <c r="K2654">
        <v>1.120967</v>
      </c>
      <c r="L2654">
        <v>213.77670000000001</v>
      </c>
      <c r="M2654">
        <v>0.9998302</v>
      </c>
      <c r="N2654">
        <v>-1.536973E-2</v>
      </c>
      <c r="O2654">
        <v>1.017739E-2</v>
      </c>
      <c r="P2654">
        <v>0.978688</v>
      </c>
      <c r="Q2654">
        <v>0.20535390000000001</v>
      </c>
      <c r="R2654">
        <v>1.7702389999999901E-4</v>
      </c>
      <c r="S2654">
        <v>3.0810849999999999</v>
      </c>
      <c r="T2654">
        <v>-7.35513E-2</v>
      </c>
      <c r="U2654">
        <v>-0.56346130000000005</v>
      </c>
      <c r="V2654">
        <v>9.8668039999999999E-3</v>
      </c>
      <c r="W2654">
        <v>0.22036749999999999</v>
      </c>
      <c r="X2654">
        <v>0.97536699999999998</v>
      </c>
      <c r="Y2654">
        <v>0.1898099</v>
      </c>
      <c r="Z2654">
        <v>-3.8035669999999999E-3</v>
      </c>
      <c r="AA2654">
        <v>0.98181350000000001</v>
      </c>
      <c r="AB2654">
        <v>43</v>
      </c>
      <c r="AC2654">
        <v>43.2257999999999</v>
      </c>
      <c r="AD2654">
        <v>-1.04096761</v>
      </c>
      <c r="AE2654">
        <v>-7.9786000000000001</v>
      </c>
      <c r="AF2654">
        <v>8.4134458337612905</v>
      </c>
      <c r="AG2654">
        <v>-1.04096761</v>
      </c>
      <c r="AH2654">
        <v>43.118167487842101</v>
      </c>
      <c r="AI2654">
        <v>91.357388481177296</v>
      </c>
      <c r="AJ2654">
        <v>78.958874387798403</v>
      </c>
      <c r="AK2654">
        <v>43.9436690761287</v>
      </c>
      <c r="AL2654">
        <v>77.269380881880807</v>
      </c>
      <c r="AM2654">
        <v>89.420416167687193</v>
      </c>
      <c r="AN2654">
        <v>0.999999986783212</v>
      </c>
    </row>
    <row r="2655" spans="1:40" x14ac:dyDescent="0.25">
      <c r="A2655" t="str">
        <f>"20190303170817804"</f>
        <v>20190303170817804</v>
      </c>
      <c r="B2655" t="str">
        <f>"1551604097795834"</f>
        <v>1551604097795834</v>
      </c>
      <c r="C2655" t="s">
        <v>40</v>
      </c>
      <c r="D2655">
        <v>4.6513549999999997</v>
      </c>
      <c r="E2655">
        <v>0.57527459999999997</v>
      </c>
      <c r="F2655" t="s">
        <v>71</v>
      </c>
      <c r="G2655">
        <v>-288.44990000000001</v>
      </c>
      <c r="H2655">
        <v>7.9999539999999994E-2</v>
      </c>
      <c r="I2655">
        <v>205.6498</v>
      </c>
      <c r="J2655">
        <v>-332.28969999999998</v>
      </c>
      <c r="K2655">
        <v>1.1209559999999901</v>
      </c>
      <c r="L2655">
        <v>213.7808</v>
      </c>
      <c r="M2655">
        <v>0.99983180000000005</v>
      </c>
      <c r="N2655">
        <v>-1.536527E-2</v>
      </c>
      <c r="O2655">
        <v>1.0014E-2</v>
      </c>
      <c r="P2655">
        <v>0.97862139999999997</v>
      </c>
      <c r="Q2655">
        <v>0.20566980000000001</v>
      </c>
      <c r="R2655">
        <v>-6.8988280000000001E-4</v>
      </c>
      <c r="S2655">
        <v>3.0806269999999998</v>
      </c>
      <c r="T2655">
        <v>-7.2458620000000001E-2</v>
      </c>
      <c r="U2655">
        <v>-0.56568909999999994</v>
      </c>
      <c r="V2655">
        <v>1.0580010000000001E-2</v>
      </c>
      <c r="W2655">
        <v>0.22067719999999999</v>
      </c>
      <c r="X2655">
        <v>0.97528950000000003</v>
      </c>
      <c r="Y2655">
        <v>0.19036400000000001</v>
      </c>
      <c r="Z2655">
        <v>-3.7759709999999999E-3</v>
      </c>
      <c r="AA2655">
        <v>0.98170630000000003</v>
      </c>
      <c r="AB2655">
        <v>43</v>
      </c>
      <c r="AC2655">
        <v>43.839799999999897</v>
      </c>
      <c r="AD2655">
        <v>-1.0409564600000001</v>
      </c>
      <c r="AE2655">
        <v>-8.1310000000000002</v>
      </c>
      <c r="AF2655">
        <v>8.5649874112846707</v>
      </c>
      <c r="AG2655">
        <v>-1.0409564600000001</v>
      </c>
      <c r="AH2655">
        <v>43.732331352686202</v>
      </c>
      <c r="AI2655">
        <v>91.338135774895704</v>
      </c>
      <c r="AJ2655">
        <v>78.918868102444804</v>
      </c>
      <c r="AK2655">
        <v>44.575322828311798</v>
      </c>
      <c r="AL2655">
        <v>77.251188507571598</v>
      </c>
      <c r="AM2655">
        <v>89.378475680355606</v>
      </c>
      <c r="AN2655">
        <v>0.99999998601084505</v>
      </c>
    </row>
    <row r="2656" spans="1:40" x14ac:dyDescent="0.25">
      <c r="A2656" t="str">
        <f>"20190303170817827"</f>
        <v>20190303170817827</v>
      </c>
      <c r="B2656" t="str">
        <f>"1551604097815353"</f>
        <v>1551604097815353</v>
      </c>
      <c r="C2656" t="s">
        <v>40</v>
      </c>
      <c r="D2656">
        <v>4.6180070000000004</v>
      </c>
      <c r="E2656">
        <v>0.57545900000000005</v>
      </c>
      <c r="F2656" t="s">
        <v>71</v>
      </c>
      <c r="G2656">
        <v>-287.45589999999999</v>
      </c>
      <c r="H2656">
        <v>7.9999399999999998E-2</v>
      </c>
      <c r="I2656">
        <v>205.50110000000001</v>
      </c>
      <c r="J2656">
        <v>-331.85640000000001</v>
      </c>
      <c r="K2656">
        <v>1.120951</v>
      </c>
      <c r="L2656">
        <v>213.785</v>
      </c>
      <c r="M2656">
        <v>0.99983379999999999</v>
      </c>
      <c r="N2656">
        <v>-1.536059E-2</v>
      </c>
      <c r="O2656">
        <v>9.8385420000000005E-3</v>
      </c>
      <c r="P2656">
        <v>0.97860840000000004</v>
      </c>
      <c r="Q2656">
        <v>0.20573079999999999</v>
      </c>
      <c r="R2656">
        <v>-7.8051909999999995E-4</v>
      </c>
      <c r="S2656">
        <v>3.0801699999999999</v>
      </c>
      <c r="T2656">
        <v>-7.1515800000000004E-2</v>
      </c>
      <c r="U2656">
        <v>-0.56883240000000002</v>
      </c>
      <c r="V2656">
        <v>1.050479E-2</v>
      </c>
      <c r="W2656">
        <v>0.2207335</v>
      </c>
      <c r="X2656">
        <v>0.97527759999999997</v>
      </c>
      <c r="Y2656">
        <v>0.191188</v>
      </c>
      <c r="Z2656">
        <v>-3.7584250000000001E-3</v>
      </c>
      <c r="AA2656">
        <v>0.98154620000000004</v>
      </c>
      <c r="AB2656">
        <v>43</v>
      </c>
      <c r="AC2656">
        <v>44.400500000000001</v>
      </c>
      <c r="AD2656">
        <v>-1.0409515999999901</v>
      </c>
      <c r="AE2656">
        <v>-8.2838999999999796</v>
      </c>
      <c r="AF2656">
        <v>8.7157571564786895</v>
      </c>
      <c r="AG2656">
        <v>-1.0409515999999901</v>
      </c>
      <c r="AH2656">
        <v>44.293312606108501</v>
      </c>
      <c r="AI2656">
        <v>91.320957455863194</v>
      </c>
      <c r="AJ2656">
        <v>78.867923235397896</v>
      </c>
      <c r="AK2656">
        <v>45.154684636997601</v>
      </c>
      <c r="AL2656">
        <v>77.247881546652195</v>
      </c>
      <c r="AM2656">
        <v>89.382886618780702</v>
      </c>
      <c r="AN2656">
        <v>1.0000000128484701</v>
      </c>
    </row>
    <row r="2657" spans="1:40" x14ac:dyDescent="0.25">
      <c r="A2657" t="str">
        <f>"20190303170817847"</f>
        <v>20190303170817847</v>
      </c>
      <c r="B2657" t="str">
        <f>"1551604097835849"</f>
        <v>1551604097835849</v>
      </c>
      <c r="C2657" t="s">
        <v>40</v>
      </c>
      <c r="D2657">
        <v>4.6411059999999997</v>
      </c>
      <c r="E2657">
        <v>0.57559680000000002</v>
      </c>
      <c r="F2657" t="s">
        <v>71</v>
      </c>
      <c r="G2657">
        <v>-286.51949999999999</v>
      </c>
      <c r="H2657">
        <v>7.9999269999999997E-2</v>
      </c>
      <c r="I2657">
        <v>205.39080000000001</v>
      </c>
      <c r="J2657">
        <v>-331.47199999999998</v>
      </c>
      <c r="K2657">
        <v>1.1209389999999999</v>
      </c>
      <c r="L2657">
        <v>213.7886</v>
      </c>
      <c r="M2657">
        <v>0.99983529999999998</v>
      </c>
      <c r="N2657">
        <v>-1.5356389999999999E-2</v>
      </c>
      <c r="O2657">
        <v>9.6802429999999998E-3</v>
      </c>
      <c r="P2657">
        <v>0.97865959999999996</v>
      </c>
      <c r="Q2657">
        <v>0.2054878</v>
      </c>
      <c r="R2657">
        <v>-5.7252309999999995E-4</v>
      </c>
      <c r="S2657">
        <v>3.0799259999999999</v>
      </c>
      <c r="T2657">
        <v>-7.0716139999999997E-2</v>
      </c>
      <c r="U2657">
        <v>-0.57025150000000002</v>
      </c>
      <c r="V2657">
        <v>1.014646E-2</v>
      </c>
      <c r="W2657">
        <v>0.22048699999999999</v>
      </c>
      <c r="X2657">
        <v>0.97533709999999996</v>
      </c>
      <c r="Y2657">
        <v>0.19148509999999999</v>
      </c>
      <c r="Z2657">
        <v>-3.735567E-3</v>
      </c>
      <c r="AA2657">
        <v>0.98148840000000004</v>
      </c>
      <c r="AB2657">
        <v>43</v>
      </c>
      <c r="AC2657">
        <v>44.952499999999901</v>
      </c>
      <c r="AD2657">
        <v>-1.0409397299999901</v>
      </c>
      <c r="AE2657">
        <v>-8.3977999999999895</v>
      </c>
      <c r="AF2657">
        <v>8.8280347017268195</v>
      </c>
      <c r="AG2657">
        <v>-1.0409397299999901</v>
      </c>
      <c r="AH2657">
        <v>44.845854618704998</v>
      </c>
      <c r="AI2657">
        <v>91.304653266551995</v>
      </c>
      <c r="AJ2657">
        <v>78.863554579896501</v>
      </c>
      <c r="AK2657">
        <v>45.718359864483403</v>
      </c>
      <c r="AL2657">
        <v>77.262361075302493</v>
      </c>
      <c r="AM2657">
        <v>89.403971852840897</v>
      </c>
      <c r="AN2657">
        <v>0.99999996322797002</v>
      </c>
    </row>
    <row r="2658" spans="1:40" x14ac:dyDescent="0.25">
      <c r="A2658" t="str">
        <f>"20190303170817870"</f>
        <v>20190303170817870</v>
      </c>
      <c r="B2658" t="str">
        <f>"1551604097855370"</f>
        <v>1551604097855370</v>
      </c>
      <c r="C2658" t="s">
        <v>40</v>
      </c>
      <c r="D2658">
        <v>4.6395400000000002</v>
      </c>
      <c r="E2658">
        <v>0.57583379999999995</v>
      </c>
      <c r="F2658" t="s">
        <v>41</v>
      </c>
      <c r="G2658">
        <v>-286.0575</v>
      </c>
      <c r="H2658">
        <v>8.4005800000000005E-2</v>
      </c>
      <c r="I2658">
        <v>205.36580000000001</v>
      </c>
      <c r="J2658">
        <v>-331.0462</v>
      </c>
      <c r="K2658">
        <v>1.120933</v>
      </c>
      <c r="L2658">
        <v>213.79259999999999</v>
      </c>
      <c r="M2658">
        <v>0.99983710000000003</v>
      </c>
      <c r="N2658">
        <v>-1.5351709999999999E-2</v>
      </c>
      <c r="O2658">
        <v>9.5031869999999997E-3</v>
      </c>
      <c r="P2658">
        <v>0.97872630000000005</v>
      </c>
      <c r="Q2658">
        <v>0.2051714</v>
      </c>
      <c r="R2658">
        <v>1.7650240000000001E-4</v>
      </c>
      <c r="S2658">
        <v>3.0798649999999999</v>
      </c>
      <c r="T2658">
        <v>-7.0321560000000005E-2</v>
      </c>
      <c r="U2658">
        <v>-0.57121279999999997</v>
      </c>
      <c r="V2658">
        <v>9.2281959999999993E-3</v>
      </c>
      <c r="W2658">
        <v>0.22016740000000001</v>
      </c>
      <c r="X2658">
        <v>0.97541840000000002</v>
      </c>
      <c r="Y2658">
        <v>0.1916117</v>
      </c>
      <c r="Z2658">
        <v>-3.7228920000000002E-3</v>
      </c>
      <c r="AA2658">
        <v>0.98146369999999905</v>
      </c>
      <c r="AB2658">
        <v>43</v>
      </c>
      <c r="AC2658">
        <v>44.988700000000001</v>
      </c>
      <c r="AD2658">
        <v>-1.0369271999999901</v>
      </c>
      <c r="AE2658">
        <v>-8.4267999999999805</v>
      </c>
      <c r="AF2658">
        <v>8.8494639314447205</v>
      </c>
      <c r="AG2658">
        <v>-1.0369271999999901</v>
      </c>
      <c r="AH2658">
        <v>44.883541442232499</v>
      </c>
      <c r="AI2658">
        <v>91.298458212304993</v>
      </c>
      <c r="AJ2658">
        <v>78.846337834172999</v>
      </c>
      <c r="AK2658">
        <v>45.759376331945802</v>
      </c>
      <c r="AL2658">
        <v>77.281133956431304</v>
      </c>
      <c r="AM2658">
        <v>89.457954751369698</v>
      </c>
      <c r="AN2658">
        <v>0.99999994934136505</v>
      </c>
    </row>
    <row r="2659" spans="1:40" x14ac:dyDescent="0.25">
      <c r="A2659" t="str">
        <f>"20190303170817893"</f>
        <v>20190303170817893</v>
      </c>
      <c r="B2659" t="str">
        <f>"1551604097885625"</f>
        <v>1551604097885625</v>
      </c>
      <c r="C2659" t="s">
        <v>40</v>
      </c>
      <c r="D2659">
        <v>4.6217560000000004</v>
      </c>
      <c r="E2659">
        <v>0.57604860000000002</v>
      </c>
      <c r="F2659" t="s">
        <v>41</v>
      </c>
      <c r="G2659">
        <v>-286.0575</v>
      </c>
      <c r="H2659">
        <v>9.5099600000000006E-2</v>
      </c>
      <c r="I2659">
        <v>205.4503</v>
      </c>
      <c r="J2659">
        <v>-330.58909999999997</v>
      </c>
      <c r="K2659">
        <v>1.1209260000000001</v>
      </c>
      <c r="L2659">
        <v>213.79679999999999</v>
      </c>
      <c r="M2659">
        <v>0.99983889999999997</v>
      </c>
      <c r="N2659">
        <v>-1.534694E-2</v>
      </c>
      <c r="O2659">
        <v>9.3126790000000008E-3</v>
      </c>
      <c r="P2659">
        <v>0.9788888</v>
      </c>
      <c r="Q2659">
        <v>0.20439299999999999</v>
      </c>
      <c r="R2659">
        <v>3.8614310000000001E-4</v>
      </c>
      <c r="S2659">
        <v>3.0801090000000002</v>
      </c>
      <c r="T2659">
        <v>-7.0232749999999997E-2</v>
      </c>
      <c r="U2659">
        <v>-0.57115169999999904</v>
      </c>
      <c r="V2659">
        <v>8.8367749999999998E-3</v>
      </c>
      <c r="W2659">
        <v>0.21938730000000001</v>
      </c>
      <c r="X2659">
        <v>0.97559779999999996</v>
      </c>
      <c r="Y2659">
        <v>0.19139220000000001</v>
      </c>
      <c r="Z2659">
        <v>-3.7136880000000001E-3</v>
      </c>
      <c r="AA2659">
        <v>0.98150660000000001</v>
      </c>
      <c r="AB2659">
        <v>43</v>
      </c>
      <c r="AC2659">
        <v>44.531599999999898</v>
      </c>
      <c r="AD2659">
        <v>-1.0258263999999999</v>
      </c>
      <c r="AE2659">
        <v>-8.34649999999999</v>
      </c>
      <c r="AF2659">
        <v>8.7564063785026995</v>
      </c>
      <c r="AG2659">
        <v>-1.0258263999999999</v>
      </c>
      <c r="AH2659">
        <v>44.429154682838202</v>
      </c>
      <c r="AI2659">
        <v>91.297714529396799</v>
      </c>
      <c r="AJ2659">
        <v>78.850643349350193</v>
      </c>
      <c r="AK2659">
        <v>45.295438603682598</v>
      </c>
      <c r="AL2659">
        <v>77.326950900140602</v>
      </c>
      <c r="AM2659">
        <v>89.481040172341395</v>
      </c>
      <c r="AN2659">
        <v>0.99999997167926402</v>
      </c>
    </row>
    <row r="2660" spans="1:40" x14ac:dyDescent="0.25">
      <c r="A2660" t="str">
        <f>"20190303170817914"</f>
        <v>20190303170817914</v>
      </c>
      <c r="B2660" t="str">
        <f>"1551604097905149"</f>
        <v>1551604097905149</v>
      </c>
      <c r="C2660" t="s">
        <v>40</v>
      </c>
      <c r="D2660">
        <v>4.630592</v>
      </c>
      <c r="E2660">
        <v>0.57633789999999996</v>
      </c>
      <c r="F2660" t="s">
        <v>41</v>
      </c>
      <c r="G2660">
        <v>-286.0575</v>
      </c>
      <c r="H2660">
        <v>8.3341659999999998E-2</v>
      </c>
      <c r="I2660">
        <v>205.52170000000001</v>
      </c>
      <c r="J2660">
        <v>-330.17989999999998</v>
      </c>
      <c r="K2660">
        <v>1.1209279999999999</v>
      </c>
      <c r="L2660">
        <v>213.8005</v>
      </c>
      <c r="M2660">
        <v>0.99984059999999997</v>
      </c>
      <c r="N2660">
        <v>-1.534246E-2</v>
      </c>
      <c r="O2660">
        <v>9.1414519999999996E-3</v>
      </c>
      <c r="P2660">
        <v>0.97897460000000003</v>
      </c>
      <c r="Q2660">
        <v>0.2039801</v>
      </c>
      <c r="R2660">
        <v>1.0368510000000001E-3</v>
      </c>
      <c r="S2660">
        <v>3.079895</v>
      </c>
      <c r="T2660">
        <v>-7.1761489999999997E-2</v>
      </c>
      <c r="U2660">
        <v>-0.57232669999999997</v>
      </c>
      <c r="V2660">
        <v>8.0215200000000007E-3</v>
      </c>
      <c r="W2660">
        <v>0.21897140000000001</v>
      </c>
      <c r="X2660">
        <v>0.97569830000000002</v>
      </c>
      <c r="Y2660">
        <v>0.1915954</v>
      </c>
      <c r="Z2660">
        <v>-3.7676710000000002E-3</v>
      </c>
      <c r="AA2660">
        <v>0.98146679999999997</v>
      </c>
      <c r="AB2660">
        <v>42</v>
      </c>
      <c r="AC2660">
        <v>44.122399999999899</v>
      </c>
      <c r="AD2660">
        <v>-1.0375863400000001</v>
      </c>
      <c r="AE2660">
        <v>-8.2787999999999897</v>
      </c>
      <c r="AF2660">
        <v>8.6772088821271005</v>
      </c>
      <c r="AG2660">
        <v>-1.0375863400000001</v>
      </c>
      <c r="AH2660">
        <v>44.021350620988997</v>
      </c>
      <c r="AI2660">
        <v>91.324734671062402</v>
      </c>
      <c r="AJ2660">
        <v>78.849170772002694</v>
      </c>
      <c r="AK2660">
        <v>44.880394939138696</v>
      </c>
      <c r="AL2660">
        <v>77.351374384375902</v>
      </c>
      <c r="AM2660">
        <v>89.52896414093</v>
      </c>
      <c r="AN2660">
        <v>0.99999999571197995</v>
      </c>
    </row>
    <row r="2661" spans="1:40" x14ac:dyDescent="0.25">
      <c r="A2661" t="str">
        <f>"20190303170817939"</f>
        <v>20190303170817939</v>
      </c>
      <c r="B2661" t="str">
        <f>"1551604097925641"</f>
        <v>1551604097925641</v>
      </c>
      <c r="C2661" t="s">
        <v>40</v>
      </c>
      <c r="D2661">
        <v>4.6303169999999998</v>
      </c>
      <c r="E2661">
        <v>0.57653219999999905</v>
      </c>
      <c r="F2661" t="s">
        <v>71</v>
      </c>
      <c r="G2661">
        <v>-286.10390000000001</v>
      </c>
      <c r="H2661">
        <v>7.9999230000000005E-2</v>
      </c>
      <c r="I2661">
        <v>205.6104</v>
      </c>
      <c r="J2661">
        <v>-329.73899999999998</v>
      </c>
      <c r="K2661">
        <v>1.1209209999999901</v>
      </c>
      <c r="L2661">
        <v>213.80430000000001</v>
      </c>
      <c r="M2661">
        <v>0.99984229999999996</v>
      </c>
      <c r="N2661">
        <v>-1.53373E-2</v>
      </c>
      <c r="O2661">
        <v>8.9570099999999996E-3</v>
      </c>
      <c r="P2661">
        <v>0.97900929999999997</v>
      </c>
      <c r="Q2661">
        <v>0.20381179999999999</v>
      </c>
      <c r="R2661">
        <v>1.322504E-3</v>
      </c>
      <c r="S2661">
        <v>3.0802</v>
      </c>
      <c r="T2661">
        <v>-7.2744249999999996E-2</v>
      </c>
      <c r="U2661">
        <v>-0.57235719999999901</v>
      </c>
      <c r="V2661">
        <v>7.5575240000000004E-3</v>
      </c>
      <c r="W2661">
        <v>0.21879879999999999</v>
      </c>
      <c r="X2661">
        <v>0.97574070000000002</v>
      </c>
      <c r="Y2661">
        <v>0.1914044</v>
      </c>
      <c r="Z2661">
        <v>-3.7949440000000002E-3</v>
      </c>
      <c r="AA2661">
        <v>0.98150389999999998</v>
      </c>
      <c r="AB2661">
        <v>42</v>
      </c>
      <c r="AC2661">
        <v>43.635100000000001</v>
      </c>
      <c r="AD2661">
        <v>-1.04092176999999</v>
      </c>
      <c r="AE2661">
        <v>-8.19390000000001</v>
      </c>
      <c r="AF2661">
        <v>8.5797410586263396</v>
      </c>
      <c r="AG2661">
        <v>-1.04092176999999</v>
      </c>
      <c r="AH2661">
        <v>43.536016604607902</v>
      </c>
      <c r="AI2661">
        <v>91.343812221143594</v>
      </c>
      <c r="AJ2661">
        <v>78.8514534545793</v>
      </c>
      <c r="AK2661">
        <v>44.3855856845556</v>
      </c>
      <c r="AL2661">
        <v>77.361509103475498</v>
      </c>
      <c r="AM2661">
        <v>89.556228852590905</v>
      </c>
      <c r="AN2661">
        <v>0.99999997234346905</v>
      </c>
    </row>
    <row r="2662" spans="1:40" x14ac:dyDescent="0.25">
      <c r="A2662" t="str">
        <f>"20190303170817961"</f>
        <v>20190303170817961</v>
      </c>
      <c r="B2662" t="str">
        <f>"1551604097955897"</f>
        <v>1551604097955897</v>
      </c>
      <c r="C2662" t="s">
        <v>40</v>
      </c>
      <c r="D2662">
        <v>4.6136330000000001</v>
      </c>
      <c r="E2662">
        <v>0.57714100000000002</v>
      </c>
      <c r="F2662" t="s">
        <v>41</v>
      </c>
      <c r="G2662">
        <v>-286.0575</v>
      </c>
      <c r="H2662">
        <v>9.3203839999999996E-2</v>
      </c>
      <c r="I2662">
        <v>205.67</v>
      </c>
      <c r="J2662">
        <v>-329.31659999999999</v>
      </c>
      <c r="K2662">
        <v>1.1209209999999901</v>
      </c>
      <c r="L2662">
        <v>213.80799999999999</v>
      </c>
      <c r="M2662">
        <v>0.99984399999999996</v>
      </c>
      <c r="N2662">
        <v>-1.533224E-2</v>
      </c>
      <c r="O2662">
        <v>8.7798010000000003E-3</v>
      </c>
      <c r="P2662">
        <v>0.97906910000000003</v>
      </c>
      <c r="Q2662">
        <v>0.2035179</v>
      </c>
      <c r="R2662">
        <v>2.1011329999999998E-3</v>
      </c>
      <c r="S2662">
        <v>3.0802</v>
      </c>
      <c r="T2662">
        <v>-7.246959E-2</v>
      </c>
      <c r="U2662">
        <v>-0.57359309999999997</v>
      </c>
      <c r="V2662">
        <v>6.6073479999999999E-3</v>
      </c>
      <c r="W2662">
        <v>0.21850149999999999</v>
      </c>
      <c r="X2662">
        <v>0.97581419999999996</v>
      </c>
      <c r="Y2662">
        <v>0.19161159999999999</v>
      </c>
      <c r="Z2662">
        <v>-3.7877950000000001E-3</v>
      </c>
      <c r="AA2662">
        <v>0.98146350000000004</v>
      </c>
      <c r="AB2662">
        <v>42</v>
      </c>
      <c r="AC2662">
        <v>43.259099999999897</v>
      </c>
      <c r="AD2662">
        <v>-1.0277171599999999</v>
      </c>
      <c r="AE2662">
        <v>-8.1379999999999999</v>
      </c>
      <c r="AF2662">
        <v>8.5128966561694792</v>
      </c>
      <c r="AG2662">
        <v>-1.0277171599999999</v>
      </c>
      <c r="AH2662">
        <v>43.162445345591003</v>
      </c>
      <c r="AI2662">
        <v>91.338210630079004</v>
      </c>
      <c r="AJ2662">
        <v>78.842795053580602</v>
      </c>
      <c r="AK2662">
        <v>44.005934829869403</v>
      </c>
      <c r="AL2662">
        <v>77.378965339446395</v>
      </c>
      <c r="AM2662">
        <v>89.612049743967603</v>
      </c>
      <c r="AN2662">
        <v>0.99999995773574002</v>
      </c>
    </row>
    <row r="2663" spans="1:40" x14ac:dyDescent="0.25">
      <c r="A2663" t="str">
        <f>"20190303170817983"</f>
        <v>20190303170817983</v>
      </c>
      <c r="B2663" t="str">
        <f>"1551604097975417"</f>
        <v>1551604097975417</v>
      </c>
      <c r="C2663" t="s">
        <v>40</v>
      </c>
      <c r="D2663">
        <v>4.6248649999999998</v>
      </c>
      <c r="E2663">
        <v>0.58463609999999999</v>
      </c>
      <c r="F2663" t="s">
        <v>41</v>
      </c>
      <c r="G2663">
        <v>-286.0575</v>
      </c>
      <c r="H2663">
        <v>0.10451240000000001</v>
      </c>
      <c r="I2663">
        <v>205.70740000000001</v>
      </c>
      <c r="J2663">
        <v>-328.89819999999997</v>
      </c>
      <c r="K2663">
        <v>1.120919</v>
      </c>
      <c r="L2663">
        <v>213.8115</v>
      </c>
      <c r="M2663">
        <v>0.9998456</v>
      </c>
      <c r="N2663">
        <v>-1.5327240000000001E-2</v>
      </c>
      <c r="O2663">
        <v>8.6042140000000007E-3</v>
      </c>
      <c r="P2663">
        <v>0.9790915</v>
      </c>
      <c r="Q2663">
        <v>0.20340330000000001</v>
      </c>
      <c r="R2663">
        <v>2.691461E-3</v>
      </c>
      <c r="S2663">
        <v>3.0804140000000002</v>
      </c>
      <c r="T2663">
        <v>-7.2376969999999999E-2</v>
      </c>
      <c r="U2663">
        <v>-0.57682800000000001</v>
      </c>
      <c r="V2663">
        <v>5.8464700000000003E-3</v>
      </c>
      <c r="W2663">
        <v>0.21838279999999999</v>
      </c>
      <c r="X2663">
        <v>0.97584570000000004</v>
      </c>
      <c r="Y2663">
        <v>0.1924228</v>
      </c>
      <c r="Z2663">
        <v>-3.798282E-3</v>
      </c>
      <c r="AA2663">
        <v>0.98130479999999998</v>
      </c>
      <c r="AB2663">
        <v>42</v>
      </c>
      <c r="AC2663">
        <v>42.840699999999899</v>
      </c>
      <c r="AD2663">
        <v>-1.0164065999999901</v>
      </c>
      <c r="AE2663">
        <v>-8.1040999999999794</v>
      </c>
      <c r="AF2663">
        <v>8.4678519857571199</v>
      </c>
      <c r="AG2663">
        <v>-1.0164065999999901</v>
      </c>
      <c r="AH2663">
        <v>42.746146192757003</v>
      </c>
      <c r="AI2663">
        <v>91.336152509445697</v>
      </c>
      <c r="AJ2663">
        <v>78.794986465156498</v>
      </c>
      <c r="AK2663">
        <v>43.588652353127003</v>
      </c>
      <c r="AL2663">
        <v>77.385935577123007</v>
      </c>
      <c r="AM2663">
        <v>89.656734616748196</v>
      </c>
      <c r="AN2663">
        <v>1.0000000293778899</v>
      </c>
    </row>
    <row r="2664" spans="1:40" x14ac:dyDescent="0.25">
      <c r="A2664" t="str">
        <f>"20190303170818004"</f>
        <v>20190303170818004</v>
      </c>
      <c r="B2664" t="str">
        <f>"1551604097995913"</f>
        <v>1551604097995913</v>
      </c>
      <c r="C2664" t="s">
        <v>40</v>
      </c>
      <c r="D2664">
        <v>4.6172839999999997</v>
      </c>
      <c r="E2664">
        <v>0.58417390000000002</v>
      </c>
      <c r="F2664" t="s">
        <v>46</v>
      </c>
      <c r="G2664">
        <v>-267.45499999999998</v>
      </c>
      <c r="H2664">
        <v>-0.05</v>
      </c>
      <c r="I2664">
        <v>201.12469999999999</v>
      </c>
      <c r="J2664">
        <v>-328.48140000000001</v>
      </c>
      <c r="K2664">
        <v>1.1209209999999901</v>
      </c>
      <c r="L2664">
        <v>213.81489999999999</v>
      </c>
      <c r="M2664">
        <v>0.99984720000000005</v>
      </c>
      <c r="N2664">
        <v>-1.532244E-2</v>
      </c>
      <c r="O2664">
        <v>8.4289940000000004E-3</v>
      </c>
      <c r="P2664">
        <v>0.97912440000000001</v>
      </c>
      <c r="Q2664">
        <v>0.2032408</v>
      </c>
      <c r="R2664">
        <v>2.9711350000000002E-3</v>
      </c>
      <c r="S2664">
        <v>3.0780029999999998</v>
      </c>
      <c r="T2664">
        <v>-5.8657290000000001E-2</v>
      </c>
      <c r="U2664">
        <v>-0.63554379999999999</v>
      </c>
      <c r="V2664">
        <v>5.3963269999999898E-3</v>
      </c>
      <c r="W2664">
        <v>0.21821670000000001</v>
      </c>
      <c r="X2664">
        <v>0.97588540000000001</v>
      </c>
      <c r="Y2664">
        <v>0.210395</v>
      </c>
      <c r="Z2664">
        <v>-3.643893E-3</v>
      </c>
      <c r="AA2664">
        <v>0.97760970000000003</v>
      </c>
      <c r="AB2664">
        <v>42</v>
      </c>
      <c r="AC2664">
        <v>61.026400000000002</v>
      </c>
      <c r="AD2664">
        <v>-1.1709210000000001</v>
      </c>
      <c r="AE2664">
        <v>-12.690200000000001</v>
      </c>
      <c r="AF2664">
        <v>13.1995426319298</v>
      </c>
      <c r="AG2664">
        <v>-1.1709210000000001</v>
      </c>
      <c r="AH2664">
        <v>60.895764106622202</v>
      </c>
      <c r="AI2664">
        <v>91.076569694658403</v>
      </c>
      <c r="AJ2664">
        <v>77.769970177903701</v>
      </c>
      <c r="AK2664">
        <v>62.320887893303897</v>
      </c>
      <c r="AL2664">
        <v>77.395686990582206</v>
      </c>
      <c r="AM2664">
        <v>89.683176312846996</v>
      </c>
      <c r="AN2664">
        <v>0.99999998121857003</v>
      </c>
    </row>
    <row r="2665" spans="1:40" x14ac:dyDescent="0.25">
      <c r="A2665" t="str">
        <f>"20190303170818026"</f>
        <v>20190303170818026</v>
      </c>
      <c r="B2665" t="str">
        <f>"1551604098015433"</f>
        <v>1551604098015433</v>
      </c>
      <c r="C2665" t="s">
        <v>40</v>
      </c>
      <c r="D2665">
        <v>4.6475429999999998</v>
      </c>
      <c r="E2665">
        <v>0.58454019999999995</v>
      </c>
      <c r="F2665" t="s">
        <v>46</v>
      </c>
      <c r="G2665">
        <v>-264.56630000000001</v>
      </c>
      <c r="H2665">
        <v>-0.05</v>
      </c>
      <c r="I2665">
        <v>200.70840000000001</v>
      </c>
      <c r="J2665">
        <v>-328.08330000000001</v>
      </c>
      <c r="K2665">
        <v>1.1209119999999999</v>
      </c>
      <c r="L2665">
        <v>213.81809999999999</v>
      </c>
      <c r="M2665">
        <v>0.99984850000000003</v>
      </c>
      <c r="N2665">
        <v>-1.531792E-2</v>
      </c>
      <c r="O2665">
        <v>8.2614690000000005E-3</v>
      </c>
      <c r="P2665">
        <v>0.97922500000000001</v>
      </c>
      <c r="Q2665">
        <v>0.2027513</v>
      </c>
      <c r="R2665">
        <v>3.1777960000000001E-3</v>
      </c>
      <c r="S2665">
        <v>3.0776370000000002</v>
      </c>
      <c r="T2665">
        <v>-5.6382059999999998E-2</v>
      </c>
      <c r="U2665">
        <v>-0.63110350000000004</v>
      </c>
      <c r="V2665">
        <v>5.0268370000000001E-3</v>
      </c>
      <c r="W2665">
        <v>0.21772430000000001</v>
      </c>
      <c r="X2665">
        <v>0.97599740000000001</v>
      </c>
      <c r="Y2665">
        <v>0.20890529999999999</v>
      </c>
      <c r="Z2665">
        <v>-3.5350989999999999E-3</v>
      </c>
      <c r="AA2665">
        <v>0.97792950000000001</v>
      </c>
      <c r="AB2665">
        <v>42</v>
      </c>
      <c r="AC2665">
        <v>63.517000000000003</v>
      </c>
      <c r="AD2665">
        <v>-1.170912</v>
      </c>
      <c r="AE2665">
        <v>-13.109699999999901</v>
      </c>
      <c r="AF2665">
        <v>13.629615255878001</v>
      </c>
      <c r="AG2665">
        <v>-1.170912</v>
      </c>
      <c r="AH2665">
        <v>63.385853163993701</v>
      </c>
      <c r="AI2665">
        <v>91.034647610621306</v>
      </c>
      <c r="AJ2665">
        <v>77.864688367882195</v>
      </c>
      <c r="AK2665">
        <v>64.845229803451005</v>
      </c>
      <c r="AL2665">
        <v>77.424595157698207</v>
      </c>
      <c r="AM2665">
        <v>89.704902904784205</v>
      </c>
      <c r="AN2665">
        <v>1.0000000323537299</v>
      </c>
    </row>
    <row r="2666" spans="1:40" x14ac:dyDescent="0.25">
      <c r="A2666" t="str">
        <f>"20190303170818048"</f>
        <v>20190303170818048</v>
      </c>
      <c r="B2666" t="str">
        <f>"1551604098035930"</f>
        <v>1551604098035930</v>
      </c>
      <c r="C2666" t="s">
        <v>40</v>
      </c>
      <c r="D2666">
        <v>4.5821589999999999</v>
      </c>
      <c r="E2666">
        <v>0.58498509999999904</v>
      </c>
      <c r="F2666" t="s">
        <v>46</v>
      </c>
      <c r="G2666">
        <v>-268.358</v>
      </c>
      <c r="H2666">
        <v>-0.05</v>
      </c>
      <c r="I2666">
        <v>201.54689999999999</v>
      </c>
      <c r="J2666">
        <v>-327.67399999999998</v>
      </c>
      <c r="K2666">
        <v>1.12090499999999</v>
      </c>
      <c r="L2666">
        <v>213.82140000000001</v>
      </c>
      <c r="M2666">
        <v>0.99985009999999996</v>
      </c>
      <c r="N2666">
        <v>-1.5313179999999999E-2</v>
      </c>
      <c r="O2666">
        <v>8.0890630000000005E-3</v>
      </c>
      <c r="P2666">
        <v>0.97941840000000002</v>
      </c>
      <c r="Q2666">
        <v>0.20181489999999999</v>
      </c>
      <c r="R2666">
        <v>3.2446369999999999E-3</v>
      </c>
      <c r="S2666">
        <v>3.0781860000000001</v>
      </c>
      <c r="T2666">
        <v>-6.0347680000000001E-2</v>
      </c>
      <c r="U2666">
        <v>-0.63244630000000002</v>
      </c>
      <c r="V2666">
        <v>4.7926399999999999E-3</v>
      </c>
      <c r="W2666">
        <v>0.21678639999999999</v>
      </c>
      <c r="X2666">
        <v>0.9762073</v>
      </c>
      <c r="Y2666">
        <v>0.2091046</v>
      </c>
      <c r="Z2666">
        <v>-3.6807010000000002E-3</v>
      </c>
      <c r="AA2666">
        <v>0.97788640000000004</v>
      </c>
      <c r="AB2666">
        <v>42</v>
      </c>
      <c r="AC2666">
        <v>59.316000000000003</v>
      </c>
      <c r="AD2666">
        <v>-1.1709050000000001</v>
      </c>
      <c r="AE2666">
        <v>-12.2745</v>
      </c>
      <c r="AF2666">
        <v>12.7492014037907</v>
      </c>
      <c r="AG2666">
        <v>-1.1709050000000001</v>
      </c>
      <c r="AH2666">
        <v>59.192639482813</v>
      </c>
      <c r="AI2666">
        <v>91.107836152013206</v>
      </c>
      <c r="AJ2666">
        <v>77.845042100509303</v>
      </c>
      <c r="AK2666">
        <v>60.561388061170803</v>
      </c>
      <c r="AL2666">
        <v>77.479647434661302</v>
      </c>
      <c r="AM2666">
        <v>89.718711549715195</v>
      </c>
      <c r="AN2666">
        <v>1.0000000025982001</v>
      </c>
    </row>
    <row r="2667" spans="1:40" x14ac:dyDescent="0.25">
      <c r="A2667" t="str">
        <f>"20190303170818072"</f>
        <v>20190303170818072</v>
      </c>
      <c r="B2667" t="str">
        <f>"1551604098065209"</f>
        <v>1551604098065209</v>
      </c>
      <c r="C2667" t="s">
        <v>40</v>
      </c>
      <c r="D2667">
        <v>4.6820469999999998</v>
      </c>
      <c r="E2667">
        <v>0.58529310000000001</v>
      </c>
      <c r="F2667" t="s">
        <v>46</v>
      </c>
      <c r="G2667">
        <v>-272.24639999999999</v>
      </c>
      <c r="H2667">
        <v>-0.05</v>
      </c>
      <c r="I2667">
        <v>202.37729999999999</v>
      </c>
      <c r="J2667">
        <v>-327.23329999999999</v>
      </c>
      <c r="K2667">
        <v>1.120903</v>
      </c>
      <c r="L2667">
        <v>213.82480000000001</v>
      </c>
      <c r="M2667">
        <v>0.99985159999999995</v>
      </c>
      <c r="N2667">
        <v>-1.530801E-2</v>
      </c>
      <c r="O2667">
        <v>7.9030799999999998E-3</v>
      </c>
      <c r="P2667">
        <v>0.97959660000000004</v>
      </c>
      <c r="Q2667">
        <v>0.20093829999999999</v>
      </c>
      <c r="R2667">
        <v>3.7794539999999998E-3</v>
      </c>
      <c r="S2667">
        <v>3.078522</v>
      </c>
      <c r="T2667">
        <v>-6.5033560000000004E-2</v>
      </c>
      <c r="U2667">
        <v>-0.63562010000000002</v>
      </c>
      <c r="V2667">
        <v>4.0768230000000003E-3</v>
      </c>
      <c r="W2667">
        <v>0.21590799999999999</v>
      </c>
      <c r="X2667">
        <v>0.97640519999999997</v>
      </c>
      <c r="Y2667">
        <v>0.20985989999999999</v>
      </c>
      <c r="Z2667">
        <v>-3.8622230000000001E-3</v>
      </c>
      <c r="AA2667">
        <v>0.97772380000000003</v>
      </c>
      <c r="AB2667">
        <v>42</v>
      </c>
      <c r="AC2667">
        <v>54.986899999999899</v>
      </c>
      <c r="AD2667">
        <v>-1.170903</v>
      </c>
      <c r="AE2667">
        <v>-11.4475</v>
      </c>
      <c r="AF2667">
        <v>11.8765975500322</v>
      </c>
      <c r="AG2667">
        <v>-1.170903</v>
      </c>
      <c r="AH2667">
        <v>54.870853987758998</v>
      </c>
      <c r="AI2667">
        <v>91.194804486418306</v>
      </c>
      <c r="AJ2667">
        <v>77.786933591373895</v>
      </c>
      <c r="AK2667">
        <v>56.153674862352503</v>
      </c>
      <c r="AL2667">
        <v>77.531196886131696</v>
      </c>
      <c r="AM2667">
        <v>89.760772070509802</v>
      </c>
      <c r="AN2667">
        <v>0.99999999976840603</v>
      </c>
    </row>
    <row r="2668" spans="1:40" x14ac:dyDescent="0.25">
      <c r="A2668" t="str">
        <f>"20190303170818095"</f>
        <v>20190303170818095</v>
      </c>
      <c r="B2668" t="str">
        <f>"1551604098085705"</f>
        <v>1551604098085705</v>
      </c>
      <c r="C2668" t="s">
        <v>40</v>
      </c>
      <c r="D2668">
        <v>4.6331280000000001</v>
      </c>
      <c r="E2668">
        <v>0.5372903</v>
      </c>
      <c r="F2668" t="s">
        <v>41</v>
      </c>
      <c r="G2668">
        <v>-285.68740000000003</v>
      </c>
      <c r="H2668">
        <v>0.20043130000000001</v>
      </c>
      <c r="I2668">
        <v>205.2379</v>
      </c>
      <c r="J2668">
        <v>-326.7833</v>
      </c>
      <c r="K2668">
        <v>1.1209020000000001</v>
      </c>
      <c r="L2668">
        <v>213.82820000000001</v>
      </c>
      <c r="M2668">
        <v>0.9998532</v>
      </c>
      <c r="N2668">
        <v>-1.530273E-2</v>
      </c>
      <c r="O2668">
        <v>7.7128689999999998E-3</v>
      </c>
      <c r="P2668">
        <v>0.97957119999999998</v>
      </c>
      <c r="Q2668">
        <v>0.20105999999999999</v>
      </c>
      <c r="R2668">
        <v>3.9395799999999998E-3</v>
      </c>
      <c r="S2668">
        <v>3.0789490000000002</v>
      </c>
      <c r="T2668">
        <v>-6.8215970000000001E-2</v>
      </c>
      <c r="U2668">
        <v>-0.63636780000000004</v>
      </c>
      <c r="V2668">
        <v>3.7302899999999998E-3</v>
      </c>
      <c r="W2668">
        <v>0.21602479999999999</v>
      </c>
      <c r="X2668">
        <v>0.97638080000000005</v>
      </c>
      <c r="Y2668">
        <v>0.20986850000000001</v>
      </c>
      <c r="Z2668">
        <v>-3.9756239999999997E-3</v>
      </c>
      <c r="AA2668">
        <v>0.97772150000000002</v>
      </c>
      <c r="AB2668">
        <v>42</v>
      </c>
      <c r="AC2668">
        <v>41.095899999999901</v>
      </c>
      <c r="AD2668">
        <v>-0.92047069999999998</v>
      </c>
      <c r="AE2668">
        <v>-8.5903000000000098</v>
      </c>
      <c r="AF2668">
        <v>8.9027695019869295</v>
      </c>
      <c r="AG2668">
        <v>-0.92047069999999998</v>
      </c>
      <c r="AH2668">
        <v>41.0087019358972</v>
      </c>
      <c r="AI2668">
        <v>91.256569815379805</v>
      </c>
      <c r="AJ2668">
        <v>77.751457688010504</v>
      </c>
      <c r="AK2668">
        <v>41.974042044843898</v>
      </c>
      <c r="AL2668">
        <v>77.5243436033455</v>
      </c>
      <c r="AM2668">
        <v>89.781100945992506</v>
      </c>
      <c r="AN2668">
        <v>1.00000004794358</v>
      </c>
    </row>
    <row r="2669" spans="1:40" x14ac:dyDescent="0.25">
      <c r="A2669" t="str">
        <f>"20190303170818115"</f>
        <v>20190303170818115</v>
      </c>
      <c r="B2669" t="str">
        <f>"1551604098105225"</f>
        <v>1551604098105225</v>
      </c>
      <c r="C2669" t="s">
        <v>40</v>
      </c>
      <c r="D2669">
        <v>4.6728079999999999</v>
      </c>
      <c r="E2669">
        <v>0.51467499999999999</v>
      </c>
      <c r="F2669" t="s">
        <v>71</v>
      </c>
      <c r="G2669">
        <v>-291.78739999999999</v>
      </c>
      <c r="H2669" s="1">
        <v>1.211464E-6</v>
      </c>
      <c r="I2669">
        <v>210.98249999999999</v>
      </c>
      <c r="J2669">
        <v>-326.39019999999999</v>
      </c>
      <c r="K2669">
        <v>1.1209119999999999</v>
      </c>
      <c r="L2669">
        <v>213.83099999999999</v>
      </c>
      <c r="M2669">
        <v>0.99985460000000004</v>
      </c>
      <c r="N2669">
        <v>-1.529817E-2</v>
      </c>
      <c r="O2669">
        <v>7.5467939999999999E-3</v>
      </c>
      <c r="P2669">
        <v>0.97932929999999996</v>
      </c>
      <c r="Q2669">
        <v>0.20225989999999999</v>
      </c>
      <c r="R2669">
        <v>2.2822490000000001E-3</v>
      </c>
      <c r="S2669">
        <v>3.0838930000000002</v>
      </c>
      <c r="T2669">
        <v>-9.8775509999999997E-2</v>
      </c>
      <c r="U2669">
        <v>-0.25076290000000001</v>
      </c>
      <c r="V2669">
        <v>5.2239039999999997E-3</v>
      </c>
      <c r="W2669">
        <v>0.21721560000000001</v>
      </c>
      <c r="X2669">
        <v>0.97610969999999997</v>
      </c>
      <c r="Y2669">
        <v>8.8499019999999998E-2</v>
      </c>
      <c r="Z2669">
        <v>-2.2189710000000001E-3</v>
      </c>
      <c r="AA2669">
        <v>0.99607380000000001</v>
      </c>
      <c r="AB2669">
        <v>42</v>
      </c>
      <c r="AC2669">
        <v>34.602800000000002</v>
      </c>
      <c r="AD2669">
        <v>-1.1209107885359999</v>
      </c>
      <c r="AE2669">
        <v>-2.8485</v>
      </c>
      <c r="AF2669">
        <v>3.10635189812051</v>
      </c>
      <c r="AG2669">
        <v>-1.1209107885359999</v>
      </c>
      <c r="AH2669">
        <v>34.544309795387299</v>
      </c>
      <c r="AI2669">
        <v>91.851045862913196</v>
      </c>
      <c r="AJ2669">
        <v>84.861572429284493</v>
      </c>
      <c r="AK2669">
        <v>34.701804021556299</v>
      </c>
      <c r="AL2669">
        <v>77.454456105679498</v>
      </c>
      <c r="AM2669">
        <v>89.693369716223501</v>
      </c>
      <c r="AN2669">
        <v>1.00000002624522</v>
      </c>
    </row>
    <row r="2670" spans="1:40" x14ac:dyDescent="0.25">
      <c r="A2670" t="str">
        <f>"20190303170818139"</f>
        <v>20190303170818139</v>
      </c>
      <c r="B2670" t="str">
        <f>"1551604098125722"</f>
        <v>1551604098125722</v>
      </c>
      <c r="C2670" t="s">
        <v>40</v>
      </c>
      <c r="D2670">
        <v>4.6207070000000003</v>
      </c>
      <c r="E2670">
        <v>0.50582559999999999</v>
      </c>
      <c r="F2670" t="s">
        <v>71</v>
      </c>
      <c r="G2670">
        <v>-281.34820000000002</v>
      </c>
      <c r="H2670" s="1">
        <v>6.7189820000000003E-6</v>
      </c>
      <c r="I2670">
        <v>212.72110000000001</v>
      </c>
      <c r="J2670">
        <v>-325.96440000000001</v>
      </c>
      <c r="K2670">
        <v>1.120919</v>
      </c>
      <c r="L2670">
        <v>213.83410000000001</v>
      </c>
      <c r="M2670">
        <v>0.99985610000000003</v>
      </c>
      <c r="N2670">
        <v>-1.529324E-2</v>
      </c>
      <c r="O2670">
        <v>7.3668350000000004E-3</v>
      </c>
      <c r="P2670">
        <v>0.97927070000000005</v>
      </c>
      <c r="Q2670">
        <v>0.20255480000000001</v>
      </c>
      <c r="R2670">
        <v>9.1696900000000001E-4</v>
      </c>
      <c r="S2670">
        <v>3.0793149999999998</v>
      </c>
      <c r="T2670">
        <v>-7.6631069999999996E-2</v>
      </c>
      <c r="U2670">
        <v>-7.5881959999999998E-2</v>
      </c>
      <c r="V2670">
        <v>6.4125320000000003E-3</v>
      </c>
      <c r="W2670">
        <v>0.21750320000000001</v>
      </c>
      <c r="X2670">
        <v>0.97603850000000003</v>
      </c>
      <c r="Y2670">
        <v>3.1983480000000002E-2</v>
      </c>
      <c r="Z2670">
        <v>-7.1315460000000001E-4</v>
      </c>
      <c r="AA2670">
        <v>0.99948809999999999</v>
      </c>
      <c r="AB2670">
        <v>42</v>
      </c>
      <c r="AC2670">
        <v>44.6161999999999</v>
      </c>
      <c r="AD2670">
        <v>-1.1209122810179999</v>
      </c>
      <c r="AE2670">
        <v>-1.11299999999999</v>
      </c>
      <c r="AF2670">
        <v>1.44077952064448</v>
      </c>
      <c r="AG2670">
        <v>-1.1209122810179999</v>
      </c>
      <c r="AH2670">
        <v>44.578668809261998</v>
      </c>
      <c r="AI2670">
        <v>91.439623901030998</v>
      </c>
      <c r="AJ2670">
        <v>88.148848710834898</v>
      </c>
      <c r="AK2670">
        <v>44.616028541037998</v>
      </c>
      <c r="AL2670">
        <v>77.437573350775907</v>
      </c>
      <c r="AM2670">
        <v>89.623574548158601</v>
      </c>
      <c r="AN2670">
        <v>0.99999995802956898</v>
      </c>
    </row>
    <row r="2671" spans="1:40" x14ac:dyDescent="0.25">
      <c r="A2671" t="str">
        <f>"20190303170818162"</f>
        <v>20190303170818162</v>
      </c>
      <c r="B2671" t="str">
        <f>"1551604098155912"</f>
        <v>1551604098155912</v>
      </c>
      <c r="C2671" t="s">
        <v>40</v>
      </c>
      <c r="D2671">
        <v>4.6713190000000004</v>
      </c>
      <c r="E2671">
        <v>0.4997376</v>
      </c>
      <c r="F2671" t="s">
        <v>63</v>
      </c>
      <c r="G2671">
        <v>-271.03699999999998</v>
      </c>
      <c r="H2671" s="1">
        <v>-9.4314239999999998E-7</v>
      </c>
      <c r="I2671">
        <v>213.65969999999999</v>
      </c>
      <c r="J2671">
        <v>-325.52969999999999</v>
      </c>
      <c r="K2671">
        <v>1.1209180000000001</v>
      </c>
      <c r="L2671">
        <v>213.83709999999999</v>
      </c>
      <c r="M2671">
        <v>0.99985740000000001</v>
      </c>
      <c r="N2671">
        <v>-1.528826E-2</v>
      </c>
      <c r="O2671">
        <v>7.1831239999999999E-3</v>
      </c>
      <c r="P2671">
        <v>0.97942459999999998</v>
      </c>
      <c r="Q2671">
        <v>0.20181060000000001</v>
      </c>
      <c r="R2671">
        <v>2.6011090000000001E-4</v>
      </c>
      <c r="S2671">
        <v>3.076508</v>
      </c>
      <c r="T2671">
        <v>-6.2783240000000004E-2</v>
      </c>
      <c r="U2671">
        <v>-9.765625E-3</v>
      </c>
      <c r="V2671">
        <v>6.8903080000000004E-3</v>
      </c>
      <c r="W2671">
        <v>0.21675659999999999</v>
      </c>
      <c r="X2671">
        <v>0.9762014</v>
      </c>
      <c r="Y2671">
        <v>1.0354220000000001E-2</v>
      </c>
      <c r="Z2671">
        <v>-2.2155880000000001E-4</v>
      </c>
      <c r="AA2671">
        <v>0.99994640000000001</v>
      </c>
      <c r="AB2671">
        <v>42</v>
      </c>
      <c r="AC2671">
        <v>54.4926999999999</v>
      </c>
      <c r="AD2671">
        <v>-1.1209189431424</v>
      </c>
      <c r="AE2671">
        <v>-0.177400000000005</v>
      </c>
      <c r="AF2671">
        <v>0.56862836669003602</v>
      </c>
      <c r="AG2671">
        <v>-1.1209189431424</v>
      </c>
      <c r="AH2671">
        <v>54.466973123990201</v>
      </c>
      <c r="AI2671">
        <v>91.1789045401148</v>
      </c>
      <c r="AJ2671">
        <v>89.401860979427994</v>
      </c>
      <c r="AK2671">
        <v>54.481473537212402</v>
      </c>
      <c r="AL2671">
        <v>77.481396869505105</v>
      </c>
      <c r="AM2671">
        <v>89.595596756828101</v>
      </c>
      <c r="AN2671">
        <v>1.00000003667492</v>
      </c>
    </row>
    <row r="2672" spans="1:40" x14ac:dyDescent="0.25">
      <c r="A2672" t="str">
        <f>"20190303170818185"</f>
        <v>20190303170818185</v>
      </c>
      <c r="B2672" t="str">
        <f>"1551604098175432"</f>
        <v>1551604098175432</v>
      </c>
      <c r="C2672" t="s">
        <v>40</v>
      </c>
      <c r="D2672">
        <v>4.6120739999999998</v>
      </c>
      <c r="E2672">
        <v>0.49752259999999998</v>
      </c>
      <c r="F2672" t="s">
        <v>63</v>
      </c>
      <c r="G2672">
        <v>-264.32929999999999</v>
      </c>
      <c r="H2672" s="1">
        <v>7.7020720000000002E-7</v>
      </c>
      <c r="I2672">
        <v>214.5445</v>
      </c>
      <c r="J2672">
        <v>-325.10910000000001</v>
      </c>
      <c r="K2672">
        <v>1.1209180000000001</v>
      </c>
      <c r="L2672">
        <v>213.84</v>
      </c>
      <c r="M2672">
        <v>0.99985869999999999</v>
      </c>
      <c r="N2672">
        <v>-1.528349E-2</v>
      </c>
      <c r="O2672">
        <v>7.0052559999999996E-3</v>
      </c>
      <c r="P2672">
        <v>0.97944969999999998</v>
      </c>
      <c r="Q2672">
        <v>0.20168920000000001</v>
      </c>
      <c r="R2672" s="1">
        <v>9.6838919999999993E-5</v>
      </c>
      <c r="S2672">
        <v>3.0745849999999999</v>
      </c>
      <c r="T2672">
        <v>-5.6312679999999997E-2</v>
      </c>
      <c r="U2672">
        <v>3.5537720000000002E-2</v>
      </c>
      <c r="V2672">
        <v>6.8792640000000004E-3</v>
      </c>
      <c r="W2672">
        <v>0.21663099999999999</v>
      </c>
      <c r="X2672">
        <v>0.97622929999999997</v>
      </c>
      <c r="Y2672">
        <v>-4.550513E-3</v>
      </c>
      <c r="Z2672" s="1">
        <v>5.522984E-5</v>
      </c>
      <c r="AA2672">
        <v>0.99998960000000003</v>
      </c>
      <c r="AB2672">
        <v>42</v>
      </c>
      <c r="AC2672">
        <v>60.779800000000002</v>
      </c>
      <c r="AD2672">
        <v>-1.1209172297928001</v>
      </c>
      <c r="AE2672">
        <v>0.70449999999999502</v>
      </c>
      <c r="AF2672">
        <v>-0.278560200898817</v>
      </c>
      <c r="AG2672">
        <v>-1.1209172297928001</v>
      </c>
      <c r="AH2672">
        <v>60.762580449692699</v>
      </c>
      <c r="AI2672">
        <v>91.056832469562195</v>
      </c>
      <c r="AJ2672">
        <v>90.262665145615699</v>
      </c>
      <c r="AK2672">
        <v>60.773557030397299</v>
      </c>
      <c r="AL2672">
        <v>77.488767652091298</v>
      </c>
      <c r="AM2672">
        <v>89.596256464126498</v>
      </c>
      <c r="AN2672">
        <v>0.99999998030633497</v>
      </c>
    </row>
    <row r="2673" spans="1:40" x14ac:dyDescent="0.25">
      <c r="A2673" t="str">
        <f>"20190303170818206"</f>
        <v>20190303170818206</v>
      </c>
      <c r="B2673" t="str">
        <f>"1551604098195928"</f>
        <v>1551604098195928</v>
      </c>
      <c r="C2673" t="s">
        <v>40</v>
      </c>
      <c r="D2673">
        <v>4.6650309999999999</v>
      </c>
      <c r="E2673">
        <v>0.49615799999999999</v>
      </c>
      <c r="F2673" t="s">
        <v>63</v>
      </c>
      <c r="G2673">
        <v>-261.21409999999997</v>
      </c>
      <c r="H2673" s="1">
        <v>-9.044808E-7</v>
      </c>
      <c r="I2673">
        <v>214.93100000000001</v>
      </c>
      <c r="J2673">
        <v>-324.71269999999998</v>
      </c>
      <c r="K2673">
        <v>1.1209260000000001</v>
      </c>
      <c r="L2673">
        <v>213.8426</v>
      </c>
      <c r="M2673">
        <v>0.99985979999999997</v>
      </c>
      <c r="N2673">
        <v>-1.5278989999999999E-2</v>
      </c>
      <c r="O2673">
        <v>6.837638E-3</v>
      </c>
      <c r="P2673">
        <v>0.97927560000000002</v>
      </c>
      <c r="Q2673">
        <v>0.20253209999999999</v>
      </c>
      <c r="R2673">
        <v>-3.8952190000000002E-4</v>
      </c>
      <c r="S2673">
        <v>3.0740660000000002</v>
      </c>
      <c r="T2673">
        <v>-5.3928730000000001E-2</v>
      </c>
      <c r="U2673">
        <v>5.2490229999999999E-2</v>
      </c>
      <c r="V2673">
        <v>7.2006359999999998E-3</v>
      </c>
      <c r="W2673">
        <v>0.21746650000000001</v>
      </c>
      <c r="X2673">
        <v>0.9760413</v>
      </c>
      <c r="Y2673">
        <v>-1.023192E-2</v>
      </c>
      <c r="Z2673">
        <v>1.5246340000000001E-4</v>
      </c>
      <c r="AA2673">
        <v>0.99994769999999999</v>
      </c>
      <c r="AB2673">
        <v>42</v>
      </c>
      <c r="AC2673">
        <v>63.498600000000003</v>
      </c>
      <c r="AD2673">
        <v>-1.1209269044807999</v>
      </c>
      <c r="AE2673">
        <v>1.0883999999999701</v>
      </c>
      <c r="AF2673">
        <v>-0.65393966199499598</v>
      </c>
      <c r="AG2673">
        <v>-1.1209269044807999</v>
      </c>
      <c r="AH2673">
        <v>63.484780845398802</v>
      </c>
      <c r="AI2673">
        <v>91.011491275694596</v>
      </c>
      <c r="AJ2673">
        <v>90.590167550286296</v>
      </c>
      <c r="AK2673">
        <v>63.498043380840002</v>
      </c>
      <c r="AL2673">
        <v>77.439729147056198</v>
      </c>
      <c r="AM2673">
        <v>89.577314435260206</v>
      </c>
      <c r="AN2673">
        <v>1.0000000735433601</v>
      </c>
    </row>
    <row r="2674" spans="1:40" x14ac:dyDescent="0.25">
      <c r="A2674" t="str">
        <f>"20190303170818228"</f>
        <v>20190303170818228</v>
      </c>
      <c r="B2674" t="str">
        <f>"1551604098215448"</f>
        <v>1551604098215448</v>
      </c>
      <c r="C2674" t="s">
        <v>40</v>
      </c>
      <c r="D2674">
        <v>4.6680149999999996</v>
      </c>
      <c r="E2674">
        <v>0.49511159999999999</v>
      </c>
      <c r="F2674" t="s">
        <v>63</v>
      </c>
      <c r="G2674">
        <v>-255.8569</v>
      </c>
      <c r="H2674" s="1">
        <v>1.5527019999999901E-6</v>
      </c>
      <c r="I2674">
        <v>215.2406</v>
      </c>
      <c r="J2674">
        <v>-324.3082</v>
      </c>
      <c r="K2674">
        <v>1.1209309999999999</v>
      </c>
      <c r="L2674">
        <v>213.84520000000001</v>
      </c>
      <c r="M2674">
        <v>0.99986109999999995</v>
      </c>
      <c r="N2674">
        <v>-1.5274370000000001E-2</v>
      </c>
      <c r="O2674">
        <v>6.6663269999999997E-3</v>
      </c>
      <c r="P2674">
        <v>0.97916099999999995</v>
      </c>
      <c r="Q2674">
        <v>0.2030855</v>
      </c>
      <c r="R2674">
        <v>-3.6072539999999997E-4</v>
      </c>
      <c r="S2674">
        <v>3.0738829999999999</v>
      </c>
      <c r="T2674">
        <v>-5.0040719999999997E-2</v>
      </c>
      <c r="U2674">
        <v>6.2408449999999997E-2</v>
      </c>
      <c r="V2674">
        <v>7.0033930000000001E-3</v>
      </c>
      <c r="W2674">
        <v>0.21801380000000001</v>
      </c>
      <c r="X2674">
        <v>0.97592060000000003</v>
      </c>
      <c r="Y2674">
        <v>-1.3628940000000001E-2</v>
      </c>
      <c r="Z2674">
        <v>2.0835189999999999E-4</v>
      </c>
      <c r="AA2674">
        <v>0.99990710000000005</v>
      </c>
      <c r="AB2674">
        <v>42</v>
      </c>
      <c r="AC2674">
        <v>68.451300000000003</v>
      </c>
      <c r="AD2674">
        <v>-1.12092944729799</v>
      </c>
      <c r="AE2674">
        <v>1.39539999999999</v>
      </c>
      <c r="AF2674">
        <v>-0.93874536020531896</v>
      </c>
      <c r="AG2674">
        <v>-1.12092944729799</v>
      </c>
      <c r="AH2674">
        <v>68.440736512544404</v>
      </c>
      <c r="AI2674">
        <v>90.938224063015198</v>
      </c>
      <c r="AJ2674">
        <v>90.785829862527706</v>
      </c>
      <c r="AK2674">
        <v>68.456352079676705</v>
      </c>
      <c r="AL2674">
        <v>77.407599877642596</v>
      </c>
      <c r="AM2674">
        <v>89.588841578598903</v>
      </c>
      <c r="AN2674">
        <v>1.0000000410041501</v>
      </c>
    </row>
    <row r="2675" spans="1:40" x14ac:dyDescent="0.25">
      <c r="A2675" t="str">
        <f>"20190303170818250"</f>
        <v>20190303170818250</v>
      </c>
      <c r="B2675" t="str">
        <f>"1551604098235944"</f>
        <v>1551604098235944</v>
      </c>
      <c r="C2675" t="s">
        <v>40</v>
      </c>
      <c r="D2675">
        <v>4.6094989999999996</v>
      </c>
      <c r="E2675">
        <v>0.49422830000000001</v>
      </c>
      <c r="F2675" t="s">
        <v>63</v>
      </c>
      <c r="G2675">
        <v>-250.93940000000001</v>
      </c>
      <c r="H2675" s="1">
        <v>-1.0772039999999999E-6</v>
      </c>
      <c r="I2675">
        <v>215.53819999999999</v>
      </c>
      <c r="J2675">
        <v>-323.90570000000002</v>
      </c>
      <c r="K2675">
        <v>1.120933</v>
      </c>
      <c r="L2675">
        <v>213.8477</v>
      </c>
      <c r="M2675">
        <v>0.99986240000000004</v>
      </c>
      <c r="N2675">
        <v>-1.526977E-2</v>
      </c>
      <c r="O2675">
        <v>6.4953179999999999E-3</v>
      </c>
      <c r="P2675">
        <v>0.97911210000000004</v>
      </c>
      <c r="Q2675">
        <v>0.20332169999999999</v>
      </c>
      <c r="R2675" s="1">
        <v>2.910011E-5</v>
      </c>
      <c r="S2675">
        <v>3.073639</v>
      </c>
      <c r="T2675">
        <v>-4.695916E-2</v>
      </c>
      <c r="U2675">
        <v>7.0922849999999996E-2</v>
      </c>
      <c r="V2675">
        <v>6.4456089999999997E-3</v>
      </c>
      <c r="W2675">
        <v>0.2182451</v>
      </c>
      <c r="X2675">
        <v>0.97587270000000004</v>
      </c>
      <c r="Y2675">
        <v>-1.656972E-2</v>
      </c>
      <c r="Z2675">
        <v>2.5306169999999998E-4</v>
      </c>
      <c r="AA2675">
        <v>0.99986269999999999</v>
      </c>
      <c r="AB2675">
        <v>42</v>
      </c>
      <c r="AC2675">
        <v>72.966300000000004</v>
      </c>
      <c r="AD2675">
        <v>-1.120934077204</v>
      </c>
      <c r="AE2675">
        <v>1.6904999999999799</v>
      </c>
      <c r="AF2675">
        <v>-1.2161829199855501</v>
      </c>
      <c r="AG2675">
        <v>-1.120934077204</v>
      </c>
      <c r="AH2675">
        <v>72.958532931260294</v>
      </c>
      <c r="AI2675">
        <v>90.8801002051013</v>
      </c>
      <c r="AJ2675">
        <v>90.955004061292698</v>
      </c>
      <c r="AK2675">
        <v>72.977278118480797</v>
      </c>
      <c r="AL2675">
        <v>77.394019817626699</v>
      </c>
      <c r="AM2675">
        <v>89.621568651496503</v>
      </c>
      <c r="AN2675">
        <v>0.99999999807733997</v>
      </c>
    </row>
    <row r="2676" spans="1:40" x14ac:dyDescent="0.25">
      <c r="A2676" t="str">
        <f>"20190303170818273"</f>
        <v>20190303170818273</v>
      </c>
      <c r="B2676" t="str">
        <f>"1551604098265207"</f>
        <v>1551604098265207</v>
      </c>
      <c r="C2676" t="s">
        <v>40</v>
      </c>
      <c r="D2676">
        <v>4.6589729999999996</v>
      </c>
      <c r="E2676">
        <v>0.49325980000000003</v>
      </c>
      <c r="F2676" t="s">
        <v>63</v>
      </c>
      <c r="G2676">
        <v>-249.65219999999999</v>
      </c>
      <c r="H2676" s="1">
        <v>3.549903E-6</v>
      </c>
      <c r="I2676">
        <v>215.7535</v>
      </c>
      <c r="J2676">
        <v>-323.46179999999998</v>
      </c>
      <c r="K2676">
        <v>1.1209340000000001</v>
      </c>
      <c r="L2676">
        <v>213.85050000000001</v>
      </c>
      <c r="M2676">
        <v>0.99986370000000002</v>
      </c>
      <c r="N2676">
        <v>-1.5264679999999999E-2</v>
      </c>
      <c r="O2676">
        <v>6.3065530000000003E-3</v>
      </c>
      <c r="P2676">
        <v>0.97907100000000002</v>
      </c>
      <c r="Q2676">
        <v>0.20351849999999999</v>
      </c>
      <c r="R2676">
        <v>6.356612E-4</v>
      </c>
      <c r="S2676">
        <v>3.073639</v>
      </c>
      <c r="T2676">
        <v>-4.6399589999999998E-2</v>
      </c>
      <c r="U2676">
        <v>7.8887940000000004E-2</v>
      </c>
      <c r="V2676">
        <v>5.6538930000000001E-3</v>
      </c>
      <c r="W2676">
        <v>0.2184373</v>
      </c>
      <c r="X2676">
        <v>0.9758346</v>
      </c>
      <c r="Y2676">
        <v>-1.9347380000000001E-2</v>
      </c>
      <c r="Z2676">
        <v>2.9479659999999999E-4</v>
      </c>
      <c r="AA2676">
        <v>0.99981279999999995</v>
      </c>
      <c r="AB2676">
        <v>42</v>
      </c>
      <c r="AC2676">
        <v>73.809599999999904</v>
      </c>
      <c r="AD2676">
        <v>-1.1209304500970001</v>
      </c>
      <c r="AE2676">
        <v>1.90299999999999</v>
      </c>
      <c r="AF2676">
        <v>-1.43709257043329</v>
      </c>
      <c r="AG2676">
        <v>-1.1209304500970001</v>
      </c>
      <c r="AH2676">
        <v>73.803124083556199</v>
      </c>
      <c r="AI2676">
        <v>90.869983183265205</v>
      </c>
      <c r="AJ2676">
        <v>91.115521001451796</v>
      </c>
      <c r="AK2676">
        <v>73.825624579970494</v>
      </c>
      <c r="AL2676">
        <v>77.382735243407595</v>
      </c>
      <c r="AM2676">
        <v>89.668037409282604</v>
      </c>
      <c r="AN2676">
        <v>0.999999993547252</v>
      </c>
    </row>
    <row r="2677" spans="1:40" x14ac:dyDescent="0.25">
      <c r="A2677" t="str">
        <f>"20190303170818295"</f>
        <v>20190303170818295</v>
      </c>
      <c r="B2677" t="str">
        <f>"1551604098285703"</f>
        <v>1551604098285703</v>
      </c>
      <c r="C2677" t="s">
        <v>40</v>
      </c>
      <c r="D2677">
        <v>4.6611880000000001</v>
      </c>
      <c r="E2677">
        <v>0.49274059999999997</v>
      </c>
      <c r="F2677" t="s">
        <v>63</v>
      </c>
      <c r="G2677">
        <v>-249.06620000000001</v>
      </c>
      <c r="H2677" s="1">
        <v>3.2276260000000001E-6</v>
      </c>
      <c r="I2677">
        <v>215.9933</v>
      </c>
      <c r="J2677">
        <v>-323.05439999999999</v>
      </c>
      <c r="K2677">
        <v>1.120938</v>
      </c>
      <c r="L2677">
        <v>213.85290000000001</v>
      </c>
      <c r="M2677">
        <v>0.99986489999999995</v>
      </c>
      <c r="N2677">
        <v>-1.5259999999999999E-2</v>
      </c>
      <c r="O2677">
        <v>6.1331600000000003E-3</v>
      </c>
      <c r="P2677">
        <v>0.97896039999999995</v>
      </c>
      <c r="Q2677">
        <v>0.20404910000000001</v>
      </c>
      <c r="R2677">
        <v>9.0204369999999996E-4</v>
      </c>
      <c r="S2677">
        <v>3.0737299999999999</v>
      </c>
      <c r="T2677">
        <v>-4.6312449999999998E-2</v>
      </c>
      <c r="U2677">
        <v>8.8531490000000004E-2</v>
      </c>
      <c r="V2677">
        <v>5.2169820000000002E-3</v>
      </c>
      <c r="W2677">
        <v>0.21896170000000001</v>
      </c>
      <c r="X2677">
        <v>0.97571949999999996</v>
      </c>
      <c r="Y2677">
        <v>-2.2653639999999999E-2</v>
      </c>
      <c r="Z2677">
        <v>3.4472920000000001E-4</v>
      </c>
      <c r="AA2677">
        <v>0.9997433</v>
      </c>
      <c r="AB2677">
        <v>42</v>
      </c>
      <c r="AC2677">
        <v>73.988199999999907</v>
      </c>
      <c r="AD2677">
        <v>-1.120934772374</v>
      </c>
      <c r="AE2677">
        <v>2.1404000000000001</v>
      </c>
      <c r="AF2677">
        <v>-1.68613879644981</v>
      </c>
      <c r="AG2677">
        <v>-1.120934772374</v>
      </c>
      <c r="AH2677">
        <v>73.982970081268704</v>
      </c>
      <c r="AI2677">
        <v>90.867811173260094</v>
      </c>
      <c r="AJ2677">
        <v>91.305596609923995</v>
      </c>
      <c r="AK2677">
        <v>74.010670993112299</v>
      </c>
      <c r="AL2677">
        <v>77.351943938952402</v>
      </c>
      <c r="AM2677">
        <v>89.693653553106998</v>
      </c>
      <c r="AN2677">
        <v>0.99999999282416396</v>
      </c>
    </row>
    <row r="2678" spans="1:40" x14ac:dyDescent="0.25">
      <c r="A2678" t="str">
        <f>"20190303170818316"</f>
        <v>20190303170818316</v>
      </c>
      <c r="B2678" t="str">
        <f>"1551604098305223"</f>
        <v>1551604098305223</v>
      </c>
      <c r="C2678" t="s">
        <v>40</v>
      </c>
      <c r="D2678">
        <v>4.6628990000000003</v>
      </c>
      <c r="E2678">
        <v>0.4922879</v>
      </c>
      <c r="F2678" t="s">
        <v>63</v>
      </c>
      <c r="G2678">
        <v>-246.27099999999999</v>
      </c>
      <c r="H2678" s="1">
        <v>1.7316559999999999E-6</v>
      </c>
      <c r="I2678">
        <v>216.18680000000001</v>
      </c>
      <c r="J2678">
        <v>-322.65629999999999</v>
      </c>
      <c r="K2678">
        <v>1.1209480000000001</v>
      </c>
      <c r="L2678">
        <v>213.8552</v>
      </c>
      <c r="M2678">
        <v>0.99986589999999997</v>
      </c>
      <c r="N2678">
        <v>-1.525543E-2</v>
      </c>
      <c r="O2678">
        <v>5.9636380000000003E-3</v>
      </c>
      <c r="P2678">
        <v>0.97877060000000005</v>
      </c>
      <c r="Q2678">
        <v>0.2049579</v>
      </c>
      <c r="R2678">
        <v>8.6655100000000002E-4</v>
      </c>
      <c r="S2678">
        <v>3.0737299999999999</v>
      </c>
      <c r="T2678">
        <v>-4.48724E-2</v>
      </c>
      <c r="U2678">
        <v>9.3429570000000003E-2</v>
      </c>
      <c r="V2678">
        <v>5.0856109999999899E-3</v>
      </c>
      <c r="W2678">
        <v>0.21986330000000001</v>
      </c>
      <c r="X2678">
        <v>0.97551750000000004</v>
      </c>
      <c r="Y2678">
        <v>-2.4414689999999999E-2</v>
      </c>
      <c r="Z2678">
        <v>3.6839350000000002E-4</v>
      </c>
      <c r="AA2678">
        <v>0.99970190000000003</v>
      </c>
      <c r="AB2678">
        <v>42</v>
      </c>
      <c r="AC2678">
        <v>76.385300000000001</v>
      </c>
      <c r="AD2678">
        <v>-1.1209462683439999</v>
      </c>
      <c r="AE2678">
        <v>2.3315999999999999</v>
      </c>
      <c r="AF2678">
        <v>-1.8755677265422701</v>
      </c>
      <c r="AG2678">
        <v>-1.1209462683439999</v>
      </c>
      <c r="AH2678">
        <v>76.381414166514105</v>
      </c>
      <c r="AI2678">
        <v>90.840538641964599</v>
      </c>
      <c r="AJ2678">
        <v>91.406631775182106</v>
      </c>
      <c r="AK2678">
        <v>76.412660632318804</v>
      </c>
      <c r="AL2678">
        <v>77.298996744022105</v>
      </c>
      <c r="AM2678">
        <v>89.701305812708299</v>
      </c>
      <c r="AN2678">
        <v>1.0000000634661801</v>
      </c>
    </row>
    <row r="2679" spans="1:40" x14ac:dyDescent="0.25">
      <c r="A2679" t="str">
        <f>"20190303170818339"</f>
        <v>20190303170818339</v>
      </c>
      <c r="B2679" t="str">
        <f>"1551604098325720"</f>
        <v>1551604098325720</v>
      </c>
      <c r="C2679" t="s">
        <v>40</v>
      </c>
      <c r="D2679">
        <v>4.6621329999999999</v>
      </c>
      <c r="E2679">
        <v>0.49187900000000001</v>
      </c>
      <c r="F2679" t="s">
        <v>63</v>
      </c>
      <c r="G2679">
        <v>-240.92570000000001</v>
      </c>
      <c r="H2679" s="1">
        <v>-1.1239529999999999E-6</v>
      </c>
      <c r="I2679">
        <v>216.44120000000001</v>
      </c>
      <c r="J2679">
        <v>-322.24810000000002</v>
      </c>
      <c r="K2679">
        <v>1.1209480000000001</v>
      </c>
      <c r="L2679">
        <v>213.85740000000001</v>
      </c>
      <c r="M2679">
        <v>0.99986710000000001</v>
      </c>
      <c r="N2679">
        <v>-1.525074E-2</v>
      </c>
      <c r="O2679">
        <v>5.7909049999999998E-3</v>
      </c>
      <c r="P2679">
        <v>0.97873569999999999</v>
      </c>
      <c r="Q2679">
        <v>0.20512320000000001</v>
      </c>
      <c r="R2679">
        <v>1.189463E-3</v>
      </c>
      <c r="S2679">
        <v>3.0738829999999999</v>
      </c>
      <c r="T2679">
        <v>-4.2158840000000003E-2</v>
      </c>
      <c r="U2679">
        <v>9.7259520000000002E-2</v>
      </c>
      <c r="V2679">
        <v>4.5929830000000001E-3</v>
      </c>
      <c r="W2679">
        <v>0.2200232</v>
      </c>
      <c r="X2679">
        <v>0.97548380000000001</v>
      </c>
      <c r="Y2679">
        <v>-2.5830450000000001E-2</v>
      </c>
      <c r="Z2679">
        <v>3.8303300000000002E-4</v>
      </c>
      <c r="AA2679">
        <v>0.99966630000000001</v>
      </c>
      <c r="AB2679">
        <v>42</v>
      </c>
      <c r="AC2679">
        <v>81.322400000000002</v>
      </c>
      <c r="AD2679">
        <v>-1.1209491239530001</v>
      </c>
      <c r="AE2679">
        <v>2.5837999999999899</v>
      </c>
      <c r="AF2679">
        <v>-2.1123707340077802</v>
      </c>
      <c r="AG2679">
        <v>-1.1209491239530001</v>
      </c>
      <c r="AH2679">
        <v>81.320565145100801</v>
      </c>
      <c r="AI2679">
        <v>90.789467381632605</v>
      </c>
      <c r="AJ2679">
        <v>91.487971919393004</v>
      </c>
      <c r="AK2679">
        <v>81.355718622448194</v>
      </c>
      <c r="AL2679">
        <v>77.289604019440503</v>
      </c>
      <c r="AM2679">
        <v>89.730229659752496</v>
      </c>
      <c r="AN2679">
        <v>0.999999974046758</v>
      </c>
    </row>
    <row r="2680" spans="1:40" x14ac:dyDescent="0.25">
      <c r="A2680" t="str">
        <f>"20190303170818387"</f>
        <v>20190303170818387</v>
      </c>
      <c r="B2680" t="str">
        <f>"1551604098375495"</f>
        <v>1551604098375495</v>
      </c>
      <c r="C2680" t="s">
        <v>40</v>
      </c>
      <c r="D2680">
        <v>4.6590429999999996</v>
      </c>
      <c r="E2680">
        <v>0.49116690000000002</v>
      </c>
      <c r="F2680" t="s">
        <v>63</v>
      </c>
      <c r="G2680">
        <v>-240.7072</v>
      </c>
      <c r="H2680" s="1">
        <v>-1.2449130000000001E-6</v>
      </c>
      <c r="I2680">
        <v>216.54830000000001</v>
      </c>
      <c r="J2680">
        <v>-321.37139999999999</v>
      </c>
      <c r="K2680">
        <v>1.120946</v>
      </c>
      <c r="L2680">
        <v>213.8621</v>
      </c>
      <c r="M2680">
        <v>0.99986929999999996</v>
      </c>
      <c r="N2680">
        <v>-1.524068E-2</v>
      </c>
      <c r="O2680">
        <v>5.4304949999999996E-3</v>
      </c>
      <c r="P2680">
        <v>0.97919690000000004</v>
      </c>
      <c r="Q2680">
        <v>0.20291020000000001</v>
      </c>
      <c r="R2680">
        <v>1.063343E-3</v>
      </c>
      <c r="S2680">
        <v>3.0739749999999999</v>
      </c>
      <c r="T2680">
        <v>-4.225814E-2</v>
      </c>
      <c r="U2680">
        <v>0.1014404</v>
      </c>
      <c r="V2680">
        <v>4.3652109999999999E-3</v>
      </c>
      <c r="W2680">
        <v>0.2178081</v>
      </c>
      <c r="X2680">
        <v>0.97598180000000001</v>
      </c>
      <c r="Y2680">
        <v>-2.7547680000000001E-2</v>
      </c>
      <c r="Z2680">
        <v>4.0742399999999998E-4</v>
      </c>
      <c r="AA2680">
        <v>0.99962039999999996</v>
      </c>
      <c r="AB2680">
        <v>41</v>
      </c>
      <c r="AC2680">
        <v>80.664199999999994</v>
      </c>
      <c r="AD2680">
        <v>-1.120947244913</v>
      </c>
      <c r="AE2680">
        <v>2.6862000000000101</v>
      </c>
      <c r="AF2680">
        <v>-2.2476294857863199</v>
      </c>
      <c r="AG2680">
        <v>-1.120947244913</v>
      </c>
      <c r="AH2680">
        <v>80.662039865586095</v>
      </c>
      <c r="AI2680">
        <v>90.795870000528893</v>
      </c>
      <c r="AJ2680">
        <v>91.596120914348404</v>
      </c>
      <c r="AK2680">
        <v>80.701134045988795</v>
      </c>
      <c r="AL2680">
        <v>77.419674640040796</v>
      </c>
      <c r="AM2680">
        <v>89.743738562293103</v>
      </c>
      <c r="AN2680">
        <v>0.99999994871196096</v>
      </c>
    </row>
    <row r="2681" spans="1:40" x14ac:dyDescent="0.25">
      <c r="A2681" t="str">
        <f>"20190303170818407"</f>
        <v>20190303170818407</v>
      </c>
      <c r="B2681" t="str">
        <f>"1551604098395992"</f>
        <v>1551604098395992</v>
      </c>
      <c r="C2681" t="s">
        <v>40</v>
      </c>
      <c r="D2681">
        <v>4.6559269999999904</v>
      </c>
      <c r="E2681">
        <v>0.49090070000000002</v>
      </c>
      <c r="F2681" t="s">
        <v>63</v>
      </c>
      <c r="G2681">
        <v>-253.46809999999999</v>
      </c>
      <c r="H2681" s="1">
        <v>2.3916409999999998E-7</v>
      </c>
      <c r="I2681">
        <v>216.20830000000001</v>
      </c>
      <c r="J2681">
        <v>-320.97730000000001</v>
      </c>
      <c r="K2681">
        <v>1.1209469999999999</v>
      </c>
      <c r="L2681">
        <v>213.86410000000001</v>
      </c>
      <c r="M2681">
        <v>0.99987009999999998</v>
      </c>
      <c r="N2681">
        <v>-1.52365E-2</v>
      </c>
      <c r="O2681">
        <v>5.2751059999999999E-3</v>
      </c>
      <c r="P2681">
        <v>0.97924259999999996</v>
      </c>
      <c r="Q2681">
        <v>0.20268810000000001</v>
      </c>
      <c r="R2681">
        <v>1.2833510000000001E-3</v>
      </c>
      <c r="S2681">
        <v>3.0741269999999998</v>
      </c>
      <c r="T2681">
        <v>-5.0747630000000002E-2</v>
      </c>
      <c r="U2681">
        <v>0.1062164</v>
      </c>
      <c r="V2681">
        <v>3.9908130000000002E-3</v>
      </c>
      <c r="W2681">
        <v>0.21758240000000001</v>
      </c>
      <c r="X2681">
        <v>0.97603379999999995</v>
      </c>
      <c r="Y2681">
        <v>-2.9250419999999999E-2</v>
      </c>
      <c r="Z2681">
        <v>4.5759929999999999E-4</v>
      </c>
      <c r="AA2681">
        <v>0.99957200000000002</v>
      </c>
      <c r="AB2681">
        <v>41</v>
      </c>
      <c r="AC2681">
        <v>67.509200000000007</v>
      </c>
      <c r="AD2681">
        <v>-1.1209467608358901</v>
      </c>
      <c r="AE2681">
        <v>2.3441999999999998</v>
      </c>
      <c r="AF2681">
        <v>-1.98746058920788</v>
      </c>
      <c r="AG2681">
        <v>-1.1209467608358901</v>
      </c>
      <c r="AH2681">
        <v>67.502039621473202</v>
      </c>
      <c r="AI2681">
        <v>90.950960944065997</v>
      </c>
      <c r="AJ2681">
        <v>91.686470754912605</v>
      </c>
      <c r="AK2681">
        <v>67.540594269618495</v>
      </c>
      <c r="AL2681">
        <v>77.432924756013605</v>
      </c>
      <c r="AM2681">
        <v>89.765729970124596</v>
      </c>
      <c r="AN2681">
        <v>1.0000000030603</v>
      </c>
    </row>
    <row r="2682" spans="1:40" x14ac:dyDescent="0.25">
      <c r="A2682" t="str">
        <f>"20190303170818430"</f>
        <v>20190303170818430</v>
      </c>
      <c r="B2682" t="str">
        <f>"1551604098415512"</f>
        <v>1551604098415512</v>
      </c>
      <c r="C2682" t="s">
        <v>40</v>
      </c>
      <c r="D2682">
        <v>4.7186070000000004</v>
      </c>
      <c r="E2682">
        <v>0.49068099999999998</v>
      </c>
      <c r="F2682" t="s">
        <v>63</v>
      </c>
      <c r="G2682">
        <v>-254.9913</v>
      </c>
      <c r="H2682" s="1">
        <v>1.050059E-6</v>
      </c>
      <c r="I2682">
        <v>216.20160000000001</v>
      </c>
      <c r="J2682">
        <v>-320.57900000000001</v>
      </c>
      <c r="K2682">
        <v>1.1209579999999999</v>
      </c>
      <c r="L2682">
        <v>213.86609999999999</v>
      </c>
      <c r="M2682">
        <v>0.99987090000000001</v>
      </c>
      <c r="N2682">
        <v>-1.523214E-2</v>
      </c>
      <c r="O2682">
        <v>5.1266189999999998E-3</v>
      </c>
      <c r="P2682">
        <v>0.97905529999999996</v>
      </c>
      <c r="Q2682">
        <v>0.20359099999999999</v>
      </c>
      <c r="R2682">
        <v>1.353262E-3</v>
      </c>
      <c r="S2682">
        <v>3.074249</v>
      </c>
      <c r="T2682">
        <v>-5.2224279999999998E-2</v>
      </c>
      <c r="U2682">
        <v>0.108902</v>
      </c>
      <c r="V2682">
        <v>3.7714860000000001E-3</v>
      </c>
      <c r="W2682">
        <v>0.2184787</v>
      </c>
      <c r="X2682">
        <v>0.97583439999999999</v>
      </c>
      <c r="Y2682">
        <v>-3.0268989999999999E-2</v>
      </c>
      <c r="Z2682">
        <v>4.7866579999999997E-4</v>
      </c>
      <c r="AA2682">
        <v>0.99954169999999998</v>
      </c>
      <c r="AB2682">
        <v>41</v>
      </c>
      <c r="AC2682">
        <v>65.587699999999998</v>
      </c>
      <c r="AD2682">
        <v>-1.1209569499409999</v>
      </c>
      <c r="AE2682">
        <v>2.3355000000000201</v>
      </c>
      <c r="AF2682">
        <v>-1.99860410328658</v>
      </c>
      <c r="AG2682">
        <v>-1.1209569499409999</v>
      </c>
      <c r="AH2682">
        <v>65.579680873749297</v>
      </c>
      <c r="AI2682">
        <v>90.978810064557095</v>
      </c>
      <c r="AJ2682">
        <v>91.7456039136068</v>
      </c>
      <c r="AK2682">
        <v>65.619703644165398</v>
      </c>
      <c r="AL2682">
        <v>77.380304201624895</v>
      </c>
      <c r="AM2682">
        <v>89.778559605640197</v>
      </c>
      <c r="AN2682">
        <v>0.99999997134184804</v>
      </c>
    </row>
    <row r="2683" spans="1:40" x14ac:dyDescent="0.25">
      <c r="A2683" t="str">
        <f>"20190303170818452"</f>
        <v>20190303170818452</v>
      </c>
      <c r="B2683" t="str">
        <f>"1551604098445768"</f>
        <v>1551604098445768</v>
      </c>
      <c r="C2683" t="s">
        <v>40</v>
      </c>
      <c r="D2683">
        <v>4.6961930000000001</v>
      </c>
      <c r="E2683">
        <v>0.47293869999999999</v>
      </c>
      <c r="F2683" t="s">
        <v>63</v>
      </c>
      <c r="G2683">
        <v>-251.2424</v>
      </c>
      <c r="H2683" s="1">
        <v>-9.5232369999999997E-7</v>
      </c>
      <c r="I2683">
        <v>216.3707</v>
      </c>
      <c r="J2683">
        <v>-320.15449999999998</v>
      </c>
      <c r="K2683">
        <v>1.120968</v>
      </c>
      <c r="L2683">
        <v>213.8681</v>
      </c>
      <c r="M2683">
        <v>0.99987179999999998</v>
      </c>
      <c r="N2683">
        <v>-1.5227040000000001E-2</v>
      </c>
      <c r="O2683">
        <v>4.9822540000000002E-3</v>
      </c>
      <c r="P2683">
        <v>0.97892509999999999</v>
      </c>
      <c r="Q2683">
        <v>0.2042157</v>
      </c>
      <c r="R2683">
        <v>1.3461689999999999E-3</v>
      </c>
      <c r="S2683">
        <v>3.0743710000000002</v>
      </c>
      <c r="T2683">
        <v>-4.9703120000000003E-2</v>
      </c>
      <c r="U2683">
        <v>0.1110535</v>
      </c>
      <c r="V2683">
        <v>3.6318510000000002E-3</v>
      </c>
      <c r="W2683">
        <v>0.2190966</v>
      </c>
      <c r="X2683">
        <v>0.97569640000000002</v>
      </c>
      <c r="Y2683">
        <v>-3.111088E-2</v>
      </c>
      <c r="Z2683">
        <v>4.8370150000000002E-4</v>
      </c>
      <c r="AA2683">
        <v>0.99951579999999995</v>
      </c>
      <c r="AB2683">
        <v>41</v>
      </c>
      <c r="AC2683">
        <v>68.912099999999896</v>
      </c>
      <c r="AD2683">
        <v>-1.1209689523237001</v>
      </c>
      <c r="AE2683">
        <v>2.5026000000000002</v>
      </c>
      <c r="AF2683">
        <v>-2.1586211600284599</v>
      </c>
      <c r="AG2683">
        <v>-1.1209689523237001</v>
      </c>
      <c r="AH2683">
        <v>68.905505882256193</v>
      </c>
      <c r="AI2683">
        <v>90.931560396193106</v>
      </c>
      <c r="AJ2683">
        <v>91.794333334426796</v>
      </c>
      <c r="AK2683">
        <v>68.948422444565296</v>
      </c>
      <c r="AL2683">
        <v>77.344022324041504</v>
      </c>
      <c r="AM2683">
        <v>89.786727948308396</v>
      </c>
      <c r="AN2683">
        <v>0.99999998772310295</v>
      </c>
    </row>
    <row r="2684" spans="1:40" x14ac:dyDescent="0.25">
      <c r="A2684" t="str">
        <f>"20190303170818475"</f>
        <v>20190303170818475</v>
      </c>
      <c r="B2684" t="str">
        <f>"1551604098466264"</f>
        <v>1551604098466264</v>
      </c>
      <c r="C2684" t="s">
        <v>40</v>
      </c>
      <c r="D2684">
        <v>4.7154199999999999</v>
      </c>
      <c r="E2684">
        <v>0.4721687</v>
      </c>
      <c r="F2684" t="s">
        <v>63</v>
      </c>
      <c r="G2684">
        <v>-237.51300000000001</v>
      </c>
      <c r="H2684">
        <v>8.0000500000000002E-2</v>
      </c>
      <c r="I2684">
        <v>220.66380000000001</v>
      </c>
      <c r="J2684">
        <v>-319.74239999999998</v>
      </c>
      <c r="K2684">
        <v>1.120984</v>
      </c>
      <c r="L2684">
        <v>213.87</v>
      </c>
      <c r="M2684">
        <v>0.99987239999999999</v>
      </c>
      <c r="N2684">
        <v>-1.522189E-2</v>
      </c>
      <c r="O2684">
        <v>4.8543650000000002E-3</v>
      </c>
      <c r="P2684">
        <v>0.9790624</v>
      </c>
      <c r="Q2684">
        <v>0.2035575</v>
      </c>
      <c r="R2684">
        <v>1.2004260000000001E-3</v>
      </c>
      <c r="S2684">
        <v>3.072327</v>
      </c>
      <c r="T2684">
        <v>-3.8699629999999999E-2</v>
      </c>
      <c r="U2684">
        <v>0.25263980000000003</v>
      </c>
      <c r="V2684">
        <v>3.6466070000000001E-3</v>
      </c>
      <c r="W2684">
        <v>0.2184354</v>
      </c>
      <c r="X2684">
        <v>0.97584459999999995</v>
      </c>
      <c r="Y2684">
        <v>-7.7101149999999993E-2</v>
      </c>
      <c r="Z2684">
        <v>1.085379E-3</v>
      </c>
      <c r="AA2684">
        <v>0.99702270000000004</v>
      </c>
      <c r="AB2684">
        <v>41</v>
      </c>
      <c r="AC2684">
        <v>82.229399999999899</v>
      </c>
      <c r="AD2684">
        <v>-1.0409834999999901</v>
      </c>
      <c r="AE2684">
        <v>6.7938000000000001</v>
      </c>
      <c r="AF2684">
        <v>-6.3934844837419504</v>
      </c>
      <c r="AG2684">
        <v>-1.0409834999999901</v>
      </c>
      <c r="AH2684">
        <v>82.248322311309707</v>
      </c>
      <c r="AI2684">
        <v>90.722949903292601</v>
      </c>
      <c r="AJ2684">
        <v>94.444887070053397</v>
      </c>
      <c r="AK2684">
        <v>82.503010936063404</v>
      </c>
      <c r="AL2684">
        <v>77.382846914567907</v>
      </c>
      <c r="AM2684">
        <v>89.785893964969205</v>
      </c>
      <c r="AN2684">
        <v>1.00000000253246</v>
      </c>
    </row>
    <row r="2685" spans="1:40" x14ac:dyDescent="0.25">
      <c r="A2685" t="str">
        <f>"20190303170818495"</f>
        <v>20190303170818495</v>
      </c>
      <c r="B2685" t="str">
        <f>"1551604098485783"</f>
        <v>1551604098485783</v>
      </c>
      <c r="C2685" t="s">
        <v>40</v>
      </c>
      <c r="D2685">
        <v>4.6960610000000003</v>
      </c>
      <c r="E2685">
        <v>0.47299869999999999</v>
      </c>
      <c r="F2685" t="s">
        <v>63</v>
      </c>
      <c r="G2685">
        <v>-236.191</v>
      </c>
      <c r="H2685">
        <v>8.0000089999999996E-2</v>
      </c>
      <c r="I2685">
        <v>220.9007</v>
      </c>
      <c r="J2685">
        <v>-319.3537</v>
      </c>
      <c r="K2685">
        <v>1.1209929999999999</v>
      </c>
      <c r="L2685">
        <v>213.87180000000001</v>
      </c>
      <c r="M2685">
        <v>0.99987309999999996</v>
      </c>
      <c r="N2685">
        <v>-1.5217059999999999E-2</v>
      </c>
      <c r="O2685">
        <v>4.7490329999999997E-3</v>
      </c>
      <c r="P2685">
        <v>0.97920600000000002</v>
      </c>
      <c r="Q2685">
        <v>0.2028684</v>
      </c>
      <c r="R2685">
        <v>8.6644109999999995E-4</v>
      </c>
      <c r="S2685">
        <v>3.071777</v>
      </c>
      <c r="T2685">
        <v>-3.8271899999999998E-2</v>
      </c>
      <c r="U2685">
        <v>0.25848389999999999</v>
      </c>
      <c r="V2685">
        <v>3.871003E-3</v>
      </c>
      <c r="W2685">
        <v>0.21774389999999999</v>
      </c>
      <c r="X2685">
        <v>0.97599829999999999</v>
      </c>
      <c r="Y2685">
        <v>-7.9104259999999996E-2</v>
      </c>
      <c r="Z2685">
        <v>1.108003E-3</v>
      </c>
      <c r="AA2685">
        <v>0.99686569999999997</v>
      </c>
      <c r="AB2685">
        <v>41</v>
      </c>
      <c r="AC2685">
        <v>83.162700000000001</v>
      </c>
      <c r="AD2685">
        <v>-1.0409929099999999</v>
      </c>
      <c r="AE2685">
        <v>7.0288999999999904</v>
      </c>
      <c r="AF2685">
        <v>-6.6328007277414001</v>
      </c>
      <c r="AG2685">
        <v>-1.0409929099999999</v>
      </c>
      <c r="AH2685">
        <v>83.182205033326099</v>
      </c>
      <c r="AI2685">
        <v>90.714728592880505</v>
      </c>
      <c r="AJ2685">
        <v>94.559017280969201</v>
      </c>
      <c r="AK2685">
        <v>83.452722819204098</v>
      </c>
      <c r="AL2685">
        <v>77.423444603584997</v>
      </c>
      <c r="AM2685">
        <v>89.772754756428</v>
      </c>
      <c r="AN2685">
        <v>1.0000000361271599</v>
      </c>
    </row>
    <row r="2686" spans="1:40" x14ac:dyDescent="0.25">
      <c r="A2686" t="str">
        <f>"20190303170818517"</f>
        <v>20190303170818517</v>
      </c>
      <c r="B2686" t="str">
        <f>"1551604098505304"</f>
        <v>1551604098505304</v>
      </c>
      <c r="C2686" t="s">
        <v>40</v>
      </c>
      <c r="D2686">
        <v>4.769336</v>
      </c>
      <c r="E2686">
        <v>0.4732613</v>
      </c>
      <c r="F2686" t="s">
        <v>63</v>
      </c>
      <c r="G2686">
        <v>-241.3681</v>
      </c>
      <c r="H2686">
        <v>8.0000169999999995E-2</v>
      </c>
      <c r="I2686">
        <v>220.23500000000001</v>
      </c>
      <c r="J2686">
        <v>-318.95699999999999</v>
      </c>
      <c r="K2686">
        <v>1.1210119999999999</v>
      </c>
      <c r="L2686">
        <v>213.87360000000001</v>
      </c>
      <c r="M2686">
        <v>0.99987340000000002</v>
      </c>
      <c r="N2686">
        <v>-1.521219E-2</v>
      </c>
      <c r="O2686">
        <v>4.6629710000000001E-3</v>
      </c>
      <c r="P2686">
        <v>0.9791434</v>
      </c>
      <c r="Q2686">
        <v>0.20317070000000001</v>
      </c>
      <c r="R2686">
        <v>1.149997E-4</v>
      </c>
      <c r="S2686">
        <v>3.0719910000000001</v>
      </c>
      <c r="T2686">
        <v>-4.1006569999999999E-2</v>
      </c>
      <c r="U2686">
        <v>0.25065609999999999</v>
      </c>
      <c r="V2686">
        <v>4.5290410000000001E-3</v>
      </c>
      <c r="W2686">
        <v>0.21804029999999999</v>
      </c>
      <c r="X2686">
        <v>0.9759293</v>
      </c>
      <c r="Y2686">
        <v>-7.6660279999999997E-2</v>
      </c>
      <c r="Z2686">
        <v>1.103611E-3</v>
      </c>
      <c r="AA2686">
        <v>0.99705670000000002</v>
      </c>
      <c r="AB2686">
        <v>41</v>
      </c>
      <c r="AC2686">
        <v>77.588899999999995</v>
      </c>
      <c r="AD2686">
        <v>-1.04101183</v>
      </c>
      <c r="AE2686">
        <v>6.3613999999999997</v>
      </c>
      <c r="AF2686">
        <v>-5.9984215555498999</v>
      </c>
      <c r="AG2686">
        <v>-1.04101183</v>
      </c>
      <c r="AH2686">
        <v>77.603846051336305</v>
      </c>
      <c r="AI2686">
        <v>90.766259117121706</v>
      </c>
      <c r="AJ2686">
        <v>94.419912710908704</v>
      </c>
      <c r="AK2686">
        <v>77.842287278495306</v>
      </c>
      <c r="AL2686">
        <v>77.406044119924005</v>
      </c>
      <c r="AM2686">
        <v>89.734106690216095</v>
      </c>
      <c r="AN2686">
        <v>1.0000000416174699</v>
      </c>
    </row>
    <row r="2687" spans="1:40" x14ac:dyDescent="0.25">
      <c r="A2687" t="str">
        <f>"20190303170818540"</f>
        <v>20190303170818540</v>
      </c>
      <c r="B2687" t="str">
        <f>"1551604098535560"</f>
        <v>1551604098535560</v>
      </c>
      <c r="C2687" t="s">
        <v>40</v>
      </c>
      <c r="D2687">
        <v>4.7425420000000003</v>
      </c>
      <c r="E2687">
        <v>0.47295880000000001</v>
      </c>
      <c r="F2687" t="s">
        <v>63</v>
      </c>
      <c r="G2687">
        <v>-239.37970000000001</v>
      </c>
      <c r="H2687">
        <v>8.0001059999999999E-2</v>
      </c>
      <c r="I2687">
        <v>220.26779999999999</v>
      </c>
      <c r="J2687">
        <v>-318.53649999999999</v>
      </c>
      <c r="K2687">
        <v>1.1210329999999999</v>
      </c>
      <c r="L2687">
        <v>213.87549999999999</v>
      </c>
      <c r="M2687">
        <v>0.99987389999999998</v>
      </c>
      <c r="N2687">
        <v>-1.520722E-2</v>
      </c>
      <c r="O2687">
        <v>4.5964889999999996E-3</v>
      </c>
      <c r="P2687">
        <v>0.97902100000000003</v>
      </c>
      <c r="Q2687">
        <v>0.203759</v>
      </c>
      <c r="R2687">
        <v>-5.4223460000000004E-4</v>
      </c>
      <c r="S2687">
        <v>3.0722049999999999</v>
      </c>
      <c r="T2687">
        <v>-4.0189860000000001E-2</v>
      </c>
      <c r="U2687">
        <v>0.24685670000000001</v>
      </c>
      <c r="V2687">
        <v>5.1094399999999998E-3</v>
      </c>
      <c r="W2687">
        <v>0.21862200000000001</v>
      </c>
      <c r="X2687">
        <v>0.9757962</v>
      </c>
      <c r="Y2687">
        <v>-7.5496489999999999E-2</v>
      </c>
      <c r="Z2687">
        <v>1.0778210000000001E-3</v>
      </c>
      <c r="AA2687">
        <v>0.99714550000000002</v>
      </c>
      <c r="AB2687">
        <v>41</v>
      </c>
      <c r="AC2687">
        <v>79.156799999999905</v>
      </c>
      <c r="AD2687">
        <v>-1.0410319400000001</v>
      </c>
      <c r="AE2687">
        <v>6.3922999999999996</v>
      </c>
      <c r="AF2687">
        <v>-6.0273113111235403</v>
      </c>
      <c r="AG2687">
        <v>-1.0410319400000001</v>
      </c>
      <c r="AH2687">
        <v>79.171744122886196</v>
      </c>
      <c r="AI2687">
        <v>90.751167347084007</v>
      </c>
      <c r="AJ2687">
        <v>94.353505804446598</v>
      </c>
      <c r="AK2687">
        <v>79.407665225726603</v>
      </c>
      <c r="AL2687">
        <v>77.371890101210397</v>
      </c>
      <c r="AM2687">
        <v>89.699991993993095</v>
      </c>
      <c r="AN2687">
        <v>0.99999995459777502</v>
      </c>
    </row>
    <row r="2688" spans="1:40" x14ac:dyDescent="0.25">
      <c r="A2688" t="str">
        <f>"20190303170818564"</f>
        <v>20190303170818564</v>
      </c>
      <c r="B2688" t="str">
        <f>"1551604098556055"</f>
        <v>1551604098556055</v>
      </c>
      <c r="C2688" t="s">
        <v>40</v>
      </c>
      <c r="D2688">
        <v>4.708653</v>
      </c>
      <c r="E2688">
        <v>0.4731149</v>
      </c>
      <c r="F2688" t="s">
        <v>63</v>
      </c>
      <c r="G2688">
        <v>-235.51400000000001</v>
      </c>
      <c r="H2688">
        <v>7.9999909999999994E-2</v>
      </c>
      <c r="I2688">
        <v>220.5675</v>
      </c>
      <c r="J2688">
        <v>-318.101</v>
      </c>
      <c r="K2688">
        <v>1.121057</v>
      </c>
      <c r="L2688">
        <v>213.8775</v>
      </c>
      <c r="M2688">
        <v>0.99987420000000005</v>
      </c>
      <c r="N2688">
        <v>-1.5202220000000001E-2</v>
      </c>
      <c r="O2688">
        <v>4.5499900000000003E-3</v>
      </c>
      <c r="P2688">
        <v>0.97901490000000002</v>
      </c>
      <c r="Q2688">
        <v>0.20378599999999999</v>
      </c>
      <c r="R2688">
        <v>-1.039278E-3</v>
      </c>
      <c r="S2688">
        <v>3.0724179999999999</v>
      </c>
      <c r="T2688">
        <v>-3.8525579999999997E-2</v>
      </c>
      <c r="U2688">
        <v>0.24765010000000001</v>
      </c>
      <c r="V2688">
        <v>5.548791E-3</v>
      </c>
      <c r="W2688">
        <v>0.2186439</v>
      </c>
      <c r="X2688">
        <v>0.97578900000000002</v>
      </c>
      <c r="Y2688">
        <v>-7.5793959999999994E-2</v>
      </c>
      <c r="Z2688">
        <v>1.0636529999999999E-3</v>
      </c>
      <c r="AA2688">
        <v>0.99712290000000003</v>
      </c>
      <c r="AB2688">
        <v>41</v>
      </c>
      <c r="AC2688">
        <v>82.586999999999904</v>
      </c>
      <c r="AD2688">
        <v>-1.04105709</v>
      </c>
      <c r="AE2688">
        <v>6.6899999999999897</v>
      </c>
      <c r="AF2688">
        <v>-6.3131207038597097</v>
      </c>
      <c r="AG2688">
        <v>-1.04105709</v>
      </c>
      <c r="AH2688">
        <v>82.603547680608997</v>
      </c>
      <c r="AI2688">
        <v>90.719964267014305</v>
      </c>
      <c r="AJ2688">
        <v>94.370434136512003</v>
      </c>
      <c r="AK2688">
        <v>82.8509829893936</v>
      </c>
      <c r="AL2688">
        <v>77.370605545727699</v>
      </c>
      <c r="AM2688">
        <v>89.674193007915505</v>
      </c>
      <c r="AN2688">
        <v>1.00000005830488</v>
      </c>
    </row>
    <row r="2689" spans="1:40" x14ac:dyDescent="0.25">
      <c r="A2689" t="str">
        <f>"20190303170818587"</f>
        <v>20190303170818587</v>
      </c>
      <c r="B2689" t="str">
        <f>"1551604098575576"</f>
        <v>1551604098575576</v>
      </c>
      <c r="C2689" t="s">
        <v>40</v>
      </c>
      <c r="D2689">
        <v>4.7290650000000003</v>
      </c>
      <c r="E2689">
        <v>0.4732732</v>
      </c>
      <c r="F2689" t="s">
        <v>63</v>
      </c>
      <c r="G2689">
        <v>-234.24879999999999</v>
      </c>
      <c r="H2689">
        <v>8.0001000000000003E-2</v>
      </c>
      <c r="I2689">
        <v>220.56739999999999</v>
      </c>
      <c r="J2689">
        <v>-317.68889999999999</v>
      </c>
      <c r="K2689">
        <v>1.1210770000000001</v>
      </c>
      <c r="L2689">
        <v>213.8793</v>
      </c>
      <c r="M2689">
        <v>0.99987440000000005</v>
      </c>
      <c r="N2689">
        <v>-1.519738E-2</v>
      </c>
      <c r="O2689">
        <v>4.5216520000000001E-3</v>
      </c>
      <c r="P2689">
        <v>0.97910540000000001</v>
      </c>
      <c r="Q2689">
        <v>0.2033519</v>
      </c>
      <c r="R2689">
        <v>-8.1022080000000001E-4</v>
      </c>
      <c r="S2689">
        <v>3.07254</v>
      </c>
      <c r="T2689">
        <v>-3.8146729999999997E-2</v>
      </c>
      <c r="U2689">
        <v>0.2451324</v>
      </c>
      <c r="V2689">
        <v>5.2823319999999998E-3</v>
      </c>
      <c r="W2689">
        <v>0.2182074</v>
      </c>
      <c r="X2689">
        <v>0.97588810000000004</v>
      </c>
      <c r="Y2689">
        <v>-7.5007509999999999E-2</v>
      </c>
      <c r="Z2689">
        <v>1.0483840000000001E-3</v>
      </c>
      <c r="AA2689">
        <v>0.99718240000000002</v>
      </c>
      <c r="AB2689">
        <v>41</v>
      </c>
      <c r="AC2689">
        <v>83.440100000000001</v>
      </c>
      <c r="AD2689">
        <v>-1.0410759999999999</v>
      </c>
      <c r="AE2689">
        <v>6.6880999999999897</v>
      </c>
      <c r="AF2689">
        <v>-6.3097249959195496</v>
      </c>
      <c r="AG2689">
        <v>-1.0410759999999999</v>
      </c>
      <c r="AH2689">
        <v>83.456582511273993</v>
      </c>
      <c r="AI2689">
        <v>90.712663263020801</v>
      </c>
      <c r="AJ2689">
        <v>94.323615046944099</v>
      </c>
      <c r="AK2689">
        <v>83.701240332643707</v>
      </c>
      <c r="AL2689">
        <v>77.396232959242894</v>
      </c>
      <c r="AM2689">
        <v>89.689869797760693</v>
      </c>
      <c r="AN2689">
        <v>0.99999997808386398</v>
      </c>
    </row>
    <row r="2690" spans="1:40" x14ac:dyDescent="0.25">
      <c r="A2690" t="str">
        <f>"20190303170818608"</f>
        <v>20190303170818608</v>
      </c>
      <c r="B2690" t="str">
        <f>"1551604098596072"</f>
        <v>1551604098596072</v>
      </c>
      <c r="C2690" t="s">
        <v>40</v>
      </c>
      <c r="D2690">
        <v>4.6634129999999896</v>
      </c>
      <c r="E2690">
        <v>0.47297430000000001</v>
      </c>
      <c r="F2690" t="s">
        <v>63</v>
      </c>
      <c r="G2690">
        <v>-237.6335</v>
      </c>
      <c r="H2690">
        <v>8.0000539999999995E-2</v>
      </c>
      <c r="I2690">
        <v>220.2448</v>
      </c>
      <c r="J2690">
        <v>-317.3005</v>
      </c>
      <c r="K2690">
        <v>1.1210899999999999</v>
      </c>
      <c r="L2690">
        <v>213.8811</v>
      </c>
      <c r="M2690">
        <v>0.9998745</v>
      </c>
      <c r="N2690">
        <v>-1.519276E-2</v>
      </c>
      <c r="O2690">
        <v>4.5064500000000004E-3</v>
      </c>
      <c r="P2690">
        <v>0.97909440000000003</v>
      </c>
      <c r="Q2690">
        <v>0.2034069</v>
      </c>
      <c r="R2690">
        <v>-3.9069350000000002E-4</v>
      </c>
      <c r="S2690">
        <v>3.07254</v>
      </c>
      <c r="T2690">
        <v>-3.9956690000000003E-2</v>
      </c>
      <c r="U2690">
        <v>0.24430850000000001</v>
      </c>
      <c r="V2690">
        <v>4.8404140000000003E-3</v>
      </c>
      <c r="W2690">
        <v>0.2182577</v>
      </c>
      <c r="X2690">
        <v>0.97587919999999995</v>
      </c>
      <c r="Y2690">
        <v>-7.4756110000000001E-2</v>
      </c>
      <c r="Z2690">
        <v>1.0640090000000001E-3</v>
      </c>
      <c r="AA2690">
        <v>0.99720129999999996</v>
      </c>
      <c r="AB2690">
        <v>41</v>
      </c>
      <c r="AC2690">
        <v>79.667000000000002</v>
      </c>
      <c r="AD2690">
        <v>-1.04108946</v>
      </c>
      <c r="AE2690">
        <v>6.3636999999999899</v>
      </c>
      <c r="AF2690">
        <v>-6.0035598543834903</v>
      </c>
      <c r="AG2690">
        <v>-1.04108946</v>
      </c>
      <c r="AH2690">
        <v>79.681350721970801</v>
      </c>
      <c r="AI2690">
        <v>90.746449111061395</v>
      </c>
      <c r="AJ2690">
        <v>94.308786764701296</v>
      </c>
      <c r="AK2690">
        <v>79.913980323011103</v>
      </c>
      <c r="AL2690">
        <v>77.393280505933106</v>
      </c>
      <c r="AM2690">
        <v>89.715812142545502</v>
      </c>
      <c r="AN2690">
        <v>1.00000003310481</v>
      </c>
    </row>
    <row r="2691" spans="1:40" x14ac:dyDescent="0.25">
      <c r="A2691" t="str">
        <f>"20190303170818631"</f>
        <v>20190303170818631</v>
      </c>
      <c r="B2691" t="str">
        <f>"1551604098625352"</f>
        <v>1551604098625352</v>
      </c>
      <c r="C2691" t="s">
        <v>40</v>
      </c>
      <c r="D2691">
        <v>4.7717159999999996</v>
      </c>
      <c r="E2691">
        <v>0.47284019999999999</v>
      </c>
      <c r="F2691" t="s">
        <v>63</v>
      </c>
      <c r="G2691">
        <v>-235.51910000000001</v>
      </c>
      <c r="H2691">
        <v>7.9999920000000002E-2</v>
      </c>
      <c r="I2691">
        <v>220.47460000000001</v>
      </c>
      <c r="J2691">
        <v>-316.89350000000002</v>
      </c>
      <c r="K2691">
        <v>1.1211120000000001</v>
      </c>
      <c r="L2691">
        <v>213.88290000000001</v>
      </c>
      <c r="M2691">
        <v>0.9998745</v>
      </c>
      <c r="N2691">
        <v>-1.518796E-2</v>
      </c>
      <c r="O2691">
        <v>4.4992970000000002E-3</v>
      </c>
      <c r="P2691">
        <v>0.97895989999999999</v>
      </c>
      <c r="Q2691">
        <v>0.20405239999999999</v>
      </c>
      <c r="R2691">
        <v>-3.3411379999999998E-4</v>
      </c>
      <c r="S2691">
        <v>3.0722659999999999</v>
      </c>
      <c r="T2691">
        <v>-3.911042E-2</v>
      </c>
      <c r="U2691">
        <v>0.2476959</v>
      </c>
      <c r="V2691">
        <v>4.7707569999999996E-3</v>
      </c>
      <c r="W2691">
        <v>0.21889649999999999</v>
      </c>
      <c r="X2691">
        <v>0.97573639999999995</v>
      </c>
      <c r="Y2691">
        <v>-7.5862949999999998E-2</v>
      </c>
      <c r="Z2691">
        <v>1.0702450000000001E-3</v>
      </c>
      <c r="AA2691">
        <v>0.9971177</v>
      </c>
      <c r="AB2691">
        <v>41</v>
      </c>
      <c r="AC2691">
        <v>81.374399999999994</v>
      </c>
      <c r="AD2691">
        <v>-1.04111208</v>
      </c>
      <c r="AE2691">
        <v>6.5917000000000003</v>
      </c>
      <c r="AF2691">
        <v>-6.2244511909023501</v>
      </c>
      <c r="AG2691">
        <v>-1.04111208</v>
      </c>
      <c r="AH2691">
        <v>81.390001791287204</v>
      </c>
      <c r="AI2691">
        <v>90.7307337740706</v>
      </c>
      <c r="AJ2691">
        <v>94.373288126242898</v>
      </c>
      <c r="AK2691">
        <v>81.634307117637704</v>
      </c>
      <c r="AL2691">
        <v>77.355772337726293</v>
      </c>
      <c r="AM2691">
        <v>89.719860750289499</v>
      </c>
      <c r="AN2691">
        <v>0.99999998005978097</v>
      </c>
    </row>
    <row r="2692" spans="1:40" x14ac:dyDescent="0.25">
      <c r="A2692" t="str">
        <f>"20190303170818652"</f>
        <v>20190303170818652</v>
      </c>
      <c r="B2692" t="str">
        <f>"1551604098645848"</f>
        <v>1551604098645848</v>
      </c>
      <c r="C2692" t="s">
        <v>40</v>
      </c>
      <c r="D2692">
        <v>4.6523599999999998</v>
      </c>
      <c r="E2692">
        <v>0.47282279999999999</v>
      </c>
      <c r="F2692" t="s">
        <v>63</v>
      </c>
      <c r="G2692">
        <v>-231.5941</v>
      </c>
      <c r="H2692">
        <v>8.0000219999999997E-2</v>
      </c>
      <c r="I2692">
        <v>220.7928</v>
      </c>
      <c r="J2692">
        <v>-316.49740000000003</v>
      </c>
      <c r="K2692">
        <v>1.121124</v>
      </c>
      <c r="L2692">
        <v>213.88470000000001</v>
      </c>
      <c r="M2692">
        <v>0.9998745</v>
      </c>
      <c r="N2692">
        <v>-1.518334E-2</v>
      </c>
      <c r="O2692">
        <v>4.4976319999999997E-3</v>
      </c>
      <c r="P2692">
        <v>0.97870950000000001</v>
      </c>
      <c r="Q2692">
        <v>0.20525019999999999</v>
      </c>
      <c r="R2692">
        <v>-5.0335189999999995E-4</v>
      </c>
      <c r="S2692">
        <v>3.0723880000000001</v>
      </c>
      <c r="T2692">
        <v>-3.7499669999999999E-2</v>
      </c>
      <c r="U2692">
        <v>0.2488861</v>
      </c>
      <c r="V2692">
        <v>4.9330270000000004E-3</v>
      </c>
      <c r="W2692">
        <v>0.22008610000000001</v>
      </c>
      <c r="X2692">
        <v>0.975468</v>
      </c>
      <c r="Y2692">
        <v>-7.6245930000000003E-2</v>
      </c>
      <c r="Z2692">
        <v>1.057774E-3</v>
      </c>
      <c r="AA2692">
        <v>0.99708850000000004</v>
      </c>
      <c r="AB2692">
        <v>41</v>
      </c>
      <c r="AC2692">
        <v>84.903300000000002</v>
      </c>
      <c r="AD2692">
        <v>-1.0411237799999999</v>
      </c>
      <c r="AE2692">
        <v>6.9080999999999904</v>
      </c>
      <c r="AF2692">
        <v>-6.5251475264322103</v>
      </c>
      <c r="AG2692">
        <v>-1.0411237799999999</v>
      </c>
      <c r="AH2692">
        <v>84.920829332175799</v>
      </c>
      <c r="AI2692">
        <v>90.700343104652603</v>
      </c>
      <c r="AJ2692">
        <v>94.393860013567803</v>
      </c>
      <c r="AK2692">
        <v>85.177513132466501</v>
      </c>
      <c r="AL2692">
        <v>77.285910182001501</v>
      </c>
      <c r="AM2692">
        <v>89.710252701346604</v>
      </c>
      <c r="AN2692">
        <v>1.00000002259629</v>
      </c>
    </row>
    <row r="2693" spans="1:40" x14ac:dyDescent="0.25">
      <c r="A2693" t="str">
        <f>"20190303170818675"</f>
        <v>20190303170818675</v>
      </c>
      <c r="B2693" t="str">
        <f>"1551604098665371"</f>
        <v>1551604098665371</v>
      </c>
      <c r="C2693" t="s">
        <v>40</v>
      </c>
      <c r="D2693">
        <v>4.7809439999999999</v>
      </c>
      <c r="E2693">
        <v>0.47273599999999999</v>
      </c>
      <c r="F2693" t="s">
        <v>63</v>
      </c>
      <c r="G2693">
        <v>-224.2415</v>
      </c>
      <c r="H2693">
        <v>8.0000970000000005E-2</v>
      </c>
      <c r="I2693">
        <v>221.34960000000001</v>
      </c>
      <c r="J2693">
        <v>-316.08260000000001</v>
      </c>
      <c r="K2693">
        <v>1.1211409999999999</v>
      </c>
      <c r="L2693">
        <v>213.88659999999999</v>
      </c>
      <c r="M2693">
        <v>0.99987479999999995</v>
      </c>
      <c r="N2693">
        <v>-1.5178580000000001E-2</v>
      </c>
      <c r="O2693">
        <v>4.4981520000000001E-3</v>
      </c>
      <c r="P2693">
        <v>0.97858259999999997</v>
      </c>
      <c r="Q2693">
        <v>0.20585100000000001</v>
      </c>
      <c r="R2693">
        <v>-1.193389E-3</v>
      </c>
      <c r="S2693">
        <v>3.0726619999999998</v>
      </c>
      <c r="T2693">
        <v>-3.4675480000000002E-2</v>
      </c>
      <c r="U2693">
        <v>0.24862670000000001</v>
      </c>
      <c r="V2693">
        <v>5.6195990000000003E-3</v>
      </c>
      <c r="W2693">
        <v>0.22067999999999999</v>
      </c>
      <c r="X2693">
        <v>0.97533009999999998</v>
      </c>
      <c r="Y2693">
        <v>-7.6155979999999998E-2</v>
      </c>
      <c r="Z2693">
        <v>1.025488E-3</v>
      </c>
      <c r="AA2693">
        <v>0.99709539999999997</v>
      </c>
      <c r="AB2693">
        <v>41</v>
      </c>
      <c r="AC2693">
        <v>91.841099999999997</v>
      </c>
      <c r="AD2693">
        <v>-1.04114003</v>
      </c>
      <c r="AE2693">
        <v>7.4630000000000196</v>
      </c>
      <c r="AF2693">
        <v>-7.0488617841949903</v>
      </c>
      <c r="AG2693">
        <v>-1.04114003</v>
      </c>
      <c r="AH2693">
        <v>91.862016283837093</v>
      </c>
      <c r="AI2693">
        <v>90.647444445569903</v>
      </c>
      <c r="AJ2693">
        <v>94.387887142537593</v>
      </c>
      <c r="AK2693">
        <v>92.137942568448494</v>
      </c>
      <c r="AL2693">
        <v>77.251024505504304</v>
      </c>
      <c r="AM2693">
        <v>89.669880236095395</v>
      </c>
      <c r="AN2693">
        <v>1.0000000231294599</v>
      </c>
    </row>
    <row r="2694" spans="1:40" x14ac:dyDescent="0.25">
      <c r="A2694" t="str">
        <f>"20190303170818696"</f>
        <v>20190303170818696</v>
      </c>
      <c r="B2694" t="str">
        <f>"1551604098685863"</f>
        <v>1551604098685863</v>
      </c>
      <c r="C2694" t="s">
        <v>40</v>
      </c>
      <c r="D2694">
        <v>4.7795329999999998</v>
      </c>
      <c r="E2694">
        <v>0.4726167</v>
      </c>
      <c r="F2694" t="s">
        <v>63</v>
      </c>
      <c r="G2694">
        <v>-220.75550000000001</v>
      </c>
      <c r="H2694">
        <v>7.9999940000000005E-2</v>
      </c>
      <c r="I2694">
        <v>221.53569999999999</v>
      </c>
      <c r="J2694">
        <v>-315.68950000000001</v>
      </c>
      <c r="K2694">
        <v>1.121149</v>
      </c>
      <c r="L2694">
        <v>213.88829999999999</v>
      </c>
      <c r="M2694">
        <v>0.99987479999999995</v>
      </c>
      <c r="N2694">
        <v>-1.5174109999999999E-2</v>
      </c>
      <c r="O2694">
        <v>4.4987669999999999E-3</v>
      </c>
      <c r="P2694">
        <v>0.97846</v>
      </c>
      <c r="Q2694">
        <v>0.20642949999999999</v>
      </c>
      <c r="R2694">
        <v>-1.7320180000000001E-3</v>
      </c>
      <c r="S2694">
        <v>3.073029</v>
      </c>
      <c r="T2694">
        <v>-3.35629E-2</v>
      </c>
      <c r="U2694">
        <v>0.246582</v>
      </c>
      <c r="V2694">
        <v>6.1552780000000001E-3</v>
      </c>
      <c r="W2694">
        <v>0.22125249999999999</v>
      </c>
      <c r="X2694">
        <v>0.97519710000000004</v>
      </c>
      <c r="Y2694">
        <v>-7.5487289999999999E-2</v>
      </c>
      <c r="Z2694">
        <v>1.0043840000000001E-3</v>
      </c>
      <c r="AA2694">
        <v>0.99714619999999998</v>
      </c>
      <c r="AB2694">
        <v>41</v>
      </c>
      <c r="AC2694">
        <v>94.933999999999997</v>
      </c>
      <c r="AD2694">
        <v>-1.04114906</v>
      </c>
      <c r="AE2694">
        <v>7.6474000000000002</v>
      </c>
      <c r="AF2694">
        <v>-7.2193247736875303</v>
      </c>
      <c r="AG2694">
        <v>-1.04114906</v>
      </c>
      <c r="AH2694">
        <v>94.956099532338897</v>
      </c>
      <c r="AI2694">
        <v>90.626388563635004</v>
      </c>
      <c r="AJ2694">
        <v>94.347720882818507</v>
      </c>
      <c r="AK2694">
        <v>95.235830861858801</v>
      </c>
      <c r="AL2694">
        <v>77.217390617994297</v>
      </c>
      <c r="AM2694">
        <v>89.638363600692003</v>
      </c>
      <c r="AN2694">
        <v>0.99999997002595797</v>
      </c>
    </row>
    <row r="2695" spans="1:40" x14ac:dyDescent="0.25">
      <c r="A2695" t="str">
        <f>"20190303170818719"</f>
        <v>20190303170818719</v>
      </c>
      <c r="B2695" t="str">
        <f>"1551604098705384"</f>
        <v>1551604098705384</v>
      </c>
      <c r="C2695" t="s">
        <v>40</v>
      </c>
      <c r="D2695">
        <v>4.7893470000000002</v>
      </c>
      <c r="E2695">
        <v>0.47242679999999998</v>
      </c>
      <c r="F2695" t="s">
        <v>63</v>
      </c>
      <c r="G2695">
        <v>-213.53380000000001</v>
      </c>
      <c r="H2695">
        <v>8.0000730000000006E-2</v>
      </c>
      <c r="I2695">
        <v>222.05160000000001</v>
      </c>
      <c r="J2695">
        <v>-315.28969999999998</v>
      </c>
      <c r="K2695">
        <v>1.121162</v>
      </c>
      <c r="L2695">
        <v>213.89009999999999</v>
      </c>
      <c r="M2695">
        <v>0.99987490000000001</v>
      </c>
      <c r="N2695">
        <v>-1.516962E-2</v>
      </c>
      <c r="O2695">
        <v>4.4987150000000004E-3</v>
      </c>
      <c r="P2695">
        <v>0.97831579999999996</v>
      </c>
      <c r="Q2695">
        <v>0.20710619999999999</v>
      </c>
      <c r="R2695">
        <v>-2.3722280000000001E-3</v>
      </c>
      <c r="S2695">
        <v>3.0731199999999999</v>
      </c>
      <c r="T2695">
        <v>-3.1320569999999999E-2</v>
      </c>
      <c r="U2695">
        <v>0.24557499999999999</v>
      </c>
      <c r="V2695">
        <v>6.7921850000000001E-3</v>
      </c>
      <c r="W2695">
        <v>0.22192249999999999</v>
      </c>
      <c r="X2695">
        <v>0.97504069999999998</v>
      </c>
      <c r="Y2695">
        <v>-7.5161320000000004E-2</v>
      </c>
      <c r="Z2695">
        <v>9.7582509999999997E-4</v>
      </c>
      <c r="AA2695">
        <v>0.99717089999999997</v>
      </c>
      <c r="AB2695">
        <v>41</v>
      </c>
      <c r="AC2695">
        <v>101.755899999999</v>
      </c>
      <c r="AD2695">
        <v>-1.0411612699999999</v>
      </c>
      <c r="AE2695">
        <v>8.1615000000000109</v>
      </c>
      <c r="AF2695">
        <v>-7.7027926863246297</v>
      </c>
      <c r="AG2695">
        <v>-1.0411612699999999</v>
      </c>
      <c r="AH2695">
        <v>101.78100292566501</v>
      </c>
      <c r="AI2695">
        <v>90.584411418603196</v>
      </c>
      <c r="AJ2695">
        <v>94.327898131536202</v>
      </c>
      <c r="AK2695">
        <v>102.077370599525</v>
      </c>
      <c r="AL2695">
        <v>77.178024823705698</v>
      </c>
      <c r="AM2695">
        <v>89.600881030382098</v>
      </c>
      <c r="AN2695">
        <v>1.0000000482199001</v>
      </c>
    </row>
    <row r="2696" spans="1:40" x14ac:dyDescent="0.25">
      <c r="A2696" t="str">
        <f>"20190303170818741"</f>
        <v>20190303170818741</v>
      </c>
      <c r="B2696" t="str">
        <f>"1551604098735640"</f>
        <v>1551604098735640</v>
      </c>
      <c r="C2696" t="s">
        <v>40</v>
      </c>
      <c r="D2696">
        <v>4.8464850000000004</v>
      </c>
      <c r="E2696">
        <v>0.4722652</v>
      </c>
      <c r="F2696" t="s">
        <v>57</v>
      </c>
      <c r="G2696">
        <v>-206.041</v>
      </c>
      <c r="H2696">
        <v>7.999995E-2</v>
      </c>
      <c r="I2696">
        <v>222.60820000000001</v>
      </c>
      <c r="J2696">
        <v>-314.87369999999999</v>
      </c>
      <c r="K2696">
        <v>1.12117</v>
      </c>
      <c r="L2696">
        <v>213.892</v>
      </c>
      <c r="M2696">
        <v>0.99987499999999996</v>
      </c>
      <c r="N2696">
        <v>-1.516495E-2</v>
      </c>
      <c r="O2696">
        <v>4.4979959999999998E-3</v>
      </c>
      <c r="P2696">
        <v>0.97813530000000004</v>
      </c>
      <c r="Q2696">
        <v>0.20795050000000001</v>
      </c>
      <c r="R2696">
        <v>-2.799246E-3</v>
      </c>
      <c r="S2696">
        <v>3.073334</v>
      </c>
      <c r="T2696">
        <v>-2.928948E-2</v>
      </c>
      <c r="U2696">
        <v>0.24525449999999999</v>
      </c>
      <c r="V2696">
        <v>7.2154640000000004E-3</v>
      </c>
      <c r="W2696">
        <v>0.2227594</v>
      </c>
      <c r="X2696">
        <v>0.97484680000000001</v>
      </c>
      <c r="Y2696">
        <v>-7.5054120000000002E-2</v>
      </c>
      <c r="Z2696">
        <v>9.5244600000000002E-4</v>
      </c>
      <c r="AA2696">
        <v>0.99717900000000004</v>
      </c>
      <c r="AB2696">
        <v>41</v>
      </c>
      <c r="AC2696">
        <v>108.8327</v>
      </c>
      <c r="AD2696">
        <v>-1.0411700500000001</v>
      </c>
      <c r="AE2696">
        <v>8.7162000000000095</v>
      </c>
      <c r="AF2696">
        <v>-8.2257784721470006</v>
      </c>
      <c r="AG2696">
        <v>-1.0411700500000001</v>
      </c>
      <c r="AH2696">
        <v>108.860909080426</v>
      </c>
      <c r="AI2696">
        <v>90.546415317806193</v>
      </c>
      <c r="AJ2696">
        <v>94.3211880392154</v>
      </c>
      <c r="AK2696">
        <v>109.176210743745</v>
      </c>
      <c r="AL2696">
        <v>77.128842914484693</v>
      </c>
      <c r="AM2696">
        <v>89.575925073436693</v>
      </c>
      <c r="AN2696">
        <v>1.0000000483396601</v>
      </c>
    </row>
    <row r="2697" spans="1:40" x14ac:dyDescent="0.25">
      <c r="A2697" t="str">
        <f>"20190303170818765"</f>
        <v>20190303170818765</v>
      </c>
      <c r="B2697" t="str">
        <f>"1551604098756136"</f>
        <v>1551604098756136</v>
      </c>
      <c r="C2697" t="s">
        <v>40</v>
      </c>
      <c r="D2697">
        <v>4.7789400000000004</v>
      </c>
      <c r="E2697">
        <v>0.4721747</v>
      </c>
      <c r="F2697" t="s">
        <v>57</v>
      </c>
      <c r="G2697">
        <v>-185.09010000000001</v>
      </c>
      <c r="H2697" s="1">
        <v>1.4539069999999999E-6</v>
      </c>
      <c r="I2697">
        <v>224.28210000000001</v>
      </c>
      <c r="J2697">
        <v>-314.44479999999999</v>
      </c>
      <c r="K2697">
        <v>1.121176</v>
      </c>
      <c r="L2697">
        <v>213.8939</v>
      </c>
      <c r="M2697">
        <v>0.99987499999999996</v>
      </c>
      <c r="N2697">
        <v>-1.516026E-2</v>
      </c>
      <c r="O2697">
        <v>4.4969049999999998E-3</v>
      </c>
      <c r="P2697">
        <v>0.97794780000000003</v>
      </c>
      <c r="Q2697">
        <v>0.20881449999999999</v>
      </c>
      <c r="R2697">
        <v>-3.8296900000000002E-3</v>
      </c>
      <c r="S2697">
        <v>3.0733950000000001</v>
      </c>
      <c r="T2697">
        <v>-2.6550290000000001E-2</v>
      </c>
      <c r="U2697">
        <v>0.24604799999999999</v>
      </c>
      <c r="V2697">
        <v>8.2420789999999994E-3</v>
      </c>
      <c r="W2697">
        <v>0.22361549999999999</v>
      </c>
      <c r="X2697">
        <v>0.97464260000000003</v>
      </c>
      <c r="Y2697">
        <v>-7.5310559999999999E-2</v>
      </c>
      <c r="Z2697">
        <v>9.2589729999999996E-4</v>
      </c>
      <c r="AA2697">
        <v>0.99715969999999998</v>
      </c>
      <c r="AB2697">
        <v>41</v>
      </c>
      <c r="AC2697">
        <v>129.35469999999901</v>
      </c>
      <c r="AD2697">
        <v>-1.121174546093</v>
      </c>
      <c r="AE2697">
        <v>10.388199999999999</v>
      </c>
      <c r="AF2697">
        <v>-9.8056003837054408</v>
      </c>
      <c r="AG2697">
        <v>-1.121174546093</v>
      </c>
      <c r="AH2697">
        <v>129.39045377916401</v>
      </c>
      <c r="AI2697">
        <v>90.495038863665798</v>
      </c>
      <c r="AJ2697">
        <v>94.333763965605598</v>
      </c>
      <c r="AK2697">
        <v>129.766314428767</v>
      </c>
      <c r="AL2697">
        <v>77.078522203754204</v>
      </c>
      <c r="AM2697">
        <v>89.515488975505704</v>
      </c>
      <c r="AN2697">
        <v>1.0000000107206199</v>
      </c>
    </row>
    <row r="2698" spans="1:40" x14ac:dyDescent="0.25">
      <c r="A2698" t="str">
        <f>"20190303170818788"</f>
        <v>20190303170818788</v>
      </c>
      <c r="B2698" t="str">
        <f>"1551604098775655"</f>
        <v>1551604098775655</v>
      </c>
      <c r="C2698" t="s">
        <v>40</v>
      </c>
      <c r="D2698">
        <v>4.802721</v>
      </c>
      <c r="E2698">
        <v>0.47206520000000002</v>
      </c>
      <c r="F2698" t="s">
        <v>57</v>
      </c>
      <c r="G2698">
        <v>-179.9324</v>
      </c>
      <c r="H2698">
        <v>7.5404849999999995E-2</v>
      </c>
      <c r="I2698">
        <v>224.61340000000001</v>
      </c>
      <c r="J2698">
        <v>-314.03429999999997</v>
      </c>
      <c r="K2698">
        <v>1.121176</v>
      </c>
      <c r="L2698">
        <v>213.89580000000001</v>
      </c>
      <c r="M2698">
        <v>0.99987510000000002</v>
      </c>
      <c r="N2698">
        <v>-1.5155679999999999E-2</v>
      </c>
      <c r="O2698">
        <v>4.495855E-3</v>
      </c>
      <c r="P2698">
        <v>0.97791240000000001</v>
      </c>
      <c r="Q2698">
        <v>0.2089628</v>
      </c>
      <c r="R2698">
        <v>-4.7038719999999996E-3</v>
      </c>
      <c r="S2698">
        <v>3.0737000000000001</v>
      </c>
      <c r="T2698">
        <v>-2.3896569999999999E-2</v>
      </c>
      <c r="U2698">
        <v>0.24494930000000001</v>
      </c>
      <c r="V2698">
        <v>9.113576E-3</v>
      </c>
      <c r="W2698">
        <v>0.2237587</v>
      </c>
      <c r="X2698">
        <v>0.97460199999999997</v>
      </c>
      <c r="Y2698">
        <v>-7.4950639999999999E-2</v>
      </c>
      <c r="Z2698">
        <v>8.9295100000000001E-4</v>
      </c>
      <c r="AA2698">
        <v>0.99718680000000004</v>
      </c>
      <c r="AB2698">
        <v>40</v>
      </c>
      <c r="AC2698">
        <v>134.10189999999901</v>
      </c>
      <c r="AD2698">
        <v>-1.04577115</v>
      </c>
      <c r="AE2698">
        <v>10.717599999999999</v>
      </c>
      <c r="AF2698">
        <v>-10.1139085811473</v>
      </c>
      <c r="AG2698">
        <v>-1.04577115</v>
      </c>
      <c r="AH2698">
        <v>134.14062885728799</v>
      </c>
      <c r="AI2698">
        <v>90.4454092716784</v>
      </c>
      <c r="AJ2698">
        <v>94.311817543651202</v>
      </c>
      <c r="AK2698">
        <v>134.52543660704001</v>
      </c>
      <c r="AL2698">
        <v>77.070104472259004</v>
      </c>
      <c r="AM2698">
        <v>89.464238507698795</v>
      </c>
      <c r="AN2698">
        <v>1.0000000357485901</v>
      </c>
    </row>
    <row r="2699" spans="1:40" x14ac:dyDescent="0.25">
      <c r="A2699" t="str">
        <f>"20190303170818831"</f>
        <v>20190303170818831</v>
      </c>
      <c r="B2699" t="str">
        <f>"1551604098825432"</f>
        <v>1551604098825432</v>
      </c>
      <c r="C2699" t="s">
        <v>40</v>
      </c>
      <c r="D2699">
        <v>4.8398839999999996</v>
      </c>
      <c r="E2699">
        <v>0.47182790000000002</v>
      </c>
      <c r="F2699" t="s">
        <v>57</v>
      </c>
      <c r="G2699">
        <v>-179.54570000000001</v>
      </c>
      <c r="H2699">
        <v>8.0001420000000004E-2</v>
      </c>
      <c r="I2699">
        <v>224.52289999999999</v>
      </c>
      <c r="J2699">
        <v>-313.26409999999998</v>
      </c>
      <c r="K2699">
        <v>1.121181</v>
      </c>
      <c r="L2699">
        <v>213.89920000000001</v>
      </c>
      <c r="M2699">
        <v>0.99987539999999997</v>
      </c>
      <c r="N2699">
        <v>-1.5146980000000001E-2</v>
      </c>
      <c r="O2699">
        <v>4.4944290000000003E-3</v>
      </c>
      <c r="P2699">
        <v>0.97796839999999996</v>
      </c>
      <c r="Q2699">
        <v>0.2086681</v>
      </c>
      <c r="R2699">
        <v>-6.0021190000000002E-3</v>
      </c>
      <c r="S2699">
        <v>3.0740050000000001</v>
      </c>
      <c r="T2699">
        <v>-2.3798110000000001E-2</v>
      </c>
      <c r="U2699">
        <v>0.2429047</v>
      </c>
      <c r="V2699">
        <v>1.040894E-2</v>
      </c>
      <c r="W2699">
        <v>0.22345609999999999</v>
      </c>
      <c r="X2699">
        <v>0.97465840000000004</v>
      </c>
      <c r="Y2699">
        <v>-7.4285180000000006E-2</v>
      </c>
      <c r="Z2699">
        <v>8.8386750000000005E-4</v>
      </c>
      <c r="AA2699">
        <v>0.99723669999999998</v>
      </c>
      <c r="AB2699">
        <v>40</v>
      </c>
      <c r="AC2699">
        <v>133.71839999999901</v>
      </c>
      <c r="AD2699">
        <v>-1.0411795800000001</v>
      </c>
      <c r="AE2699">
        <v>10.6236999999999</v>
      </c>
      <c r="AF2699">
        <v>-10.0219322084659</v>
      </c>
      <c r="AG2699">
        <v>-1.0411795800000001</v>
      </c>
      <c r="AH2699">
        <v>133.756743609962</v>
      </c>
      <c r="AI2699">
        <v>90.444742068651294</v>
      </c>
      <c r="AJ2699">
        <v>94.284968841415093</v>
      </c>
      <c r="AK2699">
        <v>134.135713518995</v>
      </c>
      <c r="AL2699">
        <v>77.087891924294198</v>
      </c>
      <c r="AM2699">
        <v>89.388128538789999</v>
      </c>
      <c r="AN2699">
        <v>0.99999998567484605</v>
      </c>
    </row>
    <row r="2700" spans="1:40" x14ac:dyDescent="0.25">
      <c r="A2700" t="str">
        <f>"20190303170818853"</f>
        <v>20190303170818853</v>
      </c>
      <c r="B2700" t="str">
        <f>"1551604098845928"</f>
        <v>1551604098845928</v>
      </c>
      <c r="C2700" t="s">
        <v>40</v>
      </c>
      <c r="D2700">
        <v>4.7789910000000004</v>
      </c>
      <c r="E2700">
        <v>0.50256290000000003</v>
      </c>
      <c r="F2700" t="s">
        <v>57</v>
      </c>
      <c r="G2700">
        <v>-182.6885</v>
      </c>
      <c r="H2700" s="1">
        <v>1.2807479999999999E-6</v>
      </c>
      <c r="I2700">
        <v>224.1694</v>
      </c>
      <c r="J2700">
        <v>-312.85289999999998</v>
      </c>
      <c r="K2700">
        <v>1.121184</v>
      </c>
      <c r="L2700">
        <v>213.90100000000001</v>
      </c>
      <c r="M2700">
        <v>0.99987519999999996</v>
      </c>
      <c r="N2700">
        <v>-1.5142299999999999E-2</v>
      </c>
      <c r="O2700">
        <v>4.4946600000000001E-3</v>
      </c>
      <c r="P2700">
        <v>0.97791340000000004</v>
      </c>
      <c r="Q2700">
        <v>0.20886769999999999</v>
      </c>
      <c r="R2700">
        <v>-7.7206459999999899E-3</v>
      </c>
      <c r="S2700">
        <v>3.0747070000000001</v>
      </c>
      <c r="T2700">
        <v>-2.6400799999999999E-2</v>
      </c>
      <c r="U2700">
        <v>0.24183650000000001</v>
      </c>
      <c r="V2700">
        <v>1.212712E-2</v>
      </c>
      <c r="W2700">
        <v>0.2236504</v>
      </c>
      <c r="X2700">
        <v>0.97459399999999996</v>
      </c>
      <c r="Y2700">
        <v>-7.3921810000000004E-2</v>
      </c>
      <c r="Z2700">
        <v>9.0689589999999999E-4</v>
      </c>
      <c r="AA2700">
        <v>0.99726360000000003</v>
      </c>
      <c r="AB2700">
        <v>40</v>
      </c>
      <c r="AC2700">
        <v>130.16439999999901</v>
      </c>
      <c r="AD2700">
        <v>-1.1211827192520001</v>
      </c>
      <c r="AE2700">
        <v>10.2684</v>
      </c>
      <c r="AF2700">
        <v>-9.6824704841422005</v>
      </c>
      <c r="AG2700">
        <v>-1.1211827192520001</v>
      </c>
      <c r="AH2700">
        <v>130.19964288700001</v>
      </c>
      <c r="AI2700">
        <v>90.492017972568405</v>
      </c>
      <c r="AJ2700">
        <v>94.253048476139398</v>
      </c>
      <c r="AK2700">
        <v>130.56398543728901</v>
      </c>
      <c r="AL2700">
        <v>77.076470699466398</v>
      </c>
      <c r="AM2700">
        <v>89.287090895690895</v>
      </c>
      <c r="AN2700">
        <v>1.00000001664782</v>
      </c>
    </row>
    <row r="2701" spans="1:40" x14ac:dyDescent="0.25">
      <c r="A2701" t="str">
        <f>"20190303170818876"</f>
        <v>20190303170818876</v>
      </c>
      <c r="B2701" t="str">
        <f>"1551604098865448"</f>
        <v>1551604098865448</v>
      </c>
      <c r="C2701" t="s">
        <v>40</v>
      </c>
      <c r="D2701">
        <v>4.700418</v>
      </c>
      <c r="E2701">
        <v>0.51272329999999999</v>
      </c>
      <c r="F2701" t="s">
        <v>90</v>
      </c>
      <c r="G2701">
        <v>-107.39749999999999</v>
      </c>
      <c r="H2701">
        <v>0.29941089999999998</v>
      </c>
      <c r="I2701">
        <v>213.30269999999999</v>
      </c>
      <c r="J2701">
        <v>-312.44959999999998</v>
      </c>
      <c r="K2701">
        <v>1.1211869999999999</v>
      </c>
      <c r="L2701">
        <v>213.90289999999999</v>
      </c>
      <c r="M2701">
        <v>0.99987539999999997</v>
      </c>
      <c r="N2701">
        <v>-1.5137660000000001E-2</v>
      </c>
      <c r="O2701">
        <v>4.4947099999999999E-3</v>
      </c>
      <c r="P2701">
        <v>0.97770860000000004</v>
      </c>
      <c r="Q2701">
        <v>0.2097965</v>
      </c>
      <c r="R2701">
        <v>-8.4465849999999995E-3</v>
      </c>
      <c r="S2701">
        <v>3.0702509999999998</v>
      </c>
      <c r="T2701">
        <v>-1.227951E-2</v>
      </c>
      <c r="U2701">
        <v>-8.9416500000000006E-3</v>
      </c>
      <c r="V2701">
        <v>1.2851690000000001E-2</v>
      </c>
      <c r="W2701">
        <v>0.2245714</v>
      </c>
      <c r="X2701">
        <v>0.97437289999999999</v>
      </c>
      <c r="Y2701">
        <v>7.406953E-3</v>
      </c>
      <c r="Z2701" s="1">
        <v>-2.081094E-5</v>
      </c>
      <c r="AA2701">
        <v>0.99997259999999999</v>
      </c>
      <c r="AB2701">
        <v>40</v>
      </c>
      <c r="AC2701">
        <v>205.0521</v>
      </c>
      <c r="AD2701">
        <v>-0.82177610000000001</v>
      </c>
      <c r="AE2701">
        <v>-0.60020000000000095</v>
      </c>
      <c r="AF2701">
        <v>1.5219247552150601</v>
      </c>
      <c r="AG2701">
        <v>-0.82177610000000001</v>
      </c>
      <c r="AH2701">
        <v>205.04403697769499</v>
      </c>
      <c r="AI2701">
        <v>90.229622640647605</v>
      </c>
      <c r="AJ2701">
        <v>89.574733968384706</v>
      </c>
      <c r="AK2701">
        <v>205.05133179530799</v>
      </c>
      <c r="AL2701">
        <v>77.022323954747705</v>
      </c>
      <c r="AM2701">
        <v>89.244329454677796</v>
      </c>
      <c r="AN2701">
        <v>1.0000000139441101</v>
      </c>
    </row>
    <row r="2702" spans="1:40" x14ac:dyDescent="0.25">
      <c r="A2702" t="str">
        <f>"20190303170818896"</f>
        <v>20190303170818896</v>
      </c>
      <c r="B2702" t="str">
        <f>"1551604098885944"</f>
        <v>1551604098885944</v>
      </c>
      <c r="C2702" t="s">
        <v>40</v>
      </c>
      <c r="D2702">
        <v>4.8457429999999997</v>
      </c>
      <c r="E2702">
        <v>0.51664579999999904</v>
      </c>
      <c r="F2702" t="s">
        <v>57</v>
      </c>
      <c r="G2702">
        <v>-208.71029999999999</v>
      </c>
      <c r="H2702" s="1">
        <v>6.4113739999999998E-6</v>
      </c>
      <c r="I2702">
        <v>210.82159999999999</v>
      </c>
      <c r="J2702">
        <v>-312.07709999999997</v>
      </c>
      <c r="K2702">
        <v>1.121192</v>
      </c>
      <c r="L2702">
        <v>213.90450000000001</v>
      </c>
      <c r="M2702">
        <v>0.99987539999999997</v>
      </c>
      <c r="N2702">
        <v>-1.5133300000000001E-2</v>
      </c>
      <c r="O2702">
        <v>4.4945769999999996E-3</v>
      </c>
      <c r="P2702">
        <v>0.97761699999999996</v>
      </c>
      <c r="Q2702">
        <v>0.2101991</v>
      </c>
      <c r="R2702">
        <v>-9.0210010000000007E-3</v>
      </c>
      <c r="S2702">
        <v>3.0747070000000001</v>
      </c>
      <c r="T2702">
        <v>-3.3230419999999997E-2</v>
      </c>
      <c r="U2702">
        <v>-9.1323849999999998E-2</v>
      </c>
      <c r="V2702">
        <v>1.342526E-2</v>
      </c>
      <c r="W2702">
        <v>0.22496820000000001</v>
      </c>
      <c r="X2702">
        <v>0.97427359999999996</v>
      </c>
      <c r="Y2702">
        <v>3.4176529999999997E-2</v>
      </c>
      <c r="Z2702">
        <v>-4.2388799999999998E-4</v>
      </c>
      <c r="AA2702">
        <v>0.99941570000000002</v>
      </c>
      <c r="AB2702">
        <v>40</v>
      </c>
      <c r="AC2702">
        <v>103.366799999999</v>
      </c>
      <c r="AD2702">
        <v>-1.121185588626</v>
      </c>
      <c r="AE2702">
        <v>-3.08290000000002</v>
      </c>
      <c r="AF2702">
        <v>3.5470951504221602</v>
      </c>
      <c r="AG2702">
        <v>-1.121185588626</v>
      </c>
      <c r="AH2702">
        <v>103.339750626808</v>
      </c>
      <c r="AI2702">
        <v>90.621240875331296</v>
      </c>
      <c r="AJ2702">
        <v>88.034117348935595</v>
      </c>
      <c r="AK2702">
        <v>103.40668740821999</v>
      </c>
      <c r="AL2702">
        <v>76.998991626822004</v>
      </c>
      <c r="AM2702">
        <v>89.210527662849302</v>
      </c>
      <c r="AN2702">
        <v>0.99999998813713298</v>
      </c>
    </row>
    <row r="2703" spans="1:40" x14ac:dyDescent="0.25">
      <c r="A2703" t="str">
        <f>"20190303170818920"</f>
        <v>20190303170818920</v>
      </c>
      <c r="B2703" t="str">
        <f>"1551604098905464"</f>
        <v>1551604098905464</v>
      </c>
      <c r="C2703" t="s">
        <v>40</v>
      </c>
      <c r="D2703">
        <v>4.8484239999999996</v>
      </c>
      <c r="E2703">
        <v>0.51846150000000002</v>
      </c>
      <c r="F2703" t="s">
        <v>63</v>
      </c>
      <c r="G2703">
        <v>-222.608</v>
      </c>
      <c r="H2703" s="1">
        <v>4.0484779999999998E-8</v>
      </c>
      <c r="I2703">
        <v>210.28229999999999</v>
      </c>
      <c r="J2703">
        <v>-311.66669999999999</v>
      </c>
      <c r="K2703">
        <v>1.121186</v>
      </c>
      <c r="L2703">
        <v>213.90639999999999</v>
      </c>
      <c r="M2703">
        <v>0.99987550000000003</v>
      </c>
      <c r="N2703">
        <v>-1.5128600000000001E-2</v>
      </c>
      <c r="O2703">
        <v>4.4943259999999999E-3</v>
      </c>
      <c r="P2703">
        <v>0.97746940000000004</v>
      </c>
      <c r="Q2703">
        <v>0.21085580000000001</v>
      </c>
      <c r="R2703">
        <v>-9.6594650000000008E-3</v>
      </c>
      <c r="S2703">
        <v>3.0758359999999998</v>
      </c>
      <c r="T2703">
        <v>-3.8545129999999997E-2</v>
      </c>
      <c r="U2703">
        <v>-0.124527</v>
      </c>
      <c r="V2703">
        <v>1.406256E-2</v>
      </c>
      <c r="W2703">
        <v>0.22561819999999999</v>
      </c>
      <c r="X2703">
        <v>0.97411429999999999</v>
      </c>
      <c r="Y2703">
        <v>4.4935389999999999E-2</v>
      </c>
      <c r="Z2703">
        <v>-6.0985140000000004E-4</v>
      </c>
      <c r="AA2703">
        <v>0.99898969999999998</v>
      </c>
      <c r="AB2703">
        <v>40</v>
      </c>
      <c r="AC2703">
        <v>89.058699999999902</v>
      </c>
      <c r="AD2703">
        <v>-1.1211859595152101</v>
      </c>
      <c r="AE2703">
        <v>-3.6240999999999901</v>
      </c>
      <c r="AF2703">
        <v>4.0237313474459002</v>
      </c>
      <c r="AG2703">
        <v>-1.1211859595152101</v>
      </c>
      <c r="AH2703">
        <v>89.027423938988093</v>
      </c>
      <c r="AI2703">
        <v>90.7207928073408</v>
      </c>
      <c r="AJ2703">
        <v>87.412190229246704</v>
      </c>
      <c r="AK2703">
        <v>89.125359382863394</v>
      </c>
      <c r="AL2703">
        <v>76.960766782214606</v>
      </c>
      <c r="AM2703">
        <v>89.172921112391606</v>
      </c>
      <c r="AN2703">
        <v>0.99999999861474098</v>
      </c>
    </row>
    <row r="2704" spans="1:40" x14ac:dyDescent="0.25">
      <c r="A2704" t="str">
        <f>"20190303170818943"</f>
        <v>20190303170818943</v>
      </c>
      <c r="B2704" t="str">
        <f>"1551604098935720"</f>
        <v>1551604098935720</v>
      </c>
      <c r="C2704" t="s">
        <v>40</v>
      </c>
      <c r="D2704">
        <v>4.8993120000000001</v>
      </c>
      <c r="E2704">
        <v>0.52001299999999995</v>
      </c>
      <c r="F2704" t="s">
        <v>63</v>
      </c>
      <c r="G2704">
        <v>-223.1534</v>
      </c>
      <c r="H2704" s="1">
        <v>3.4909309999999998E-7</v>
      </c>
      <c r="I2704">
        <v>209.8622</v>
      </c>
      <c r="J2704">
        <v>-311.24689999999998</v>
      </c>
      <c r="K2704">
        <v>1.121197</v>
      </c>
      <c r="L2704">
        <v>213.9083</v>
      </c>
      <c r="M2704">
        <v>0.99987570000000003</v>
      </c>
      <c r="N2704">
        <v>-1.512381E-2</v>
      </c>
      <c r="O2704">
        <v>4.4940140000000002E-3</v>
      </c>
      <c r="P2704">
        <v>0.97723210000000005</v>
      </c>
      <c r="Q2704">
        <v>0.21192059999999999</v>
      </c>
      <c r="R2704">
        <v>-1.037717E-2</v>
      </c>
      <c r="S2704">
        <v>3.0761720000000001</v>
      </c>
      <c r="T2704">
        <v>-3.896546E-2</v>
      </c>
      <c r="U2704">
        <v>-0.1405487</v>
      </c>
      <c r="V2704">
        <v>1.477846E-2</v>
      </c>
      <c r="W2704">
        <v>0.2266744</v>
      </c>
      <c r="X2704">
        <v>0.97385849999999996</v>
      </c>
      <c r="Y2704">
        <v>5.0122430000000003E-2</v>
      </c>
      <c r="Z2704">
        <v>-6.855028E-4</v>
      </c>
      <c r="AA2704">
        <v>0.99874280000000004</v>
      </c>
      <c r="AB2704">
        <v>40</v>
      </c>
      <c r="AC2704">
        <v>88.093499999999906</v>
      </c>
      <c r="AD2704">
        <v>-1.12119665090689</v>
      </c>
      <c r="AE2704">
        <v>-4.0460999999999903</v>
      </c>
      <c r="AF2704">
        <v>4.4412798633836701</v>
      </c>
      <c r="AG2704">
        <v>-1.12119665090689</v>
      </c>
      <c r="AH2704">
        <v>88.060190473587397</v>
      </c>
      <c r="AI2704">
        <v>90.728533878887006</v>
      </c>
      <c r="AJ2704">
        <v>87.112757066452204</v>
      </c>
      <c r="AK2704">
        <v>88.179244695105993</v>
      </c>
      <c r="AL2704">
        <v>76.898641967422094</v>
      </c>
      <c r="AM2704">
        <v>89.130594026647302</v>
      </c>
      <c r="AN2704">
        <v>1.0000000322587901</v>
      </c>
    </row>
    <row r="2705" spans="1:40" x14ac:dyDescent="0.25">
      <c r="A2705" t="str">
        <f>"20190303170818965"</f>
        <v>20190303170818965</v>
      </c>
      <c r="B2705" t="str">
        <f>"1551604098955240"</f>
        <v>1551604098955240</v>
      </c>
      <c r="C2705" t="s">
        <v>40</v>
      </c>
      <c r="D2705">
        <v>4.680688</v>
      </c>
      <c r="E2705">
        <v>0.52079019999999998</v>
      </c>
      <c r="F2705" t="s">
        <v>63</v>
      </c>
      <c r="G2705">
        <v>-225.45439999999999</v>
      </c>
      <c r="H2705">
        <v>6.3458000000000001E-2</v>
      </c>
      <c r="I2705">
        <v>209.60290000000001</v>
      </c>
      <c r="J2705">
        <v>-310.85739999999998</v>
      </c>
      <c r="K2705">
        <v>1.1212059999999999</v>
      </c>
      <c r="L2705">
        <v>213.91</v>
      </c>
      <c r="M2705">
        <v>0.99987570000000003</v>
      </c>
      <c r="N2705">
        <v>-1.511937E-2</v>
      </c>
      <c r="O2705">
        <v>4.493698E-3</v>
      </c>
      <c r="P2705">
        <v>0.97690169999999998</v>
      </c>
      <c r="Q2705">
        <v>0.21342659999999999</v>
      </c>
      <c r="R2705">
        <v>-1.060532E-2</v>
      </c>
      <c r="S2705">
        <v>3.0764469999999999</v>
      </c>
      <c r="T2705">
        <v>-3.7929650000000002E-2</v>
      </c>
      <c r="U2705">
        <v>-0.15438840000000001</v>
      </c>
      <c r="V2705">
        <v>1.50048E-2</v>
      </c>
      <c r="W2705">
        <v>0.2281705</v>
      </c>
      <c r="X2705">
        <v>0.97350559999999997</v>
      </c>
      <c r="Y2705">
        <v>5.4599740000000001E-2</v>
      </c>
      <c r="Z2705">
        <v>-7.3689759999999904E-4</v>
      </c>
      <c r="AA2705">
        <v>0.99850799999999995</v>
      </c>
      <c r="AB2705">
        <v>40</v>
      </c>
      <c r="AC2705">
        <v>85.402999999999906</v>
      </c>
      <c r="AD2705">
        <v>-1.0577479999999999</v>
      </c>
      <c r="AE2705">
        <v>-4.3070999999999904</v>
      </c>
      <c r="AF2705">
        <v>4.6901579927115602</v>
      </c>
      <c r="AG2705">
        <v>-1.0577479999999999</v>
      </c>
      <c r="AH2705">
        <v>85.369718221491198</v>
      </c>
      <c r="AI2705">
        <v>90.7088011378966</v>
      </c>
      <c r="AJ2705">
        <v>86.8553676420171</v>
      </c>
      <c r="AK2705">
        <v>85.505001035289794</v>
      </c>
      <c r="AL2705">
        <v>76.8106151719237</v>
      </c>
      <c r="AM2705">
        <v>89.116960762386</v>
      </c>
      <c r="AN2705">
        <v>1.0000000371623201</v>
      </c>
    </row>
    <row r="2706" spans="1:40" x14ac:dyDescent="0.25">
      <c r="A2706" t="str">
        <f>"20190303170818989"</f>
        <v>20190303170818989</v>
      </c>
      <c r="B2706" t="str">
        <f>"1551604098975736"</f>
        <v>1551604098975736</v>
      </c>
      <c r="C2706" t="s">
        <v>40</v>
      </c>
      <c r="D2706">
        <v>4.8975869999999997</v>
      </c>
      <c r="E2706">
        <v>0.52129320000000001</v>
      </c>
      <c r="F2706" t="s">
        <v>63</v>
      </c>
      <c r="G2706">
        <v>-217.74109999999999</v>
      </c>
      <c r="H2706">
        <v>8.0000899999999903E-2</v>
      </c>
      <c r="I2706">
        <v>209.0361</v>
      </c>
      <c r="J2706">
        <v>-310.43040000000002</v>
      </c>
      <c r="K2706">
        <v>1.1212219999999999</v>
      </c>
      <c r="L2706">
        <v>213.9119</v>
      </c>
      <c r="M2706">
        <v>0.99987579999999998</v>
      </c>
      <c r="N2706">
        <v>-1.5114499999999999E-2</v>
      </c>
      <c r="O2706">
        <v>4.4935620000000004E-3</v>
      </c>
      <c r="P2706">
        <v>0.97638910000000001</v>
      </c>
      <c r="Q2706">
        <v>0.21572179999999999</v>
      </c>
      <c r="R2706">
        <v>-1.133843E-2</v>
      </c>
      <c r="S2706">
        <v>3.076721</v>
      </c>
      <c r="T2706">
        <v>-3.4403199999999898E-2</v>
      </c>
      <c r="U2706">
        <v>-0.161041299999999</v>
      </c>
      <c r="V2706">
        <v>1.5735430000000002E-2</v>
      </c>
      <c r="W2706">
        <v>0.23045360000000001</v>
      </c>
      <c r="X2706">
        <v>0.97295609999999999</v>
      </c>
      <c r="Y2706">
        <v>5.6749330000000001E-2</v>
      </c>
      <c r="Z2706">
        <v>-7.2860749999999999E-4</v>
      </c>
      <c r="AA2706">
        <v>0.99838819999999995</v>
      </c>
      <c r="AB2706">
        <v>40</v>
      </c>
      <c r="AC2706">
        <v>92.689300000000003</v>
      </c>
      <c r="AD2706">
        <v>-1.0412211</v>
      </c>
      <c r="AE2706">
        <v>-4.8757999999999901</v>
      </c>
      <c r="AF2706">
        <v>5.2916374964956399</v>
      </c>
      <c r="AG2706">
        <v>-1.0412211</v>
      </c>
      <c r="AH2706">
        <v>92.654791884723096</v>
      </c>
      <c r="AI2706">
        <v>90.642794821780001</v>
      </c>
      <c r="AJ2706">
        <v>86.731313127176193</v>
      </c>
      <c r="AK2706">
        <v>92.811615803059695</v>
      </c>
      <c r="AL2706">
        <v>76.676221720486296</v>
      </c>
      <c r="AM2706">
        <v>89.073447265446305</v>
      </c>
      <c r="AN2706">
        <v>1.0000000190187199</v>
      </c>
    </row>
    <row r="2707" spans="1:40" x14ac:dyDescent="0.25">
      <c r="A2707" t="str">
        <f>"20190303170819013"</f>
        <v>20190303170819013</v>
      </c>
      <c r="B2707" t="str">
        <f>"1551604099005992"</f>
        <v>1551604099005992</v>
      </c>
      <c r="C2707" t="s">
        <v>40</v>
      </c>
      <c r="D2707">
        <v>4.8951779999999996</v>
      </c>
      <c r="E2707">
        <v>0.52184149999999996</v>
      </c>
      <c r="F2707" t="s">
        <v>57</v>
      </c>
      <c r="G2707">
        <v>-191.17009999999999</v>
      </c>
      <c r="H2707" s="1">
        <v>4.9080159999999999E-6</v>
      </c>
      <c r="I2707">
        <v>207.44479999999999</v>
      </c>
      <c r="J2707">
        <v>-310.00189999999998</v>
      </c>
      <c r="K2707">
        <v>1.1212299999999999</v>
      </c>
      <c r="L2707">
        <v>213.91380000000001</v>
      </c>
      <c r="M2707">
        <v>0.99987579999999998</v>
      </c>
      <c r="N2707">
        <v>-1.5109549999999999E-2</v>
      </c>
      <c r="O2707">
        <v>4.4934830000000004E-3</v>
      </c>
      <c r="P2707">
        <v>0.97597880000000004</v>
      </c>
      <c r="Q2707">
        <v>0.21748039999999999</v>
      </c>
      <c r="R2707">
        <v>-1.2961159999999999E-2</v>
      </c>
      <c r="S2707">
        <v>3.0769959999999998</v>
      </c>
      <c r="T2707">
        <v>-2.8928160000000001E-2</v>
      </c>
      <c r="U2707">
        <v>-0.1668549</v>
      </c>
      <c r="V2707">
        <v>1.7355990000000002E-2</v>
      </c>
      <c r="W2707">
        <v>0.23220060000000001</v>
      </c>
      <c r="X2707">
        <v>0.97251310000000002</v>
      </c>
      <c r="Y2707">
        <v>5.8627039999999998E-2</v>
      </c>
      <c r="Z2707">
        <v>-6.9303729999999997E-4</v>
      </c>
      <c r="AA2707">
        <v>0.99827969999999999</v>
      </c>
      <c r="AB2707">
        <v>40</v>
      </c>
      <c r="AC2707">
        <v>118.8318</v>
      </c>
      <c r="AD2707">
        <v>-1.1212250919840001</v>
      </c>
      <c r="AE2707">
        <v>-6.4690000000000198</v>
      </c>
      <c r="AF2707">
        <v>7.0023427298484799</v>
      </c>
      <c r="AG2707">
        <v>-1.1212250919840001</v>
      </c>
      <c r="AH2707">
        <v>118.790984051176</v>
      </c>
      <c r="AI2707">
        <v>90.539841032021798</v>
      </c>
      <c r="AJ2707">
        <v>86.6265035729256</v>
      </c>
      <c r="AK2707">
        <v>119.002469895628</v>
      </c>
      <c r="AL2707">
        <v>76.573335569809004</v>
      </c>
      <c r="AM2707">
        <v>88.977577348788799</v>
      </c>
      <c r="AN2707">
        <v>1.00000003935042</v>
      </c>
    </row>
    <row r="2708" spans="1:40" x14ac:dyDescent="0.25">
      <c r="A2708" t="str">
        <f>"20190303170819035"</f>
        <v>20190303170819035</v>
      </c>
      <c r="B2708" t="str">
        <f>"1551604099025512"</f>
        <v>1551604099025512</v>
      </c>
      <c r="C2708" t="s">
        <v>40</v>
      </c>
      <c r="D2708">
        <v>4.7330230000000002</v>
      </c>
      <c r="E2708">
        <v>0.52204799999999996</v>
      </c>
      <c r="F2708" t="s">
        <v>57</v>
      </c>
      <c r="G2708">
        <v>-179.95779999999999</v>
      </c>
      <c r="H2708">
        <v>4.9808409999999997E-2</v>
      </c>
      <c r="I2708">
        <v>206.49350000000001</v>
      </c>
      <c r="J2708">
        <v>-309.60520000000002</v>
      </c>
      <c r="K2708">
        <v>1.121237</v>
      </c>
      <c r="L2708">
        <v>213.91560000000001</v>
      </c>
      <c r="M2708">
        <v>0.99987599999999999</v>
      </c>
      <c r="N2708">
        <v>-1.5105E-2</v>
      </c>
      <c r="O2708">
        <v>4.4935189999999996E-3</v>
      </c>
      <c r="P2708">
        <v>0.97573109999999996</v>
      </c>
      <c r="Q2708">
        <v>0.2184373</v>
      </c>
      <c r="R2708">
        <v>-1.530959E-2</v>
      </c>
      <c r="S2708">
        <v>3.0771790000000001</v>
      </c>
      <c r="T2708">
        <v>-2.5352599999999999E-2</v>
      </c>
      <c r="U2708">
        <v>-0.17558289999999999</v>
      </c>
      <c r="V2708">
        <v>1.9703419999999999E-2</v>
      </c>
      <c r="W2708">
        <v>0.23314850000000001</v>
      </c>
      <c r="X2708">
        <v>0.97224149999999998</v>
      </c>
      <c r="Y2708">
        <v>6.1447179999999997E-2</v>
      </c>
      <c r="Z2708">
        <v>-6.8659429999999902E-4</v>
      </c>
      <c r="AA2708">
        <v>0.9981101</v>
      </c>
      <c r="AB2708">
        <v>40</v>
      </c>
      <c r="AC2708">
        <v>129.6474</v>
      </c>
      <c r="AD2708">
        <v>-1.07142859</v>
      </c>
      <c r="AE2708">
        <v>-7.4221000000000004</v>
      </c>
      <c r="AF2708">
        <v>8.0041196015274405</v>
      </c>
      <c r="AG2708">
        <v>-1.07142859</v>
      </c>
      <c r="AH2708">
        <v>129.603913060304</v>
      </c>
      <c r="AI2708">
        <v>90.472749686858293</v>
      </c>
      <c r="AJ2708">
        <v>86.465997502303196</v>
      </c>
      <c r="AK2708">
        <v>129.855258539505</v>
      </c>
      <c r="AL2708">
        <v>76.517491597918806</v>
      </c>
      <c r="AM2708">
        <v>88.8390042053543</v>
      </c>
      <c r="AN2708">
        <v>0.99999999106709803</v>
      </c>
    </row>
    <row r="2709" spans="1:40" x14ac:dyDescent="0.25">
      <c r="A2709" t="str">
        <f>"20190303170819054"</f>
        <v>20190303170819054</v>
      </c>
      <c r="B2709" t="str">
        <f>"1551604099046008"</f>
        <v>1551604099046008</v>
      </c>
      <c r="C2709" t="s">
        <v>40</v>
      </c>
      <c r="D2709">
        <v>4.8896649999999999</v>
      </c>
      <c r="E2709">
        <v>0.52241119999999996</v>
      </c>
      <c r="F2709" t="s">
        <v>41</v>
      </c>
      <c r="G2709">
        <v>-178.0574</v>
      </c>
      <c r="H2709">
        <v>9.4713450000000005E-2</v>
      </c>
      <c r="I2709">
        <v>206.03739999999999</v>
      </c>
      <c r="J2709">
        <v>-309.24220000000003</v>
      </c>
      <c r="K2709">
        <v>1.12124</v>
      </c>
      <c r="L2709">
        <v>213.91720000000001</v>
      </c>
      <c r="M2709">
        <v>0.99987599999999999</v>
      </c>
      <c r="N2709">
        <v>-1.510092E-2</v>
      </c>
      <c r="O2709">
        <v>4.4936709999999899E-3</v>
      </c>
      <c r="P2709">
        <v>0.97561260000000005</v>
      </c>
      <c r="Q2709">
        <v>0.21878629999999999</v>
      </c>
      <c r="R2709">
        <v>-1.7688599999999999E-2</v>
      </c>
      <c r="S2709">
        <v>3.0770870000000001</v>
      </c>
      <c r="T2709">
        <v>-2.4011850000000001E-2</v>
      </c>
      <c r="U2709">
        <v>-0.18428040000000001</v>
      </c>
      <c r="V2709">
        <v>2.2081980000000001E-2</v>
      </c>
      <c r="W2709">
        <v>0.23349210000000001</v>
      </c>
      <c r="X2709">
        <v>0.97210790000000002</v>
      </c>
      <c r="Y2709">
        <v>6.4260510000000007E-2</v>
      </c>
      <c r="Z2709">
        <v>-7.034128E-4</v>
      </c>
      <c r="AA2709">
        <v>0.99793290000000001</v>
      </c>
      <c r="AB2709">
        <v>40</v>
      </c>
      <c r="AC2709">
        <v>131.1848</v>
      </c>
      <c r="AD2709">
        <v>-1.02652655</v>
      </c>
      <c r="AE2709">
        <v>-7.8798000000000101</v>
      </c>
      <c r="AF2709">
        <v>8.4687722177821705</v>
      </c>
      <c r="AG2709">
        <v>-1.02652655</v>
      </c>
      <c r="AH2709">
        <v>131.140060910252</v>
      </c>
      <c r="AI2709">
        <v>90.447553453462504</v>
      </c>
      <c r="AJ2709">
        <v>86.305079702005102</v>
      </c>
      <c r="AK2709">
        <v>131.417234163481</v>
      </c>
      <c r="AL2709">
        <v>76.497245724259002</v>
      </c>
      <c r="AM2709">
        <v>88.698717795810495</v>
      </c>
      <c r="AN2709">
        <v>0.99999997192276902</v>
      </c>
    </row>
    <row r="2710" spans="1:40" x14ac:dyDescent="0.25">
      <c r="A2710" t="str">
        <f>"20190303170819077"</f>
        <v>20190303170819077</v>
      </c>
      <c r="B2710" t="str">
        <f>"1551604099065528"</f>
        <v>1551604099065528</v>
      </c>
      <c r="C2710" t="s">
        <v>40</v>
      </c>
      <c r="D2710">
        <v>4.8840050000000002</v>
      </c>
      <c r="E2710">
        <v>0.52242900000000003</v>
      </c>
      <c r="F2710" t="s">
        <v>57</v>
      </c>
      <c r="G2710">
        <v>-179.9427</v>
      </c>
      <c r="H2710">
        <v>6.5019380000000002E-2</v>
      </c>
      <c r="I2710">
        <v>205.75200000000001</v>
      </c>
      <c r="J2710">
        <v>-308.86290000000002</v>
      </c>
      <c r="K2710">
        <v>1.1212470000000001</v>
      </c>
      <c r="L2710">
        <v>213.91890000000001</v>
      </c>
      <c r="M2710">
        <v>0.99987590000000004</v>
      </c>
      <c r="N2710">
        <v>-1.5096689999999999E-2</v>
      </c>
      <c r="O2710">
        <v>4.4938829999999997E-3</v>
      </c>
      <c r="P2710">
        <v>0.97545809999999999</v>
      </c>
      <c r="Q2710">
        <v>0.21925449999999999</v>
      </c>
      <c r="R2710">
        <v>-2.0219330000000001E-2</v>
      </c>
      <c r="S2710">
        <v>3.0771480000000002</v>
      </c>
      <c r="T2710">
        <v>-2.513659E-2</v>
      </c>
      <c r="U2710">
        <v>-0.19432070000000001</v>
      </c>
      <c r="V2710">
        <v>2.461228E-2</v>
      </c>
      <c r="W2710">
        <v>0.23395350000000001</v>
      </c>
      <c r="X2710">
        <v>0.97193620000000003</v>
      </c>
      <c r="Y2710">
        <v>6.7502359999999997E-2</v>
      </c>
      <c r="Z2710">
        <v>-7.5441479999999997E-4</v>
      </c>
      <c r="AA2710">
        <v>0.99771880000000002</v>
      </c>
      <c r="AB2710">
        <v>40</v>
      </c>
      <c r="AC2710">
        <v>128.92019999999999</v>
      </c>
      <c r="AD2710">
        <v>-1.05622761999999</v>
      </c>
      <c r="AE2710">
        <v>-8.1668999999999894</v>
      </c>
      <c r="AF2710">
        <v>8.7456511748382901</v>
      </c>
      <c r="AG2710">
        <v>-1.05622761999999</v>
      </c>
      <c r="AH2710">
        <v>128.87357680820801</v>
      </c>
      <c r="AI2710">
        <v>90.4684992084876</v>
      </c>
      <c r="AJ2710">
        <v>86.117731708802694</v>
      </c>
      <c r="AK2710">
        <v>129.17430406469501</v>
      </c>
      <c r="AL2710">
        <v>76.470056653666106</v>
      </c>
      <c r="AM2710">
        <v>88.549412546179298</v>
      </c>
      <c r="AN2710">
        <v>0.99999999067974399</v>
      </c>
    </row>
    <row r="2711" spans="1:40" x14ac:dyDescent="0.25">
      <c r="A2711" t="str">
        <f>"20190303170819097"</f>
        <v>20190303170819097</v>
      </c>
      <c r="B2711" t="str">
        <f>"1551604099086025"</f>
        <v>1551604099086025</v>
      </c>
      <c r="C2711" t="s">
        <v>40</v>
      </c>
      <c r="D2711">
        <v>4.7602840000000004</v>
      </c>
      <c r="E2711">
        <v>0.52265379999999995</v>
      </c>
      <c r="F2711" t="s">
        <v>57</v>
      </c>
      <c r="G2711">
        <v>-179.13310000000001</v>
      </c>
      <c r="H2711">
        <v>8.0003820000000003E-2</v>
      </c>
      <c r="I2711">
        <v>205.411</v>
      </c>
      <c r="J2711">
        <v>-308.49149999999997</v>
      </c>
      <c r="K2711">
        <v>1.121246</v>
      </c>
      <c r="L2711">
        <v>213.92060000000001</v>
      </c>
      <c r="M2711">
        <v>0.99987599999999999</v>
      </c>
      <c r="N2711">
        <v>-1.509258E-2</v>
      </c>
      <c r="O2711">
        <v>4.4937370000000003E-3</v>
      </c>
      <c r="P2711">
        <v>0.97530660000000002</v>
      </c>
      <c r="Q2711">
        <v>0.219721</v>
      </c>
      <c r="R2711">
        <v>-2.2361659999999998E-2</v>
      </c>
      <c r="S2711">
        <v>3.076813</v>
      </c>
      <c r="T2711">
        <v>-2.469528E-2</v>
      </c>
      <c r="U2711">
        <v>-0.20178219999999999</v>
      </c>
      <c r="V2711">
        <v>2.6753619999999999E-2</v>
      </c>
      <c r="W2711">
        <v>0.23441329999999999</v>
      </c>
      <c r="X2711">
        <v>0.97176879999999999</v>
      </c>
      <c r="Y2711">
        <v>6.9918359999999999E-2</v>
      </c>
      <c r="Z2711">
        <v>-7.7680849999999999E-4</v>
      </c>
      <c r="AA2711">
        <v>0.99755240000000001</v>
      </c>
      <c r="AB2711">
        <v>40</v>
      </c>
      <c r="AC2711">
        <v>129.35839999999899</v>
      </c>
      <c r="AD2711">
        <v>-1.04124218</v>
      </c>
      <c r="AE2711">
        <v>-8.5096000000000291</v>
      </c>
      <c r="AF2711">
        <v>9.09029647628868</v>
      </c>
      <c r="AG2711">
        <v>-1.04124218</v>
      </c>
      <c r="AH2711">
        <v>129.31050727589101</v>
      </c>
      <c r="AI2711">
        <v>90.4602149963101</v>
      </c>
      <c r="AJ2711">
        <v>85.978824869777</v>
      </c>
      <c r="AK2711">
        <v>129.633811049635</v>
      </c>
      <c r="AL2711">
        <v>76.442958318221798</v>
      </c>
      <c r="AM2711">
        <v>88.422996899626398</v>
      </c>
      <c r="AN2711">
        <v>0.99999997602671598</v>
      </c>
    </row>
    <row r="2712" spans="1:40" x14ac:dyDescent="0.25">
      <c r="A2712" t="str">
        <f>"20190303170819120"</f>
        <v>20190303170819120</v>
      </c>
      <c r="B2712" t="str">
        <f>"1551604099105544"</f>
        <v>1551604099105544</v>
      </c>
      <c r="C2712" t="s">
        <v>40</v>
      </c>
      <c r="D2712">
        <v>4.7837880000000004</v>
      </c>
      <c r="E2712">
        <v>0.52299960000000001</v>
      </c>
      <c r="F2712" t="s">
        <v>57</v>
      </c>
      <c r="G2712">
        <v>-179.5104</v>
      </c>
      <c r="H2712">
        <v>8.0003729999999995E-2</v>
      </c>
      <c r="I2712">
        <v>205.12629999999999</v>
      </c>
      <c r="J2712">
        <v>-308.09059999999999</v>
      </c>
      <c r="K2712">
        <v>1.1212439999999999</v>
      </c>
      <c r="L2712">
        <v>213.92230000000001</v>
      </c>
      <c r="M2712">
        <v>0.99987610000000005</v>
      </c>
      <c r="N2712">
        <v>-1.508817E-2</v>
      </c>
      <c r="O2712">
        <v>4.493772E-3</v>
      </c>
      <c r="P2712">
        <v>0.97527699999999995</v>
      </c>
      <c r="Q2712">
        <v>0.2197276</v>
      </c>
      <c r="R2712">
        <v>-2.355436E-2</v>
      </c>
      <c r="S2712">
        <v>3.076721</v>
      </c>
      <c r="T2712">
        <v>-2.4837850000000002E-2</v>
      </c>
      <c r="U2712">
        <v>-0.20977779999999999</v>
      </c>
      <c r="V2712">
        <v>2.7946260000000001E-2</v>
      </c>
      <c r="W2712">
        <v>0.2344147</v>
      </c>
      <c r="X2712">
        <v>0.97173489999999996</v>
      </c>
      <c r="Y2712">
        <v>7.250065E-2</v>
      </c>
      <c r="Z2712">
        <v>-8.0844990000000002E-4</v>
      </c>
      <c r="AA2712">
        <v>0.99736800000000003</v>
      </c>
      <c r="AB2712">
        <v>40</v>
      </c>
      <c r="AC2712">
        <v>128.58019999999999</v>
      </c>
      <c r="AD2712">
        <v>-1.0412402700000001</v>
      </c>
      <c r="AE2712">
        <v>-8.79600000000001</v>
      </c>
      <c r="AF2712">
        <v>9.3731752273139399</v>
      </c>
      <c r="AG2712">
        <v>-1.0412402700000001</v>
      </c>
      <c r="AH2712">
        <v>128.53098024943</v>
      </c>
      <c r="AI2712">
        <v>90.462918528930999</v>
      </c>
      <c r="AJ2712">
        <v>85.829064816310805</v>
      </c>
      <c r="AK2712">
        <v>128.876504759483</v>
      </c>
      <c r="AL2712">
        <v>76.442875866178795</v>
      </c>
      <c r="AM2712">
        <v>88.352676717847103</v>
      </c>
      <c r="AN2712">
        <v>0.99999998045104299</v>
      </c>
    </row>
    <row r="2713" spans="1:40" x14ac:dyDescent="0.25">
      <c r="A2713" t="str">
        <f>"20190303170819143"</f>
        <v>20190303170819143</v>
      </c>
      <c r="B2713" t="str">
        <f>"1551604099135800"</f>
        <v>1551604099135800</v>
      </c>
      <c r="C2713" t="s">
        <v>40</v>
      </c>
      <c r="D2713">
        <v>4.8906349999999996</v>
      </c>
      <c r="E2713">
        <v>0.52333770000000002</v>
      </c>
      <c r="F2713" t="s">
        <v>57</v>
      </c>
      <c r="G2713">
        <v>-179.95779999999999</v>
      </c>
      <c r="H2713">
        <v>9.1961760000000004E-3</v>
      </c>
      <c r="I2713">
        <v>204.9308</v>
      </c>
      <c r="J2713">
        <v>-307.66750000000002</v>
      </c>
      <c r="K2713">
        <v>1.121251</v>
      </c>
      <c r="L2713">
        <v>213.92420000000001</v>
      </c>
      <c r="M2713">
        <v>0.99987619999999999</v>
      </c>
      <c r="N2713">
        <v>-1.508352E-2</v>
      </c>
      <c r="O2713">
        <v>4.4938080000000002E-3</v>
      </c>
      <c r="P2713">
        <v>0.9752343</v>
      </c>
      <c r="Q2713">
        <v>0.219837</v>
      </c>
      <c r="R2713">
        <v>-2.4289290000000002E-2</v>
      </c>
      <c r="S2713">
        <v>3.076813</v>
      </c>
      <c r="T2713">
        <v>-2.670324E-2</v>
      </c>
      <c r="U2713">
        <v>-0.21591189999999999</v>
      </c>
      <c r="V2713">
        <v>2.8681020000000002E-2</v>
      </c>
      <c r="W2713">
        <v>0.23451900000000001</v>
      </c>
      <c r="X2713">
        <v>0.97168829999999995</v>
      </c>
      <c r="Y2713">
        <v>7.4476550000000002E-2</v>
      </c>
      <c r="Z2713">
        <v>-8.5647030000000001E-4</v>
      </c>
      <c r="AA2713">
        <v>0.99722239999999995</v>
      </c>
      <c r="AB2713">
        <v>40</v>
      </c>
      <c r="AC2713">
        <v>127.7097</v>
      </c>
      <c r="AD2713">
        <v>-1.1120548240000001</v>
      </c>
      <c r="AE2713">
        <v>-8.9933999999999994</v>
      </c>
      <c r="AF2713">
        <v>9.56655551214733</v>
      </c>
      <c r="AG2713">
        <v>-1.1120548240000001</v>
      </c>
      <c r="AH2713">
        <v>127.658359230052</v>
      </c>
      <c r="AI2713">
        <v>90.497705685380495</v>
      </c>
      <c r="AJ2713">
        <v>85.714337475184905</v>
      </c>
      <c r="AK2713">
        <v>128.02114017461199</v>
      </c>
      <c r="AL2713">
        <v>76.436728234675996</v>
      </c>
      <c r="AM2713">
        <v>88.309309257268296</v>
      </c>
      <c r="AN2713">
        <v>0.99999995731306401</v>
      </c>
    </row>
    <row r="2714" spans="1:40" x14ac:dyDescent="0.25">
      <c r="A2714" t="str">
        <f>"20190303170819165"</f>
        <v>20190303170819165</v>
      </c>
      <c r="B2714" t="str">
        <f>"1551604099155320"</f>
        <v>1551604099155320</v>
      </c>
      <c r="C2714" t="s">
        <v>40</v>
      </c>
      <c r="D2714">
        <v>4.8870120000000004</v>
      </c>
      <c r="E2714">
        <v>0.52355560000000001</v>
      </c>
      <c r="F2714" t="s">
        <v>57</v>
      </c>
      <c r="G2714">
        <v>-190.0197</v>
      </c>
      <c r="H2714" s="1">
        <v>5.8526709999999997E-6</v>
      </c>
      <c r="I2714">
        <v>205.4941</v>
      </c>
      <c r="J2714">
        <v>-307.28719999999998</v>
      </c>
      <c r="K2714">
        <v>1.1212549999999999</v>
      </c>
      <c r="L2714">
        <v>213.92590000000001</v>
      </c>
      <c r="M2714">
        <v>0.9998764</v>
      </c>
      <c r="N2714">
        <v>-1.507937E-2</v>
      </c>
      <c r="O2714">
        <v>4.493721E-3</v>
      </c>
      <c r="P2714">
        <v>0.97514650000000003</v>
      </c>
      <c r="Q2714">
        <v>0.2201746</v>
      </c>
      <c r="R2714">
        <v>-2.4754390000000001E-2</v>
      </c>
      <c r="S2714">
        <v>3.0772710000000001</v>
      </c>
      <c r="T2714">
        <v>-2.9327990000000002E-2</v>
      </c>
      <c r="U2714">
        <v>-0.2205048</v>
      </c>
      <c r="V2714">
        <v>2.9145609999999999E-2</v>
      </c>
      <c r="W2714">
        <v>0.23485130000000001</v>
      </c>
      <c r="X2714">
        <v>0.97159430000000002</v>
      </c>
      <c r="Y2714">
        <v>7.5945760000000001E-2</v>
      </c>
      <c r="Z2714">
        <v>-9.0993129999999999E-4</v>
      </c>
      <c r="AA2714">
        <v>0.99711159999999999</v>
      </c>
      <c r="AB2714">
        <v>40</v>
      </c>
      <c r="AC2714">
        <v>117.267499999999</v>
      </c>
      <c r="AD2714">
        <v>-1.1212491473289901</v>
      </c>
      <c r="AE2714">
        <v>-8.4318000000000097</v>
      </c>
      <c r="AF2714">
        <v>8.9579273562720392</v>
      </c>
      <c r="AG2714">
        <v>-1.1212491473289901</v>
      </c>
      <c r="AH2714">
        <v>117.217760124733</v>
      </c>
      <c r="AI2714">
        <v>90.546454083247198</v>
      </c>
      <c r="AJ2714">
        <v>85.629879363357801</v>
      </c>
      <c r="AK2714">
        <v>117.564896762725</v>
      </c>
      <c r="AL2714">
        <v>76.417142994722496</v>
      </c>
      <c r="AM2714">
        <v>88.281772737091003</v>
      </c>
      <c r="AN2714">
        <v>1.00000004174322</v>
      </c>
    </row>
    <row r="2715" spans="1:40" x14ac:dyDescent="0.25">
      <c r="A2715" t="str">
        <f>"20190303170819188"</f>
        <v>20190303170819188</v>
      </c>
      <c r="B2715" t="str">
        <f>"1551604099175816"</f>
        <v>1551604099175816</v>
      </c>
      <c r="C2715" t="s">
        <v>40</v>
      </c>
      <c r="D2715">
        <v>4.8878560000000002</v>
      </c>
      <c r="E2715">
        <v>0.52358349999999998</v>
      </c>
      <c r="F2715" t="s">
        <v>57</v>
      </c>
      <c r="G2715">
        <v>-191.1781</v>
      </c>
      <c r="H2715" s="1">
        <v>5.5908269999999996E-6</v>
      </c>
      <c r="I2715">
        <v>205.50819999999999</v>
      </c>
      <c r="J2715">
        <v>-306.8811</v>
      </c>
      <c r="K2715">
        <v>1.1212549999999999</v>
      </c>
      <c r="L2715">
        <v>213.92769999999999</v>
      </c>
      <c r="M2715">
        <v>0.9998764</v>
      </c>
      <c r="N2715">
        <v>-1.507493E-2</v>
      </c>
      <c r="O2715">
        <v>4.493754E-3</v>
      </c>
      <c r="P2715">
        <v>0.97505240000000004</v>
      </c>
      <c r="Q2715">
        <v>0.22055749999999999</v>
      </c>
      <c r="R2715">
        <v>-2.5050469999999998E-2</v>
      </c>
      <c r="S2715">
        <v>3.077515</v>
      </c>
      <c r="T2715">
        <v>-2.971911E-2</v>
      </c>
      <c r="U2715">
        <v>-0.22311400000000001</v>
      </c>
      <c r="V2715">
        <v>2.9441220000000001E-2</v>
      </c>
      <c r="W2715">
        <v>0.2352282</v>
      </c>
      <c r="X2715">
        <v>0.97149419999999997</v>
      </c>
      <c r="Y2715">
        <v>7.6780899999999999E-2</v>
      </c>
      <c r="Z2715">
        <v>-9.2547859999999997E-4</v>
      </c>
      <c r="AA2715">
        <v>0.99704749999999998</v>
      </c>
      <c r="AB2715">
        <v>40</v>
      </c>
      <c r="AC2715">
        <v>115.70299999999899</v>
      </c>
      <c r="AD2715">
        <v>-1.1212494091730001</v>
      </c>
      <c r="AE2715">
        <v>-8.4194999999999993</v>
      </c>
      <c r="AF2715">
        <v>8.9385798023291407</v>
      </c>
      <c r="AG2715">
        <v>-1.1212494091730001</v>
      </c>
      <c r="AH2715">
        <v>115.653188162611</v>
      </c>
      <c r="AI2715">
        <v>90.553809594842505</v>
      </c>
      <c r="AJ2715">
        <v>85.580521388178397</v>
      </c>
      <c r="AK2715">
        <v>116.003514348905</v>
      </c>
      <c r="AL2715">
        <v>76.394925740262707</v>
      </c>
      <c r="AM2715">
        <v>88.264177458230904</v>
      </c>
      <c r="AN2715">
        <v>1.0000000360719801</v>
      </c>
    </row>
    <row r="2716" spans="1:40" x14ac:dyDescent="0.25">
      <c r="A2716" t="str">
        <f>"20190303170819213"</f>
        <v>20190303170819213</v>
      </c>
      <c r="B2716" t="str">
        <f>"1551604099206072"</f>
        <v>1551604099206072</v>
      </c>
      <c r="C2716" t="s">
        <v>40</v>
      </c>
      <c r="D2716">
        <v>4.8891150000000003</v>
      </c>
      <c r="E2716">
        <v>0.52354709999999904</v>
      </c>
      <c r="F2716" t="s">
        <v>57</v>
      </c>
      <c r="G2716">
        <v>-191.41309999999999</v>
      </c>
      <c r="H2716" s="1">
        <v>5.5290959999999899E-6</v>
      </c>
      <c r="I2716">
        <v>205.53540000000001</v>
      </c>
      <c r="J2716">
        <v>-306.45600000000002</v>
      </c>
      <c r="K2716">
        <v>1.1212580000000001</v>
      </c>
      <c r="L2716">
        <v>213.92959999999999</v>
      </c>
      <c r="M2716">
        <v>0.99987630000000005</v>
      </c>
      <c r="N2716">
        <v>-1.507025E-2</v>
      </c>
      <c r="O2716">
        <v>4.4939089999999999E-3</v>
      </c>
      <c r="P2716">
        <v>0.97488739999999996</v>
      </c>
      <c r="Q2716">
        <v>0.22126580000000001</v>
      </c>
      <c r="R2716">
        <v>-2.5221230000000001E-2</v>
      </c>
      <c r="S2716">
        <v>3.0777589999999999</v>
      </c>
      <c r="T2716">
        <v>-2.988648E-2</v>
      </c>
      <c r="U2716">
        <v>-0.2236938</v>
      </c>
      <c r="V2716">
        <v>2.9611330000000002E-2</v>
      </c>
      <c r="W2716">
        <v>0.23592969999999999</v>
      </c>
      <c r="X2716">
        <v>0.97131880000000004</v>
      </c>
      <c r="Y2716">
        <v>7.696211E-2</v>
      </c>
      <c r="Z2716">
        <v>-9.298628E-4</v>
      </c>
      <c r="AA2716">
        <v>0.99703359999999996</v>
      </c>
      <c r="AB2716">
        <v>40</v>
      </c>
      <c r="AC2716">
        <v>115.04289999999899</v>
      </c>
      <c r="AD2716">
        <v>-1.1212524709039999</v>
      </c>
      <c r="AE2716">
        <v>-8.3941999999999801</v>
      </c>
      <c r="AF2716">
        <v>8.9103243528762608</v>
      </c>
      <c r="AG2716">
        <v>-1.1212524709039999</v>
      </c>
      <c r="AH2716">
        <v>114.99314543093899</v>
      </c>
      <c r="AI2716">
        <v>90.556981217673098</v>
      </c>
      <c r="AJ2716">
        <v>85.569249730335699</v>
      </c>
      <c r="AK2716">
        <v>115.34329015282199</v>
      </c>
      <c r="AL2716">
        <v>76.353567330672107</v>
      </c>
      <c r="AM2716">
        <v>88.253839077046294</v>
      </c>
      <c r="AN2716">
        <v>0.99999993271994703</v>
      </c>
    </row>
    <row r="2717" spans="1:40" x14ac:dyDescent="0.25">
      <c r="A2717" t="str">
        <f>"20190303170819256"</f>
        <v>20190303170819256</v>
      </c>
      <c r="B2717" t="str">
        <f>"1551604099246088"</f>
        <v>1551604099246088</v>
      </c>
      <c r="C2717" t="s">
        <v>40</v>
      </c>
      <c r="D2717">
        <v>4.8852640000000003</v>
      </c>
      <c r="E2717">
        <v>0.50534480000000004</v>
      </c>
      <c r="F2717" t="s">
        <v>57</v>
      </c>
      <c r="G2717">
        <v>-188.0608</v>
      </c>
      <c r="H2717" s="1">
        <v>5.5674969999999998E-6</v>
      </c>
      <c r="I2717">
        <v>205.32849999999999</v>
      </c>
      <c r="J2717">
        <v>-305.69049999999999</v>
      </c>
      <c r="K2717">
        <v>1.1212580000000001</v>
      </c>
      <c r="L2717">
        <v>213.9331</v>
      </c>
      <c r="M2717">
        <v>0.9998766</v>
      </c>
      <c r="N2717">
        <v>-1.506175E-2</v>
      </c>
      <c r="O2717">
        <v>4.4936759999999899E-3</v>
      </c>
      <c r="P2717">
        <v>0.97478260000000005</v>
      </c>
      <c r="Q2717">
        <v>0.22147549999999999</v>
      </c>
      <c r="R2717">
        <v>-2.7345230000000002E-2</v>
      </c>
      <c r="S2717">
        <v>3.0780940000000001</v>
      </c>
      <c r="T2717">
        <v>-2.9150840000000001E-2</v>
      </c>
      <c r="U2717">
        <v>-0.2236176</v>
      </c>
      <c r="V2717">
        <v>3.1734600000000002E-2</v>
      </c>
      <c r="W2717">
        <v>0.23612949999999999</v>
      </c>
      <c r="X2717">
        <v>0.97120329999999999</v>
      </c>
      <c r="Y2717">
        <v>7.6929750000000005E-2</v>
      </c>
      <c r="Z2717">
        <v>-9.1887420000000004E-4</v>
      </c>
      <c r="AA2717">
        <v>0.99703609999999998</v>
      </c>
      <c r="AB2717">
        <v>39</v>
      </c>
      <c r="AC2717">
        <v>117.6297</v>
      </c>
      <c r="AD2717">
        <v>-1.121252432503</v>
      </c>
      <c r="AE2717">
        <v>-8.6045999999999996</v>
      </c>
      <c r="AF2717">
        <v>9.1323374119830802</v>
      </c>
      <c r="AG2717">
        <v>-1.121252432503</v>
      </c>
      <c r="AH2717">
        <v>117.579215014531</v>
      </c>
      <c r="AI2717">
        <v>90.544723820607999</v>
      </c>
      <c r="AJ2717">
        <v>85.558772761838796</v>
      </c>
      <c r="AK2717">
        <v>117.938664555171</v>
      </c>
      <c r="AL2717">
        <v>76.341788246533099</v>
      </c>
      <c r="AM2717">
        <v>88.128494882883501</v>
      </c>
      <c r="AN2717">
        <v>1.00000003776914</v>
      </c>
    </row>
    <row r="2718" spans="1:40" x14ac:dyDescent="0.25">
      <c r="A2718" t="str">
        <f>"20190303170819276"</f>
        <v>20190303170819276</v>
      </c>
      <c r="B2718" t="str">
        <f>"1551604099265608"</f>
        <v>1551604099265608</v>
      </c>
      <c r="C2718" t="s">
        <v>40</v>
      </c>
      <c r="D2718">
        <v>4.8919379999999997</v>
      </c>
      <c r="E2718">
        <v>0.50534380000000001</v>
      </c>
      <c r="F2718" t="s">
        <v>57</v>
      </c>
      <c r="G2718">
        <v>-190.6063</v>
      </c>
      <c r="H2718" s="1">
        <v>4.1920410000000003E-6</v>
      </c>
      <c r="I2718">
        <v>210.78450000000001</v>
      </c>
      <c r="J2718">
        <v>-305.33300000000003</v>
      </c>
      <c r="K2718">
        <v>1.121264</v>
      </c>
      <c r="L2718">
        <v>213.93469999999999</v>
      </c>
      <c r="M2718">
        <v>0.9998766</v>
      </c>
      <c r="N2718">
        <v>-1.505775E-2</v>
      </c>
      <c r="O2718">
        <v>4.4937060000000001E-3</v>
      </c>
      <c r="P2718">
        <v>0.97477990000000003</v>
      </c>
      <c r="Q2718">
        <v>0.22140499999999999</v>
      </c>
      <c r="R2718">
        <v>-2.7998760000000001E-2</v>
      </c>
      <c r="S2718">
        <v>3.0820620000000001</v>
      </c>
      <c r="T2718">
        <v>-3.0028220000000001E-2</v>
      </c>
      <c r="U2718">
        <v>-8.4320069999999997E-2</v>
      </c>
      <c r="V2718">
        <v>3.2388299999999898E-2</v>
      </c>
      <c r="W2718">
        <v>0.23605490000000001</v>
      </c>
      <c r="X2718">
        <v>0.97119979999999995</v>
      </c>
      <c r="Y2718">
        <v>3.1836450000000002E-2</v>
      </c>
      <c r="Z2718">
        <v>-3.7093940000000001E-4</v>
      </c>
      <c r="AA2718">
        <v>0.99949299999999996</v>
      </c>
      <c r="AB2718">
        <v>39</v>
      </c>
      <c r="AC2718">
        <v>114.726699999999</v>
      </c>
      <c r="AD2718">
        <v>-1.1212598079589999</v>
      </c>
      <c r="AE2718">
        <v>-3.1501999999999799</v>
      </c>
      <c r="AF2718">
        <v>3.6654248165731</v>
      </c>
      <c r="AG2718">
        <v>-1.1212598079589999</v>
      </c>
      <c r="AH2718">
        <v>114.70043603523899</v>
      </c>
      <c r="AI2718">
        <v>90.559794152645097</v>
      </c>
      <c r="AJ2718">
        <v>88.169650148475696</v>
      </c>
      <c r="AK2718">
        <v>114.764465708323</v>
      </c>
      <c r="AL2718">
        <v>76.346186118093897</v>
      </c>
      <c r="AM2718">
        <v>88.0899651984207</v>
      </c>
      <c r="AN2718">
        <v>0.99999998465546902</v>
      </c>
    </row>
    <row r="2719" spans="1:40" x14ac:dyDescent="0.25">
      <c r="A2719" t="str">
        <f>"20190303170819298"</f>
        <v>20190303170819298</v>
      </c>
      <c r="B2719" t="str">
        <f>"1551604099286105"</f>
        <v>1551604099286105</v>
      </c>
      <c r="C2719" t="s">
        <v>40</v>
      </c>
      <c r="D2719">
        <v>4.833081</v>
      </c>
      <c r="E2719">
        <v>0.50525719999999996</v>
      </c>
      <c r="F2719" t="s">
        <v>57</v>
      </c>
      <c r="G2719">
        <v>-193.4041</v>
      </c>
      <c r="H2719" s="1">
        <v>3.6937299999999999E-6</v>
      </c>
      <c r="I2719">
        <v>210.80770000000001</v>
      </c>
      <c r="J2719">
        <v>-304.93880000000001</v>
      </c>
      <c r="K2719">
        <v>1.121262</v>
      </c>
      <c r="L2719">
        <v>213.93639999999999</v>
      </c>
      <c r="M2719">
        <v>0.99987669999999995</v>
      </c>
      <c r="N2719">
        <v>-1.505334E-2</v>
      </c>
      <c r="O2719">
        <v>4.4937400000000004E-3</v>
      </c>
      <c r="P2719">
        <v>0.97471180000000002</v>
      </c>
      <c r="Q2719">
        <v>0.22149170000000001</v>
      </c>
      <c r="R2719">
        <v>-2.9639789999999999E-2</v>
      </c>
      <c r="S2719">
        <v>3.0821529999999999</v>
      </c>
      <c r="T2719">
        <v>-3.0875799999999998E-2</v>
      </c>
      <c r="U2719">
        <v>-8.6105349999999997E-2</v>
      </c>
      <c r="V2719">
        <v>3.4028959999999997E-2</v>
      </c>
      <c r="W2719">
        <v>0.23613600000000001</v>
      </c>
      <c r="X2719">
        <v>0.97112399999999999</v>
      </c>
      <c r="Y2719">
        <v>3.2413949999999997E-2</v>
      </c>
      <c r="Z2719">
        <v>-3.8373599999999997E-4</v>
      </c>
      <c r="AA2719">
        <v>0.99947450000000004</v>
      </c>
      <c r="AB2719">
        <v>39</v>
      </c>
      <c r="AC2719">
        <v>111.5347</v>
      </c>
      <c r="AD2719">
        <v>-1.1212583062699999</v>
      </c>
      <c r="AE2719">
        <v>-3.1286999999999798</v>
      </c>
      <c r="AF2719">
        <v>3.6295665638354002</v>
      </c>
      <c r="AG2719">
        <v>-1.1212583062699999</v>
      </c>
      <c r="AH2719">
        <v>111.508251958245</v>
      </c>
      <c r="AI2719">
        <v>90.575806726609898</v>
      </c>
      <c r="AJ2719">
        <v>88.135694485749994</v>
      </c>
      <c r="AK2719">
        <v>111.5729412914</v>
      </c>
      <c r="AL2719">
        <v>76.341404487581599</v>
      </c>
      <c r="AM2719">
        <v>87.993131273117896</v>
      </c>
      <c r="AN2719">
        <v>1.0000000019953399</v>
      </c>
    </row>
    <row r="2720" spans="1:40" x14ac:dyDescent="0.25">
      <c r="A2720" t="str">
        <f>"20190303170819322"</f>
        <v>20190303170819322</v>
      </c>
      <c r="B2720" t="str">
        <f>"1551604099315385"</f>
        <v>1551604099315385</v>
      </c>
      <c r="C2720" t="s">
        <v>40</v>
      </c>
      <c r="D2720">
        <v>4.77529</v>
      </c>
      <c r="E2720">
        <v>0.50551689999999905</v>
      </c>
      <c r="F2720" t="s">
        <v>57</v>
      </c>
      <c r="G2720">
        <v>-196.02789999999999</v>
      </c>
      <c r="H2720" s="1">
        <v>3.2336950000000001E-6</v>
      </c>
      <c r="I2720">
        <v>210.74619999999999</v>
      </c>
      <c r="J2720">
        <v>-304.53449999999998</v>
      </c>
      <c r="K2720">
        <v>1.1212629999999999</v>
      </c>
      <c r="L2720">
        <v>213.93819999999999</v>
      </c>
      <c r="M2720">
        <v>0.99987669999999995</v>
      </c>
      <c r="N2720">
        <v>-1.5048829999999999E-2</v>
      </c>
      <c r="O2720">
        <v>4.4937739999999999E-3</v>
      </c>
      <c r="P2720">
        <v>0.97469220000000001</v>
      </c>
      <c r="Q2720">
        <v>0.22152459999999999</v>
      </c>
      <c r="R2720">
        <v>-3.0036819999999999E-2</v>
      </c>
      <c r="S2720">
        <v>3.082306</v>
      </c>
      <c r="T2720">
        <v>-3.1732919999999998E-2</v>
      </c>
      <c r="U2720">
        <v>-9.0286249999999998E-2</v>
      </c>
      <c r="V2720">
        <v>3.4425919999999999E-2</v>
      </c>
      <c r="W2720">
        <v>0.23616419999999999</v>
      </c>
      <c r="X2720">
        <v>0.9711031</v>
      </c>
      <c r="Y2720">
        <v>3.3766839999999999E-2</v>
      </c>
      <c r="Z2720">
        <v>-4.065758E-4</v>
      </c>
      <c r="AA2720">
        <v>0.99942960000000003</v>
      </c>
      <c r="AB2720">
        <v>39</v>
      </c>
      <c r="AC2720">
        <v>108.50660000000001</v>
      </c>
      <c r="AD2720">
        <v>-1.1212597663049999</v>
      </c>
      <c r="AE2720">
        <v>-3.1920000000000002</v>
      </c>
      <c r="AF2720">
        <v>3.6792345664928701</v>
      </c>
      <c r="AG2720">
        <v>-1.1212597663049999</v>
      </c>
      <c r="AH2720">
        <v>108.47958469675601</v>
      </c>
      <c r="AI2720">
        <v>90.591855604400493</v>
      </c>
      <c r="AJ2720">
        <v>88.057479314077696</v>
      </c>
      <c r="AK2720">
        <v>108.54775118094</v>
      </c>
      <c r="AL2720">
        <v>76.339741022719494</v>
      </c>
      <c r="AM2720">
        <v>87.969696251500196</v>
      </c>
      <c r="AN2720">
        <v>0.99999995207954695</v>
      </c>
    </row>
    <row r="2721" spans="1:40" x14ac:dyDescent="0.25">
      <c r="A2721" t="str">
        <f>"20190303170819344"</f>
        <v>20190303170819344</v>
      </c>
      <c r="B2721" t="str">
        <f>"1551604099335879"</f>
        <v>1551604099335879</v>
      </c>
      <c r="C2721" t="s">
        <v>40</v>
      </c>
      <c r="D2721">
        <v>4.7772519999999998</v>
      </c>
      <c r="E2721">
        <v>0.5055655</v>
      </c>
      <c r="F2721" t="s">
        <v>57</v>
      </c>
      <c r="G2721">
        <v>-204.70189999999999</v>
      </c>
      <c r="H2721" s="1">
        <v>4.6237019999999999E-6</v>
      </c>
      <c r="I2721">
        <v>210.9374</v>
      </c>
      <c r="J2721">
        <v>-304.13979999999998</v>
      </c>
      <c r="K2721">
        <v>1.121267</v>
      </c>
      <c r="L2721">
        <v>213.94</v>
      </c>
      <c r="M2721">
        <v>0.99987680000000001</v>
      </c>
      <c r="N2721">
        <v>-1.5044439999999999E-2</v>
      </c>
      <c r="O2721">
        <v>4.4938069999999998E-3</v>
      </c>
      <c r="P2721">
        <v>0.97472590000000003</v>
      </c>
      <c r="Q2721">
        <v>0.2213599</v>
      </c>
      <c r="R2721">
        <v>-3.015429E-2</v>
      </c>
      <c r="S2721">
        <v>3.082916</v>
      </c>
      <c r="T2721">
        <v>-3.4625410000000002E-2</v>
      </c>
      <c r="U2721">
        <v>-9.266663E-2</v>
      </c>
      <c r="V2721">
        <v>3.454376E-2</v>
      </c>
      <c r="W2721">
        <v>0.2359955</v>
      </c>
      <c r="X2721">
        <v>0.97114</v>
      </c>
      <c r="Y2721">
        <v>3.4531399999999997E-2</v>
      </c>
      <c r="Z2721">
        <v>-4.3657720000000002E-4</v>
      </c>
      <c r="AA2721">
        <v>0.9994035</v>
      </c>
      <c r="AB2721">
        <v>39</v>
      </c>
      <c r="AC2721">
        <v>99.4378999999999</v>
      </c>
      <c r="AD2721">
        <v>-1.1212623762980001</v>
      </c>
      <c r="AE2721">
        <v>-3.0026000000000002</v>
      </c>
      <c r="AF2721">
        <v>3.4490368123619399</v>
      </c>
      <c r="AG2721">
        <v>-1.1212623762980001</v>
      </c>
      <c r="AH2721">
        <v>99.410772699188598</v>
      </c>
      <c r="AI2721">
        <v>90.645827910619204</v>
      </c>
      <c r="AJ2721">
        <v>88.012931467638595</v>
      </c>
      <c r="AK2721">
        <v>99.476905927452606</v>
      </c>
      <c r="AL2721">
        <v>76.349688979079801</v>
      </c>
      <c r="AM2721">
        <v>87.962829706656905</v>
      </c>
      <c r="AN2721">
        <v>1.0000000234875901</v>
      </c>
    </row>
    <row r="2722" spans="1:40" x14ac:dyDescent="0.25">
      <c r="A2722" t="str">
        <f>"20190303170819366"</f>
        <v>20190303170819366</v>
      </c>
      <c r="B2722" t="str">
        <f>"1551604099355401"</f>
        <v>1551604099355401</v>
      </c>
      <c r="C2722" t="s">
        <v>40</v>
      </c>
      <c r="D2722">
        <v>4.775487</v>
      </c>
      <c r="E2722">
        <v>0.50559770000000004</v>
      </c>
      <c r="F2722" t="s">
        <v>57</v>
      </c>
      <c r="G2722">
        <v>-207.61840000000001</v>
      </c>
      <c r="H2722" s="1">
        <v>5.9112110000000003E-6</v>
      </c>
      <c r="I2722">
        <v>211.0044</v>
      </c>
      <c r="J2722">
        <v>-303.76089999999999</v>
      </c>
      <c r="K2722">
        <v>1.1212709999999999</v>
      </c>
      <c r="L2722">
        <v>213.9417</v>
      </c>
      <c r="M2722">
        <v>0.99987680000000001</v>
      </c>
      <c r="N2722">
        <v>-1.50402E-2</v>
      </c>
      <c r="O2722">
        <v>4.4940170000000003E-3</v>
      </c>
      <c r="P2722">
        <v>0.97467429999999999</v>
      </c>
      <c r="Q2722">
        <v>0.22154950000000001</v>
      </c>
      <c r="R2722">
        <v>-3.0427300000000001E-2</v>
      </c>
      <c r="S2722">
        <v>3.0830380000000002</v>
      </c>
      <c r="T2722">
        <v>-3.5814760000000001E-2</v>
      </c>
      <c r="U2722">
        <v>-9.3765260000000003E-2</v>
      </c>
      <c r="V2722">
        <v>3.4816550000000002E-2</v>
      </c>
      <c r="W2722">
        <v>0.23618</v>
      </c>
      <c r="X2722">
        <v>0.97108539999999999</v>
      </c>
      <c r="Y2722">
        <v>3.4885920000000001E-2</v>
      </c>
      <c r="Z2722">
        <v>-4.4963140000000001E-4</v>
      </c>
      <c r="AA2722">
        <v>0.99939120000000004</v>
      </c>
      <c r="AB2722">
        <v>39</v>
      </c>
      <c r="AC2722">
        <v>96.142499999999899</v>
      </c>
      <c r="AD2722">
        <v>-1.1212650887890001</v>
      </c>
      <c r="AE2722">
        <v>-2.9372999999999898</v>
      </c>
      <c r="AF2722">
        <v>3.3689274376559002</v>
      </c>
      <c r="AG2722">
        <v>-1.1212650887890001</v>
      </c>
      <c r="AH2722">
        <v>96.115266254103901</v>
      </c>
      <c r="AI2722">
        <v>90.667962786006399</v>
      </c>
      <c r="AJ2722">
        <v>87.992552678971904</v>
      </c>
      <c r="AK2722">
        <v>96.180826127543796</v>
      </c>
      <c r="AL2722">
        <v>76.338810331206204</v>
      </c>
      <c r="AM2722">
        <v>87.946640664397506</v>
      </c>
      <c r="AN2722">
        <v>1.0000000193235301</v>
      </c>
    </row>
    <row r="2723" spans="1:40" x14ac:dyDescent="0.25">
      <c r="A2723" t="str">
        <f>"20190303170819395"</f>
        <v>20190303170819395</v>
      </c>
      <c r="B2723" t="str">
        <f>"1551604099385657"</f>
        <v>1551604099385657</v>
      </c>
      <c r="C2723" t="s">
        <v>40</v>
      </c>
      <c r="D2723">
        <v>4.7772860000000001</v>
      </c>
      <c r="E2723">
        <v>0.50559209999999999</v>
      </c>
      <c r="F2723" t="s">
        <v>57</v>
      </c>
      <c r="G2723">
        <v>-202.56110000000001</v>
      </c>
      <c r="H2723" s="1">
        <v>3.6823279999999998E-6</v>
      </c>
      <c r="I2723">
        <v>210.84610000000001</v>
      </c>
      <c r="J2723">
        <v>-303.26</v>
      </c>
      <c r="K2723">
        <v>1.121262</v>
      </c>
      <c r="L2723">
        <v>213.94390000000001</v>
      </c>
      <c r="M2723">
        <v>0.99987689999999996</v>
      </c>
      <c r="N2723">
        <v>-1.503441E-2</v>
      </c>
      <c r="O2723">
        <v>4.4940620000000001E-3</v>
      </c>
      <c r="P2723">
        <v>0.97470389999999996</v>
      </c>
      <c r="Q2723">
        <v>0.22133140000000001</v>
      </c>
      <c r="R2723">
        <v>-3.1064140000000001E-2</v>
      </c>
      <c r="S2723">
        <v>3.0827640000000001</v>
      </c>
      <c r="T2723">
        <v>-3.4156199999999998E-2</v>
      </c>
      <c r="U2723">
        <v>-9.4299320000000006E-2</v>
      </c>
      <c r="V2723">
        <v>3.5453610000000003E-2</v>
      </c>
      <c r="W2723">
        <v>0.2359571</v>
      </c>
      <c r="X2723">
        <v>0.97111650000000005</v>
      </c>
      <c r="Y2723">
        <v>3.5061969999999998E-2</v>
      </c>
      <c r="Z2723">
        <v>-4.4007809999999998E-4</v>
      </c>
      <c r="AA2723">
        <v>0.99938510000000003</v>
      </c>
      <c r="AB2723">
        <v>39</v>
      </c>
      <c r="AC2723">
        <v>100.698899999999</v>
      </c>
      <c r="AD2723">
        <v>-1.1212583176719999</v>
      </c>
      <c r="AE2723">
        <v>-3.0977999999999999</v>
      </c>
      <c r="AF2723">
        <v>3.5499272397736301</v>
      </c>
      <c r="AG2723">
        <v>-1.1212583176719999</v>
      </c>
      <c r="AH2723">
        <v>100.67148985345599</v>
      </c>
      <c r="AI2723">
        <v>90.637725872881504</v>
      </c>
      <c r="AJ2723">
        <v>87.980445031325502</v>
      </c>
      <c r="AK2723">
        <v>100.740300143176</v>
      </c>
      <c r="AL2723">
        <v>76.351952528960595</v>
      </c>
      <c r="AM2723">
        <v>87.909169026256606</v>
      </c>
      <c r="AN2723">
        <v>0.99999998403734602</v>
      </c>
    </row>
    <row r="2724" spans="1:40" x14ac:dyDescent="0.25">
      <c r="A2724" t="str">
        <f>"20190303170819416"</f>
        <v>20190303170819416</v>
      </c>
      <c r="B2724" t="str">
        <f>"1551604099406153"</f>
        <v>1551604099406153</v>
      </c>
      <c r="C2724" t="s">
        <v>40</v>
      </c>
      <c r="D2724">
        <v>4.8322089999999998</v>
      </c>
      <c r="E2724">
        <v>0.50564169999999997</v>
      </c>
      <c r="F2724" t="s">
        <v>57</v>
      </c>
      <c r="G2724">
        <v>-205.54220000000001</v>
      </c>
      <c r="H2724" s="1">
        <v>4.9998419999999999E-6</v>
      </c>
      <c r="I2724">
        <v>210.8973</v>
      </c>
      <c r="J2724">
        <v>-302.87849999999997</v>
      </c>
      <c r="K2724">
        <v>1.1212569999999999</v>
      </c>
      <c r="L2724">
        <v>213.94560000000001</v>
      </c>
      <c r="M2724">
        <v>0.99987700000000002</v>
      </c>
      <c r="N2724">
        <v>-1.5030119999999999E-2</v>
      </c>
      <c r="O2724">
        <v>4.4940939999999997E-3</v>
      </c>
      <c r="P2724">
        <v>0.97469309999999998</v>
      </c>
      <c r="Q2724">
        <v>0.22139110000000001</v>
      </c>
      <c r="R2724">
        <v>-3.0977629999999999E-2</v>
      </c>
      <c r="S2724">
        <v>3.0828250000000001</v>
      </c>
      <c r="T2724">
        <v>-3.5373689999999999E-2</v>
      </c>
      <c r="U2724">
        <v>-9.6115110000000004E-2</v>
      </c>
      <c r="V2724">
        <v>3.5367080000000002E-2</v>
      </c>
      <c r="W2724">
        <v>0.23601230000000001</v>
      </c>
      <c r="X2724">
        <v>0.97110629999999998</v>
      </c>
      <c r="Y2724">
        <v>3.5649130000000001E-2</v>
      </c>
      <c r="Z2724">
        <v>-4.5649630000000002E-4</v>
      </c>
      <c r="AA2724">
        <v>0.99936429999999998</v>
      </c>
      <c r="AB2724">
        <v>39</v>
      </c>
      <c r="AC2724">
        <v>97.336299999999895</v>
      </c>
      <c r="AD2724">
        <v>-1.121252000158</v>
      </c>
      <c r="AE2724">
        <v>-3.04830000000001</v>
      </c>
      <c r="AF2724">
        <v>3.4852950537071199</v>
      </c>
      <c r="AG2724">
        <v>-1.121252000158</v>
      </c>
      <c r="AH2724">
        <v>97.308716139776493</v>
      </c>
      <c r="AI2724">
        <v>90.659745652515895</v>
      </c>
      <c r="AJ2724">
        <v>87.9487205396712</v>
      </c>
      <c r="AK2724">
        <v>97.377567870792703</v>
      </c>
      <c r="AL2724">
        <v>76.348698672744803</v>
      </c>
      <c r="AM2724">
        <v>87.914245620878702</v>
      </c>
      <c r="AN2724">
        <v>1.0000000409993499</v>
      </c>
    </row>
    <row r="2725" spans="1:40" x14ac:dyDescent="0.25">
      <c r="A2725" t="str">
        <f>"20190303170819437"</f>
        <v>20190303170819437</v>
      </c>
      <c r="B2725" t="str">
        <f>"1551604099425672"</f>
        <v>1551604099425672</v>
      </c>
      <c r="C2725" t="s">
        <v>40</v>
      </c>
      <c r="D2725">
        <v>4.6281150000000002</v>
      </c>
      <c r="E2725">
        <v>0.50561469999999997</v>
      </c>
      <c r="F2725" t="s">
        <v>57</v>
      </c>
      <c r="G2725">
        <v>-203.57</v>
      </c>
      <c r="H2725" s="1">
        <v>4.1298699999999996E-6</v>
      </c>
      <c r="I2725">
        <v>210.84440000000001</v>
      </c>
      <c r="J2725">
        <v>-302.5258</v>
      </c>
      <c r="K2725">
        <v>1.121254</v>
      </c>
      <c r="L2725">
        <v>213.94720000000001</v>
      </c>
      <c r="M2725">
        <v>0.99987700000000002</v>
      </c>
      <c r="N2725">
        <v>-1.502617E-2</v>
      </c>
      <c r="O2725">
        <v>4.4939460000000004E-3</v>
      </c>
      <c r="P2725">
        <v>0.97471750000000001</v>
      </c>
      <c r="Q2725">
        <v>0.22133610000000001</v>
      </c>
      <c r="R2725">
        <v>-3.0601130000000001E-2</v>
      </c>
      <c r="S2725">
        <v>3.0827640000000001</v>
      </c>
      <c r="T2725">
        <v>-3.4806249999999997E-2</v>
      </c>
      <c r="U2725">
        <v>-9.6267699999999998E-2</v>
      </c>
      <c r="V2725">
        <v>3.4990489999999999E-2</v>
      </c>
      <c r="W2725">
        <v>0.23595389999999999</v>
      </c>
      <c r="X2725">
        <v>0.9711341</v>
      </c>
      <c r="Y2725">
        <v>3.5699130000000003E-2</v>
      </c>
      <c r="Z2725">
        <v>-4.5300009999999999E-4</v>
      </c>
      <c r="AA2725">
        <v>0.99936250000000004</v>
      </c>
      <c r="AB2725">
        <v>39</v>
      </c>
      <c r="AC2725">
        <v>98.955799999999996</v>
      </c>
      <c r="AD2725">
        <v>-1.12124987013</v>
      </c>
      <c r="AE2725">
        <v>-3.1027999999999998</v>
      </c>
      <c r="AF2725">
        <v>3.5470659447844</v>
      </c>
      <c r="AG2725">
        <v>-1.12124987013</v>
      </c>
      <c r="AH2725">
        <v>98.928166493616899</v>
      </c>
      <c r="AI2725">
        <v>90.648944455318301</v>
      </c>
      <c r="AJ2725">
        <v>87.946541491522893</v>
      </c>
      <c r="AK2725">
        <v>98.998085859660407</v>
      </c>
      <c r="AL2725">
        <v>76.3521415466723</v>
      </c>
      <c r="AM2725">
        <v>87.936494529274398</v>
      </c>
      <c r="AN2725">
        <v>1.00000000874923</v>
      </c>
    </row>
    <row r="2726" spans="1:40" x14ac:dyDescent="0.25">
      <c r="A2726" t="str">
        <f>"20190303170819460"</f>
        <v>20190303170819460</v>
      </c>
      <c r="B2726" t="str">
        <f>"1551604099445192"</f>
        <v>1551604099445192</v>
      </c>
      <c r="C2726" t="s">
        <v>40</v>
      </c>
      <c r="D2726">
        <v>4.7735510000000003</v>
      </c>
      <c r="E2726">
        <v>0.50556219999999996</v>
      </c>
      <c r="F2726" t="s">
        <v>57</v>
      </c>
      <c r="G2726">
        <v>-203.36060000000001</v>
      </c>
      <c r="H2726" s="1">
        <v>4.0312999999999998E-6</v>
      </c>
      <c r="I2726">
        <v>210.90989999999999</v>
      </c>
      <c r="J2726">
        <v>-302.11660000000001</v>
      </c>
      <c r="K2726">
        <v>1.121254</v>
      </c>
      <c r="L2726">
        <v>213.94909999999999</v>
      </c>
      <c r="M2726">
        <v>0.99987709999999996</v>
      </c>
      <c r="N2726">
        <v>-1.50216E-2</v>
      </c>
      <c r="O2726">
        <v>4.4941590000000002E-3</v>
      </c>
      <c r="P2726">
        <v>0.97485480000000002</v>
      </c>
      <c r="Q2726">
        <v>0.22080520000000001</v>
      </c>
      <c r="R2726">
        <v>-3.0059039999999999E-2</v>
      </c>
      <c r="S2726">
        <v>3.0827939999999998</v>
      </c>
      <c r="T2726">
        <v>-3.48568E-2</v>
      </c>
      <c r="U2726">
        <v>-9.4421389999999994E-2</v>
      </c>
      <c r="V2726">
        <v>3.4449109999999998E-2</v>
      </c>
      <c r="W2726">
        <v>0.23542089999999999</v>
      </c>
      <c r="X2726">
        <v>0.9712828</v>
      </c>
      <c r="Y2726">
        <v>3.5101149999999998E-2</v>
      </c>
      <c r="Z2726">
        <v>-4.4542840000000002E-4</v>
      </c>
      <c r="AA2726">
        <v>0.99938369999999999</v>
      </c>
      <c r="AB2726">
        <v>39</v>
      </c>
      <c r="AC2726">
        <v>98.756</v>
      </c>
      <c r="AD2726">
        <v>-1.1212499686999999</v>
      </c>
      <c r="AE2726">
        <v>-3.0391999999999899</v>
      </c>
      <c r="AF2726">
        <v>3.4825960285358399</v>
      </c>
      <c r="AG2726">
        <v>-1.1212499686999999</v>
      </c>
      <c r="AH2726">
        <v>98.728627460335701</v>
      </c>
      <c r="AI2726">
        <v>90.650269380012801</v>
      </c>
      <c r="AJ2726">
        <v>87.979761693392206</v>
      </c>
      <c r="AK2726">
        <v>98.796394452388995</v>
      </c>
      <c r="AL2726">
        <v>76.383565452217297</v>
      </c>
      <c r="AM2726">
        <v>87.968705313955894</v>
      </c>
      <c r="AN2726">
        <v>1.00000000945622</v>
      </c>
    </row>
    <row r="2727" spans="1:40" x14ac:dyDescent="0.25">
      <c r="A2727" t="str">
        <f>"20190303170819482"</f>
        <v>20190303170819482</v>
      </c>
      <c r="B2727" t="str">
        <f>"1551604099475449"</f>
        <v>1551604099475449</v>
      </c>
      <c r="C2727" t="s">
        <v>40</v>
      </c>
      <c r="D2727">
        <v>4.6146570000000002</v>
      </c>
      <c r="E2727">
        <v>0.5055499</v>
      </c>
      <c r="F2727" t="s">
        <v>57</v>
      </c>
      <c r="G2727">
        <v>-207.8854</v>
      </c>
      <c r="H2727" s="1">
        <v>6.0168440000000001E-6</v>
      </c>
      <c r="I2727">
        <v>211.15020000000001</v>
      </c>
      <c r="J2727">
        <v>-301.75119999999998</v>
      </c>
      <c r="K2727">
        <v>1.1212519999999999</v>
      </c>
      <c r="L2727">
        <v>213.95070000000001</v>
      </c>
      <c r="M2727">
        <v>0.99987720000000002</v>
      </c>
      <c r="N2727">
        <v>-1.501748E-2</v>
      </c>
      <c r="O2727">
        <v>4.4940120000000004E-3</v>
      </c>
      <c r="P2727">
        <v>0.97497840000000002</v>
      </c>
      <c r="Q2727">
        <v>0.22021689999999999</v>
      </c>
      <c r="R2727">
        <v>-3.0365030000000001E-2</v>
      </c>
      <c r="S2727">
        <v>3.0828859999999998</v>
      </c>
      <c r="T2727">
        <v>-3.6682960000000001E-2</v>
      </c>
      <c r="U2727">
        <v>-9.1567990000000002E-2</v>
      </c>
      <c r="V2727">
        <v>3.4755479999999998E-2</v>
      </c>
      <c r="W2727">
        <v>0.23483000000000001</v>
      </c>
      <c r="X2727">
        <v>0.97141489999999997</v>
      </c>
      <c r="Y2727">
        <v>3.4175690000000002E-2</v>
      </c>
      <c r="Z2727">
        <v>-4.4596609999999999E-4</v>
      </c>
      <c r="AA2727">
        <v>0.99941579999999997</v>
      </c>
      <c r="AB2727">
        <v>39</v>
      </c>
      <c r="AC2727">
        <v>93.865799999999894</v>
      </c>
      <c r="AD2727">
        <v>-1.121245983156</v>
      </c>
      <c r="AE2727">
        <v>-2.8004999999999902</v>
      </c>
      <c r="AF2727">
        <v>3.2218939754797402</v>
      </c>
      <c r="AG2727">
        <v>-1.121245983156</v>
      </c>
      <c r="AH2727">
        <v>93.838887256663597</v>
      </c>
      <c r="AI2727">
        <v>90.6841702862462</v>
      </c>
      <c r="AJ2727">
        <v>88.033561086971503</v>
      </c>
      <c r="AK2727">
        <v>93.900876220154601</v>
      </c>
      <c r="AL2727">
        <v>76.418397791948493</v>
      </c>
      <c r="AM2727">
        <v>87.950933963881894</v>
      </c>
      <c r="AN2727">
        <v>0.99999999011602003</v>
      </c>
    </row>
    <row r="2728" spans="1:40" x14ac:dyDescent="0.25">
      <c r="A2728" t="str">
        <f>"20190303170819524"</f>
        <v>20190303170819524</v>
      </c>
      <c r="B2728" t="str">
        <f>"1551604099515465"</f>
        <v>1551604099515465</v>
      </c>
      <c r="C2728" t="s">
        <v>40</v>
      </c>
      <c r="D2728">
        <v>4.5185029999999999</v>
      </c>
      <c r="E2728">
        <v>0.50564430000000005</v>
      </c>
      <c r="F2728" t="s">
        <v>57</v>
      </c>
      <c r="G2728">
        <v>-209.8477</v>
      </c>
      <c r="H2728" s="1">
        <v>6.8845529999999999E-6</v>
      </c>
      <c r="I2728">
        <v>211.1789</v>
      </c>
      <c r="J2728">
        <v>-301.0258</v>
      </c>
      <c r="K2728">
        <v>1.1212569999999999</v>
      </c>
      <c r="L2728">
        <v>213.95400000000001</v>
      </c>
      <c r="M2728">
        <v>0.99987729999999997</v>
      </c>
      <c r="N2728">
        <v>-1.500927E-2</v>
      </c>
      <c r="O2728">
        <v>4.4940739999999998E-3</v>
      </c>
      <c r="P2728">
        <v>0.97518000000000005</v>
      </c>
      <c r="Q2728">
        <v>0.21932380000000001</v>
      </c>
      <c r="R2728">
        <v>-3.0348420000000001E-2</v>
      </c>
      <c r="S2728">
        <v>3.0825809999999998</v>
      </c>
      <c r="T2728">
        <v>-3.7608269999999999E-2</v>
      </c>
      <c r="U2728">
        <v>-9.2971799999999993E-2</v>
      </c>
      <c r="V2728">
        <v>3.4740140000000003E-2</v>
      </c>
      <c r="W2728">
        <v>0.2339321</v>
      </c>
      <c r="X2728">
        <v>0.9716321</v>
      </c>
      <c r="Y2728">
        <v>3.463314E-2</v>
      </c>
      <c r="Z2728">
        <v>-4.5858930000000002E-4</v>
      </c>
      <c r="AA2728">
        <v>0.99939999999999996</v>
      </c>
      <c r="AB2728">
        <v>39</v>
      </c>
      <c r="AC2728">
        <v>91.178100000000001</v>
      </c>
      <c r="AD2728">
        <v>-1.121250115447</v>
      </c>
      <c r="AE2728">
        <v>-2.7751000000000001</v>
      </c>
      <c r="AF2728">
        <v>3.18439812738798</v>
      </c>
      <c r="AG2728">
        <v>-1.121250115447</v>
      </c>
      <c r="AH2728">
        <v>91.150934577009906</v>
      </c>
      <c r="AI2728">
        <v>90.704331751475394</v>
      </c>
      <c r="AJ2728">
        <v>87.9991603897045</v>
      </c>
      <c r="AK2728">
        <v>91.213433591316104</v>
      </c>
      <c r="AL2728">
        <v>76.471318200489307</v>
      </c>
      <c r="AM2728">
        <v>87.952295047458406</v>
      </c>
      <c r="AN2728">
        <v>1.0000000212440101</v>
      </c>
    </row>
    <row r="2729" spans="1:40" x14ac:dyDescent="0.25">
      <c r="A2729" t="str">
        <f>"20190303170819543"</f>
        <v>20190303170819543</v>
      </c>
      <c r="B2729" t="str">
        <f>"1551604099535961"</f>
        <v>1551604099535961</v>
      </c>
      <c r="C2729" t="s">
        <v>40</v>
      </c>
      <c r="D2729">
        <v>4.7729039999999996</v>
      </c>
      <c r="E2729">
        <v>0.50565499999999997</v>
      </c>
      <c r="F2729" t="s">
        <v>63</v>
      </c>
      <c r="G2729">
        <v>-212.4804</v>
      </c>
      <c r="H2729" s="1">
        <v>-6.9994670000000006E-8</v>
      </c>
      <c r="I2729">
        <v>211.25640000000001</v>
      </c>
      <c r="J2729">
        <v>-300.66230000000002</v>
      </c>
      <c r="K2729">
        <v>1.1212599999999999</v>
      </c>
      <c r="L2729">
        <v>213.9556</v>
      </c>
      <c r="M2729">
        <v>0.99987740000000003</v>
      </c>
      <c r="N2729">
        <v>-1.500517E-2</v>
      </c>
      <c r="O2729">
        <v>4.494105E-3</v>
      </c>
      <c r="P2729">
        <v>0.97523260000000001</v>
      </c>
      <c r="Q2729">
        <v>0.2191361</v>
      </c>
      <c r="R2729">
        <v>-3.0018909999999999E-2</v>
      </c>
      <c r="S2729">
        <v>3.0822449999999999</v>
      </c>
      <c r="T2729">
        <v>-3.9030670000000003E-2</v>
      </c>
      <c r="U2729">
        <v>-9.3902589999999994E-2</v>
      </c>
      <c r="V2729">
        <v>3.4410580000000003E-2</v>
      </c>
      <c r="W2729">
        <v>0.23374159999999999</v>
      </c>
      <c r="X2729">
        <v>0.97168960000000004</v>
      </c>
      <c r="Y2729">
        <v>3.4937620000000003E-2</v>
      </c>
      <c r="Z2729">
        <v>-4.728415E-4</v>
      </c>
      <c r="AA2729">
        <v>0.99938939999999998</v>
      </c>
      <c r="AB2729">
        <v>39</v>
      </c>
      <c r="AC2729">
        <v>88.181899999999999</v>
      </c>
      <c r="AD2729">
        <v>-1.12126006999467</v>
      </c>
      <c r="AE2729">
        <v>-2.6991999999999901</v>
      </c>
      <c r="AF2729">
        <v>3.0950161114046102</v>
      </c>
      <c r="AG2729">
        <v>-1.12126006999467</v>
      </c>
      <c r="AH2729">
        <v>88.154638019389097</v>
      </c>
      <c r="AI2729">
        <v>90.7282708613495</v>
      </c>
      <c r="AJ2729">
        <v>87.989231687076199</v>
      </c>
      <c r="AK2729">
        <v>88.216078768011101</v>
      </c>
      <c r="AL2729">
        <v>76.4825433145391</v>
      </c>
      <c r="AM2729">
        <v>87.9718240847006</v>
      </c>
      <c r="AN2729">
        <v>0.99999995116732698</v>
      </c>
    </row>
    <row r="2730" spans="1:40" x14ac:dyDescent="0.25">
      <c r="A2730" t="str">
        <f>"20190303170819574"</f>
        <v>20190303170819574</v>
      </c>
      <c r="B2730" t="str">
        <f>"1551604099565241"</f>
        <v>1551604099565241</v>
      </c>
      <c r="C2730" t="s">
        <v>40</v>
      </c>
      <c r="D2730">
        <v>4.7723170000000001</v>
      </c>
      <c r="E2730">
        <v>0.50570439999999905</v>
      </c>
      <c r="F2730" t="s">
        <v>63</v>
      </c>
      <c r="G2730">
        <v>-211.47229999999999</v>
      </c>
      <c r="H2730" s="1">
        <v>-6.0684039999999997E-7</v>
      </c>
      <c r="I2730">
        <v>211.26560000000001</v>
      </c>
      <c r="J2730">
        <v>-300.15260000000001</v>
      </c>
      <c r="K2730">
        <v>1.121264</v>
      </c>
      <c r="L2730">
        <v>213.9579</v>
      </c>
      <c r="M2730">
        <v>0.99987740000000003</v>
      </c>
      <c r="N2730">
        <v>-1.4999449999999999E-2</v>
      </c>
      <c r="O2730">
        <v>4.4941479999999999E-3</v>
      </c>
      <c r="P2730">
        <v>0.97522940000000002</v>
      </c>
      <c r="Q2730">
        <v>0.21935360000000001</v>
      </c>
      <c r="R2730">
        <v>-2.8496919999999999E-2</v>
      </c>
      <c r="S2730">
        <v>3.0820919999999998</v>
      </c>
      <c r="T2730">
        <v>-3.8746830000000003E-2</v>
      </c>
      <c r="U2730">
        <v>-9.2956540000000004E-2</v>
      </c>
      <c r="V2730">
        <v>3.2888590000000002E-2</v>
      </c>
      <c r="W2730">
        <v>0.23395350000000001</v>
      </c>
      <c r="X2730">
        <v>0.97169139999999998</v>
      </c>
      <c r="Y2730">
        <v>3.4632789999999997E-2</v>
      </c>
      <c r="Z2730">
        <v>-4.665561E-4</v>
      </c>
      <c r="AA2730">
        <v>0.99939999999999996</v>
      </c>
      <c r="AB2730">
        <v>39</v>
      </c>
      <c r="AC2730">
        <v>88.680300000000003</v>
      </c>
      <c r="AD2730">
        <v>-1.1212646068404</v>
      </c>
      <c r="AE2730">
        <v>-2.6922999999999799</v>
      </c>
      <c r="AF2730">
        <v>3.0903664428774</v>
      </c>
      <c r="AG2730">
        <v>-1.1212646068404</v>
      </c>
      <c r="AH2730">
        <v>88.653143521723095</v>
      </c>
      <c r="AI2730">
        <v>90.724185410552195</v>
      </c>
      <c r="AJ2730">
        <v>88.003530624124096</v>
      </c>
      <c r="AK2730">
        <v>88.714076985296103</v>
      </c>
      <c r="AL2730">
        <v>76.470057308480307</v>
      </c>
      <c r="AM2730">
        <v>88.061464459678803</v>
      </c>
      <c r="AN2730">
        <v>1.00000003817419</v>
      </c>
    </row>
    <row r="2731" spans="1:40" x14ac:dyDescent="0.25">
      <c r="A2731" t="str">
        <f>"20190303170819589"</f>
        <v>20190303170819589</v>
      </c>
      <c r="B2731" t="str">
        <f>"1551604099575977"</f>
        <v>1551604099575977</v>
      </c>
      <c r="C2731" t="s">
        <v>40</v>
      </c>
      <c r="D2731">
        <v>4.8295810000000001</v>
      </c>
      <c r="E2731">
        <v>0.505745</v>
      </c>
      <c r="F2731" t="s">
        <v>57</v>
      </c>
      <c r="G2731">
        <v>-206.67699999999999</v>
      </c>
      <c r="H2731" s="1">
        <v>5.4727540000000004E-6</v>
      </c>
      <c r="I2731">
        <v>211.244</v>
      </c>
      <c r="J2731">
        <v>-299.87729999999999</v>
      </c>
      <c r="K2731">
        <v>1.121262</v>
      </c>
      <c r="L2731">
        <v>213.95920000000001</v>
      </c>
      <c r="M2731">
        <v>0.99987760000000003</v>
      </c>
      <c r="N2731">
        <v>-1.499639E-2</v>
      </c>
      <c r="O2731">
        <v>4.4939919999999996E-3</v>
      </c>
      <c r="P2731">
        <v>0.97520289999999998</v>
      </c>
      <c r="Q2731">
        <v>0.21964919999999999</v>
      </c>
      <c r="R2731">
        <v>-2.7087670000000001E-2</v>
      </c>
      <c r="S2731">
        <v>3.0819399999999999</v>
      </c>
      <c r="T2731">
        <v>-3.6968470000000003E-2</v>
      </c>
      <c r="U2731">
        <v>-8.9477539999999994E-2</v>
      </c>
      <c r="V2731">
        <v>3.1479430000000003E-2</v>
      </c>
      <c r="W2731">
        <v>0.23424600000000001</v>
      </c>
      <c r="X2731">
        <v>0.97166759999999996</v>
      </c>
      <c r="Y2731">
        <v>3.3507509999999997E-2</v>
      </c>
      <c r="Z2731">
        <v>-4.3875910000000003E-4</v>
      </c>
      <c r="AA2731">
        <v>0.9994383</v>
      </c>
      <c r="AB2731">
        <v>39</v>
      </c>
      <c r="AC2731">
        <v>93.200299999999899</v>
      </c>
      <c r="AD2731">
        <v>-1.121256527246</v>
      </c>
      <c r="AE2731">
        <v>-2.7151999999999799</v>
      </c>
      <c r="AF2731">
        <v>3.1336078597951502</v>
      </c>
      <c r="AG2731">
        <v>-1.121256527246</v>
      </c>
      <c r="AH2731">
        <v>93.173681079127505</v>
      </c>
      <c r="AI2731">
        <v>90.689077303869496</v>
      </c>
      <c r="AJ2731">
        <v>88.073760153582796</v>
      </c>
      <c r="AK2731">
        <v>93.233103349903701</v>
      </c>
      <c r="AL2731">
        <v>76.452819235487794</v>
      </c>
      <c r="AM2731">
        <v>88.144419086688501</v>
      </c>
      <c r="AN2731">
        <v>1.0000000339594399</v>
      </c>
    </row>
    <row r="2732" spans="1:40" x14ac:dyDescent="0.25">
      <c r="A2732" t="str">
        <f>"20190303170819613"</f>
        <v>20190303170819613</v>
      </c>
      <c r="B2732" t="str">
        <f>"1551604099605257"</f>
        <v>1551604099605257</v>
      </c>
      <c r="C2732" t="s">
        <v>40</v>
      </c>
      <c r="D2732">
        <v>4.5934309999999998</v>
      </c>
      <c r="E2732">
        <v>0.50575630000000005</v>
      </c>
      <c r="F2732" t="s">
        <v>57</v>
      </c>
      <c r="G2732">
        <v>-202.68369999999999</v>
      </c>
      <c r="H2732" s="1">
        <v>3.7015090000000001E-6</v>
      </c>
      <c r="I2732">
        <v>211.24850000000001</v>
      </c>
      <c r="J2732">
        <v>-299.47579999999999</v>
      </c>
      <c r="K2732">
        <v>1.1212690000000001</v>
      </c>
      <c r="L2732">
        <v>213.96100000000001</v>
      </c>
      <c r="M2732">
        <v>0.99987749999999997</v>
      </c>
      <c r="N2732">
        <v>-1.4991910000000001E-2</v>
      </c>
      <c r="O2732">
        <v>4.4942050000000002E-3</v>
      </c>
      <c r="P2732">
        <v>0.97524339999999998</v>
      </c>
      <c r="Q2732">
        <v>0.21958359999999999</v>
      </c>
      <c r="R2732">
        <v>-2.6142599999999998E-2</v>
      </c>
      <c r="S2732">
        <v>3.081909</v>
      </c>
      <c r="T2732">
        <v>-3.5553929999999997E-2</v>
      </c>
      <c r="U2732">
        <v>-8.5952760000000003E-2</v>
      </c>
      <c r="V2732">
        <v>3.0534490000000001E-2</v>
      </c>
      <c r="W2732">
        <v>0.23417640000000001</v>
      </c>
      <c r="X2732">
        <v>0.97171450000000004</v>
      </c>
      <c r="Y2732">
        <v>3.2366319999999997E-2</v>
      </c>
      <c r="Z2732">
        <v>-4.1381589999999998E-4</v>
      </c>
      <c r="AA2732">
        <v>0.99947600000000003</v>
      </c>
      <c r="AB2732">
        <v>39</v>
      </c>
      <c r="AC2732">
        <v>96.792100000000005</v>
      </c>
      <c r="AD2732">
        <v>-1.1212652984909901</v>
      </c>
      <c r="AE2732">
        <v>-2.7124999999999702</v>
      </c>
      <c r="AF2732">
        <v>3.1471030452803599</v>
      </c>
      <c r="AG2732">
        <v>-1.1212652984909901</v>
      </c>
      <c r="AH2732">
        <v>96.765955041019396</v>
      </c>
      <c r="AI2732">
        <v>90.6635282965741</v>
      </c>
      <c r="AJ2732">
        <v>88.137235487116598</v>
      </c>
      <c r="AK2732">
        <v>96.823610490663896</v>
      </c>
      <c r="AL2732">
        <v>76.456920718851194</v>
      </c>
      <c r="AM2732">
        <v>88.200168964034702</v>
      </c>
      <c r="AN2732">
        <v>1.00000000545338</v>
      </c>
    </row>
    <row r="2733" spans="1:40" x14ac:dyDescent="0.25">
      <c r="A2733" t="str">
        <f>"20190303170819636"</f>
        <v>20190303170819636</v>
      </c>
      <c r="B2733" t="str">
        <f>"1551604099625753"</f>
        <v>1551604099625753</v>
      </c>
      <c r="C2733" t="s">
        <v>40</v>
      </c>
      <c r="D2733">
        <v>4.8370819999999997</v>
      </c>
      <c r="E2733">
        <v>0.50578009999999995</v>
      </c>
      <c r="F2733" t="s">
        <v>57</v>
      </c>
      <c r="G2733">
        <v>-198.93879999999999</v>
      </c>
      <c r="H2733" s="1">
        <v>2.6736620000000001E-6</v>
      </c>
      <c r="I2733">
        <v>211.24590000000001</v>
      </c>
      <c r="J2733">
        <v>-299.08420000000001</v>
      </c>
      <c r="K2733">
        <v>1.1212690000000001</v>
      </c>
      <c r="L2733">
        <v>213.96270000000001</v>
      </c>
      <c r="M2733">
        <v>0.99987780000000004</v>
      </c>
      <c r="N2733">
        <v>-1.4987520000000001E-2</v>
      </c>
      <c r="O2733">
        <v>4.4938799999999996E-3</v>
      </c>
      <c r="P2733">
        <v>0.97502149999999999</v>
      </c>
      <c r="Q2733">
        <v>0.22066</v>
      </c>
      <c r="R2733">
        <v>-2.5345889999999999E-2</v>
      </c>
      <c r="S2733">
        <v>3.0816650000000001</v>
      </c>
      <c r="T2733">
        <v>-3.4369110000000001E-2</v>
      </c>
      <c r="U2733">
        <v>-8.3221439999999994E-2</v>
      </c>
      <c r="V2733">
        <v>2.973669E-2</v>
      </c>
      <c r="W2733">
        <v>0.23524529999999999</v>
      </c>
      <c r="X2733">
        <v>0.97148100000000004</v>
      </c>
      <c r="Y2733">
        <v>3.1483360000000002E-2</v>
      </c>
      <c r="Z2733">
        <v>-3.9429370000000001E-4</v>
      </c>
      <c r="AA2733">
        <v>0.99950419999999995</v>
      </c>
      <c r="AB2733">
        <v>39</v>
      </c>
      <c r="AC2733">
        <v>100.1454</v>
      </c>
      <c r="AD2733">
        <v>-1.1212663263380001</v>
      </c>
      <c r="AE2733">
        <v>-2.7168000000000001</v>
      </c>
      <c r="AF2733">
        <v>3.1664677735922302</v>
      </c>
      <c r="AG2733">
        <v>-1.1212663263380001</v>
      </c>
      <c r="AH2733">
        <v>100.119636541896</v>
      </c>
      <c r="AI2733">
        <v>90.641323147692205</v>
      </c>
      <c r="AJ2733">
        <v>88.18851934237</v>
      </c>
      <c r="AK2733">
        <v>100.17597205726101</v>
      </c>
      <c r="AL2733">
        <v>76.393916884377802</v>
      </c>
      <c r="AM2733">
        <v>88.246743877290299</v>
      </c>
      <c r="AN2733">
        <v>0.99999997763262205</v>
      </c>
    </row>
    <row r="2734" spans="1:40" x14ac:dyDescent="0.25">
      <c r="A2734" t="str">
        <f>"20190303170819660"</f>
        <v>20190303170819660</v>
      </c>
      <c r="B2734" t="str">
        <f>"1551604099656009"</f>
        <v>1551604099656009</v>
      </c>
      <c r="C2734" t="s">
        <v>40</v>
      </c>
      <c r="D2734">
        <v>4.7191710000000002</v>
      </c>
      <c r="E2734">
        <v>0.5058146</v>
      </c>
      <c r="F2734" t="s">
        <v>57</v>
      </c>
      <c r="G2734">
        <v>-184.20009999999999</v>
      </c>
      <c r="H2734" s="1">
        <v>3.271401E-6</v>
      </c>
      <c r="I2734">
        <v>210.94890000000001</v>
      </c>
      <c r="J2734">
        <v>-298.66039999999998</v>
      </c>
      <c r="K2734">
        <v>1.121275</v>
      </c>
      <c r="L2734">
        <v>213.96459999999999</v>
      </c>
      <c r="M2734">
        <v>0.99987780000000004</v>
      </c>
      <c r="N2734">
        <v>-1.4982769999999999E-2</v>
      </c>
      <c r="O2734">
        <v>4.494095E-3</v>
      </c>
      <c r="P2734">
        <v>0.9749312</v>
      </c>
      <c r="Q2734">
        <v>0.2211004</v>
      </c>
      <c r="R2734">
        <v>-2.498502E-2</v>
      </c>
      <c r="S2734">
        <v>3.081604</v>
      </c>
      <c r="T2734">
        <v>-3.007638E-2</v>
      </c>
      <c r="U2734">
        <v>-8.0841060000000006E-2</v>
      </c>
      <c r="V2734">
        <v>2.9375430000000001E-2</v>
      </c>
      <c r="W2734">
        <v>0.23568</v>
      </c>
      <c r="X2734">
        <v>0.97138670000000005</v>
      </c>
      <c r="Y2734">
        <v>3.071343E-2</v>
      </c>
      <c r="Z2734">
        <v>-3.5653239999999998E-4</v>
      </c>
      <c r="AA2734">
        <v>0.99952819999999998</v>
      </c>
      <c r="AB2734">
        <v>39</v>
      </c>
      <c r="AC2734">
        <v>114.4603</v>
      </c>
      <c r="AD2734">
        <v>-1.1212717285989999</v>
      </c>
      <c r="AE2734">
        <v>-3.0156999999999798</v>
      </c>
      <c r="AF2734">
        <v>3.5297841713805198</v>
      </c>
      <c r="AG2734">
        <v>-1.1212717285989999</v>
      </c>
      <c r="AH2734">
        <v>114.43461542454099</v>
      </c>
      <c r="AI2734">
        <v>90.561119938497001</v>
      </c>
      <c r="AJ2734">
        <v>88.233247596015104</v>
      </c>
      <c r="AK2734">
        <v>114.494531895408</v>
      </c>
      <c r="AL2734">
        <v>76.368290863605594</v>
      </c>
      <c r="AM2734">
        <v>88.267862448795697</v>
      </c>
      <c r="AN2734">
        <v>1.0000000496122801</v>
      </c>
    </row>
    <row r="2735" spans="1:40" x14ac:dyDescent="0.25">
      <c r="A2735" t="str">
        <f>"20190303170819679"</f>
        <v>20190303170819679</v>
      </c>
      <c r="B2735" t="str">
        <f>"1551604099665768"</f>
        <v>1551604099665768</v>
      </c>
      <c r="C2735" t="s">
        <v>40</v>
      </c>
      <c r="D2735">
        <v>4.7240460000000004</v>
      </c>
      <c r="E2735">
        <v>0.48429369999999999</v>
      </c>
      <c r="F2735" t="s">
        <v>57</v>
      </c>
      <c r="G2735">
        <v>-179.95769999999999</v>
      </c>
      <c r="H2735">
        <v>8.2546100000000008E-3</v>
      </c>
      <c r="I2735">
        <v>210.8571</v>
      </c>
      <c r="J2735">
        <v>-298.34219999999999</v>
      </c>
      <c r="K2735">
        <v>1.121275</v>
      </c>
      <c r="L2735">
        <v>213.96610000000001</v>
      </c>
      <c r="M2735">
        <v>0.99987789999999999</v>
      </c>
      <c r="N2735">
        <v>-1.497919E-2</v>
      </c>
      <c r="O2735">
        <v>4.4941219999999997E-3</v>
      </c>
      <c r="P2735">
        <v>0.97476220000000002</v>
      </c>
      <c r="Q2735">
        <v>0.22190209999999999</v>
      </c>
      <c r="R2735">
        <v>-2.4461569999999998E-2</v>
      </c>
      <c r="S2735">
        <v>3.081604</v>
      </c>
      <c r="T2735">
        <v>-2.8894779999999998E-2</v>
      </c>
      <c r="U2735">
        <v>-8.0673220000000004E-2</v>
      </c>
      <c r="V2735">
        <v>2.885136E-2</v>
      </c>
      <c r="W2735">
        <v>0.23647560000000001</v>
      </c>
      <c r="X2735">
        <v>0.97120899999999999</v>
      </c>
      <c r="Y2735">
        <v>3.0659249999999999E-2</v>
      </c>
      <c r="Z2735">
        <v>-3.4822290000000001E-4</v>
      </c>
      <c r="AA2735">
        <v>0.99952980000000002</v>
      </c>
      <c r="AB2735">
        <v>39</v>
      </c>
      <c r="AC2735">
        <v>118.3845</v>
      </c>
      <c r="AD2735">
        <v>-1.11302039</v>
      </c>
      <c r="AE2735">
        <v>-3.109</v>
      </c>
      <c r="AF2735">
        <v>3.6407409836934002</v>
      </c>
      <c r="AG2735">
        <v>-1.11302039</v>
      </c>
      <c r="AH2735">
        <v>118.35887556834901</v>
      </c>
      <c r="AI2735">
        <v>90.538526114208494</v>
      </c>
      <c r="AJ2735">
        <v>88.238126734478897</v>
      </c>
      <c r="AK2735">
        <v>118.42008797118299</v>
      </c>
      <c r="AL2735">
        <v>76.321379909550501</v>
      </c>
      <c r="AM2735">
        <v>88.298435093306296</v>
      </c>
      <c r="AN2735">
        <v>1.0000000160250999</v>
      </c>
    </row>
    <row r="2736" spans="1:40" x14ac:dyDescent="0.25">
      <c r="A2736" t="str">
        <f>"20190303170819701"</f>
        <v>20190303170819701</v>
      </c>
      <c r="B2736" t="str">
        <f>"1551604099696025"</f>
        <v>1551604099696025</v>
      </c>
      <c r="C2736" t="s">
        <v>40</v>
      </c>
      <c r="D2736">
        <v>4.7490690000000004</v>
      </c>
      <c r="E2736">
        <v>0.4727808</v>
      </c>
      <c r="F2736" t="s">
        <v>53</v>
      </c>
      <c r="G2736">
        <v>-124.6118</v>
      </c>
      <c r="H2736">
        <v>0.5545177</v>
      </c>
      <c r="I2736">
        <v>219.10489999999999</v>
      </c>
      <c r="J2736">
        <v>-297.95620000000002</v>
      </c>
      <c r="K2736">
        <v>1.1212799999999901</v>
      </c>
      <c r="L2736">
        <v>213.96780000000001</v>
      </c>
      <c r="M2736">
        <v>0.99987789999999999</v>
      </c>
      <c r="N2736">
        <v>-1.497484E-2</v>
      </c>
      <c r="O2736">
        <v>4.4941549999999997E-3</v>
      </c>
      <c r="P2736">
        <v>0.97475420000000002</v>
      </c>
      <c r="Q2736">
        <v>0.22196260000000001</v>
      </c>
      <c r="R2736">
        <v>-2.4231369999999999E-2</v>
      </c>
      <c r="S2736">
        <v>3.0822750000000001</v>
      </c>
      <c r="T2736">
        <v>-1.0054230000000001E-2</v>
      </c>
      <c r="U2736">
        <v>9.1171260000000004E-2</v>
      </c>
      <c r="V2736">
        <v>2.8621290000000001E-2</v>
      </c>
      <c r="W2736">
        <v>0.23653160000000001</v>
      </c>
      <c r="X2736">
        <v>0.97120209999999996</v>
      </c>
      <c r="Y2736">
        <v>-2.5072850000000001E-2</v>
      </c>
      <c r="Z2736">
        <v>2.8130350000000001E-4</v>
      </c>
      <c r="AA2736">
        <v>0.99968559999999995</v>
      </c>
      <c r="AB2736">
        <v>38</v>
      </c>
      <c r="AC2736">
        <v>173.34440000000001</v>
      </c>
      <c r="AD2736">
        <v>-0.56676229999999905</v>
      </c>
      <c r="AE2736">
        <v>5.13709999999997</v>
      </c>
      <c r="AF2736">
        <v>-4.3578777007487197</v>
      </c>
      <c r="AG2736">
        <v>-0.56676229999999905</v>
      </c>
      <c r="AH2736">
        <v>173.36388689977599</v>
      </c>
      <c r="AI2736">
        <v>90.187251901968096</v>
      </c>
      <c r="AJ2736">
        <v>91.439950577644296</v>
      </c>
      <c r="AK2736">
        <v>173.41957674541101</v>
      </c>
      <c r="AL2736">
        <v>76.318076708042199</v>
      </c>
      <c r="AM2736">
        <v>88.311984050415802</v>
      </c>
      <c r="AN2736">
        <v>0.99999994754211496</v>
      </c>
    </row>
    <row r="2737" spans="1:40" x14ac:dyDescent="0.25">
      <c r="A2737" t="str">
        <f>"20190303170819724"</f>
        <v>20190303170819724</v>
      </c>
      <c r="B2737" t="str">
        <f>"1551604099715544"</f>
        <v>1551604099715544</v>
      </c>
      <c r="C2737" t="s">
        <v>40</v>
      </c>
      <c r="D2737">
        <v>4.7132459999999998</v>
      </c>
      <c r="E2737">
        <v>0.46986830000000002</v>
      </c>
      <c r="F2737" t="s">
        <v>53</v>
      </c>
      <c r="G2737">
        <v>-168.35059999999999</v>
      </c>
      <c r="H2737">
        <v>0.1191759</v>
      </c>
      <c r="I2737">
        <v>221.71559999999999</v>
      </c>
      <c r="J2737">
        <v>-297.5521</v>
      </c>
      <c r="K2737">
        <v>1.1212789999999999</v>
      </c>
      <c r="L2737">
        <v>213.96960000000001</v>
      </c>
      <c r="M2737">
        <v>0.99987789999999999</v>
      </c>
      <c r="N2737">
        <v>-1.4970280000000001E-2</v>
      </c>
      <c r="O2737">
        <v>4.494189E-3</v>
      </c>
      <c r="P2737">
        <v>0.9747692</v>
      </c>
      <c r="Q2737">
        <v>0.22189500000000001</v>
      </c>
      <c r="R2737">
        <v>-2.4241840000000001E-2</v>
      </c>
      <c r="S2737">
        <v>3.0877690000000002</v>
      </c>
      <c r="T2737">
        <v>-2.387309E-2</v>
      </c>
      <c r="U2737">
        <v>0.18458559999999999</v>
      </c>
      <c r="V2737">
        <v>2.8631879999999998E-2</v>
      </c>
      <c r="W2737">
        <v>0.23646030000000001</v>
      </c>
      <c r="X2737">
        <v>0.97121919999999995</v>
      </c>
      <c r="Y2737">
        <v>-5.5181069999999999E-2</v>
      </c>
      <c r="Z2737">
        <v>6.5908280000000002E-4</v>
      </c>
      <c r="AA2737">
        <v>0.99847609999999998</v>
      </c>
      <c r="AB2737">
        <v>38</v>
      </c>
      <c r="AC2737">
        <v>129.20150000000001</v>
      </c>
      <c r="AD2737">
        <v>-1.0021031</v>
      </c>
      <c r="AE2737">
        <v>7.74599999999998</v>
      </c>
      <c r="AF2737">
        <v>-7.1647712844638498</v>
      </c>
      <c r="AG2737">
        <v>-1.0021031</v>
      </c>
      <c r="AH2737">
        <v>129.22726465422801</v>
      </c>
      <c r="AI2737">
        <v>90.443614499642806</v>
      </c>
      <c r="AJ2737">
        <v>93.173411594997901</v>
      </c>
      <c r="AK2737">
        <v>129.42961055413701</v>
      </c>
      <c r="AL2737">
        <v>76.322281846462502</v>
      </c>
      <c r="AM2737">
        <v>88.311389553053402</v>
      </c>
      <c r="AN2737">
        <v>0.99999999623853197</v>
      </c>
    </row>
    <row r="2738" spans="1:40" x14ac:dyDescent="0.25">
      <c r="A2738" t="str">
        <f>"20190303170819744"</f>
        <v>20190303170819744</v>
      </c>
      <c r="B2738" t="str">
        <f>"1551604099736041"</f>
        <v>1551604099736041</v>
      </c>
      <c r="C2738" t="s">
        <v>40</v>
      </c>
      <c r="D2738">
        <v>4.705184</v>
      </c>
      <c r="E2738">
        <v>0.46852169999999999</v>
      </c>
      <c r="F2738" t="s">
        <v>53</v>
      </c>
      <c r="G2738">
        <v>-168.35059999999999</v>
      </c>
      <c r="H2738">
        <v>0.1124325</v>
      </c>
      <c r="I2738">
        <v>222.6832</v>
      </c>
      <c r="J2738">
        <v>-297.20170000000002</v>
      </c>
      <c r="K2738">
        <v>1.121281</v>
      </c>
      <c r="L2738">
        <v>213.97120000000001</v>
      </c>
      <c r="M2738">
        <v>0.99987789999999999</v>
      </c>
      <c r="N2738">
        <v>-1.496634E-2</v>
      </c>
      <c r="O2738">
        <v>4.4942189999999998E-3</v>
      </c>
      <c r="P2738">
        <v>0.97466770000000003</v>
      </c>
      <c r="Q2738">
        <v>0.2223126</v>
      </c>
      <c r="R2738">
        <v>-2.4505900000000001E-2</v>
      </c>
      <c r="S2738">
        <v>3.0883180000000001</v>
      </c>
      <c r="T2738">
        <v>-2.4113180000000001E-2</v>
      </c>
      <c r="U2738">
        <v>0.20828250000000001</v>
      </c>
      <c r="V2738">
        <v>2.8895359999999998E-2</v>
      </c>
      <c r="W2738">
        <v>0.2368722</v>
      </c>
      <c r="X2738">
        <v>0.9711111</v>
      </c>
      <c r="Y2738">
        <v>-6.2798510000000002E-2</v>
      </c>
      <c r="Z2738">
        <v>7.4753630000000003E-4</v>
      </c>
      <c r="AA2738">
        <v>0.99802599999999997</v>
      </c>
      <c r="AB2738">
        <v>38</v>
      </c>
      <c r="AC2738">
        <v>128.8511</v>
      </c>
      <c r="AD2738">
        <v>-1.0088485</v>
      </c>
      <c r="AE2738">
        <v>8.7119999999999802</v>
      </c>
      <c r="AF2738">
        <v>-8.1322658141948896</v>
      </c>
      <c r="AG2738">
        <v>-1.0088485</v>
      </c>
      <c r="AH2738">
        <v>128.88109172277299</v>
      </c>
      <c r="AI2738">
        <v>90.447597541820102</v>
      </c>
      <c r="AJ2738">
        <v>93.610518755705698</v>
      </c>
      <c r="AK2738">
        <v>129.141346307921</v>
      </c>
      <c r="AL2738">
        <v>76.297992751498299</v>
      </c>
      <c r="AM2738">
        <v>88.295669938087499</v>
      </c>
      <c r="AN2738">
        <v>1.00000007475278</v>
      </c>
    </row>
    <row r="2739" spans="1:40" x14ac:dyDescent="0.25">
      <c r="A2739" t="str">
        <f>"20190303170819766"</f>
        <v>20190303170819766</v>
      </c>
      <c r="B2739" t="str">
        <f>"1551604099755261"</f>
        <v>1551604099755261</v>
      </c>
      <c r="C2739" t="s">
        <v>40</v>
      </c>
      <c r="D2739">
        <v>4.680809</v>
      </c>
      <c r="E2739">
        <v>0.46753489999999998</v>
      </c>
      <c r="F2739" t="s">
        <v>53</v>
      </c>
      <c r="G2739">
        <v>-168.35059999999999</v>
      </c>
      <c r="H2739">
        <v>0.12838840000000001</v>
      </c>
      <c r="I2739">
        <v>223.0668</v>
      </c>
      <c r="J2739">
        <v>-296.82510000000002</v>
      </c>
      <c r="K2739">
        <v>1.121283</v>
      </c>
      <c r="L2739">
        <v>213.97290000000001</v>
      </c>
      <c r="M2739">
        <v>0.99987800000000004</v>
      </c>
      <c r="N2739">
        <v>-1.4962090000000001E-2</v>
      </c>
      <c r="O2739">
        <v>4.49425E-3</v>
      </c>
      <c r="P2739">
        <v>0.97449960000000002</v>
      </c>
      <c r="Q2739">
        <v>0.22298470000000001</v>
      </c>
      <c r="R2739">
        <v>-2.5068010000000002E-2</v>
      </c>
      <c r="S2739">
        <v>3.0889280000000001</v>
      </c>
      <c r="T2739">
        <v>-2.380109E-2</v>
      </c>
      <c r="U2739">
        <v>0.21804809999999999</v>
      </c>
      <c r="V2739">
        <v>2.945687E-2</v>
      </c>
      <c r="W2739">
        <v>0.23753740000000001</v>
      </c>
      <c r="X2739">
        <v>0.97093160000000001</v>
      </c>
      <c r="Y2739">
        <v>-6.5925059999999994E-2</v>
      </c>
      <c r="Z2739">
        <v>7.8009990000000001E-4</v>
      </c>
      <c r="AA2739">
        <v>0.9978243</v>
      </c>
      <c r="AB2739">
        <v>38</v>
      </c>
      <c r="AC2739">
        <v>128.47450000000001</v>
      </c>
      <c r="AD2739">
        <v>-0.99289459999999996</v>
      </c>
      <c r="AE2739">
        <v>9.0938999999999908</v>
      </c>
      <c r="AF2739">
        <v>-8.5158409070952903</v>
      </c>
      <c r="AG2739">
        <v>-0.99289459999999996</v>
      </c>
      <c r="AH2739">
        <v>128.50643998446699</v>
      </c>
      <c r="AI2739">
        <v>90.441713616037006</v>
      </c>
      <c r="AJ2739">
        <v>93.791322796030997</v>
      </c>
      <c r="AK2739">
        <v>128.792121278916</v>
      </c>
      <c r="AL2739">
        <v>76.2587581022579</v>
      </c>
      <c r="AM2739">
        <v>88.262249587511803</v>
      </c>
      <c r="AN2739">
        <v>0.999999947733757</v>
      </c>
    </row>
    <row r="2740" spans="1:40" x14ac:dyDescent="0.25">
      <c r="A2740" t="str">
        <f>"20190303170819791"</f>
        <v>20190303170819791</v>
      </c>
      <c r="B2740" t="str">
        <f>"1551604099785516"</f>
        <v>1551604099785516</v>
      </c>
      <c r="C2740" t="s">
        <v>40</v>
      </c>
      <c r="D2740">
        <v>4.6936619999999998</v>
      </c>
      <c r="E2740">
        <v>0.46647729999999998</v>
      </c>
      <c r="F2740" t="s">
        <v>53</v>
      </c>
      <c r="G2740">
        <v>-168.35059999999999</v>
      </c>
      <c r="H2740">
        <v>0.23855299999999999</v>
      </c>
      <c r="I2740">
        <v>223.3015</v>
      </c>
      <c r="J2740">
        <v>-296.43220000000002</v>
      </c>
      <c r="K2740">
        <v>1.121286</v>
      </c>
      <c r="L2740">
        <v>213.97470000000001</v>
      </c>
      <c r="M2740">
        <v>0.99987800000000004</v>
      </c>
      <c r="N2740">
        <v>-1.4957639999999999E-2</v>
      </c>
      <c r="O2740">
        <v>4.4942840000000003E-3</v>
      </c>
      <c r="P2740">
        <v>0.97452130000000003</v>
      </c>
      <c r="Q2740">
        <v>0.22286739999999999</v>
      </c>
      <c r="R2740">
        <v>-2.5266179999999999E-2</v>
      </c>
      <c r="S2740">
        <v>3.0891419999999998</v>
      </c>
      <c r="T2740">
        <v>-2.1223659999999998E-2</v>
      </c>
      <c r="U2740">
        <v>0.22430420000000001</v>
      </c>
      <c r="V2740">
        <v>2.9655259999999999E-2</v>
      </c>
      <c r="W2740">
        <v>0.23741599999999999</v>
      </c>
      <c r="X2740">
        <v>0.97095529999999997</v>
      </c>
      <c r="Y2740">
        <v>-6.7931210000000006E-2</v>
      </c>
      <c r="Z2740">
        <v>7.7811639999999995E-4</v>
      </c>
      <c r="AA2740">
        <v>0.99768970000000001</v>
      </c>
      <c r="AB2740">
        <v>38</v>
      </c>
      <c r="AC2740">
        <v>128.08160000000001</v>
      </c>
      <c r="AD2740">
        <v>-0.88273299999999999</v>
      </c>
      <c r="AE2740">
        <v>9.3267999999999898</v>
      </c>
      <c r="AF2740">
        <v>-8.75059282551012</v>
      </c>
      <c r="AG2740">
        <v>-0.88273299999999999</v>
      </c>
      <c r="AH2740">
        <v>128.11617484668801</v>
      </c>
      <c r="AI2740">
        <v>90.393849699905502</v>
      </c>
      <c r="AJ2740">
        <v>93.907348558589007</v>
      </c>
      <c r="AK2740">
        <v>128.41770263360999</v>
      </c>
      <c r="AL2740">
        <v>76.265919284975496</v>
      </c>
      <c r="AM2740">
        <v>88.2505958817883</v>
      </c>
      <c r="AN2740">
        <v>0.99999999304987797</v>
      </c>
    </row>
    <row r="2741" spans="1:40" x14ac:dyDescent="0.25">
      <c r="A2741" t="str">
        <f>"20190303170819814"</f>
        <v>20190303170819814</v>
      </c>
      <c r="B2741" t="str">
        <f>"1551604099806012"</f>
        <v>1551604099806012</v>
      </c>
      <c r="C2741" t="s">
        <v>40</v>
      </c>
      <c r="D2741">
        <v>4.7013629999999997</v>
      </c>
      <c r="E2741">
        <v>0.46594249999999998</v>
      </c>
      <c r="F2741" t="s">
        <v>53</v>
      </c>
      <c r="G2741">
        <v>-168.35059999999999</v>
      </c>
      <c r="H2741">
        <v>0.34701729999999997</v>
      </c>
      <c r="I2741">
        <v>223.58680000000001</v>
      </c>
      <c r="J2741">
        <v>-296.02080000000001</v>
      </c>
      <c r="K2741">
        <v>1.1212899999999999</v>
      </c>
      <c r="L2741">
        <v>213.97649999999999</v>
      </c>
      <c r="M2741">
        <v>0.99987820000000005</v>
      </c>
      <c r="N2741">
        <v>-1.495286E-2</v>
      </c>
      <c r="O2741">
        <v>4.4943200000000004E-3</v>
      </c>
      <c r="P2741">
        <v>0.97462919999999997</v>
      </c>
      <c r="Q2741">
        <v>0.2223754</v>
      </c>
      <c r="R2741">
        <v>-2.5446110000000001E-2</v>
      </c>
      <c r="S2741">
        <v>3.0886840000000002</v>
      </c>
      <c r="T2741">
        <v>-1.8670079999999999E-2</v>
      </c>
      <c r="U2741">
        <v>0.23179630000000001</v>
      </c>
      <c r="V2741">
        <v>2.9835560000000001E-2</v>
      </c>
      <c r="W2741">
        <v>0.2369213</v>
      </c>
      <c r="X2741">
        <v>0.97107060000000001</v>
      </c>
      <c r="Y2741">
        <v>-7.0349229999999999E-2</v>
      </c>
      <c r="Z2741">
        <v>7.7905349999999999E-4</v>
      </c>
      <c r="AA2741">
        <v>0.99752209999999997</v>
      </c>
      <c r="AB2741">
        <v>38</v>
      </c>
      <c r="AC2741">
        <v>127.67019999999999</v>
      </c>
      <c r="AD2741">
        <v>-0.77427269999999904</v>
      </c>
      <c r="AE2741">
        <v>9.61030000000002</v>
      </c>
      <c r="AF2741">
        <v>-9.0360176165553501</v>
      </c>
      <c r="AG2741">
        <v>-0.77427269999999904</v>
      </c>
      <c r="AH2741">
        <v>127.70743631091899</v>
      </c>
      <c r="AI2741">
        <v>90.346505947669996</v>
      </c>
      <c r="AJ2741">
        <v>94.047252852724299</v>
      </c>
      <c r="AK2741">
        <v>128.02905295942901</v>
      </c>
      <c r="AL2741">
        <v>76.295095872273606</v>
      </c>
      <c r="AM2741">
        <v>88.2401752551539</v>
      </c>
      <c r="AN2741">
        <v>0.99999998660928102</v>
      </c>
    </row>
    <row r="2742" spans="1:40" x14ac:dyDescent="0.25">
      <c r="A2742" t="str">
        <f>"20190303170819838"</f>
        <v>20190303170819838</v>
      </c>
      <c r="B2742" t="str">
        <f>"1551604099825532"</f>
        <v>1551604099825532</v>
      </c>
      <c r="C2742" t="s">
        <v>40</v>
      </c>
      <c r="D2742">
        <v>4.684361</v>
      </c>
      <c r="E2742">
        <v>0.4655415</v>
      </c>
      <c r="F2742" t="s">
        <v>53</v>
      </c>
      <c r="G2742">
        <v>-168.35059999999999</v>
      </c>
      <c r="H2742">
        <v>0.30752089999999999</v>
      </c>
      <c r="I2742">
        <v>223.70840000000001</v>
      </c>
      <c r="J2742">
        <v>-295.62490000000003</v>
      </c>
      <c r="K2742">
        <v>1.1212930000000001</v>
      </c>
      <c r="L2742">
        <v>213.97829999999999</v>
      </c>
      <c r="M2742">
        <v>0.9998783</v>
      </c>
      <c r="N2742">
        <v>-1.494847E-2</v>
      </c>
      <c r="O2742">
        <v>4.4941740000000001E-3</v>
      </c>
      <c r="P2742">
        <v>0.97459269999999998</v>
      </c>
      <c r="Q2742">
        <v>0.22252759999999999</v>
      </c>
      <c r="R2742">
        <v>-2.5509560000000001E-2</v>
      </c>
      <c r="S2742">
        <v>3.0887150000000001</v>
      </c>
      <c r="T2742">
        <v>-1.9686100000000002E-2</v>
      </c>
      <c r="U2742">
        <v>0.23544309999999999</v>
      </c>
      <c r="V2742">
        <v>2.9898660000000001E-2</v>
      </c>
      <c r="W2742">
        <v>0.2370681</v>
      </c>
      <c r="X2742">
        <v>0.97103289999999998</v>
      </c>
      <c r="Y2742">
        <v>-7.1519239999999998E-2</v>
      </c>
      <c r="Z2742">
        <v>8.0144850000000002E-4</v>
      </c>
      <c r="AA2742">
        <v>0.99743890000000002</v>
      </c>
      <c r="AB2742">
        <v>38</v>
      </c>
      <c r="AC2742">
        <v>127.2743</v>
      </c>
      <c r="AD2742">
        <v>-0.8137721</v>
      </c>
      <c r="AE2742">
        <v>9.7301000000000197</v>
      </c>
      <c r="AF2742">
        <v>-9.1575728260884404</v>
      </c>
      <c r="AG2742">
        <v>-0.8137721</v>
      </c>
      <c r="AH2742">
        <v>127.311573618092</v>
      </c>
      <c r="AI2742">
        <v>90.365284326921696</v>
      </c>
      <c r="AJ2742">
        <v>94.114222648097297</v>
      </c>
      <c r="AK2742">
        <v>127.643096727597</v>
      </c>
      <c r="AL2742">
        <v>76.286439136642599</v>
      </c>
      <c r="AM2742">
        <v>88.236387278205996</v>
      </c>
      <c r="AN2742">
        <v>1.0000000533949001</v>
      </c>
    </row>
    <row r="2743" spans="1:40" x14ac:dyDescent="0.25">
      <c r="A2743" t="str">
        <f>"20190303170819858"</f>
        <v>20190303170819858</v>
      </c>
      <c r="B2743" t="str">
        <f>"1551604099846029"</f>
        <v>1551604099846029</v>
      </c>
      <c r="C2743" t="s">
        <v>40</v>
      </c>
      <c r="D2743">
        <v>4.6655709999999999</v>
      </c>
      <c r="E2743">
        <v>0.46523920000000002</v>
      </c>
      <c r="F2743" t="s">
        <v>53</v>
      </c>
      <c r="G2743">
        <v>-168.35059999999999</v>
      </c>
      <c r="H2743">
        <v>0.33899879999999999</v>
      </c>
      <c r="I2743">
        <v>223.7955</v>
      </c>
      <c r="J2743">
        <v>-295.2722</v>
      </c>
      <c r="K2743">
        <v>1.121294</v>
      </c>
      <c r="L2743">
        <v>213.97989999999999</v>
      </c>
      <c r="M2743">
        <v>0.9998783</v>
      </c>
      <c r="N2743">
        <v>-1.4944590000000001E-2</v>
      </c>
      <c r="O2743">
        <v>4.4942039999999999E-3</v>
      </c>
      <c r="P2743">
        <v>0.97444140000000001</v>
      </c>
      <c r="Q2743">
        <v>0.2231146</v>
      </c>
      <c r="R2743">
        <v>-2.6155970000000001E-2</v>
      </c>
      <c r="S2743">
        <v>3.0887760000000002</v>
      </c>
      <c r="T2743">
        <v>-1.8983839999999998E-2</v>
      </c>
      <c r="U2743">
        <v>0.23825070000000001</v>
      </c>
      <c r="V2743">
        <v>3.0544519999999999E-2</v>
      </c>
      <c r="W2743">
        <v>0.23764940000000001</v>
      </c>
      <c r="X2743">
        <v>0.97087060000000003</v>
      </c>
      <c r="Y2743">
        <v>-7.2419230000000001E-2</v>
      </c>
      <c r="Z2743">
        <v>8.0369589999999998E-4</v>
      </c>
      <c r="AA2743">
        <v>0.99737390000000004</v>
      </c>
      <c r="AB2743">
        <v>38</v>
      </c>
      <c r="AC2743">
        <v>126.9216</v>
      </c>
      <c r="AD2743">
        <v>-0.78229519999999997</v>
      </c>
      <c r="AE2743">
        <v>9.8156000000000105</v>
      </c>
      <c r="AF2743">
        <v>-9.2446765048723005</v>
      </c>
      <c r="AG2743">
        <v>-0.78229519999999997</v>
      </c>
      <c r="AH2743">
        <v>126.959641634695</v>
      </c>
      <c r="AI2743">
        <v>90.352106333479995</v>
      </c>
      <c r="AJ2743">
        <v>94.164691688057104</v>
      </c>
      <c r="AK2743">
        <v>127.29818000847401</v>
      </c>
      <c r="AL2743">
        <v>76.252152021941697</v>
      </c>
      <c r="AM2743">
        <v>88.198014211671307</v>
      </c>
      <c r="AN2743">
        <v>0.99999996348337405</v>
      </c>
    </row>
    <row r="2744" spans="1:40" x14ac:dyDescent="0.25">
      <c r="A2744" t="str">
        <f>"20190303170819880"</f>
        <v>20190303170819880</v>
      </c>
      <c r="B2744" t="str">
        <f>"1551604099865548"</f>
        <v>1551604099865548</v>
      </c>
      <c r="C2744" t="s">
        <v>40</v>
      </c>
      <c r="D2744">
        <v>4.6452809999999998</v>
      </c>
      <c r="E2744">
        <v>0.46507300000000001</v>
      </c>
      <c r="F2744" t="s">
        <v>53</v>
      </c>
      <c r="G2744">
        <v>-168.35059999999999</v>
      </c>
      <c r="H2744">
        <v>0.43561939999999999</v>
      </c>
      <c r="I2744">
        <v>223.78569999999999</v>
      </c>
      <c r="J2744">
        <v>-294.90820000000002</v>
      </c>
      <c r="K2744">
        <v>1.1212899999999999</v>
      </c>
      <c r="L2744">
        <v>213.98150000000001</v>
      </c>
      <c r="M2744">
        <v>0.9998783</v>
      </c>
      <c r="N2744">
        <v>-1.4940470000000001E-2</v>
      </c>
      <c r="O2744">
        <v>4.4944140000000004E-3</v>
      </c>
      <c r="P2744">
        <v>0.97440709999999997</v>
      </c>
      <c r="Q2744">
        <v>0.22320980000000001</v>
      </c>
      <c r="R2744">
        <v>-2.6614970000000002E-2</v>
      </c>
      <c r="S2744">
        <v>3.0889280000000001</v>
      </c>
      <c r="T2744">
        <v>-1.6686079999999999E-2</v>
      </c>
      <c r="U2744">
        <v>0.23864750000000001</v>
      </c>
      <c r="V2744">
        <v>3.10035E-2</v>
      </c>
      <c r="W2744">
        <v>0.2377398</v>
      </c>
      <c r="X2744">
        <v>0.97083399999999997</v>
      </c>
      <c r="Y2744">
        <v>-7.2543319999999994E-2</v>
      </c>
      <c r="Z2744">
        <v>7.8122559999999996E-4</v>
      </c>
      <c r="AA2744">
        <v>0.9973649</v>
      </c>
      <c r="AB2744">
        <v>38</v>
      </c>
      <c r="AC2744">
        <v>126.55759999999999</v>
      </c>
      <c r="AD2744">
        <v>-0.68567059999999902</v>
      </c>
      <c r="AE2744">
        <v>9.8041999999999803</v>
      </c>
      <c r="AF2744">
        <v>-9.2349657639508091</v>
      </c>
      <c r="AG2744">
        <v>-0.68567059999999902</v>
      </c>
      <c r="AH2744">
        <v>126.596696700772</v>
      </c>
      <c r="AI2744">
        <v>90.309498892529007</v>
      </c>
      <c r="AJ2744">
        <v>94.172217761823802</v>
      </c>
      <c r="AK2744">
        <v>126.934937477356</v>
      </c>
      <c r="AL2744">
        <v>76.246820765978597</v>
      </c>
      <c r="AM2744">
        <v>88.170885857748004</v>
      </c>
      <c r="AN2744">
        <v>1.0000000425361399</v>
      </c>
    </row>
    <row r="2745" spans="1:40" x14ac:dyDescent="0.25">
      <c r="A2745" t="str">
        <f>"20190303170819902"</f>
        <v>20190303170819902</v>
      </c>
      <c r="B2745" t="str">
        <f>"1551604099895804"</f>
        <v>1551604099895804</v>
      </c>
      <c r="C2745" t="s">
        <v>40</v>
      </c>
      <c r="D2745">
        <v>4.6310419999999999</v>
      </c>
      <c r="E2745">
        <v>0.4648021</v>
      </c>
      <c r="F2745" t="s">
        <v>53</v>
      </c>
      <c r="G2745">
        <v>-168.35059999999999</v>
      </c>
      <c r="H2745">
        <v>0.40878009999999998</v>
      </c>
      <c r="I2745">
        <v>223.7525</v>
      </c>
      <c r="J2745">
        <v>-294.52609999999999</v>
      </c>
      <c r="K2745">
        <v>1.1212879999999901</v>
      </c>
      <c r="L2745">
        <v>213.98320000000001</v>
      </c>
      <c r="M2745">
        <v>0.9998785</v>
      </c>
      <c r="N2745">
        <v>-1.493615E-2</v>
      </c>
      <c r="O2745">
        <v>4.494268E-3</v>
      </c>
      <c r="P2745">
        <v>0.97443049999999998</v>
      </c>
      <c r="Q2745">
        <v>0.2230828</v>
      </c>
      <c r="R2745">
        <v>-2.6826200000000001E-2</v>
      </c>
      <c r="S2745">
        <v>3.0892940000000002</v>
      </c>
      <c r="T2745">
        <v>-1.7391090000000001E-2</v>
      </c>
      <c r="U2745">
        <v>0.2385101</v>
      </c>
      <c r="V2745">
        <v>3.1214840000000001E-2</v>
      </c>
      <c r="W2745">
        <v>0.23760870000000001</v>
      </c>
      <c r="X2745">
        <v>0.97085929999999998</v>
      </c>
      <c r="Y2745">
        <v>-7.2490100000000002E-2</v>
      </c>
      <c r="Z2745">
        <v>7.8772070000000002E-4</v>
      </c>
      <c r="AA2745">
        <v>0.99736880000000006</v>
      </c>
      <c r="AB2745">
        <v>38</v>
      </c>
      <c r="AC2745">
        <v>126.1755</v>
      </c>
      <c r="AD2745">
        <v>-0.71250789999999897</v>
      </c>
      <c r="AE2745">
        <v>9.7692999999999799</v>
      </c>
      <c r="AF2745">
        <v>-9.20177994597144</v>
      </c>
      <c r="AG2745">
        <v>-0.71250789999999897</v>
      </c>
      <c r="AH2745">
        <v>126.21413542795</v>
      </c>
      <c r="AI2745">
        <v>90.322588279934706</v>
      </c>
      <c r="AJ2745">
        <v>94.169834105400497</v>
      </c>
      <c r="AK2745">
        <v>126.551129601859</v>
      </c>
      <c r="AL2745">
        <v>76.254553524829404</v>
      </c>
      <c r="AM2745">
        <v>88.158473941002299</v>
      </c>
      <c r="AN2745">
        <v>1.0000000204741999</v>
      </c>
    </row>
    <row r="2746" spans="1:40" x14ac:dyDescent="0.25">
      <c r="A2746" t="str">
        <f>"20190303170819925"</f>
        <v>20190303170819925</v>
      </c>
      <c r="B2746" t="str">
        <f>"1551604099915324"</f>
        <v>1551604099915324</v>
      </c>
      <c r="C2746" t="s">
        <v>40</v>
      </c>
      <c r="D2746">
        <v>4.6597679999999997</v>
      </c>
      <c r="E2746">
        <v>0.46461910000000001</v>
      </c>
      <c r="F2746" t="s">
        <v>53</v>
      </c>
      <c r="G2746">
        <v>-168.35059999999999</v>
      </c>
      <c r="H2746">
        <v>0.33580019999999999</v>
      </c>
      <c r="I2746">
        <v>223.785</v>
      </c>
      <c r="J2746">
        <v>-294.1463</v>
      </c>
      <c r="K2746">
        <v>1.121289</v>
      </c>
      <c r="L2746">
        <v>213.98500000000001</v>
      </c>
      <c r="M2746">
        <v>0.99987859999999995</v>
      </c>
      <c r="N2746">
        <v>-1.493184E-2</v>
      </c>
      <c r="O2746">
        <v>4.4942999999999997E-3</v>
      </c>
      <c r="P2746">
        <v>0.97452559999999999</v>
      </c>
      <c r="Q2746">
        <v>0.22259010000000001</v>
      </c>
      <c r="R2746">
        <v>-2.745038E-2</v>
      </c>
      <c r="S2746">
        <v>3.0897220000000001</v>
      </c>
      <c r="T2746">
        <v>-1.923323E-2</v>
      </c>
      <c r="U2746">
        <v>0.24002080000000001</v>
      </c>
      <c r="V2746">
        <v>3.1839399999999997E-2</v>
      </c>
      <c r="W2746">
        <v>0.2371135</v>
      </c>
      <c r="X2746">
        <v>0.97096009999999999</v>
      </c>
      <c r="Y2746">
        <v>-7.2963559999999997E-2</v>
      </c>
      <c r="Z2746">
        <v>8.1144159999999997E-4</v>
      </c>
      <c r="AA2746">
        <v>0.99733430000000001</v>
      </c>
      <c r="AB2746">
        <v>38</v>
      </c>
      <c r="AC2746">
        <v>125.7957</v>
      </c>
      <c r="AD2746">
        <v>-0.78548879999999999</v>
      </c>
      <c r="AE2746">
        <v>9.7999999999999794</v>
      </c>
      <c r="AF2746">
        <v>-9.2341165951816802</v>
      </c>
      <c r="AG2746">
        <v>-0.78548879999999999</v>
      </c>
      <c r="AH2746">
        <v>125.83360169532</v>
      </c>
      <c r="AI2746">
        <v>90.356692649002497</v>
      </c>
      <c r="AJ2746">
        <v>94.197044678404893</v>
      </c>
      <c r="AK2746">
        <v>126.174407934275</v>
      </c>
      <c r="AL2746">
        <v>76.283761342283398</v>
      </c>
      <c r="AM2746">
        <v>88.121848888514705</v>
      </c>
      <c r="AN2746">
        <v>1.0000000375333</v>
      </c>
    </row>
    <row r="2747" spans="1:40" x14ac:dyDescent="0.25">
      <c r="A2747" t="str">
        <f>"20190303170819946"</f>
        <v>20190303170819946</v>
      </c>
      <c r="B2747" t="str">
        <f>"1551604099935821"</f>
        <v>1551604099935821</v>
      </c>
      <c r="C2747" t="s">
        <v>40</v>
      </c>
      <c r="D2747">
        <v>4.6521889999999999</v>
      </c>
      <c r="E2747">
        <v>0.46457670000000001</v>
      </c>
      <c r="F2747" t="s">
        <v>53</v>
      </c>
      <c r="G2747">
        <v>-168.35059999999999</v>
      </c>
      <c r="H2747">
        <v>0.26411059999999997</v>
      </c>
      <c r="I2747">
        <v>223.72730000000001</v>
      </c>
      <c r="J2747">
        <v>-293.78570000000002</v>
      </c>
      <c r="K2747">
        <v>1.121286</v>
      </c>
      <c r="L2747">
        <v>213.98660000000001</v>
      </c>
      <c r="M2747">
        <v>0.99987839999999995</v>
      </c>
      <c r="N2747">
        <v>-1.492776E-2</v>
      </c>
      <c r="O2747">
        <v>4.4945089999999998E-3</v>
      </c>
      <c r="P2747">
        <v>0.97456350000000003</v>
      </c>
      <c r="Q2747">
        <v>0.22240260000000001</v>
      </c>
      <c r="R2747">
        <v>-2.7624269999999999E-2</v>
      </c>
      <c r="S2747">
        <v>3.089966</v>
      </c>
      <c r="T2747">
        <v>-2.1053789999999999E-2</v>
      </c>
      <c r="U2747">
        <v>0.23930360000000001</v>
      </c>
      <c r="V2747">
        <v>3.201358E-2</v>
      </c>
      <c r="W2747">
        <v>0.23692270000000001</v>
      </c>
      <c r="X2747">
        <v>0.97100089999999994</v>
      </c>
      <c r="Y2747">
        <v>-7.2726559999999996E-2</v>
      </c>
      <c r="Z2747">
        <v>8.2750009999999895E-4</v>
      </c>
      <c r="AA2747">
        <v>0.9973516</v>
      </c>
      <c r="AB2747">
        <v>38</v>
      </c>
      <c r="AC2747">
        <v>125.43510000000001</v>
      </c>
      <c r="AD2747">
        <v>-0.85717540000000003</v>
      </c>
      <c r="AE2747">
        <v>9.7407000000000004</v>
      </c>
      <c r="AF2747">
        <v>-9.1763435900328005</v>
      </c>
      <c r="AG2747">
        <v>-0.85717540000000003</v>
      </c>
      <c r="AH2747">
        <v>125.471793124177</v>
      </c>
      <c r="AI2747">
        <v>90.390374237546496</v>
      </c>
      <c r="AJ2747">
        <v>94.1828633947284</v>
      </c>
      <c r="AK2747">
        <v>125.80982036846299</v>
      </c>
      <c r="AL2747">
        <v>76.295013374952006</v>
      </c>
      <c r="AM2747">
        <v>88.111661021806498</v>
      </c>
      <c r="AN2747">
        <v>0.99999999144025797</v>
      </c>
    </row>
    <row r="2748" spans="1:40" x14ac:dyDescent="0.25">
      <c r="A2748" t="str">
        <f>"20190303170819968"</f>
        <v>20190303170819968</v>
      </c>
      <c r="B2748" t="str">
        <f>"1551604099955848"</f>
        <v>1551604099955848</v>
      </c>
      <c r="C2748" t="s">
        <v>40</v>
      </c>
      <c r="D2748">
        <v>4.6374510000000004</v>
      </c>
      <c r="E2748">
        <v>0.46434720000000002</v>
      </c>
      <c r="F2748" t="s">
        <v>53</v>
      </c>
      <c r="G2748">
        <v>-168.35059999999999</v>
      </c>
      <c r="H2748">
        <v>0.1992331</v>
      </c>
      <c r="I2748">
        <v>223.7098</v>
      </c>
      <c r="J2748">
        <v>-293.41390000000001</v>
      </c>
      <c r="K2748">
        <v>1.1212869999999999</v>
      </c>
      <c r="L2748">
        <v>213.98820000000001</v>
      </c>
      <c r="M2748">
        <v>0.99987859999999995</v>
      </c>
      <c r="N2748">
        <v>-1.4923550000000001E-2</v>
      </c>
      <c r="O2748">
        <v>4.494362E-3</v>
      </c>
      <c r="P2748">
        <v>0.97463489999999997</v>
      </c>
      <c r="Q2748">
        <v>0.2220734</v>
      </c>
      <c r="R2748">
        <v>-2.7753819999999998E-2</v>
      </c>
      <c r="S2748">
        <v>3.0903019999999999</v>
      </c>
      <c r="T2748">
        <v>-2.2714850000000002E-2</v>
      </c>
      <c r="U2748">
        <v>0.2395477</v>
      </c>
      <c r="V2748">
        <v>3.2143249999999998E-2</v>
      </c>
      <c r="W2748">
        <v>0.23659050000000001</v>
      </c>
      <c r="X2748">
        <v>0.97107759999999999</v>
      </c>
      <c r="Y2748">
        <v>-7.2796109999999997E-2</v>
      </c>
      <c r="Z2748">
        <v>8.4518440000000005E-4</v>
      </c>
      <c r="AA2748">
        <v>0.99734650000000002</v>
      </c>
      <c r="AB2748">
        <v>38</v>
      </c>
      <c r="AC2748">
        <v>125.0633</v>
      </c>
      <c r="AD2748">
        <v>-0.92205389999999998</v>
      </c>
      <c r="AE2748">
        <v>9.7215999999999898</v>
      </c>
      <c r="AF2748">
        <v>-9.1588646286103295</v>
      </c>
      <c r="AG2748">
        <v>-0.92205389999999998</v>
      </c>
      <c r="AH2748">
        <v>125.098974748686</v>
      </c>
      <c r="AI2748">
        <v>90.421169136566604</v>
      </c>
      <c r="AJ2748">
        <v>94.187322004242006</v>
      </c>
      <c r="AK2748">
        <v>125.437189333356</v>
      </c>
      <c r="AL2748">
        <v>76.3146038442178</v>
      </c>
      <c r="AM2748">
        <v>88.104167579025997</v>
      </c>
      <c r="AN2748">
        <v>0.99999997921628603</v>
      </c>
    </row>
    <row r="2749" spans="1:40" x14ac:dyDescent="0.25">
      <c r="A2749" t="str">
        <f>"20190303170819991"</f>
        <v>20190303170819991</v>
      </c>
      <c r="B2749" t="str">
        <f>"1551604099986104"</f>
        <v>1551604099986104</v>
      </c>
      <c r="C2749" t="s">
        <v>40</v>
      </c>
      <c r="D2749">
        <v>4.66615</v>
      </c>
      <c r="E2749">
        <v>0.46415299999999998</v>
      </c>
      <c r="F2749" t="s">
        <v>53</v>
      </c>
      <c r="G2749">
        <v>-168.35059999999999</v>
      </c>
      <c r="H2749">
        <v>0.16651340000000001</v>
      </c>
      <c r="I2749">
        <v>223.72020000000001</v>
      </c>
      <c r="J2749">
        <v>-293.0215</v>
      </c>
      <c r="K2749">
        <v>1.1212839999999999</v>
      </c>
      <c r="L2749">
        <v>213.99</v>
      </c>
      <c r="M2749">
        <v>0.99987859999999995</v>
      </c>
      <c r="N2749">
        <v>-1.4919119999999999E-2</v>
      </c>
      <c r="O2749">
        <v>4.4942159999999997E-3</v>
      </c>
      <c r="P2749">
        <v>0.9745992</v>
      </c>
      <c r="Q2749">
        <v>0.22218669999999999</v>
      </c>
      <c r="R2749">
        <v>-2.8099840000000001E-2</v>
      </c>
      <c r="S2749">
        <v>3.0903320000000001</v>
      </c>
      <c r="T2749">
        <v>-2.359116E-2</v>
      </c>
      <c r="U2749">
        <v>0.24047850000000001</v>
      </c>
      <c r="V2749">
        <v>3.2489049999999998E-2</v>
      </c>
      <c r="W2749">
        <v>0.23669889999999999</v>
      </c>
      <c r="X2749">
        <v>0.97103969999999995</v>
      </c>
      <c r="Y2749">
        <v>-7.3093749999999999E-2</v>
      </c>
      <c r="Z2749">
        <v>8.5739439999999996E-4</v>
      </c>
      <c r="AA2749">
        <v>0.99732469999999995</v>
      </c>
      <c r="AB2749">
        <v>38</v>
      </c>
      <c r="AC2749">
        <v>124.6709</v>
      </c>
      <c r="AD2749">
        <v>-0.95477060000000002</v>
      </c>
      <c r="AE2749">
        <v>9.7301999999999893</v>
      </c>
      <c r="AF2749">
        <v>-9.1692068730326408</v>
      </c>
      <c r="AG2749">
        <v>-0.95477060000000002</v>
      </c>
      <c r="AH2749">
        <v>124.70610542304</v>
      </c>
      <c r="AI2749">
        <v>90.437476516040405</v>
      </c>
      <c r="AJ2749">
        <v>94.205192626479899</v>
      </c>
      <c r="AK2749">
        <v>125.046386078772</v>
      </c>
      <c r="AL2749">
        <v>76.308211748813704</v>
      </c>
      <c r="AM2749">
        <v>88.083712431430698</v>
      </c>
      <c r="AN2749">
        <v>1.0000000033036001</v>
      </c>
    </row>
    <row r="2750" spans="1:40" x14ac:dyDescent="0.25">
      <c r="A2750" t="str">
        <f>"20190303170820015"</f>
        <v>20190303170820015</v>
      </c>
      <c r="B2750" t="str">
        <f>"1551604100005625"</f>
        <v>1551604100005625</v>
      </c>
      <c r="C2750" t="s">
        <v>40</v>
      </c>
      <c r="D2750">
        <v>4.675179</v>
      </c>
      <c r="E2750">
        <v>0.46397070000000001</v>
      </c>
      <c r="F2750" t="s">
        <v>53</v>
      </c>
      <c r="G2750">
        <v>-168.35059999999999</v>
      </c>
      <c r="H2750">
        <v>0.17638679999999901</v>
      </c>
      <c r="I2750">
        <v>223.71260000000001</v>
      </c>
      <c r="J2750">
        <v>-292.62110000000001</v>
      </c>
      <c r="K2750">
        <v>1.1212850000000001</v>
      </c>
      <c r="L2750">
        <v>213.99180000000001</v>
      </c>
      <c r="M2750">
        <v>0.99987879999999996</v>
      </c>
      <c r="N2750">
        <v>-1.491462E-2</v>
      </c>
      <c r="O2750">
        <v>4.4947839999999999E-3</v>
      </c>
      <c r="P2750">
        <v>0.97467879999999996</v>
      </c>
      <c r="Q2750">
        <v>0.22182499999999999</v>
      </c>
      <c r="R2750">
        <v>-2.820023E-2</v>
      </c>
      <c r="S2750">
        <v>3.0904539999999998</v>
      </c>
      <c r="T2750">
        <v>-2.3421529999999999E-2</v>
      </c>
      <c r="U2750">
        <v>0.24101259999999999</v>
      </c>
      <c r="V2750">
        <v>3.2590290000000001E-2</v>
      </c>
      <c r="W2750">
        <v>0.23633380000000001</v>
      </c>
      <c r="X2750">
        <v>0.97112520000000002</v>
      </c>
      <c r="Y2750">
        <v>-7.3261489999999999E-2</v>
      </c>
      <c r="Z2750">
        <v>8.5733619999999995E-4</v>
      </c>
      <c r="AA2750">
        <v>0.99731239999999999</v>
      </c>
      <c r="AB2750">
        <v>38</v>
      </c>
      <c r="AC2750">
        <v>124.2705</v>
      </c>
      <c r="AD2750">
        <v>-0.94489820000000002</v>
      </c>
      <c r="AE2750">
        <v>9.7207999999999899</v>
      </c>
      <c r="AF2750">
        <v>-9.16154421971396</v>
      </c>
      <c r="AG2750">
        <v>-0.94489820000000002</v>
      </c>
      <c r="AH2750">
        <v>124.30579921743301</v>
      </c>
      <c r="AI2750">
        <v>90.434341780038096</v>
      </c>
      <c r="AJ2750">
        <v>94.215173119152496</v>
      </c>
      <c r="AK2750">
        <v>124.646534023947</v>
      </c>
      <c r="AL2750">
        <v>76.329740862938394</v>
      </c>
      <c r="AM2750">
        <v>88.077914621811601</v>
      </c>
      <c r="AN2750">
        <v>0.99999997304988097</v>
      </c>
    </row>
    <row r="2751" spans="1:40" x14ac:dyDescent="0.25">
      <c r="A2751" t="str">
        <f>"20190303170820039"</f>
        <v>20190303170820039</v>
      </c>
      <c r="B2751" t="str">
        <f>"1551604100026120"</f>
        <v>1551604100026120</v>
      </c>
      <c r="C2751" t="s">
        <v>40</v>
      </c>
      <c r="D2751">
        <v>4.6866130000000004</v>
      </c>
      <c r="E2751">
        <v>0.46384049999999999</v>
      </c>
      <c r="F2751" t="s">
        <v>53</v>
      </c>
      <c r="G2751">
        <v>-168.35059999999999</v>
      </c>
      <c r="H2751">
        <v>0.13103770000000001</v>
      </c>
      <c r="I2751">
        <v>223.7159</v>
      </c>
      <c r="J2751">
        <v>-292.21660000000003</v>
      </c>
      <c r="K2751">
        <v>1.1212879999999901</v>
      </c>
      <c r="L2751">
        <v>213.99359999999999</v>
      </c>
      <c r="M2751">
        <v>0.99987879999999996</v>
      </c>
      <c r="N2751">
        <v>-1.4910090000000001E-2</v>
      </c>
      <c r="O2751">
        <v>4.4949969999999997E-3</v>
      </c>
      <c r="P2751">
        <v>0.97478089999999995</v>
      </c>
      <c r="Q2751">
        <v>0.22142139999999999</v>
      </c>
      <c r="R2751">
        <v>-2.7844589999999999E-2</v>
      </c>
      <c r="S2751">
        <v>3.090576</v>
      </c>
      <c r="T2751">
        <v>-2.462578E-2</v>
      </c>
      <c r="U2751">
        <v>0.24183650000000001</v>
      </c>
      <c r="V2751">
        <v>3.2235140000000002E-2</v>
      </c>
      <c r="W2751">
        <v>0.23592740000000001</v>
      </c>
      <c r="X2751">
        <v>0.97123590000000004</v>
      </c>
      <c r="Y2751">
        <v>-7.3522019999999993E-2</v>
      </c>
      <c r="Z2751">
        <v>8.7262959999999997E-4</v>
      </c>
      <c r="AA2751">
        <v>0.99729319999999999</v>
      </c>
      <c r="AB2751">
        <v>38</v>
      </c>
      <c r="AC2751">
        <v>123.866</v>
      </c>
      <c r="AD2751">
        <v>-0.99025029999999903</v>
      </c>
      <c r="AE2751">
        <v>9.7223000000000095</v>
      </c>
      <c r="AF2751">
        <v>-9.1647804395507304</v>
      </c>
      <c r="AG2751">
        <v>-0.99025029999999903</v>
      </c>
      <c r="AH2751">
        <v>123.90058461654399</v>
      </c>
      <c r="AI2751">
        <v>90.456667605056793</v>
      </c>
      <c r="AJ2751">
        <v>94.230397230689206</v>
      </c>
      <c r="AK2751">
        <v>124.243022598789</v>
      </c>
      <c r="AL2751">
        <v>76.353703984719701</v>
      </c>
      <c r="AM2751">
        <v>88.099061465171602</v>
      </c>
      <c r="AN2751">
        <v>1.0000000078851901</v>
      </c>
    </row>
    <row r="2752" spans="1:40" x14ac:dyDescent="0.25">
      <c r="A2752" t="str">
        <f>"20190303170820081"</f>
        <v>20190303170820081</v>
      </c>
      <c r="B2752" t="str">
        <f>"1551604100075938"</f>
        <v>1551604100075938</v>
      </c>
      <c r="C2752" t="s">
        <v>40</v>
      </c>
      <c r="D2752">
        <v>4.7042129999999904</v>
      </c>
      <c r="E2752">
        <v>0.46350000000000002</v>
      </c>
      <c r="F2752" t="s">
        <v>53</v>
      </c>
      <c r="G2752">
        <v>-168.35059999999999</v>
      </c>
      <c r="H2752">
        <v>8.5436819999999997E-2</v>
      </c>
      <c r="I2752">
        <v>223.77209999999999</v>
      </c>
      <c r="J2752">
        <v>-291.51209999999998</v>
      </c>
      <c r="K2752">
        <v>1.121286</v>
      </c>
      <c r="L2752">
        <v>213.99680000000001</v>
      </c>
      <c r="M2752">
        <v>0.99987899999999996</v>
      </c>
      <c r="N2752">
        <v>-1.4902169999999999E-2</v>
      </c>
      <c r="O2752">
        <v>4.4950579999999997E-3</v>
      </c>
      <c r="P2752">
        <v>0.97486629999999996</v>
      </c>
      <c r="Q2752">
        <v>0.2211302</v>
      </c>
      <c r="R2752">
        <v>-2.715797E-2</v>
      </c>
      <c r="S2752">
        <v>3.0904539999999998</v>
      </c>
      <c r="T2752">
        <v>-2.5843020000000001E-2</v>
      </c>
      <c r="U2752">
        <v>0.24397279999999999</v>
      </c>
      <c r="V2752">
        <v>3.1549019999999997E-2</v>
      </c>
      <c r="W2752">
        <v>0.2356299</v>
      </c>
      <c r="X2752">
        <v>0.97133060000000004</v>
      </c>
      <c r="Y2752">
        <v>-7.4209620000000004E-2</v>
      </c>
      <c r="Z2752">
        <v>8.930117E-4</v>
      </c>
      <c r="AA2752">
        <v>0.99724230000000003</v>
      </c>
      <c r="AB2752">
        <v>38</v>
      </c>
      <c r="AC2752">
        <v>123.1615</v>
      </c>
      <c r="AD2752">
        <v>-1.03584918</v>
      </c>
      <c r="AE2752">
        <v>9.7752999999999801</v>
      </c>
      <c r="AF2752">
        <v>-9.2208735647511304</v>
      </c>
      <c r="AG2752">
        <v>-1.03584918</v>
      </c>
      <c r="AH2752">
        <v>123.19554099985</v>
      </c>
      <c r="AI2752">
        <v>90.480397676024097</v>
      </c>
      <c r="AJ2752">
        <v>94.280462328623699</v>
      </c>
      <c r="AK2752">
        <v>123.54448111942</v>
      </c>
      <c r="AL2752">
        <v>76.371243357197898</v>
      </c>
      <c r="AM2752">
        <v>88.139675167374307</v>
      </c>
      <c r="AN2752">
        <v>0.99999996246666401</v>
      </c>
    </row>
    <row r="2753" spans="1:40" x14ac:dyDescent="0.25">
      <c r="A2753" t="str">
        <f>"20190303170820103"</f>
        <v>20190303170820103</v>
      </c>
      <c r="B2753" t="str">
        <f>"1551604100095457"</f>
        <v>1551604100095457</v>
      </c>
      <c r="C2753" t="s">
        <v>40</v>
      </c>
      <c r="D2753">
        <v>4.7194000000000003</v>
      </c>
      <c r="E2753">
        <v>0.46339970000000003</v>
      </c>
      <c r="F2753" t="s">
        <v>46</v>
      </c>
      <c r="G2753">
        <v>-158.58029999999999</v>
      </c>
      <c r="H2753">
        <v>-0.05</v>
      </c>
      <c r="I2753">
        <v>224.65379999999999</v>
      </c>
      <c r="J2753">
        <v>-291.1386</v>
      </c>
      <c r="K2753">
        <v>1.1212869999999999</v>
      </c>
      <c r="L2753">
        <v>213.99850000000001</v>
      </c>
      <c r="M2753">
        <v>0.99987899999999996</v>
      </c>
      <c r="N2753">
        <v>-1.489796E-2</v>
      </c>
      <c r="O2753">
        <v>4.4950900000000002E-3</v>
      </c>
      <c r="P2753">
        <v>0.97458730000000005</v>
      </c>
      <c r="Q2753">
        <v>0.22234590000000001</v>
      </c>
      <c r="R2753">
        <v>-2.7242969999999998E-2</v>
      </c>
      <c r="S2753">
        <v>3.0904240000000001</v>
      </c>
      <c r="T2753">
        <v>-2.7230259999999999E-2</v>
      </c>
      <c r="U2753">
        <v>0.24775700000000001</v>
      </c>
      <c r="V2753">
        <v>3.1632779999999999E-2</v>
      </c>
      <c r="W2753">
        <v>0.2368374</v>
      </c>
      <c r="X2753">
        <v>0.97103419999999896</v>
      </c>
      <c r="Y2753">
        <v>-7.5423050000000005E-2</v>
      </c>
      <c r="Z2753">
        <v>9.218567E-4</v>
      </c>
      <c r="AA2753">
        <v>0.99715120000000002</v>
      </c>
      <c r="AB2753">
        <v>38</v>
      </c>
      <c r="AC2753">
        <v>132.5583</v>
      </c>
      <c r="AD2753">
        <v>-1.171287</v>
      </c>
      <c r="AE2753">
        <v>10.655299999999899</v>
      </c>
      <c r="AF2753">
        <v>-10.0584844752303</v>
      </c>
      <c r="AG2753">
        <v>-1.171287</v>
      </c>
      <c r="AH2753">
        <v>132.594576434369</v>
      </c>
      <c r="AI2753">
        <v>90.504664730838996</v>
      </c>
      <c r="AJ2753">
        <v>94.338088737128501</v>
      </c>
      <c r="AK2753">
        <v>132.98070056585101</v>
      </c>
      <c r="AL2753">
        <v>76.300044028775105</v>
      </c>
      <c r="AM2753">
        <v>88.134170692773395</v>
      </c>
      <c r="AN2753">
        <v>1.0000000021894599</v>
      </c>
    </row>
    <row r="2754" spans="1:40" x14ac:dyDescent="0.25">
      <c r="A2754" t="str">
        <f>"20190303170820124"</f>
        <v>20190303170820124</v>
      </c>
      <c r="B2754" t="str">
        <f>"1551604100115953"</f>
        <v>1551604100115953</v>
      </c>
      <c r="C2754" t="s">
        <v>40</v>
      </c>
      <c r="D2754">
        <v>4.5884140000000002</v>
      </c>
      <c r="E2754">
        <v>0.4632849</v>
      </c>
      <c r="F2754" t="s">
        <v>53</v>
      </c>
      <c r="G2754">
        <v>-168.35059999999999</v>
      </c>
      <c r="H2754">
        <v>0.19170670000000001</v>
      </c>
      <c r="I2754">
        <v>223.88579999999999</v>
      </c>
      <c r="J2754">
        <v>-290.7731</v>
      </c>
      <c r="K2754">
        <v>1.1212899999999999</v>
      </c>
      <c r="L2754">
        <v>214.0001</v>
      </c>
      <c r="M2754">
        <v>0.99987910000000002</v>
      </c>
      <c r="N2754">
        <v>-1.48939E-2</v>
      </c>
      <c r="O2754">
        <v>4.4951210000000004E-3</v>
      </c>
      <c r="P2754">
        <v>0.97450680000000001</v>
      </c>
      <c r="Q2754">
        <v>0.2226252</v>
      </c>
      <c r="R2754">
        <v>-2.7833360000000001E-2</v>
      </c>
      <c r="S2754">
        <v>3.0904850000000001</v>
      </c>
      <c r="T2754">
        <v>-2.339542E-2</v>
      </c>
      <c r="U2754">
        <v>0.24885560000000001</v>
      </c>
      <c r="V2754">
        <v>3.2222979999999998E-2</v>
      </c>
      <c r="W2754">
        <v>0.23711170000000001</v>
      </c>
      <c r="X2754">
        <v>0.97094789999999997</v>
      </c>
      <c r="Y2754">
        <v>-7.5775129999999996E-2</v>
      </c>
      <c r="Z2754">
        <v>8.8448539999999999E-4</v>
      </c>
      <c r="AA2754">
        <v>0.99712460000000003</v>
      </c>
      <c r="AB2754">
        <v>38</v>
      </c>
      <c r="AC2754">
        <v>122.4225</v>
      </c>
      <c r="AD2754">
        <v>-0.9295833</v>
      </c>
      <c r="AE2754">
        <v>9.8856999999999804</v>
      </c>
      <c r="AF2754">
        <v>-9.3347004462004204</v>
      </c>
      <c r="AG2754">
        <v>-0.9295833</v>
      </c>
      <c r="AH2754">
        <v>122.458690326926</v>
      </c>
      <c r="AI2754">
        <v>90.433665562224206</v>
      </c>
      <c r="AJ2754">
        <v>94.359075054087199</v>
      </c>
      <c r="AK2754">
        <v>122.817472674363</v>
      </c>
      <c r="AL2754">
        <v>76.283867699062597</v>
      </c>
      <c r="AM2754">
        <v>88.099214801335407</v>
      </c>
      <c r="AN2754">
        <v>1.00000005161568</v>
      </c>
    </row>
    <row r="2755" spans="1:40" x14ac:dyDescent="0.25">
      <c r="A2755" t="str">
        <f>"20190303170820147"</f>
        <v>20190303170820147</v>
      </c>
      <c r="B2755" t="str">
        <f>"1551604100135474"</f>
        <v>1551604100135474</v>
      </c>
      <c r="C2755" t="s">
        <v>40</v>
      </c>
      <c r="D2755">
        <v>4.7233349999999996</v>
      </c>
      <c r="E2755">
        <v>0.46323350000000002</v>
      </c>
      <c r="F2755" t="s">
        <v>53</v>
      </c>
      <c r="G2755">
        <v>-168.35059999999999</v>
      </c>
      <c r="H2755">
        <v>0.216506</v>
      </c>
      <c r="I2755">
        <v>223.84739999999999</v>
      </c>
      <c r="J2755">
        <v>-290.40050000000002</v>
      </c>
      <c r="K2755">
        <v>1.1212899999999999</v>
      </c>
      <c r="L2755">
        <v>214.0018</v>
      </c>
      <c r="M2755">
        <v>0.99987910000000002</v>
      </c>
      <c r="N2755">
        <v>-1.488971E-2</v>
      </c>
      <c r="O2755">
        <v>4.495153E-3</v>
      </c>
      <c r="P2755">
        <v>0.97456759999999998</v>
      </c>
      <c r="Q2755">
        <v>0.22241830000000001</v>
      </c>
      <c r="R2755">
        <v>-2.7358130000000001E-2</v>
      </c>
      <c r="S2755">
        <v>3.0907589999999998</v>
      </c>
      <c r="T2755">
        <v>-2.284133E-2</v>
      </c>
      <c r="U2755">
        <v>0.24861150000000001</v>
      </c>
      <c r="V2755">
        <v>3.1747989999999997E-2</v>
      </c>
      <c r="W2755">
        <v>0.23690140000000001</v>
      </c>
      <c r="X2755">
        <v>0.97101490000000001</v>
      </c>
      <c r="Y2755">
        <v>-7.5689960000000001E-2</v>
      </c>
      <c r="Z2755">
        <v>8.7735789999999895E-4</v>
      </c>
      <c r="AA2755">
        <v>0.99713099999999999</v>
      </c>
      <c r="AB2755">
        <v>38</v>
      </c>
      <c r="AC2755">
        <v>122.04989999999999</v>
      </c>
      <c r="AD2755">
        <v>-0.90478400000000003</v>
      </c>
      <c r="AE2755">
        <v>9.8455999999999904</v>
      </c>
      <c r="AF2755">
        <v>-9.2962991542020799</v>
      </c>
      <c r="AG2755">
        <v>-0.90478400000000003</v>
      </c>
      <c r="AH2755">
        <v>122.086263016427</v>
      </c>
      <c r="AI2755">
        <v>90.423386914291896</v>
      </c>
      <c r="AJ2755">
        <v>94.354403411770605</v>
      </c>
      <c r="AK2755">
        <v>122.443029321262</v>
      </c>
      <c r="AL2755">
        <v>76.296270663606506</v>
      </c>
      <c r="AM2755">
        <v>88.127342776642095</v>
      </c>
      <c r="AN2755">
        <v>1.0000000721065001</v>
      </c>
    </row>
    <row r="2756" spans="1:40" x14ac:dyDescent="0.25">
      <c r="A2756" t="str">
        <f>"20190303170820171"</f>
        <v>20190303170820171</v>
      </c>
      <c r="B2756" t="str">
        <f>"1551604100165730"</f>
        <v>1551604100165730</v>
      </c>
      <c r="C2756" t="s">
        <v>40</v>
      </c>
      <c r="D2756">
        <v>4.7225789999999996</v>
      </c>
      <c r="E2756">
        <v>0.46307999999999999</v>
      </c>
      <c r="F2756" t="s">
        <v>53</v>
      </c>
      <c r="G2756">
        <v>-168.35059999999999</v>
      </c>
      <c r="H2756">
        <v>0.1512375</v>
      </c>
      <c r="I2756">
        <v>223.90110000000001</v>
      </c>
      <c r="J2756">
        <v>-290.01600000000002</v>
      </c>
      <c r="K2756">
        <v>1.121291</v>
      </c>
      <c r="L2756">
        <v>214.0035</v>
      </c>
      <c r="M2756">
        <v>0.99987919999999997</v>
      </c>
      <c r="N2756">
        <v>-1.4885229999999999E-2</v>
      </c>
      <c r="O2756">
        <v>4.495186E-3</v>
      </c>
      <c r="P2756">
        <v>0.97459410000000002</v>
      </c>
      <c r="Q2756">
        <v>0.22231619999999999</v>
      </c>
      <c r="R2756">
        <v>-2.7243699999999999E-2</v>
      </c>
      <c r="S2756">
        <v>3.0909420000000001</v>
      </c>
      <c r="T2756">
        <v>-2.4565340000000001E-2</v>
      </c>
      <c r="U2756">
        <v>0.25070189999999998</v>
      </c>
      <c r="V2756">
        <v>3.1633769999999999E-2</v>
      </c>
      <c r="W2756">
        <v>0.23679520000000001</v>
      </c>
      <c r="X2756">
        <v>0.97104440000000003</v>
      </c>
      <c r="Y2756">
        <v>-7.6354499999999895E-2</v>
      </c>
      <c r="Z2756">
        <v>9.0332349999999999E-4</v>
      </c>
      <c r="AA2756">
        <v>0.99708030000000003</v>
      </c>
      <c r="AB2756">
        <v>37</v>
      </c>
      <c r="AC2756">
        <v>121.665399999999</v>
      </c>
      <c r="AD2756">
        <v>-0.97005350000000001</v>
      </c>
      <c r="AE2756">
        <v>9.8976000000000095</v>
      </c>
      <c r="AF2756">
        <v>-9.3499403538908794</v>
      </c>
      <c r="AG2756">
        <v>-0.97005350000000001</v>
      </c>
      <c r="AH2756">
        <v>121.700981216171</v>
      </c>
      <c r="AI2756">
        <v>90.455341434756605</v>
      </c>
      <c r="AJ2756">
        <v>94.393241819104205</v>
      </c>
      <c r="AK2756">
        <v>122.063472084785</v>
      </c>
      <c r="AL2756">
        <v>76.302531896193301</v>
      </c>
      <c r="AM2756">
        <v>88.134131925563196</v>
      </c>
      <c r="AN2756">
        <v>0.99999994445940499</v>
      </c>
    </row>
    <row r="2757" spans="1:40" x14ac:dyDescent="0.25">
      <c r="A2757" t="str">
        <f>"20190303170820193"</f>
        <v>20190303170820193</v>
      </c>
      <c r="B2757" t="str">
        <f>"1551604100186227"</f>
        <v>1551604100186227</v>
      </c>
      <c r="C2757" t="s">
        <v>40</v>
      </c>
      <c r="D2757">
        <v>4.7333040000000004</v>
      </c>
      <c r="E2757">
        <v>0.46290350000000002</v>
      </c>
      <c r="F2757" t="s">
        <v>53</v>
      </c>
      <c r="G2757">
        <v>-168.35059999999999</v>
      </c>
      <c r="H2757">
        <v>0.1096125</v>
      </c>
      <c r="I2757">
        <v>223.92500000000001</v>
      </c>
      <c r="J2757">
        <v>-289.63040000000001</v>
      </c>
      <c r="K2757">
        <v>1.1212899999999999</v>
      </c>
      <c r="L2757">
        <v>214.00530000000001</v>
      </c>
      <c r="M2757">
        <v>0.99987910000000002</v>
      </c>
      <c r="N2757">
        <v>-1.4880539999999999E-2</v>
      </c>
      <c r="O2757">
        <v>4.4952209999999998E-3</v>
      </c>
      <c r="P2757">
        <v>0.97462899999999997</v>
      </c>
      <c r="Q2757">
        <v>0.2220723</v>
      </c>
      <c r="R2757">
        <v>-2.7964320000000001E-2</v>
      </c>
      <c r="S2757">
        <v>3.0911559999999998</v>
      </c>
      <c r="T2757">
        <v>-2.5702240000000001E-2</v>
      </c>
      <c r="U2757">
        <v>0.2520752</v>
      </c>
      <c r="V2757">
        <v>3.235466E-2</v>
      </c>
      <c r="W2757">
        <v>0.23654739999999999</v>
      </c>
      <c r="X2757">
        <v>0.97108110000000003</v>
      </c>
      <c r="Y2757">
        <v>-7.6788460000000003E-2</v>
      </c>
      <c r="Z2757">
        <v>9.205134E-4</v>
      </c>
      <c r="AA2757">
        <v>0.99704700000000002</v>
      </c>
      <c r="AB2757">
        <v>37</v>
      </c>
      <c r="AC2757">
        <v>121.27979999999999</v>
      </c>
      <c r="AD2757">
        <v>-1.01167749999999</v>
      </c>
      <c r="AE2757">
        <v>9.9197000000000006</v>
      </c>
      <c r="AF2757">
        <v>-9.3737119170694498</v>
      </c>
      <c r="AG2757">
        <v>-1.01167749999999</v>
      </c>
      <c r="AH2757">
        <v>121.314785127424</v>
      </c>
      <c r="AI2757">
        <v>90.476374388959997</v>
      </c>
      <c r="AJ2757">
        <v>94.418332958673503</v>
      </c>
      <c r="AK2757">
        <v>121.680594414152</v>
      </c>
      <c r="AL2757">
        <v>76.317145720877804</v>
      </c>
      <c r="AM2757">
        <v>88.091714524369806</v>
      </c>
      <c r="AN2757">
        <v>0.99999999962384201</v>
      </c>
    </row>
    <row r="2758" spans="1:40" x14ac:dyDescent="0.25">
      <c r="A2758" t="str">
        <f>"20190303170820215"</f>
        <v>20190303170820215</v>
      </c>
      <c r="B2758" t="str">
        <f>"1551604100205746"</f>
        <v>1551604100205746</v>
      </c>
      <c r="C2758" t="s">
        <v>40</v>
      </c>
      <c r="D2758">
        <v>4.7432179999999997</v>
      </c>
      <c r="E2758">
        <v>0.46275949999999999</v>
      </c>
      <c r="F2758" t="s">
        <v>53</v>
      </c>
      <c r="G2758">
        <v>-168.35059999999999</v>
      </c>
      <c r="H2758">
        <v>8.7521550000000004E-2</v>
      </c>
      <c r="I2758">
        <v>223.87440000000001</v>
      </c>
      <c r="J2758">
        <v>-289.2688</v>
      </c>
      <c r="K2758">
        <v>1.121292</v>
      </c>
      <c r="L2758">
        <v>214.0069</v>
      </c>
      <c r="M2758">
        <v>0.99987919999999997</v>
      </c>
      <c r="N2758">
        <v>-1.487627E-2</v>
      </c>
      <c r="O2758">
        <v>4.4952530000000003E-3</v>
      </c>
      <c r="P2758">
        <v>0.97450939999999997</v>
      </c>
      <c r="Q2758">
        <v>0.22246959999999999</v>
      </c>
      <c r="R2758">
        <v>-2.8963079999999999E-2</v>
      </c>
      <c r="S2758">
        <v>3.0913390000000001</v>
      </c>
      <c r="T2758">
        <v>-2.6348590000000002E-2</v>
      </c>
      <c r="U2758">
        <v>0.25155640000000001</v>
      </c>
      <c r="V2758">
        <v>3.3352840000000002E-2</v>
      </c>
      <c r="W2758">
        <v>0.23693890000000001</v>
      </c>
      <c r="X2758">
        <v>0.97095189999999998</v>
      </c>
      <c r="Y2758">
        <v>-7.6617190000000002E-2</v>
      </c>
      <c r="Z2758">
        <v>9.2538370000000002E-4</v>
      </c>
      <c r="AA2758">
        <v>0.99706019999999895</v>
      </c>
      <c r="AB2758">
        <v>37</v>
      </c>
      <c r="AC2758">
        <v>120.9182</v>
      </c>
      <c r="AD2758">
        <v>-1.03377045</v>
      </c>
      <c r="AE2758">
        <v>9.8674999999999997</v>
      </c>
      <c r="AF2758">
        <v>-9.3231052737260907</v>
      </c>
      <c r="AG2758">
        <v>-1.03377045</v>
      </c>
      <c r="AH2758">
        <v>120.95255774732099</v>
      </c>
      <c r="AI2758">
        <v>90.488241655540406</v>
      </c>
      <c r="AJ2758">
        <v>94.407682061338505</v>
      </c>
      <c r="AK2758">
        <v>121.315745882006</v>
      </c>
      <c r="AL2758">
        <v>76.294058423577198</v>
      </c>
      <c r="AM2758">
        <v>88.032625645052605</v>
      </c>
      <c r="AN2758">
        <v>1.0000000231914401</v>
      </c>
    </row>
    <row r="2759" spans="1:40" x14ac:dyDescent="0.25">
      <c r="A2759" t="str">
        <f>"20190303170820239"</f>
        <v>20190303170820239</v>
      </c>
      <c r="B2759" t="str">
        <f>"1551604100226242"</f>
        <v>1551604100226242</v>
      </c>
      <c r="C2759" t="s">
        <v>40</v>
      </c>
      <c r="D2759">
        <v>4.7310759999999998</v>
      </c>
      <c r="E2759">
        <v>0.46265440000000002</v>
      </c>
      <c r="F2759" t="s">
        <v>53</v>
      </c>
      <c r="G2759">
        <v>-168.35059999999999</v>
      </c>
      <c r="H2759">
        <v>0.12726589999999999</v>
      </c>
      <c r="I2759">
        <v>223.77189999999999</v>
      </c>
      <c r="J2759">
        <v>-288.86419999999998</v>
      </c>
      <c r="K2759">
        <v>1.1212949999999999</v>
      </c>
      <c r="L2759">
        <v>214.0087</v>
      </c>
      <c r="M2759">
        <v>0.99987939999999997</v>
      </c>
      <c r="N2759">
        <v>-1.4871540000000001E-2</v>
      </c>
      <c r="O2759">
        <v>4.4952880000000001E-3</v>
      </c>
      <c r="P2759">
        <v>0.97445890000000002</v>
      </c>
      <c r="Q2759">
        <v>0.22269939999999999</v>
      </c>
      <c r="R2759">
        <v>-2.889628E-2</v>
      </c>
      <c r="S2759">
        <v>3.091736</v>
      </c>
      <c r="T2759">
        <v>-2.5414590000000001E-2</v>
      </c>
      <c r="U2759">
        <v>0.2496796</v>
      </c>
      <c r="V2759">
        <v>3.3285830000000002E-2</v>
      </c>
      <c r="W2759">
        <v>0.2371635</v>
      </c>
      <c r="X2759">
        <v>0.97089930000000002</v>
      </c>
      <c r="Y2759">
        <v>-7.6005909999999996E-2</v>
      </c>
      <c r="Z2759">
        <v>9.0787799999999998E-4</v>
      </c>
      <c r="AA2759">
        <v>0.99710699999999997</v>
      </c>
      <c r="AB2759">
        <v>37</v>
      </c>
      <c r="AC2759">
        <v>120.5136</v>
      </c>
      <c r="AD2759">
        <v>-0.9940291</v>
      </c>
      <c r="AE2759">
        <v>9.7631999999999799</v>
      </c>
      <c r="AF2759">
        <v>-9.2206748965795402</v>
      </c>
      <c r="AG2759">
        <v>-0.9940291</v>
      </c>
      <c r="AH2759">
        <v>120.54812742754299</v>
      </c>
      <c r="AI2759">
        <v>90.471069216796295</v>
      </c>
      <c r="AJ2759">
        <v>94.374012747320506</v>
      </c>
      <c r="AK2759">
        <v>120.904342211879</v>
      </c>
      <c r="AL2759">
        <v>76.280811374595601</v>
      </c>
      <c r="AM2759">
        <v>88.0364689593804</v>
      </c>
      <c r="AN2759">
        <v>0.99999996147576298</v>
      </c>
    </row>
    <row r="2760" spans="1:40" x14ac:dyDescent="0.25">
      <c r="A2760" t="str">
        <f>"20190303170820264"</f>
        <v>20190303170820264</v>
      </c>
      <c r="B2760" t="str">
        <f>"1551604100255521"</f>
        <v>1551604100255521</v>
      </c>
      <c r="C2760" t="s">
        <v>40</v>
      </c>
      <c r="D2760">
        <v>4.7132019999999999</v>
      </c>
      <c r="E2760">
        <v>0.46248549999999999</v>
      </c>
      <c r="F2760" t="s">
        <v>53</v>
      </c>
      <c r="G2760">
        <v>-168.35059999999999</v>
      </c>
      <c r="H2760">
        <v>0.13546279999999999</v>
      </c>
      <c r="I2760">
        <v>223.755</v>
      </c>
      <c r="J2760">
        <v>-288.4468</v>
      </c>
      <c r="K2760">
        <v>1.121289</v>
      </c>
      <c r="L2760">
        <v>214.01060000000001</v>
      </c>
      <c r="M2760">
        <v>0.99987950000000003</v>
      </c>
      <c r="N2760">
        <v>-1.486677E-2</v>
      </c>
      <c r="O2760">
        <v>4.4953240000000002E-3</v>
      </c>
      <c r="P2760">
        <v>0.97458359999999999</v>
      </c>
      <c r="Q2760">
        <v>0.22217310000000001</v>
      </c>
      <c r="R2760">
        <v>-2.8744249999999999E-2</v>
      </c>
      <c r="S2760">
        <v>3.0918269999999999</v>
      </c>
      <c r="T2760">
        <v>-2.5290489999999999E-2</v>
      </c>
      <c r="U2760">
        <v>0.25004579999999998</v>
      </c>
      <c r="V2760">
        <v>3.3134370000000003E-2</v>
      </c>
      <c r="W2760">
        <v>0.23663400000000001</v>
      </c>
      <c r="X2760">
        <v>0.9710337</v>
      </c>
      <c r="Y2760">
        <v>-7.6120880000000002E-2</v>
      </c>
      <c r="Z2760">
        <v>9.0765110000000002E-4</v>
      </c>
      <c r="AA2760">
        <v>0.99709820000000005</v>
      </c>
      <c r="AB2760">
        <v>37</v>
      </c>
      <c r="AC2760">
        <v>120.0962</v>
      </c>
      <c r="AD2760">
        <v>-0.98582619999999899</v>
      </c>
      <c r="AE2760">
        <v>9.7443999999999793</v>
      </c>
      <c r="AF2760">
        <v>-9.2037544760464698</v>
      </c>
      <c r="AG2760">
        <v>-0.98582619999999899</v>
      </c>
      <c r="AH2760">
        <v>120.130753672423</v>
      </c>
      <c r="AI2760">
        <v>90.468800660903</v>
      </c>
      <c r="AJ2760">
        <v>94.381127292183905</v>
      </c>
      <c r="AK2760">
        <v>120.48684130500099</v>
      </c>
      <c r="AL2760">
        <v>76.312038807708106</v>
      </c>
      <c r="AM2760">
        <v>88.045666963562397</v>
      </c>
      <c r="AN2760">
        <v>0.99999999148349294</v>
      </c>
    </row>
    <row r="2761" spans="1:40" x14ac:dyDescent="0.25">
      <c r="A2761" t="str">
        <f>"20190303170820282"</f>
        <v>20190303170820282</v>
      </c>
      <c r="B2761" t="str">
        <f>"1551604100276018"</f>
        <v>1551604100276018</v>
      </c>
      <c r="C2761" t="s">
        <v>40</v>
      </c>
      <c r="D2761">
        <v>4.71488</v>
      </c>
      <c r="E2761">
        <v>0.46254840000000003</v>
      </c>
      <c r="F2761" t="s">
        <v>53</v>
      </c>
      <c r="G2761">
        <v>-168.35059999999999</v>
      </c>
      <c r="H2761">
        <v>6.8332669999999998E-2</v>
      </c>
      <c r="I2761">
        <v>223.8107</v>
      </c>
      <c r="J2761">
        <v>-288.14609999999999</v>
      </c>
      <c r="K2761">
        <v>1.1212899999999999</v>
      </c>
      <c r="L2761">
        <v>214.0119</v>
      </c>
      <c r="M2761">
        <v>0.99987950000000003</v>
      </c>
      <c r="N2761">
        <v>-1.4863360000000001E-2</v>
      </c>
      <c r="O2761">
        <v>4.495349E-3</v>
      </c>
      <c r="P2761">
        <v>0.97486280000000003</v>
      </c>
      <c r="Q2761">
        <v>0.22088279999999999</v>
      </c>
      <c r="R2761">
        <v>-2.921348E-2</v>
      </c>
      <c r="S2761">
        <v>3.091888</v>
      </c>
      <c r="T2761">
        <v>-2.7106999999999999E-2</v>
      </c>
      <c r="U2761">
        <v>0.25230409999999998</v>
      </c>
      <c r="V2761">
        <v>3.3604990000000001E-2</v>
      </c>
      <c r="W2761">
        <v>0.23534450000000001</v>
      </c>
      <c r="X2761">
        <v>0.9713309</v>
      </c>
      <c r="Y2761">
        <v>-7.6841969999999996E-2</v>
      </c>
      <c r="Z2761">
        <v>9.3572000000000002E-4</v>
      </c>
      <c r="AA2761">
        <v>0.99704280000000001</v>
      </c>
      <c r="AB2761">
        <v>37</v>
      </c>
      <c r="AC2761">
        <v>119.7955</v>
      </c>
      <c r="AD2761">
        <v>-1.0529573299999999</v>
      </c>
      <c r="AE2761">
        <v>9.7988</v>
      </c>
      <c r="AF2761">
        <v>-9.2594083278200596</v>
      </c>
      <c r="AG2761">
        <v>-1.0529573299999999</v>
      </c>
      <c r="AH2761">
        <v>119.829147022198</v>
      </c>
      <c r="AI2761">
        <v>90.501957689307702</v>
      </c>
      <c r="AJ2761">
        <v>94.418565013167495</v>
      </c>
      <c r="AK2761">
        <v>120.190972363933</v>
      </c>
      <c r="AL2761">
        <v>76.3880695883378</v>
      </c>
      <c r="AM2761">
        <v>88.018536791351707</v>
      </c>
      <c r="AN2761">
        <v>1.0000000231639701</v>
      </c>
    </row>
    <row r="2762" spans="1:40" x14ac:dyDescent="0.25">
      <c r="A2762" t="str">
        <f>"20190303170820305"</f>
        <v>20190303170820305</v>
      </c>
      <c r="B2762" t="str">
        <f>"1551604100295537"</f>
        <v>1551604100295537</v>
      </c>
      <c r="C2762" t="s">
        <v>40</v>
      </c>
      <c r="D2762">
        <v>4.7144139999999997</v>
      </c>
      <c r="E2762">
        <v>0.50100299999999998</v>
      </c>
      <c r="F2762" t="s">
        <v>57</v>
      </c>
      <c r="G2762">
        <v>-179.95779999999999</v>
      </c>
      <c r="H2762">
        <v>9.5151880000000008E-3</v>
      </c>
      <c r="I2762">
        <v>222.76730000000001</v>
      </c>
      <c r="J2762">
        <v>-287.77760000000001</v>
      </c>
      <c r="K2762">
        <v>1.121289</v>
      </c>
      <c r="L2762">
        <v>214.0136</v>
      </c>
      <c r="M2762">
        <v>0.99987959999999998</v>
      </c>
      <c r="N2762">
        <v>-1.485917E-2</v>
      </c>
      <c r="O2762">
        <v>4.4952020000000002E-3</v>
      </c>
      <c r="P2762">
        <v>0.97486980000000001</v>
      </c>
      <c r="Q2762">
        <v>0.220829</v>
      </c>
      <c r="R2762">
        <v>-2.9388930000000001E-2</v>
      </c>
      <c r="S2762">
        <v>3.0920100000000001</v>
      </c>
      <c r="T2762">
        <v>-3.1774400000000001E-2</v>
      </c>
      <c r="U2762">
        <v>0.25022889999999998</v>
      </c>
      <c r="V2762">
        <v>3.3780369999999997E-2</v>
      </c>
      <c r="W2762">
        <v>0.235287</v>
      </c>
      <c r="X2762">
        <v>0.9713387</v>
      </c>
      <c r="Y2762">
        <v>-7.6172210000000004E-2</v>
      </c>
      <c r="Z2762">
        <v>9.7823260000000009E-4</v>
      </c>
      <c r="AA2762">
        <v>0.99709420000000004</v>
      </c>
      <c r="AB2762">
        <v>37</v>
      </c>
      <c r="AC2762">
        <v>107.8198</v>
      </c>
      <c r="AD2762">
        <v>-1.111773812</v>
      </c>
      <c r="AE2762">
        <v>8.7537000000000091</v>
      </c>
      <c r="AF2762">
        <v>-8.2680129534317803</v>
      </c>
      <c r="AG2762">
        <v>-1.111773812</v>
      </c>
      <c r="AH2762">
        <v>107.846672675346</v>
      </c>
      <c r="AI2762">
        <v>90.588903983775793</v>
      </c>
      <c r="AJ2762">
        <v>94.383977753320593</v>
      </c>
      <c r="AK2762">
        <v>108.168853587114</v>
      </c>
      <c r="AL2762">
        <v>76.391458654390604</v>
      </c>
      <c r="AM2762">
        <v>88.008220086118698</v>
      </c>
      <c r="AN2762">
        <v>0.99999997794201301</v>
      </c>
    </row>
    <row r="2763" spans="1:40" x14ac:dyDescent="0.25">
      <c r="A2763" t="str">
        <f>"20190303170820326"</f>
        <v>20190303170820326</v>
      </c>
      <c r="B2763" t="str">
        <f>"1551604100316034"</f>
        <v>1551604100316034</v>
      </c>
      <c r="C2763" t="s">
        <v>40</v>
      </c>
      <c r="D2763">
        <v>4.7669579999999998</v>
      </c>
      <c r="E2763">
        <v>0.50985420000000004</v>
      </c>
      <c r="F2763" t="s">
        <v>63</v>
      </c>
      <c r="G2763">
        <v>-241.584</v>
      </c>
      <c r="H2763" s="1">
        <v>-6.31937E-7</v>
      </c>
      <c r="I2763">
        <v>213.19970000000001</v>
      </c>
      <c r="J2763">
        <v>-287.42430000000002</v>
      </c>
      <c r="K2763">
        <v>1.121299</v>
      </c>
      <c r="L2763">
        <v>214.01519999999999</v>
      </c>
      <c r="M2763">
        <v>0.99987950000000003</v>
      </c>
      <c r="N2763">
        <v>-1.4855139999999999E-2</v>
      </c>
      <c r="O2763">
        <v>4.4954110000000004E-3</v>
      </c>
      <c r="P2763">
        <v>0.9746245</v>
      </c>
      <c r="Q2763">
        <v>0.22190280000000001</v>
      </c>
      <c r="R2763">
        <v>-2.9433540000000001E-2</v>
      </c>
      <c r="S2763">
        <v>3.0926209999999998</v>
      </c>
      <c r="T2763">
        <v>-7.506931E-2</v>
      </c>
      <c r="U2763">
        <v>-5.4489139999999998E-2</v>
      </c>
      <c r="V2763">
        <v>3.3823930000000002E-2</v>
      </c>
      <c r="W2763">
        <v>0.2363528</v>
      </c>
      <c r="X2763">
        <v>0.97107840000000001</v>
      </c>
      <c r="Y2763">
        <v>2.2100689999999999E-2</v>
      </c>
      <c r="Z2763">
        <v>-4.7470969999999999E-4</v>
      </c>
      <c r="AA2763">
        <v>0.99975559999999997</v>
      </c>
      <c r="AB2763">
        <v>37</v>
      </c>
      <c r="AC2763">
        <v>45.840299999999999</v>
      </c>
      <c r="AD2763">
        <v>-1.1212996319370001</v>
      </c>
      <c r="AE2763">
        <v>-0.81549999999998501</v>
      </c>
      <c r="AF2763">
        <v>1.02097480112997</v>
      </c>
      <c r="AG2763">
        <v>-1.1212996319370001</v>
      </c>
      <c r="AH2763">
        <v>45.808769722162502</v>
      </c>
      <c r="AI2763">
        <v>91.401848791568796</v>
      </c>
      <c r="AJ2763">
        <v>88.723216881196294</v>
      </c>
      <c r="AK2763">
        <v>45.833863963964902</v>
      </c>
      <c r="AL2763">
        <v>76.328620622412203</v>
      </c>
      <c r="AM2763">
        <v>88.005119588464595</v>
      </c>
      <c r="AN2763">
        <v>0.99999998162752202</v>
      </c>
    </row>
    <row r="2764" spans="1:40" x14ac:dyDescent="0.25">
      <c r="A2764" t="str">
        <f>"20190303170820348"</f>
        <v>20190303170820348</v>
      </c>
      <c r="B2764" t="str">
        <f>"1551604100335554"</f>
        <v>1551604100335554</v>
      </c>
      <c r="C2764" t="s">
        <v>40</v>
      </c>
      <c r="D2764">
        <v>4.6290950000000004</v>
      </c>
      <c r="E2764">
        <v>0.51338969999999995</v>
      </c>
      <c r="F2764" t="s">
        <v>63</v>
      </c>
      <c r="G2764">
        <v>-243.1652</v>
      </c>
      <c r="H2764" s="1">
        <v>2.5208589999999998E-7</v>
      </c>
      <c r="I2764">
        <v>212.22559999999999</v>
      </c>
      <c r="J2764">
        <v>-287.0634</v>
      </c>
      <c r="K2764">
        <v>1.1213070000000001</v>
      </c>
      <c r="L2764">
        <v>214.01679999999999</v>
      </c>
      <c r="M2764">
        <v>0.99987969999999904</v>
      </c>
      <c r="N2764">
        <v>-1.4851039999999999E-2</v>
      </c>
      <c r="O2764">
        <v>4.4954410000000002E-3</v>
      </c>
      <c r="P2764">
        <v>0.97435229999999995</v>
      </c>
      <c r="Q2764">
        <v>0.2230856</v>
      </c>
      <c r="R2764">
        <v>-2.9507749999999999E-2</v>
      </c>
      <c r="S2764">
        <v>3.0921940000000001</v>
      </c>
      <c r="T2764">
        <v>-7.8340409999999999E-2</v>
      </c>
      <c r="U2764">
        <v>-0.12503049999999999</v>
      </c>
      <c r="V2764">
        <v>3.3896950000000002E-2</v>
      </c>
      <c r="W2764">
        <v>0.23752760000000001</v>
      </c>
      <c r="X2764">
        <v>0.97078920000000002</v>
      </c>
      <c r="Y2764">
        <v>4.4870029999999998E-2</v>
      </c>
      <c r="Z2764">
        <v>-9.4858460000000003E-4</v>
      </c>
      <c r="AA2764">
        <v>0.9989924</v>
      </c>
      <c r="AB2764">
        <v>37</v>
      </c>
      <c r="AC2764">
        <v>43.898200000000003</v>
      </c>
      <c r="AD2764">
        <v>-1.1213067479140999</v>
      </c>
      <c r="AE2764">
        <v>-1.7911999999999999</v>
      </c>
      <c r="AF2764">
        <v>1.9872509619588401</v>
      </c>
      <c r="AG2764">
        <v>-1.1213067479140999</v>
      </c>
      <c r="AH2764">
        <v>43.861133039452803</v>
      </c>
      <c r="AI2764">
        <v>91.462943409855498</v>
      </c>
      <c r="AJ2764">
        <v>87.405829040414901</v>
      </c>
      <c r="AK2764">
        <v>43.9204449739903</v>
      </c>
      <c r="AL2764">
        <v>76.259337120908398</v>
      </c>
      <c r="AM2764">
        <v>88.000221401205707</v>
      </c>
      <c r="AN2764">
        <v>1.0000000174088499</v>
      </c>
    </row>
    <row r="2765" spans="1:40" x14ac:dyDescent="0.25">
      <c r="A2765" t="str">
        <f>"20190303170820371"</f>
        <v>20190303170820371</v>
      </c>
      <c r="B2765" t="str">
        <f>"1551604100365810"</f>
        <v>1551604100365810</v>
      </c>
      <c r="C2765" t="s">
        <v>40</v>
      </c>
      <c r="D2765">
        <v>4.6240880000000004</v>
      </c>
      <c r="E2765">
        <v>0.5159224</v>
      </c>
      <c r="F2765" t="s">
        <v>63</v>
      </c>
      <c r="G2765">
        <v>-242.3526</v>
      </c>
      <c r="H2765" s="1">
        <v>-1.61960599999999E-7</v>
      </c>
      <c r="I2765">
        <v>211.80420000000001</v>
      </c>
      <c r="J2765">
        <v>-286.68189999999998</v>
      </c>
      <c r="K2765">
        <v>1.1213040000000001</v>
      </c>
      <c r="L2765">
        <v>214.01849999999999</v>
      </c>
      <c r="M2765">
        <v>0.99987969999999904</v>
      </c>
      <c r="N2765">
        <v>-1.4846710000000001E-2</v>
      </c>
      <c r="O2765">
        <v>4.4954729999999998E-3</v>
      </c>
      <c r="P2765">
        <v>0.97420859999999998</v>
      </c>
      <c r="Q2765">
        <v>0.223661</v>
      </c>
      <c r="R2765">
        <v>-2.9893920000000001E-2</v>
      </c>
      <c r="S2765">
        <v>3.0921020000000001</v>
      </c>
      <c r="T2765">
        <v>-7.7547069999999996E-2</v>
      </c>
      <c r="U2765">
        <v>-0.15301509999999999</v>
      </c>
      <c r="V2765">
        <v>3.428262E-2</v>
      </c>
      <c r="W2765">
        <v>0.2380968</v>
      </c>
      <c r="X2765">
        <v>0.97063619999999995</v>
      </c>
      <c r="Y2765">
        <v>5.3888129999999999E-2</v>
      </c>
      <c r="Z2765">
        <v>-1.121569E-3</v>
      </c>
      <c r="AA2765">
        <v>0.99854639999999995</v>
      </c>
      <c r="AB2765">
        <v>37</v>
      </c>
      <c r="AC2765">
        <v>44.329299999999897</v>
      </c>
      <c r="AD2765">
        <v>-1.1213041619605999</v>
      </c>
      <c r="AE2765">
        <v>-2.2142999999999802</v>
      </c>
      <c r="AF2765">
        <v>2.4120412964504898</v>
      </c>
      <c r="AG2765">
        <v>-1.1213041619605999</v>
      </c>
      <c r="AH2765">
        <v>44.290628569540502</v>
      </c>
      <c r="AI2765">
        <v>91.448100381460506</v>
      </c>
      <c r="AJ2765">
        <v>86.882785189040703</v>
      </c>
      <c r="AK2765">
        <v>44.370429852824401</v>
      </c>
      <c r="AL2765">
        <v>76.225760980687198</v>
      </c>
      <c r="AM2765">
        <v>87.977168729700693</v>
      </c>
      <c r="AN2765">
        <v>1.0000000084773699</v>
      </c>
    </row>
    <row r="2766" spans="1:40" x14ac:dyDescent="0.25">
      <c r="A2766" t="str">
        <f>"20190303170820395"</f>
        <v>20190303170820395</v>
      </c>
      <c r="B2766" t="str">
        <f>"1551604100385329"</f>
        <v>1551604100385329</v>
      </c>
      <c r="C2766" t="s">
        <v>40</v>
      </c>
      <c r="D2766">
        <v>4.605918</v>
      </c>
      <c r="E2766">
        <v>0.51665000000000005</v>
      </c>
      <c r="F2766" t="s">
        <v>63</v>
      </c>
      <c r="G2766">
        <v>-243.7895</v>
      </c>
      <c r="H2766" s="1">
        <v>6.115831E-7</v>
      </c>
      <c r="I2766">
        <v>211.601</v>
      </c>
      <c r="J2766">
        <v>-286.29640000000001</v>
      </c>
      <c r="K2766">
        <v>1.1213070000000001</v>
      </c>
      <c r="L2766">
        <v>214.02019999999999</v>
      </c>
      <c r="M2766">
        <v>0.99987979999999999</v>
      </c>
      <c r="N2766">
        <v>-1.4842380000000001E-2</v>
      </c>
      <c r="O2766">
        <v>4.4955059999999998E-3</v>
      </c>
      <c r="P2766">
        <v>0.97420580000000001</v>
      </c>
      <c r="Q2766">
        <v>0.2236284</v>
      </c>
      <c r="R2766">
        <v>-3.0226099999999902E-2</v>
      </c>
      <c r="S2766">
        <v>3.0925600000000002</v>
      </c>
      <c r="T2766">
        <v>-8.0846429999999997E-2</v>
      </c>
      <c r="U2766">
        <v>-0.17430109999999999</v>
      </c>
      <c r="V2766">
        <v>3.461475E-2</v>
      </c>
      <c r="W2766">
        <v>0.23805979999999999</v>
      </c>
      <c r="X2766">
        <v>0.97063350000000004</v>
      </c>
      <c r="Y2766">
        <v>6.0727700000000003E-2</v>
      </c>
      <c r="Z2766">
        <v>-1.294934E-3</v>
      </c>
      <c r="AA2766">
        <v>0.99815350000000003</v>
      </c>
      <c r="AB2766">
        <v>37</v>
      </c>
      <c r="AC2766">
        <v>42.506900000000002</v>
      </c>
      <c r="AD2766">
        <v>-1.1213063884168999</v>
      </c>
      <c r="AE2766">
        <v>-2.41919999999998</v>
      </c>
      <c r="AF2766">
        <v>2.6084773058636301</v>
      </c>
      <c r="AG2766">
        <v>-1.1213063884168999</v>
      </c>
      <c r="AH2766">
        <v>42.466138043027499</v>
      </c>
      <c r="AI2766">
        <v>91.509683407330002</v>
      </c>
      <c r="AJ2766">
        <v>86.485030030617594</v>
      </c>
      <c r="AK2766">
        <v>42.560948793011796</v>
      </c>
      <c r="AL2766">
        <v>76.227943852242902</v>
      </c>
      <c r="AM2766">
        <v>87.957582382775797</v>
      </c>
      <c r="AN2766">
        <v>1.00000002030792</v>
      </c>
    </row>
    <row r="2767" spans="1:40" x14ac:dyDescent="0.25">
      <c r="A2767" t="str">
        <f>"20190303170820416"</f>
        <v>20190303170820416</v>
      </c>
      <c r="B2767" t="str">
        <f>"1551604100405826"</f>
        <v>1551604100405826</v>
      </c>
      <c r="C2767" t="s">
        <v>40</v>
      </c>
      <c r="D2767">
        <v>4.6104079999999996</v>
      </c>
      <c r="E2767">
        <v>0.51762870000000005</v>
      </c>
      <c r="F2767" t="s">
        <v>63</v>
      </c>
      <c r="G2767">
        <v>-243.41730000000001</v>
      </c>
      <c r="H2767" s="1">
        <v>4.1758870000000002E-7</v>
      </c>
      <c r="I2767">
        <v>211.50839999999999</v>
      </c>
      <c r="J2767">
        <v>-285.93540000000002</v>
      </c>
      <c r="K2767">
        <v>1.1213070000000001</v>
      </c>
      <c r="L2767">
        <v>214.02189999999999</v>
      </c>
      <c r="M2767">
        <v>0.99987990000000004</v>
      </c>
      <c r="N2767">
        <v>-1.483835E-2</v>
      </c>
      <c r="O2767">
        <v>4.4953570000000002E-3</v>
      </c>
      <c r="P2767">
        <v>0.97411780000000003</v>
      </c>
      <c r="Q2767">
        <v>0.22398779999999999</v>
      </c>
      <c r="R2767">
        <v>-3.039642E-2</v>
      </c>
      <c r="S2767">
        <v>3.0923769999999999</v>
      </c>
      <c r="T2767">
        <v>-8.0867049999999996E-2</v>
      </c>
      <c r="U2767">
        <v>-0.18115229999999999</v>
      </c>
      <c r="V2767">
        <v>3.478473E-2</v>
      </c>
      <c r="W2767">
        <v>0.2384136</v>
      </c>
      <c r="X2767">
        <v>0.97054059999999998</v>
      </c>
      <c r="Y2767">
        <v>6.2933669999999997E-2</v>
      </c>
      <c r="Z2767">
        <v>-1.3402889999999999E-3</v>
      </c>
      <c r="AA2767">
        <v>0.99801680000000004</v>
      </c>
      <c r="AB2767">
        <v>37</v>
      </c>
      <c r="AC2767">
        <v>42.518099999999997</v>
      </c>
      <c r="AD2767">
        <v>-1.1213065824113</v>
      </c>
      <c r="AE2767">
        <v>-2.5134999999999899</v>
      </c>
      <c r="AF2767">
        <v>2.7027564244801101</v>
      </c>
      <c r="AG2767">
        <v>-1.1213065824113</v>
      </c>
      <c r="AH2767">
        <v>42.476929886184301</v>
      </c>
      <c r="AI2767">
        <v>91.509093221457107</v>
      </c>
      <c r="AJ2767">
        <v>86.359245891179299</v>
      </c>
      <c r="AK2767">
        <v>42.577597317106203</v>
      </c>
      <c r="AL2767">
        <v>76.207071899957896</v>
      </c>
      <c r="AM2767">
        <v>87.947365104865895</v>
      </c>
      <c r="AN2767">
        <v>1.0000000391772399</v>
      </c>
    </row>
    <row r="2768" spans="1:40" x14ac:dyDescent="0.25">
      <c r="A2768" t="str">
        <f>"20190303170820442"</f>
        <v>20190303170820442</v>
      </c>
      <c r="B2768" t="str">
        <f>"1551604100436082"</f>
        <v>1551604100436082</v>
      </c>
      <c r="C2768" t="s">
        <v>40</v>
      </c>
      <c r="D2768">
        <v>4.7096920000000004</v>
      </c>
      <c r="E2768">
        <v>0.5190437</v>
      </c>
      <c r="F2768" t="s">
        <v>63</v>
      </c>
      <c r="G2768">
        <v>-243.9958</v>
      </c>
      <c r="H2768" s="1">
        <v>7.2794749999999903E-7</v>
      </c>
      <c r="I2768">
        <v>211.45050000000001</v>
      </c>
      <c r="J2768">
        <v>-285.50830000000002</v>
      </c>
      <c r="K2768">
        <v>1.12131</v>
      </c>
      <c r="L2768">
        <v>214.02379999999999</v>
      </c>
      <c r="M2768">
        <v>0.99987990000000004</v>
      </c>
      <c r="N2768">
        <v>-1.4833560000000001E-2</v>
      </c>
      <c r="O2768">
        <v>4.4955719999999998E-3</v>
      </c>
      <c r="P2768">
        <v>0.97389409999999998</v>
      </c>
      <c r="Q2768">
        <v>0.22493949999999999</v>
      </c>
      <c r="R2768">
        <v>-3.0538220000000001E-2</v>
      </c>
      <c r="S2768">
        <v>3.0928040000000001</v>
      </c>
      <c r="T2768">
        <v>-8.2689879999999993E-2</v>
      </c>
      <c r="U2768">
        <v>-0.18962100000000001</v>
      </c>
      <c r="V2768">
        <v>3.492572E-2</v>
      </c>
      <c r="W2768">
        <v>0.23935770000000001</v>
      </c>
      <c r="X2768">
        <v>0.97030309999999997</v>
      </c>
      <c r="Y2768">
        <v>6.5645809999999999E-2</v>
      </c>
      <c r="Z2768">
        <v>-1.417525E-3</v>
      </c>
      <c r="AA2768">
        <v>0.99784200000000001</v>
      </c>
      <c r="AB2768">
        <v>37</v>
      </c>
      <c r="AC2768">
        <v>41.512500000000003</v>
      </c>
      <c r="AD2768">
        <v>-1.1213092720525</v>
      </c>
      <c r="AE2768">
        <v>-2.5732999999999802</v>
      </c>
      <c r="AF2768">
        <v>2.7579124444081802</v>
      </c>
      <c r="AG2768">
        <v>-1.1213092720525</v>
      </c>
      <c r="AH2768">
        <v>41.470369157248797</v>
      </c>
      <c r="AI2768">
        <v>91.545420084238401</v>
      </c>
      <c r="AJ2768">
        <v>86.195249512908404</v>
      </c>
      <c r="AK2768">
        <v>41.577096261921703</v>
      </c>
      <c r="AL2768">
        <v>76.151365735071707</v>
      </c>
      <c r="AM2768">
        <v>87.938548473182394</v>
      </c>
      <c r="AN2768">
        <v>1.0000000101682001</v>
      </c>
    </row>
    <row r="2769" spans="1:40" x14ac:dyDescent="0.25">
      <c r="A2769" t="str">
        <f>"20190303170820466"</f>
        <v>20190303170820466</v>
      </c>
      <c r="B2769" t="str">
        <f>"1551604100455602"</f>
        <v>1551604100455602</v>
      </c>
      <c r="C2769" t="s">
        <v>40</v>
      </c>
      <c r="D2769">
        <v>4.658156</v>
      </c>
      <c r="E2769">
        <v>0.51962109999999995</v>
      </c>
      <c r="F2769" t="s">
        <v>63</v>
      </c>
      <c r="G2769">
        <v>-244.27090000000001</v>
      </c>
      <c r="H2769" s="1">
        <v>8.7915509999999995E-7</v>
      </c>
      <c r="I2769">
        <v>211.3407</v>
      </c>
      <c r="J2769">
        <v>-285.11799999999999</v>
      </c>
      <c r="K2769">
        <v>1.1213120000000001</v>
      </c>
      <c r="L2769">
        <v>214.02549999999999</v>
      </c>
      <c r="M2769">
        <v>0.99987999999999999</v>
      </c>
      <c r="N2769">
        <v>-1.4829180000000001E-2</v>
      </c>
      <c r="O2769">
        <v>4.4954259999999899E-3</v>
      </c>
      <c r="P2769">
        <v>0.97385880000000002</v>
      </c>
      <c r="Q2769">
        <v>0.22509370000000001</v>
      </c>
      <c r="R2769">
        <v>-3.0534019999999999E-2</v>
      </c>
      <c r="S2769">
        <v>3.0935359999999998</v>
      </c>
      <c r="T2769">
        <v>-8.4118009999999993E-2</v>
      </c>
      <c r="U2769">
        <v>-0.2012787</v>
      </c>
      <c r="V2769">
        <v>3.4921149999999998E-2</v>
      </c>
      <c r="W2769">
        <v>0.23950730000000001</v>
      </c>
      <c r="X2769">
        <v>0.97026630000000003</v>
      </c>
      <c r="Y2769">
        <v>6.9372899999999904E-2</v>
      </c>
      <c r="Z2769">
        <v>-1.5125990000000001E-3</v>
      </c>
      <c r="AA2769">
        <v>0.99758959999999997</v>
      </c>
      <c r="AB2769">
        <v>37</v>
      </c>
      <c r="AC2769">
        <v>40.847099999999898</v>
      </c>
      <c r="AD2769">
        <v>-1.12131112084489</v>
      </c>
      <c r="AE2769">
        <v>-2.6847999999999899</v>
      </c>
      <c r="AF2769">
        <v>2.86626748974082</v>
      </c>
      <c r="AG2769">
        <v>-1.12131112084489</v>
      </c>
      <c r="AH2769">
        <v>40.8039996854489</v>
      </c>
      <c r="AI2769">
        <v>91.570248673229102</v>
      </c>
      <c r="AJ2769">
        <v>85.981871509808201</v>
      </c>
      <c r="AK2769">
        <v>40.919912246760603</v>
      </c>
      <c r="AL2769">
        <v>76.142536835817594</v>
      </c>
      <c r="AM2769">
        <v>87.938739871113896</v>
      </c>
      <c r="AN2769">
        <v>0.99999996319314999</v>
      </c>
    </row>
    <row r="2770" spans="1:40" x14ac:dyDescent="0.25">
      <c r="A2770" t="str">
        <f>"20190303170820486"</f>
        <v>20190303170820486</v>
      </c>
      <c r="B2770" t="str">
        <f>"1551604100476098"</f>
        <v>1551604100476098</v>
      </c>
      <c r="C2770" t="s">
        <v>40</v>
      </c>
      <c r="D2770">
        <v>4.6780099999999996</v>
      </c>
      <c r="E2770">
        <v>0.51983979999999996</v>
      </c>
      <c r="F2770" t="s">
        <v>63</v>
      </c>
      <c r="G2770">
        <v>-244.96080000000001</v>
      </c>
      <c r="H2770" s="1">
        <v>1.2455420000000001E-6</v>
      </c>
      <c r="I2770">
        <v>211.35730000000001</v>
      </c>
      <c r="J2770">
        <v>-284.786</v>
      </c>
      <c r="K2770">
        <v>1.121313</v>
      </c>
      <c r="L2770">
        <v>214.02699999999999</v>
      </c>
      <c r="M2770">
        <v>0.99988010000000005</v>
      </c>
      <c r="N2770">
        <v>-1.482544E-2</v>
      </c>
      <c r="O2770">
        <v>4.4954540000000003E-3</v>
      </c>
      <c r="P2770">
        <v>0.97407639999999995</v>
      </c>
      <c r="Q2770">
        <v>0.22413369999999999</v>
      </c>
      <c r="R2770">
        <v>-3.0648209999999999E-2</v>
      </c>
      <c r="S2770">
        <v>3.094055</v>
      </c>
      <c r="T2770">
        <v>-8.6395260000000001E-2</v>
      </c>
      <c r="U2770">
        <v>-0.20558170000000001</v>
      </c>
      <c r="V2770">
        <v>3.5036299999999999E-2</v>
      </c>
      <c r="W2770">
        <v>0.23854700000000001</v>
      </c>
      <c r="X2770">
        <v>0.97049870000000005</v>
      </c>
      <c r="Y2770">
        <v>7.0740819999999996E-2</v>
      </c>
      <c r="Z2770">
        <v>-1.5703119999999999E-3</v>
      </c>
      <c r="AA2770">
        <v>0.99749350000000003</v>
      </c>
      <c r="AB2770">
        <v>37</v>
      </c>
      <c r="AC2770">
        <v>39.825200000000002</v>
      </c>
      <c r="AD2770">
        <v>-1.121311754458</v>
      </c>
      <c r="AE2770">
        <v>-2.6697000000000002</v>
      </c>
      <c r="AF2770">
        <v>2.8464785775025598</v>
      </c>
      <c r="AG2770">
        <v>-1.121311754458</v>
      </c>
      <c r="AH2770">
        <v>39.781399001323301</v>
      </c>
      <c r="AI2770">
        <v>91.610444059725296</v>
      </c>
      <c r="AJ2770">
        <v>85.907290046680401</v>
      </c>
      <c r="AK2770">
        <v>39.898865733819498</v>
      </c>
      <c r="AL2770">
        <v>76.199200591092804</v>
      </c>
      <c r="AM2770">
        <v>87.932443700006701</v>
      </c>
      <c r="AN2770">
        <v>0.99999997011418895</v>
      </c>
    </row>
    <row r="2771" spans="1:40" x14ac:dyDescent="0.25">
      <c r="A2771" t="str">
        <f>"20190303170820506"</f>
        <v>20190303170820506</v>
      </c>
      <c r="B2771" t="str">
        <f>"1551604100495618"</f>
        <v>1551604100495618</v>
      </c>
      <c r="C2771" t="s">
        <v>40</v>
      </c>
      <c r="D2771">
        <v>4.86341</v>
      </c>
      <c r="E2771">
        <v>0.52016549999999995</v>
      </c>
      <c r="F2771" t="s">
        <v>63</v>
      </c>
      <c r="G2771">
        <v>-246.11330000000001</v>
      </c>
      <c r="H2771" s="1">
        <v>1.8558699999999999E-6</v>
      </c>
      <c r="I2771">
        <v>211.42529999999999</v>
      </c>
      <c r="J2771">
        <v>-284.46069999999997</v>
      </c>
      <c r="K2771">
        <v>1.121313</v>
      </c>
      <c r="L2771">
        <v>214.02850000000001</v>
      </c>
      <c r="M2771">
        <v>0.99988030000000006</v>
      </c>
      <c r="N2771">
        <v>-1.482179E-2</v>
      </c>
      <c r="O2771">
        <v>4.495481E-3</v>
      </c>
      <c r="P2771">
        <v>0.97419750000000005</v>
      </c>
      <c r="Q2771">
        <v>0.22361110000000001</v>
      </c>
      <c r="R2771">
        <v>-3.0621059999999999E-2</v>
      </c>
      <c r="S2771">
        <v>3.0939329999999998</v>
      </c>
      <c r="T2771">
        <v>-8.9708209999999997E-2</v>
      </c>
      <c r="U2771">
        <v>-0.2081451</v>
      </c>
      <c r="V2771">
        <v>3.5009810000000002E-2</v>
      </c>
      <c r="W2771">
        <v>0.23802229999999999</v>
      </c>
      <c r="X2771">
        <v>0.97062850000000001</v>
      </c>
      <c r="Y2771">
        <v>7.1562920000000002E-2</v>
      </c>
      <c r="Z2771">
        <v>-1.63085799999999E-3</v>
      </c>
      <c r="AA2771">
        <v>0.99743470000000001</v>
      </c>
      <c r="AB2771">
        <v>37</v>
      </c>
      <c r="AC2771">
        <v>38.347399999999901</v>
      </c>
      <c r="AD2771">
        <v>-1.1213111441299899</v>
      </c>
      <c r="AE2771">
        <v>-2.60320000000001</v>
      </c>
      <c r="AF2771">
        <v>2.7732222865707801</v>
      </c>
      <c r="AG2771">
        <v>-1.1213111441299899</v>
      </c>
      <c r="AH2771">
        <v>38.3027088406497</v>
      </c>
      <c r="AI2771">
        <v>91.672478561554698</v>
      </c>
      <c r="AJ2771">
        <v>85.858852851554303</v>
      </c>
      <c r="AK2771">
        <v>38.419338946216499</v>
      </c>
      <c r="AL2771">
        <v>76.230155657177704</v>
      </c>
      <c r="AM2771">
        <v>87.934281609793004</v>
      </c>
      <c r="AN2771">
        <v>0.99999999355288804</v>
      </c>
    </row>
    <row r="2772" spans="1:40" x14ac:dyDescent="0.25">
      <c r="A2772" t="str">
        <f>"20190303170820526"</f>
        <v>20190303170820526</v>
      </c>
      <c r="B2772" t="str">
        <f>"1551604100516114"</f>
        <v>1551604100516114</v>
      </c>
      <c r="C2772" t="s">
        <v>40</v>
      </c>
      <c r="D2772">
        <v>4.6515120000000003</v>
      </c>
      <c r="E2772">
        <v>0.52071210000000001</v>
      </c>
      <c r="F2772" t="s">
        <v>63</v>
      </c>
      <c r="G2772">
        <v>-246.58959999999999</v>
      </c>
      <c r="H2772" s="1">
        <v>2.1082929999999998E-6</v>
      </c>
      <c r="I2772">
        <v>211.44929999999999</v>
      </c>
      <c r="J2772">
        <v>-284.1232</v>
      </c>
      <c r="K2772">
        <v>1.121318</v>
      </c>
      <c r="L2772">
        <v>214.03</v>
      </c>
      <c r="M2772">
        <v>0.99988030000000006</v>
      </c>
      <c r="N2772">
        <v>-1.481798E-2</v>
      </c>
      <c r="O2772">
        <v>4.495509E-3</v>
      </c>
      <c r="P2772">
        <v>0.97400620000000004</v>
      </c>
      <c r="Q2772">
        <v>0.22440940000000001</v>
      </c>
      <c r="R2772">
        <v>-3.0868079999999999E-2</v>
      </c>
      <c r="S2772">
        <v>3.093842</v>
      </c>
      <c r="T2772">
        <v>-9.1604229999999995E-2</v>
      </c>
      <c r="U2772">
        <v>-0.2107086</v>
      </c>
      <c r="V2772">
        <v>3.525582E-2</v>
      </c>
      <c r="W2772">
        <v>0.2388142</v>
      </c>
      <c r="X2772">
        <v>0.97042510000000004</v>
      </c>
      <c r="Y2772">
        <v>7.2385389999999994E-2</v>
      </c>
      <c r="Z2772">
        <v>-1.673665E-3</v>
      </c>
      <c r="AA2772">
        <v>0.99737529999999996</v>
      </c>
      <c r="AB2772">
        <v>37</v>
      </c>
      <c r="AC2772">
        <v>37.5336</v>
      </c>
      <c r="AD2772">
        <v>-1.1213158917070001</v>
      </c>
      <c r="AE2772">
        <v>-2.5807000000000002</v>
      </c>
      <c r="AF2772">
        <v>2.7469848583660199</v>
      </c>
      <c r="AG2772">
        <v>-1.1213158917070001</v>
      </c>
      <c r="AH2772">
        <v>37.488316363689101</v>
      </c>
      <c r="AI2772">
        <v>91.708689221355101</v>
      </c>
      <c r="AJ2772">
        <v>85.809098311307295</v>
      </c>
      <c r="AK2772">
        <v>37.605546651061097</v>
      </c>
      <c r="AL2772">
        <v>76.183436430123194</v>
      </c>
      <c r="AM2772">
        <v>87.919343118272806</v>
      </c>
      <c r="AN2772">
        <v>1.00000003483776</v>
      </c>
    </row>
    <row r="2773" spans="1:40" x14ac:dyDescent="0.25">
      <c r="A2773" t="str">
        <f>"20190303170820550"</f>
        <v>20190303170820550</v>
      </c>
      <c r="B2773" t="str">
        <f>"1551604100535634"</f>
        <v>1551604100535634</v>
      </c>
      <c r="C2773" t="s">
        <v>40</v>
      </c>
      <c r="D2773">
        <v>4.670547</v>
      </c>
      <c r="E2773">
        <v>0.52110100000000004</v>
      </c>
      <c r="F2773" t="s">
        <v>63</v>
      </c>
      <c r="G2773">
        <v>-246.04130000000001</v>
      </c>
      <c r="H2773" s="1">
        <v>1.8196779999999999E-6</v>
      </c>
      <c r="I2773">
        <v>211.3776</v>
      </c>
      <c r="J2773">
        <v>-283.75569999999999</v>
      </c>
      <c r="K2773">
        <v>1.12131</v>
      </c>
      <c r="L2773">
        <v>214.0317</v>
      </c>
      <c r="M2773">
        <v>0.99988010000000005</v>
      </c>
      <c r="N2773">
        <v>-1.481386E-2</v>
      </c>
      <c r="O2773">
        <v>4.4957180000000001E-3</v>
      </c>
      <c r="P2773">
        <v>0.97390969999999999</v>
      </c>
      <c r="Q2773">
        <v>0.22479550000000001</v>
      </c>
      <c r="R2773">
        <v>-3.1093389999999999E-2</v>
      </c>
      <c r="S2773">
        <v>3.0942379999999998</v>
      </c>
      <c r="T2773">
        <v>-9.1109399999999993E-2</v>
      </c>
      <c r="U2773">
        <v>-0.21551509999999999</v>
      </c>
      <c r="V2773">
        <v>3.5481099999999897E-2</v>
      </c>
      <c r="W2773">
        <v>0.23919480000000001</v>
      </c>
      <c r="X2773">
        <v>0.97032309999999999</v>
      </c>
      <c r="Y2773">
        <v>7.3918299999999895E-2</v>
      </c>
      <c r="Z2773">
        <v>-1.7007630000000001E-3</v>
      </c>
      <c r="AA2773">
        <v>0.9972628</v>
      </c>
      <c r="AB2773">
        <v>37</v>
      </c>
      <c r="AC2773">
        <v>37.714399999999898</v>
      </c>
      <c r="AD2773">
        <v>-1.121308180322</v>
      </c>
      <c r="AE2773">
        <v>-2.6541000000000001</v>
      </c>
      <c r="AF2773">
        <v>2.8211635739551402</v>
      </c>
      <c r="AG2773">
        <v>-1.121308180322</v>
      </c>
      <c r="AH2773">
        <v>37.668951408105897</v>
      </c>
      <c r="AI2773">
        <v>91.700286055165193</v>
      </c>
      <c r="AJ2773">
        <v>85.716908595881193</v>
      </c>
      <c r="AK2773">
        <v>37.7910861994269</v>
      </c>
      <c r="AL2773">
        <v>76.160978161851801</v>
      </c>
      <c r="AM2773">
        <v>87.905839876817097</v>
      </c>
      <c r="AN2773">
        <v>0.99999998959892999</v>
      </c>
    </row>
    <row r="2774" spans="1:40" x14ac:dyDescent="0.25">
      <c r="A2774" t="str">
        <f>"20190303170820572"</f>
        <v>20190303170820572</v>
      </c>
      <c r="B2774" t="str">
        <f>"1551604100565889"</f>
        <v>1551604100565889</v>
      </c>
      <c r="C2774" t="s">
        <v>40</v>
      </c>
      <c r="D2774">
        <v>4.622573</v>
      </c>
      <c r="E2774">
        <v>0.52163979999999999</v>
      </c>
      <c r="F2774" t="s">
        <v>63</v>
      </c>
      <c r="G2774">
        <v>-245.7373</v>
      </c>
      <c r="H2774" s="1">
        <v>1.6595650000000001E-6</v>
      </c>
      <c r="I2774">
        <v>211.33920000000001</v>
      </c>
      <c r="J2774">
        <v>-283.37979999999999</v>
      </c>
      <c r="K2774">
        <v>1.1213139999999999</v>
      </c>
      <c r="L2774">
        <v>214.0334</v>
      </c>
      <c r="M2774">
        <v>0.99988030000000006</v>
      </c>
      <c r="N2774">
        <v>-1.4809660000000001E-2</v>
      </c>
      <c r="O2774">
        <v>4.4955709999999899E-3</v>
      </c>
      <c r="P2774">
        <v>0.97392400000000001</v>
      </c>
      <c r="Q2774">
        <v>0.2247151</v>
      </c>
      <c r="R2774">
        <v>-3.1233759999999999E-2</v>
      </c>
      <c r="S2774">
        <v>3.094452</v>
      </c>
      <c r="T2774">
        <v>-9.1267349999999997E-2</v>
      </c>
      <c r="U2774">
        <v>-0.2191467</v>
      </c>
      <c r="V2774">
        <v>3.5621189999999997E-2</v>
      </c>
      <c r="W2774">
        <v>0.2391105</v>
      </c>
      <c r="X2774">
        <v>0.97033879999999995</v>
      </c>
      <c r="Y2774">
        <v>7.5077069999999996E-2</v>
      </c>
      <c r="Z2774">
        <v>-1.7282860000000001E-3</v>
      </c>
      <c r="AA2774">
        <v>0.99717619999999896</v>
      </c>
      <c r="AB2774">
        <v>37</v>
      </c>
      <c r="AC2774">
        <v>37.642499999999899</v>
      </c>
      <c r="AD2774">
        <v>-1.1213123404349901</v>
      </c>
      <c r="AE2774">
        <v>-2.6941999999999902</v>
      </c>
      <c r="AF2774">
        <v>2.86089016788398</v>
      </c>
      <c r="AG2774">
        <v>-1.1213123404349901</v>
      </c>
      <c r="AH2774">
        <v>37.596814635670597</v>
      </c>
      <c r="AI2774">
        <v>91.703399378023093</v>
      </c>
      <c r="AJ2774">
        <v>85.648523605434306</v>
      </c>
      <c r="AK2774">
        <v>37.722175237736202</v>
      </c>
      <c r="AL2774">
        <v>76.165953304518595</v>
      </c>
      <c r="AM2774">
        <v>87.897612897937805</v>
      </c>
      <c r="AN2774">
        <v>1.0000000435863501</v>
      </c>
    </row>
    <row r="2775" spans="1:40" x14ac:dyDescent="0.25">
      <c r="A2775" t="str">
        <f>"20190303170820595"</f>
        <v>20190303170820595</v>
      </c>
      <c r="B2775" t="str">
        <f>"1551604100585410"</f>
        <v>1551604100585410</v>
      </c>
      <c r="C2775" t="s">
        <v>40</v>
      </c>
      <c r="D2775">
        <v>4.7598570000000002</v>
      </c>
      <c r="E2775">
        <v>0.52183199999999996</v>
      </c>
      <c r="F2775" t="s">
        <v>63</v>
      </c>
      <c r="G2775">
        <v>-246.35310000000001</v>
      </c>
      <c r="H2775" s="1">
        <v>1.9864390000000002E-6</v>
      </c>
      <c r="I2775">
        <v>211.3579</v>
      </c>
      <c r="J2775">
        <v>-283.0147</v>
      </c>
      <c r="K2775">
        <v>1.1213169999999999</v>
      </c>
      <c r="L2775">
        <v>214.035</v>
      </c>
      <c r="M2775">
        <v>0.9998804</v>
      </c>
      <c r="N2775">
        <v>-1.48056E-2</v>
      </c>
      <c r="O2775">
        <v>4.4956010000000001E-3</v>
      </c>
      <c r="P2775">
        <v>0.97390010000000005</v>
      </c>
      <c r="Q2775">
        <v>0.22488250000000001</v>
      </c>
      <c r="R2775">
        <v>-3.0766959999999999E-2</v>
      </c>
      <c r="S2775">
        <v>3.094757</v>
      </c>
      <c r="T2775">
        <v>-9.3721269999999995E-2</v>
      </c>
      <c r="U2775">
        <v>-0.2236176</v>
      </c>
      <c r="V2775">
        <v>3.5154489999999997E-2</v>
      </c>
      <c r="W2775">
        <v>0.2392735</v>
      </c>
      <c r="X2775">
        <v>0.97031559999999994</v>
      </c>
      <c r="Y2775">
        <v>7.6500120000000005E-2</v>
      </c>
      <c r="Z2775">
        <v>-1.7933389999999999E-3</v>
      </c>
      <c r="AA2775">
        <v>0.99706799999999995</v>
      </c>
      <c r="AB2775">
        <v>37</v>
      </c>
      <c r="AC2775">
        <v>36.6615999999999</v>
      </c>
      <c r="AD2775">
        <v>-1.1213150135609999</v>
      </c>
      <c r="AE2775">
        <v>-2.67709999999999</v>
      </c>
      <c r="AF2775">
        <v>2.8392649397460401</v>
      </c>
      <c r="AG2775">
        <v>-1.1213150135609999</v>
      </c>
      <c r="AH2775">
        <v>36.615122073270001</v>
      </c>
      <c r="AI2775">
        <v>91.748852111345201</v>
      </c>
      <c r="AJ2775">
        <v>85.565957461702695</v>
      </c>
      <c r="AK2775">
        <v>36.742154770755803</v>
      </c>
      <c r="AL2775">
        <v>76.1563343445588</v>
      </c>
      <c r="AM2775">
        <v>87.925084051455499</v>
      </c>
      <c r="AN2775">
        <v>1.00000000478638</v>
      </c>
    </row>
    <row r="2776" spans="1:40" x14ac:dyDescent="0.25">
      <c r="A2776" t="str">
        <f>"20190303170820615"</f>
        <v>20190303170820615</v>
      </c>
      <c r="B2776" t="str">
        <f>"1551604100605906"</f>
        <v>1551604100605906</v>
      </c>
      <c r="C2776" t="s">
        <v>40</v>
      </c>
      <c r="D2776">
        <v>4.7564250000000001</v>
      </c>
      <c r="E2776">
        <v>0.52192769999999999</v>
      </c>
      <c r="F2776" t="s">
        <v>63</v>
      </c>
      <c r="G2776">
        <v>-245.9179</v>
      </c>
      <c r="H2776" s="1">
        <v>1.755009E-6</v>
      </c>
      <c r="I2776">
        <v>211.35480000000001</v>
      </c>
      <c r="J2776">
        <v>-282.67329999999998</v>
      </c>
      <c r="K2776">
        <v>1.1213219999999999</v>
      </c>
      <c r="L2776">
        <v>214.03649999999999</v>
      </c>
      <c r="M2776">
        <v>0.9998804</v>
      </c>
      <c r="N2776">
        <v>-1.480181E-2</v>
      </c>
      <c r="O2776">
        <v>4.4956299999999996E-3</v>
      </c>
      <c r="P2776">
        <v>0.9739681</v>
      </c>
      <c r="Q2776">
        <v>0.2245936</v>
      </c>
      <c r="R2776">
        <v>-3.0720190000000001E-2</v>
      </c>
      <c r="S2776">
        <v>3.0949399999999998</v>
      </c>
      <c r="T2776">
        <v>-9.3550090000000002E-2</v>
      </c>
      <c r="U2776">
        <v>-0.2236023</v>
      </c>
      <c r="V2776">
        <v>3.5108019999999997E-2</v>
      </c>
      <c r="W2776">
        <v>0.23898220000000001</v>
      </c>
      <c r="X2776">
        <v>0.9703891</v>
      </c>
      <c r="Y2776">
        <v>7.6491180000000006E-2</v>
      </c>
      <c r="Z2776">
        <v>-1.7905740000000001E-3</v>
      </c>
      <c r="AA2776">
        <v>0.99706859999999997</v>
      </c>
      <c r="AB2776">
        <v>37</v>
      </c>
      <c r="AC2776">
        <v>36.755399999999902</v>
      </c>
      <c r="AD2776">
        <v>-1.121320244991</v>
      </c>
      <c r="AE2776">
        <v>-2.68169999999997</v>
      </c>
      <c r="AF2776">
        <v>2.8442964539235902</v>
      </c>
      <c r="AG2776">
        <v>-1.121320244991</v>
      </c>
      <c r="AH2776">
        <v>36.708986520805297</v>
      </c>
      <c r="AI2776">
        <v>91.744399438926905</v>
      </c>
      <c r="AJ2776">
        <v>85.569443757014994</v>
      </c>
      <c r="AK2776">
        <v>36.8360838417209</v>
      </c>
      <c r="AL2776">
        <v>76.173523717989795</v>
      </c>
      <c r="AM2776">
        <v>87.9279812632589</v>
      </c>
      <c r="AN2776">
        <v>1.00000003519198</v>
      </c>
    </row>
    <row r="2777" spans="1:40" x14ac:dyDescent="0.25">
      <c r="A2777" t="str">
        <f>"20190303170820639"</f>
        <v>20190303170820639</v>
      </c>
      <c r="B2777" t="str">
        <f>"1551604100625425"</f>
        <v>1551604100625425</v>
      </c>
      <c r="C2777" t="s">
        <v>40</v>
      </c>
      <c r="D2777">
        <v>4.7565169999999997</v>
      </c>
      <c r="E2777">
        <v>0.5220513</v>
      </c>
      <c r="F2777" t="s">
        <v>63</v>
      </c>
      <c r="G2777">
        <v>-245.77680000000001</v>
      </c>
      <c r="H2777" s="1">
        <v>1.679669E-6</v>
      </c>
      <c r="I2777">
        <v>211.3605</v>
      </c>
      <c r="J2777">
        <v>-282.29079999999999</v>
      </c>
      <c r="K2777">
        <v>1.1213109999999999</v>
      </c>
      <c r="L2777">
        <v>214.03829999999999</v>
      </c>
      <c r="M2777">
        <v>0.9998804</v>
      </c>
      <c r="N2777">
        <v>-1.4797619999999999E-2</v>
      </c>
      <c r="O2777">
        <v>4.4956609999999998E-3</v>
      </c>
      <c r="P2777">
        <v>0.97396419999999995</v>
      </c>
      <c r="Q2777">
        <v>0.22454940000000001</v>
      </c>
      <c r="R2777">
        <v>-3.117404E-2</v>
      </c>
      <c r="S2777">
        <v>3.0947879999999999</v>
      </c>
      <c r="T2777">
        <v>-9.4053750000000005E-2</v>
      </c>
      <c r="U2777">
        <v>-0.22445680000000001</v>
      </c>
      <c r="V2777">
        <v>3.5561759999999998E-2</v>
      </c>
      <c r="W2777">
        <v>0.2389336</v>
      </c>
      <c r="X2777">
        <v>0.97038449999999998</v>
      </c>
      <c r="Y2777">
        <v>7.6767950000000001E-2</v>
      </c>
      <c r="Z2777">
        <v>-1.8036829999999999E-3</v>
      </c>
      <c r="AA2777">
        <v>0.99704740000000003</v>
      </c>
      <c r="AB2777">
        <v>36</v>
      </c>
      <c r="AC2777">
        <v>36.513999999999903</v>
      </c>
      <c r="AD2777">
        <v>-1.1213093203309901</v>
      </c>
      <c r="AE2777">
        <v>-2.6777999999999902</v>
      </c>
      <c r="AF2777">
        <v>2.8392822299125902</v>
      </c>
      <c r="AG2777">
        <v>-1.1213093203309901</v>
      </c>
      <c r="AH2777">
        <v>36.467384740240497</v>
      </c>
      <c r="AI2777">
        <v>91.755881115729295</v>
      </c>
      <c r="AJ2777">
        <v>85.548039255386001</v>
      </c>
      <c r="AK2777">
        <v>36.594931451851103</v>
      </c>
      <c r="AL2777">
        <v>76.176390744547305</v>
      </c>
      <c r="AM2777">
        <v>87.901216115527504</v>
      </c>
      <c r="AN2777">
        <v>0.99999999091175296</v>
      </c>
    </row>
    <row r="2778" spans="1:40" x14ac:dyDescent="0.25">
      <c r="A2778" t="str">
        <f>"20190303170820665"</f>
        <v>20190303170820665</v>
      </c>
      <c r="B2778" t="str">
        <f>"1551604100655682"</f>
        <v>1551604100655682</v>
      </c>
      <c r="C2778" t="s">
        <v>40</v>
      </c>
      <c r="D2778">
        <v>5.9721000000000002</v>
      </c>
      <c r="E2778">
        <v>0.52227009999999996</v>
      </c>
      <c r="F2778" t="s">
        <v>63</v>
      </c>
      <c r="G2778">
        <v>-245.423</v>
      </c>
      <c r="H2778" s="1">
        <v>1.492664E-6</v>
      </c>
      <c r="I2778">
        <v>211.33170000000001</v>
      </c>
      <c r="J2778">
        <v>-281.86689999999999</v>
      </c>
      <c r="K2778">
        <v>1.1213120000000001</v>
      </c>
      <c r="L2778">
        <v>214.0402</v>
      </c>
      <c r="M2778">
        <v>0.99988049999999995</v>
      </c>
      <c r="N2778">
        <v>-1.479311E-2</v>
      </c>
      <c r="O2778">
        <v>4.4956950000000001E-3</v>
      </c>
      <c r="P2778">
        <v>0.97390089999999996</v>
      </c>
      <c r="Q2778">
        <v>0.22465979999999999</v>
      </c>
      <c r="R2778">
        <v>-3.232989E-2</v>
      </c>
      <c r="S2778">
        <v>3.0946349999999998</v>
      </c>
      <c r="T2778">
        <v>-9.4121339999999998E-2</v>
      </c>
      <c r="U2778">
        <v>-0.2271881</v>
      </c>
      <c r="V2778">
        <v>3.6717430000000002E-2</v>
      </c>
      <c r="W2778">
        <v>0.2390388</v>
      </c>
      <c r="X2778">
        <v>0.97031559999999994</v>
      </c>
      <c r="Y2778">
        <v>7.764617E-2</v>
      </c>
      <c r="Z2778">
        <v>-1.82435E-3</v>
      </c>
      <c r="AA2778">
        <v>0.99697930000000001</v>
      </c>
      <c r="AB2778">
        <v>36</v>
      </c>
      <c r="AC2778">
        <v>36.4438999999999</v>
      </c>
      <c r="AD2778">
        <v>-1.1213105073359999</v>
      </c>
      <c r="AE2778">
        <v>-2.7084999999999799</v>
      </c>
      <c r="AF2778">
        <v>2.86962951543555</v>
      </c>
      <c r="AG2778">
        <v>-1.1213105073359999</v>
      </c>
      <c r="AH2778">
        <v>36.397086671979402</v>
      </c>
      <c r="AI2778">
        <v>91.759137453640903</v>
      </c>
      <c r="AJ2778">
        <v>85.491995079724006</v>
      </c>
      <c r="AK2778">
        <v>36.527250499008296</v>
      </c>
      <c r="AL2778">
        <v>76.170184057445198</v>
      </c>
      <c r="AM2778">
        <v>87.8329210617417</v>
      </c>
      <c r="AN2778">
        <v>1.0000000405873</v>
      </c>
    </row>
    <row r="2779" spans="1:40" x14ac:dyDescent="0.25">
      <c r="A2779" t="str">
        <f>"20190303170820683"</f>
        <v>20190303170820683</v>
      </c>
      <c r="B2779" t="str">
        <f>"1551604100676178"</f>
        <v>1551604100676178</v>
      </c>
      <c r="C2779" t="s">
        <v>40</v>
      </c>
      <c r="D2779">
        <v>4.54291</v>
      </c>
      <c r="E2779">
        <v>0.52241499999999996</v>
      </c>
      <c r="F2779" t="s">
        <v>63</v>
      </c>
      <c r="G2779">
        <v>-244.78829999999999</v>
      </c>
      <c r="H2779" s="1">
        <v>1.158347E-6</v>
      </c>
      <c r="I2779">
        <v>211.25280000000001</v>
      </c>
      <c r="J2779">
        <v>-281.55970000000002</v>
      </c>
      <c r="K2779">
        <v>1.1213169999999999</v>
      </c>
      <c r="L2779">
        <v>214.04150000000001</v>
      </c>
      <c r="M2779">
        <v>0.99988060000000001</v>
      </c>
      <c r="N2779">
        <v>-1.478986E-2</v>
      </c>
      <c r="O2779">
        <v>4.4957189999999996E-3</v>
      </c>
      <c r="P2779">
        <v>0.97390350000000003</v>
      </c>
      <c r="Q2779">
        <v>0.22453010000000001</v>
      </c>
      <c r="R2779">
        <v>-3.314214E-2</v>
      </c>
      <c r="S2779">
        <v>3.0942080000000001</v>
      </c>
      <c r="T2779">
        <v>-9.3573329999999996E-2</v>
      </c>
      <c r="U2779">
        <v>-0.23260500000000001</v>
      </c>
      <c r="V2779">
        <v>3.7529680000000003E-2</v>
      </c>
      <c r="W2779">
        <v>0.2389058</v>
      </c>
      <c r="X2779">
        <v>0.97031719999999999</v>
      </c>
      <c r="Y2779">
        <v>7.9391260000000005E-2</v>
      </c>
      <c r="Z2779">
        <v>-1.8559900000000001E-3</v>
      </c>
      <c r="AA2779">
        <v>0.9968418</v>
      </c>
      <c r="AB2779">
        <v>36</v>
      </c>
      <c r="AC2779">
        <v>36.7714</v>
      </c>
      <c r="AD2779">
        <v>-1.12131584165299</v>
      </c>
      <c r="AE2779">
        <v>-2.7887</v>
      </c>
      <c r="AF2779">
        <v>2.9512750707327702</v>
      </c>
      <c r="AG2779">
        <v>-1.12131584165299</v>
      </c>
      <c r="AH2779">
        <v>36.724534931594597</v>
      </c>
      <c r="AI2779">
        <v>91.7432608973984</v>
      </c>
      <c r="AJ2779">
        <v>85.405442266474907</v>
      </c>
      <c r="AK2779">
        <v>36.859989686675</v>
      </c>
      <c r="AL2779">
        <v>76.178030684196699</v>
      </c>
      <c r="AM2779">
        <v>87.785032589504198</v>
      </c>
      <c r="AN2779">
        <v>0.99999996338519004</v>
      </c>
    </row>
    <row r="2780" spans="1:40" x14ac:dyDescent="0.25">
      <c r="A2780" t="str">
        <f>"20190303170820705"</f>
        <v>20190303170820705</v>
      </c>
      <c r="B2780" t="str">
        <f>"1551604100695698"</f>
        <v>1551604100695698</v>
      </c>
      <c r="C2780" t="s">
        <v>40</v>
      </c>
      <c r="D2780">
        <v>4.5282629999999999</v>
      </c>
      <c r="E2780">
        <v>0.52259690000000003</v>
      </c>
      <c r="F2780" t="s">
        <v>63</v>
      </c>
      <c r="G2780">
        <v>-244.4502</v>
      </c>
      <c r="H2780" s="1">
        <v>9.8047529999999995E-7</v>
      </c>
      <c r="I2780">
        <v>211.2055</v>
      </c>
      <c r="J2780">
        <v>-281.2097</v>
      </c>
      <c r="K2780">
        <v>1.121318</v>
      </c>
      <c r="L2780">
        <v>214.04310000000001</v>
      </c>
      <c r="M2780">
        <v>0.99988069999999896</v>
      </c>
      <c r="N2780">
        <v>-1.478615E-2</v>
      </c>
      <c r="O2780">
        <v>4.4955680000000001E-3</v>
      </c>
      <c r="P2780">
        <v>0.97407779999999999</v>
      </c>
      <c r="Q2780">
        <v>0.22383159999999999</v>
      </c>
      <c r="R2780">
        <v>-3.2747279999999997E-2</v>
      </c>
      <c r="S2780">
        <v>3.0939030000000001</v>
      </c>
      <c r="T2780">
        <v>-9.3486669999999994E-2</v>
      </c>
      <c r="U2780">
        <v>-0.2364502</v>
      </c>
      <c r="V2780">
        <v>3.7135389999999997E-2</v>
      </c>
      <c r="W2780">
        <v>0.23820659999999999</v>
      </c>
      <c r="X2780">
        <v>0.97050429999999999</v>
      </c>
      <c r="Y2780">
        <v>8.0629450000000005E-2</v>
      </c>
      <c r="Z2780">
        <v>-1.8825669999999999E-3</v>
      </c>
      <c r="AA2780">
        <v>0.99674240000000003</v>
      </c>
      <c r="AB2780">
        <v>36</v>
      </c>
      <c r="AC2780">
        <v>36.759500000000003</v>
      </c>
      <c r="AD2780">
        <v>-1.1213170195247</v>
      </c>
      <c r="AE2780">
        <v>-2.8376000000000001</v>
      </c>
      <c r="AF2780">
        <v>3.00006916172525</v>
      </c>
      <c r="AG2780">
        <v>-1.1213170195247</v>
      </c>
      <c r="AH2780">
        <v>36.7124117995102</v>
      </c>
      <c r="AI2780">
        <v>91.743647829542297</v>
      </c>
      <c r="AJ2780">
        <v>85.328277356146401</v>
      </c>
      <c r="AK2780">
        <v>36.851851337079701</v>
      </c>
      <c r="AL2780">
        <v>76.219283540763996</v>
      </c>
      <c r="AM2780">
        <v>87.808702532151699</v>
      </c>
      <c r="AN2780">
        <v>1.00000000889625</v>
      </c>
    </row>
    <row r="2781" spans="1:40" x14ac:dyDescent="0.25">
      <c r="A2781" t="str">
        <f>"20190303170820727"</f>
        <v>20190303170820727</v>
      </c>
      <c r="B2781" t="str">
        <f>"1551604100716194"</f>
        <v>1551604100716194</v>
      </c>
      <c r="C2781" t="s">
        <v>40</v>
      </c>
      <c r="D2781">
        <v>4.5378100000000003</v>
      </c>
      <c r="E2781">
        <v>0.52270810000000001</v>
      </c>
      <c r="F2781" t="s">
        <v>63</v>
      </c>
      <c r="G2781">
        <v>-244.73660000000001</v>
      </c>
      <c r="H2781" s="1">
        <v>1.130958E-6</v>
      </c>
      <c r="I2781">
        <v>211.24979999999999</v>
      </c>
      <c r="J2781">
        <v>-280.85579999999999</v>
      </c>
      <c r="K2781">
        <v>1.121318</v>
      </c>
      <c r="L2781">
        <v>214.04470000000001</v>
      </c>
      <c r="M2781">
        <v>0.99988060000000001</v>
      </c>
      <c r="N2781">
        <v>-1.4782109999999999E-2</v>
      </c>
      <c r="O2781">
        <v>4.4959550000000003E-3</v>
      </c>
      <c r="P2781">
        <v>0.97411579999999998</v>
      </c>
      <c r="Q2781">
        <v>0.22366249999999999</v>
      </c>
      <c r="R2781">
        <v>-3.2764670000000003E-2</v>
      </c>
      <c r="S2781">
        <v>3.09375</v>
      </c>
      <c r="T2781">
        <v>-9.5113279999999994E-2</v>
      </c>
      <c r="U2781">
        <v>-0.2369385</v>
      </c>
      <c r="V2781">
        <v>3.7153400000000003E-2</v>
      </c>
      <c r="W2781">
        <v>0.2380343</v>
      </c>
      <c r="X2781">
        <v>0.97054589999999996</v>
      </c>
      <c r="Y2781">
        <v>8.0788230000000003E-2</v>
      </c>
      <c r="Z2781">
        <v>-1.909619E-3</v>
      </c>
      <c r="AA2781">
        <v>0.99672939999999999</v>
      </c>
      <c r="AB2781">
        <v>36</v>
      </c>
      <c r="AC2781">
        <v>36.1191999999999</v>
      </c>
      <c r="AD2781">
        <v>-1.1213168690419999</v>
      </c>
      <c r="AE2781">
        <v>-2.7949000000000099</v>
      </c>
      <c r="AF2781">
        <v>2.9544492861048202</v>
      </c>
      <c r="AG2781">
        <v>-1.1213168690419999</v>
      </c>
      <c r="AH2781">
        <v>36.071709277872799</v>
      </c>
      <c r="AI2781">
        <v>91.774571562262395</v>
      </c>
      <c r="AJ2781">
        <v>85.317647347799394</v>
      </c>
      <c r="AK2781">
        <v>36.209865124470397</v>
      </c>
      <c r="AL2781">
        <v>76.229448182963495</v>
      </c>
      <c r="AM2781">
        <v>87.807734707090205</v>
      </c>
      <c r="AN2781">
        <v>1.00000002355742</v>
      </c>
    </row>
    <row r="2782" spans="1:40" x14ac:dyDescent="0.25">
      <c r="A2782" t="str">
        <f>"20190303170820750"</f>
        <v>20190303170820750</v>
      </c>
      <c r="B2782" t="str">
        <f>"1551604100735714"</f>
        <v>1551604100735714</v>
      </c>
      <c r="C2782" t="s">
        <v>40</v>
      </c>
      <c r="D2782">
        <v>4.534643</v>
      </c>
      <c r="E2782">
        <v>0.52289739999999996</v>
      </c>
      <c r="F2782" t="s">
        <v>63</v>
      </c>
      <c r="G2782">
        <v>-244.38329999999999</v>
      </c>
      <c r="H2782" s="1">
        <v>9.4352460000000003E-7</v>
      </c>
      <c r="I2782">
        <v>211.23599999999999</v>
      </c>
      <c r="J2782">
        <v>-280.49250000000001</v>
      </c>
      <c r="K2782">
        <v>1.1213249999999999</v>
      </c>
      <c r="L2782">
        <v>214.0463</v>
      </c>
      <c r="M2782">
        <v>0.99988080000000001</v>
      </c>
      <c r="N2782">
        <v>-1.477824E-2</v>
      </c>
      <c r="O2782">
        <v>4.4958050000000003E-3</v>
      </c>
      <c r="P2782">
        <v>0.97403329999999999</v>
      </c>
      <c r="Q2782">
        <v>0.2238655</v>
      </c>
      <c r="R2782">
        <v>-3.3819429999999998E-2</v>
      </c>
      <c r="S2782">
        <v>3.0935670000000002</v>
      </c>
      <c r="T2782">
        <v>-9.5108990000000004E-2</v>
      </c>
      <c r="U2782">
        <v>-0.23823549999999999</v>
      </c>
      <c r="V2782">
        <v>3.8207570000000003E-2</v>
      </c>
      <c r="W2782">
        <v>0.23823159999999999</v>
      </c>
      <c r="X2782">
        <v>0.97045650000000006</v>
      </c>
      <c r="Y2782">
        <v>8.1207730000000006E-2</v>
      </c>
      <c r="Z2782">
        <v>-1.9190279999999999E-3</v>
      </c>
      <c r="AA2782">
        <v>0.99669529999999995</v>
      </c>
      <c r="AB2782">
        <v>36</v>
      </c>
      <c r="AC2782">
        <v>36.109200000000001</v>
      </c>
      <c r="AD2782">
        <v>-1.1213240564753999</v>
      </c>
      <c r="AE2782">
        <v>-2.81030000000001</v>
      </c>
      <c r="AF2782">
        <v>2.9697826125687601</v>
      </c>
      <c r="AG2782">
        <v>-1.1213240564753999</v>
      </c>
      <c r="AH2782">
        <v>36.061633043000697</v>
      </c>
      <c r="AI2782">
        <v>91.775013617596201</v>
      </c>
      <c r="AJ2782">
        <v>85.292146070423698</v>
      </c>
      <c r="AK2782">
        <v>36.201082223237201</v>
      </c>
      <c r="AL2782">
        <v>76.217808084760506</v>
      </c>
      <c r="AM2782">
        <v>87.745388416273499</v>
      </c>
      <c r="AN2782">
        <v>0.99999996601805596</v>
      </c>
    </row>
    <row r="2783" spans="1:40" x14ac:dyDescent="0.25">
      <c r="A2783" t="str">
        <f>"20190303170820773"</f>
        <v>20190303170820773</v>
      </c>
      <c r="B2783" t="str">
        <f>"1551604100765970"</f>
        <v>1551604100765970</v>
      </c>
      <c r="C2783" t="s">
        <v>40</v>
      </c>
      <c r="D2783">
        <v>4.4885999999999999</v>
      </c>
      <c r="E2783">
        <v>0.52328920000000001</v>
      </c>
      <c r="F2783" t="s">
        <v>63</v>
      </c>
      <c r="G2783">
        <v>-243.7448</v>
      </c>
      <c r="H2783" s="1">
        <v>6.0727549999999995E-7</v>
      </c>
      <c r="I2783">
        <v>211.15520000000001</v>
      </c>
      <c r="J2783">
        <v>-280.11349999999999</v>
      </c>
      <c r="K2783">
        <v>1.121321</v>
      </c>
      <c r="L2783">
        <v>214.048</v>
      </c>
      <c r="M2783">
        <v>0.99988069999999896</v>
      </c>
      <c r="N2783">
        <v>-1.477447E-2</v>
      </c>
      <c r="O2783">
        <v>4.4960119999999998E-3</v>
      </c>
      <c r="P2783">
        <v>0.97413019999999995</v>
      </c>
      <c r="Q2783">
        <v>0.22334780000000001</v>
      </c>
      <c r="R2783">
        <v>-3.4440310000000002E-2</v>
      </c>
      <c r="S2783">
        <v>3.0932309999999998</v>
      </c>
      <c r="T2783">
        <v>-9.4387170000000006E-2</v>
      </c>
      <c r="U2783">
        <v>-0.24336240000000001</v>
      </c>
      <c r="V2783">
        <v>3.882919E-2</v>
      </c>
      <c r="W2783">
        <v>0.23771200000000001</v>
      </c>
      <c r="X2783">
        <v>0.97055930000000001</v>
      </c>
      <c r="Y2783">
        <v>8.2857749999999994E-2</v>
      </c>
      <c r="Z2783">
        <v>-1.9458380000000001E-3</v>
      </c>
      <c r="AA2783">
        <v>0.99655950000000004</v>
      </c>
      <c r="AB2783">
        <v>36</v>
      </c>
      <c r="AC2783">
        <v>36.368699999999897</v>
      </c>
      <c r="AD2783">
        <v>-1.1213203927244999</v>
      </c>
      <c r="AE2783">
        <v>-2.89279999999999</v>
      </c>
      <c r="AF2783">
        <v>3.0534183523554801</v>
      </c>
      <c r="AG2783">
        <v>-1.1213203927244999</v>
      </c>
      <c r="AH2783">
        <v>36.321014685861002</v>
      </c>
      <c r="AI2783">
        <v>91.762090336001805</v>
      </c>
      <c r="AJ2783">
        <v>85.194584032577296</v>
      </c>
      <c r="AK2783">
        <v>36.4663794592797</v>
      </c>
      <c r="AL2783">
        <v>76.248460393318297</v>
      </c>
      <c r="AM2783">
        <v>87.708988108153903</v>
      </c>
      <c r="AN2783">
        <v>1.0000000278782699</v>
      </c>
    </row>
    <row r="2784" spans="1:40" x14ac:dyDescent="0.25">
      <c r="A2784" t="str">
        <f>"20190303170820794"</f>
        <v>20190303170820794</v>
      </c>
      <c r="B2784" t="str">
        <f>"1551604100785490"</f>
        <v>1551604100785490</v>
      </c>
      <c r="C2784" t="s">
        <v>40</v>
      </c>
      <c r="D2784">
        <v>4.4879670000000003</v>
      </c>
      <c r="E2784">
        <v>0.52340059999999999</v>
      </c>
      <c r="F2784" t="s">
        <v>63</v>
      </c>
      <c r="G2784">
        <v>-243.9692</v>
      </c>
      <c r="H2784" s="1">
        <v>7.2731060000000002E-7</v>
      </c>
      <c r="I2784">
        <v>211.14160000000001</v>
      </c>
      <c r="J2784">
        <v>-279.76870000000002</v>
      </c>
      <c r="K2784">
        <v>1.121321</v>
      </c>
      <c r="L2784">
        <v>214.0496</v>
      </c>
      <c r="M2784">
        <v>0.99988100000000002</v>
      </c>
      <c r="N2784">
        <v>-1.477112E-2</v>
      </c>
      <c r="O2784">
        <v>4.4958589999999996E-3</v>
      </c>
      <c r="P2784">
        <v>0.97414889999999998</v>
      </c>
      <c r="Q2784">
        <v>0.22323660000000001</v>
      </c>
      <c r="R2784">
        <v>-3.4638639999999998E-2</v>
      </c>
      <c r="S2784">
        <v>3.0928650000000002</v>
      </c>
      <c r="T2784">
        <v>-9.5951439999999999E-2</v>
      </c>
      <c r="U2784">
        <v>-0.24870300000000001</v>
      </c>
      <c r="V2784">
        <v>3.9027310000000003E-2</v>
      </c>
      <c r="W2784">
        <v>0.23759759999999999</v>
      </c>
      <c r="X2784">
        <v>0.97057930000000003</v>
      </c>
      <c r="Y2784">
        <v>8.4573839999999997E-2</v>
      </c>
      <c r="Z2784">
        <v>-2.0082770000000002E-3</v>
      </c>
      <c r="AA2784">
        <v>0.99641519999999995</v>
      </c>
      <c r="AB2784">
        <v>36</v>
      </c>
      <c r="AC2784">
        <v>35.799500000000002</v>
      </c>
      <c r="AD2784">
        <v>-1.1213202726893901</v>
      </c>
      <c r="AE2784">
        <v>-2.9079999999999799</v>
      </c>
      <c r="AF2784">
        <v>3.06594940526475</v>
      </c>
      <c r="AG2784">
        <v>-1.1213202726893901</v>
      </c>
      <c r="AH2784">
        <v>35.7512177677119</v>
      </c>
      <c r="AI2784">
        <v>91.789900991741106</v>
      </c>
      <c r="AJ2784">
        <v>85.098426791518506</v>
      </c>
      <c r="AK2784">
        <v>35.899957893902098</v>
      </c>
      <c r="AL2784">
        <v>76.255207466825794</v>
      </c>
      <c r="AM2784">
        <v>87.697358520587699</v>
      </c>
      <c r="AN2784">
        <v>0.99999996402004199</v>
      </c>
    </row>
    <row r="2785" spans="1:40" x14ac:dyDescent="0.25">
      <c r="A2785" t="str">
        <f>"20190303170820818"</f>
        <v>20190303170820818</v>
      </c>
      <c r="B2785" t="str">
        <f>"1551604100805986"</f>
        <v>1551604100805986</v>
      </c>
      <c r="C2785" t="s">
        <v>40</v>
      </c>
      <c r="D2785">
        <v>4.4842969999999998</v>
      </c>
      <c r="E2785">
        <v>0.52341090000000001</v>
      </c>
      <c r="F2785" t="s">
        <v>63</v>
      </c>
      <c r="G2785">
        <v>-243.34899999999999</v>
      </c>
      <c r="H2785" s="1">
        <v>3.9961049999999998E-7</v>
      </c>
      <c r="I2785">
        <v>211.0881</v>
      </c>
      <c r="J2785">
        <v>-279.39319999999998</v>
      </c>
      <c r="K2785">
        <v>1.121319</v>
      </c>
      <c r="L2785">
        <v>214.0513</v>
      </c>
      <c r="M2785">
        <v>0.99988089999999996</v>
      </c>
      <c r="N2785">
        <v>-1.476742E-2</v>
      </c>
      <c r="O2785">
        <v>4.4960649999999996E-3</v>
      </c>
      <c r="P2785">
        <v>0.97397860000000003</v>
      </c>
      <c r="Q2785">
        <v>0.2236996</v>
      </c>
      <c r="R2785">
        <v>-3.6396329999999998E-2</v>
      </c>
      <c r="S2785">
        <v>3.0924990000000001</v>
      </c>
      <c r="T2785">
        <v>-9.5214489999999999E-2</v>
      </c>
      <c r="U2785">
        <v>-0.25146479999999999</v>
      </c>
      <c r="V2785">
        <v>4.0784189999999998E-2</v>
      </c>
      <c r="W2785">
        <v>0.23805419999999999</v>
      </c>
      <c r="X2785">
        <v>0.97039520000000001</v>
      </c>
      <c r="Y2785">
        <v>8.5467669999999996E-2</v>
      </c>
      <c r="Z2785">
        <v>-2.017507E-3</v>
      </c>
      <c r="AA2785">
        <v>0.99633890000000003</v>
      </c>
      <c r="AB2785">
        <v>36</v>
      </c>
      <c r="AC2785">
        <v>36.044199999999897</v>
      </c>
      <c r="AD2785">
        <v>-1.1213186003894999</v>
      </c>
      <c r="AE2785">
        <v>-2.9632000000000001</v>
      </c>
      <c r="AF2785">
        <v>3.12224334083432</v>
      </c>
      <c r="AG2785">
        <v>-1.1213186003894999</v>
      </c>
      <c r="AH2785">
        <v>35.995908310025101</v>
      </c>
      <c r="AI2785">
        <v>91.777589717005</v>
      </c>
      <c r="AJ2785">
        <v>85.042638134193297</v>
      </c>
      <c r="AK2785">
        <v>36.148460187768698</v>
      </c>
      <c r="AL2785">
        <v>76.228273895934393</v>
      </c>
      <c r="AM2785">
        <v>87.593364500168605</v>
      </c>
      <c r="AN2785">
        <v>0.999999998237318</v>
      </c>
    </row>
    <row r="2786" spans="1:40" x14ac:dyDescent="0.25">
      <c r="A2786" t="str">
        <f>"20190303170820845"</f>
        <v>20190303170820845</v>
      </c>
      <c r="B2786" t="str">
        <f>"1551604100836243"</f>
        <v>1551604100836243</v>
      </c>
      <c r="C2786" t="s">
        <v>40</v>
      </c>
      <c r="D2786">
        <v>4.5380539999999998</v>
      </c>
      <c r="E2786">
        <v>0.49612879999999998</v>
      </c>
      <c r="F2786" t="s">
        <v>63</v>
      </c>
      <c r="G2786">
        <v>-242.3038</v>
      </c>
      <c r="H2786" s="1">
        <v>-1.5121069999999999E-7</v>
      </c>
      <c r="I2786">
        <v>210.9648</v>
      </c>
      <c r="J2786">
        <v>-278.96780000000001</v>
      </c>
      <c r="K2786">
        <v>1.1213249999999999</v>
      </c>
      <c r="L2786">
        <v>214.0532</v>
      </c>
      <c r="M2786">
        <v>0.99988089999999996</v>
      </c>
      <c r="N2786">
        <v>-1.476323E-2</v>
      </c>
      <c r="O2786">
        <v>4.4962149999999996E-3</v>
      </c>
      <c r="P2786">
        <v>0.97411499999999995</v>
      </c>
      <c r="Q2786">
        <v>0.2229701</v>
      </c>
      <c r="R2786">
        <v>-3.7211559999999998E-2</v>
      </c>
      <c r="S2786">
        <v>3.0920100000000001</v>
      </c>
      <c r="T2786">
        <v>-9.3480229999999997E-2</v>
      </c>
      <c r="U2786">
        <v>-0.25730900000000001</v>
      </c>
      <c r="V2786">
        <v>4.160026E-2</v>
      </c>
      <c r="W2786">
        <v>0.2373229</v>
      </c>
      <c r="X2786">
        <v>0.97053970000000001</v>
      </c>
      <c r="Y2786">
        <v>8.7351419999999999E-2</v>
      </c>
      <c r="Z2786">
        <v>-2.0334400000000001E-3</v>
      </c>
      <c r="AA2786">
        <v>0.99617549999999999</v>
      </c>
      <c r="AB2786">
        <v>36</v>
      </c>
      <c r="AC2786">
        <v>36.664000000000001</v>
      </c>
      <c r="AD2786">
        <v>-1.1213251512107001</v>
      </c>
      <c r="AE2786">
        <v>-3.0884</v>
      </c>
      <c r="AF2786">
        <v>3.2502172352979501</v>
      </c>
      <c r="AG2786">
        <v>-1.1213251512107001</v>
      </c>
      <c r="AH2786">
        <v>36.6157337413863</v>
      </c>
      <c r="AI2786">
        <v>91.7472197691053</v>
      </c>
      <c r="AJ2786">
        <v>84.927401300295998</v>
      </c>
      <c r="AK2786">
        <v>36.776803009389802</v>
      </c>
      <c r="AL2786">
        <v>76.271410908617895</v>
      </c>
      <c r="AM2786">
        <v>87.545632358989096</v>
      </c>
      <c r="AN2786">
        <v>1.0000000248862799</v>
      </c>
    </row>
    <row r="2787" spans="1:40" x14ac:dyDescent="0.25">
      <c r="A2787" t="str">
        <f>"20190303170820865"</f>
        <v>20190303170820865</v>
      </c>
      <c r="B2787" t="str">
        <f>"1551604100855761"</f>
        <v>1551604100855761</v>
      </c>
      <c r="C2787" t="s">
        <v>40</v>
      </c>
      <c r="D2787">
        <v>4.4914370000000003</v>
      </c>
      <c r="E2787">
        <v>0.49260340000000002</v>
      </c>
      <c r="F2787" t="s">
        <v>46</v>
      </c>
      <c r="G2787">
        <v>-161.79580000000001</v>
      </c>
      <c r="H2787">
        <v>-0.05</v>
      </c>
      <c r="I2787">
        <v>212.34700000000001</v>
      </c>
      <c r="J2787">
        <v>-278.63549999999998</v>
      </c>
      <c r="K2787">
        <v>1.1213219999999999</v>
      </c>
      <c r="L2787">
        <v>214.0547</v>
      </c>
      <c r="M2787">
        <v>0.99988100000000002</v>
      </c>
      <c r="N2787">
        <v>-1.4759950000000001E-2</v>
      </c>
      <c r="O2787">
        <v>4.4961200000000002E-3</v>
      </c>
      <c r="P2787">
        <v>0.97405030000000004</v>
      </c>
      <c r="Q2787">
        <v>0.22313259999999999</v>
      </c>
      <c r="R2787">
        <v>-3.7923730000000003E-2</v>
      </c>
      <c r="S2787">
        <v>3.0850219999999999</v>
      </c>
      <c r="T2787">
        <v>-3.0839800000000001E-2</v>
      </c>
      <c r="U2787">
        <v>-4.4921879999999997E-2</v>
      </c>
      <c r="V2787">
        <v>4.2312179999999998E-2</v>
      </c>
      <c r="W2787">
        <v>0.23748079999999999</v>
      </c>
      <c r="X2787">
        <v>0.97047019999999995</v>
      </c>
      <c r="Y2787">
        <v>1.9053319999999999E-2</v>
      </c>
      <c r="Z2787">
        <v>-2.1444349999999999E-4</v>
      </c>
      <c r="AA2787">
        <v>0.9998184</v>
      </c>
      <c r="AB2787">
        <v>36</v>
      </c>
      <c r="AC2787">
        <v>116.839699999999</v>
      </c>
      <c r="AD2787">
        <v>-1.171322</v>
      </c>
      <c r="AE2787">
        <v>-1.70769999999998</v>
      </c>
      <c r="AF2787">
        <v>2.2328409015294302</v>
      </c>
      <c r="AG2787">
        <v>-1.171322</v>
      </c>
      <c r="AH2787">
        <v>116.81910194805999</v>
      </c>
      <c r="AI2787">
        <v>90.574369281571506</v>
      </c>
      <c r="AJ2787">
        <v>88.905001134258598</v>
      </c>
      <c r="AK2787">
        <v>116.84630997027899</v>
      </c>
      <c r="AL2787">
        <v>76.262096324675596</v>
      </c>
      <c r="AM2787">
        <v>87.5035040362025</v>
      </c>
      <c r="AN2787">
        <v>0.99999993001651299</v>
      </c>
    </row>
    <row r="2788" spans="1:40" x14ac:dyDescent="0.25">
      <c r="A2788" t="str">
        <f>"20190303170820886"</f>
        <v>20190303170820886</v>
      </c>
      <c r="B2788" t="str">
        <f>"1551604100876259"</f>
        <v>1551604100876259</v>
      </c>
      <c r="C2788" t="s">
        <v>40</v>
      </c>
      <c r="D2788">
        <v>4.4865649999999997</v>
      </c>
      <c r="E2788">
        <v>0.49111779999999999</v>
      </c>
      <c r="F2788" t="s">
        <v>46</v>
      </c>
      <c r="G2788">
        <v>-125.9847</v>
      </c>
      <c r="H2788">
        <v>-0.05</v>
      </c>
      <c r="I2788">
        <v>213.07599999999999</v>
      </c>
      <c r="J2788">
        <v>-278.30070000000001</v>
      </c>
      <c r="K2788">
        <v>1.1213139999999999</v>
      </c>
      <c r="L2788">
        <v>214.05619999999999</v>
      </c>
      <c r="M2788">
        <v>0.99988109999999997</v>
      </c>
      <c r="N2788">
        <v>-1.4756439999999999E-2</v>
      </c>
      <c r="O2788">
        <v>4.4962659999999996E-3</v>
      </c>
      <c r="P2788">
        <v>0.97405790000000003</v>
      </c>
      <c r="Q2788">
        <v>0.22307160000000001</v>
      </c>
      <c r="R2788">
        <v>-3.8083829999999999E-2</v>
      </c>
      <c r="S2788">
        <v>3.0845340000000001</v>
      </c>
      <c r="T2788">
        <v>-2.3668290000000002E-2</v>
      </c>
      <c r="U2788">
        <v>-1.977539E-2</v>
      </c>
      <c r="V2788">
        <v>4.2472629999999997E-2</v>
      </c>
      <c r="W2788">
        <v>0.23741689999999999</v>
      </c>
      <c r="X2788">
        <v>0.97047890000000003</v>
      </c>
      <c r="Y2788">
        <v>1.0906559999999999E-2</v>
      </c>
      <c r="Z2788" s="1">
        <v>-9.0470170000000005E-5</v>
      </c>
      <c r="AA2788">
        <v>0.99994050000000001</v>
      </c>
      <c r="AB2788">
        <v>36</v>
      </c>
      <c r="AC2788">
        <v>152.316</v>
      </c>
      <c r="AD2788">
        <v>-1.171314</v>
      </c>
      <c r="AE2788">
        <v>-0.98019999999999596</v>
      </c>
      <c r="AF2788">
        <v>1.66501939617993</v>
      </c>
      <c r="AG2788">
        <v>-1.171314</v>
      </c>
      <c r="AH2788">
        <v>152.301046118697</v>
      </c>
      <c r="AI2788">
        <v>90.440614279192005</v>
      </c>
      <c r="AJ2788">
        <v>89.373643278884302</v>
      </c>
      <c r="AK2788">
        <v>152.314651018625</v>
      </c>
      <c r="AL2788">
        <v>76.265866326675905</v>
      </c>
      <c r="AM2788">
        <v>87.494071674826699</v>
      </c>
      <c r="AN2788">
        <v>1.00000000202496</v>
      </c>
    </row>
    <row r="2789" spans="1:40" x14ac:dyDescent="0.25">
      <c r="A2789" t="str">
        <f>"20190303170820906"</f>
        <v>20190303170820906</v>
      </c>
      <c r="B2789" t="str">
        <f>"1551604100895778"</f>
        <v>1551604100895778</v>
      </c>
      <c r="C2789" t="s">
        <v>40</v>
      </c>
      <c r="D2789">
        <v>4.4789949999999896</v>
      </c>
      <c r="E2789">
        <v>0.49040869999999998</v>
      </c>
      <c r="F2789" t="s">
        <v>46</v>
      </c>
      <c r="G2789">
        <v>-105.1974</v>
      </c>
      <c r="H2789">
        <v>-0.05</v>
      </c>
      <c r="I2789">
        <v>213.59289999999999</v>
      </c>
      <c r="J2789">
        <v>-277.97550000000001</v>
      </c>
      <c r="K2789">
        <v>1.121321</v>
      </c>
      <c r="L2789">
        <v>214.05760000000001</v>
      </c>
      <c r="M2789">
        <v>0.99988109999999997</v>
      </c>
      <c r="N2789">
        <v>-1.4752970000000001E-2</v>
      </c>
      <c r="O2789">
        <v>4.4962919999999998E-3</v>
      </c>
      <c r="P2789">
        <v>0.97405399999999998</v>
      </c>
      <c r="Q2789">
        <v>0.2230848</v>
      </c>
      <c r="R2789">
        <v>-3.8111190000000003E-2</v>
      </c>
      <c r="S2789">
        <v>3.0843509999999998</v>
      </c>
      <c r="T2789">
        <v>-2.0870449999999999E-2</v>
      </c>
      <c r="U2789">
        <v>-8.2550049999999993E-3</v>
      </c>
      <c r="V2789">
        <v>4.2499950000000002E-2</v>
      </c>
      <c r="W2789">
        <v>0.2374262</v>
      </c>
      <c r="X2789">
        <v>0.97047539999999999</v>
      </c>
      <c r="Y2789">
        <v>7.1724789999999998E-3</v>
      </c>
      <c r="Z2789" s="1">
        <v>-4.1264660000000002E-5</v>
      </c>
      <c r="AA2789">
        <v>0.99997429999999998</v>
      </c>
      <c r="AB2789">
        <v>36</v>
      </c>
      <c r="AC2789">
        <v>172.77809999999999</v>
      </c>
      <c r="AD2789">
        <v>-1.1713209999999901</v>
      </c>
      <c r="AE2789">
        <v>-0.46470000000002099</v>
      </c>
      <c r="AF2789">
        <v>1.2415835526752701</v>
      </c>
      <c r="AG2789">
        <v>-1.1713209999999901</v>
      </c>
      <c r="AH2789">
        <v>172.76632327906501</v>
      </c>
      <c r="AI2789">
        <v>90.388437904810104</v>
      </c>
      <c r="AJ2789">
        <v>89.588251509196894</v>
      </c>
      <c r="AK2789">
        <v>172.774755048212</v>
      </c>
      <c r="AL2789">
        <v>76.265317400456794</v>
      </c>
      <c r="AM2789">
        <v>87.492452792029695</v>
      </c>
      <c r="AN2789">
        <v>0.99999997410079999</v>
      </c>
    </row>
    <row r="2790" spans="1:40" x14ac:dyDescent="0.25">
      <c r="A2790" t="str">
        <f>"20190303170820928"</f>
        <v>20190303170820928</v>
      </c>
      <c r="B2790" t="str">
        <f>"1551604100916275"</f>
        <v>1551604100916275</v>
      </c>
      <c r="C2790" t="s">
        <v>40</v>
      </c>
      <c r="D2790">
        <v>4.4747640000000004</v>
      </c>
      <c r="E2790">
        <v>0.48977090000000001</v>
      </c>
      <c r="F2790" t="s">
        <v>90</v>
      </c>
      <c r="G2790">
        <v>-107.39749999999999</v>
      </c>
      <c r="H2790">
        <v>8.5457679999999994E-2</v>
      </c>
      <c r="I2790">
        <v>213.9564</v>
      </c>
      <c r="J2790">
        <v>-277.61939999999998</v>
      </c>
      <c r="K2790">
        <v>1.121321</v>
      </c>
      <c r="L2790">
        <v>214.0592</v>
      </c>
      <c r="M2790">
        <v>0.99988120000000003</v>
      </c>
      <c r="N2790">
        <v>-1.4749129999999999E-2</v>
      </c>
      <c r="O2790">
        <v>4.4963210000000002E-3</v>
      </c>
      <c r="P2790">
        <v>0.97403910000000005</v>
      </c>
      <c r="Q2790">
        <v>0.22322629999999999</v>
      </c>
      <c r="R2790">
        <v>-3.7655899999999999E-2</v>
      </c>
      <c r="S2790">
        <v>3.0841370000000001</v>
      </c>
      <c r="T2790">
        <v>-1.8728020000000001E-2</v>
      </c>
      <c r="U2790">
        <v>-1.8310550000000001E-3</v>
      </c>
      <c r="V2790">
        <v>4.2044659999999998E-2</v>
      </c>
      <c r="W2790">
        <v>0.23756379999999999</v>
      </c>
      <c r="X2790">
        <v>0.97046160000000004</v>
      </c>
      <c r="Y2790">
        <v>5.090013E-3</v>
      </c>
      <c r="Z2790" s="1">
        <v>-1.39755E-5</v>
      </c>
      <c r="AA2790">
        <v>0.99998710000000002</v>
      </c>
      <c r="AB2790">
        <v>36</v>
      </c>
      <c r="AC2790">
        <v>170.22190000000001</v>
      </c>
      <c r="AD2790">
        <v>-1.03586332</v>
      </c>
      <c r="AE2790">
        <v>-0.102800000000001</v>
      </c>
      <c r="AF2790">
        <v>0.86822231014815798</v>
      </c>
      <c r="AG2790">
        <v>-1.03586332</v>
      </c>
      <c r="AH2790">
        <v>170.21341336990801</v>
      </c>
      <c r="AI2790">
        <v>90.3486745873263</v>
      </c>
      <c r="AJ2790">
        <v>89.707748986133694</v>
      </c>
      <c r="AK2790">
        <v>170.218779556877</v>
      </c>
      <c r="AL2790">
        <v>76.257201859122205</v>
      </c>
      <c r="AM2790">
        <v>87.519246467549294</v>
      </c>
      <c r="AN2790">
        <v>1.0000000147897501</v>
      </c>
    </row>
    <row r="2791" spans="1:40" x14ac:dyDescent="0.25">
      <c r="A2791" t="str">
        <f>"20190303170820952"</f>
        <v>20190303170820952</v>
      </c>
      <c r="B2791" t="str">
        <f>"1551604100945554"</f>
        <v>1551604100945554</v>
      </c>
      <c r="C2791" t="s">
        <v>40</v>
      </c>
      <c r="D2791">
        <v>4.4761449999999998</v>
      </c>
      <c r="E2791">
        <v>0.48916019999999999</v>
      </c>
      <c r="F2791" t="s">
        <v>46</v>
      </c>
      <c r="G2791">
        <v>-94.695390000000003</v>
      </c>
      <c r="H2791">
        <v>-0.05</v>
      </c>
      <c r="I2791">
        <v>214.33250000000001</v>
      </c>
      <c r="J2791">
        <v>-277.25909999999999</v>
      </c>
      <c r="K2791">
        <v>1.121321</v>
      </c>
      <c r="L2791">
        <v>214.0609</v>
      </c>
      <c r="M2791">
        <v>0.99988129999999997</v>
      </c>
      <c r="N2791">
        <v>-1.474525E-2</v>
      </c>
      <c r="O2791">
        <v>4.4962300000000004E-3</v>
      </c>
      <c r="P2791">
        <v>0.97409959999999995</v>
      </c>
      <c r="Q2791">
        <v>0.22318479999999999</v>
      </c>
      <c r="R2791">
        <v>-3.6314010000000001E-2</v>
      </c>
      <c r="S2791">
        <v>3.0846559999999998</v>
      </c>
      <c r="T2791">
        <v>-1.975203E-2</v>
      </c>
      <c r="U2791">
        <v>4.6081539999999997E-3</v>
      </c>
      <c r="V2791">
        <v>4.0703019999999999E-2</v>
      </c>
      <c r="W2791">
        <v>0.2375198</v>
      </c>
      <c r="X2791">
        <v>0.97052959999999999</v>
      </c>
      <c r="Y2791">
        <v>3.0024750000000001E-3</v>
      </c>
      <c r="Z2791" s="1">
        <v>5.7614579999999999E-6</v>
      </c>
      <c r="AA2791">
        <v>0.99999550000000004</v>
      </c>
      <c r="AB2791">
        <v>36</v>
      </c>
      <c r="AC2791">
        <v>182.56370999999999</v>
      </c>
      <c r="AD2791">
        <v>-1.1713209999999901</v>
      </c>
      <c r="AE2791">
        <v>0.271600000000006</v>
      </c>
      <c r="AF2791">
        <v>0.549317709698807</v>
      </c>
      <c r="AG2791">
        <v>-1.1713209999999901</v>
      </c>
      <c r="AH2791">
        <v>182.55557074280199</v>
      </c>
      <c r="AI2791">
        <v>90.3676169658182</v>
      </c>
      <c r="AJ2791">
        <v>89.827595009787501</v>
      </c>
      <c r="AK2791">
        <v>182.560154886167</v>
      </c>
      <c r="AL2791">
        <v>76.259797620995698</v>
      </c>
      <c r="AM2791">
        <v>87.598480869711906</v>
      </c>
      <c r="AN2791">
        <v>1.0000000478526501</v>
      </c>
    </row>
    <row r="2792" spans="1:40" x14ac:dyDescent="0.25">
      <c r="A2792" t="str">
        <f>"20190303170820974"</f>
        <v>20190303170820974</v>
      </c>
      <c r="B2792" t="str">
        <f>"1551604100966050"</f>
        <v>1551604100966050</v>
      </c>
      <c r="C2792" t="s">
        <v>40</v>
      </c>
      <c r="D2792">
        <v>4.533957</v>
      </c>
      <c r="E2792">
        <v>0.48912349999999999</v>
      </c>
      <c r="F2792" t="s">
        <v>46</v>
      </c>
      <c r="G2792">
        <v>-96.428190000000001</v>
      </c>
      <c r="H2792">
        <v>-0.05</v>
      </c>
      <c r="I2792">
        <v>214.8381</v>
      </c>
      <c r="J2792">
        <v>-276.88369999999998</v>
      </c>
      <c r="K2792">
        <v>1.121319</v>
      </c>
      <c r="L2792">
        <v>214.0626</v>
      </c>
      <c r="M2792">
        <v>0.99988129999999997</v>
      </c>
      <c r="N2792">
        <v>-1.474117E-2</v>
      </c>
      <c r="O2792">
        <v>4.4963800000000003E-3</v>
      </c>
      <c r="P2792">
        <v>0.97424759999999999</v>
      </c>
      <c r="Q2792">
        <v>0.22264500000000001</v>
      </c>
      <c r="R2792">
        <v>-3.5648260000000001E-2</v>
      </c>
      <c r="S2792">
        <v>3.0848390000000001</v>
      </c>
      <c r="T2792">
        <v>-1.9981860000000001E-2</v>
      </c>
      <c r="U2792">
        <v>1.325989E-2</v>
      </c>
      <c r="V2792">
        <v>4.0037959999999997E-2</v>
      </c>
      <c r="W2792">
        <v>0.23697869999999999</v>
      </c>
      <c r="X2792">
        <v>0.97068949999999998</v>
      </c>
      <c r="Y2792">
        <v>1.9833740000000001E-4</v>
      </c>
      <c r="Z2792" s="1">
        <v>3.5057600000000001E-5</v>
      </c>
      <c r="AA2792">
        <v>1</v>
      </c>
      <c r="AB2792">
        <v>36</v>
      </c>
      <c r="AC2792">
        <v>180.45551</v>
      </c>
      <c r="AD2792">
        <v>-1.171319</v>
      </c>
      <c r="AE2792">
        <v>0.77549999999999297</v>
      </c>
      <c r="AF2792">
        <v>3.59909899974859E-2</v>
      </c>
      <c r="AG2792">
        <v>-1.171319</v>
      </c>
      <c r="AH2792">
        <v>180.449570216333</v>
      </c>
      <c r="AI2792">
        <v>90.371908291045003</v>
      </c>
      <c r="AJ2792">
        <v>89.988572254300493</v>
      </c>
      <c r="AK2792">
        <v>180.45337534889799</v>
      </c>
      <c r="AL2792">
        <v>76.291711212670094</v>
      </c>
      <c r="AM2792">
        <v>87.638063956739501</v>
      </c>
      <c r="AN2792">
        <v>1.00000002395245</v>
      </c>
    </row>
    <row r="2793" spans="1:40" x14ac:dyDescent="0.25">
      <c r="A2793" t="str">
        <f>"20190303170820995"</f>
        <v>20190303170820995</v>
      </c>
      <c r="B2793" t="str">
        <f>"1551604100985570"</f>
        <v>1551604100985570</v>
      </c>
      <c r="C2793" t="s">
        <v>40</v>
      </c>
      <c r="D2793">
        <v>4.4499050000000002</v>
      </c>
      <c r="E2793">
        <v>0.48903219999999997</v>
      </c>
      <c r="F2793" t="s">
        <v>46</v>
      </c>
      <c r="G2793">
        <v>-94.294600000000003</v>
      </c>
      <c r="H2793">
        <v>-0.05</v>
      </c>
      <c r="I2793">
        <v>214.96950000000001</v>
      </c>
      <c r="J2793">
        <v>-276.5539</v>
      </c>
      <c r="K2793">
        <v>1.1213219999999999</v>
      </c>
      <c r="L2793">
        <v>214.06399999999999</v>
      </c>
      <c r="M2793">
        <v>0.99988129999999997</v>
      </c>
      <c r="N2793">
        <v>-1.473756E-2</v>
      </c>
      <c r="O2793">
        <v>4.496407E-3</v>
      </c>
      <c r="P2793">
        <v>0.97416259999999999</v>
      </c>
      <c r="Q2793">
        <v>0.2230539</v>
      </c>
      <c r="R2793">
        <v>-3.5416799999999998E-2</v>
      </c>
      <c r="S2793">
        <v>3.084381</v>
      </c>
      <c r="T2793">
        <v>-1.9786479999999999E-2</v>
      </c>
      <c r="U2793">
        <v>1.531982E-2</v>
      </c>
      <c r="V2793">
        <v>3.9806179999999997E-2</v>
      </c>
      <c r="W2793">
        <v>0.23738219999999999</v>
      </c>
      <c r="X2793">
        <v>0.97060040000000003</v>
      </c>
      <c r="Y2793">
        <v>-4.700765E-4</v>
      </c>
      <c r="Z2793" s="1">
        <v>4.2398380000000002E-5</v>
      </c>
      <c r="AA2793">
        <v>0.99999990000000005</v>
      </c>
      <c r="AB2793">
        <v>36</v>
      </c>
      <c r="AC2793">
        <v>182.2593</v>
      </c>
      <c r="AD2793">
        <v>-1.171322</v>
      </c>
      <c r="AE2793">
        <v>0.90549999999998898</v>
      </c>
      <c r="AF2793">
        <v>-8.5886304389074103E-2</v>
      </c>
      <c r="AG2793">
        <v>-1.171322</v>
      </c>
      <c r="AH2793">
        <v>182.254001793686</v>
      </c>
      <c r="AI2793">
        <v>90.368227171710203</v>
      </c>
      <c r="AJ2793">
        <v>90.027000353060899</v>
      </c>
      <c r="AK2793">
        <v>182.257785955766</v>
      </c>
      <c r="AL2793">
        <v>76.267912813234702</v>
      </c>
      <c r="AM2793">
        <v>87.651506539905995</v>
      </c>
      <c r="AN2793">
        <v>0.99999998866159601</v>
      </c>
    </row>
    <row r="2794" spans="1:40" x14ac:dyDescent="0.25">
      <c r="A2794" t="str">
        <f>"20190303170821018"</f>
        <v>20190303170821018</v>
      </c>
      <c r="B2794" t="str">
        <f>"1551604101006066"</f>
        <v>1551604101006066</v>
      </c>
      <c r="C2794" t="s">
        <v>40</v>
      </c>
      <c r="D2794">
        <v>4.4444330000000001</v>
      </c>
      <c r="E2794">
        <v>0.4888613</v>
      </c>
      <c r="F2794" t="s">
        <v>90</v>
      </c>
      <c r="G2794">
        <v>-107.39749999999999</v>
      </c>
      <c r="H2794">
        <v>0.120156</v>
      </c>
      <c r="I2794">
        <v>214.9888</v>
      </c>
      <c r="J2794">
        <v>-276.19119999999998</v>
      </c>
      <c r="K2794">
        <v>1.1213229999999901</v>
      </c>
      <c r="L2794">
        <v>214.06569999999999</v>
      </c>
      <c r="M2794">
        <v>0.99988129999999997</v>
      </c>
      <c r="N2794">
        <v>-1.4733619999999999E-2</v>
      </c>
      <c r="O2794">
        <v>4.4964360000000004E-3</v>
      </c>
      <c r="P2794">
        <v>0.97399550000000001</v>
      </c>
      <c r="Q2794">
        <v>0.22387209999999999</v>
      </c>
      <c r="R2794">
        <v>-3.4839769999999999E-2</v>
      </c>
      <c r="S2794">
        <v>3.0843509999999998</v>
      </c>
      <c r="T2794">
        <v>-1.8254039999999999E-2</v>
      </c>
      <c r="U2794">
        <v>1.6860960000000001E-2</v>
      </c>
      <c r="V2794">
        <v>3.9228510000000001E-2</v>
      </c>
      <c r="W2794">
        <v>0.23819460000000001</v>
      </c>
      <c r="X2794">
        <v>0.97042490000000003</v>
      </c>
      <c r="Y2794">
        <v>-9.697385E-4</v>
      </c>
      <c r="Z2794" s="1">
        <v>4.9656620000000003E-5</v>
      </c>
      <c r="AA2794">
        <v>0.99999950000000004</v>
      </c>
      <c r="AB2794">
        <v>36</v>
      </c>
      <c r="AC2794">
        <v>168.7937</v>
      </c>
      <c r="AD2794">
        <v>-1.0011669999999999</v>
      </c>
      <c r="AE2794">
        <v>0.92310000000000503</v>
      </c>
      <c r="AF2794">
        <v>-0.16403240111220699</v>
      </c>
      <c r="AG2794">
        <v>-1.0011669999999999</v>
      </c>
      <c r="AH2794">
        <v>168.79020647456699</v>
      </c>
      <c r="AI2794">
        <v>90.339841659691203</v>
      </c>
      <c r="AJ2794">
        <v>90.055680726534803</v>
      </c>
      <c r="AK2794">
        <v>168.793255326501</v>
      </c>
      <c r="AL2794">
        <v>76.219991552890903</v>
      </c>
      <c r="AM2794">
        <v>87.685132592581596</v>
      </c>
      <c r="AN2794">
        <v>1.00000001500299</v>
      </c>
    </row>
    <row r="2795" spans="1:40" x14ac:dyDescent="0.25">
      <c r="A2795" t="str">
        <f>"20190303170821042"</f>
        <v>20190303170821042</v>
      </c>
      <c r="B2795" t="str">
        <f>"1551604101035346"</f>
        <v>1551604101035346</v>
      </c>
      <c r="C2795" t="s">
        <v>40</v>
      </c>
      <c r="D2795">
        <v>4.4420250000000001</v>
      </c>
      <c r="E2795">
        <v>0.48850139999999997</v>
      </c>
      <c r="F2795" t="s">
        <v>90</v>
      </c>
      <c r="G2795">
        <v>-107.39749999999999</v>
      </c>
      <c r="H2795">
        <v>0.2332823</v>
      </c>
      <c r="I2795">
        <v>215.167</v>
      </c>
      <c r="J2795">
        <v>-275.81740000000002</v>
      </c>
      <c r="K2795">
        <v>1.1213229999999901</v>
      </c>
      <c r="L2795">
        <v>214.06739999999999</v>
      </c>
      <c r="M2795">
        <v>0.99988160000000004</v>
      </c>
      <c r="N2795">
        <v>-1.4729570000000001E-2</v>
      </c>
      <c r="O2795">
        <v>4.4963470000000004E-3</v>
      </c>
      <c r="P2795">
        <v>0.97399329999999995</v>
      </c>
      <c r="Q2795">
        <v>0.22404470000000001</v>
      </c>
      <c r="R2795">
        <v>-3.3782270000000003E-2</v>
      </c>
      <c r="S2795">
        <v>3.0845340000000001</v>
      </c>
      <c r="T2795">
        <v>-1.6227129999999999E-2</v>
      </c>
      <c r="U2795">
        <v>2.012634E-2</v>
      </c>
      <c r="V2795">
        <v>3.8170879999999997E-2</v>
      </c>
      <c r="W2795">
        <v>0.23836309999999999</v>
      </c>
      <c r="X2795">
        <v>0.97042569999999995</v>
      </c>
      <c r="Y2795">
        <v>-2.0280749999999998E-3</v>
      </c>
      <c r="Z2795" s="1">
        <v>6.2851769999999998E-5</v>
      </c>
      <c r="AA2795">
        <v>0.9999979</v>
      </c>
      <c r="AB2795">
        <v>36</v>
      </c>
      <c r="AC2795">
        <v>168.41990000000001</v>
      </c>
      <c r="AD2795">
        <v>-0.88804069999999902</v>
      </c>
      <c r="AE2795">
        <v>1.0995999999999999</v>
      </c>
      <c r="AF2795">
        <v>-0.34222304157323102</v>
      </c>
      <c r="AG2795">
        <v>-0.88804069999999902</v>
      </c>
      <c r="AH2795">
        <v>168.41845965558699</v>
      </c>
      <c r="AI2795">
        <v>90.302107071139105</v>
      </c>
      <c r="AJ2795">
        <v>90.116423751812803</v>
      </c>
      <c r="AK2795">
        <v>168.421148570052</v>
      </c>
      <c r="AL2795">
        <v>76.210050840061498</v>
      </c>
      <c r="AM2795">
        <v>87.7474798295992</v>
      </c>
      <c r="AN2795">
        <v>1.0000000113710299</v>
      </c>
    </row>
    <row r="2796" spans="1:40" x14ac:dyDescent="0.25">
      <c r="A2796" t="str">
        <f>"20190303170821070"</f>
        <v>20190303170821070</v>
      </c>
      <c r="B2796" t="str">
        <f>"1551604101055842"</f>
        <v>1551604101055842</v>
      </c>
      <c r="C2796" t="s">
        <v>40</v>
      </c>
      <c r="D2796">
        <v>4.4556969999999998</v>
      </c>
      <c r="E2796">
        <v>0.48828890000000003</v>
      </c>
      <c r="F2796" t="s">
        <v>90</v>
      </c>
      <c r="G2796">
        <v>-107.39749999999999</v>
      </c>
      <c r="H2796">
        <v>0.23189779999999999</v>
      </c>
      <c r="I2796">
        <v>215.5111</v>
      </c>
      <c r="J2796">
        <v>-275.37349999999998</v>
      </c>
      <c r="K2796">
        <v>1.121327</v>
      </c>
      <c r="L2796">
        <v>214.0694</v>
      </c>
      <c r="M2796">
        <v>0.99988160000000004</v>
      </c>
      <c r="N2796">
        <v>-1.4724660000000001E-2</v>
      </c>
      <c r="O2796">
        <v>4.4962040000000002E-3</v>
      </c>
      <c r="P2796">
        <v>0.97380659999999997</v>
      </c>
      <c r="Q2796">
        <v>0.22495329999999999</v>
      </c>
      <c r="R2796">
        <v>-3.312822E-2</v>
      </c>
      <c r="S2796">
        <v>3.0848080000000002</v>
      </c>
      <c r="T2796">
        <v>-1.6289950000000001E-2</v>
      </c>
      <c r="U2796">
        <v>2.6443479999999998E-2</v>
      </c>
      <c r="V2796">
        <v>3.751554E-2</v>
      </c>
      <c r="W2796">
        <v>0.23926420000000001</v>
      </c>
      <c r="X2796">
        <v>0.97022940000000002</v>
      </c>
      <c r="Y2796">
        <v>-4.0752219999999999E-3</v>
      </c>
      <c r="Z2796" s="1">
        <v>8.3232249999999996E-5</v>
      </c>
      <c r="AA2796">
        <v>0.99999170000000004</v>
      </c>
      <c r="AB2796">
        <v>36</v>
      </c>
      <c r="AC2796">
        <v>167.976</v>
      </c>
      <c r="AD2796">
        <v>-0.88942919999999903</v>
      </c>
      <c r="AE2796">
        <v>1.44169999999999</v>
      </c>
      <c r="AF2796">
        <v>-0.68633002394180498</v>
      </c>
      <c r="AG2796">
        <v>-0.88942919999999903</v>
      </c>
      <c r="AH2796">
        <v>167.976075450986</v>
      </c>
      <c r="AI2796">
        <v>90.303374379891807</v>
      </c>
      <c r="AJ2796">
        <v>90.234102355304302</v>
      </c>
      <c r="AK2796">
        <v>167.97983229280501</v>
      </c>
      <c r="AL2796">
        <v>76.156882092425903</v>
      </c>
      <c r="AM2796">
        <v>87.785666122131005</v>
      </c>
      <c r="AN2796">
        <v>0.99999993088374295</v>
      </c>
    </row>
    <row r="2797" spans="1:40" x14ac:dyDescent="0.25">
      <c r="A2797" t="str">
        <f>"20190303170821090"</f>
        <v>20190303170821090</v>
      </c>
      <c r="B2797" t="str">
        <f>"1551604101086098"</f>
        <v>1551604101086098</v>
      </c>
      <c r="C2797" t="s">
        <v>40</v>
      </c>
      <c r="D2797">
        <v>4.3874870000000001</v>
      </c>
      <c r="E2797">
        <v>0.48837619999999998</v>
      </c>
      <c r="F2797" t="s">
        <v>90</v>
      </c>
      <c r="G2797">
        <v>-107.39749999999999</v>
      </c>
      <c r="H2797">
        <v>0.38776969999999999</v>
      </c>
      <c r="I2797">
        <v>215.71619999999999</v>
      </c>
      <c r="J2797">
        <v>-275.03469999999999</v>
      </c>
      <c r="K2797">
        <v>1.1213310000000001</v>
      </c>
      <c r="L2797">
        <v>214.07089999999999</v>
      </c>
      <c r="M2797">
        <v>0.99988160000000004</v>
      </c>
      <c r="N2797">
        <v>-1.472088E-2</v>
      </c>
      <c r="O2797">
        <v>4.4964100000000002E-3</v>
      </c>
      <c r="P2797">
        <v>0.9737363</v>
      </c>
      <c r="Q2797">
        <v>0.2252749</v>
      </c>
      <c r="R2797">
        <v>-3.2999849999999997E-2</v>
      </c>
      <c r="S2797">
        <v>3.0848080000000002</v>
      </c>
      <c r="T2797">
        <v>-1.347053E-2</v>
      </c>
      <c r="U2797">
        <v>3.024292E-2</v>
      </c>
      <c r="V2797">
        <v>3.738727E-2</v>
      </c>
      <c r="W2797">
        <v>0.2395813</v>
      </c>
      <c r="X2797">
        <v>0.97015609999999997</v>
      </c>
      <c r="Y2797">
        <v>-5.3065919999999997E-3</v>
      </c>
      <c r="Z2797" s="1">
        <v>9.7209139999999993E-5</v>
      </c>
      <c r="AA2797">
        <v>0.99998589999999998</v>
      </c>
      <c r="AB2797">
        <v>36</v>
      </c>
      <c r="AC2797">
        <v>167.63720000000001</v>
      </c>
      <c r="AD2797">
        <v>-0.73356129999999897</v>
      </c>
      <c r="AE2797">
        <v>1.64529999999999</v>
      </c>
      <c r="AF2797">
        <v>-0.89141908006399995</v>
      </c>
      <c r="AG2797">
        <v>-0.73356129999999897</v>
      </c>
      <c r="AH2797">
        <v>167.63969403008301</v>
      </c>
      <c r="AI2797">
        <v>90.250710932782397</v>
      </c>
      <c r="AJ2797">
        <v>90.304665729574296</v>
      </c>
      <c r="AK2797">
        <v>167.643668996646</v>
      </c>
      <c r="AL2797">
        <v>76.138169374253494</v>
      </c>
      <c r="AM2797">
        <v>87.793063122117104</v>
      </c>
      <c r="AN2797">
        <v>0.99999993281747401</v>
      </c>
    </row>
    <row r="2798" spans="1:40" x14ac:dyDescent="0.25">
      <c r="A2798" t="str">
        <f>"20190303170821107"</f>
        <v>20190303170821107</v>
      </c>
      <c r="B2798" t="str">
        <f>"1551604101095859"</f>
        <v>1551604101095859</v>
      </c>
      <c r="C2798" t="s">
        <v>40</v>
      </c>
      <c r="D2798">
        <v>4.5004770000000001</v>
      </c>
      <c r="E2798">
        <v>0.4882301</v>
      </c>
      <c r="F2798" t="s">
        <v>90</v>
      </c>
      <c r="G2798">
        <v>-107.39749999999999</v>
      </c>
      <c r="H2798">
        <v>0.48469129999999999</v>
      </c>
      <c r="I2798">
        <v>215.7037</v>
      </c>
      <c r="J2798">
        <v>-274.76459999999997</v>
      </c>
      <c r="K2798">
        <v>1.121335</v>
      </c>
      <c r="L2798">
        <v>214.07210000000001</v>
      </c>
      <c r="M2798">
        <v>0.99988140000000003</v>
      </c>
      <c r="N2798">
        <v>-1.4717879999999999E-2</v>
      </c>
      <c r="O2798">
        <v>4.496552E-3</v>
      </c>
      <c r="P2798">
        <v>0.97362649999999995</v>
      </c>
      <c r="Q2798">
        <v>0.22580320000000001</v>
      </c>
      <c r="R2798">
        <v>-3.2624210000000001E-2</v>
      </c>
      <c r="S2798">
        <v>3.0846559999999998</v>
      </c>
      <c r="T2798">
        <v>-1.171374E-2</v>
      </c>
      <c r="U2798">
        <v>3.0044560000000001E-2</v>
      </c>
      <c r="V2798">
        <v>3.7011420000000003E-2</v>
      </c>
      <c r="W2798">
        <v>0.24010490000000001</v>
      </c>
      <c r="X2798">
        <v>0.97004120000000005</v>
      </c>
      <c r="Y2798">
        <v>-5.2427000000000003E-3</v>
      </c>
      <c r="Z2798" s="1">
        <v>9.7646789999999994E-5</v>
      </c>
      <c r="AA2798">
        <v>0.99998620000000005</v>
      </c>
      <c r="AB2798">
        <v>35</v>
      </c>
      <c r="AC2798">
        <v>167.36709999999999</v>
      </c>
      <c r="AD2798">
        <v>-0.63664370000000003</v>
      </c>
      <c r="AE2798">
        <v>1.6315999999999899</v>
      </c>
      <c r="AF2798">
        <v>-0.87891426201038303</v>
      </c>
      <c r="AG2798">
        <v>-0.63664370000000003</v>
      </c>
      <c r="AH2798">
        <v>167.37032346829099</v>
      </c>
      <c r="AI2798">
        <v>90.217937788784496</v>
      </c>
      <c r="AJ2798">
        <v>90.300875411091795</v>
      </c>
      <c r="AK2798">
        <v>167.37384199259199</v>
      </c>
      <c r="AL2798">
        <v>76.107269251350004</v>
      </c>
      <c r="AM2798">
        <v>87.814969068183402</v>
      </c>
      <c r="AN2798">
        <v>1.0000000689559301</v>
      </c>
    </row>
    <row r="2799" spans="1:40" x14ac:dyDescent="0.25">
      <c r="A2799" t="str">
        <f>"20190303170821130"</f>
        <v>20190303170821130</v>
      </c>
      <c r="B2799" t="str">
        <f>"1551604101126115"</f>
        <v>1551604101126115</v>
      </c>
      <c r="C2799" t="s">
        <v>40</v>
      </c>
      <c r="D2799">
        <v>4.5040199999999997</v>
      </c>
      <c r="E2799">
        <v>0.46431040000000001</v>
      </c>
      <c r="F2799" t="s">
        <v>90</v>
      </c>
      <c r="G2799">
        <v>-107.39749999999999</v>
      </c>
      <c r="H2799">
        <v>0.5353137</v>
      </c>
      <c r="I2799">
        <v>215.82640000000001</v>
      </c>
      <c r="J2799">
        <v>-274.40719999999999</v>
      </c>
      <c r="K2799">
        <v>1.1213360000000001</v>
      </c>
      <c r="L2799">
        <v>214.0737</v>
      </c>
      <c r="M2799">
        <v>0.99988169999999998</v>
      </c>
      <c r="N2799">
        <v>-1.471389E-2</v>
      </c>
      <c r="O2799">
        <v>4.4964640000000004E-3</v>
      </c>
      <c r="P2799">
        <v>0.97348389999999996</v>
      </c>
      <c r="Q2799">
        <v>0.22645170000000001</v>
      </c>
      <c r="R2799">
        <v>-3.238895E-2</v>
      </c>
      <c r="S2799">
        <v>3.0848080000000002</v>
      </c>
      <c r="T2799">
        <v>-1.0800239999999999E-2</v>
      </c>
      <c r="U2799">
        <v>3.233337E-2</v>
      </c>
      <c r="V2799">
        <v>3.6775250000000002E-2</v>
      </c>
      <c r="W2799">
        <v>0.24074690000000001</v>
      </c>
      <c r="X2799">
        <v>0.96989099999999995</v>
      </c>
      <c r="Y2799">
        <v>-5.984194E-3</v>
      </c>
      <c r="Z2799">
        <v>1.049265E-4</v>
      </c>
      <c r="AA2799">
        <v>0.99998209999999998</v>
      </c>
      <c r="AB2799">
        <v>35</v>
      </c>
      <c r="AC2799">
        <v>167.00970000000001</v>
      </c>
      <c r="AD2799">
        <v>-0.5860223</v>
      </c>
      <c r="AE2799">
        <v>1.7526999999999999</v>
      </c>
      <c r="AF2799">
        <v>-1.0016355886963499</v>
      </c>
      <c r="AG2799">
        <v>-0.5860223</v>
      </c>
      <c r="AH2799">
        <v>167.01383698945</v>
      </c>
      <c r="AI2799">
        <v>90.201036414015107</v>
      </c>
      <c r="AJ2799">
        <v>90.343617060913502</v>
      </c>
      <c r="AK2799">
        <v>167.01786863065701</v>
      </c>
      <c r="AL2799">
        <v>76.069373103728296</v>
      </c>
      <c r="AM2799">
        <v>87.828562471671404</v>
      </c>
      <c r="AN2799">
        <v>1.00000002037658</v>
      </c>
    </row>
    <row r="2800" spans="1:40" x14ac:dyDescent="0.25">
      <c r="A2800" t="str">
        <f>"20190303170821153"</f>
        <v>20190303170821153</v>
      </c>
      <c r="B2800" t="str">
        <f>"1551604101145638"</f>
        <v>1551604101145638</v>
      </c>
      <c r="C2800" t="s">
        <v>40</v>
      </c>
      <c r="D2800">
        <v>4.5385460000000002</v>
      </c>
      <c r="E2800">
        <v>0.4581306</v>
      </c>
      <c r="F2800" t="s">
        <v>53</v>
      </c>
      <c r="G2800">
        <v>-168.35059999999999</v>
      </c>
      <c r="H2800">
        <v>0.60806079999999996</v>
      </c>
      <c r="I2800">
        <v>221.77930000000001</v>
      </c>
      <c r="J2800">
        <v>-274.05399999999997</v>
      </c>
      <c r="K2800">
        <v>1.1213379999999999</v>
      </c>
      <c r="L2800">
        <v>214.0753</v>
      </c>
      <c r="M2800">
        <v>0.99988169999999998</v>
      </c>
      <c r="N2800">
        <v>-1.4709979999999999E-2</v>
      </c>
      <c r="O2800">
        <v>4.5000350000000003E-3</v>
      </c>
      <c r="P2800">
        <v>0.97351449999999995</v>
      </c>
      <c r="Q2800">
        <v>0.22632440000000001</v>
      </c>
      <c r="R2800">
        <v>-3.2361899999999999E-2</v>
      </c>
      <c r="S2800">
        <v>3.0926819999999999</v>
      </c>
      <c r="T2800">
        <v>-1.496577E-2</v>
      </c>
      <c r="U2800">
        <v>0.22470090000000001</v>
      </c>
      <c r="V2800">
        <v>3.6750970000000001E-2</v>
      </c>
      <c r="W2800">
        <v>0.24061679999999999</v>
      </c>
      <c r="X2800">
        <v>0.96992420000000001</v>
      </c>
      <c r="Y2800">
        <v>-6.7972249999999998E-2</v>
      </c>
      <c r="Z2800">
        <v>7.0924599999999997E-4</v>
      </c>
      <c r="AA2800">
        <v>0.99768699999999999</v>
      </c>
      <c r="AB2800">
        <v>35</v>
      </c>
      <c r="AC2800">
        <v>105.7034</v>
      </c>
      <c r="AD2800">
        <v>-0.51327719999999899</v>
      </c>
      <c r="AE2800">
        <v>7.7039999999999997</v>
      </c>
      <c r="AF2800">
        <v>-7.22803198896555</v>
      </c>
      <c r="AG2800">
        <v>-0.51327719999999899</v>
      </c>
      <c r="AH2800">
        <v>105.734521575005</v>
      </c>
      <c r="AI2800">
        <v>90.277486599616097</v>
      </c>
      <c r="AJ2800">
        <v>93.910666283677998</v>
      </c>
      <c r="AK2800">
        <v>105.98253135594</v>
      </c>
      <c r="AL2800">
        <v>76.077052981236307</v>
      </c>
      <c r="AM2800">
        <v>87.830068948711698</v>
      </c>
      <c r="AN2800">
        <v>1.00000001599191</v>
      </c>
    </row>
    <row r="2801" spans="1:40" x14ac:dyDescent="0.25">
      <c r="A2801" t="str">
        <f>"20190303170821174"</f>
        <v>20190303170821174</v>
      </c>
      <c r="B2801" t="str">
        <f>"1551604101166131"</f>
        <v>1551604101166131</v>
      </c>
      <c r="C2801" t="s">
        <v>40</v>
      </c>
      <c r="D2801">
        <v>4.5156099999999997</v>
      </c>
      <c r="E2801">
        <v>0.45586949999999998</v>
      </c>
      <c r="F2801" t="s">
        <v>53</v>
      </c>
      <c r="G2801">
        <v>-168.35059999999999</v>
      </c>
      <c r="H2801">
        <v>0.88158989999999904</v>
      </c>
      <c r="I2801">
        <v>223.4298</v>
      </c>
      <c r="J2801">
        <v>-273.70690000000002</v>
      </c>
      <c r="K2801">
        <v>1.1213340000000001</v>
      </c>
      <c r="L2801">
        <v>214.07689999999999</v>
      </c>
      <c r="M2801">
        <v>0.99988180000000004</v>
      </c>
      <c r="N2801">
        <v>-1.470613E-2</v>
      </c>
      <c r="O2801">
        <v>4.5066669999999998E-3</v>
      </c>
      <c r="P2801">
        <v>0.97372309999999995</v>
      </c>
      <c r="Q2801">
        <v>0.2254342</v>
      </c>
      <c r="R2801">
        <v>-3.2296970000000001E-2</v>
      </c>
      <c r="S2801">
        <v>3.092346</v>
      </c>
      <c r="T2801">
        <v>-7.0121289999999998E-3</v>
      </c>
      <c r="U2801">
        <v>0.27366639999999998</v>
      </c>
      <c r="V2801">
        <v>3.6691990000000001E-2</v>
      </c>
      <c r="W2801">
        <v>0.2397262</v>
      </c>
      <c r="X2801">
        <v>0.97014690000000003</v>
      </c>
      <c r="Y2801">
        <v>-8.3661680000000002E-2</v>
      </c>
      <c r="Z2801">
        <v>7.6703350000000003E-4</v>
      </c>
      <c r="AA2801">
        <v>0.99649390000000004</v>
      </c>
      <c r="AB2801">
        <v>35</v>
      </c>
      <c r="AC2801">
        <v>105.3563</v>
      </c>
      <c r="AD2801">
        <v>-0.23974409999999999</v>
      </c>
      <c r="AE2801">
        <v>9.3529</v>
      </c>
      <c r="AF2801">
        <v>-8.8779023225675804</v>
      </c>
      <c r="AG2801">
        <v>-0.23974409999999999</v>
      </c>
      <c r="AH2801">
        <v>105.396843334465</v>
      </c>
      <c r="AI2801">
        <v>90.129869433731997</v>
      </c>
      <c r="AJ2801">
        <v>94.814834879217102</v>
      </c>
      <c r="AK2801">
        <v>105.770360743227</v>
      </c>
      <c r="AL2801">
        <v>76.129618687436505</v>
      </c>
      <c r="AM2801">
        <v>87.834044895251907</v>
      </c>
      <c r="AN2801">
        <v>0.999999980338105</v>
      </c>
    </row>
    <row r="2802" spans="1:40" x14ac:dyDescent="0.25">
      <c r="A2802" t="str">
        <f>"20190303170821196"</f>
        <v>20190303170821196</v>
      </c>
      <c r="B2802" t="str">
        <f>"1551604101185650"</f>
        <v>1551604101185650</v>
      </c>
      <c r="C2802" t="s">
        <v>40</v>
      </c>
      <c r="D2802">
        <v>4.5237049999999996</v>
      </c>
      <c r="E2802">
        <v>0.4546539</v>
      </c>
      <c r="F2802" t="s">
        <v>53</v>
      </c>
      <c r="G2802">
        <v>-168.35059999999999</v>
      </c>
      <c r="H2802">
        <v>0.83057979999999998</v>
      </c>
      <c r="I2802">
        <v>224.01480000000001</v>
      </c>
      <c r="J2802">
        <v>-273.3723</v>
      </c>
      <c r="K2802">
        <v>1.121337</v>
      </c>
      <c r="L2802">
        <v>214.07839999999999</v>
      </c>
      <c r="M2802">
        <v>0.99988189999999999</v>
      </c>
      <c r="N2802">
        <v>-1.4702440000000001E-2</v>
      </c>
      <c r="O2802">
        <v>4.5182109999999899E-3</v>
      </c>
      <c r="P2802">
        <v>0.97396870000000002</v>
      </c>
      <c r="Q2802">
        <v>0.22441449999999999</v>
      </c>
      <c r="R2802">
        <v>-3.1992930000000003E-2</v>
      </c>
      <c r="S2802">
        <v>3.0926209999999998</v>
      </c>
      <c r="T2802">
        <v>-8.5331199999999999E-3</v>
      </c>
      <c r="U2802">
        <v>0.29171750000000002</v>
      </c>
      <c r="V2802">
        <v>3.6397840000000001E-2</v>
      </c>
      <c r="W2802">
        <v>0.23870720000000001</v>
      </c>
      <c r="X2802">
        <v>0.97040919999999997</v>
      </c>
      <c r="Y2802">
        <v>-8.9408559999999998E-2</v>
      </c>
      <c r="Z2802">
        <v>8.3568640000000001E-4</v>
      </c>
      <c r="AA2802">
        <v>0.99599470000000001</v>
      </c>
      <c r="AB2802">
        <v>35</v>
      </c>
      <c r="AC2802">
        <v>105.0217</v>
      </c>
      <c r="AD2802">
        <v>-0.29075719999999899</v>
      </c>
      <c r="AE2802">
        <v>9.9364000000000097</v>
      </c>
      <c r="AF2802">
        <v>-9.4616652754984401</v>
      </c>
      <c r="AG2802">
        <v>-0.29075719999999899</v>
      </c>
      <c r="AH2802">
        <v>105.064729231519</v>
      </c>
      <c r="AI2802">
        <v>90.157921442355203</v>
      </c>
      <c r="AJ2802">
        <v>95.145923533968499</v>
      </c>
      <c r="AK2802">
        <v>105.490307507501</v>
      </c>
      <c r="AL2802">
        <v>76.189748792780406</v>
      </c>
      <c r="AM2802">
        <v>87.851972666675294</v>
      </c>
      <c r="AN2802">
        <v>0.99999997276657204</v>
      </c>
    </row>
    <row r="2803" spans="1:40" x14ac:dyDescent="0.25">
      <c r="A2803" t="str">
        <f>"20190303170821218"</f>
        <v>20190303170821218</v>
      </c>
      <c r="B2803" t="str">
        <f>"1551604101215907"</f>
        <v>1551604101215907</v>
      </c>
      <c r="C2803" t="s">
        <v>40</v>
      </c>
      <c r="D2803">
        <v>4.5052110000000001</v>
      </c>
      <c r="E2803">
        <v>0.45399970000000001</v>
      </c>
      <c r="F2803" t="s">
        <v>53</v>
      </c>
      <c r="G2803">
        <v>-168.35059999999999</v>
      </c>
      <c r="H2803">
        <v>0.68974780000000002</v>
      </c>
      <c r="I2803">
        <v>224.3544</v>
      </c>
      <c r="J2803">
        <v>-273.01549999999997</v>
      </c>
      <c r="K2803">
        <v>1.1213519999999999</v>
      </c>
      <c r="L2803">
        <v>214.08</v>
      </c>
      <c r="M2803">
        <v>0.99988180000000004</v>
      </c>
      <c r="N2803">
        <v>-1.469847E-2</v>
      </c>
      <c r="O2803">
        <v>4.5392150000000001E-3</v>
      </c>
      <c r="P2803">
        <v>0.97397429999999996</v>
      </c>
      <c r="Q2803">
        <v>0.22447439999999999</v>
      </c>
      <c r="R2803">
        <v>-3.1396399999999998E-2</v>
      </c>
      <c r="S2803">
        <v>3.093048</v>
      </c>
      <c r="T2803">
        <v>-1.270926E-2</v>
      </c>
      <c r="U2803">
        <v>0.30264279999999999</v>
      </c>
      <c r="V2803">
        <v>3.5818009999999997E-2</v>
      </c>
      <c r="W2803">
        <v>0.2387637</v>
      </c>
      <c r="X2803">
        <v>0.97041690000000003</v>
      </c>
      <c r="Y2803">
        <v>-9.2858629999999998E-2</v>
      </c>
      <c r="Z2803">
        <v>9.2239990000000005E-4</v>
      </c>
      <c r="AA2803">
        <v>0.99567890000000003</v>
      </c>
      <c r="AB2803">
        <v>35</v>
      </c>
      <c r="AC2803">
        <v>104.6649</v>
      </c>
      <c r="AD2803">
        <v>-0.43160419999999999</v>
      </c>
      <c r="AE2803">
        <v>10.274399999999901</v>
      </c>
      <c r="AF2803">
        <v>-9.7989813379696908</v>
      </c>
      <c r="AG2803">
        <v>-0.43160419999999999</v>
      </c>
      <c r="AH2803">
        <v>104.708700675489</v>
      </c>
      <c r="AI2803">
        <v>90.235141685732401</v>
      </c>
      <c r="AJ2803">
        <v>95.346354512444293</v>
      </c>
      <c r="AK2803">
        <v>105.167097110249</v>
      </c>
      <c r="AL2803">
        <v>76.186415530776401</v>
      </c>
      <c r="AM2803">
        <v>87.886176938727999</v>
      </c>
      <c r="AN2803">
        <v>0.99999999704182996</v>
      </c>
    </row>
    <row r="2804" spans="1:40" x14ac:dyDescent="0.25">
      <c r="A2804" t="str">
        <f>"20190303170821243"</f>
        <v>20190303170821243</v>
      </c>
      <c r="B2804" t="str">
        <f>"1551604101236403"</f>
        <v>1551604101236403</v>
      </c>
      <c r="C2804" t="s">
        <v>40</v>
      </c>
      <c r="D2804">
        <v>4.5092309999999998</v>
      </c>
      <c r="E2804">
        <v>0.45392100000000002</v>
      </c>
      <c r="F2804" t="s">
        <v>53</v>
      </c>
      <c r="G2804">
        <v>-168.35059999999999</v>
      </c>
      <c r="H2804">
        <v>0.75158599999999998</v>
      </c>
      <c r="I2804">
        <v>224.56450000000001</v>
      </c>
      <c r="J2804">
        <v>-272.64640000000003</v>
      </c>
      <c r="K2804">
        <v>1.1213610000000001</v>
      </c>
      <c r="L2804">
        <v>214.08170000000001</v>
      </c>
      <c r="M2804">
        <v>0.99988160000000004</v>
      </c>
      <c r="N2804">
        <v>-1.469436E-2</v>
      </c>
      <c r="O2804">
        <v>4.5718159999999898E-3</v>
      </c>
      <c r="P2804">
        <v>0.97387990000000002</v>
      </c>
      <c r="Q2804">
        <v>0.22489120000000001</v>
      </c>
      <c r="R2804">
        <v>-3.1334559999999997E-2</v>
      </c>
      <c r="S2804">
        <v>3.0926819999999999</v>
      </c>
      <c r="T2804">
        <v>-1.0924339999999999E-2</v>
      </c>
      <c r="U2804">
        <v>0.3097992</v>
      </c>
      <c r="V2804">
        <v>3.5782889999999998E-2</v>
      </c>
      <c r="W2804">
        <v>0.23917579999999999</v>
      </c>
      <c r="X2804">
        <v>0.97031670000000003</v>
      </c>
      <c r="Y2804">
        <v>-9.5119510000000004E-2</v>
      </c>
      <c r="Z2804">
        <v>9.1914269999999998E-4</v>
      </c>
      <c r="AA2804">
        <v>0.9954655</v>
      </c>
      <c r="AB2804">
        <v>35</v>
      </c>
      <c r="AC2804">
        <v>104.2958</v>
      </c>
      <c r="AD2804">
        <v>-0.36977500000000002</v>
      </c>
      <c r="AE2804">
        <v>10.4827999999999</v>
      </c>
      <c r="AF2804">
        <v>-10.0056932225268</v>
      </c>
      <c r="AG2804">
        <v>-0.36977500000000002</v>
      </c>
      <c r="AH2804">
        <v>104.34134192457</v>
      </c>
      <c r="AI2804">
        <v>90.202122321584795</v>
      </c>
      <c r="AJ2804">
        <v>95.477564101819397</v>
      </c>
      <c r="AK2804">
        <v>104.82063854525001</v>
      </c>
      <c r="AL2804">
        <v>76.162099307841302</v>
      </c>
      <c r="AM2804">
        <v>87.8880298176678</v>
      </c>
      <c r="AN2804">
        <v>0.99999998841064097</v>
      </c>
    </row>
    <row r="2805" spans="1:40" x14ac:dyDescent="0.25">
      <c r="A2805" t="str">
        <f>"20190303170821265"</f>
        <v>20190303170821265</v>
      </c>
      <c r="B2805" t="str">
        <f>"1551604101255922"</f>
        <v>1551604101255922</v>
      </c>
      <c r="C2805" t="s">
        <v>40</v>
      </c>
      <c r="D2805">
        <v>4.5202269999999896</v>
      </c>
      <c r="E2805">
        <v>0.4537774</v>
      </c>
      <c r="F2805" t="s">
        <v>53</v>
      </c>
      <c r="G2805">
        <v>-168.35059999999999</v>
      </c>
      <c r="H2805">
        <v>0.8094597</v>
      </c>
      <c r="I2805">
        <v>224.55009999999999</v>
      </c>
      <c r="J2805">
        <v>-272.28230000000002</v>
      </c>
      <c r="K2805">
        <v>1.121372</v>
      </c>
      <c r="L2805">
        <v>214.08349999999999</v>
      </c>
      <c r="M2805">
        <v>0.99988149999999998</v>
      </c>
      <c r="N2805">
        <v>-1.469029E-2</v>
      </c>
      <c r="O2805">
        <v>4.6155750000000002E-3</v>
      </c>
      <c r="P2805">
        <v>0.97378260000000005</v>
      </c>
      <c r="Q2805">
        <v>0.2253416</v>
      </c>
      <c r="R2805">
        <v>-3.1129790000000001E-2</v>
      </c>
      <c r="S2805">
        <v>3.09259</v>
      </c>
      <c r="T2805">
        <v>-9.2468259999999997E-3</v>
      </c>
      <c r="U2805">
        <v>0.3104095</v>
      </c>
      <c r="V2805">
        <v>3.5614859999999998E-2</v>
      </c>
      <c r="W2805">
        <v>0.23962159999999999</v>
      </c>
      <c r="X2805">
        <v>0.97021290000000004</v>
      </c>
      <c r="Y2805">
        <v>-9.5273930000000007E-2</v>
      </c>
      <c r="Z2805">
        <v>8.9755580000000002E-4</v>
      </c>
      <c r="AA2805">
        <v>0.99545070000000002</v>
      </c>
      <c r="AB2805">
        <v>35</v>
      </c>
      <c r="AC2805">
        <v>103.93170000000001</v>
      </c>
      <c r="AD2805">
        <v>-0.31191229999999998</v>
      </c>
      <c r="AE2805">
        <v>10.4666</v>
      </c>
      <c r="AF2805">
        <v>-9.9866431467588193</v>
      </c>
      <c r="AG2805">
        <v>-0.31191229999999998</v>
      </c>
      <c r="AH2805">
        <v>103.977980184007</v>
      </c>
      <c r="AI2805">
        <v>90.171087591243406</v>
      </c>
      <c r="AJ2805">
        <v>95.486187808791897</v>
      </c>
      <c r="AK2805">
        <v>104.456932243721</v>
      </c>
      <c r="AL2805">
        <v>76.135792033024401</v>
      </c>
      <c r="AM2805">
        <v>87.897713639926394</v>
      </c>
      <c r="AN2805">
        <v>1.0000000003828899</v>
      </c>
    </row>
    <row r="2806" spans="1:40" x14ac:dyDescent="0.25">
      <c r="A2806" t="str">
        <f>"20190303170821290"</f>
        <v>20190303170821290</v>
      </c>
      <c r="B2806" t="str">
        <f>"1551604101286180"</f>
        <v>1551604101286180</v>
      </c>
      <c r="C2806" t="s">
        <v>40</v>
      </c>
      <c r="D2806">
        <v>4.5029979999999998</v>
      </c>
      <c r="E2806">
        <v>0.4536211</v>
      </c>
      <c r="F2806" t="s">
        <v>53</v>
      </c>
      <c r="G2806">
        <v>-168.35059999999999</v>
      </c>
      <c r="H2806">
        <v>0.86877819999999994</v>
      </c>
      <c r="I2806">
        <v>224.56790000000001</v>
      </c>
      <c r="J2806">
        <v>-271.911</v>
      </c>
      <c r="K2806">
        <v>1.1213799999999901</v>
      </c>
      <c r="L2806">
        <v>214.08519999999999</v>
      </c>
      <c r="M2806">
        <v>0.99988140000000003</v>
      </c>
      <c r="N2806">
        <v>-1.4680449999999999E-2</v>
      </c>
      <c r="O2806">
        <v>4.6723160000000001E-3</v>
      </c>
      <c r="P2806">
        <v>0.97380149999999999</v>
      </c>
      <c r="Q2806">
        <v>0.2253231</v>
      </c>
      <c r="R2806">
        <v>-3.0664449999999999E-2</v>
      </c>
      <c r="S2806">
        <v>3.0924990000000001</v>
      </c>
      <c r="T2806">
        <v>-7.5142380000000003E-3</v>
      </c>
      <c r="U2806">
        <v>0.31196590000000002</v>
      </c>
      <c r="V2806">
        <v>3.5199609999999999E-2</v>
      </c>
      <c r="W2806">
        <v>0.2395948</v>
      </c>
      <c r="X2806">
        <v>0.97023470000000001</v>
      </c>
      <c r="Y2806">
        <v>-9.5716889999999999E-2</v>
      </c>
      <c r="Z2806">
        <v>8.7750380000000002E-4</v>
      </c>
      <c r="AA2806">
        <v>0.99540819999999997</v>
      </c>
      <c r="AB2806">
        <v>35</v>
      </c>
      <c r="AC2806">
        <v>103.5604</v>
      </c>
      <c r="AD2806">
        <v>-0.25260179999999899</v>
      </c>
      <c r="AE2806">
        <v>10.482699999999999</v>
      </c>
      <c r="AF2806">
        <v>-9.9986076452005292</v>
      </c>
      <c r="AG2806">
        <v>-0.25260179999999899</v>
      </c>
      <c r="AH2806">
        <v>103.607642953577</v>
      </c>
      <c r="AI2806">
        <v>90.139044388511806</v>
      </c>
      <c r="AJ2806">
        <v>95.512232944036796</v>
      </c>
      <c r="AK2806">
        <v>104.089286869052</v>
      </c>
      <c r="AL2806">
        <v>76.137374007481696</v>
      </c>
      <c r="AM2806">
        <v>87.922250195144201</v>
      </c>
      <c r="AN2806">
        <v>1.0000000269076399</v>
      </c>
    </row>
    <row r="2807" spans="1:40" x14ac:dyDescent="0.25">
      <c r="A2807" t="str">
        <f>"20190303170821307"</f>
        <v>20190303170821307</v>
      </c>
      <c r="B2807" t="str">
        <f>"1551604101295940"</f>
        <v>1551604101295940</v>
      </c>
      <c r="C2807" t="s">
        <v>40</v>
      </c>
      <c r="D2807">
        <v>4.4999200000000004</v>
      </c>
      <c r="E2807">
        <v>0.45357380000000003</v>
      </c>
      <c r="F2807" t="s">
        <v>53</v>
      </c>
      <c r="G2807">
        <v>-168.35059999999999</v>
      </c>
      <c r="H2807">
        <v>0.89514830000000001</v>
      </c>
      <c r="I2807">
        <v>224.6086</v>
      </c>
      <c r="J2807">
        <v>-271.61020000000002</v>
      </c>
      <c r="K2807">
        <v>1.121375</v>
      </c>
      <c r="L2807">
        <v>214.08670000000001</v>
      </c>
      <c r="M2807">
        <v>0.99988149999999998</v>
      </c>
      <c r="N2807">
        <v>-1.465927E-2</v>
      </c>
      <c r="O2807">
        <v>4.7272499999999997E-3</v>
      </c>
      <c r="P2807">
        <v>0.97393810000000003</v>
      </c>
      <c r="Q2807">
        <v>0.2247498</v>
      </c>
      <c r="R2807">
        <v>-3.0532E-2</v>
      </c>
      <c r="S2807">
        <v>3.092133</v>
      </c>
      <c r="T2807">
        <v>-6.7532060000000003E-3</v>
      </c>
      <c r="U2807">
        <v>0.31420900000000002</v>
      </c>
      <c r="V2807">
        <v>3.5117339999999997E-2</v>
      </c>
      <c r="W2807">
        <v>0.23900350000000001</v>
      </c>
      <c r="X2807">
        <v>0.97038349999999995</v>
      </c>
      <c r="Y2807">
        <v>-9.6388929999999998E-2</v>
      </c>
      <c r="Z2807">
        <v>8.7217209999999998E-4</v>
      </c>
      <c r="AA2807">
        <v>0.99534339999999999</v>
      </c>
      <c r="AB2807">
        <v>35</v>
      </c>
      <c r="AC2807">
        <v>103.25960000000001</v>
      </c>
      <c r="AD2807">
        <v>-0.2262267</v>
      </c>
      <c r="AE2807">
        <v>10.521899999999899</v>
      </c>
      <c r="AF2807">
        <v>-10.0335484048473</v>
      </c>
      <c r="AG2807">
        <v>-0.2262267</v>
      </c>
      <c r="AH2807">
        <v>103.30770020607</v>
      </c>
      <c r="AI2807">
        <v>90.124880431582</v>
      </c>
      <c r="AJ2807">
        <v>95.547336250984998</v>
      </c>
      <c r="AK2807">
        <v>103.794047006461</v>
      </c>
      <c r="AL2807">
        <v>76.172266666130398</v>
      </c>
      <c r="AM2807">
        <v>87.927419741339705</v>
      </c>
      <c r="AN2807">
        <v>1.0000000188265801</v>
      </c>
    </row>
    <row r="2808" spans="1:40" x14ac:dyDescent="0.25">
      <c r="A2808" t="str">
        <f>"20190303170821332"</f>
        <v>20190303170821332</v>
      </c>
      <c r="B2808" t="str">
        <f>"1551604101326195"</f>
        <v>1551604101326195</v>
      </c>
      <c r="C2808" t="s">
        <v>40</v>
      </c>
      <c r="D2808">
        <v>4.5294860000000003</v>
      </c>
      <c r="E2808">
        <v>0.45344810000000002</v>
      </c>
      <c r="F2808" t="s">
        <v>53</v>
      </c>
      <c r="G2808">
        <v>-168.35059999999999</v>
      </c>
      <c r="H2808">
        <v>0.85082719999999901</v>
      </c>
      <c r="I2808">
        <v>224.6104</v>
      </c>
      <c r="J2808">
        <v>-271.25549999999998</v>
      </c>
      <c r="K2808">
        <v>1.121375</v>
      </c>
      <c r="L2808">
        <v>214.08840000000001</v>
      </c>
      <c r="M2808">
        <v>0.99988160000000004</v>
      </c>
      <c r="N2808">
        <v>-1.4621459999999999E-2</v>
      </c>
      <c r="O2808">
        <v>4.7988179999999998E-3</v>
      </c>
      <c r="P2808">
        <v>0.97394219999999998</v>
      </c>
      <c r="Q2808">
        <v>0.22480749999999999</v>
      </c>
      <c r="R2808">
        <v>-2.9973110000000001E-2</v>
      </c>
      <c r="S2808">
        <v>3.092041</v>
      </c>
      <c r="T2808">
        <v>-8.0996750000000006E-3</v>
      </c>
      <c r="U2808">
        <v>0.31512449999999997</v>
      </c>
      <c r="V2808">
        <v>3.4623889999999997E-2</v>
      </c>
      <c r="W2808">
        <v>0.2390253</v>
      </c>
      <c r="X2808">
        <v>0.97039589999999998</v>
      </c>
      <c r="Y2808">
        <v>-9.6611920000000004E-2</v>
      </c>
      <c r="Z2808">
        <v>8.9184149999999897E-4</v>
      </c>
      <c r="AA2808">
        <v>0.99532180000000003</v>
      </c>
      <c r="AB2808">
        <v>35</v>
      </c>
      <c r="AC2808">
        <v>102.9049</v>
      </c>
      <c r="AD2808">
        <v>-0.2705478</v>
      </c>
      <c r="AE2808">
        <v>10.521999999999901</v>
      </c>
      <c r="AF2808">
        <v>-10.0279355479126</v>
      </c>
      <c r="AG2808">
        <v>-0.2705478</v>
      </c>
      <c r="AH2808">
        <v>102.95350914823</v>
      </c>
      <c r="AI2808">
        <v>90.149855978509805</v>
      </c>
      <c r="AJ2808">
        <v>95.5632068058664</v>
      </c>
      <c r="AK2808">
        <v>103.441083392431</v>
      </c>
      <c r="AL2808">
        <v>76.170980849140804</v>
      </c>
      <c r="AM2808">
        <v>87.956543749942298</v>
      </c>
      <c r="AN2808">
        <v>1.0000000552678101</v>
      </c>
    </row>
    <row r="2809" spans="1:40" x14ac:dyDescent="0.25">
      <c r="A2809" t="str">
        <f>"20190303170821353"</f>
        <v>20190303170821353</v>
      </c>
      <c r="B2809" t="str">
        <f>"1551604101345715"</f>
        <v>1551604101345715</v>
      </c>
      <c r="C2809" t="s">
        <v>40</v>
      </c>
      <c r="D2809">
        <v>4.5443470000000001</v>
      </c>
      <c r="E2809">
        <v>0.45340000000000003</v>
      </c>
      <c r="F2809" t="s">
        <v>53</v>
      </c>
      <c r="G2809">
        <v>-157.25</v>
      </c>
      <c r="H2809">
        <v>0.87407299999999999</v>
      </c>
      <c r="I2809">
        <v>225.8031</v>
      </c>
      <c r="J2809">
        <v>-270.90100000000001</v>
      </c>
      <c r="K2809">
        <v>1.1213630000000001</v>
      </c>
      <c r="L2809">
        <v>214.09020000000001</v>
      </c>
      <c r="M2809">
        <v>0.99988250000000001</v>
      </c>
      <c r="N2809">
        <v>-1.453636E-2</v>
      </c>
      <c r="O2809">
        <v>4.876549E-3</v>
      </c>
      <c r="P2809">
        <v>0.97390860000000001</v>
      </c>
      <c r="Q2809">
        <v>0.22506129999999999</v>
      </c>
      <c r="R2809">
        <v>-2.9143970000000002E-2</v>
      </c>
      <c r="S2809">
        <v>3.0915530000000002</v>
      </c>
      <c r="T2809">
        <v>-6.7046880000000003E-3</v>
      </c>
      <c r="U2809">
        <v>0.31767269999999997</v>
      </c>
      <c r="V2809">
        <v>3.3866819999999999E-2</v>
      </c>
      <c r="W2809">
        <v>0.23919609999999999</v>
      </c>
      <c r="X2809">
        <v>0.97038049999999998</v>
      </c>
      <c r="Y2809">
        <v>-9.7362710000000005E-2</v>
      </c>
      <c r="Z2809">
        <v>8.7501279999999896E-4</v>
      </c>
      <c r="AA2809">
        <v>0.99524860000000004</v>
      </c>
      <c r="AB2809">
        <v>35</v>
      </c>
      <c r="AC2809">
        <v>113.651</v>
      </c>
      <c r="AD2809">
        <v>-0.24728999999999901</v>
      </c>
      <c r="AE2809">
        <v>11.7128999999999</v>
      </c>
      <c r="AF2809">
        <v>-11.1584252183528</v>
      </c>
      <c r="AG2809">
        <v>-0.24728999999999901</v>
      </c>
      <c r="AH2809">
        <v>113.706240243126</v>
      </c>
      <c r="AI2809">
        <v>90.124011806434893</v>
      </c>
      <c r="AJ2809">
        <v>95.604706866626501</v>
      </c>
      <c r="AK2809">
        <v>114.25270533307</v>
      </c>
      <c r="AL2809">
        <v>76.160901953949093</v>
      </c>
      <c r="AM2809">
        <v>88.001156677926403</v>
      </c>
      <c r="AN2809">
        <v>1.00000002526618</v>
      </c>
    </row>
    <row r="2810" spans="1:40" x14ac:dyDescent="0.25">
      <c r="A2810" t="str">
        <f>"20190303170821374"</f>
        <v>20190303170821374</v>
      </c>
      <c r="B2810" t="str">
        <f>"1551604101366211"</f>
        <v>1551604101366211</v>
      </c>
      <c r="C2810" t="s">
        <v>40</v>
      </c>
      <c r="D2810">
        <v>4.534618</v>
      </c>
      <c r="E2810">
        <v>0.4533623</v>
      </c>
      <c r="F2810" t="s">
        <v>53</v>
      </c>
      <c r="G2810">
        <v>-157.25</v>
      </c>
      <c r="H2810">
        <v>0.94872670000000003</v>
      </c>
      <c r="I2810">
        <v>225.8759</v>
      </c>
      <c r="J2810">
        <v>-270.56420000000003</v>
      </c>
      <c r="K2810">
        <v>1.1213489999999999</v>
      </c>
      <c r="L2810">
        <v>214.09190000000001</v>
      </c>
      <c r="M2810">
        <v>0.99988379999999999</v>
      </c>
      <c r="N2810">
        <v>-1.4421430000000001E-2</v>
      </c>
      <c r="O2810">
        <v>4.953346E-3</v>
      </c>
      <c r="P2810">
        <v>0.97394919999999996</v>
      </c>
      <c r="Q2810">
        <v>0.22493050000000001</v>
      </c>
      <c r="R2810">
        <v>-2.8799769999999999E-2</v>
      </c>
      <c r="S2810">
        <v>3.0910340000000001</v>
      </c>
      <c r="T2810">
        <v>-4.6937469999999998E-3</v>
      </c>
      <c r="U2810">
        <v>0.32054139999999998</v>
      </c>
      <c r="V2810">
        <v>3.3594319999999997E-2</v>
      </c>
      <c r="W2810">
        <v>0.2389549</v>
      </c>
      <c r="X2810">
        <v>0.97044940000000002</v>
      </c>
      <c r="Y2810">
        <v>-9.8217760000000001E-2</v>
      </c>
      <c r="Z2810">
        <v>8.4827899999999996E-4</v>
      </c>
      <c r="AA2810">
        <v>0.99516459999999995</v>
      </c>
      <c r="AB2810">
        <v>35</v>
      </c>
      <c r="AC2810">
        <v>113.3142</v>
      </c>
      <c r="AD2810">
        <v>-0.17262229999999901</v>
      </c>
      <c r="AE2810">
        <v>11.783999999999899</v>
      </c>
      <c r="AF2810">
        <v>-11.2224868592109</v>
      </c>
      <c r="AG2810">
        <v>-0.17262229999999901</v>
      </c>
      <c r="AH2810">
        <v>113.37092559216001</v>
      </c>
      <c r="AI2810">
        <v>90.086816059950394</v>
      </c>
      <c r="AJ2810">
        <v>95.653241065930899</v>
      </c>
      <c r="AK2810">
        <v>113.925154287307</v>
      </c>
      <c r="AL2810">
        <v>76.175134493772106</v>
      </c>
      <c r="AM2810">
        <v>88.017367589126593</v>
      </c>
      <c r="AN2810">
        <v>1.00000003026531</v>
      </c>
    </row>
    <row r="2811" spans="1:40" x14ac:dyDescent="0.25">
      <c r="A2811" t="str">
        <f>"20190303170821397"</f>
        <v>20190303170821397</v>
      </c>
      <c r="B2811" t="str">
        <f>"1551604101385730"</f>
        <v>1551604101385730</v>
      </c>
      <c r="C2811" t="s">
        <v>40</v>
      </c>
      <c r="D2811">
        <v>4.5592300000000003</v>
      </c>
      <c r="E2811">
        <v>0.45328059999999998</v>
      </c>
      <c r="F2811" t="s">
        <v>53</v>
      </c>
      <c r="G2811">
        <v>-157.25</v>
      </c>
      <c r="H2811">
        <v>0.95642660000000002</v>
      </c>
      <c r="I2811">
        <v>225.9</v>
      </c>
      <c r="J2811">
        <v>-270.21429999999998</v>
      </c>
      <c r="K2811">
        <v>1.1213280000000001</v>
      </c>
      <c r="L2811">
        <v>214.09379999999999</v>
      </c>
      <c r="M2811">
        <v>0.99988569999999999</v>
      </c>
      <c r="N2811">
        <v>-1.4270430000000001E-2</v>
      </c>
      <c r="O2811">
        <v>5.0359100000000002E-3</v>
      </c>
      <c r="P2811">
        <v>0.97393039999999997</v>
      </c>
      <c r="Q2811">
        <v>0.22504350000000001</v>
      </c>
      <c r="R2811">
        <v>-2.855955E-2</v>
      </c>
      <c r="S2811">
        <v>3.0908199999999999</v>
      </c>
      <c r="T2811">
        <v>-4.4969320000000004E-3</v>
      </c>
      <c r="U2811">
        <v>0.32208249999999999</v>
      </c>
      <c r="V2811">
        <v>3.342995E-2</v>
      </c>
      <c r="W2811">
        <v>0.23892160000000001</v>
      </c>
      <c r="X2811">
        <v>0.97046330000000003</v>
      </c>
      <c r="Y2811">
        <v>-9.8633600000000002E-2</v>
      </c>
      <c r="Z2811">
        <v>8.4164369999999904E-4</v>
      </c>
      <c r="AA2811">
        <v>0.99512339999999999</v>
      </c>
      <c r="AB2811">
        <v>35</v>
      </c>
      <c r="AC2811">
        <v>112.964299999999</v>
      </c>
      <c r="AD2811">
        <v>-0.1649014</v>
      </c>
      <c r="AE2811">
        <v>11.8062</v>
      </c>
      <c r="AF2811">
        <v>-11.237090714752901</v>
      </c>
      <c r="AG2811">
        <v>-0.1649014</v>
      </c>
      <c r="AH2811">
        <v>113.022090055116</v>
      </c>
      <c r="AI2811">
        <v>90.083185446751699</v>
      </c>
      <c r="AJ2811">
        <v>95.677906846340605</v>
      </c>
      <c r="AK2811">
        <v>113.579453426358</v>
      </c>
      <c r="AL2811">
        <v>76.177099698571595</v>
      </c>
      <c r="AM2811">
        <v>88.027088746984504</v>
      </c>
      <c r="AN2811">
        <v>1.0000000545752199</v>
      </c>
    </row>
    <row r="2812" spans="1:40" x14ac:dyDescent="0.25">
      <c r="A2812" t="str">
        <f>"20190303170821420"</f>
        <v>20190303170821420</v>
      </c>
      <c r="B2812" t="str">
        <f>"1551604101415987"</f>
        <v>1551604101415987</v>
      </c>
      <c r="C2812" t="s">
        <v>40</v>
      </c>
      <c r="D2812">
        <v>4.5588290000000002</v>
      </c>
      <c r="E2812">
        <v>0.45320270000000001</v>
      </c>
      <c r="F2812" t="s">
        <v>53</v>
      </c>
      <c r="G2812">
        <v>-157.25</v>
      </c>
      <c r="H2812">
        <v>0.99541279999999999</v>
      </c>
      <c r="I2812">
        <v>225.92699999999999</v>
      </c>
      <c r="J2812">
        <v>-269.84930000000003</v>
      </c>
      <c r="K2812">
        <v>1.121299</v>
      </c>
      <c r="L2812">
        <v>214.09569999999999</v>
      </c>
      <c r="M2812">
        <v>0.99988750000000004</v>
      </c>
      <c r="N2812">
        <v>-1.408943E-2</v>
      </c>
      <c r="O2812">
        <v>5.125386E-3</v>
      </c>
      <c r="P2812">
        <v>0.97395310000000002</v>
      </c>
      <c r="Q2812">
        <v>0.2249235</v>
      </c>
      <c r="R2812">
        <v>-2.8725440000000001E-2</v>
      </c>
      <c r="S2812">
        <v>3.090576</v>
      </c>
      <c r="T2812">
        <v>-3.4433599999999999E-3</v>
      </c>
      <c r="U2812">
        <v>0.32374570000000003</v>
      </c>
      <c r="V2812">
        <v>3.3679420000000002E-2</v>
      </c>
      <c r="W2812">
        <v>0.23862710000000001</v>
      </c>
      <c r="X2812">
        <v>0.97052709999999998</v>
      </c>
      <c r="Y2812">
        <v>-9.9082699999999996E-2</v>
      </c>
      <c r="Z2812">
        <v>8.2132850000000003E-4</v>
      </c>
      <c r="AA2812">
        <v>0.99507889999999999</v>
      </c>
      <c r="AB2812">
        <v>35</v>
      </c>
      <c r="AC2812">
        <v>112.5993</v>
      </c>
      <c r="AD2812">
        <v>-0.125886199999999</v>
      </c>
      <c r="AE2812">
        <v>11.831300000000001</v>
      </c>
      <c r="AF2812">
        <v>-11.253958427550399</v>
      </c>
      <c r="AG2812">
        <v>-0.125886199999999</v>
      </c>
      <c r="AH2812">
        <v>112.658327456424</v>
      </c>
      <c r="AI2812">
        <v>90.063706114992399</v>
      </c>
      <c r="AJ2812">
        <v>95.704613826143998</v>
      </c>
      <c r="AK2812">
        <v>113.219106925039</v>
      </c>
      <c r="AL2812">
        <v>76.194475479955699</v>
      </c>
      <c r="AM2812">
        <v>88.012508277780796</v>
      </c>
      <c r="AN2812">
        <v>1.0000000240101701</v>
      </c>
    </row>
    <row r="2813" spans="1:40" x14ac:dyDescent="0.25">
      <c r="A2813" t="str">
        <f>"20190303170821446"</f>
        <v>20190303170821446</v>
      </c>
      <c r="B2813" t="str">
        <f>"1551604101435507"</f>
        <v>1551604101435507</v>
      </c>
      <c r="C2813" t="s">
        <v>40</v>
      </c>
      <c r="D2813">
        <v>4.595688</v>
      </c>
      <c r="E2813">
        <v>0.45314710000000002</v>
      </c>
      <c r="F2813" t="s">
        <v>53</v>
      </c>
      <c r="G2813">
        <v>-157.25</v>
      </c>
      <c r="H2813">
        <v>0.9997644</v>
      </c>
      <c r="I2813">
        <v>225.87569999999999</v>
      </c>
      <c r="J2813">
        <v>-269.45650000000001</v>
      </c>
      <c r="K2813">
        <v>1.121265</v>
      </c>
      <c r="L2813">
        <v>214.09790000000001</v>
      </c>
      <c r="M2813">
        <v>0.9998901</v>
      </c>
      <c r="N2813">
        <v>-1.388141E-2</v>
      </c>
      <c r="O2813">
        <v>5.2223679999999998E-3</v>
      </c>
      <c r="P2813">
        <v>0.97401219999999999</v>
      </c>
      <c r="Q2813">
        <v>0.22466649999999999</v>
      </c>
      <c r="R2813">
        <v>-2.8728009999999998E-2</v>
      </c>
      <c r="S2813">
        <v>3.090576</v>
      </c>
      <c r="T2813">
        <v>-3.3342839999999999E-3</v>
      </c>
      <c r="U2813">
        <v>0.3233337</v>
      </c>
      <c r="V2813">
        <v>3.3777090000000003E-2</v>
      </c>
      <c r="W2813">
        <v>0.23816860000000001</v>
      </c>
      <c r="X2813">
        <v>0.97063630000000001</v>
      </c>
      <c r="Y2813">
        <v>-9.8855040000000005E-2</v>
      </c>
      <c r="Z2813">
        <v>8.0789360000000005E-4</v>
      </c>
      <c r="AA2813">
        <v>0.99510149999999997</v>
      </c>
      <c r="AB2813">
        <v>35</v>
      </c>
      <c r="AC2813">
        <v>112.20650000000001</v>
      </c>
      <c r="AD2813">
        <v>-0.121500599999999</v>
      </c>
      <c r="AE2813">
        <v>11.7777999999999</v>
      </c>
      <c r="AF2813">
        <v>-11.191586331489001</v>
      </c>
      <c r="AG2813">
        <v>-0.121500599999999</v>
      </c>
      <c r="AH2813">
        <v>112.26635331093</v>
      </c>
      <c r="AI2813">
        <v>90.061702674366799</v>
      </c>
      <c r="AJ2813">
        <v>95.692882235506303</v>
      </c>
      <c r="AK2813">
        <v>112.82287202843899</v>
      </c>
      <c r="AL2813">
        <v>76.221525180078899</v>
      </c>
      <c r="AM2813">
        <v>88.006973279973593</v>
      </c>
      <c r="AN2813">
        <v>1.0000000003562499</v>
      </c>
    </row>
    <row r="2814" spans="1:40" x14ac:dyDescent="0.25">
      <c r="A2814" t="str">
        <f>"20190303170821473"</f>
        <v>20190303170821473</v>
      </c>
      <c r="B2814" t="str">
        <f>"1551604101465763"</f>
        <v>1551604101465763</v>
      </c>
      <c r="C2814" t="s">
        <v>40</v>
      </c>
      <c r="D2814">
        <v>4.5972989999999996</v>
      </c>
      <c r="E2814">
        <v>0.45296969999999998</v>
      </c>
      <c r="F2814" t="s">
        <v>53</v>
      </c>
      <c r="G2814">
        <v>-157.25</v>
      </c>
      <c r="H2814">
        <v>0.96970940000000005</v>
      </c>
      <c r="I2814">
        <v>225.8331</v>
      </c>
      <c r="J2814">
        <v>-269.04430000000002</v>
      </c>
      <c r="K2814">
        <v>1.1212299999999999</v>
      </c>
      <c r="L2814">
        <v>214.1001</v>
      </c>
      <c r="M2814">
        <v>0.99989249999999996</v>
      </c>
      <c r="N2814">
        <v>-1.3660769999999999E-2</v>
      </c>
      <c r="O2814">
        <v>5.3268719999999999E-3</v>
      </c>
      <c r="P2814">
        <v>0.97396320000000003</v>
      </c>
      <c r="Q2814">
        <v>0.22495019999999999</v>
      </c>
      <c r="R2814">
        <v>-2.8165840000000001E-2</v>
      </c>
      <c r="S2814">
        <v>3.0905459999999998</v>
      </c>
      <c r="T2814">
        <v>-4.1728019999999998E-3</v>
      </c>
      <c r="U2814">
        <v>0.32322689999999998</v>
      </c>
      <c r="V2814">
        <v>3.3318540000000001E-2</v>
      </c>
      <c r="W2814">
        <v>0.2382367</v>
      </c>
      <c r="X2814">
        <v>0.97063540000000004</v>
      </c>
      <c r="Y2814">
        <v>-9.8717819999999998E-2</v>
      </c>
      <c r="Z2814">
        <v>8.0801970000000001E-4</v>
      </c>
      <c r="AA2814">
        <v>0.99511519999999998</v>
      </c>
      <c r="AB2814">
        <v>35</v>
      </c>
      <c r="AC2814">
        <v>111.79430000000001</v>
      </c>
      <c r="AD2814">
        <v>-0.15152059999999901</v>
      </c>
      <c r="AE2814">
        <v>11.733000000000001</v>
      </c>
      <c r="AF2814">
        <v>-11.1372437670233</v>
      </c>
      <c r="AG2814">
        <v>-0.15152059999999901</v>
      </c>
      <c r="AH2814">
        <v>111.855016364509</v>
      </c>
      <c r="AI2814">
        <v>90.077231845081997</v>
      </c>
      <c r="AJ2814">
        <v>95.686117587359206</v>
      </c>
      <c r="AK2814">
        <v>112.40821074602501</v>
      </c>
      <c r="AL2814">
        <v>76.217507199681606</v>
      </c>
      <c r="AM2814">
        <v>88.034006952074606</v>
      </c>
      <c r="AN2814">
        <v>0.99999996503388999</v>
      </c>
    </row>
    <row r="2815" spans="1:40" x14ac:dyDescent="0.25">
      <c r="A2815" t="str">
        <f>"20190303170821496"</f>
        <v>20190303170821496</v>
      </c>
      <c r="B2815" t="str">
        <f>"1551604101486259"</f>
        <v>1551604101486259</v>
      </c>
      <c r="C2815" t="s">
        <v>40</v>
      </c>
      <c r="D2815">
        <v>4.6493089999999997</v>
      </c>
      <c r="E2815">
        <v>0.4528413</v>
      </c>
      <c r="F2815" t="s">
        <v>53</v>
      </c>
      <c r="G2815">
        <v>-157.25</v>
      </c>
      <c r="H2815">
        <v>1.0327569999999999</v>
      </c>
      <c r="I2815">
        <v>225.90430000000001</v>
      </c>
      <c r="J2815">
        <v>-268.67739999999998</v>
      </c>
      <c r="K2815">
        <v>1.121197</v>
      </c>
      <c r="L2815">
        <v>214.10220000000001</v>
      </c>
      <c r="M2815">
        <v>0.99989470000000003</v>
      </c>
      <c r="N2815">
        <v>-1.3468849999999999E-2</v>
      </c>
      <c r="O2815">
        <v>5.419086E-3</v>
      </c>
      <c r="P2815">
        <v>0.9740453</v>
      </c>
      <c r="Q2815">
        <v>0.22470699999999999</v>
      </c>
      <c r="R2815">
        <v>-2.7259149999999999E-2</v>
      </c>
      <c r="S2815">
        <v>3.0902400000000001</v>
      </c>
      <c r="T2815">
        <v>-2.4440289999999999E-3</v>
      </c>
      <c r="U2815">
        <v>0.32629390000000003</v>
      </c>
      <c r="V2815">
        <v>3.2503129999999998E-2</v>
      </c>
      <c r="W2815">
        <v>0.23780879999999999</v>
      </c>
      <c r="X2815">
        <v>0.97076799999999996</v>
      </c>
      <c r="Y2815">
        <v>-9.9613499999999994E-2</v>
      </c>
      <c r="Z2815">
        <v>7.8053550000000001E-4</v>
      </c>
      <c r="AA2815">
        <v>0.99502590000000002</v>
      </c>
      <c r="AB2815">
        <v>35</v>
      </c>
      <c r="AC2815">
        <v>111.427399999999</v>
      </c>
      <c r="AD2815">
        <v>-8.8440000000000005E-2</v>
      </c>
      <c r="AE2815">
        <v>11.8020999999999</v>
      </c>
      <c r="AF2815">
        <v>-11.1980303131313</v>
      </c>
      <c r="AG2815">
        <v>-8.8440000000000005E-2</v>
      </c>
      <c r="AH2815">
        <v>111.489656511371</v>
      </c>
      <c r="AI2815">
        <v>90.0452227582646</v>
      </c>
      <c r="AJ2815">
        <v>95.735557273630207</v>
      </c>
      <c r="AK2815">
        <v>112.05064575249401</v>
      </c>
      <c r="AL2815">
        <v>76.242749951197993</v>
      </c>
      <c r="AM2815">
        <v>88.0823464113341</v>
      </c>
      <c r="AN2815">
        <v>0.99999999432061804</v>
      </c>
    </row>
    <row r="2816" spans="1:40" x14ac:dyDescent="0.25">
      <c r="A2816" t="str">
        <f>"20190303170821533"</f>
        <v>20190303170821533</v>
      </c>
      <c r="B2816" t="str">
        <f>"1551604101526275"</f>
        <v>1551604101526275</v>
      </c>
      <c r="C2816" t="s">
        <v>40</v>
      </c>
      <c r="D2816">
        <v>4.6691820000000002</v>
      </c>
      <c r="E2816">
        <v>0.45260119999999998</v>
      </c>
      <c r="F2816" t="s">
        <v>53</v>
      </c>
      <c r="G2816">
        <v>-157.25</v>
      </c>
      <c r="H2816">
        <v>1.011341</v>
      </c>
      <c r="I2816">
        <v>226.0044</v>
      </c>
      <c r="J2816">
        <v>-268.11079999999998</v>
      </c>
      <c r="K2816">
        <v>1.1211799999999901</v>
      </c>
      <c r="L2816">
        <v>214.1054</v>
      </c>
      <c r="M2816">
        <v>0.99989760000000005</v>
      </c>
      <c r="N2816">
        <v>-1.319623E-2</v>
      </c>
      <c r="O2816">
        <v>5.5557289999999997E-3</v>
      </c>
      <c r="P2816">
        <v>0.97378600000000004</v>
      </c>
      <c r="Q2816">
        <v>0.22590460000000001</v>
      </c>
      <c r="R2816">
        <v>-2.6615750000000001E-2</v>
      </c>
      <c r="S2816">
        <v>3.089874</v>
      </c>
      <c r="T2816">
        <v>-3.044724E-3</v>
      </c>
      <c r="U2816">
        <v>0.330047599999999</v>
      </c>
      <c r="V2816">
        <v>3.1990699999999997E-2</v>
      </c>
      <c r="W2816">
        <v>0.2387378</v>
      </c>
      <c r="X2816">
        <v>0.970557</v>
      </c>
      <c r="Y2816">
        <v>-0.10068489999999999</v>
      </c>
      <c r="Z2816">
        <v>7.8336970000000004E-4</v>
      </c>
      <c r="AA2816">
        <v>0.99491799999999997</v>
      </c>
      <c r="AB2816">
        <v>35</v>
      </c>
      <c r="AC2816">
        <v>110.860799999999</v>
      </c>
      <c r="AD2816">
        <v>-0.10983899999999901</v>
      </c>
      <c r="AE2816">
        <v>11.898999999999999</v>
      </c>
      <c r="AF2816">
        <v>-11.2828392496509</v>
      </c>
      <c r="AG2816">
        <v>-0.10983899999999901</v>
      </c>
      <c r="AH2816">
        <v>110.925094486909</v>
      </c>
      <c r="AI2816">
        <v>90.056443530092494</v>
      </c>
      <c r="AJ2816">
        <v>95.807913575112906</v>
      </c>
      <c r="AK2816">
        <v>111.497493752412</v>
      </c>
      <c r="AL2816">
        <v>76.187943953370194</v>
      </c>
      <c r="AM2816">
        <v>88.112147214099096</v>
      </c>
      <c r="AN2816">
        <v>1.0000000161421601</v>
      </c>
    </row>
    <row r="2817" spans="1:40" x14ac:dyDescent="0.25">
      <c r="A2817" t="str">
        <f>"20190303170821554"</f>
        <v>20190303170821554</v>
      </c>
      <c r="B2817" t="str">
        <f>"1551604101545795"</f>
        <v>1551604101545795</v>
      </c>
      <c r="C2817" t="s">
        <v>40</v>
      </c>
      <c r="D2817">
        <v>4.6894039999999997</v>
      </c>
      <c r="E2817">
        <v>0.45246009999999998</v>
      </c>
      <c r="F2817" t="s">
        <v>53</v>
      </c>
      <c r="G2817">
        <v>-157.25</v>
      </c>
      <c r="H2817">
        <v>1.1674009999999999</v>
      </c>
      <c r="I2817">
        <v>226.07900000000001</v>
      </c>
      <c r="J2817">
        <v>-267.76150000000001</v>
      </c>
      <c r="K2817">
        <v>1.1211660000000001</v>
      </c>
      <c r="L2817">
        <v>214.10740000000001</v>
      </c>
      <c r="M2817">
        <v>0.99989910000000004</v>
      </c>
      <c r="N2817">
        <v>-1.304368E-2</v>
      </c>
      <c r="O2817">
        <v>5.6362599999999997E-3</v>
      </c>
      <c r="P2817">
        <v>0.97386099999999998</v>
      </c>
      <c r="Q2817">
        <v>0.22558210000000001</v>
      </c>
      <c r="R2817">
        <v>-2.660473E-2</v>
      </c>
      <c r="S2817">
        <v>3.0895999999999999</v>
      </c>
      <c r="T2817">
        <v>1.289725E-3</v>
      </c>
      <c r="U2817">
        <v>0.33369450000000001</v>
      </c>
      <c r="V2817">
        <v>3.2057790000000003E-2</v>
      </c>
      <c r="W2817">
        <v>0.2382686</v>
      </c>
      <c r="X2817">
        <v>0.97067000000000003</v>
      </c>
      <c r="Y2817">
        <v>-0.10177609999999999</v>
      </c>
      <c r="Z2817">
        <v>7.2019749999999996E-4</v>
      </c>
      <c r="AA2817">
        <v>0.99480710000000006</v>
      </c>
      <c r="AB2817">
        <v>35</v>
      </c>
      <c r="AC2817">
        <v>110.5115</v>
      </c>
      <c r="AD2817">
        <v>4.6234999999999998E-2</v>
      </c>
      <c r="AE2817">
        <v>11.971599999999899</v>
      </c>
      <c r="AF2817">
        <v>-11.3484833445416</v>
      </c>
      <c r="AG2817">
        <v>4.6234999999999998E-2</v>
      </c>
      <c r="AH2817">
        <v>110.577206011181</v>
      </c>
      <c r="AI2817">
        <v>89.976168430407299</v>
      </c>
      <c r="AJ2817">
        <v>95.859721541910901</v>
      </c>
      <c r="AK2817">
        <v>111.158034802419</v>
      </c>
      <c r="AL2817">
        <v>76.215624894563902</v>
      </c>
      <c r="AM2817">
        <v>88.108411009892194</v>
      </c>
      <c r="AN2817">
        <v>0.99999993827281997</v>
      </c>
    </row>
    <row r="2818" spans="1:40" x14ac:dyDescent="0.25">
      <c r="A2818" t="str">
        <f>"20190303170821575"</f>
        <v>20190303170821575</v>
      </c>
      <c r="B2818" t="str">
        <f>"1551604101566056"</f>
        <v>1551604101566056</v>
      </c>
      <c r="C2818" t="s">
        <v>40</v>
      </c>
      <c r="D2818">
        <v>4.7190880000000002</v>
      </c>
      <c r="E2818">
        <v>0.4523084</v>
      </c>
      <c r="F2818" t="s">
        <v>53</v>
      </c>
      <c r="G2818">
        <v>-157.25</v>
      </c>
      <c r="H2818">
        <v>1.134136</v>
      </c>
      <c r="I2818">
        <v>226.08699999999999</v>
      </c>
      <c r="J2818">
        <v>-267.42489999999998</v>
      </c>
      <c r="K2818">
        <v>1.121154</v>
      </c>
      <c r="L2818">
        <v>214.10939999999999</v>
      </c>
      <c r="M2818">
        <v>0.99990049999999997</v>
      </c>
      <c r="N2818">
        <v>-1.290344E-2</v>
      </c>
      <c r="O2818">
        <v>5.7135329999999998E-3</v>
      </c>
      <c r="P2818">
        <v>0.97420019999999996</v>
      </c>
      <c r="Q2818">
        <v>0.22411049999999999</v>
      </c>
      <c r="R2818">
        <v>-2.6622659999999999E-2</v>
      </c>
      <c r="S2818">
        <v>3.0895999999999999</v>
      </c>
      <c r="T2818">
        <v>3.6418440000000001E-4</v>
      </c>
      <c r="U2818">
        <v>0.33491520000000002</v>
      </c>
      <c r="V2818">
        <v>3.2152210000000001E-2</v>
      </c>
      <c r="W2818">
        <v>0.23666509999999999</v>
      </c>
      <c r="X2818">
        <v>0.97105909999999995</v>
      </c>
      <c r="Y2818">
        <v>-0.1020875</v>
      </c>
      <c r="Z2818">
        <v>7.2878149999999905E-4</v>
      </c>
      <c r="AA2818">
        <v>0.99477519999999997</v>
      </c>
      <c r="AB2818">
        <v>35</v>
      </c>
      <c r="AC2818">
        <v>110.174899999999</v>
      </c>
      <c r="AD2818">
        <v>1.2982E-2</v>
      </c>
      <c r="AE2818">
        <v>11.977600000000001</v>
      </c>
      <c r="AF2818">
        <v>-11.347864019284399</v>
      </c>
      <c r="AG2818">
        <v>1.2982E-2</v>
      </c>
      <c r="AH2818">
        <v>110.24153997883499</v>
      </c>
      <c r="AI2818">
        <v>89.993288336123399</v>
      </c>
      <c r="AJ2818">
        <v>95.877120140047197</v>
      </c>
      <c r="AK2818">
        <v>110.824055706501</v>
      </c>
      <c r="AL2818">
        <v>76.310204304346399</v>
      </c>
      <c r="AM2818">
        <v>88.103603395596494</v>
      </c>
      <c r="AN2818">
        <v>0.99999995492935101</v>
      </c>
    </row>
    <row r="2819" spans="1:40" x14ac:dyDescent="0.25">
      <c r="A2819" t="str">
        <f>"20190303170821598"</f>
        <v>20190303170821598</v>
      </c>
      <c r="B2819" t="str">
        <f>"1551604101585576"</f>
        <v>1551604101585576</v>
      </c>
      <c r="C2819" t="s">
        <v>40</v>
      </c>
      <c r="D2819">
        <v>4.7179219999999997</v>
      </c>
      <c r="E2819">
        <v>0.45224120000000001</v>
      </c>
      <c r="F2819" t="s">
        <v>53</v>
      </c>
      <c r="G2819">
        <v>-157.25</v>
      </c>
      <c r="H2819">
        <v>0.96275230000000001</v>
      </c>
      <c r="I2819">
        <v>226.08359999999999</v>
      </c>
      <c r="J2819">
        <v>-267.07479999999998</v>
      </c>
      <c r="K2819">
        <v>1.1211359999999999</v>
      </c>
      <c r="L2819">
        <v>214.11150000000001</v>
      </c>
      <c r="M2819">
        <v>0.99990190000000001</v>
      </c>
      <c r="N2819">
        <v>-1.275391E-2</v>
      </c>
      <c r="O2819">
        <v>5.794301E-3</v>
      </c>
      <c r="P2819">
        <v>0.97446860000000002</v>
      </c>
      <c r="Q2819">
        <v>0.2229515</v>
      </c>
      <c r="R2819">
        <v>-2.6529319999999999E-2</v>
      </c>
      <c r="S2819">
        <v>3.0896910000000002</v>
      </c>
      <c r="T2819">
        <v>-4.4405460000000001E-3</v>
      </c>
      <c r="U2819">
        <v>0.33580019999999999</v>
      </c>
      <c r="V2819">
        <v>3.2139099999999997E-2</v>
      </c>
      <c r="W2819">
        <v>0.2353644</v>
      </c>
      <c r="X2819">
        <v>0.97137560000000001</v>
      </c>
      <c r="Y2819">
        <v>-0.1022844</v>
      </c>
      <c r="Z2819">
        <v>7.9288440000000002E-4</v>
      </c>
      <c r="AA2819">
        <v>0.9947549</v>
      </c>
      <c r="AB2819">
        <v>35</v>
      </c>
      <c r="AC2819">
        <v>109.824799999999</v>
      </c>
      <c r="AD2819">
        <v>-0.15838369999999999</v>
      </c>
      <c r="AE2819">
        <v>11.9720999999999</v>
      </c>
      <c r="AF2819">
        <v>-11.335465995966899</v>
      </c>
      <c r="AG2819">
        <v>-0.15838369999999999</v>
      </c>
      <c r="AH2819">
        <v>109.89210578319999</v>
      </c>
      <c r="AI2819">
        <v>90.082142527206202</v>
      </c>
      <c r="AJ2819">
        <v>95.889280758959501</v>
      </c>
      <c r="AK2819">
        <v>110.475303974274</v>
      </c>
      <c r="AL2819">
        <v>76.3868952862301</v>
      </c>
      <c r="AM2819">
        <v>88.104993277572206</v>
      </c>
      <c r="AN2819">
        <v>0.99999993940576304</v>
      </c>
    </row>
    <row r="2820" spans="1:40" x14ac:dyDescent="0.25">
      <c r="A2820" t="str">
        <f>"20190303170821621"</f>
        <v>20190303170821621</v>
      </c>
      <c r="B2820" t="str">
        <f>"1551604101615832"</f>
        <v>1551604101615832</v>
      </c>
      <c r="C2820" t="s">
        <v>40</v>
      </c>
      <c r="D2820">
        <v>4.7395250000000004</v>
      </c>
      <c r="E2820">
        <v>0.45213900000000001</v>
      </c>
      <c r="F2820" t="s">
        <v>53</v>
      </c>
      <c r="G2820">
        <v>-157.25</v>
      </c>
      <c r="H2820">
        <v>0.83628939999999996</v>
      </c>
      <c r="I2820">
        <v>226.08170000000001</v>
      </c>
      <c r="J2820">
        <v>-266.71359999999999</v>
      </c>
      <c r="K2820">
        <v>1.121113</v>
      </c>
      <c r="L2820">
        <v>214.11359999999999</v>
      </c>
      <c r="M2820">
        <v>0.99990349999999995</v>
      </c>
      <c r="N2820">
        <v>-1.25936E-2</v>
      </c>
      <c r="O2820">
        <v>5.8790469999999897E-3</v>
      </c>
      <c r="P2820">
        <v>0.9744718</v>
      </c>
      <c r="Q2820">
        <v>0.222829</v>
      </c>
      <c r="R2820">
        <v>-2.7423639999999999E-2</v>
      </c>
      <c r="S2820">
        <v>3.0895999999999999</v>
      </c>
      <c r="T2820">
        <v>-8.0116990000000006E-3</v>
      </c>
      <c r="U2820">
        <v>0.3367462</v>
      </c>
      <c r="V2820">
        <v>3.311625E-2</v>
      </c>
      <c r="W2820">
        <v>0.2350863</v>
      </c>
      <c r="X2820">
        <v>0.9714102</v>
      </c>
      <c r="Y2820">
        <v>-0.10250330000000001</v>
      </c>
      <c r="Z2820">
        <v>8.3852009999999997E-4</v>
      </c>
      <c r="AA2820">
        <v>0.99473230000000001</v>
      </c>
      <c r="AB2820">
        <v>35</v>
      </c>
      <c r="AC2820">
        <v>109.4636</v>
      </c>
      <c r="AD2820">
        <v>-0.28482359999999901</v>
      </c>
      <c r="AE2820">
        <v>11.9681</v>
      </c>
      <c r="AF2820">
        <v>-11.324224741434399</v>
      </c>
      <c r="AG2820">
        <v>-0.28482359999999901</v>
      </c>
      <c r="AH2820">
        <v>109.531341766808</v>
      </c>
      <c r="AI2820">
        <v>90.148200763709895</v>
      </c>
      <c r="AJ2820">
        <v>95.902723268161907</v>
      </c>
      <c r="AK2820">
        <v>110.115548492095</v>
      </c>
      <c r="AL2820">
        <v>76.403290299331303</v>
      </c>
      <c r="AM2820">
        <v>88.047491352283998</v>
      </c>
      <c r="AN2820">
        <v>1.0000000155628901</v>
      </c>
    </row>
    <row r="2821" spans="1:40" x14ac:dyDescent="0.25">
      <c r="A2821" t="str">
        <f>"20190303170821645"</f>
        <v>20190303170821645</v>
      </c>
      <c r="B2821" t="str">
        <f>"1551604101635352"</f>
        <v>1551604101635352</v>
      </c>
      <c r="C2821" t="s">
        <v>40</v>
      </c>
      <c r="D2821">
        <v>4.8243970000000003</v>
      </c>
      <c r="E2821">
        <v>0.46842210000000001</v>
      </c>
      <c r="F2821" t="s">
        <v>53</v>
      </c>
      <c r="G2821">
        <v>-157.25</v>
      </c>
      <c r="H2821">
        <v>0.82947059999999995</v>
      </c>
      <c r="I2821">
        <v>225.9854</v>
      </c>
      <c r="J2821">
        <v>-266.35610000000003</v>
      </c>
      <c r="K2821">
        <v>1.121094</v>
      </c>
      <c r="L2821">
        <v>214.11580000000001</v>
      </c>
      <c r="M2821">
        <v>0.99990500000000004</v>
      </c>
      <c r="N2821">
        <v>-1.243495E-2</v>
      </c>
      <c r="O2821">
        <v>5.9635309999999898E-3</v>
      </c>
      <c r="P2821">
        <v>0.97430309999999998</v>
      </c>
      <c r="Q2821">
        <v>0.22347700000000001</v>
      </c>
      <c r="R2821">
        <v>-2.8139460000000002E-2</v>
      </c>
      <c r="S2821">
        <v>3.0899049999999999</v>
      </c>
      <c r="T2821">
        <v>-8.2308050000000008E-3</v>
      </c>
      <c r="U2821">
        <v>0.33511350000000001</v>
      </c>
      <c r="V2821">
        <v>3.3913579999999999E-2</v>
      </c>
      <c r="W2821">
        <v>0.23557810000000001</v>
      </c>
      <c r="X2821">
        <v>0.97126349999999995</v>
      </c>
      <c r="Y2821">
        <v>-0.1018891</v>
      </c>
      <c r="Z2821">
        <v>8.2879519999999997E-4</v>
      </c>
      <c r="AA2821">
        <v>0.9947954</v>
      </c>
      <c r="AB2821">
        <v>35</v>
      </c>
      <c r="AC2821">
        <v>109.1061</v>
      </c>
      <c r="AD2821">
        <v>-0.29162339999999998</v>
      </c>
      <c r="AE2821">
        <v>11.869599999999901</v>
      </c>
      <c r="AF2821">
        <v>-11.2186018377637</v>
      </c>
      <c r="AG2821">
        <v>-0.29162339999999998</v>
      </c>
      <c r="AH2821">
        <v>109.174178941552</v>
      </c>
      <c r="AI2821">
        <v>90.152245032203297</v>
      </c>
      <c r="AJ2821">
        <v>95.867049580277097</v>
      </c>
      <c r="AK2821">
        <v>109.749457488244</v>
      </c>
      <c r="AL2821">
        <v>76.374297481726003</v>
      </c>
      <c r="AM2821">
        <v>88.000217340849503</v>
      </c>
      <c r="AN2821">
        <v>0.99999997927013795</v>
      </c>
    </row>
    <row r="2822" spans="1:40" x14ac:dyDescent="0.25">
      <c r="A2822" t="str">
        <f>"20190303170821671"</f>
        <v>20190303170821671</v>
      </c>
      <c r="B2822" t="str">
        <f>"1551604101666186"</f>
        <v>1551604101666186</v>
      </c>
      <c r="C2822" t="s">
        <v>40</v>
      </c>
      <c r="D2822">
        <v>4.6520710000000003</v>
      </c>
      <c r="E2822">
        <v>0.48808489999999999</v>
      </c>
      <c r="F2822" t="s">
        <v>63</v>
      </c>
      <c r="G2822">
        <v>-223.47149999999999</v>
      </c>
      <c r="H2822" s="1">
        <v>2.0736079999999999E-7</v>
      </c>
      <c r="I2822">
        <v>216.97730000000001</v>
      </c>
      <c r="J2822">
        <v>-265.94900000000001</v>
      </c>
      <c r="K2822">
        <v>1.1210719999999901</v>
      </c>
      <c r="L2822">
        <v>214.11840000000001</v>
      </c>
      <c r="M2822">
        <v>0.99990659999999998</v>
      </c>
      <c r="N2822">
        <v>-1.225826E-2</v>
      </c>
      <c r="O2822">
        <v>6.0605700000000004E-3</v>
      </c>
      <c r="P2822">
        <v>0.97428919999999997</v>
      </c>
      <c r="Q2822">
        <v>0.223522</v>
      </c>
      <c r="R2822">
        <v>-2.8260690000000002E-2</v>
      </c>
      <c r="S2822">
        <v>3.103729</v>
      </c>
      <c r="T2822">
        <v>-8.1137899999999902E-2</v>
      </c>
      <c r="U2822">
        <v>0.20709230000000001</v>
      </c>
      <c r="V2822">
        <v>3.4129270000000003E-2</v>
      </c>
      <c r="W2822">
        <v>0.23545150000000001</v>
      </c>
      <c r="X2822">
        <v>0.97128669999999995</v>
      </c>
      <c r="Y2822">
        <v>-6.0497179999999998E-2</v>
      </c>
      <c r="Z2822">
        <v>1.077047E-3</v>
      </c>
      <c r="AA2822">
        <v>0.99816780000000005</v>
      </c>
      <c r="AB2822">
        <v>35</v>
      </c>
      <c r="AC2822">
        <v>42.477499999999999</v>
      </c>
      <c r="AD2822">
        <v>-1.12107179263919</v>
      </c>
      <c r="AE2822">
        <v>2.8589000000000002</v>
      </c>
      <c r="AF2822">
        <v>-2.5995877435678101</v>
      </c>
      <c r="AG2822">
        <v>-1.12107179263919</v>
      </c>
      <c r="AH2822">
        <v>42.464602518958898</v>
      </c>
      <c r="AI2822">
        <v>91.509441346821703</v>
      </c>
      <c r="AJ2822">
        <v>93.503147358661295</v>
      </c>
      <c r="AK2822">
        <v>42.558866590804897</v>
      </c>
      <c r="AL2822">
        <v>76.3817618429334</v>
      </c>
      <c r="AM2822">
        <v>87.987557200744007</v>
      </c>
      <c r="AN2822">
        <v>1.00000003475993</v>
      </c>
    </row>
    <row r="2823" spans="1:40" x14ac:dyDescent="0.25">
      <c r="A2823" t="str">
        <f>"20190303170821691"</f>
        <v>20190303170821691</v>
      </c>
      <c r="B2823" t="str">
        <f>"1551604101685705"</f>
        <v>1551604101685705</v>
      </c>
      <c r="C2823" t="s">
        <v>40</v>
      </c>
      <c r="D2823">
        <v>4.7323120000000003</v>
      </c>
      <c r="E2823">
        <v>0.53664990000000001</v>
      </c>
      <c r="F2823" t="s">
        <v>63</v>
      </c>
      <c r="G2823">
        <v>-244.01740000000001</v>
      </c>
      <c r="H2823" s="1">
        <v>6.0659360000000002E-7</v>
      </c>
      <c r="I2823">
        <v>214.48949999999999</v>
      </c>
      <c r="J2823">
        <v>-265.60969999999998</v>
      </c>
      <c r="K2823">
        <v>1.1210560000000001</v>
      </c>
      <c r="L2823">
        <v>214.12049999999999</v>
      </c>
      <c r="M2823">
        <v>0.99990769999999995</v>
      </c>
      <c r="N2823">
        <v>-1.211536E-2</v>
      </c>
      <c r="O2823">
        <v>6.1407700000000003E-3</v>
      </c>
      <c r="P2823">
        <v>0.97450139999999996</v>
      </c>
      <c r="Q2823">
        <v>0.22262670000000001</v>
      </c>
      <c r="R2823">
        <v>-2.8002280000000001E-2</v>
      </c>
      <c r="S2823">
        <v>3.1172490000000002</v>
      </c>
      <c r="T2823">
        <v>-0.1593434</v>
      </c>
      <c r="U2823">
        <v>5.2749629999999999E-2</v>
      </c>
      <c r="V2823">
        <v>3.3950649999999999E-2</v>
      </c>
      <c r="W2823">
        <v>0.23441980000000001</v>
      </c>
      <c r="X2823">
        <v>0.97154240000000003</v>
      </c>
      <c r="Y2823">
        <v>-1.0766049999999999E-2</v>
      </c>
      <c r="Z2823">
        <v>1.0093650000000001E-4</v>
      </c>
      <c r="AA2823">
        <v>0.99994209999999994</v>
      </c>
      <c r="AB2823">
        <v>35</v>
      </c>
      <c r="AC2823">
        <v>21.592299999999899</v>
      </c>
      <c r="AD2823">
        <v>-1.1210553934064</v>
      </c>
      <c r="AE2823">
        <v>0.368999999999999</v>
      </c>
      <c r="AF2823">
        <v>-0.23575463867407001</v>
      </c>
      <c r="AG2823">
        <v>-1.1210553934064</v>
      </c>
      <c r="AH2823">
        <v>21.536122992038699</v>
      </c>
      <c r="AI2823">
        <v>92.979644152380203</v>
      </c>
      <c r="AJ2823">
        <v>90.627188388148596</v>
      </c>
      <c r="AK2823">
        <v>21.566569939908401</v>
      </c>
      <c r="AL2823">
        <v>76.442575029157794</v>
      </c>
      <c r="AM2823">
        <v>87.998607447017804</v>
      </c>
      <c r="AN2823">
        <v>0.99999996213261</v>
      </c>
    </row>
    <row r="2824" spans="1:40" x14ac:dyDescent="0.25">
      <c r="A2824" t="str">
        <f>"20190303170821712"</f>
        <v>20190303170821712</v>
      </c>
      <c r="B2824" t="str">
        <f>"1551604101706202"</f>
        <v>1551604101706202</v>
      </c>
      <c r="C2824" t="s">
        <v>40</v>
      </c>
      <c r="D2824">
        <v>4.7585230000000003</v>
      </c>
      <c r="E2824">
        <v>0.53626640000000003</v>
      </c>
      <c r="F2824" t="s">
        <v>47</v>
      </c>
      <c r="G2824">
        <v>-264.64049999999997</v>
      </c>
      <c r="H2824">
        <v>0.98182630000000004</v>
      </c>
      <c r="I2824">
        <v>214.02279999999999</v>
      </c>
      <c r="J2824">
        <v>-265.30610000000001</v>
      </c>
      <c r="K2824">
        <v>1.1210359999999999</v>
      </c>
      <c r="L2824">
        <v>214.1225</v>
      </c>
      <c r="M2824">
        <v>0.99990869999999998</v>
      </c>
      <c r="N2824">
        <v>-1.1993790000000001E-2</v>
      </c>
      <c r="O2824">
        <v>6.2126069999999898E-3</v>
      </c>
      <c r="P2824">
        <v>0.97446880000000002</v>
      </c>
      <c r="Q2824">
        <v>0.22281980000000001</v>
      </c>
      <c r="R2824">
        <v>-2.7601879999999999E-2</v>
      </c>
      <c r="S2824">
        <v>3.1735229999999999</v>
      </c>
      <c r="T2824">
        <v>-0.45596389999999998</v>
      </c>
      <c r="U2824">
        <v>-0.31916809999999901</v>
      </c>
      <c r="V2824">
        <v>3.3619709999999997E-2</v>
      </c>
      <c r="W2824">
        <v>0.23449400000000001</v>
      </c>
      <c r="X2824">
        <v>0.97153599999999996</v>
      </c>
      <c r="Y2824">
        <v>0.1050354</v>
      </c>
      <c r="Z2824">
        <v>-8.9353579999999991E-3</v>
      </c>
      <c r="AA2824">
        <v>0.99442830000000004</v>
      </c>
      <c r="AB2824">
        <v>35</v>
      </c>
      <c r="AC2824">
        <v>0.66560000000004005</v>
      </c>
      <c r="AD2824">
        <v>-0.13920969999999999</v>
      </c>
      <c r="AE2824">
        <v>-9.9700000000012695E-2</v>
      </c>
      <c r="AF2824">
        <v>9.95733911179396E-2</v>
      </c>
      <c r="AG2824">
        <v>-0.13920969999999999</v>
      </c>
      <c r="AH2824">
        <v>0.63768533106627401</v>
      </c>
      <c r="AI2824">
        <v>102.17171760030899</v>
      </c>
      <c r="AJ2824">
        <v>81.125036877926107</v>
      </c>
      <c r="AK2824">
        <v>0.66025508877245298</v>
      </c>
      <c r="AL2824">
        <v>76.438201756713298</v>
      </c>
      <c r="AM2824">
        <v>88.018087697011197</v>
      </c>
      <c r="AN2824">
        <v>0.99999996011624104</v>
      </c>
    </row>
    <row r="2825" spans="1:40" x14ac:dyDescent="0.25">
      <c r="A2825" t="str">
        <f>"20190303170821733"</f>
        <v>20190303170821733</v>
      </c>
      <c r="B2825" t="str">
        <f>"1551604101725723"</f>
        <v>1551604101725723</v>
      </c>
      <c r="C2825" t="s">
        <v>40</v>
      </c>
      <c r="D2825">
        <v>4.7708389999999996</v>
      </c>
      <c r="E2825">
        <v>0.53548899999999999</v>
      </c>
      <c r="F2825" t="s">
        <v>47</v>
      </c>
      <c r="G2825">
        <v>-264.33260000000001</v>
      </c>
      <c r="H2825">
        <v>0.96900129999999995</v>
      </c>
      <c r="I2825">
        <v>214.02670000000001</v>
      </c>
      <c r="J2825">
        <v>-264.95699999999999</v>
      </c>
      <c r="K2825">
        <v>1.1210260000000001</v>
      </c>
      <c r="L2825">
        <v>214.12469999999999</v>
      </c>
      <c r="M2825">
        <v>0.99990990000000002</v>
      </c>
      <c r="N2825">
        <v>-1.1861129999999999E-2</v>
      </c>
      <c r="O2825">
        <v>6.2945789999999998E-3</v>
      </c>
      <c r="P2825">
        <v>0.9743522</v>
      </c>
      <c r="Q2825">
        <v>0.2233889</v>
      </c>
      <c r="R2825">
        <v>-2.7115549999999999E-2</v>
      </c>
      <c r="S2825">
        <v>3.1835019999999998</v>
      </c>
      <c r="T2825">
        <v>-0.49721179999999898</v>
      </c>
      <c r="U2825">
        <v>-0.31275940000000002</v>
      </c>
      <c r="V2825">
        <v>3.3212100000000001E-2</v>
      </c>
      <c r="W2825">
        <v>0.2349329</v>
      </c>
      <c r="X2825">
        <v>0.97144399999999997</v>
      </c>
      <c r="Y2825">
        <v>0.10264330000000001</v>
      </c>
      <c r="Z2825">
        <v>-9.4635459999999998E-3</v>
      </c>
      <c r="AA2825">
        <v>0.99467320000000004</v>
      </c>
      <c r="AB2825">
        <v>35</v>
      </c>
      <c r="AC2825">
        <v>0.62439999999997997</v>
      </c>
      <c r="AD2825">
        <v>-0.15202470000000001</v>
      </c>
      <c r="AE2825">
        <v>-9.7999999999984697E-2</v>
      </c>
      <c r="AF2825">
        <v>9.6354187140498496E-2</v>
      </c>
      <c r="AG2825">
        <v>-0.15202470000000001</v>
      </c>
      <c r="AH2825">
        <v>0.58965667387759901</v>
      </c>
      <c r="AI2825">
        <v>104.275653177858</v>
      </c>
      <c r="AJ2825">
        <v>80.719475672484094</v>
      </c>
      <c r="AK2825">
        <v>0.61651490804196296</v>
      </c>
      <c r="AL2825">
        <v>76.412332203849701</v>
      </c>
      <c r="AM2825">
        <v>88.041912581254195</v>
      </c>
      <c r="AN2825">
        <v>0.99999997811240904</v>
      </c>
    </row>
    <row r="2826" spans="1:40" x14ac:dyDescent="0.25">
      <c r="A2826" t="str">
        <f>"20190303170821755"</f>
        <v>20190303170821755</v>
      </c>
      <c r="B2826" t="str">
        <f>"1551604101746217"</f>
        <v>1551604101746217</v>
      </c>
      <c r="C2826" t="s">
        <v>40</v>
      </c>
      <c r="D2826">
        <v>4.7860649999999998</v>
      </c>
      <c r="E2826">
        <v>0.53515800000000002</v>
      </c>
      <c r="F2826" t="s">
        <v>47</v>
      </c>
      <c r="G2826">
        <v>-264.01769999999999</v>
      </c>
      <c r="H2826">
        <v>0.97035229999999995</v>
      </c>
      <c r="I2826">
        <v>214.0351</v>
      </c>
      <c r="J2826">
        <v>-264.60860000000002</v>
      </c>
      <c r="K2826">
        <v>1.121019</v>
      </c>
      <c r="L2826">
        <v>214.12700000000001</v>
      </c>
      <c r="M2826">
        <v>0.99991079999999999</v>
      </c>
      <c r="N2826">
        <v>-1.1738749999999999E-2</v>
      </c>
      <c r="O2826">
        <v>6.3767769999999897E-3</v>
      </c>
      <c r="P2826">
        <v>0.97440280000000001</v>
      </c>
      <c r="Q2826">
        <v>0.2232653</v>
      </c>
      <c r="R2826">
        <v>-2.6302269999999999E-2</v>
      </c>
      <c r="S2826">
        <v>3.1878359999999999</v>
      </c>
      <c r="T2826">
        <v>-0.51148839999999995</v>
      </c>
      <c r="U2826">
        <v>-0.30316159999999998</v>
      </c>
      <c r="V2826">
        <v>3.2479229999999998E-2</v>
      </c>
      <c r="W2826">
        <v>0.23469139999999999</v>
      </c>
      <c r="X2826">
        <v>0.97152720000000004</v>
      </c>
      <c r="Y2826">
        <v>9.9592689999999998E-2</v>
      </c>
      <c r="Z2826">
        <v>-9.4515899999999993E-3</v>
      </c>
      <c r="AA2826">
        <v>0.99498339999999996</v>
      </c>
      <c r="AB2826">
        <v>35</v>
      </c>
      <c r="AC2826">
        <v>0.59090000000003295</v>
      </c>
      <c r="AD2826">
        <v>-0.15066669999999899</v>
      </c>
      <c r="AE2826">
        <v>-9.1900000000009599E-2</v>
      </c>
      <c r="AF2826">
        <v>8.9956145020673603E-2</v>
      </c>
      <c r="AG2826">
        <v>-0.15066669999999899</v>
      </c>
      <c r="AH2826">
        <v>0.55506707944788403</v>
      </c>
      <c r="AI2826">
        <v>104.999659618856</v>
      </c>
      <c r="AJ2826">
        <v>80.794478469573406</v>
      </c>
      <c r="AK2826">
        <v>0.582144333651607</v>
      </c>
      <c r="AL2826">
        <v>76.426567808605697</v>
      </c>
      <c r="AM2826">
        <v>88.085251771187799</v>
      </c>
      <c r="AN2826">
        <v>1.0000000269775899</v>
      </c>
    </row>
    <row r="2827" spans="1:40" x14ac:dyDescent="0.25">
      <c r="A2827" t="str">
        <f>"20190303170821777"</f>
        <v>20190303170821777</v>
      </c>
      <c r="B2827" t="str">
        <f>"1551604101765379"</f>
        <v>1551604101765379</v>
      </c>
      <c r="C2827" t="s">
        <v>40</v>
      </c>
      <c r="D2827">
        <v>4.8038540000000003</v>
      </c>
      <c r="E2827">
        <v>0.53497299999999903</v>
      </c>
      <c r="F2827" t="s">
        <v>47</v>
      </c>
      <c r="G2827">
        <v>-263.70179999999999</v>
      </c>
      <c r="H2827">
        <v>0.97328939999999997</v>
      </c>
      <c r="I2827">
        <v>214.0421</v>
      </c>
      <c r="J2827">
        <v>-264.27159999999998</v>
      </c>
      <c r="K2827">
        <v>1.121003</v>
      </c>
      <c r="L2827">
        <v>214.1292</v>
      </c>
      <c r="M2827">
        <v>0.99991160000000001</v>
      </c>
      <c r="N2827">
        <v>-1.1631259999999999E-2</v>
      </c>
      <c r="O2827">
        <v>6.456201E-3</v>
      </c>
      <c r="P2827">
        <v>0.97436400000000001</v>
      </c>
      <c r="Q2827">
        <v>0.2234814</v>
      </c>
      <c r="R2827">
        <v>-2.5901150000000001E-2</v>
      </c>
      <c r="S2827">
        <v>3.1898499999999999</v>
      </c>
      <c r="T2827">
        <v>-0.51964160000000004</v>
      </c>
      <c r="U2827">
        <v>-0.29843140000000001</v>
      </c>
      <c r="V2827">
        <v>3.2154969999999998E-2</v>
      </c>
      <c r="W2827">
        <v>0.23480219999999999</v>
      </c>
      <c r="X2827">
        <v>0.97151120000000002</v>
      </c>
      <c r="Y2827">
        <v>9.8127640000000002E-2</v>
      </c>
      <c r="Z2827">
        <v>-9.4675650000000007E-3</v>
      </c>
      <c r="AA2827">
        <v>0.99512880000000004</v>
      </c>
      <c r="AB2827">
        <v>35</v>
      </c>
      <c r="AC2827">
        <v>0.56979999999998598</v>
      </c>
      <c r="AD2827">
        <v>-0.1477136</v>
      </c>
      <c r="AE2827">
        <v>-8.7099999999992406E-2</v>
      </c>
      <c r="AF2827">
        <v>8.5183221070486301E-2</v>
      </c>
      <c r="AG2827">
        <v>-0.1477136</v>
      </c>
      <c r="AH2827">
        <v>0.53414839328950703</v>
      </c>
      <c r="AI2827">
        <v>105.274436695148</v>
      </c>
      <c r="AJ2827">
        <v>80.939064756908095</v>
      </c>
      <c r="AK2827">
        <v>0.56070490886977697</v>
      </c>
      <c r="AL2827">
        <v>76.420036754560101</v>
      </c>
      <c r="AM2827">
        <v>88.104322658530506</v>
      </c>
      <c r="AN2827">
        <v>1.0000000134729901</v>
      </c>
    </row>
    <row r="2828" spans="1:40" x14ac:dyDescent="0.25">
      <c r="A2828" t="str">
        <f>"20190303170821799"</f>
        <v>20190303170821799</v>
      </c>
      <c r="B2828" t="str">
        <f>"1551604101785875"</f>
        <v>1551604101785875</v>
      </c>
      <c r="C2828" t="s">
        <v>40</v>
      </c>
      <c r="D2828">
        <v>4.8118030000000003</v>
      </c>
      <c r="E2828">
        <v>0.53518589999999999</v>
      </c>
      <c r="F2828" t="s">
        <v>47</v>
      </c>
      <c r="G2828">
        <v>-263.38600000000002</v>
      </c>
      <c r="H2828">
        <v>0.97543299999999999</v>
      </c>
      <c r="I2828">
        <v>214.047</v>
      </c>
      <c r="J2828">
        <v>-263.91649999999998</v>
      </c>
      <c r="K2828">
        <v>1.120997</v>
      </c>
      <c r="L2828">
        <v>214.13159999999999</v>
      </c>
      <c r="M2828">
        <v>0.99991220000000003</v>
      </c>
      <c r="N2828">
        <v>-1.1530149999999999E-2</v>
      </c>
      <c r="O2828">
        <v>6.539993E-3</v>
      </c>
      <c r="P2828">
        <v>0.97426120000000005</v>
      </c>
      <c r="Q2828">
        <v>0.22397839999999999</v>
      </c>
      <c r="R2828">
        <v>-2.5478560000000001E-2</v>
      </c>
      <c r="S2828">
        <v>3.1914370000000001</v>
      </c>
      <c r="T2828">
        <v>-0.52470609999999995</v>
      </c>
      <c r="U2828">
        <v>-0.29541020000000001</v>
      </c>
      <c r="V2828">
        <v>3.1812979999999998E-2</v>
      </c>
      <c r="W2828">
        <v>0.23519989999999999</v>
      </c>
      <c r="X2828">
        <v>0.97142620000000002</v>
      </c>
      <c r="Y2828">
        <v>9.7217719999999994E-2</v>
      </c>
      <c r="Z2828">
        <v>-9.4787150000000004E-3</v>
      </c>
      <c r="AA2828">
        <v>0.99521800000000005</v>
      </c>
      <c r="AB2828">
        <v>35</v>
      </c>
      <c r="AC2828">
        <v>0.53050000000001696</v>
      </c>
      <c r="AD2828">
        <v>-0.145564</v>
      </c>
      <c r="AE2828">
        <v>-8.4599999999994596E-2</v>
      </c>
      <c r="AF2828">
        <v>8.2043992567132101E-2</v>
      </c>
      <c r="AG2828">
        <v>-0.145564</v>
      </c>
      <c r="AH2828">
        <v>0.49368744838161899</v>
      </c>
      <c r="AI2828">
        <v>106.217674086776</v>
      </c>
      <c r="AJ2828">
        <v>80.564470043786102</v>
      </c>
      <c r="AK2828">
        <v>0.52119803482161198</v>
      </c>
      <c r="AL2828">
        <v>76.396592966740101</v>
      </c>
      <c r="AM2828">
        <v>88.124306008921494</v>
      </c>
      <c r="AN2828">
        <v>0.99999996035146399</v>
      </c>
    </row>
    <row r="2829" spans="1:40" x14ac:dyDescent="0.25">
      <c r="A2829" t="str">
        <f>"20190303170821825"</f>
        <v>20190303170821825</v>
      </c>
      <c r="B2829" t="str">
        <f>"1551604101816131"</f>
        <v>1551604101816131</v>
      </c>
      <c r="C2829" t="s">
        <v>40</v>
      </c>
      <c r="D2829">
        <v>4.8167869999999997</v>
      </c>
      <c r="E2829">
        <v>0.53532590000000002</v>
      </c>
      <c r="F2829" t="s">
        <v>47</v>
      </c>
      <c r="G2829">
        <v>-263.0684</v>
      </c>
      <c r="H2829">
        <v>0.98082999999999998</v>
      </c>
      <c r="I2829">
        <v>214.0532</v>
      </c>
      <c r="J2829">
        <v>-263.50889999999998</v>
      </c>
      <c r="K2829">
        <v>1.120997</v>
      </c>
      <c r="L2829">
        <v>214.1343</v>
      </c>
      <c r="M2829">
        <v>0.99991269999999999</v>
      </c>
      <c r="N2829">
        <v>-1.1428239999999999E-2</v>
      </c>
      <c r="O2829">
        <v>6.63636E-3</v>
      </c>
      <c r="P2829">
        <v>0.97408280000000003</v>
      </c>
      <c r="Q2829">
        <v>0.22473699999999999</v>
      </c>
      <c r="R2829">
        <v>-2.5614850000000002E-2</v>
      </c>
      <c r="S2829">
        <v>3.1928709999999998</v>
      </c>
      <c r="T2829">
        <v>-0.52763450000000001</v>
      </c>
      <c r="U2829">
        <v>-0.2952881</v>
      </c>
      <c r="V2829">
        <v>3.2041670000000001E-2</v>
      </c>
      <c r="W2829">
        <v>0.23585700000000001</v>
      </c>
      <c r="X2829">
        <v>0.97125939999999999</v>
      </c>
      <c r="Y2829">
        <v>9.7219879999999995E-2</v>
      </c>
      <c r="Z2829">
        <v>-9.5348229999999996E-3</v>
      </c>
      <c r="AA2829">
        <v>0.99521729999999997</v>
      </c>
      <c r="AB2829">
        <v>35</v>
      </c>
      <c r="AC2829">
        <v>0.44049999999998501</v>
      </c>
      <c r="AD2829">
        <v>-0.14016700000000001</v>
      </c>
      <c r="AE2829">
        <v>-8.1099999999992095E-2</v>
      </c>
      <c r="AF2829">
        <v>7.6527282444760397E-2</v>
      </c>
      <c r="AG2829">
        <v>-0.14016700000000001</v>
      </c>
      <c r="AH2829">
        <v>0.400709895330156</v>
      </c>
      <c r="AI2829">
        <v>108.96205406112701</v>
      </c>
      <c r="AJ2829">
        <v>79.187889656878795</v>
      </c>
      <c r="AK2829">
        <v>0.43136021265629598</v>
      </c>
      <c r="AL2829">
        <v>76.357854740938905</v>
      </c>
      <c r="AM2829">
        <v>88.110507974617306</v>
      </c>
      <c r="AN2829">
        <v>1.00000000757687</v>
      </c>
    </row>
    <row r="2830" spans="1:40" x14ac:dyDescent="0.25">
      <c r="A2830" t="str">
        <f>"20190303170821849"</f>
        <v>20190303170821849</v>
      </c>
      <c r="B2830" t="str">
        <f>"1551604101835651"</f>
        <v>1551604101835651</v>
      </c>
      <c r="C2830" t="s">
        <v>40</v>
      </c>
      <c r="D2830">
        <v>4.8450350000000002</v>
      </c>
      <c r="E2830">
        <v>0.54858569999999995</v>
      </c>
      <c r="F2830" t="s">
        <v>47</v>
      </c>
      <c r="G2830">
        <v>-262.74630000000002</v>
      </c>
      <c r="H2830">
        <v>0.99504219999999999</v>
      </c>
      <c r="I2830">
        <v>214.0634</v>
      </c>
      <c r="J2830">
        <v>-263.14319999999998</v>
      </c>
      <c r="K2830">
        <v>1.1209910000000001</v>
      </c>
      <c r="L2830">
        <v>214.13679999999999</v>
      </c>
      <c r="M2830">
        <v>0.99991300000000005</v>
      </c>
      <c r="N2830">
        <v>-1.1348769999999999E-2</v>
      </c>
      <c r="O2830">
        <v>6.72282E-3</v>
      </c>
      <c r="P2830">
        <v>0.97393510000000005</v>
      </c>
      <c r="Q2830">
        <v>0.22539000000000001</v>
      </c>
      <c r="R2830">
        <v>-2.5495190000000001E-2</v>
      </c>
      <c r="S2830">
        <v>3.193756</v>
      </c>
      <c r="T2830">
        <v>-0.52755439999999998</v>
      </c>
      <c r="U2830">
        <v>-0.29617310000000002</v>
      </c>
      <c r="V2830">
        <v>3.2004919999999999E-2</v>
      </c>
      <c r="W2830">
        <v>0.23643159999999999</v>
      </c>
      <c r="X2830">
        <v>0.97112089999999995</v>
      </c>
      <c r="Y2830">
        <v>9.7550120000000004E-2</v>
      </c>
      <c r="Z2830">
        <v>-9.5696270000000007E-3</v>
      </c>
      <c r="AA2830">
        <v>0.99518459999999997</v>
      </c>
      <c r="AB2830">
        <v>35</v>
      </c>
      <c r="AC2830">
        <v>0.39689999999995901</v>
      </c>
      <c r="AD2830">
        <v>-0.1259488</v>
      </c>
      <c r="AE2830">
        <v>-7.3399999999992305E-2</v>
      </c>
      <c r="AF2830">
        <v>6.9317424116939794E-2</v>
      </c>
      <c r="AG2830">
        <v>-0.1259488</v>
      </c>
      <c r="AH2830">
        <v>0.36122535099979203</v>
      </c>
      <c r="AI2830">
        <v>108.902399913781</v>
      </c>
      <c r="AJ2830">
        <v>79.137263875811996</v>
      </c>
      <c r="AK2830">
        <v>0.38878240663971703</v>
      </c>
      <c r="AL2830">
        <v>76.323974406781602</v>
      </c>
      <c r="AM2830">
        <v>88.112404574559207</v>
      </c>
      <c r="AN2830">
        <v>1.0000000093997801</v>
      </c>
    </row>
    <row r="2831" spans="1:40" x14ac:dyDescent="0.25">
      <c r="A2831" t="str">
        <f>"20190303170821873"</f>
        <v>20190303170821873</v>
      </c>
      <c r="B2831" t="str">
        <f>"1551604101865603"</f>
        <v>1551604101865603</v>
      </c>
      <c r="C2831" t="s">
        <v>40</v>
      </c>
      <c r="D2831">
        <v>4.8876730000000004</v>
      </c>
      <c r="E2831">
        <v>0.54994750000000003</v>
      </c>
      <c r="F2831" t="s">
        <v>47</v>
      </c>
      <c r="G2831">
        <v>-262.43709999999999</v>
      </c>
      <c r="H2831">
        <v>0.98197440000000003</v>
      </c>
      <c r="I2831">
        <v>214.0498</v>
      </c>
      <c r="J2831">
        <v>-262.76549999999997</v>
      </c>
      <c r="K2831">
        <v>1.120987</v>
      </c>
      <c r="L2831">
        <v>214.1395</v>
      </c>
      <c r="M2831">
        <v>0.99991319999999995</v>
      </c>
      <c r="N2831">
        <v>-1.127888E-2</v>
      </c>
      <c r="O2831">
        <v>6.812083E-3</v>
      </c>
      <c r="P2831">
        <v>0.97402770000000005</v>
      </c>
      <c r="Q2831">
        <v>0.2250355</v>
      </c>
      <c r="R2831">
        <v>-2.5089899999999998E-2</v>
      </c>
      <c r="S2831">
        <v>3.2164920000000001</v>
      </c>
      <c r="T2831">
        <v>-0.63323929999999995</v>
      </c>
      <c r="U2831">
        <v>-0.39602660000000001</v>
      </c>
      <c r="V2831">
        <v>3.168704E-2</v>
      </c>
      <c r="W2831">
        <v>0.23600989999999999</v>
      </c>
      <c r="X2831">
        <v>0.97123389999999998</v>
      </c>
      <c r="Y2831">
        <v>0.1263147</v>
      </c>
      <c r="Z2831">
        <v>-1.4240620000000001E-2</v>
      </c>
      <c r="AA2831">
        <v>0.99188799999999999</v>
      </c>
      <c r="AB2831">
        <v>35</v>
      </c>
      <c r="AC2831">
        <v>0.32839999999998698</v>
      </c>
      <c r="AD2831">
        <v>-0.13901259999999999</v>
      </c>
      <c r="AE2831">
        <v>-8.9699999999993396E-2</v>
      </c>
      <c r="AF2831">
        <v>7.8796275399943105E-2</v>
      </c>
      <c r="AG2831">
        <v>-0.13901259999999999</v>
      </c>
      <c r="AH2831">
        <v>0.28093656946997603</v>
      </c>
      <c r="AI2831">
        <v>115.474685336009</v>
      </c>
      <c r="AJ2831">
        <v>74.332407979617699</v>
      </c>
      <c r="AK2831">
        <v>0.32320073026096702</v>
      </c>
      <c r="AL2831">
        <v>76.348839817731502</v>
      </c>
      <c r="AM2831">
        <v>88.131356513635694</v>
      </c>
      <c r="AN2831">
        <v>1.0000000149555901</v>
      </c>
    </row>
    <row r="2832" spans="1:40" x14ac:dyDescent="0.25">
      <c r="A2832" t="str">
        <f>"20190303170821895"</f>
        <v>20190303170821895</v>
      </c>
      <c r="B2832" t="str">
        <f>"1551604101886099"</f>
        <v>1551604101886099</v>
      </c>
      <c r="C2832" t="s">
        <v>40</v>
      </c>
      <c r="D2832">
        <v>4.8609929999999997</v>
      </c>
      <c r="E2832">
        <v>0.550257199999999</v>
      </c>
      <c r="F2832" t="s">
        <v>47</v>
      </c>
      <c r="G2832">
        <v>-261.82909999999998</v>
      </c>
      <c r="H2832">
        <v>0.93071930000000003</v>
      </c>
      <c r="I2832">
        <v>214.02170000000001</v>
      </c>
      <c r="J2832">
        <v>-262.39940000000001</v>
      </c>
      <c r="K2832">
        <v>1.1209800000000001</v>
      </c>
      <c r="L2832">
        <v>214.1421</v>
      </c>
      <c r="M2832">
        <v>0.9999133</v>
      </c>
      <c r="N2832">
        <v>-1.1220269999999999E-2</v>
      </c>
      <c r="O2832">
        <v>6.8989560000000004E-3</v>
      </c>
      <c r="P2832">
        <v>0.97414049999999996</v>
      </c>
      <c r="Q2832">
        <v>0.224582</v>
      </c>
      <c r="R2832">
        <v>-2.4769469999999998E-2</v>
      </c>
      <c r="S2832">
        <v>3.220764</v>
      </c>
      <c r="T2832">
        <v>-0.65448989999999996</v>
      </c>
      <c r="U2832">
        <v>-0.4051208</v>
      </c>
      <c r="V2832">
        <v>3.1452130000000002E-2</v>
      </c>
      <c r="W2832">
        <v>0.23550109999999999</v>
      </c>
      <c r="X2832">
        <v>0.97136500000000003</v>
      </c>
      <c r="Y2832">
        <v>0.12877939999999999</v>
      </c>
      <c r="Z2832">
        <v>-1.49421E-2</v>
      </c>
      <c r="AA2832">
        <v>0.99156069999999996</v>
      </c>
      <c r="AB2832">
        <v>35</v>
      </c>
      <c r="AC2832">
        <v>0.570300000000031</v>
      </c>
      <c r="AD2832">
        <v>-0.19026069999999901</v>
      </c>
      <c r="AE2832">
        <v>-0.120399999999989</v>
      </c>
      <c r="AF2832">
        <v>0.11235990122926599</v>
      </c>
      <c r="AG2832">
        <v>-0.19026069999999901</v>
      </c>
      <c r="AH2832">
        <v>0.514622659805824</v>
      </c>
      <c r="AI2832">
        <v>109.859727924846</v>
      </c>
      <c r="AJ2832">
        <v>77.683631799051795</v>
      </c>
      <c r="AK2832">
        <v>0.56005389325881905</v>
      </c>
      <c r="AL2832">
        <v>76.378837040994398</v>
      </c>
      <c r="AM2832">
        <v>88.145450037054104</v>
      </c>
      <c r="AN2832">
        <v>0.99999998390387301</v>
      </c>
    </row>
    <row r="2833" spans="1:40" x14ac:dyDescent="0.25">
      <c r="A2833" t="str">
        <f>"20190303170821913"</f>
        <v>20190303170821913</v>
      </c>
      <c r="B2833" t="str">
        <f>"1551604101905620"</f>
        <v>1551604101905620</v>
      </c>
      <c r="C2833" t="s">
        <v>40</v>
      </c>
      <c r="D2833">
        <v>4.8279120000000004</v>
      </c>
      <c r="E2833">
        <v>0.55025829999999998</v>
      </c>
      <c r="F2833" t="s">
        <v>47</v>
      </c>
      <c r="G2833">
        <v>-261.50970000000001</v>
      </c>
      <c r="H2833">
        <v>0.93845619999999996</v>
      </c>
      <c r="I2833">
        <v>214.02940000000001</v>
      </c>
      <c r="J2833">
        <v>-262.11360000000002</v>
      </c>
      <c r="K2833">
        <v>1.1209769999999999</v>
      </c>
      <c r="L2833">
        <v>214.14410000000001</v>
      </c>
      <c r="M2833">
        <v>0.9999133</v>
      </c>
      <c r="N2833">
        <v>-1.1180809999999999E-2</v>
      </c>
      <c r="O2833">
        <v>6.9665279999999996E-3</v>
      </c>
      <c r="P2833">
        <v>0.9742712</v>
      </c>
      <c r="Q2833">
        <v>0.22401750000000001</v>
      </c>
      <c r="R2833">
        <v>-2.4735360000000001E-2</v>
      </c>
      <c r="S2833">
        <v>3.2216800000000001</v>
      </c>
      <c r="T2833">
        <v>-0.66094889999999995</v>
      </c>
      <c r="U2833">
        <v>-0.4068756</v>
      </c>
      <c r="V2833">
        <v>3.1484819999999997E-2</v>
      </c>
      <c r="W2833">
        <v>0.23489950000000001</v>
      </c>
      <c r="X2833">
        <v>0.97150959999999997</v>
      </c>
      <c r="Y2833">
        <v>0.12927839999999999</v>
      </c>
      <c r="Z2833">
        <v>-1.513987E-2</v>
      </c>
      <c r="AA2833">
        <v>0.9914927</v>
      </c>
      <c r="AB2833">
        <v>35</v>
      </c>
      <c r="AC2833">
        <v>0.60390000000000998</v>
      </c>
      <c r="AD2833">
        <v>-0.18252080000000001</v>
      </c>
      <c r="AE2833">
        <v>-0.114699999999999</v>
      </c>
      <c r="AF2833">
        <v>0.10927055799324099</v>
      </c>
      <c r="AG2833">
        <v>-0.18252080000000001</v>
      </c>
      <c r="AH2833">
        <v>0.55422236375255596</v>
      </c>
      <c r="AI2833">
        <v>107.90604281894799</v>
      </c>
      <c r="AJ2833">
        <v>78.846606548807699</v>
      </c>
      <c r="AK2833">
        <v>0.59364663374794302</v>
      </c>
      <c r="AL2833">
        <v>76.414301086237501</v>
      </c>
      <c r="AM2833">
        <v>88.143799970760796</v>
      </c>
      <c r="AN2833">
        <v>0.99999998594142103</v>
      </c>
    </row>
    <row r="2834" spans="1:40" x14ac:dyDescent="0.25">
      <c r="A2834" t="str">
        <f>"20190303170821934"</f>
        <v>20190303170821934</v>
      </c>
      <c r="B2834" t="str">
        <f>"1551604101926116"</f>
        <v>1551604101926116</v>
      </c>
      <c r="C2834" t="s">
        <v>40</v>
      </c>
      <c r="D2834">
        <v>4.8116159999999999</v>
      </c>
      <c r="E2834">
        <v>0.55021330000000002</v>
      </c>
      <c r="F2834" t="s">
        <v>47</v>
      </c>
      <c r="G2834">
        <v>-261.19630000000001</v>
      </c>
      <c r="H2834">
        <v>0.93202890000000005</v>
      </c>
      <c r="I2834">
        <v>214.0282</v>
      </c>
      <c r="J2834">
        <v>-261.78019999999998</v>
      </c>
      <c r="K2834">
        <v>1.120978</v>
      </c>
      <c r="L2834">
        <v>214.1465</v>
      </c>
      <c r="M2834">
        <v>0.99991319999999995</v>
      </c>
      <c r="N2834">
        <v>-1.1146059999999999E-2</v>
      </c>
      <c r="O2834">
        <v>7.0451610000000003E-3</v>
      </c>
      <c r="P2834">
        <v>0.97428890000000001</v>
      </c>
      <c r="Q2834">
        <v>0.22394800000000001</v>
      </c>
      <c r="R2834">
        <v>-2.467014E-2</v>
      </c>
      <c r="S2834">
        <v>3.2214659999999999</v>
      </c>
      <c r="T2834">
        <v>-0.66361759999999903</v>
      </c>
      <c r="U2834">
        <v>-0.40701290000000001</v>
      </c>
      <c r="V2834">
        <v>3.1496040000000003E-2</v>
      </c>
      <c r="W2834">
        <v>0.2347967</v>
      </c>
      <c r="X2834">
        <v>0.97153409999999996</v>
      </c>
      <c r="Y2834">
        <v>0.12937960000000001</v>
      </c>
      <c r="Z2834">
        <v>-1.5222039999999999E-2</v>
      </c>
      <c r="AA2834">
        <v>0.99147830000000003</v>
      </c>
      <c r="AB2834">
        <v>35</v>
      </c>
      <c r="AC2834">
        <v>0.583899999999971</v>
      </c>
      <c r="AD2834">
        <v>-0.18894910000000001</v>
      </c>
      <c r="AE2834">
        <v>-0.118300000000004</v>
      </c>
      <c r="AF2834">
        <v>0.11122336200664799</v>
      </c>
      <c r="AG2834">
        <v>-0.18894910000000001</v>
      </c>
      <c r="AH2834">
        <v>0.52976457473920202</v>
      </c>
      <c r="AI2834">
        <v>109.241857397898</v>
      </c>
      <c r="AJ2834">
        <v>78.143038289181803</v>
      </c>
      <c r="AK2834">
        <v>0.57334361712282</v>
      </c>
      <c r="AL2834">
        <v>76.420360746425402</v>
      </c>
      <c r="AM2834">
        <v>88.143185747468394</v>
      </c>
      <c r="AN2834">
        <v>0.99999999916468996</v>
      </c>
    </row>
    <row r="2835" spans="1:40" x14ac:dyDescent="0.25">
      <c r="A2835" t="str">
        <f>"20190303170821956"</f>
        <v>20190303170821956</v>
      </c>
      <c r="B2835" t="str">
        <f>"1551604101945636"</f>
        <v>1551604101945636</v>
      </c>
      <c r="C2835" t="s">
        <v>40</v>
      </c>
      <c r="D2835">
        <v>4.7877000000000001</v>
      </c>
      <c r="E2835">
        <v>0.55004169999999997</v>
      </c>
      <c r="F2835" t="s">
        <v>47</v>
      </c>
      <c r="G2835">
        <v>-260.87869999999998</v>
      </c>
      <c r="H2835">
        <v>0.93484279999999997</v>
      </c>
      <c r="I2835">
        <v>214.03270000000001</v>
      </c>
      <c r="J2835">
        <v>-261.44729999999998</v>
      </c>
      <c r="K2835">
        <v>1.1209739999999999</v>
      </c>
      <c r="L2835">
        <v>214.1489</v>
      </c>
      <c r="M2835">
        <v>0.99991289999999999</v>
      </c>
      <c r="N2835">
        <v>-1.112522E-2</v>
      </c>
      <c r="O2835">
        <v>7.1237169999999999E-3</v>
      </c>
      <c r="P2835">
        <v>0.97427390000000003</v>
      </c>
      <c r="Q2835">
        <v>0.22401589999999999</v>
      </c>
      <c r="R2835">
        <v>-2.4651030000000001E-2</v>
      </c>
      <c r="S2835">
        <v>3.221832</v>
      </c>
      <c r="T2835">
        <v>-0.66531459999999998</v>
      </c>
      <c r="U2835">
        <v>-0.40568539999999997</v>
      </c>
      <c r="V2835">
        <v>3.1553289999999998E-2</v>
      </c>
      <c r="W2835">
        <v>0.23484389999999999</v>
      </c>
      <c r="X2835">
        <v>0.97152079999999996</v>
      </c>
      <c r="Y2835">
        <v>0.1290335</v>
      </c>
      <c r="Z2835">
        <v>-1.5234030000000001E-2</v>
      </c>
      <c r="AA2835">
        <v>0.99152320000000005</v>
      </c>
      <c r="AB2835">
        <v>35</v>
      </c>
      <c r="AC2835">
        <v>0.56860000000000299</v>
      </c>
      <c r="AD2835">
        <v>-0.186131199999999</v>
      </c>
      <c r="AE2835">
        <v>-0.116199999999992</v>
      </c>
      <c r="AF2835">
        <v>0.109032530275374</v>
      </c>
      <c r="AG2835">
        <v>-0.186131199999999</v>
      </c>
      <c r="AH2835">
        <v>0.51480392425612298</v>
      </c>
      <c r="AI2835">
        <v>109.479262625346</v>
      </c>
      <c r="AJ2835">
        <v>78.041793616116905</v>
      </c>
      <c r="AK2835">
        <v>0.55817201354169899</v>
      </c>
      <c r="AL2835">
        <v>76.417578136340893</v>
      </c>
      <c r="AM2835">
        <v>88.139787558187095</v>
      </c>
      <c r="AN2835">
        <v>0.999999966154836</v>
      </c>
    </row>
    <row r="2836" spans="1:40" x14ac:dyDescent="0.25">
      <c r="A2836" t="str">
        <f>"20190303170821977"</f>
        <v>20190303170821977</v>
      </c>
      <c r="B2836" t="str">
        <f>"1551604101966132"</f>
        <v>1551604101966132</v>
      </c>
      <c r="C2836" t="s">
        <v>40</v>
      </c>
      <c r="D2836">
        <v>4.7461289999999998</v>
      </c>
      <c r="E2836">
        <v>0.55007600000000001</v>
      </c>
      <c r="F2836" t="s">
        <v>47</v>
      </c>
      <c r="G2836">
        <v>-260.5609</v>
      </c>
      <c r="H2836">
        <v>0.93769349999999996</v>
      </c>
      <c r="I2836">
        <v>214.03749999999999</v>
      </c>
      <c r="J2836">
        <v>-261.09410000000003</v>
      </c>
      <c r="K2836">
        <v>1.1209750000000001</v>
      </c>
      <c r="L2836">
        <v>214.1515</v>
      </c>
      <c r="M2836">
        <v>0.99991229999999998</v>
      </c>
      <c r="N2836">
        <v>-1.112016E-2</v>
      </c>
      <c r="O2836">
        <v>7.2068940000000001E-3</v>
      </c>
      <c r="P2836">
        <v>0.97435899999999998</v>
      </c>
      <c r="Q2836">
        <v>0.2236793</v>
      </c>
      <c r="R2836">
        <v>-2.4339880000000001E-2</v>
      </c>
      <c r="S2836">
        <v>3.2221980000000001</v>
      </c>
      <c r="T2836">
        <v>-0.66628039999999999</v>
      </c>
      <c r="U2836">
        <v>-0.40423579999999998</v>
      </c>
      <c r="V2836">
        <v>3.1323660000000003E-2</v>
      </c>
      <c r="W2836">
        <v>0.23450319999999999</v>
      </c>
      <c r="X2836">
        <v>0.97161050000000004</v>
      </c>
      <c r="Y2836">
        <v>0.12866159999999999</v>
      </c>
      <c r="Z2836">
        <v>-1.5229299999999999E-2</v>
      </c>
      <c r="AA2836">
        <v>0.9915716</v>
      </c>
      <c r="AB2836">
        <v>35</v>
      </c>
      <c r="AC2836">
        <v>0.53320000000002199</v>
      </c>
      <c r="AD2836">
        <v>-0.18328150000000001</v>
      </c>
      <c r="AE2836">
        <v>-0.114000000000004</v>
      </c>
      <c r="AF2836">
        <v>0.105876833384104</v>
      </c>
      <c r="AG2836">
        <v>-0.18328150000000001</v>
      </c>
      <c r="AH2836">
        <v>0.47831867573699299</v>
      </c>
      <c r="AI2836">
        <v>110.511971097151</v>
      </c>
      <c r="AJ2836">
        <v>77.518710417605604</v>
      </c>
      <c r="AK2836">
        <v>0.523059047955856</v>
      </c>
      <c r="AL2836">
        <v>76.437659280710506</v>
      </c>
      <c r="AM2836">
        <v>88.153486270882894</v>
      </c>
      <c r="AN2836">
        <v>0.999999943098141</v>
      </c>
    </row>
    <row r="2837" spans="1:40" x14ac:dyDescent="0.25">
      <c r="A2837" t="str">
        <f>"20190303170822001"</f>
        <v>20190303170822001</v>
      </c>
      <c r="B2837" t="str">
        <f>"1551604101996389"</f>
        <v>1551604101996389</v>
      </c>
      <c r="C2837" t="s">
        <v>40</v>
      </c>
      <c r="D2837">
        <v>4.7070210000000001</v>
      </c>
      <c r="E2837">
        <v>0.55058319999999905</v>
      </c>
      <c r="F2837" t="s">
        <v>47</v>
      </c>
      <c r="G2837">
        <v>-260.24119999999999</v>
      </c>
      <c r="H2837">
        <v>0.94433610000000001</v>
      </c>
      <c r="I2837">
        <v>214.04419999999999</v>
      </c>
      <c r="J2837">
        <v>-260.73410000000001</v>
      </c>
      <c r="K2837">
        <v>1.120978</v>
      </c>
      <c r="L2837">
        <v>214.1542</v>
      </c>
      <c r="M2837">
        <v>0.99991149999999995</v>
      </c>
      <c r="N2837">
        <v>-1.1134679999999999E-2</v>
      </c>
      <c r="O2837">
        <v>7.2915150000000001E-3</v>
      </c>
      <c r="P2837">
        <v>0.97445599999999999</v>
      </c>
      <c r="Q2837">
        <v>0.2233106</v>
      </c>
      <c r="R2837">
        <v>-2.384259E-2</v>
      </c>
      <c r="S2837">
        <v>3.2220759999999999</v>
      </c>
      <c r="T2837">
        <v>-0.66745140000000003</v>
      </c>
      <c r="U2837">
        <v>-0.40458680000000002</v>
      </c>
      <c r="V2837">
        <v>3.0909309999999999E-2</v>
      </c>
      <c r="W2837">
        <v>0.23414950000000001</v>
      </c>
      <c r="X2837">
        <v>0.97170909999999999</v>
      </c>
      <c r="Y2837">
        <v>0.1288405</v>
      </c>
      <c r="Z2837">
        <v>-1.529135E-2</v>
      </c>
      <c r="AA2837">
        <v>0.99154739999999997</v>
      </c>
      <c r="AB2837">
        <v>35</v>
      </c>
      <c r="AC2837">
        <v>0.49290000000001999</v>
      </c>
      <c r="AD2837">
        <v>-0.17664189999999999</v>
      </c>
      <c r="AE2837">
        <v>-0.110000000000013</v>
      </c>
      <c r="AF2837">
        <v>0.101209514636753</v>
      </c>
      <c r="AG2837">
        <v>-0.17664189999999999</v>
      </c>
      <c r="AH2837">
        <v>0.43844614776430602</v>
      </c>
      <c r="AI2837">
        <v>111.43291170690399</v>
      </c>
      <c r="AJ2837">
        <v>77.001706471298306</v>
      </c>
      <c r="AK2837">
        <v>0.48340536941368001</v>
      </c>
      <c r="AL2837">
        <v>76.458505623350504</v>
      </c>
      <c r="AM2837">
        <v>88.178080181433899</v>
      </c>
      <c r="AN2837">
        <v>0.99999997440886701</v>
      </c>
    </row>
    <row r="2838" spans="1:40" x14ac:dyDescent="0.25">
      <c r="A2838" t="str">
        <f>"20190303170822023"</f>
        <v>20190303170822023</v>
      </c>
      <c r="B2838" t="str">
        <f>"1551604102015908"</f>
        <v>1551604102015908</v>
      </c>
      <c r="C2838" t="s">
        <v>40</v>
      </c>
      <c r="D2838">
        <v>4.6775229999999999</v>
      </c>
      <c r="E2838">
        <v>0.55065310000000001</v>
      </c>
      <c r="F2838" t="s">
        <v>47</v>
      </c>
      <c r="G2838">
        <v>-259.9205</v>
      </c>
      <c r="H2838">
        <v>0.95287370000000005</v>
      </c>
      <c r="I2838">
        <v>214.05109999999999</v>
      </c>
      <c r="J2838">
        <v>-260.37349999999998</v>
      </c>
      <c r="K2838">
        <v>1.1209910000000001</v>
      </c>
      <c r="L2838">
        <v>214.15690000000001</v>
      </c>
      <c r="M2838">
        <v>0.99991050000000004</v>
      </c>
      <c r="N2838">
        <v>-1.116814E-2</v>
      </c>
      <c r="O2838">
        <v>7.3763279999999997E-3</v>
      </c>
      <c r="P2838">
        <v>0.9745123</v>
      </c>
      <c r="Q2838">
        <v>0.22305559999999999</v>
      </c>
      <c r="R2838">
        <v>-2.391977E-2</v>
      </c>
      <c r="S2838">
        <v>3.221222</v>
      </c>
      <c r="T2838">
        <v>-0.66564369999999995</v>
      </c>
      <c r="U2838">
        <v>-0.40748600000000001</v>
      </c>
      <c r="V2838">
        <v>3.106942E-2</v>
      </c>
      <c r="W2838">
        <v>0.233928</v>
      </c>
      <c r="X2838">
        <v>0.97175739999999999</v>
      </c>
      <c r="Y2838">
        <v>0.12982639999999901</v>
      </c>
      <c r="Z2838">
        <v>-1.5379779999999999E-2</v>
      </c>
      <c r="AA2838">
        <v>0.99141749999999995</v>
      </c>
      <c r="AB2838">
        <v>35</v>
      </c>
      <c r="AC2838">
        <v>0.45299999999997398</v>
      </c>
      <c r="AD2838">
        <v>-0.1681173</v>
      </c>
      <c r="AE2838">
        <v>-0.10580000000001601</v>
      </c>
      <c r="AF2838">
        <v>9.6531268465448405E-2</v>
      </c>
      <c r="AG2838">
        <v>-0.1681173</v>
      </c>
      <c r="AH2838">
        <v>0.39996896792518799</v>
      </c>
      <c r="AI2838">
        <v>112.224645496428</v>
      </c>
      <c r="AJ2838">
        <v>76.431320641855905</v>
      </c>
      <c r="AK2838">
        <v>0.44447371986876599</v>
      </c>
      <c r="AL2838">
        <v>76.471559955139199</v>
      </c>
      <c r="AM2838">
        <v>88.168740023123505</v>
      </c>
      <c r="AN2838">
        <v>1.0000000312489401</v>
      </c>
    </row>
    <row r="2839" spans="1:40" x14ac:dyDescent="0.25">
      <c r="A2839" t="str">
        <f>"20190303170822047"</f>
        <v>20190303170822047</v>
      </c>
      <c r="B2839" t="str">
        <f>"1551604102035428"</f>
        <v>1551604102035428</v>
      </c>
      <c r="C2839" t="s">
        <v>40</v>
      </c>
      <c r="D2839">
        <v>4.647621</v>
      </c>
      <c r="E2839">
        <v>0.5507339</v>
      </c>
      <c r="F2839" t="s">
        <v>47</v>
      </c>
      <c r="G2839">
        <v>-259.59980000000002</v>
      </c>
      <c r="H2839">
        <v>0.96118550000000003</v>
      </c>
      <c r="I2839">
        <v>214.05850000000001</v>
      </c>
      <c r="J2839">
        <v>-260.00920000000002</v>
      </c>
      <c r="K2839">
        <v>1.121003</v>
      </c>
      <c r="L2839">
        <v>214.15969999999999</v>
      </c>
      <c r="M2839">
        <v>0.9999093</v>
      </c>
      <c r="N2839">
        <v>-1.1215899999999999E-2</v>
      </c>
      <c r="O2839">
        <v>7.4620169999999996E-3</v>
      </c>
      <c r="P2839">
        <v>0.97452130000000003</v>
      </c>
      <c r="Q2839">
        <v>0.2230124</v>
      </c>
      <c r="R2839">
        <v>-2.3952870000000001E-2</v>
      </c>
      <c r="S2839">
        <v>3.2207340000000002</v>
      </c>
      <c r="T2839">
        <v>-0.66531249999999997</v>
      </c>
      <c r="U2839">
        <v>-0.40853879999999998</v>
      </c>
      <c r="V2839">
        <v>3.1185879999999999E-2</v>
      </c>
      <c r="W2839">
        <v>0.23393120000000001</v>
      </c>
      <c r="X2839">
        <v>0.97175290000000003</v>
      </c>
      <c r="Y2839">
        <v>0.13023989999999999</v>
      </c>
      <c r="Z2839">
        <v>-1.5438240000000001E-2</v>
      </c>
      <c r="AA2839">
        <v>0.99136230000000003</v>
      </c>
      <c r="AB2839">
        <v>35</v>
      </c>
      <c r="AC2839">
        <v>0.40940000000000498</v>
      </c>
      <c r="AD2839">
        <v>-0.1598175</v>
      </c>
      <c r="AE2839">
        <v>-0.101199999999977</v>
      </c>
      <c r="AF2839">
        <v>9.1160451821594907E-2</v>
      </c>
      <c r="AG2839">
        <v>-0.1598175</v>
      </c>
      <c r="AH2839">
        <v>0.35731774297611302</v>
      </c>
      <c r="AI2839">
        <v>113.431331480738</v>
      </c>
      <c r="AJ2839">
        <v>75.687759389723198</v>
      </c>
      <c r="AK2839">
        <v>0.40190525093373802</v>
      </c>
      <c r="AL2839">
        <v>76.471371387319294</v>
      </c>
      <c r="AM2839">
        <v>88.1618719583456</v>
      </c>
      <c r="AN2839">
        <v>1.00000003205161</v>
      </c>
    </row>
    <row r="2840" spans="1:40" x14ac:dyDescent="0.25">
      <c r="A2840" t="str">
        <f>"20190303170822075"</f>
        <v>20190303170822075</v>
      </c>
      <c r="B2840" t="str">
        <f>"1551604102065684"</f>
        <v>1551604102065684</v>
      </c>
      <c r="C2840" t="s">
        <v>40</v>
      </c>
      <c r="D2840">
        <v>4.5514199999999896</v>
      </c>
      <c r="E2840">
        <v>0.52873139999999996</v>
      </c>
      <c r="F2840" t="s">
        <v>47</v>
      </c>
      <c r="G2840">
        <v>-259.27870000000001</v>
      </c>
      <c r="H2840">
        <v>0.97012080000000001</v>
      </c>
      <c r="I2840">
        <v>214.0668</v>
      </c>
      <c r="J2840">
        <v>-259.55860000000001</v>
      </c>
      <c r="K2840">
        <v>1.121016</v>
      </c>
      <c r="L2840">
        <v>214.16319999999999</v>
      </c>
      <c r="M2840">
        <v>0.99990780000000001</v>
      </c>
      <c r="N2840">
        <v>-1.128623E-2</v>
      </c>
      <c r="O2840">
        <v>7.5681400000000001E-3</v>
      </c>
      <c r="P2840">
        <v>0.97447419999999996</v>
      </c>
      <c r="Q2840">
        <v>0.22325819999999999</v>
      </c>
      <c r="R2840">
        <v>-2.3584290000000001E-2</v>
      </c>
      <c r="S2840">
        <v>3.220612</v>
      </c>
      <c r="T2840">
        <v>-0.66523889999999997</v>
      </c>
      <c r="U2840">
        <v>-0.40916439999999998</v>
      </c>
      <c r="V2840">
        <v>3.0920050000000001E-2</v>
      </c>
      <c r="W2840">
        <v>0.23424500000000001</v>
      </c>
      <c r="X2840">
        <v>0.97168580000000004</v>
      </c>
      <c r="Y2840">
        <v>0.1305306</v>
      </c>
      <c r="Z2840">
        <v>-1.5492840000000001E-2</v>
      </c>
      <c r="AA2840">
        <v>0.99132319999999996</v>
      </c>
      <c r="AB2840">
        <v>35</v>
      </c>
      <c r="AC2840">
        <v>0.27989999999999698</v>
      </c>
      <c r="AD2840">
        <v>-0.15089520000000001</v>
      </c>
      <c r="AE2840">
        <v>-9.6399999999988495E-2</v>
      </c>
      <c r="AF2840">
        <v>7.8198568672133206E-2</v>
      </c>
      <c r="AG2840">
        <v>-0.15089520000000001</v>
      </c>
      <c r="AH2840">
        <v>0.22159004611165101</v>
      </c>
      <c r="AI2840">
        <v>122.70666165783101</v>
      </c>
      <c r="AJ2840">
        <v>70.562191545816603</v>
      </c>
      <c r="AK2840">
        <v>0.27926067761354101</v>
      </c>
      <c r="AL2840">
        <v>76.452878140074304</v>
      </c>
      <c r="AM2840">
        <v>88.17740387584</v>
      </c>
      <c r="AN2840">
        <v>1.0000000317193201</v>
      </c>
    </row>
    <row r="2841" spans="1:40" x14ac:dyDescent="0.25">
      <c r="A2841" t="str">
        <f>"20190303170822095"</f>
        <v>20190303170822095</v>
      </c>
      <c r="B2841" t="str">
        <f>"1551604102086181"</f>
        <v>1551604102086181</v>
      </c>
      <c r="C2841" t="s">
        <v>40</v>
      </c>
      <c r="D2841">
        <v>4.4442839999999997</v>
      </c>
      <c r="E2841">
        <v>0.52342860000000002</v>
      </c>
      <c r="F2841" t="s">
        <v>47</v>
      </c>
      <c r="G2841">
        <v>-258.62360000000001</v>
      </c>
      <c r="H2841">
        <v>1.0136149999999999</v>
      </c>
      <c r="I2841">
        <v>214.08949999999999</v>
      </c>
      <c r="J2841">
        <v>-259.23070000000001</v>
      </c>
      <c r="K2841">
        <v>1.121019</v>
      </c>
      <c r="L2841">
        <v>214.16569999999999</v>
      </c>
      <c r="M2841">
        <v>0.99990659999999998</v>
      </c>
      <c r="N2841">
        <v>-1.1339399999999999E-2</v>
      </c>
      <c r="O2841">
        <v>7.64526599999999E-3</v>
      </c>
      <c r="P2841">
        <v>0.97457780000000005</v>
      </c>
      <c r="Q2841">
        <v>0.2228106</v>
      </c>
      <c r="R2841">
        <v>-2.3531650000000001E-2</v>
      </c>
      <c r="S2841">
        <v>3.1555789999999999</v>
      </c>
      <c r="T2841">
        <v>-0.36250290000000002</v>
      </c>
      <c r="U2841">
        <v>-0.24844359999999999</v>
      </c>
      <c r="V2841">
        <v>3.09433E-2</v>
      </c>
      <c r="W2841">
        <v>0.23385049999999999</v>
      </c>
      <c r="X2841">
        <v>0.97178010000000004</v>
      </c>
      <c r="Y2841">
        <v>8.5453509999999996E-2</v>
      </c>
      <c r="Z2841">
        <v>-6.1595440000000003E-3</v>
      </c>
      <c r="AA2841">
        <v>0.99632310000000002</v>
      </c>
      <c r="AB2841">
        <v>35</v>
      </c>
      <c r="AC2841">
        <v>0.60710000000000197</v>
      </c>
      <c r="AD2841">
        <v>-0.107404</v>
      </c>
      <c r="AE2841">
        <v>-7.6200000000000004E-2</v>
      </c>
      <c r="AF2841">
        <v>7.8423072899732493E-2</v>
      </c>
      <c r="AG2841">
        <v>-0.107404</v>
      </c>
      <c r="AH2841">
        <v>0.58837028072944997</v>
      </c>
      <c r="AI2841">
        <v>100.256391896374</v>
      </c>
      <c r="AJ2841">
        <v>82.407872812887405</v>
      </c>
      <c r="AK2841">
        <v>0.60321255360336201</v>
      </c>
      <c r="AL2841">
        <v>76.476127360509906</v>
      </c>
      <c r="AM2841">
        <v>88.176211194807706</v>
      </c>
      <c r="AN2841">
        <v>1.00000005346057</v>
      </c>
    </row>
    <row r="2842" spans="1:40" x14ac:dyDescent="0.25">
      <c r="A2842" t="str">
        <f>"20190303170822115"</f>
        <v>20190303170822115</v>
      </c>
      <c r="B2842" t="str">
        <f>"1551604102105700"</f>
        <v>1551604102105700</v>
      </c>
      <c r="C2842" t="s">
        <v>40</v>
      </c>
      <c r="D2842">
        <v>4.448893</v>
      </c>
      <c r="E2842">
        <v>0.51994470000000004</v>
      </c>
      <c r="F2842" t="s">
        <v>47</v>
      </c>
      <c r="G2842">
        <v>-258.29239999999999</v>
      </c>
      <c r="H2842">
        <v>1.0425040000000001</v>
      </c>
      <c r="I2842">
        <v>214.1019</v>
      </c>
      <c r="J2842">
        <v>-258.92239999999998</v>
      </c>
      <c r="K2842">
        <v>1.1210180000000001</v>
      </c>
      <c r="L2842">
        <v>214.16820000000001</v>
      </c>
      <c r="M2842">
        <v>0.9999055</v>
      </c>
      <c r="N2842">
        <v>-1.1390269999999999E-2</v>
      </c>
      <c r="O2842">
        <v>7.7179930000000002E-3</v>
      </c>
      <c r="P2842">
        <v>0.97476600000000002</v>
      </c>
      <c r="Q2842">
        <v>0.2219275</v>
      </c>
      <c r="R2842">
        <v>-2.4080669999999998E-2</v>
      </c>
      <c r="S2842">
        <v>3.1330870000000002</v>
      </c>
      <c r="T2842">
        <v>-0.26224730000000002</v>
      </c>
      <c r="U2842">
        <v>-0.2123718</v>
      </c>
      <c r="V2842">
        <v>3.1564830000000002E-2</v>
      </c>
      <c r="W2842">
        <v>0.2330187</v>
      </c>
      <c r="X2842">
        <v>0.97195980000000004</v>
      </c>
      <c r="Y2842">
        <v>7.5010220000000002E-2</v>
      </c>
      <c r="Z2842">
        <v>-4.1152760000000002E-3</v>
      </c>
      <c r="AA2842">
        <v>0.99717429999999996</v>
      </c>
      <c r="AB2842">
        <v>35</v>
      </c>
      <c r="AC2842">
        <v>0.62999999999999501</v>
      </c>
      <c r="AD2842">
        <v>-7.8513999999999903E-2</v>
      </c>
      <c r="AE2842">
        <v>-6.6300000000012405E-2</v>
      </c>
      <c r="AF2842">
        <v>7.0084088304623801E-2</v>
      </c>
      <c r="AG2842">
        <v>-7.8513999999999903E-2</v>
      </c>
      <c r="AH2842">
        <v>0.61994627855607198</v>
      </c>
      <c r="AI2842">
        <v>97.172673684298402</v>
      </c>
      <c r="AJ2842">
        <v>83.550172858565901</v>
      </c>
      <c r="AK2842">
        <v>0.62881604299271199</v>
      </c>
      <c r="AL2842">
        <v>76.5251387076366</v>
      </c>
      <c r="AM2842">
        <v>88.139947608987995</v>
      </c>
      <c r="AN2842">
        <v>0.99999995292932797</v>
      </c>
    </row>
    <row r="2843" spans="1:40" x14ac:dyDescent="0.25">
      <c r="A2843" t="str">
        <f>"20190303170822135"</f>
        <v>20190303170822135</v>
      </c>
      <c r="B2843" t="str">
        <f>"1551604102126196"</f>
        <v>1551604102126196</v>
      </c>
      <c r="C2843" t="s">
        <v>40</v>
      </c>
      <c r="D2843">
        <v>4.5968159999999996</v>
      </c>
      <c r="E2843">
        <v>0.51824250000000005</v>
      </c>
      <c r="F2843" t="s">
        <v>63</v>
      </c>
      <c r="G2843">
        <v>-241.8381</v>
      </c>
      <c r="H2843" s="1">
        <v>-4.9372740000000001E-7</v>
      </c>
      <c r="I2843">
        <v>213.13159999999999</v>
      </c>
      <c r="J2843">
        <v>-258.59660000000002</v>
      </c>
      <c r="K2843">
        <v>1.1210230000000001</v>
      </c>
      <c r="L2843">
        <v>214.17070000000001</v>
      </c>
      <c r="M2843">
        <v>0.99990400000000002</v>
      </c>
      <c r="N2843">
        <v>-1.145028E-2</v>
      </c>
      <c r="O2843">
        <v>7.79561199999999E-3</v>
      </c>
      <c r="P2843">
        <v>0.97494190000000003</v>
      </c>
      <c r="Q2843">
        <v>0.22110869999999999</v>
      </c>
      <c r="R2843">
        <v>-2.4479270000000001E-2</v>
      </c>
      <c r="S2843">
        <v>3.1195979999999999</v>
      </c>
      <c r="T2843">
        <v>-0.20469879999999999</v>
      </c>
      <c r="U2843">
        <v>-0.18928529999999999</v>
      </c>
      <c r="V2843">
        <v>3.2040579999999999E-2</v>
      </c>
      <c r="W2843">
        <v>0.23226040000000001</v>
      </c>
      <c r="X2843">
        <v>0.97212580000000004</v>
      </c>
      <c r="Y2843">
        <v>6.8161699999999895E-2</v>
      </c>
      <c r="Z2843">
        <v>-3.0443689999999999E-3</v>
      </c>
      <c r="AA2843">
        <v>0.99766960000000005</v>
      </c>
      <c r="AB2843">
        <v>35</v>
      </c>
      <c r="AC2843">
        <v>16.758500000000002</v>
      </c>
      <c r="AD2843">
        <v>-1.1210234937274</v>
      </c>
      <c r="AE2843">
        <v>-1.0391000000000099</v>
      </c>
      <c r="AF2843">
        <v>1.1645288542321901</v>
      </c>
      <c r="AG2843">
        <v>-1.1210234937274</v>
      </c>
      <c r="AH2843">
        <v>16.6755582252183</v>
      </c>
      <c r="AI2843">
        <v>93.836637370777893</v>
      </c>
      <c r="AJ2843">
        <v>86.005264806667398</v>
      </c>
      <c r="AK2843">
        <v>16.753717893305701</v>
      </c>
      <c r="AL2843">
        <v>76.569812871375802</v>
      </c>
      <c r="AM2843">
        <v>88.112254924912506</v>
      </c>
      <c r="AN2843">
        <v>1.00000003160026</v>
      </c>
    </row>
    <row r="2844" spans="1:40" x14ac:dyDescent="0.25">
      <c r="A2844" t="str">
        <f>"20190303170822157"</f>
        <v>20190303170822157</v>
      </c>
      <c r="B2844" t="str">
        <f>"1551604102145716"</f>
        <v>1551604102145716</v>
      </c>
      <c r="C2844" t="s">
        <v>40</v>
      </c>
      <c r="D2844">
        <v>4.605639</v>
      </c>
      <c r="E2844">
        <v>0.51702230000000005</v>
      </c>
      <c r="F2844" t="s">
        <v>63</v>
      </c>
      <c r="G2844">
        <v>-238.42619999999999</v>
      </c>
      <c r="H2844" s="1">
        <v>3.0172340000000002E-6</v>
      </c>
      <c r="I2844">
        <v>213.01429999999999</v>
      </c>
      <c r="J2844">
        <v>-258.26479999999998</v>
      </c>
      <c r="K2844">
        <v>1.121032</v>
      </c>
      <c r="L2844">
        <v>214.17339999999999</v>
      </c>
      <c r="M2844">
        <v>0.99990270000000003</v>
      </c>
      <c r="N2844">
        <v>-1.151901E-2</v>
      </c>
      <c r="O2844">
        <v>7.8747969999999994E-3</v>
      </c>
      <c r="P2844">
        <v>0.97492540000000005</v>
      </c>
      <c r="Q2844">
        <v>0.22118640000000001</v>
      </c>
      <c r="R2844">
        <v>-2.4447610000000002E-2</v>
      </c>
      <c r="S2844">
        <v>3.111847</v>
      </c>
      <c r="T2844">
        <v>-0.17294809999999999</v>
      </c>
      <c r="U2844">
        <v>-0.1784058</v>
      </c>
      <c r="V2844">
        <v>3.2085450000000001E-2</v>
      </c>
      <c r="W2844">
        <v>0.23240469999999999</v>
      </c>
      <c r="X2844">
        <v>0.9720898</v>
      </c>
      <c r="Y2844">
        <v>6.4969440000000003E-2</v>
      </c>
      <c r="Z2844">
        <v>-2.5238109999999999E-3</v>
      </c>
      <c r="AA2844">
        <v>0.99788399999999999</v>
      </c>
      <c r="AB2844">
        <v>35</v>
      </c>
      <c r="AC2844">
        <v>19.8385999999999</v>
      </c>
      <c r="AD2844">
        <v>-1.121028982766</v>
      </c>
      <c r="AE2844">
        <v>-1.15909999999999</v>
      </c>
      <c r="AF2844">
        <v>1.3111270516929101</v>
      </c>
      <c r="AG2844">
        <v>-1.121028982766</v>
      </c>
      <c r="AH2844">
        <v>19.765956676702999</v>
      </c>
      <c r="AI2844">
        <v>93.238957951181405</v>
      </c>
      <c r="AJ2844">
        <v>86.204982215067105</v>
      </c>
      <c r="AK2844">
        <v>19.8410887672825</v>
      </c>
      <c r="AL2844">
        <v>76.561312056715096</v>
      </c>
      <c r="AM2844">
        <v>88.109543264497702</v>
      </c>
      <c r="AN2844">
        <v>0.99999999997391598</v>
      </c>
    </row>
    <row r="2845" spans="1:40" x14ac:dyDescent="0.25">
      <c r="A2845" t="str">
        <f>"20190303170822179"</f>
        <v>20190303170822179</v>
      </c>
      <c r="B2845" t="str">
        <f>"1551604102166212"</f>
        <v>1551604102166212</v>
      </c>
      <c r="C2845" t="s">
        <v>40</v>
      </c>
      <c r="D2845">
        <v>4.6006660000000004</v>
      </c>
      <c r="E2845">
        <v>0.51625169999999998</v>
      </c>
      <c r="F2845" t="s">
        <v>63</v>
      </c>
      <c r="G2845">
        <v>-235.4117</v>
      </c>
      <c r="H2845" s="1">
        <v>1.4170139999999999E-6</v>
      </c>
      <c r="I2845">
        <v>212.92449999999999</v>
      </c>
      <c r="J2845">
        <v>-257.90750000000003</v>
      </c>
      <c r="K2845">
        <v>1.1210389999999999</v>
      </c>
      <c r="L2845">
        <v>214.1763</v>
      </c>
      <c r="M2845">
        <v>0.99990120000000005</v>
      </c>
      <c r="N2845">
        <v>-1.15996E-2</v>
      </c>
      <c r="O2845">
        <v>7.9611939999999996E-3</v>
      </c>
      <c r="P2845">
        <v>0.97476229999999997</v>
      </c>
      <c r="Q2845">
        <v>0.2219682</v>
      </c>
      <c r="R2845">
        <v>-2.384797E-2</v>
      </c>
      <c r="S2845">
        <v>3.1074830000000002</v>
      </c>
      <c r="T2845">
        <v>-0.15243409999999999</v>
      </c>
      <c r="U2845">
        <v>-0.16983029999999999</v>
      </c>
      <c r="V2845">
        <v>3.1568039999999999E-2</v>
      </c>
      <c r="W2845">
        <v>0.2332631</v>
      </c>
      <c r="X2845">
        <v>0.97190109999999996</v>
      </c>
      <c r="Y2845">
        <v>6.2420580000000003E-2</v>
      </c>
      <c r="Z2845">
        <v>-2.1892909999999999E-3</v>
      </c>
      <c r="AA2845">
        <v>0.99804749999999998</v>
      </c>
      <c r="AB2845">
        <v>35</v>
      </c>
      <c r="AC2845">
        <v>22.495799999999999</v>
      </c>
      <c r="AD2845">
        <v>-1.121037582986</v>
      </c>
      <c r="AE2845">
        <v>-1.2518</v>
      </c>
      <c r="AF2845">
        <v>1.4273321516527799</v>
      </c>
      <c r="AG2845">
        <v>-1.121037582986</v>
      </c>
      <c r="AH2845">
        <v>22.429591978528801</v>
      </c>
      <c r="AI2845">
        <v>92.855512574980807</v>
      </c>
      <c r="AJ2845">
        <v>86.358828785173699</v>
      </c>
      <c r="AK2845">
        <v>22.502902005228002</v>
      </c>
      <c r="AL2845">
        <v>76.510739193344094</v>
      </c>
      <c r="AM2845">
        <v>88.139646308771205</v>
      </c>
      <c r="AN2845">
        <v>0.99999998157613001</v>
      </c>
    </row>
    <row r="2846" spans="1:40" x14ac:dyDescent="0.25">
      <c r="A2846" t="str">
        <f>"20190303170822204"</f>
        <v>20190303170822204</v>
      </c>
      <c r="B2846" t="str">
        <f>"1551604102195492"</f>
        <v>1551604102195492</v>
      </c>
      <c r="C2846" t="s">
        <v>40</v>
      </c>
      <c r="D2846">
        <v>4.5168720000000002</v>
      </c>
      <c r="E2846">
        <v>0.51534899999999995</v>
      </c>
      <c r="F2846" t="s">
        <v>63</v>
      </c>
      <c r="G2846">
        <v>-231.81379999999999</v>
      </c>
      <c r="H2846" s="1">
        <v>-4.9266870000000003E-7</v>
      </c>
      <c r="I2846">
        <v>212.81100000000001</v>
      </c>
      <c r="J2846">
        <v>-257.52120000000002</v>
      </c>
      <c r="K2846">
        <v>1.121054</v>
      </c>
      <c r="L2846">
        <v>214.17949999999999</v>
      </c>
      <c r="M2846">
        <v>0.99989930000000005</v>
      </c>
      <c r="N2846">
        <v>-1.1689420000000001E-2</v>
      </c>
      <c r="O2846">
        <v>8.0561869999999994E-3</v>
      </c>
      <c r="P2846">
        <v>0.97478640000000005</v>
      </c>
      <c r="Q2846">
        <v>0.22188379999999999</v>
      </c>
      <c r="R2846">
        <v>-2.3651700000000001E-2</v>
      </c>
      <c r="S2846">
        <v>3.1040649999999999</v>
      </c>
      <c r="T2846">
        <v>-0.133357</v>
      </c>
      <c r="U2846">
        <v>-0.16241459999999999</v>
      </c>
      <c r="V2846">
        <v>3.1463249999999998E-2</v>
      </c>
      <c r="W2846">
        <v>0.23326640000000001</v>
      </c>
      <c r="X2846">
        <v>0.97190370000000004</v>
      </c>
      <c r="Y2846">
        <v>6.0221289999999997E-2</v>
      </c>
      <c r="Z2846">
        <v>-1.896226E-3</v>
      </c>
      <c r="AA2846">
        <v>0.9981833</v>
      </c>
      <c r="AB2846">
        <v>35</v>
      </c>
      <c r="AC2846">
        <v>25.7074</v>
      </c>
      <c r="AD2846">
        <v>-1.1210544926686901</v>
      </c>
      <c r="AE2846">
        <v>-1.36850000000001</v>
      </c>
      <c r="AF2846">
        <v>1.57259122818672</v>
      </c>
      <c r="AG2846">
        <v>-1.1210544926686901</v>
      </c>
      <c r="AH2846">
        <v>25.646905643215302</v>
      </c>
      <c r="AI2846">
        <v>92.498182460611602</v>
      </c>
      <c r="AJ2846">
        <v>86.4911879244505</v>
      </c>
      <c r="AK2846">
        <v>25.719517402519301</v>
      </c>
      <c r="AL2846">
        <v>76.510544673522602</v>
      </c>
      <c r="AM2846">
        <v>88.145822385370295</v>
      </c>
      <c r="AN2846">
        <v>0.99999997577160504</v>
      </c>
    </row>
    <row r="2847" spans="1:40" x14ac:dyDescent="0.25">
      <c r="A2847" t="str">
        <f>"20190303170822224"</f>
        <v>20190303170822224</v>
      </c>
      <c r="B2847" t="str">
        <f>"1551604102215988"</f>
        <v>1551604102215988</v>
      </c>
      <c r="C2847" t="s">
        <v>40</v>
      </c>
      <c r="D2847">
        <v>4.5704500000000001</v>
      </c>
      <c r="E2847">
        <v>0.51499839999999997</v>
      </c>
      <c r="F2847" t="s">
        <v>63</v>
      </c>
      <c r="G2847">
        <v>-227.83109999999999</v>
      </c>
      <c r="H2847" s="1">
        <v>2.714935E-6</v>
      </c>
      <c r="I2847">
        <v>212.6849</v>
      </c>
      <c r="J2847">
        <v>-257.18650000000002</v>
      </c>
      <c r="K2847">
        <v>1.121065</v>
      </c>
      <c r="L2847">
        <v>214.1823</v>
      </c>
      <c r="M2847">
        <v>0.99989779999999995</v>
      </c>
      <c r="N2847">
        <v>-1.1764190000000001E-2</v>
      </c>
      <c r="O2847">
        <v>8.1383830000000008E-3</v>
      </c>
      <c r="P2847">
        <v>0.97486130000000004</v>
      </c>
      <c r="Q2847">
        <v>0.22160830000000001</v>
      </c>
      <c r="R2847">
        <v>-2.3140150000000002E-2</v>
      </c>
      <c r="S2847">
        <v>3.1004640000000001</v>
      </c>
      <c r="T2847">
        <v>-0.1170683</v>
      </c>
      <c r="U2847">
        <v>-0.1560822</v>
      </c>
      <c r="V2847">
        <v>3.1031659999999999E-2</v>
      </c>
      <c r="W2847">
        <v>0.23306460000000001</v>
      </c>
      <c r="X2847">
        <v>0.971966</v>
      </c>
      <c r="Y2847">
        <v>5.8347679999999999E-2</v>
      </c>
      <c r="Z2847">
        <v>-1.655407E-3</v>
      </c>
      <c r="AA2847">
        <v>0.99829489999999999</v>
      </c>
      <c r="AB2847">
        <v>35</v>
      </c>
      <c r="AC2847">
        <v>29.355399999999999</v>
      </c>
      <c r="AD2847">
        <v>-1.1210622850650001</v>
      </c>
      <c r="AE2847">
        <v>-1.4973999999999901</v>
      </c>
      <c r="AF2847">
        <v>1.7337504173832501</v>
      </c>
      <c r="AG2847">
        <v>-1.1210622850650001</v>
      </c>
      <c r="AH2847">
        <v>29.299620099601999</v>
      </c>
      <c r="AI2847">
        <v>92.187360276494601</v>
      </c>
      <c r="AJ2847">
        <v>86.613577812506307</v>
      </c>
      <c r="AK2847">
        <v>29.3722727948958</v>
      </c>
      <c r="AL2847">
        <v>76.522434859521397</v>
      </c>
      <c r="AM2847">
        <v>88.171356394213504</v>
      </c>
      <c r="AN2847">
        <v>0.99999998842575699</v>
      </c>
    </row>
    <row r="2848" spans="1:40" x14ac:dyDescent="0.25">
      <c r="A2848" t="str">
        <f>"20190303170822248"</f>
        <v>20190303170822248</v>
      </c>
      <c r="B2848" t="str">
        <f>"1551604102235508"</f>
        <v>1551604102235508</v>
      </c>
      <c r="C2848" t="s">
        <v>40</v>
      </c>
      <c r="D2848">
        <v>4.5295430000000003</v>
      </c>
      <c r="E2848">
        <v>0.51466409999999996</v>
      </c>
      <c r="F2848" t="s">
        <v>63</v>
      </c>
      <c r="G2848">
        <v>-225.60839999999999</v>
      </c>
      <c r="H2848" s="1">
        <v>1.534743E-6</v>
      </c>
      <c r="I2848">
        <v>212.62559999999999</v>
      </c>
      <c r="J2848">
        <v>-256.82940000000002</v>
      </c>
      <c r="K2848">
        <v>1.121068</v>
      </c>
      <c r="L2848">
        <v>214.18530000000001</v>
      </c>
      <c r="M2848">
        <v>0.99989600000000001</v>
      </c>
      <c r="N2848">
        <v>-1.183792E-2</v>
      </c>
      <c r="O2848">
        <v>8.2262869999999901E-3</v>
      </c>
      <c r="P2848">
        <v>0.97483470000000005</v>
      </c>
      <c r="Q2848">
        <v>0.22171579999999999</v>
      </c>
      <c r="R2848">
        <v>-2.3232869999999999E-2</v>
      </c>
      <c r="S2848">
        <v>3.0987399999999998</v>
      </c>
      <c r="T2848">
        <v>-0.11000939999999999</v>
      </c>
      <c r="U2848">
        <v>-0.15275569999999999</v>
      </c>
      <c r="V2848">
        <v>3.120964E-2</v>
      </c>
      <c r="W2848">
        <v>0.2332436</v>
      </c>
      <c r="X2848">
        <v>0.97191740000000004</v>
      </c>
      <c r="Y2848">
        <v>5.740108E-2</v>
      </c>
      <c r="Z2848">
        <v>-1.552571E-3</v>
      </c>
      <c r="AA2848">
        <v>0.99834999999999996</v>
      </c>
      <c r="AB2848">
        <v>35</v>
      </c>
      <c r="AC2848">
        <v>31.221</v>
      </c>
      <c r="AD2848">
        <v>-1.1210664652569999</v>
      </c>
      <c r="AE2848">
        <v>-1.5597000000000201</v>
      </c>
      <c r="AF2848">
        <v>1.8141648840723501</v>
      </c>
      <c r="AG2848">
        <v>-1.1210664652569999</v>
      </c>
      <c r="AH2848">
        <v>31.167026995326001</v>
      </c>
      <c r="AI2848">
        <v>92.056541939739603</v>
      </c>
      <c r="AJ2848">
        <v>86.668696162839396</v>
      </c>
      <c r="AK2848">
        <v>31.239903264471</v>
      </c>
      <c r="AL2848">
        <v>76.511888757590498</v>
      </c>
      <c r="AM2848">
        <v>88.160783612975905</v>
      </c>
      <c r="AN2848">
        <v>1.0000000254963199</v>
      </c>
    </row>
    <row r="2849" spans="1:40" x14ac:dyDescent="0.25">
      <c r="A2849" t="str">
        <f>"20190303170822274"</f>
        <v>20190303170822274</v>
      </c>
      <c r="B2849" t="str">
        <f>"1551604102265764"</f>
        <v>1551604102265764</v>
      </c>
      <c r="C2849" t="s">
        <v>40</v>
      </c>
      <c r="D2849">
        <v>4.7103349999999997</v>
      </c>
      <c r="E2849">
        <v>0.51418019999999998</v>
      </c>
      <c r="F2849" t="s">
        <v>63</v>
      </c>
      <c r="G2849">
        <v>-223.23220000000001</v>
      </c>
      <c r="H2849" s="1">
        <v>2.7294699999999999E-7</v>
      </c>
      <c r="I2849">
        <v>212.56399999999999</v>
      </c>
      <c r="J2849">
        <v>-256.40539999999999</v>
      </c>
      <c r="K2849">
        <v>1.121078</v>
      </c>
      <c r="L2849">
        <v>214.18889999999999</v>
      </c>
      <c r="M2849">
        <v>0.99989419999999996</v>
      </c>
      <c r="N2849">
        <v>-1.19217E-2</v>
      </c>
      <c r="O2849">
        <v>8.3369589999999997E-3</v>
      </c>
      <c r="P2849">
        <v>0.97488249999999999</v>
      </c>
      <c r="Q2849">
        <v>0.22145190000000001</v>
      </c>
      <c r="R2849">
        <v>-2.3734749999999999E-2</v>
      </c>
      <c r="S2849">
        <v>3.097397</v>
      </c>
      <c r="T2849">
        <v>-0.1033536</v>
      </c>
      <c r="U2849">
        <v>-0.1494751</v>
      </c>
      <c r="V2849">
        <v>3.1819510000000002E-2</v>
      </c>
      <c r="W2849">
        <v>0.23306189999999999</v>
      </c>
      <c r="X2849">
        <v>0.97194119999999995</v>
      </c>
      <c r="Y2849">
        <v>5.6483869999999999E-2</v>
      </c>
      <c r="Z2849">
        <v>-1.457236E-3</v>
      </c>
      <c r="AA2849">
        <v>0.99840249999999997</v>
      </c>
      <c r="AB2849">
        <v>35</v>
      </c>
      <c r="AC2849">
        <v>33.173199999999902</v>
      </c>
      <c r="AD2849">
        <v>-1.1210777270529999</v>
      </c>
      <c r="AE2849">
        <v>-1.62489999999996</v>
      </c>
      <c r="AF2849">
        <v>1.8992628605150801</v>
      </c>
      <c r="AG2849">
        <v>-1.1210777270529999</v>
      </c>
      <c r="AH2849">
        <v>33.120763240383603</v>
      </c>
      <c r="AI2849">
        <v>91.935440917259399</v>
      </c>
      <c r="AJ2849">
        <v>86.718049542047098</v>
      </c>
      <c r="AK2849">
        <v>33.194110506368098</v>
      </c>
      <c r="AL2849">
        <v>76.522594281212506</v>
      </c>
      <c r="AM2849">
        <v>88.124914638308894</v>
      </c>
      <c r="AN2849">
        <v>1.0000000133528399</v>
      </c>
    </row>
    <row r="2850" spans="1:40" x14ac:dyDescent="0.25">
      <c r="A2850" t="str">
        <f>"20190303170822298"</f>
        <v>20190303170822298</v>
      </c>
      <c r="B2850" t="str">
        <f>"1551604102286261"</f>
        <v>1551604102286261</v>
      </c>
      <c r="C2850" t="s">
        <v>40</v>
      </c>
      <c r="D2850">
        <v>4.7086870000000003</v>
      </c>
      <c r="E2850">
        <v>0.51398569999999999</v>
      </c>
      <c r="F2850" t="s">
        <v>63</v>
      </c>
      <c r="G2850">
        <v>-220.56309999999999</v>
      </c>
      <c r="H2850" s="1">
        <v>-1.143532E-6</v>
      </c>
      <c r="I2850">
        <v>212.4751</v>
      </c>
      <c r="J2850">
        <v>-256.01170000000002</v>
      </c>
      <c r="K2850">
        <v>1.121086</v>
      </c>
      <c r="L2850">
        <v>214.19239999999999</v>
      </c>
      <c r="M2850">
        <v>0.99989249999999996</v>
      </c>
      <c r="N2850">
        <v>-1.1995540000000001E-2</v>
      </c>
      <c r="O2850">
        <v>8.4443090000000005E-3</v>
      </c>
      <c r="P2850">
        <v>0.9748909</v>
      </c>
      <c r="Q2850">
        <v>0.22138450000000001</v>
      </c>
      <c r="R2850">
        <v>-2.4021770000000001E-2</v>
      </c>
      <c r="S2850">
        <v>3.095688</v>
      </c>
      <c r="T2850">
        <v>-9.6827269999999993E-2</v>
      </c>
      <c r="U2850">
        <v>-0.1480255</v>
      </c>
      <c r="V2850">
        <v>3.2210089999999997E-2</v>
      </c>
      <c r="W2850">
        <v>0.23306650000000001</v>
      </c>
      <c r="X2850">
        <v>0.97192719999999999</v>
      </c>
      <c r="Y2850">
        <v>5.615618E-2</v>
      </c>
      <c r="Z2850">
        <v>-1.377341E-3</v>
      </c>
      <c r="AA2850">
        <v>0.99842109999999995</v>
      </c>
      <c r="AB2850">
        <v>35</v>
      </c>
      <c r="AC2850">
        <v>35.448599999999999</v>
      </c>
      <c r="AD2850">
        <v>-1.121087143532</v>
      </c>
      <c r="AE2850">
        <v>-1.7172999999999901</v>
      </c>
      <c r="AF2850">
        <v>2.01458895717417</v>
      </c>
      <c r="AG2850">
        <v>-1.121087143532</v>
      </c>
      <c r="AH2850">
        <v>35.397512302366401</v>
      </c>
      <c r="AI2850">
        <v>91.811099684414799</v>
      </c>
      <c r="AJ2850">
        <v>86.742622547118501</v>
      </c>
      <c r="AK2850">
        <v>35.472514461846998</v>
      </c>
      <c r="AL2850">
        <v>76.522322836204495</v>
      </c>
      <c r="AM2850">
        <v>88.101887643051796</v>
      </c>
      <c r="AN2850">
        <v>0.99999998270994805</v>
      </c>
    </row>
    <row r="2851" spans="1:40" x14ac:dyDescent="0.25">
      <c r="A2851" t="str">
        <f>"20190303170822315"</f>
        <v>20190303170822315</v>
      </c>
      <c r="B2851" t="str">
        <f>"1551604102305780"</f>
        <v>1551604102305780</v>
      </c>
      <c r="C2851" t="s">
        <v>40</v>
      </c>
      <c r="D2851">
        <v>4.7067579999999998</v>
      </c>
      <c r="E2851">
        <v>0.51372129999999905</v>
      </c>
      <c r="F2851" t="s">
        <v>63</v>
      </c>
      <c r="G2851">
        <v>-218.77019999999999</v>
      </c>
      <c r="H2851" s="1">
        <v>3.226364E-6</v>
      </c>
      <c r="I2851">
        <v>212.41820000000001</v>
      </c>
      <c r="J2851">
        <v>-255.74080000000001</v>
      </c>
      <c r="K2851">
        <v>1.1210910000000001</v>
      </c>
      <c r="L2851">
        <v>214.19470000000001</v>
      </c>
      <c r="M2851">
        <v>0.99989130000000004</v>
      </c>
      <c r="N2851">
        <v>-1.2042489999999999E-2</v>
      </c>
      <c r="O2851">
        <v>8.5178960000000005E-3</v>
      </c>
      <c r="P2851">
        <v>0.97501850000000001</v>
      </c>
      <c r="Q2851">
        <v>0.22073180000000001</v>
      </c>
      <c r="R2851">
        <v>-2.4830169999999999E-2</v>
      </c>
      <c r="S2851">
        <v>3.0948180000000001</v>
      </c>
      <c r="T2851">
        <v>-9.3163490000000002E-2</v>
      </c>
      <c r="U2851">
        <v>-0.14743039999999999</v>
      </c>
      <c r="V2851">
        <v>3.3090870000000001E-2</v>
      </c>
      <c r="W2851">
        <v>0.2324608</v>
      </c>
      <c r="X2851">
        <v>0.97204270000000004</v>
      </c>
      <c r="Y2851">
        <v>5.6054130000000001E-2</v>
      </c>
      <c r="Z2851">
        <v>-1.3345760000000001E-3</v>
      </c>
      <c r="AA2851">
        <v>0.99842690000000001</v>
      </c>
      <c r="AB2851">
        <v>35</v>
      </c>
      <c r="AC2851">
        <v>36.970599999999997</v>
      </c>
      <c r="AD2851">
        <v>-1.1210877736360001</v>
      </c>
      <c r="AE2851">
        <v>-1.77649999999999</v>
      </c>
      <c r="AF2851">
        <v>2.0894531858304202</v>
      </c>
      <c r="AG2851">
        <v>-1.1210877736360001</v>
      </c>
      <c r="AH2851">
        <v>36.920254350305797</v>
      </c>
      <c r="AI2851">
        <v>91.736481604440101</v>
      </c>
      <c r="AJ2851">
        <v>86.760875982719696</v>
      </c>
      <c r="AK2851">
        <v>36.996321894253903</v>
      </c>
      <c r="AL2851">
        <v>76.558007526201195</v>
      </c>
      <c r="AM2851">
        <v>88.050255108533094</v>
      </c>
      <c r="AN2851">
        <v>1.0000000199186401</v>
      </c>
    </row>
    <row r="2852" spans="1:40" x14ac:dyDescent="0.25">
      <c r="A2852" t="str">
        <f>"20190303170822337"</f>
        <v>20190303170822337</v>
      </c>
      <c r="B2852" t="str">
        <f>"1551604102326276"</f>
        <v>1551604102326276</v>
      </c>
      <c r="C2852" t="s">
        <v>40</v>
      </c>
      <c r="D2852">
        <v>4.7060810000000002</v>
      </c>
      <c r="E2852">
        <v>0.51360969999999995</v>
      </c>
      <c r="F2852" t="s">
        <v>63</v>
      </c>
      <c r="G2852">
        <v>-218.08590000000001</v>
      </c>
      <c r="H2852" s="1">
        <v>2.8634399999999998E-6</v>
      </c>
      <c r="I2852">
        <v>212.3904</v>
      </c>
      <c r="J2852">
        <v>-255.42070000000001</v>
      </c>
      <c r="K2852">
        <v>1.121095</v>
      </c>
      <c r="L2852">
        <v>214.19749999999999</v>
      </c>
      <c r="M2852">
        <v>0.9998899</v>
      </c>
      <c r="N2852">
        <v>-1.2093039999999999E-2</v>
      </c>
      <c r="O2852">
        <v>8.6039089999999999E-3</v>
      </c>
      <c r="P2852">
        <v>0.9749447</v>
      </c>
      <c r="Q2852">
        <v>0.2209576</v>
      </c>
      <c r="R2852">
        <v>-2.5706860000000002E-2</v>
      </c>
      <c r="S2852">
        <v>3.0939480000000001</v>
      </c>
      <c r="T2852">
        <v>-9.2115279999999994E-2</v>
      </c>
      <c r="U2852">
        <v>-0.14825439999999901</v>
      </c>
      <c r="V2852">
        <v>3.4050070000000002E-2</v>
      </c>
      <c r="W2852">
        <v>0.23273489999999999</v>
      </c>
      <c r="X2852">
        <v>0.97194400000000003</v>
      </c>
      <c r="Y2852">
        <v>5.6419089999999998E-2</v>
      </c>
      <c r="Z2852">
        <v>-1.3326569999999999E-3</v>
      </c>
      <c r="AA2852">
        <v>0.99840629999999997</v>
      </c>
      <c r="AB2852">
        <v>35</v>
      </c>
      <c r="AC2852">
        <v>37.334800000000001</v>
      </c>
      <c r="AD2852">
        <v>-1.12109213656</v>
      </c>
      <c r="AE2852">
        <v>-1.8070999999999899</v>
      </c>
      <c r="AF2852">
        <v>2.1263689671271102</v>
      </c>
      <c r="AG2852">
        <v>-1.12109213656</v>
      </c>
      <c r="AH2852">
        <v>37.284328465732699</v>
      </c>
      <c r="AI2852">
        <v>91.7194995465576</v>
      </c>
      <c r="AJ2852">
        <v>86.735890350915994</v>
      </c>
      <c r="AK2852">
        <v>37.361737669756003</v>
      </c>
      <c r="AL2852">
        <v>76.541860147477493</v>
      </c>
      <c r="AM2852">
        <v>87.993580122252794</v>
      </c>
      <c r="AN2852">
        <v>1.0000000400405</v>
      </c>
    </row>
    <row r="2853" spans="1:40" x14ac:dyDescent="0.25">
      <c r="A2853" t="str">
        <f>"20190303170822358"</f>
        <v>20190303170822358</v>
      </c>
      <c r="B2853" t="str">
        <f>"1551604102345796"</f>
        <v>1551604102345796</v>
      </c>
      <c r="C2853" t="s">
        <v>40</v>
      </c>
      <c r="D2853">
        <v>4.5982830000000003</v>
      </c>
      <c r="E2853">
        <v>0.51347449999999994</v>
      </c>
      <c r="F2853" t="s">
        <v>63</v>
      </c>
      <c r="G2853">
        <v>-216.41589999999999</v>
      </c>
      <c r="H2853" s="1">
        <v>1.9782340000000001E-6</v>
      </c>
      <c r="I2853">
        <v>212.31039999999999</v>
      </c>
      <c r="J2853">
        <v>-255.07490000000001</v>
      </c>
      <c r="K2853">
        <v>1.121095</v>
      </c>
      <c r="L2853">
        <v>214.20060000000001</v>
      </c>
      <c r="M2853">
        <v>0.99988849999999996</v>
      </c>
      <c r="N2853">
        <v>-1.213999E-2</v>
      </c>
      <c r="O2853">
        <v>8.6945640000000001E-3</v>
      </c>
      <c r="P2853">
        <v>0.97478799999999999</v>
      </c>
      <c r="Q2853">
        <v>0.22151989999999999</v>
      </c>
      <c r="R2853">
        <v>-2.6783350000000001E-2</v>
      </c>
      <c r="S2853">
        <v>3.0933069999999998</v>
      </c>
      <c r="T2853">
        <v>-8.8909150000000006E-2</v>
      </c>
      <c r="U2853">
        <v>-0.14965819999999999</v>
      </c>
      <c r="V2853">
        <v>3.5214099999999998E-2</v>
      </c>
      <c r="W2853">
        <v>0.23334099999999999</v>
      </c>
      <c r="X2853">
        <v>0.97175719999999999</v>
      </c>
      <c r="Y2853">
        <v>5.6973379999999997E-2</v>
      </c>
      <c r="Z2853">
        <v>-1.3085130000000001E-3</v>
      </c>
      <c r="AA2853">
        <v>0.99837480000000001</v>
      </c>
      <c r="AB2853">
        <v>35</v>
      </c>
      <c r="AC2853">
        <v>38.658999999999999</v>
      </c>
      <c r="AD2853">
        <v>-1.121093021766</v>
      </c>
      <c r="AE2853">
        <v>-1.8902000000000201</v>
      </c>
      <c r="AF2853">
        <v>2.2244102586331498</v>
      </c>
      <c r="AG2853">
        <v>-1.121093021766</v>
      </c>
      <c r="AH2853">
        <v>38.608711410078797</v>
      </c>
      <c r="AI2853">
        <v>91.6604957102345</v>
      </c>
      <c r="AJ2853">
        <v>86.702594389117706</v>
      </c>
      <c r="AK2853">
        <v>38.6889835393605</v>
      </c>
      <c r="AL2853">
        <v>76.506150203181804</v>
      </c>
      <c r="AM2853">
        <v>87.924649436923403</v>
      </c>
      <c r="AN2853">
        <v>1.0000000554358199</v>
      </c>
    </row>
    <row r="2854" spans="1:40" x14ac:dyDescent="0.25">
      <c r="A2854" t="str">
        <f>"20190303170822383"</f>
        <v>20190303170822383</v>
      </c>
      <c r="B2854" t="str">
        <f>"1551604102376053"</f>
        <v>1551604102376053</v>
      </c>
      <c r="C2854" t="s">
        <v>40</v>
      </c>
      <c r="D2854">
        <v>4.8229989999999896</v>
      </c>
      <c r="E2854">
        <v>0.51329799999999903</v>
      </c>
      <c r="F2854" t="s">
        <v>63</v>
      </c>
      <c r="G2854">
        <v>-214.32669999999999</v>
      </c>
      <c r="H2854" s="1">
        <v>8.7178829999999997E-7</v>
      </c>
      <c r="I2854">
        <v>212.1884</v>
      </c>
      <c r="J2854">
        <v>-254.67420000000001</v>
      </c>
      <c r="K2854">
        <v>1.1210830000000001</v>
      </c>
      <c r="L2854">
        <v>214.20419999999999</v>
      </c>
      <c r="M2854">
        <v>0.99988719999999998</v>
      </c>
      <c r="N2854">
        <v>-1.2176660000000001E-2</v>
      </c>
      <c r="O2854">
        <v>8.7946480000000004E-3</v>
      </c>
      <c r="P2854">
        <v>0.97468330000000003</v>
      </c>
      <c r="Q2854">
        <v>0.2219352</v>
      </c>
      <c r="R2854">
        <v>-2.7147460000000002E-2</v>
      </c>
      <c r="S2854">
        <v>3.092743</v>
      </c>
      <c r="T2854">
        <v>-8.5089799999999993E-2</v>
      </c>
      <c r="U2854">
        <v>-0.15272520000000001</v>
      </c>
      <c r="V2854">
        <v>3.5677489999999999E-2</v>
      </c>
      <c r="W2854">
        <v>0.23379030000000001</v>
      </c>
      <c r="X2854">
        <v>0.97163219999999995</v>
      </c>
      <c r="Y2854">
        <v>5.8071709999999999E-2</v>
      </c>
      <c r="Z2854">
        <v>-1.286873E-3</v>
      </c>
      <c r="AA2854">
        <v>0.99831159999999997</v>
      </c>
      <c r="AB2854">
        <v>35</v>
      </c>
      <c r="AC2854">
        <v>40.347499999999997</v>
      </c>
      <c r="AD2854">
        <v>-1.1210821282117001</v>
      </c>
      <c r="AE2854">
        <v>-2.0157999999999801</v>
      </c>
      <c r="AF2854">
        <v>2.3687661580074</v>
      </c>
      <c r="AG2854">
        <v>-1.1210821282117001</v>
      </c>
      <c r="AH2854">
        <v>40.297176119989302</v>
      </c>
      <c r="AI2854">
        <v>91.590833748342703</v>
      </c>
      <c r="AJ2854">
        <v>86.635885728241902</v>
      </c>
      <c r="AK2854">
        <v>40.382301587390401</v>
      </c>
      <c r="AL2854">
        <v>76.479673615488693</v>
      </c>
      <c r="AM2854">
        <v>87.897093541300706</v>
      </c>
      <c r="AN2854">
        <v>0.999999959871814</v>
      </c>
    </row>
    <row r="2855" spans="1:40" x14ac:dyDescent="0.25">
      <c r="A2855" t="str">
        <f>"20190303170822407"</f>
        <v>20190303170822407</v>
      </c>
      <c r="B2855" t="str">
        <f>"1551604102395573"</f>
        <v>1551604102395573</v>
      </c>
      <c r="C2855" t="s">
        <v>40</v>
      </c>
      <c r="D2855">
        <v>4.8221480000000003</v>
      </c>
      <c r="E2855">
        <v>0.51326939999999999</v>
      </c>
      <c r="F2855" t="s">
        <v>63</v>
      </c>
      <c r="G2855">
        <v>-211.92670000000001</v>
      </c>
      <c r="H2855" s="1">
        <v>-4.0114380000000002E-7</v>
      </c>
      <c r="I2855">
        <v>212.0916</v>
      </c>
      <c r="J2855">
        <v>-254.3031</v>
      </c>
      <c r="K2855">
        <v>1.121075</v>
      </c>
      <c r="L2855">
        <v>214.20760000000001</v>
      </c>
      <c r="M2855">
        <v>0.99988639999999995</v>
      </c>
      <c r="N2855">
        <v>-1.21885E-2</v>
      </c>
      <c r="O2855">
        <v>8.88527699999999E-3</v>
      </c>
      <c r="P2855">
        <v>0.97475029999999996</v>
      </c>
      <c r="Q2855">
        <v>0.22159509999999999</v>
      </c>
      <c r="R2855">
        <v>-2.7529120000000001E-2</v>
      </c>
      <c r="S2855">
        <v>3.092133</v>
      </c>
      <c r="T2855">
        <v>-8.1093429999999994E-2</v>
      </c>
      <c r="U2855">
        <v>-0.1528168</v>
      </c>
      <c r="V2855">
        <v>3.6150700000000001E-2</v>
      </c>
      <c r="W2855">
        <v>0.233462</v>
      </c>
      <c r="X2855">
        <v>0.97169369999999999</v>
      </c>
      <c r="Y2855">
        <v>5.8203940000000003E-2</v>
      </c>
      <c r="Z2855">
        <v>-1.2422819999999999E-3</v>
      </c>
      <c r="AA2855">
        <v>0.99830390000000002</v>
      </c>
      <c r="AB2855">
        <v>35</v>
      </c>
      <c r="AC2855">
        <v>42.376399999999897</v>
      </c>
      <c r="AD2855">
        <v>-1.1210754011438</v>
      </c>
      <c r="AE2855">
        <v>-2.1160000000000099</v>
      </c>
      <c r="AF2855">
        <v>2.4907315527658498</v>
      </c>
      <c r="AG2855">
        <v>-1.1210754011438</v>
      </c>
      <c r="AH2855">
        <v>42.326374744440898</v>
      </c>
      <c r="AI2855">
        <v>91.514588172121293</v>
      </c>
      <c r="AJ2855">
        <v>86.632264800465705</v>
      </c>
      <c r="AK2855">
        <v>42.414414445207598</v>
      </c>
      <c r="AL2855">
        <v>76.499019905479201</v>
      </c>
      <c r="AM2855">
        <v>87.869361823820498</v>
      </c>
      <c r="AN2855">
        <v>1.00000001258709</v>
      </c>
    </row>
    <row r="2856" spans="1:40" x14ac:dyDescent="0.25">
      <c r="A2856" t="str">
        <f>"20190303170822432"</f>
        <v>20190303170822432</v>
      </c>
      <c r="B2856" t="str">
        <f>"1551604102425828"</f>
        <v>1551604102425828</v>
      </c>
      <c r="C2856" t="s">
        <v>40</v>
      </c>
      <c r="D2856">
        <v>4.8216429999999999</v>
      </c>
      <c r="E2856">
        <v>0.5131251</v>
      </c>
      <c r="F2856" t="s">
        <v>63</v>
      </c>
      <c r="G2856">
        <v>-211.40090000000001</v>
      </c>
      <c r="H2856" s="1">
        <v>-6.8067859999999998E-7</v>
      </c>
      <c r="I2856">
        <v>212.08600000000001</v>
      </c>
      <c r="J2856">
        <v>-253.91079999999999</v>
      </c>
      <c r="K2856">
        <v>1.1210549999999999</v>
      </c>
      <c r="L2856">
        <v>214.21119999999999</v>
      </c>
      <c r="M2856">
        <v>0.99988569999999999</v>
      </c>
      <c r="N2856">
        <v>-1.218031E-2</v>
      </c>
      <c r="O2856">
        <v>8.9802790000000007E-3</v>
      </c>
      <c r="P2856">
        <v>0.97469459999999997</v>
      </c>
      <c r="Q2856">
        <v>0.22184129999999999</v>
      </c>
      <c r="R2856">
        <v>-2.7525230000000001E-2</v>
      </c>
      <c r="S2856">
        <v>3.091736</v>
      </c>
      <c r="T2856">
        <v>-8.079016E-2</v>
      </c>
      <c r="U2856">
        <v>-0.1528931</v>
      </c>
      <c r="V2856">
        <v>3.6240759999999997E-2</v>
      </c>
      <c r="W2856">
        <v>0.2336994</v>
      </c>
      <c r="X2856">
        <v>0.97163330000000003</v>
      </c>
      <c r="Y2856">
        <v>5.8329789999999999E-2</v>
      </c>
      <c r="Z2856">
        <v>-1.2422550000000001E-3</v>
      </c>
      <c r="AA2856">
        <v>0.99829659999999998</v>
      </c>
      <c r="AB2856">
        <v>35</v>
      </c>
      <c r="AC2856">
        <v>42.509899999999902</v>
      </c>
      <c r="AD2856">
        <v>-1.1210556806785901</v>
      </c>
      <c r="AE2856">
        <v>-2.1252</v>
      </c>
      <c r="AF2856">
        <v>2.5051553955399801</v>
      </c>
      <c r="AG2856">
        <v>-1.1210556806785901</v>
      </c>
      <c r="AH2856">
        <v>42.459643792252301</v>
      </c>
      <c r="AI2856">
        <v>91.509796221310694</v>
      </c>
      <c r="AJ2856">
        <v>86.6234143223177</v>
      </c>
      <c r="AK2856">
        <v>42.548254022461798</v>
      </c>
      <c r="AL2856">
        <v>76.485031237850507</v>
      </c>
      <c r="AM2856">
        <v>87.863926152870704</v>
      </c>
      <c r="AN2856">
        <v>1.00000003595731</v>
      </c>
    </row>
    <row r="2857" spans="1:40" x14ac:dyDescent="0.25">
      <c r="A2857" t="str">
        <f>"20190303170822471"</f>
        <v>20190303170822471</v>
      </c>
      <c r="B2857" t="str">
        <f>"1551604102465846"</f>
        <v>1551604102465846</v>
      </c>
      <c r="C2857" t="s">
        <v>40</v>
      </c>
      <c r="D2857">
        <v>4.7035109999999998</v>
      </c>
      <c r="E2857">
        <v>0.5130903</v>
      </c>
      <c r="F2857" t="s">
        <v>57</v>
      </c>
      <c r="G2857">
        <v>-209.62909999999999</v>
      </c>
      <c r="H2857" s="1">
        <v>6.7117020000000001E-6</v>
      </c>
      <c r="I2857">
        <v>212.04689999999999</v>
      </c>
      <c r="J2857">
        <v>-253.29560000000001</v>
      </c>
      <c r="K2857">
        <v>1.1210580000000001</v>
      </c>
      <c r="L2857">
        <v>214.21680000000001</v>
      </c>
      <c r="M2857">
        <v>0.99988480000000002</v>
      </c>
      <c r="N2857">
        <v>-1.2139570000000001E-2</v>
      </c>
      <c r="O2857">
        <v>9.1253380000000002E-3</v>
      </c>
      <c r="P2857">
        <v>0.97422580000000003</v>
      </c>
      <c r="Q2857">
        <v>0.2239379</v>
      </c>
      <c r="R2857">
        <v>-2.713842E-2</v>
      </c>
      <c r="S2857">
        <v>3.091415</v>
      </c>
      <c r="T2857">
        <v>-7.8263040000000006E-2</v>
      </c>
      <c r="U2857">
        <v>-0.15109249999999999</v>
      </c>
      <c r="V2857">
        <v>3.5991710000000003E-2</v>
      </c>
      <c r="W2857">
        <v>0.23574999999999999</v>
      </c>
      <c r="X2857">
        <v>0.97114699999999998</v>
      </c>
      <c r="Y2857">
        <v>5.7901510000000003E-2</v>
      </c>
      <c r="Z2857">
        <v>-1.2042789999999999E-3</v>
      </c>
      <c r="AA2857">
        <v>0.99832160000000003</v>
      </c>
      <c r="AB2857">
        <v>35</v>
      </c>
      <c r="AC2857">
        <v>43.666499999999999</v>
      </c>
      <c r="AD2857">
        <v>-1.1210512882979999</v>
      </c>
      <c r="AE2857">
        <v>-2.1699000000000099</v>
      </c>
      <c r="AF2857">
        <v>2.5666230192326198</v>
      </c>
      <c r="AG2857">
        <v>-1.1210512882979999</v>
      </c>
      <c r="AH2857">
        <v>43.616202256303403</v>
      </c>
      <c r="AI2857">
        <v>91.469786817673096</v>
      </c>
      <c r="AJ2857">
        <v>86.632277278109996</v>
      </c>
      <c r="AK2857">
        <v>43.7060340110678</v>
      </c>
      <c r="AL2857">
        <v>76.364162911209107</v>
      </c>
      <c r="AM2857">
        <v>87.877530680326302</v>
      </c>
      <c r="AN2857">
        <v>0.99999998064886098</v>
      </c>
    </row>
    <row r="2858" spans="1:40" x14ac:dyDescent="0.25">
      <c r="A2858" t="str">
        <f>"20190303170822496"</f>
        <v>20190303170822496</v>
      </c>
      <c r="B2858" t="str">
        <f>"1551604102486340"</f>
        <v>1551604102486340</v>
      </c>
      <c r="C2858" t="s">
        <v>40</v>
      </c>
      <c r="D2858">
        <v>4.8835249999999997</v>
      </c>
      <c r="E2858">
        <v>0.52595769999999997</v>
      </c>
      <c r="F2858" t="s">
        <v>57</v>
      </c>
      <c r="G2858">
        <v>-203.54589999999999</v>
      </c>
      <c r="H2858" s="1">
        <v>4.0354740000000003E-6</v>
      </c>
      <c r="I2858">
        <v>211.8023</v>
      </c>
      <c r="J2858">
        <v>-252.887</v>
      </c>
      <c r="K2858">
        <v>1.1210580000000001</v>
      </c>
      <c r="L2858">
        <v>214.22069999999999</v>
      </c>
      <c r="M2858">
        <v>0.9998842</v>
      </c>
      <c r="N2858">
        <v>-1.210696E-2</v>
      </c>
      <c r="O2858">
        <v>9.2196599999999993E-3</v>
      </c>
      <c r="P2858">
        <v>0.97382429999999998</v>
      </c>
      <c r="Q2858">
        <v>0.2256435</v>
      </c>
      <c r="R2858">
        <v>-2.7415040000000002E-2</v>
      </c>
      <c r="S2858">
        <v>3.0911870000000001</v>
      </c>
      <c r="T2858">
        <v>-6.9656490000000001E-2</v>
      </c>
      <c r="U2858">
        <v>-0.1500244</v>
      </c>
      <c r="V2858">
        <v>3.6355890000000002E-2</v>
      </c>
      <c r="W2858">
        <v>0.23741970000000001</v>
      </c>
      <c r="X2858">
        <v>0.9707266</v>
      </c>
      <c r="Y2858">
        <v>5.7660370000000002E-2</v>
      </c>
      <c r="Z2858">
        <v>-1.094591E-3</v>
      </c>
      <c r="AA2858">
        <v>0.99833570000000005</v>
      </c>
      <c r="AB2858">
        <v>35</v>
      </c>
      <c r="AC2858">
        <v>49.341099999999997</v>
      </c>
      <c r="AD2858">
        <v>-1.12105396452599</v>
      </c>
      <c r="AE2858">
        <v>-2.4183999999999899</v>
      </c>
      <c r="AF2858">
        <v>2.8717598002276001</v>
      </c>
      <c r="AG2858">
        <v>-1.12105396452599</v>
      </c>
      <c r="AH2858">
        <v>49.291319922879801</v>
      </c>
      <c r="AI2858">
        <v>91.300673429237406</v>
      </c>
      <c r="AJ2858">
        <v>86.665661887094302</v>
      </c>
      <c r="AK2858">
        <v>49.387629889287801</v>
      </c>
      <c r="AL2858">
        <v>76.2657011245078</v>
      </c>
      <c r="AM2858">
        <v>87.855146920809702</v>
      </c>
      <c r="AN2858">
        <v>0.99999999831667097</v>
      </c>
    </row>
    <row r="2859" spans="1:40" x14ac:dyDescent="0.25">
      <c r="A2859" t="str">
        <f>"20190303170822516"</f>
        <v>20190303170822516</v>
      </c>
      <c r="B2859" t="str">
        <f>"1551604102505860"</f>
        <v>1551604102505860</v>
      </c>
      <c r="C2859" t="s">
        <v>40</v>
      </c>
      <c r="D2859">
        <v>4.5985569999999996</v>
      </c>
      <c r="E2859">
        <v>0.52815970000000001</v>
      </c>
      <c r="F2859" t="s">
        <v>54</v>
      </c>
      <c r="G2859">
        <v>-168.41040000000001</v>
      </c>
      <c r="H2859">
        <v>0.53769109999999998</v>
      </c>
      <c r="I2859">
        <v>207.19730000000001</v>
      </c>
      <c r="J2859">
        <v>-252.56780000000001</v>
      </c>
      <c r="K2859">
        <v>1.1210599999999999</v>
      </c>
      <c r="L2859">
        <v>214.22370000000001</v>
      </c>
      <c r="M2859">
        <v>0.999884</v>
      </c>
      <c r="N2859">
        <v>-1.2080509999999999E-2</v>
      </c>
      <c r="O2859">
        <v>9.2928449999999992E-3</v>
      </c>
      <c r="P2859">
        <v>0.97360089999999999</v>
      </c>
      <c r="Q2859">
        <v>0.22644069999999999</v>
      </c>
      <c r="R2859">
        <v>-2.8744539999999999E-2</v>
      </c>
      <c r="S2859">
        <v>3.078354</v>
      </c>
      <c r="T2859">
        <v>-2.1256799999999999E-2</v>
      </c>
      <c r="U2859">
        <v>-0.25593569999999999</v>
      </c>
      <c r="V2859">
        <v>3.7753870000000002E-2</v>
      </c>
      <c r="W2859">
        <v>0.2381876</v>
      </c>
      <c r="X2859">
        <v>0.97048509999999999</v>
      </c>
      <c r="Y2859">
        <v>9.210641E-2</v>
      </c>
      <c r="Z2859">
        <v>-8.2679949999999998E-4</v>
      </c>
      <c r="AA2859">
        <v>0.99574879999999999</v>
      </c>
      <c r="AB2859">
        <v>35</v>
      </c>
      <c r="AC2859">
        <v>84.157399999999996</v>
      </c>
      <c r="AD2859">
        <v>-0.58336889999999997</v>
      </c>
      <c r="AE2859">
        <v>-7.02639999999999</v>
      </c>
      <c r="AF2859">
        <v>7.8078426085783201</v>
      </c>
      <c r="AG2859">
        <v>-0.58336889999999997</v>
      </c>
      <c r="AH2859">
        <v>84.084453234161998</v>
      </c>
      <c r="AI2859">
        <v>90.395802904557996</v>
      </c>
      <c r="AJ2859">
        <v>84.694890040764705</v>
      </c>
      <c r="AK2859">
        <v>84.448197145716406</v>
      </c>
      <c r="AL2859">
        <v>76.2204044162429</v>
      </c>
      <c r="AM2859">
        <v>87.772199499250405</v>
      </c>
      <c r="AN2859">
        <v>1.00000000840787</v>
      </c>
    </row>
    <row r="2860" spans="1:40" x14ac:dyDescent="0.25">
      <c r="A2860" t="str">
        <f>"20190303170822539"</f>
        <v>20190303170822539</v>
      </c>
      <c r="B2860" t="str">
        <f>"1551604102525381"</f>
        <v>1551604102525381</v>
      </c>
      <c r="C2860" t="s">
        <v>40</v>
      </c>
      <c r="D2860">
        <v>4.6274220000000001</v>
      </c>
      <c r="E2860">
        <v>0.52926490000000004</v>
      </c>
      <c r="F2860" t="s">
        <v>54</v>
      </c>
      <c r="G2860">
        <v>-168.41059999999999</v>
      </c>
      <c r="H2860">
        <v>0.3569832</v>
      </c>
      <c r="I2860">
        <v>206.65350000000001</v>
      </c>
      <c r="J2860">
        <v>-252.2106</v>
      </c>
      <c r="K2860">
        <v>1.1210580000000001</v>
      </c>
      <c r="L2860">
        <v>214.22710000000001</v>
      </c>
      <c r="M2860">
        <v>0.99988350000000004</v>
      </c>
      <c r="N2860">
        <v>-1.2047499999999999E-2</v>
      </c>
      <c r="O2860">
        <v>9.3754249999999997E-3</v>
      </c>
      <c r="P2860">
        <v>0.97345429999999999</v>
      </c>
      <c r="Q2860">
        <v>0.22704550000000001</v>
      </c>
      <c r="R2860">
        <v>-2.8938269999999999E-2</v>
      </c>
      <c r="S2860">
        <v>3.0796510000000001</v>
      </c>
      <c r="T2860">
        <v>-2.7959350000000001E-2</v>
      </c>
      <c r="U2860">
        <v>-0.27702329999999997</v>
      </c>
      <c r="V2860">
        <v>3.8026079999999997E-2</v>
      </c>
      <c r="W2860">
        <v>0.23875859999999999</v>
      </c>
      <c r="X2860">
        <v>0.97033420000000004</v>
      </c>
      <c r="Y2860">
        <v>9.8916069999999995E-2</v>
      </c>
      <c r="Z2860">
        <v>-1.017434E-3</v>
      </c>
      <c r="AA2860">
        <v>0.99509530000000002</v>
      </c>
      <c r="AB2860">
        <v>35</v>
      </c>
      <c r="AC2860">
        <v>83.8</v>
      </c>
      <c r="AD2860">
        <v>-0.76407479999999905</v>
      </c>
      <c r="AE2860">
        <v>-7.5735999999999901</v>
      </c>
      <c r="AF2860">
        <v>8.3582954691911002</v>
      </c>
      <c r="AG2860">
        <v>-0.76407479999999905</v>
      </c>
      <c r="AH2860">
        <v>83.718402024998696</v>
      </c>
      <c r="AI2860">
        <v>90.520321658735099</v>
      </c>
      <c r="AJ2860">
        <v>84.298585067211704</v>
      </c>
      <c r="AK2860">
        <v>84.138075513227605</v>
      </c>
      <c r="AL2860">
        <v>76.186717269318393</v>
      </c>
      <c r="AM2860">
        <v>87.755804554709698</v>
      </c>
      <c r="AN2860">
        <v>1.00000005576188</v>
      </c>
    </row>
    <row r="2861" spans="1:40" x14ac:dyDescent="0.25">
      <c r="A2861" t="str">
        <f>"20190303170822560"</f>
        <v>20190303170822560</v>
      </c>
      <c r="B2861" t="str">
        <f>"1551604102546852"</f>
        <v>1551604102546852</v>
      </c>
      <c r="C2861" t="s">
        <v>40</v>
      </c>
      <c r="D2861">
        <v>4.7028610000000004</v>
      </c>
      <c r="E2861">
        <v>0.52920929999999999</v>
      </c>
      <c r="F2861" t="s">
        <v>54</v>
      </c>
      <c r="G2861">
        <v>-168.41059999999999</v>
      </c>
      <c r="H2861">
        <v>0.37079430000000002</v>
      </c>
      <c r="I2861">
        <v>206.44220000000001</v>
      </c>
      <c r="J2861">
        <v>-251.87559999999999</v>
      </c>
      <c r="K2861">
        <v>1.1210560000000001</v>
      </c>
      <c r="L2861">
        <v>214.2303</v>
      </c>
      <c r="M2861">
        <v>0.99988319999999997</v>
      </c>
      <c r="N2861">
        <v>-1.201345E-2</v>
      </c>
      <c r="O2861">
        <v>9.4534749999999994E-3</v>
      </c>
      <c r="P2861">
        <v>0.97321360000000001</v>
      </c>
      <c r="Q2861">
        <v>0.22808210000000001</v>
      </c>
      <c r="R2861">
        <v>-2.8882399999999999E-2</v>
      </c>
      <c r="S2861">
        <v>3.079742</v>
      </c>
      <c r="T2861">
        <v>-2.75718E-2</v>
      </c>
      <c r="U2861">
        <v>-0.28610229999999998</v>
      </c>
      <c r="V2861">
        <v>3.8043359999999998E-2</v>
      </c>
      <c r="W2861">
        <v>0.23975959999999999</v>
      </c>
      <c r="X2861">
        <v>0.97008660000000002</v>
      </c>
      <c r="Y2861">
        <v>0.1018998</v>
      </c>
      <c r="Z2861">
        <v>-1.0397360000000001E-3</v>
      </c>
      <c r="AA2861">
        <v>0.99479410000000001</v>
      </c>
      <c r="AB2861">
        <v>35</v>
      </c>
      <c r="AC2861">
        <v>83.465000000000003</v>
      </c>
      <c r="AD2861">
        <v>-0.75026169999999903</v>
      </c>
      <c r="AE2861">
        <v>-7.7880999999999796</v>
      </c>
      <c r="AF2861">
        <v>8.5761561507126896</v>
      </c>
      <c r="AG2861">
        <v>-0.75026169999999903</v>
      </c>
      <c r="AH2861">
        <v>83.380960790256495</v>
      </c>
      <c r="AI2861">
        <v>90.512828018991897</v>
      </c>
      <c r="AJ2861">
        <v>84.127488159105695</v>
      </c>
      <c r="AK2861">
        <v>83.824208730212206</v>
      </c>
      <c r="AL2861">
        <v>76.127647620138305</v>
      </c>
      <c r="AM2861">
        <v>87.754213309286797</v>
      </c>
      <c r="AN2861">
        <v>0.999999987265904</v>
      </c>
    </row>
    <row r="2862" spans="1:40" x14ac:dyDescent="0.25">
      <c r="A2862" t="str">
        <f>"20190303170822582"</f>
        <v>20190303170822582</v>
      </c>
      <c r="B2862" t="str">
        <f>"1551604102576132"</f>
        <v>1551604102576132</v>
      </c>
      <c r="C2862" t="s">
        <v>40</v>
      </c>
      <c r="D2862">
        <v>4.551304</v>
      </c>
      <c r="E2862">
        <v>0.52887399999999996</v>
      </c>
      <c r="F2862" t="s">
        <v>54</v>
      </c>
      <c r="G2862">
        <v>-168.41059999999999</v>
      </c>
      <c r="H2862">
        <v>0.51242639999999995</v>
      </c>
      <c r="I2862">
        <v>206.50290000000001</v>
      </c>
      <c r="J2862">
        <v>-251.5034</v>
      </c>
      <c r="K2862">
        <v>1.121059</v>
      </c>
      <c r="L2862">
        <v>214.23390000000001</v>
      </c>
      <c r="M2862">
        <v>0.99988279999999996</v>
      </c>
      <c r="N2862">
        <v>-1.1972679999999999E-2</v>
      </c>
      <c r="O2862">
        <v>9.5411560000000003E-3</v>
      </c>
      <c r="P2862">
        <v>0.97316899999999995</v>
      </c>
      <c r="Q2862">
        <v>0.22826740000000001</v>
      </c>
      <c r="R2862">
        <v>-2.8913890000000001E-2</v>
      </c>
      <c r="S2862">
        <v>3.0793759999999999</v>
      </c>
      <c r="T2862">
        <v>-2.2453669999999998E-2</v>
      </c>
      <c r="U2862">
        <v>-0.28509519999999999</v>
      </c>
      <c r="V2862">
        <v>3.8159810000000002E-2</v>
      </c>
      <c r="W2862">
        <v>0.23990500000000001</v>
      </c>
      <c r="X2862">
        <v>0.97004610000000002</v>
      </c>
      <c r="Y2862">
        <v>0.1016777</v>
      </c>
      <c r="Z2862">
        <v>-9.3536569999999998E-4</v>
      </c>
      <c r="AA2862">
        <v>0.99481699999999995</v>
      </c>
      <c r="AB2862">
        <v>35</v>
      </c>
      <c r="AC2862">
        <v>83.092799999999997</v>
      </c>
      <c r="AD2862">
        <v>-0.60863259999999997</v>
      </c>
      <c r="AE2862">
        <v>-7.7309999999999901</v>
      </c>
      <c r="AF2862">
        <v>8.5230528974214295</v>
      </c>
      <c r="AG2862">
        <v>-0.60863259999999997</v>
      </c>
      <c r="AH2862">
        <v>83.010833834936903</v>
      </c>
      <c r="AI2862">
        <v>90.417886357442598</v>
      </c>
      <c r="AJ2862">
        <v>84.137756366672406</v>
      </c>
      <c r="AK2862">
        <v>83.449454152232306</v>
      </c>
      <c r="AL2862">
        <v>76.119066659325995</v>
      </c>
      <c r="AM2862">
        <v>87.747252117351593</v>
      </c>
      <c r="AN2862">
        <v>1.00000000812472</v>
      </c>
    </row>
    <row r="2863" spans="1:40" x14ac:dyDescent="0.25">
      <c r="A2863" t="str">
        <f>"20190303170822604"</f>
        <v>20190303170822604</v>
      </c>
      <c r="B2863" t="str">
        <f>"1551604102595652"</f>
        <v>1551604102595652</v>
      </c>
      <c r="C2863" t="s">
        <v>40</v>
      </c>
      <c r="D2863">
        <v>4.5463779999999998</v>
      </c>
      <c r="E2863">
        <v>0.52919620000000001</v>
      </c>
      <c r="F2863" t="s">
        <v>54</v>
      </c>
      <c r="G2863">
        <v>-168.41059999999999</v>
      </c>
      <c r="H2863">
        <v>0.56907459999999999</v>
      </c>
      <c r="I2863">
        <v>206.61199999999999</v>
      </c>
      <c r="J2863">
        <v>-251.16319999999999</v>
      </c>
      <c r="K2863">
        <v>1.121051</v>
      </c>
      <c r="L2863">
        <v>214.2372</v>
      </c>
      <c r="M2863">
        <v>0.99988250000000001</v>
      </c>
      <c r="N2863">
        <v>-1.1935889999999999E-2</v>
      </c>
      <c r="O2863">
        <v>9.6213619999999996E-3</v>
      </c>
      <c r="P2863">
        <v>0.97313110000000003</v>
      </c>
      <c r="Q2863">
        <v>0.2284554</v>
      </c>
      <c r="R2863">
        <v>-2.8714010000000002E-2</v>
      </c>
      <c r="S2863">
        <v>3.0791019999999998</v>
      </c>
      <c r="T2863">
        <v>-2.0453209999999999E-2</v>
      </c>
      <c r="U2863">
        <v>-0.28244019999999997</v>
      </c>
      <c r="V2863">
        <v>3.8037479999999999E-2</v>
      </c>
      <c r="W2863">
        <v>0.24005679999999999</v>
      </c>
      <c r="X2863">
        <v>0.97001329999999997</v>
      </c>
      <c r="Y2863">
        <v>0.1009159</v>
      </c>
      <c r="Z2863">
        <v>-8.8721749999999999E-4</v>
      </c>
      <c r="AA2863">
        <v>0.99489459999999996</v>
      </c>
      <c r="AB2863">
        <v>35</v>
      </c>
      <c r="AC2863">
        <v>82.752600000000001</v>
      </c>
      <c r="AD2863">
        <v>-0.55197640000000003</v>
      </c>
      <c r="AE2863">
        <v>-7.6252000000000004</v>
      </c>
      <c r="AF2863">
        <v>8.4207249320602209</v>
      </c>
      <c r="AG2863">
        <v>-0.55197640000000003</v>
      </c>
      <c r="AH2863">
        <v>82.671751873589301</v>
      </c>
      <c r="AI2863">
        <v>90.380573317444103</v>
      </c>
      <c r="AJ2863">
        <v>84.184062119042494</v>
      </c>
      <c r="AK2863">
        <v>83.101334791782307</v>
      </c>
      <c r="AL2863">
        <v>76.1101066606534</v>
      </c>
      <c r="AM2863">
        <v>87.754390558673194</v>
      </c>
      <c r="AN2863">
        <v>0.99999995964393895</v>
      </c>
    </row>
    <row r="2864" spans="1:40" x14ac:dyDescent="0.25">
      <c r="A2864" t="str">
        <f>"20190303170822625"</f>
        <v>20190303170822625</v>
      </c>
      <c r="B2864" t="str">
        <f>"1551604102616149"</f>
        <v>1551604102616149</v>
      </c>
      <c r="C2864" t="s">
        <v>40</v>
      </c>
      <c r="D2864">
        <v>4.4249530000000004</v>
      </c>
      <c r="E2864">
        <v>0.52921850000000004</v>
      </c>
      <c r="F2864" t="s">
        <v>54</v>
      </c>
      <c r="G2864">
        <v>-168.41059999999999</v>
      </c>
      <c r="H2864">
        <v>0.55291939999999995</v>
      </c>
      <c r="I2864">
        <v>206.58529999999999</v>
      </c>
      <c r="J2864">
        <v>-250.82929999999999</v>
      </c>
      <c r="K2864">
        <v>1.1210500000000001</v>
      </c>
      <c r="L2864">
        <v>214.2405</v>
      </c>
      <c r="M2864">
        <v>0.99988220000000005</v>
      </c>
      <c r="N2864">
        <v>-1.190246E-2</v>
      </c>
      <c r="O2864">
        <v>9.7002379999999999E-3</v>
      </c>
      <c r="P2864">
        <v>0.97300260000000005</v>
      </c>
      <c r="Q2864">
        <v>0.22903219999999999</v>
      </c>
      <c r="R2864">
        <v>-2.84727E-2</v>
      </c>
      <c r="S2864">
        <v>3.0794220000000001</v>
      </c>
      <c r="T2864">
        <v>-2.1140340000000001E-2</v>
      </c>
      <c r="U2864">
        <v>-0.28474429999999901</v>
      </c>
      <c r="V2864">
        <v>3.787153E-2</v>
      </c>
      <c r="W2864">
        <v>0.24059929999999999</v>
      </c>
      <c r="X2864">
        <v>0.96988540000000001</v>
      </c>
      <c r="Y2864">
        <v>0.1017227</v>
      </c>
      <c r="Z2864">
        <v>-9.0637469999999996E-4</v>
      </c>
      <c r="AA2864">
        <v>0.99481240000000004</v>
      </c>
      <c r="AB2864">
        <v>36</v>
      </c>
      <c r="AC2864">
        <v>82.418700000000001</v>
      </c>
      <c r="AD2864">
        <v>-0.56813059999999904</v>
      </c>
      <c r="AE2864">
        <v>-7.6551999999999998</v>
      </c>
      <c r="AF2864">
        <v>8.4539790875463403</v>
      </c>
      <c r="AG2864">
        <v>-0.56813059999999904</v>
      </c>
      <c r="AH2864">
        <v>82.336680374998593</v>
      </c>
      <c r="AI2864">
        <v>90.393272329020604</v>
      </c>
      <c r="AJ2864">
        <v>84.137657061428001</v>
      </c>
      <c r="AK2864">
        <v>82.771501556791904</v>
      </c>
      <c r="AL2864">
        <v>76.078085530050998</v>
      </c>
      <c r="AM2864">
        <v>87.763883202529897</v>
      </c>
      <c r="AN2864">
        <v>0.99999998253909494</v>
      </c>
    </row>
    <row r="2865" spans="1:40" x14ac:dyDescent="0.25">
      <c r="A2865" t="str">
        <f>"20190303170822648"</f>
        <v>20190303170822648</v>
      </c>
      <c r="B2865" t="str">
        <f>"1551604102635668"</f>
        <v>1551604102635668</v>
      </c>
      <c r="C2865" t="s">
        <v>40</v>
      </c>
      <c r="D2865">
        <v>4.5427</v>
      </c>
      <c r="E2865">
        <v>0.52980469999999902</v>
      </c>
      <c r="F2865" t="s">
        <v>54</v>
      </c>
      <c r="G2865">
        <v>-168.41059999999999</v>
      </c>
      <c r="H2865">
        <v>0.57106210000000002</v>
      </c>
      <c r="I2865">
        <v>206.62970000000001</v>
      </c>
      <c r="J2865">
        <v>-250.47730000000001</v>
      </c>
      <c r="K2865">
        <v>1.1210560000000001</v>
      </c>
      <c r="L2865">
        <v>214.244</v>
      </c>
      <c r="M2865">
        <v>0.99988169999999998</v>
      </c>
      <c r="N2865">
        <v>-1.187014E-2</v>
      </c>
      <c r="O2865">
        <v>9.7833409999999992E-3</v>
      </c>
      <c r="P2865">
        <v>0.97298220000000002</v>
      </c>
      <c r="Q2865">
        <v>0.22919030000000001</v>
      </c>
      <c r="R2865">
        <v>-2.7881889999999999E-2</v>
      </c>
      <c r="S2865">
        <v>3.0797270000000001</v>
      </c>
      <c r="T2865">
        <v>-2.055001E-2</v>
      </c>
      <c r="U2865">
        <v>-0.28439330000000002</v>
      </c>
      <c r="V2865">
        <v>3.7361350000000002E-2</v>
      </c>
      <c r="W2865">
        <v>0.240726</v>
      </c>
      <c r="X2865">
        <v>0.96987380000000001</v>
      </c>
      <c r="Y2865">
        <v>0.1016842</v>
      </c>
      <c r="Z2865">
        <v>-8.9262480000000001E-4</v>
      </c>
      <c r="AA2865">
        <v>0.99481629999999999</v>
      </c>
      <c r="AB2865">
        <v>36</v>
      </c>
      <c r="AC2865">
        <v>82.066699999999997</v>
      </c>
      <c r="AD2865">
        <v>-0.54999390000000004</v>
      </c>
      <c r="AE2865">
        <v>-7.6143000000000098</v>
      </c>
      <c r="AF2865">
        <v>8.4165038198009103</v>
      </c>
      <c r="AG2865">
        <v>-0.54999390000000004</v>
      </c>
      <c r="AH2865">
        <v>81.984622525565598</v>
      </c>
      <c r="AI2865">
        <v>90.382353545117496</v>
      </c>
      <c r="AJ2865">
        <v>84.138575100259004</v>
      </c>
      <c r="AK2865">
        <v>82.417342595465001</v>
      </c>
      <c r="AL2865">
        <v>76.070607045576907</v>
      </c>
      <c r="AM2865">
        <v>87.793950353612701</v>
      </c>
      <c r="AN2865">
        <v>1.00000003273813</v>
      </c>
    </row>
    <row r="2866" spans="1:40" x14ac:dyDescent="0.25">
      <c r="A2866" t="str">
        <f>"20190303170822675"</f>
        <v>20190303170822675</v>
      </c>
      <c r="B2866" t="str">
        <f>"1551604102665925"</f>
        <v>1551604102665925</v>
      </c>
      <c r="C2866" t="s">
        <v>40</v>
      </c>
      <c r="D2866">
        <v>4.4376410000000002</v>
      </c>
      <c r="E2866">
        <v>0.53015159999999995</v>
      </c>
      <c r="F2866" t="s">
        <v>54</v>
      </c>
      <c r="G2866">
        <v>-168.41059999999999</v>
      </c>
      <c r="H2866">
        <v>0.55933949999999999</v>
      </c>
      <c r="I2866">
        <v>206.595</v>
      </c>
      <c r="J2866">
        <v>-250.04079999999999</v>
      </c>
      <c r="K2866">
        <v>1.1210519999999999</v>
      </c>
      <c r="L2866">
        <v>214.2484</v>
      </c>
      <c r="M2866">
        <v>0.99988109999999997</v>
      </c>
      <c r="N2866">
        <v>-1.183442E-2</v>
      </c>
      <c r="O2866">
        <v>9.8863709999999997E-3</v>
      </c>
      <c r="P2866">
        <v>0.97283660000000005</v>
      </c>
      <c r="Q2866">
        <v>0.22995189999999999</v>
      </c>
      <c r="R2866">
        <v>-2.6666829999999999E-2</v>
      </c>
      <c r="S2866">
        <v>3.080063</v>
      </c>
      <c r="T2866">
        <v>-2.108061E-2</v>
      </c>
      <c r="U2866">
        <v>-0.28707890000000003</v>
      </c>
      <c r="V2866">
        <v>3.6244829999999999E-2</v>
      </c>
      <c r="W2866">
        <v>0.2414512</v>
      </c>
      <c r="X2866">
        <v>0.96973589999999998</v>
      </c>
      <c r="Y2866">
        <v>0.10263650000000001</v>
      </c>
      <c r="Z2866">
        <v>-9.0992999999999998E-4</v>
      </c>
      <c r="AA2866">
        <v>0.99471849999999995</v>
      </c>
      <c r="AB2866">
        <v>36</v>
      </c>
      <c r="AC2866">
        <v>81.630200000000002</v>
      </c>
      <c r="AD2866">
        <v>-0.56171249999999995</v>
      </c>
      <c r="AE2866">
        <v>-7.6534000000000004</v>
      </c>
      <c r="AF2866">
        <v>8.4597117908884201</v>
      </c>
      <c r="AG2866">
        <v>-0.56171249999999995</v>
      </c>
      <c r="AH2866">
        <v>81.546712763770401</v>
      </c>
      <c r="AI2866">
        <v>90.392553619150803</v>
      </c>
      <c r="AJ2866">
        <v>84.077283001833493</v>
      </c>
      <c r="AK2866">
        <v>81.986270845150798</v>
      </c>
      <c r="AL2866">
        <v>76.027793415698994</v>
      </c>
      <c r="AM2866">
        <v>87.859510425281201</v>
      </c>
      <c r="AN2866">
        <v>1.0000000427159801</v>
      </c>
    </row>
    <row r="2867" spans="1:40" x14ac:dyDescent="0.25">
      <c r="A2867" t="str">
        <f>"20190303170822700"</f>
        <v>20190303170822700</v>
      </c>
      <c r="B2867" t="str">
        <f>"1551604102686421"</f>
        <v>1551604102686421</v>
      </c>
      <c r="C2867" t="s">
        <v>40</v>
      </c>
      <c r="D2867">
        <v>4.4890689999999998</v>
      </c>
      <c r="E2867">
        <v>0.53058719999999904</v>
      </c>
      <c r="F2867" t="s">
        <v>54</v>
      </c>
      <c r="G2867">
        <v>-168.41059999999999</v>
      </c>
      <c r="H2867">
        <v>0.59132390000000001</v>
      </c>
      <c r="I2867">
        <v>206.67500000000001</v>
      </c>
      <c r="J2867">
        <v>-249.6542</v>
      </c>
      <c r="K2867">
        <v>1.1210500000000001</v>
      </c>
      <c r="L2867">
        <v>214.25229999999999</v>
      </c>
      <c r="M2867">
        <v>0.99988060000000001</v>
      </c>
      <c r="N2867">
        <v>-1.1806560000000001E-2</v>
      </c>
      <c r="O2867">
        <v>9.9769560000000004E-3</v>
      </c>
      <c r="P2867">
        <v>0.9728443</v>
      </c>
      <c r="Q2867">
        <v>0.2300335</v>
      </c>
      <c r="R2867">
        <v>-2.5663499999999999E-2</v>
      </c>
      <c r="S2867">
        <v>3.0806429999999998</v>
      </c>
      <c r="T2867">
        <v>-1.9990210000000001E-2</v>
      </c>
      <c r="U2867">
        <v>-0.28581240000000002</v>
      </c>
      <c r="V2867">
        <v>3.5329390000000002E-2</v>
      </c>
      <c r="W2867">
        <v>0.24150530000000001</v>
      </c>
      <c r="X2867">
        <v>0.96975619999999996</v>
      </c>
      <c r="Y2867">
        <v>0.1023043</v>
      </c>
      <c r="Z2867">
        <v>-8.8354789999999905E-4</v>
      </c>
      <c r="AA2867">
        <v>0.99475279999999999</v>
      </c>
      <c r="AB2867">
        <v>36</v>
      </c>
      <c r="AC2867">
        <v>81.243600000000001</v>
      </c>
      <c r="AD2867">
        <v>-0.52972609999999998</v>
      </c>
      <c r="AE2867">
        <v>-7.5772999999999797</v>
      </c>
      <c r="AF2867">
        <v>8.3871895876011902</v>
      </c>
      <c r="AG2867">
        <v>-0.52972609999999998</v>
      </c>
      <c r="AH2867">
        <v>81.160531559791195</v>
      </c>
      <c r="AI2867">
        <v>90.371977209378301</v>
      </c>
      <c r="AJ2867">
        <v>84.099954928616498</v>
      </c>
      <c r="AK2867">
        <v>81.594469432598501</v>
      </c>
      <c r="AL2867">
        <v>76.024599026079002</v>
      </c>
      <c r="AM2867">
        <v>87.913568262911895</v>
      </c>
      <c r="AN2867">
        <v>1.00000003158215</v>
      </c>
    </row>
    <row r="2868" spans="1:40" x14ac:dyDescent="0.25">
      <c r="A2868" t="str">
        <f>"20190303170822723"</f>
        <v>20190303170822723</v>
      </c>
      <c r="B2868" t="str">
        <f>"1551604102715701"</f>
        <v>1551604102715701</v>
      </c>
      <c r="C2868" t="s">
        <v>40</v>
      </c>
      <c r="D2868">
        <v>4.4624949999999997</v>
      </c>
      <c r="E2868">
        <v>0.5309682</v>
      </c>
      <c r="F2868" t="s">
        <v>54</v>
      </c>
      <c r="G2868">
        <v>-168.41059999999999</v>
      </c>
      <c r="H2868">
        <v>0.55886459999999905</v>
      </c>
      <c r="I2868">
        <v>206.7062</v>
      </c>
      <c r="J2868">
        <v>-249.2884</v>
      </c>
      <c r="K2868">
        <v>1.121051</v>
      </c>
      <c r="L2868">
        <v>214.256</v>
      </c>
      <c r="M2868">
        <v>0.99988010000000005</v>
      </c>
      <c r="N2868">
        <v>-1.1783500000000001E-2</v>
      </c>
      <c r="O2868">
        <v>1.0062450000000001E-2</v>
      </c>
      <c r="P2868">
        <v>0.97296360000000004</v>
      </c>
      <c r="Q2868">
        <v>0.2296166</v>
      </c>
      <c r="R2868">
        <v>-2.4868210000000002E-2</v>
      </c>
      <c r="S2868">
        <v>3.0812529999999998</v>
      </c>
      <c r="T2868">
        <v>-2.1320220000000001E-2</v>
      </c>
      <c r="U2868">
        <v>-0.2861938</v>
      </c>
      <c r="V2868">
        <v>3.4618530000000002E-2</v>
      </c>
      <c r="W2868">
        <v>0.24106759999999999</v>
      </c>
      <c r="X2868">
        <v>0.96989069999999999</v>
      </c>
      <c r="Y2868">
        <v>0.1024928</v>
      </c>
      <c r="Z2868">
        <v>-9.1019790000000005E-4</v>
      </c>
      <c r="AA2868">
        <v>0.99473330000000004</v>
      </c>
      <c r="AB2868">
        <v>36</v>
      </c>
      <c r="AC2868">
        <v>80.877799999999993</v>
      </c>
      <c r="AD2868">
        <v>-0.56218639999999998</v>
      </c>
      <c r="AE2868">
        <v>-7.5497999999999701</v>
      </c>
      <c r="AF2868">
        <v>8.3629023315867599</v>
      </c>
      <c r="AG2868">
        <v>-0.56218639999999998</v>
      </c>
      <c r="AH2868">
        <v>80.793860012933393</v>
      </c>
      <c r="AI2868">
        <v>90.396555067994598</v>
      </c>
      <c r="AJ2868">
        <v>84.090409019397995</v>
      </c>
      <c r="AK2868">
        <v>81.2274707518675</v>
      </c>
      <c r="AL2868">
        <v>76.050440467081899</v>
      </c>
      <c r="AM2868">
        <v>87.955796486727294</v>
      </c>
      <c r="AN2868">
        <v>1.0000000001678</v>
      </c>
    </row>
    <row r="2869" spans="1:40" x14ac:dyDescent="0.25">
      <c r="A2869" t="str">
        <f>"20190303170822742"</f>
        <v>20190303170822742</v>
      </c>
      <c r="B2869" t="str">
        <f>"1551604102736197"</f>
        <v>1551604102736197</v>
      </c>
      <c r="C2869" t="s">
        <v>40</v>
      </c>
      <c r="D2869">
        <v>4.4540569999999997</v>
      </c>
      <c r="E2869">
        <v>0.53128609999999998</v>
      </c>
      <c r="F2869" t="s">
        <v>54</v>
      </c>
      <c r="G2869">
        <v>-168.41059999999999</v>
      </c>
      <c r="H2869">
        <v>0.49015809999999999</v>
      </c>
      <c r="I2869">
        <v>206.73740000000001</v>
      </c>
      <c r="J2869">
        <v>-248.99209999999999</v>
      </c>
      <c r="K2869">
        <v>1.1210500000000001</v>
      </c>
      <c r="L2869">
        <v>214.25909999999999</v>
      </c>
      <c r="M2869">
        <v>0.99987939999999997</v>
      </c>
      <c r="N2869">
        <v>-1.1774349999999999E-2</v>
      </c>
      <c r="O2869">
        <v>1.013212E-2</v>
      </c>
      <c r="P2869">
        <v>0.97290560000000004</v>
      </c>
      <c r="Q2869">
        <v>0.2298808</v>
      </c>
      <c r="R2869">
        <v>-2.4690900000000002E-2</v>
      </c>
      <c r="S2869">
        <v>3.0817109999999999</v>
      </c>
      <c r="T2869">
        <v>-2.4037840000000001E-2</v>
      </c>
      <c r="U2869">
        <v>-0.28648380000000001</v>
      </c>
      <c r="V2869">
        <v>3.4508160000000003E-2</v>
      </c>
      <c r="W2869">
        <v>0.2413226</v>
      </c>
      <c r="X2869">
        <v>0.9698312</v>
      </c>
      <c r="Y2869">
        <v>0.1026402</v>
      </c>
      <c r="Z2869">
        <v>-9.6487630000000003E-4</v>
      </c>
      <c r="AA2869">
        <v>0.99471810000000005</v>
      </c>
      <c r="AB2869">
        <v>36</v>
      </c>
      <c r="AC2869">
        <v>80.581500000000005</v>
      </c>
      <c r="AD2869">
        <v>-0.63089189999999995</v>
      </c>
      <c r="AE2869">
        <v>-7.5216999999999796</v>
      </c>
      <c r="AF2869">
        <v>8.3373251936088302</v>
      </c>
      <c r="AG2869">
        <v>-0.63089189999999995</v>
      </c>
      <c r="AH2869">
        <v>80.496255472736607</v>
      </c>
      <c r="AI2869">
        <v>90.446658957126104</v>
      </c>
      <c r="AJ2869">
        <v>84.086727541468505</v>
      </c>
      <c r="AK2869">
        <v>80.929328188892995</v>
      </c>
      <c r="AL2869">
        <v>76.035385333895206</v>
      </c>
      <c r="AM2869">
        <v>87.962183357615302</v>
      </c>
      <c r="AN2869">
        <v>0.99999998343539198</v>
      </c>
    </row>
    <row r="2870" spans="1:40" x14ac:dyDescent="0.25">
      <c r="A2870" t="str">
        <f>"20190303170822764"</f>
        <v>20190303170822764</v>
      </c>
      <c r="B2870" t="str">
        <f>"1551604102755717"</f>
        <v>1551604102755717</v>
      </c>
      <c r="C2870" t="s">
        <v>40</v>
      </c>
      <c r="D2870">
        <v>4.4065110000000001</v>
      </c>
      <c r="E2870">
        <v>0.53153839999999997</v>
      </c>
      <c r="F2870" t="s">
        <v>54</v>
      </c>
      <c r="G2870">
        <v>-168.41059999999999</v>
      </c>
      <c r="H2870">
        <v>0.48290250000000001</v>
      </c>
      <c r="I2870">
        <v>206.72200000000001</v>
      </c>
      <c r="J2870">
        <v>-248.62280000000001</v>
      </c>
      <c r="K2870">
        <v>1.1210580000000001</v>
      </c>
      <c r="L2870">
        <v>214.2629</v>
      </c>
      <c r="M2870">
        <v>0.9998785</v>
      </c>
      <c r="N2870">
        <v>-1.177779E-2</v>
      </c>
      <c r="O2870">
        <v>1.021918E-2</v>
      </c>
      <c r="P2870">
        <v>0.97264779999999995</v>
      </c>
      <c r="Q2870">
        <v>0.23094110000000001</v>
      </c>
      <c r="R2870">
        <v>-2.495346E-2</v>
      </c>
      <c r="S2870">
        <v>3.082001</v>
      </c>
      <c r="T2870">
        <v>-2.4405960000000001E-2</v>
      </c>
      <c r="U2870">
        <v>-0.288269</v>
      </c>
      <c r="V2870">
        <v>3.4852210000000002E-2</v>
      </c>
      <c r="W2870">
        <v>0.24238299999999999</v>
      </c>
      <c r="X2870">
        <v>0.96955440000000004</v>
      </c>
      <c r="Y2870">
        <v>0.10328909999999999</v>
      </c>
      <c r="Z2870">
        <v>-9.7836340000000003E-4</v>
      </c>
      <c r="AA2870">
        <v>0.9946509</v>
      </c>
      <c r="AB2870">
        <v>36</v>
      </c>
      <c r="AC2870">
        <v>80.212199999999996</v>
      </c>
      <c r="AD2870">
        <v>-0.63815549999999899</v>
      </c>
      <c r="AE2870">
        <v>-7.5408999999999899</v>
      </c>
      <c r="AF2870">
        <v>8.3597413855905796</v>
      </c>
      <c r="AG2870">
        <v>-0.63815549999999899</v>
      </c>
      <c r="AH2870">
        <v>80.125916639858303</v>
      </c>
      <c r="AI2870">
        <v>90.453853948295404</v>
      </c>
      <c r="AJ2870">
        <v>84.043734586063906</v>
      </c>
      <c r="AK2870">
        <v>80.563360380843505</v>
      </c>
      <c r="AL2870">
        <v>75.972769755391099</v>
      </c>
      <c r="AM2870">
        <v>87.941296426653594</v>
      </c>
      <c r="AN2870">
        <v>0.999999964895121</v>
      </c>
    </row>
    <row r="2871" spans="1:40" x14ac:dyDescent="0.25">
      <c r="A2871" t="str">
        <f>"20190303170822785"</f>
        <v>20190303170822785</v>
      </c>
      <c r="B2871" t="str">
        <f>"1551604102776213"</f>
        <v>1551604102776213</v>
      </c>
      <c r="C2871" t="s">
        <v>40</v>
      </c>
      <c r="D2871">
        <v>4.4190129999999996</v>
      </c>
      <c r="E2871">
        <v>0.53184849999999995</v>
      </c>
      <c r="F2871" t="s">
        <v>54</v>
      </c>
      <c r="G2871">
        <v>-168.41059999999999</v>
      </c>
      <c r="H2871">
        <v>0.54993440000000005</v>
      </c>
      <c r="I2871">
        <v>206.6885</v>
      </c>
      <c r="J2871">
        <v>-248.29329999999999</v>
      </c>
      <c r="K2871">
        <v>1.1210659999999999</v>
      </c>
      <c r="L2871">
        <v>214.2664</v>
      </c>
      <c r="M2871">
        <v>0.99987760000000003</v>
      </c>
      <c r="N2871">
        <v>-1.179241E-2</v>
      </c>
      <c r="O2871">
        <v>1.029677E-2</v>
      </c>
      <c r="P2871">
        <v>0.97260619999999998</v>
      </c>
      <c r="Q2871">
        <v>0.23110649999999999</v>
      </c>
      <c r="R2871">
        <v>-2.5048109999999998E-2</v>
      </c>
      <c r="S2871">
        <v>3.0821230000000002</v>
      </c>
      <c r="T2871">
        <v>-2.194393E-2</v>
      </c>
      <c r="U2871">
        <v>-0.29104609999999997</v>
      </c>
      <c r="V2871">
        <v>3.502152E-2</v>
      </c>
      <c r="W2871">
        <v>0.2425621</v>
      </c>
      <c r="X2871">
        <v>0.96950349999999996</v>
      </c>
      <c r="Y2871">
        <v>0.104252</v>
      </c>
      <c r="Z2871">
        <v>-9.3840069999999995E-4</v>
      </c>
      <c r="AA2871">
        <v>0.9945505</v>
      </c>
      <c r="AB2871">
        <v>36</v>
      </c>
      <c r="AC2871">
        <v>79.8827</v>
      </c>
      <c r="AD2871">
        <v>-0.57113159999999896</v>
      </c>
      <c r="AE2871">
        <v>-7.5778999999999996</v>
      </c>
      <c r="AF2871">
        <v>8.3996635410727105</v>
      </c>
      <c r="AG2871">
        <v>-0.57113159999999896</v>
      </c>
      <c r="AH2871">
        <v>79.796388684326999</v>
      </c>
      <c r="AI2871">
        <v>90.407826455234996</v>
      </c>
      <c r="AJ2871">
        <v>83.990963023204301</v>
      </c>
      <c r="AK2871">
        <v>80.239293279340004</v>
      </c>
      <c r="AL2871">
        <v>75.962192334617697</v>
      </c>
      <c r="AM2871">
        <v>87.931195518951696</v>
      </c>
      <c r="AN2871">
        <v>0.99999995786588403</v>
      </c>
    </row>
    <row r="2872" spans="1:40" x14ac:dyDescent="0.25">
      <c r="A2872" t="str">
        <f>"20190303170822806"</f>
        <v>20190303170822806</v>
      </c>
      <c r="B2872" t="str">
        <f>"1551604102795733"</f>
        <v>1551604102795733</v>
      </c>
      <c r="C2872" t="s">
        <v>40</v>
      </c>
      <c r="D2872">
        <v>4.4147030000000003</v>
      </c>
      <c r="E2872">
        <v>0.53197469999999902</v>
      </c>
      <c r="F2872" t="s">
        <v>54</v>
      </c>
      <c r="G2872">
        <v>-168.41059999999999</v>
      </c>
      <c r="H2872">
        <v>0.54197689999999998</v>
      </c>
      <c r="I2872">
        <v>206.64850000000001</v>
      </c>
      <c r="J2872">
        <v>-247.95330000000001</v>
      </c>
      <c r="K2872">
        <v>1.1210639999999901</v>
      </c>
      <c r="L2872">
        <v>214.26990000000001</v>
      </c>
      <c r="M2872">
        <v>0.99987630000000005</v>
      </c>
      <c r="N2872">
        <v>-1.1817019999999999E-2</v>
      </c>
      <c r="O2872">
        <v>1.0377279999999999E-2</v>
      </c>
      <c r="P2872">
        <v>0.97279119999999997</v>
      </c>
      <c r="Q2872">
        <v>0.23031380000000001</v>
      </c>
      <c r="R2872">
        <v>-2.5154269999999999E-2</v>
      </c>
      <c r="S2872">
        <v>3.0822449999999999</v>
      </c>
      <c r="T2872">
        <v>-2.234268E-2</v>
      </c>
      <c r="U2872">
        <v>-0.29393010000000003</v>
      </c>
      <c r="V2872">
        <v>3.5207809999999999E-2</v>
      </c>
      <c r="W2872">
        <v>0.2417955</v>
      </c>
      <c r="X2872">
        <v>0.96968829999999995</v>
      </c>
      <c r="Y2872">
        <v>0.1052503</v>
      </c>
      <c r="Z2872">
        <v>-9.5664350000000003E-4</v>
      </c>
      <c r="AA2872">
        <v>0.99444529999999998</v>
      </c>
      <c r="AB2872">
        <v>36</v>
      </c>
      <c r="AC2872">
        <v>79.542699999999996</v>
      </c>
      <c r="AD2872">
        <v>-0.57908709999999897</v>
      </c>
      <c r="AE2872">
        <v>-7.6213999999999897</v>
      </c>
      <c r="AF2872">
        <v>8.4460405170617392</v>
      </c>
      <c r="AG2872">
        <v>-0.57908709999999897</v>
      </c>
      <c r="AH2872">
        <v>79.455148542604505</v>
      </c>
      <c r="AI2872">
        <v>90.415237877420196</v>
      </c>
      <c r="AJ2872">
        <v>83.932274546521796</v>
      </c>
      <c r="AK2872">
        <v>79.904890790317694</v>
      </c>
      <c r="AL2872">
        <v>76.007463892496105</v>
      </c>
      <c r="AM2872">
        <v>87.920596577588697</v>
      </c>
      <c r="AN2872">
        <v>1.00000002643106</v>
      </c>
    </row>
    <row r="2873" spans="1:40" x14ac:dyDescent="0.25">
      <c r="A2873" t="str">
        <f>"20190303170822831"</f>
        <v>20190303170822831</v>
      </c>
      <c r="B2873" t="str">
        <f>"1551604102825989"</f>
        <v>1551604102825989</v>
      </c>
      <c r="C2873" t="s">
        <v>40</v>
      </c>
      <c r="D2873">
        <v>4.5553059999999999</v>
      </c>
      <c r="E2873">
        <v>0.53228940000000002</v>
      </c>
      <c r="F2873" t="s">
        <v>54</v>
      </c>
      <c r="G2873">
        <v>-168.41059999999999</v>
      </c>
      <c r="H2873">
        <v>0.4603004</v>
      </c>
      <c r="I2873">
        <v>206.6446</v>
      </c>
      <c r="J2873">
        <v>-247.56479999999999</v>
      </c>
      <c r="K2873">
        <v>1.121068</v>
      </c>
      <c r="L2873">
        <v>214.2741</v>
      </c>
      <c r="M2873">
        <v>0.99987499999999996</v>
      </c>
      <c r="N2873">
        <v>-1.185698E-2</v>
      </c>
      <c r="O2873">
        <v>1.046945E-2</v>
      </c>
      <c r="P2873">
        <v>0.97294659999999999</v>
      </c>
      <c r="Q2873">
        <v>0.2296677</v>
      </c>
      <c r="R2873">
        <v>-2.5057929999999999E-2</v>
      </c>
      <c r="S2873">
        <v>3.0823209999999999</v>
      </c>
      <c r="T2873">
        <v>-2.5603649999999999E-2</v>
      </c>
      <c r="U2873">
        <v>-0.29548649999999999</v>
      </c>
      <c r="V2873">
        <v>3.5201879999999998E-2</v>
      </c>
      <c r="W2873">
        <v>0.24119019999999999</v>
      </c>
      <c r="X2873">
        <v>0.96983920000000001</v>
      </c>
      <c r="Y2873">
        <v>0.1058357</v>
      </c>
      <c r="Z2873">
        <v>-1.0304159999999999E-3</v>
      </c>
      <c r="AA2873">
        <v>0.99438309999999996</v>
      </c>
      <c r="AB2873">
        <v>36</v>
      </c>
      <c r="AC2873">
        <v>79.154200000000003</v>
      </c>
      <c r="AD2873">
        <v>-0.66076759999999901</v>
      </c>
      <c r="AE2873">
        <v>-7.6295000000000002</v>
      </c>
      <c r="AF2873">
        <v>8.4572569744314396</v>
      </c>
      <c r="AG2873">
        <v>-0.66076759999999901</v>
      </c>
      <c r="AH2873">
        <v>79.064519951403696</v>
      </c>
      <c r="AI2873">
        <v>90.476112167389203</v>
      </c>
      <c r="AJ2873">
        <v>83.894485027216902</v>
      </c>
      <c r="AK2873">
        <v>79.5183005634469</v>
      </c>
      <c r="AL2873">
        <v>76.043202136725995</v>
      </c>
      <c r="AM2873">
        <v>87.921269703040096</v>
      </c>
      <c r="AN2873">
        <v>0.99999997939410601</v>
      </c>
    </row>
    <row r="2874" spans="1:40" x14ac:dyDescent="0.25">
      <c r="A2874" t="str">
        <f>"20190303170822851"</f>
        <v>20190303170822851</v>
      </c>
      <c r="B2874" t="str">
        <f>"1551604102845509"</f>
        <v>1551604102845509</v>
      </c>
      <c r="C2874" t="s">
        <v>40</v>
      </c>
      <c r="D2874">
        <v>4.4533809999999896</v>
      </c>
      <c r="E2874">
        <v>0.5322635</v>
      </c>
      <c r="F2874" t="s">
        <v>54</v>
      </c>
      <c r="G2874">
        <v>-168.41059999999999</v>
      </c>
      <c r="H2874">
        <v>0.38245390000000001</v>
      </c>
      <c r="I2874">
        <v>206.62970000000001</v>
      </c>
      <c r="J2874">
        <v>-247.2473</v>
      </c>
      <c r="K2874">
        <v>1.121076</v>
      </c>
      <c r="L2874">
        <v>214.2775</v>
      </c>
      <c r="M2874">
        <v>0.99987369999999998</v>
      </c>
      <c r="N2874">
        <v>-1.1898229999999999E-2</v>
      </c>
      <c r="O2874">
        <v>1.054707E-2</v>
      </c>
      <c r="P2874">
        <v>0.97307319999999997</v>
      </c>
      <c r="Q2874">
        <v>0.22915240000000001</v>
      </c>
      <c r="R2874">
        <v>-2.4859220000000001E-2</v>
      </c>
      <c r="S2874">
        <v>3.0825499999999999</v>
      </c>
      <c r="T2874">
        <v>-2.876306E-2</v>
      </c>
      <c r="U2874">
        <v>-0.29769899999999999</v>
      </c>
      <c r="V2874">
        <v>3.507913E-2</v>
      </c>
      <c r="W2874">
        <v>0.24071629999999999</v>
      </c>
      <c r="X2874">
        <v>0.96996139999999997</v>
      </c>
      <c r="Y2874">
        <v>0.1066114</v>
      </c>
      <c r="Z2874">
        <v>-1.104999E-3</v>
      </c>
      <c r="AA2874">
        <v>0.99430010000000002</v>
      </c>
      <c r="AB2874">
        <v>36</v>
      </c>
      <c r="AC2874">
        <v>78.836699999999993</v>
      </c>
      <c r="AD2874">
        <v>-0.73862209999999995</v>
      </c>
      <c r="AE2874">
        <v>-7.6477999999999797</v>
      </c>
      <c r="AF2874">
        <v>8.4781922535335799</v>
      </c>
      <c r="AG2874">
        <v>-0.73862209999999995</v>
      </c>
      <c r="AH2874">
        <v>78.744799097711095</v>
      </c>
      <c r="AI2874">
        <v>90.534327765560207</v>
      </c>
      <c r="AJ2874">
        <v>83.854825028980201</v>
      </c>
      <c r="AK2874">
        <v>79.203337628116202</v>
      </c>
      <c r="AL2874">
        <v>76.071179186866701</v>
      </c>
      <c r="AM2874">
        <v>87.928772719146394</v>
      </c>
      <c r="AN2874">
        <v>0.999999999968603</v>
      </c>
    </row>
    <row r="2875" spans="1:40" x14ac:dyDescent="0.25">
      <c r="A2875" t="str">
        <f>"20190303170822875"</f>
        <v>20190303170822875</v>
      </c>
      <c r="B2875" t="str">
        <f>"1551604102866005"</f>
        <v>1551604102866005</v>
      </c>
      <c r="C2875" t="s">
        <v>40</v>
      </c>
      <c r="D2875">
        <v>4.5403539999999998</v>
      </c>
      <c r="E2875">
        <v>0.50454309999999902</v>
      </c>
      <c r="F2875" t="s">
        <v>54</v>
      </c>
      <c r="G2875">
        <v>-168.41050000000001</v>
      </c>
      <c r="H2875">
        <v>0.32771869999999997</v>
      </c>
      <c r="I2875">
        <v>206.68610000000001</v>
      </c>
      <c r="J2875">
        <v>-246.86199999999999</v>
      </c>
      <c r="K2875">
        <v>1.1210990000000001</v>
      </c>
      <c r="L2875">
        <v>214.2816</v>
      </c>
      <c r="M2875">
        <v>0.99987199999999998</v>
      </c>
      <c r="N2875">
        <v>-1.1953160000000001E-2</v>
      </c>
      <c r="O2875">
        <v>1.0643690000000001E-2</v>
      </c>
      <c r="P2875">
        <v>0.972854</v>
      </c>
      <c r="Q2875">
        <v>0.23010330000000001</v>
      </c>
      <c r="R2875">
        <v>-2.465198E-2</v>
      </c>
      <c r="S2875">
        <v>3.0827330000000002</v>
      </c>
      <c r="T2875">
        <v>-3.1021119999999999E-2</v>
      </c>
      <c r="U2875">
        <v>-0.29684450000000001</v>
      </c>
      <c r="V2875">
        <v>3.4961850000000003E-2</v>
      </c>
      <c r="W2875">
        <v>0.24171819999999999</v>
      </c>
      <c r="X2875">
        <v>0.96971640000000003</v>
      </c>
      <c r="Y2875">
        <v>0.10642749999999999</v>
      </c>
      <c r="Z2875">
        <v>-1.1517770000000001E-3</v>
      </c>
      <c r="AA2875">
        <v>0.99431979999999998</v>
      </c>
      <c r="AB2875">
        <v>36</v>
      </c>
      <c r="AC2875">
        <v>78.451499999999896</v>
      </c>
      <c r="AD2875">
        <v>-0.79338030000000004</v>
      </c>
      <c r="AE2875">
        <v>-7.5954999999999799</v>
      </c>
      <c r="AF2875">
        <v>8.4292886337095005</v>
      </c>
      <c r="AG2875">
        <v>-0.79338030000000004</v>
      </c>
      <c r="AH2875">
        <v>78.358266011551194</v>
      </c>
      <c r="AI2875">
        <v>90.576774612561906</v>
      </c>
      <c r="AJ2875">
        <v>83.860092210600797</v>
      </c>
      <c r="AK2875">
        <v>78.814340138757998</v>
      </c>
      <c r="AL2875">
        <v>76.012027269695494</v>
      </c>
      <c r="AM2875">
        <v>87.935170350356202</v>
      </c>
      <c r="AN2875">
        <v>0.99999995779781004</v>
      </c>
    </row>
    <row r="2876" spans="1:40" x14ac:dyDescent="0.25">
      <c r="A2876" t="str">
        <f>"20190303170822902"</f>
        <v>20190303170822902</v>
      </c>
      <c r="B2876" t="str">
        <f>"1551604102896261"</f>
        <v>1551604102896261</v>
      </c>
      <c r="C2876" t="s">
        <v>40</v>
      </c>
      <c r="D2876">
        <v>4.5648629999999999</v>
      </c>
      <c r="E2876">
        <v>0.48432760000000002</v>
      </c>
      <c r="F2876" t="s">
        <v>46</v>
      </c>
      <c r="G2876">
        <v>-148.584</v>
      </c>
      <c r="H2876">
        <v>-0.05</v>
      </c>
      <c r="I2876">
        <v>211.92679999999999</v>
      </c>
      <c r="J2876">
        <v>-246.44579999999999</v>
      </c>
      <c r="K2876">
        <v>1.1211150000000001</v>
      </c>
      <c r="L2876">
        <v>214.28620000000001</v>
      </c>
      <c r="M2876">
        <v>0.99986989999999998</v>
      </c>
      <c r="N2876">
        <v>-1.201644E-2</v>
      </c>
      <c r="O2876">
        <v>1.075387E-2</v>
      </c>
      <c r="P2876">
        <v>0.97288240000000004</v>
      </c>
      <c r="Q2876">
        <v>0.22998540000000001</v>
      </c>
      <c r="R2876">
        <v>-2.462717E-2</v>
      </c>
      <c r="S2876">
        <v>3.0905300000000002</v>
      </c>
      <c r="T2876">
        <v>-3.6827329999999998E-2</v>
      </c>
      <c r="U2876">
        <v>-7.4050899999999906E-2</v>
      </c>
      <c r="V2876">
        <v>3.5042429999999999E-2</v>
      </c>
      <c r="W2876">
        <v>0.24166260000000001</v>
      </c>
      <c r="X2876">
        <v>0.96972740000000002</v>
      </c>
      <c r="Y2876">
        <v>3.4698939999999998E-2</v>
      </c>
      <c r="Z2876">
        <v>-4.1415089999999999E-4</v>
      </c>
      <c r="AA2876">
        <v>0.99939770000000006</v>
      </c>
      <c r="AB2876">
        <v>36</v>
      </c>
      <c r="AC2876">
        <v>97.861800000000002</v>
      </c>
      <c r="AD2876">
        <v>-1.1711149999999999</v>
      </c>
      <c r="AE2876">
        <v>-2.3594000000000199</v>
      </c>
      <c r="AF2876">
        <v>3.4112444477634098</v>
      </c>
      <c r="AG2876">
        <v>-1.1711149999999999</v>
      </c>
      <c r="AH2876">
        <v>97.816765674487399</v>
      </c>
      <c r="AI2876">
        <v>90.685526460232794</v>
      </c>
      <c r="AJ2876">
        <v>88.002686637097597</v>
      </c>
      <c r="AK2876">
        <v>97.883235265510095</v>
      </c>
      <c r="AL2876">
        <v>76.015310949444597</v>
      </c>
      <c r="AM2876">
        <v>87.930438924582404</v>
      </c>
      <c r="AN2876">
        <v>1.00000000722491</v>
      </c>
    </row>
    <row r="2877" spans="1:40" x14ac:dyDescent="0.25">
      <c r="A2877" t="str">
        <f>"20190303170822939"</f>
        <v>20190303170822939</v>
      </c>
      <c r="B2877" t="str">
        <f>"1551604102925559"</f>
        <v>1551604102925559</v>
      </c>
      <c r="C2877" t="s">
        <v>40</v>
      </c>
      <c r="D2877">
        <v>4.5277089999999998</v>
      </c>
      <c r="E2877">
        <v>0.48458180000000001</v>
      </c>
      <c r="F2877" t="s">
        <v>46</v>
      </c>
      <c r="G2877">
        <v>-95.875029999999995</v>
      </c>
      <c r="H2877">
        <v>-0.05</v>
      </c>
      <c r="I2877">
        <v>218.51480000000001</v>
      </c>
      <c r="J2877">
        <v>-245.8492</v>
      </c>
      <c r="K2877">
        <v>1.121122</v>
      </c>
      <c r="L2877">
        <v>214.2928</v>
      </c>
      <c r="M2877">
        <v>0.99986710000000001</v>
      </c>
      <c r="N2877">
        <v>-1.2113489999999999E-2</v>
      </c>
      <c r="O2877">
        <v>1.090736E-2</v>
      </c>
      <c r="P2877">
        <v>0.97307370000000004</v>
      </c>
      <c r="Q2877">
        <v>0.22918620000000001</v>
      </c>
      <c r="R2877">
        <v>-2.4522140000000001E-2</v>
      </c>
      <c r="S2877">
        <v>3.0915219999999999</v>
      </c>
      <c r="T2877">
        <v>-2.404535E-2</v>
      </c>
      <c r="U2877">
        <v>8.6822510000000006E-2</v>
      </c>
      <c r="V2877">
        <v>3.5088790000000002E-2</v>
      </c>
      <c r="W2877">
        <v>0.24095929999999999</v>
      </c>
      <c r="X2877">
        <v>0.96990069999999995</v>
      </c>
      <c r="Y2877">
        <v>-1.7166239999999999E-2</v>
      </c>
      <c r="Z2877">
        <v>2.1804370000000001E-4</v>
      </c>
      <c r="AA2877">
        <v>0.99985259999999998</v>
      </c>
      <c r="AB2877">
        <v>36</v>
      </c>
      <c r="AC2877">
        <v>149.97416999999999</v>
      </c>
      <c r="AD2877">
        <v>-1.171122</v>
      </c>
      <c r="AE2877">
        <v>4.2220000000000004</v>
      </c>
      <c r="AF2877">
        <v>-2.58564891159069</v>
      </c>
      <c r="AG2877">
        <v>-1.171122</v>
      </c>
      <c r="AH2877">
        <v>150.002161878073</v>
      </c>
      <c r="AI2877">
        <v>90.447253678605506</v>
      </c>
      <c r="AJ2877">
        <v>90.987533098387104</v>
      </c>
      <c r="AK2877">
        <v>150.02901611064701</v>
      </c>
      <c r="AL2877">
        <v>76.056833894067907</v>
      </c>
      <c r="AM2877">
        <v>87.928073299140095</v>
      </c>
      <c r="AN2877">
        <v>0.99999998765032105</v>
      </c>
    </row>
    <row r="2878" spans="1:40" x14ac:dyDescent="0.25">
      <c r="A2878" t="str">
        <f>"20190303170822961"</f>
        <v>20190303170822961</v>
      </c>
      <c r="B2878" t="str">
        <f>"1551604102955797"</f>
        <v>1551604102955797</v>
      </c>
      <c r="C2878" t="s">
        <v>40</v>
      </c>
      <c r="D2878">
        <v>4.6708860000000003</v>
      </c>
      <c r="E2878">
        <v>0.48461340000000003</v>
      </c>
      <c r="F2878" t="s">
        <v>90</v>
      </c>
      <c r="G2878">
        <v>-107.39749999999999</v>
      </c>
      <c r="H2878">
        <v>5.1836979999999998E-2</v>
      </c>
      <c r="I2878">
        <v>218.08699999999999</v>
      </c>
      <c r="J2878">
        <v>-245.48490000000001</v>
      </c>
      <c r="K2878">
        <v>1.1211260000000001</v>
      </c>
      <c r="L2878">
        <v>214.29689999999999</v>
      </c>
      <c r="M2878">
        <v>0.99986540000000002</v>
      </c>
      <c r="N2878">
        <v>-1.21774E-2</v>
      </c>
      <c r="O2878">
        <v>1.0993960000000001E-2</v>
      </c>
      <c r="P2878">
        <v>0.97310129999999995</v>
      </c>
      <c r="Q2878">
        <v>0.2290189</v>
      </c>
      <c r="R2878">
        <v>-2.4980809999999999E-2</v>
      </c>
      <c r="S2878">
        <v>3.0907900000000001</v>
      </c>
      <c r="T2878">
        <v>-2.386951E-2</v>
      </c>
      <c r="U2878">
        <v>8.4701540000000006E-2</v>
      </c>
      <c r="V2878">
        <v>3.5633610000000003E-2</v>
      </c>
      <c r="W2878">
        <v>0.2408547</v>
      </c>
      <c r="X2878">
        <v>0.96990679999999996</v>
      </c>
      <c r="Y2878">
        <v>-1.640076E-2</v>
      </c>
      <c r="Z2878">
        <v>2.1218619999999999E-4</v>
      </c>
      <c r="AA2878">
        <v>0.99986549999999996</v>
      </c>
      <c r="AB2878">
        <v>36</v>
      </c>
      <c r="AC2878">
        <v>138.0874</v>
      </c>
      <c r="AD2878">
        <v>-1.06928902</v>
      </c>
      <c r="AE2878">
        <v>3.7901000000000198</v>
      </c>
      <c r="AF2878">
        <v>-2.27149486212081</v>
      </c>
      <c r="AG2878">
        <v>-1.06928902</v>
      </c>
      <c r="AH2878">
        <v>138.11244931342799</v>
      </c>
      <c r="AI2878">
        <v>90.443524391368499</v>
      </c>
      <c r="AJ2878">
        <v>90.942241895375801</v>
      </c>
      <c r="AK2878">
        <v>138.13526603757299</v>
      </c>
      <c r="AL2878">
        <v>76.063008656335299</v>
      </c>
      <c r="AM2878">
        <v>87.895944623873007</v>
      </c>
      <c r="AN2878">
        <v>0.99999997067998003</v>
      </c>
    </row>
    <row r="2879" spans="1:40" x14ac:dyDescent="0.25">
      <c r="A2879" t="str">
        <f>"20190303170822985"</f>
        <v>20190303170822985</v>
      </c>
      <c r="B2879" t="str">
        <f>"1551604102976293"</f>
        <v>1551604102976293</v>
      </c>
      <c r="C2879" t="s">
        <v>40</v>
      </c>
      <c r="D2879">
        <v>4.5257740000000002</v>
      </c>
      <c r="E2879">
        <v>0.48470479999999999</v>
      </c>
      <c r="F2879" t="s">
        <v>90</v>
      </c>
      <c r="G2879">
        <v>-107.39749999999999</v>
      </c>
      <c r="H2879">
        <v>5.550066E-2</v>
      </c>
      <c r="I2879">
        <v>218.0273</v>
      </c>
      <c r="J2879">
        <v>-245.1157</v>
      </c>
      <c r="K2879">
        <v>1.1211310000000001</v>
      </c>
      <c r="L2879">
        <v>214.30099999999999</v>
      </c>
      <c r="M2879">
        <v>0.99986379999999997</v>
      </c>
      <c r="N2879">
        <v>-1.224368E-2</v>
      </c>
      <c r="O2879">
        <v>1.1074179999999999E-2</v>
      </c>
      <c r="P2879">
        <v>0.97309950000000001</v>
      </c>
      <c r="Q2879">
        <v>0.2289784</v>
      </c>
      <c r="R2879">
        <v>-2.5426199999999999E-2</v>
      </c>
      <c r="S2879">
        <v>3.0906829999999998</v>
      </c>
      <c r="T2879">
        <v>-2.384973E-2</v>
      </c>
      <c r="U2879">
        <v>8.3496089999999995E-2</v>
      </c>
      <c r="V2879">
        <v>3.6157630000000003E-2</v>
      </c>
      <c r="W2879">
        <v>0.24087790000000001</v>
      </c>
      <c r="X2879">
        <v>0.96988169999999996</v>
      </c>
      <c r="Y2879">
        <v>-1.5931830000000001E-2</v>
      </c>
      <c r="Z2879">
        <v>2.0915840000000001E-4</v>
      </c>
      <c r="AA2879">
        <v>0.99987300000000001</v>
      </c>
      <c r="AB2879">
        <v>36</v>
      </c>
      <c r="AC2879">
        <v>137.7182</v>
      </c>
      <c r="AD2879">
        <v>-1.06563033999999</v>
      </c>
      <c r="AE2879">
        <v>3.7263000000000002</v>
      </c>
      <c r="AF2879">
        <v>-2.20070946287594</v>
      </c>
      <c r="AG2879">
        <v>-1.06563033999999</v>
      </c>
      <c r="AH2879">
        <v>137.742781547893</v>
      </c>
      <c r="AI2879">
        <v>90.443196453095993</v>
      </c>
      <c r="AJ2879">
        <v>90.915333896752799</v>
      </c>
      <c r="AK2879">
        <v>137.764482210446</v>
      </c>
      <c r="AL2879">
        <v>76.061639835989894</v>
      </c>
      <c r="AM2879">
        <v>87.864976075555603</v>
      </c>
      <c r="AN2879">
        <v>1.00000002445525</v>
      </c>
    </row>
    <row r="2880" spans="1:40" x14ac:dyDescent="0.25">
      <c r="A2880" t="str">
        <f>"20190303170823006"</f>
        <v>20190303170823006</v>
      </c>
      <c r="B2880" t="str">
        <f>"1551604102995813"</f>
        <v>1551604102995813</v>
      </c>
      <c r="C2880" t="s">
        <v>40</v>
      </c>
      <c r="D2880">
        <v>4.5312789999999996</v>
      </c>
      <c r="E2880">
        <v>0.48479060000000002</v>
      </c>
      <c r="F2880" t="s">
        <v>46</v>
      </c>
      <c r="G2880">
        <v>-96.115740000000002</v>
      </c>
      <c r="H2880">
        <v>-0.05</v>
      </c>
      <c r="I2880">
        <v>218.24449999999999</v>
      </c>
      <c r="J2880">
        <v>-244.78</v>
      </c>
      <c r="K2880">
        <v>1.121135</v>
      </c>
      <c r="L2880">
        <v>214.3049</v>
      </c>
      <c r="M2880">
        <v>0.99986220000000003</v>
      </c>
      <c r="N2880">
        <v>-1.230385E-2</v>
      </c>
      <c r="O2880">
        <v>1.114133E-2</v>
      </c>
      <c r="P2880">
        <v>0.97316349999999996</v>
      </c>
      <c r="Q2880">
        <v>0.2286802</v>
      </c>
      <c r="R2880">
        <v>-2.5651299999999998E-2</v>
      </c>
      <c r="S2880">
        <v>3.0907900000000001</v>
      </c>
      <c r="T2880">
        <v>-2.429342E-2</v>
      </c>
      <c r="U2880">
        <v>8.1802369999999999E-2</v>
      </c>
      <c r="V2880">
        <v>3.6449120000000002E-2</v>
      </c>
      <c r="W2880">
        <v>0.24063899999999999</v>
      </c>
      <c r="X2880">
        <v>0.96993010000000002</v>
      </c>
      <c r="Y2880">
        <v>-1.531621E-2</v>
      </c>
      <c r="Z2880">
        <v>2.0395069999999999E-4</v>
      </c>
      <c r="AA2880">
        <v>0.99988270000000001</v>
      </c>
      <c r="AB2880">
        <v>36</v>
      </c>
      <c r="AC2880">
        <v>148.66426000000001</v>
      </c>
      <c r="AD2880">
        <v>-1.171135</v>
      </c>
      <c r="AE2880">
        <v>3.93959999999998</v>
      </c>
      <c r="AF2880">
        <v>-2.2827708596142702</v>
      </c>
      <c r="AG2880">
        <v>-1.171135</v>
      </c>
      <c r="AH2880">
        <v>148.68970625932101</v>
      </c>
      <c r="AI2880">
        <v>90.451220201162101</v>
      </c>
      <c r="AJ2880">
        <v>90.879569033639996</v>
      </c>
      <c r="AK2880">
        <v>148.71183997069301</v>
      </c>
      <c r="AL2880">
        <v>76.075742748395896</v>
      </c>
      <c r="AM2880">
        <v>87.847887686523194</v>
      </c>
      <c r="AN2880">
        <v>1.00000003277789</v>
      </c>
    </row>
    <row r="2881" spans="1:40" x14ac:dyDescent="0.25">
      <c r="A2881" t="str">
        <f>"20190303170823028"</f>
        <v>20190303170823028</v>
      </c>
      <c r="B2881" t="str">
        <f>"1551604103016309"</f>
        <v>1551604103016309</v>
      </c>
      <c r="C2881" t="s">
        <v>40</v>
      </c>
      <c r="D2881">
        <v>4.5777159999999997</v>
      </c>
      <c r="E2881">
        <v>0.48480030000000002</v>
      </c>
      <c r="F2881" t="s">
        <v>46</v>
      </c>
      <c r="G2881">
        <v>-109.2898</v>
      </c>
      <c r="H2881">
        <v>-0.05</v>
      </c>
      <c r="I2881">
        <v>217.8409</v>
      </c>
      <c r="J2881">
        <v>-244.42910000000001</v>
      </c>
      <c r="K2881">
        <v>1.121135</v>
      </c>
      <c r="L2881">
        <v>214.30889999999999</v>
      </c>
      <c r="M2881">
        <v>0.99986070000000005</v>
      </c>
      <c r="N2881">
        <v>-1.236348E-2</v>
      </c>
      <c r="O2881">
        <v>1.1216179999999999E-2</v>
      </c>
      <c r="P2881">
        <v>0.97329339999999998</v>
      </c>
      <c r="Q2881">
        <v>0.2280343</v>
      </c>
      <c r="R2881">
        <v>-2.6466429999999999E-2</v>
      </c>
      <c r="S2881">
        <v>3.0911409999999999</v>
      </c>
      <c r="T2881">
        <v>-2.6718849999999999E-2</v>
      </c>
      <c r="U2881">
        <v>8.0673220000000004E-2</v>
      </c>
      <c r="V2881">
        <v>3.7341180000000002E-2</v>
      </c>
      <c r="W2881">
        <v>0.24005209999999999</v>
      </c>
      <c r="X2881">
        <v>0.97004159999999995</v>
      </c>
      <c r="Y2881">
        <v>-1.487319E-2</v>
      </c>
      <c r="Z2881">
        <v>1.9796829999999999E-4</v>
      </c>
      <c r="AA2881">
        <v>0.99988940000000004</v>
      </c>
      <c r="AB2881">
        <v>36</v>
      </c>
      <c r="AC2881">
        <v>135.13929999999999</v>
      </c>
      <c r="AD2881">
        <v>-1.171135</v>
      </c>
      <c r="AE2881">
        <v>3.5320000000000098</v>
      </c>
      <c r="AF2881">
        <v>-2.0157639938125298</v>
      </c>
      <c r="AG2881">
        <v>-1.171135</v>
      </c>
      <c r="AH2881">
        <v>135.16027270767199</v>
      </c>
      <c r="AI2881">
        <v>90.496388114292003</v>
      </c>
      <c r="AJ2881">
        <v>90.854438994836201</v>
      </c>
      <c r="AK2881">
        <v>135.180376460784</v>
      </c>
      <c r="AL2881">
        <v>76.110385201910105</v>
      </c>
      <c r="AM2881">
        <v>87.795521167169497</v>
      </c>
      <c r="AN2881">
        <v>1.00000004008438</v>
      </c>
    </row>
    <row r="2882" spans="1:40" x14ac:dyDescent="0.25">
      <c r="A2882" t="str">
        <f>"20190303170823053"</f>
        <v>20190303170823053</v>
      </c>
      <c r="B2882" t="str">
        <f>"1551604103045588"</f>
        <v>1551604103045588</v>
      </c>
      <c r="C2882" t="s">
        <v>40</v>
      </c>
      <c r="D2882">
        <v>4.5029810000000001</v>
      </c>
      <c r="E2882">
        <v>0.48495549999999998</v>
      </c>
      <c r="F2882" t="s">
        <v>46</v>
      </c>
      <c r="G2882">
        <v>-125.95269999999999</v>
      </c>
      <c r="H2882">
        <v>-0.05</v>
      </c>
      <c r="I2882">
        <v>217.3081</v>
      </c>
      <c r="J2882">
        <v>-244.03700000000001</v>
      </c>
      <c r="K2882">
        <v>1.1211439999999999</v>
      </c>
      <c r="L2882">
        <v>214.3134</v>
      </c>
      <c r="M2882">
        <v>0.99985889999999999</v>
      </c>
      <c r="N2882">
        <v>-1.242906E-2</v>
      </c>
      <c r="O2882">
        <v>1.130254E-2</v>
      </c>
      <c r="P2882">
        <v>0.97337059999999997</v>
      </c>
      <c r="Q2882">
        <v>0.2276541</v>
      </c>
      <c r="R2882">
        <v>-2.6898789999999999E-2</v>
      </c>
      <c r="S2882">
        <v>3.0916139999999999</v>
      </c>
      <c r="T2882">
        <v>-3.0560489999999999E-2</v>
      </c>
      <c r="U2882">
        <v>7.8262330000000005E-2</v>
      </c>
      <c r="V2882">
        <v>3.7861190000000003E-2</v>
      </c>
      <c r="W2882">
        <v>0.23973639999999999</v>
      </c>
      <c r="X2882">
        <v>0.97009939999999995</v>
      </c>
      <c r="Y2882">
        <v>-1.4003369999999999E-2</v>
      </c>
      <c r="Z2882">
        <v>1.8501729999999999E-4</v>
      </c>
      <c r="AA2882">
        <v>0.99990199999999996</v>
      </c>
      <c r="AB2882">
        <v>36</v>
      </c>
      <c r="AC2882">
        <v>118.0843</v>
      </c>
      <c r="AD2882">
        <v>-1.171144</v>
      </c>
      <c r="AE2882">
        <v>2.9946999999999901</v>
      </c>
      <c r="AF2882">
        <v>-1.65958994969907</v>
      </c>
      <c r="AG2882">
        <v>-1.171144</v>
      </c>
      <c r="AH2882">
        <v>118.098997217038</v>
      </c>
      <c r="AI2882">
        <v>90.568106307121695</v>
      </c>
      <c r="AJ2882">
        <v>90.8050977885501</v>
      </c>
      <c r="AK2882">
        <v>118.116463546535</v>
      </c>
      <c r="AL2882">
        <v>76.129015983657794</v>
      </c>
      <c r="AM2882">
        <v>87.764985749830004</v>
      </c>
      <c r="AN2882">
        <v>0.999999928536765</v>
      </c>
    </row>
    <row r="2883" spans="1:40" x14ac:dyDescent="0.25">
      <c r="A2883" t="str">
        <f>"20190303170823078"</f>
        <v>20190303170823078</v>
      </c>
      <c r="B2883" t="str">
        <f>"1551604103066085"</f>
        <v>1551604103066085</v>
      </c>
      <c r="C2883" t="s">
        <v>40</v>
      </c>
      <c r="D2883">
        <v>4.5492879999999998</v>
      </c>
      <c r="E2883">
        <v>0.48489710000000003</v>
      </c>
      <c r="F2883" t="s">
        <v>46</v>
      </c>
      <c r="G2883">
        <v>-130.8562</v>
      </c>
      <c r="H2883">
        <v>-0.05</v>
      </c>
      <c r="I2883">
        <v>217.08349999999999</v>
      </c>
      <c r="J2883">
        <v>-243.64269999999999</v>
      </c>
      <c r="K2883">
        <v>1.121135</v>
      </c>
      <c r="L2883">
        <v>214.31800000000001</v>
      </c>
      <c r="M2883">
        <v>0.99985710000000005</v>
      </c>
      <c r="N2883">
        <v>-1.2492349999999999E-2</v>
      </c>
      <c r="O2883">
        <v>1.1392909999999999E-2</v>
      </c>
      <c r="P2883">
        <v>0.97307719999999998</v>
      </c>
      <c r="Q2883">
        <v>0.22892799999999999</v>
      </c>
      <c r="R2883">
        <v>-2.6698179999999998E-2</v>
      </c>
      <c r="S2883">
        <v>3.0916290000000002</v>
      </c>
      <c r="T2883">
        <v>-3.1990770000000002E-2</v>
      </c>
      <c r="U2883">
        <v>7.5668330000000006E-2</v>
      </c>
      <c r="V2883">
        <v>3.7747719999999998E-2</v>
      </c>
      <c r="W2883">
        <v>0.24106720000000001</v>
      </c>
      <c r="X2883">
        <v>0.96977409999999997</v>
      </c>
      <c r="Y2883">
        <v>-1.30744E-2</v>
      </c>
      <c r="Z2883">
        <v>1.7377199999999999E-4</v>
      </c>
      <c r="AA2883">
        <v>0.99991450000000004</v>
      </c>
      <c r="AB2883">
        <v>36</v>
      </c>
      <c r="AC2883">
        <v>112.7865</v>
      </c>
      <c r="AD2883">
        <v>-1.171135</v>
      </c>
      <c r="AE2883">
        <v>2.7654999999999998</v>
      </c>
      <c r="AF2883">
        <v>-1.4800943286935899</v>
      </c>
      <c r="AG2883">
        <v>-1.171135</v>
      </c>
      <c r="AH2883">
        <v>112.798533776887</v>
      </c>
      <c r="AI2883">
        <v>90.594803002556802</v>
      </c>
      <c r="AJ2883">
        <v>90.751767677860101</v>
      </c>
      <c r="AK2883">
        <v>112.814322932089</v>
      </c>
      <c r="AL2883">
        <v>76.050464722095199</v>
      </c>
      <c r="AM2883">
        <v>87.770930613518303</v>
      </c>
      <c r="AN2883">
        <v>1.0000000451559199</v>
      </c>
    </row>
    <row r="2884" spans="1:40" x14ac:dyDescent="0.25">
      <c r="A2884" t="str">
        <f>"20190303170823102"</f>
        <v>20190303170823102</v>
      </c>
      <c r="B2884" t="str">
        <f>"1551604103096341"</f>
        <v>1551604103096341</v>
      </c>
      <c r="C2884" t="s">
        <v>40</v>
      </c>
      <c r="D2884">
        <v>4.5967760000000002</v>
      </c>
      <c r="E2884">
        <v>0.4846857</v>
      </c>
      <c r="F2884" t="s">
        <v>46</v>
      </c>
      <c r="G2884">
        <v>-118.73309999999999</v>
      </c>
      <c r="H2884">
        <v>-0.05</v>
      </c>
      <c r="I2884">
        <v>217.4051</v>
      </c>
      <c r="J2884">
        <v>-243.25700000000001</v>
      </c>
      <c r="K2884">
        <v>1.12114</v>
      </c>
      <c r="L2884">
        <v>214.32249999999999</v>
      </c>
      <c r="M2884">
        <v>0.9998553</v>
      </c>
      <c r="N2884">
        <v>-1.255161E-2</v>
      </c>
      <c r="O2884">
        <v>1.1480189999999999E-2</v>
      </c>
      <c r="P2884">
        <v>0.97293130000000005</v>
      </c>
      <c r="Q2884">
        <v>0.22957910000000001</v>
      </c>
      <c r="R2884">
        <v>-2.6415959999999999E-2</v>
      </c>
      <c r="S2884">
        <v>3.0919340000000002</v>
      </c>
      <c r="T2884">
        <v>-2.8989549999999999E-2</v>
      </c>
      <c r="U2884">
        <v>7.6416020000000001E-2</v>
      </c>
      <c r="V2884">
        <v>3.7549979999999997E-2</v>
      </c>
      <c r="W2884">
        <v>0.24177370000000001</v>
      </c>
      <c r="X2884">
        <v>0.96960579999999996</v>
      </c>
      <c r="Y2884">
        <v>-1.322656E-2</v>
      </c>
      <c r="Z2884">
        <v>1.8149689999999999E-4</v>
      </c>
      <c r="AA2884">
        <v>0.99991249999999998</v>
      </c>
      <c r="AB2884">
        <v>35</v>
      </c>
      <c r="AC2884">
        <v>124.5239</v>
      </c>
      <c r="AD2884">
        <v>-1.1711400000000001</v>
      </c>
      <c r="AE2884">
        <v>3.08260000000001</v>
      </c>
      <c r="AF2884">
        <v>-1.6525800571984901</v>
      </c>
      <c r="AG2884">
        <v>-1.1711400000000001</v>
      </c>
      <c r="AH2884">
        <v>124.540075072313</v>
      </c>
      <c r="AI2884">
        <v>90.538730164585502</v>
      </c>
      <c r="AJ2884">
        <v>90.760239671686904</v>
      </c>
      <c r="AK2884">
        <v>124.55654494550799</v>
      </c>
      <c r="AL2884">
        <v>76.008750258825998</v>
      </c>
      <c r="AM2884">
        <v>87.782211319145901</v>
      </c>
      <c r="AN2884">
        <v>0.99999996520166401</v>
      </c>
    </row>
    <row r="2885" spans="1:40" x14ac:dyDescent="0.25">
      <c r="A2885" t="str">
        <f>"20190303170823127"</f>
        <v>20190303170823127</v>
      </c>
      <c r="B2885" t="str">
        <f>"1551604103115861"</f>
        <v>1551604103115861</v>
      </c>
      <c r="C2885" t="s">
        <v>40</v>
      </c>
      <c r="D2885">
        <v>4.5339140000000002</v>
      </c>
      <c r="E2885">
        <v>0.48470249999999998</v>
      </c>
      <c r="F2885" t="s">
        <v>46</v>
      </c>
      <c r="G2885">
        <v>-116.72750000000001</v>
      </c>
      <c r="H2885">
        <v>-0.05</v>
      </c>
      <c r="I2885">
        <v>217.58459999999999</v>
      </c>
      <c r="J2885">
        <v>-242.8698</v>
      </c>
      <c r="K2885">
        <v>1.1211530000000001</v>
      </c>
      <c r="L2885">
        <v>214.327</v>
      </c>
      <c r="M2885">
        <v>0.99985360000000001</v>
      </c>
      <c r="N2885">
        <v>-1.2613640000000001E-2</v>
      </c>
      <c r="O2885">
        <v>1.1565270000000001E-2</v>
      </c>
      <c r="P2885">
        <v>0.97294899999999995</v>
      </c>
      <c r="Q2885">
        <v>0.22950300000000001</v>
      </c>
      <c r="R2885">
        <v>-2.6430390000000002E-2</v>
      </c>
      <c r="S2885">
        <v>3.0923769999999999</v>
      </c>
      <c r="T2885">
        <v>-2.862263E-2</v>
      </c>
      <c r="U2885">
        <v>7.972717E-2</v>
      </c>
      <c r="V2885">
        <v>3.7647399999999998E-2</v>
      </c>
      <c r="W2885">
        <v>0.241758</v>
      </c>
      <c r="X2885">
        <v>0.96960599999999997</v>
      </c>
      <c r="Y2885">
        <v>-1.4207839999999999E-2</v>
      </c>
      <c r="Z2885">
        <v>1.9421980000000001E-4</v>
      </c>
      <c r="AA2885">
        <v>0.99989899999999998</v>
      </c>
      <c r="AB2885">
        <v>35</v>
      </c>
      <c r="AC2885">
        <v>126.14230000000001</v>
      </c>
      <c r="AD2885">
        <v>-1.1711530000000001</v>
      </c>
      <c r="AE2885">
        <v>3.2575999999999898</v>
      </c>
      <c r="AF2885">
        <v>-1.7982414238297399</v>
      </c>
      <c r="AG2885">
        <v>-1.1711530000000001</v>
      </c>
      <c r="AH2885">
        <v>126.16067251941099</v>
      </c>
      <c r="AI2885">
        <v>90.531809006423202</v>
      </c>
      <c r="AJ2885">
        <v>90.816614761666003</v>
      </c>
      <c r="AK2885">
        <v>126.17892281248</v>
      </c>
      <c r="AL2885">
        <v>76.009678175403593</v>
      </c>
      <c r="AM2885">
        <v>87.776463694687607</v>
      </c>
      <c r="AN2885">
        <v>1.0000000262633699</v>
      </c>
    </row>
    <row r="2886" spans="1:40" x14ac:dyDescent="0.25">
      <c r="A2886" t="str">
        <f>"20190303170823146"</f>
        <v>20190303170823146</v>
      </c>
      <c r="B2886" t="str">
        <f>"1551604103136358"</f>
        <v>1551604103136358</v>
      </c>
      <c r="C2886" t="s">
        <v>40</v>
      </c>
      <c r="D2886">
        <v>4.6218240000000002</v>
      </c>
      <c r="E2886">
        <v>0.48469279999999998</v>
      </c>
      <c r="F2886" t="s">
        <v>46</v>
      </c>
      <c r="G2886">
        <v>-119.54640000000001</v>
      </c>
      <c r="H2886">
        <v>-0.05</v>
      </c>
      <c r="I2886">
        <v>217.53129999999999</v>
      </c>
      <c r="J2886">
        <v>-242.55549999999999</v>
      </c>
      <c r="K2886">
        <v>1.1211519999999999</v>
      </c>
      <c r="L2886">
        <v>214.33070000000001</v>
      </c>
      <c r="M2886">
        <v>0.99985219999999997</v>
      </c>
      <c r="N2886">
        <v>-1.266516E-2</v>
      </c>
      <c r="O2886">
        <v>1.163514E-2</v>
      </c>
      <c r="P2886">
        <v>0.97312209999999999</v>
      </c>
      <c r="Q2886">
        <v>0.22877320000000001</v>
      </c>
      <c r="R2886">
        <v>-2.6391089999999999E-2</v>
      </c>
      <c r="S2886">
        <v>3.0925289999999999</v>
      </c>
      <c r="T2886">
        <v>-2.9368519999999999E-2</v>
      </c>
      <c r="U2886">
        <v>8.0352779999999999E-2</v>
      </c>
      <c r="V2886">
        <v>3.7678379999999997E-2</v>
      </c>
      <c r="W2886">
        <v>0.24108009999999999</v>
      </c>
      <c r="X2886">
        <v>0.96977349999999996</v>
      </c>
      <c r="Y2886">
        <v>-1.4338750000000001E-2</v>
      </c>
      <c r="Z2886">
        <v>1.9578059999999999E-4</v>
      </c>
      <c r="AA2886">
        <v>0.99989720000000004</v>
      </c>
      <c r="AB2886">
        <v>35</v>
      </c>
      <c r="AC2886">
        <v>123.0091</v>
      </c>
      <c r="AD2886">
        <v>-1.171152</v>
      </c>
      <c r="AE2886">
        <v>3.2005999999999699</v>
      </c>
      <c r="AF2886">
        <v>-1.76888032414639</v>
      </c>
      <c r="AG2886">
        <v>-1.171152</v>
      </c>
      <c r="AH2886">
        <v>123.026870090438</v>
      </c>
      <c r="AI2886">
        <v>90.545353268685801</v>
      </c>
      <c r="AJ2886">
        <v>90.823741951239995</v>
      </c>
      <c r="AK2886">
        <v>123.045159591337</v>
      </c>
      <c r="AL2886">
        <v>76.049701906485794</v>
      </c>
      <c r="AM2886">
        <v>87.775019768422794</v>
      </c>
      <c r="AN2886">
        <v>0.99999995811884101</v>
      </c>
    </row>
    <row r="2887" spans="1:40" x14ac:dyDescent="0.25">
      <c r="A2887" t="str">
        <f>"20190303170823164"</f>
        <v>20190303170823164</v>
      </c>
      <c r="B2887" t="str">
        <f>"1551604103155877"</f>
        <v>1551604103155877</v>
      </c>
      <c r="C2887" t="s">
        <v>40</v>
      </c>
      <c r="D2887">
        <v>4.5583939999999998</v>
      </c>
      <c r="E2887">
        <v>0.48479070000000002</v>
      </c>
      <c r="F2887" t="s">
        <v>46</v>
      </c>
      <c r="G2887">
        <v>-130.91560000000001</v>
      </c>
      <c r="H2887">
        <v>-0.05</v>
      </c>
      <c r="I2887">
        <v>217.24010000000001</v>
      </c>
      <c r="J2887">
        <v>-242.2586</v>
      </c>
      <c r="K2887">
        <v>1.121159</v>
      </c>
      <c r="L2887">
        <v>214.33430000000001</v>
      </c>
      <c r="M2887">
        <v>0.99985069999999998</v>
      </c>
      <c r="N2887">
        <v>-1.2714680000000001E-2</v>
      </c>
      <c r="O2887">
        <v>1.170235E-2</v>
      </c>
      <c r="P2887">
        <v>0.97303280000000003</v>
      </c>
      <c r="Q2887">
        <v>0.22912389999999999</v>
      </c>
      <c r="R2887">
        <v>-2.6633199999999999E-2</v>
      </c>
      <c r="S2887">
        <v>3.0926969999999998</v>
      </c>
      <c r="T2887">
        <v>-3.2443760000000002E-2</v>
      </c>
      <c r="U2887">
        <v>8.0596920000000002E-2</v>
      </c>
      <c r="V2887">
        <v>3.7985169999999999E-2</v>
      </c>
      <c r="W2887">
        <v>0.2414781</v>
      </c>
      <c r="X2887">
        <v>0.96966249999999998</v>
      </c>
      <c r="Y2887">
        <v>-1.4348730000000001E-2</v>
      </c>
      <c r="Z2887">
        <v>1.925416E-4</v>
      </c>
      <c r="AA2887">
        <v>0.99989709999999998</v>
      </c>
      <c r="AB2887">
        <v>35</v>
      </c>
      <c r="AC2887">
        <v>111.343</v>
      </c>
      <c r="AD2887">
        <v>-1.1711590000000001</v>
      </c>
      <c r="AE2887">
        <v>2.9058000000000002</v>
      </c>
      <c r="AF2887">
        <v>-1.60234376306022</v>
      </c>
      <c r="AG2887">
        <v>-1.1711590000000001</v>
      </c>
      <c r="AH2887">
        <v>111.35707002782</v>
      </c>
      <c r="AI2887">
        <v>90.602503720356296</v>
      </c>
      <c r="AJ2887">
        <v>90.824385909743398</v>
      </c>
      <c r="AK2887">
        <v>111.374755506439</v>
      </c>
      <c r="AL2887">
        <v>76.026203910408597</v>
      </c>
      <c r="AM2887">
        <v>87.756665154990799</v>
      </c>
      <c r="AN2887">
        <v>0.99999995491289295</v>
      </c>
    </row>
    <row r="2888" spans="1:40" x14ac:dyDescent="0.25">
      <c r="A2888" t="str">
        <f>"20190303170823186"</f>
        <v>20190303170823186</v>
      </c>
      <c r="B2888" t="str">
        <f>"1551604103175964"</f>
        <v>1551604103175964</v>
      </c>
      <c r="C2888" t="s">
        <v>40</v>
      </c>
      <c r="D2888">
        <v>4.5926339999999897</v>
      </c>
      <c r="E2888">
        <v>0.48485479999999997</v>
      </c>
      <c r="F2888" t="s">
        <v>46</v>
      </c>
      <c r="G2888">
        <v>-127.4834</v>
      </c>
      <c r="H2888">
        <v>-0.05</v>
      </c>
      <c r="I2888">
        <v>217.26130000000001</v>
      </c>
      <c r="J2888">
        <v>-241.91849999999999</v>
      </c>
      <c r="K2888">
        <v>1.1211709999999999</v>
      </c>
      <c r="L2888">
        <v>214.3383</v>
      </c>
      <c r="M2888">
        <v>0.99984899999999999</v>
      </c>
      <c r="N2888">
        <v>-1.2778029999999999E-2</v>
      </c>
      <c r="O2888">
        <v>1.1780199999999999E-2</v>
      </c>
      <c r="P2888">
        <v>0.97264439999999996</v>
      </c>
      <c r="Q2888">
        <v>0.23075200000000001</v>
      </c>
      <c r="R2888">
        <v>-2.6769769999999998E-2</v>
      </c>
      <c r="S2888">
        <v>3.092743</v>
      </c>
      <c r="T2888">
        <v>-3.1558160000000002E-2</v>
      </c>
      <c r="U2888">
        <v>7.8872680000000001E-2</v>
      </c>
      <c r="V2888">
        <v>3.8192669999999998E-2</v>
      </c>
      <c r="W2888">
        <v>0.24316199999999999</v>
      </c>
      <c r="X2888">
        <v>0.96923349999999997</v>
      </c>
      <c r="Y2888">
        <v>-1.371354E-2</v>
      </c>
      <c r="Z2888">
        <v>1.879355E-4</v>
      </c>
      <c r="AA2888">
        <v>0.99990590000000001</v>
      </c>
      <c r="AB2888">
        <v>35</v>
      </c>
      <c r="AC2888">
        <v>114.43510000000001</v>
      </c>
      <c r="AD2888">
        <v>-1.171171</v>
      </c>
      <c r="AE2888">
        <v>2.923</v>
      </c>
      <c r="AF2888">
        <v>-1.5744539549249901</v>
      </c>
      <c r="AG2888">
        <v>-1.171171</v>
      </c>
      <c r="AH2888">
        <v>114.449614605715</v>
      </c>
      <c r="AI2888">
        <v>90.586235834097494</v>
      </c>
      <c r="AJ2888">
        <v>90.788153607613296</v>
      </c>
      <c r="AK2888">
        <v>114.466435386816</v>
      </c>
      <c r="AL2888">
        <v>75.926760491719605</v>
      </c>
      <c r="AM2888">
        <v>87.743425879948603</v>
      </c>
      <c r="AN2888">
        <v>1.0000000079039799</v>
      </c>
    </row>
    <row r="2889" spans="1:40" x14ac:dyDescent="0.25">
      <c r="A2889" t="str">
        <f>"20190303170823209"</f>
        <v>20190303170823209</v>
      </c>
      <c r="B2889" t="str">
        <f>"1551604103195484"</f>
        <v>1551604103195484</v>
      </c>
      <c r="C2889" t="s">
        <v>40</v>
      </c>
      <c r="D2889">
        <v>4.5334009999999996</v>
      </c>
      <c r="E2889">
        <v>0.4849367</v>
      </c>
      <c r="F2889" t="s">
        <v>46</v>
      </c>
      <c r="G2889">
        <v>-107.8113</v>
      </c>
      <c r="H2889">
        <v>-0.05</v>
      </c>
      <c r="I2889">
        <v>217.6867</v>
      </c>
      <c r="J2889">
        <v>-241.5787</v>
      </c>
      <c r="K2889">
        <v>1.121191</v>
      </c>
      <c r="L2889">
        <v>214.3424</v>
      </c>
      <c r="M2889">
        <v>0.99984709999999999</v>
      </c>
      <c r="N2889">
        <v>-1.285004E-2</v>
      </c>
      <c r="O2889">
        <v>1.185836E-2</v>
      </c>
      <c r="P2889">
        <v>0.97232499999999999</v>
      </c>
      <c r="Q2889">
        <v>0.2319862</v>
      </c>
      <c r="R2889">
        <v>-2.7681279999999999E-2</v>
      </c>
      <c r="S2889">
        <v>3.092911</v>
      </c>
      <c r="T2889">
        <v>-2.7010679999999999E-2</v>
      </c>
      <c r="U2889">
        <v>7.7224730000000005E-2</v>
      </c>
      <c r="V2889">
        <v>3.9176160000000002E-2</v>
      </c>
      <c r="W2889">
        <v>0.24446200000000001</v>
      </c>
      <c r="X2889">
        <v>0.96886719999999904</v>
      </c>
      <c r="Y2889">
        <v>-1.3102000000000001E-2</v>
      </c>
      <c r="Z2889">
        <v>1.902378E-4</v>
      </c>
      <c r="AA2889">
        <v>0.99991419999999998</v>
      </c>
      <c r="AB2889">
        <v>35</v>
      </c>
      <c r="AC2889">
        <v>133.76740000000001</v>
      </c>
      <c r="AD2889">
        <v>-1.1711910000000001</v>
      </c>
      <c r="AE2889">
        <v>3.3443000000000001</v>
      </c>
      <c r="AF2889">
        <v>-1.7575371776936699</v>
      </c>
      <c r="AG2889">
        <v>-1.1711910000000001</v>
      </c>
      <c r="AH2889">
        <v>133.78740466435301</v>
      </c>
      <c r="AI2889">
        <v>90.501518048737196</v>
      </c>
      <c r="AJ2889">
        <v>90.7526393887795</v>
      </c>
      <c r="AK2889">
        <v>133.804074198482</v>
      </c>
      <c r="AL2889">
        <v>75.849958826191596</v>
      </c>
      <c r="AM2889">
        <v>87.684505669369599</v>
      </c>
      <c r="AN2889">
        <v>1.0000000460960901</v>
      </c>
    </row>
    <row r="2890" spans="1:40" x14ac:dyDescent="0.25">
      <c r="A2890" t="str">
        <f>"20190303170823233"</f>
        <v>20190303170823233</v>
      </c>
      <c r="B2890" t="str">
        <f>"1551604103225741"</f>
        <v>1551604103225741</v>
      </c>
      <c r="C2890" t="s">
        <v>40</v>
      </c>
      <c r="D2890">
        <v>4.5823539999999996</v>
      </c>
      <c r="E2890">
        <v>0.48504419999999998</v>
      </c>
      <c r="F2890" t="s">
        <v>90</v>
      </c>
      <c r="G2890">
        <v>-107.39749999999999</v>
      </c>
      <c r="H2890">
        <v>0.1108794</v>
      </c>
      <c r="I2890">
        <v>217.57599999999999</v>
      </c>
      <c r="J2890">
        <v>-241.1892</v>
      </c>
      <c r="K2890">
        <v>1.1212040000000001</v>
      </c>
      <c r="L2890">
        <v>214.34710000000001</v>
      </c>
      <c r="M2890">
        <v>0.99984490000000004</v>
      </c>
      <c r="N2890">
        <v>-1.294181E-2</v>
      </c>
      <c r="O2890">
        <v>1.194777E-2</v>
      </c>
      <c r="P2890">
        <v>0.97235950000000004</v>
      </c>
      <c r="Q2890">
        <v>0.23182510000000001</v>
      </c>
      <c r="R2890">
        <v>-2.782451E-2</v>
      </c>
      <c r="S2890">
        <v>3.0930629999999999</v>
      </c>
      <c r="T2890">
        <v>-2.3287889999999999E-2</v>
      </c>
      <c r="U2890">
        <v>7.4539179999999997E-2</v>
      </c>
      <c r="V2890">
        <v>3.9406469999999999E-2</v>
      </c>
      <c r="W2890">
        <v>0.24438979999999999</v>
      </c>
      <c r="X2890">
        <v>0.96887599999999996</v>
      </c>
      <c r="Y2890">
        <v>-1.214404E-2</v>
      </c>
      <c r="Z2890">
        <v>1.8899330000000001E-4</v>
      </c>
      <c r="AA2890">
        <v>0.99992630000000005</v>
      </c>
      <c r="AB2890">
        <v>35</v>
      </c>
      <c r="AC2890">
        <v>133.79169999999999</v>
      </c>
      <c r="AD2890">
        <v>-1.0103245999999999</v>
      </c>
      <c r="AE2890">
        <v>3.2288999999999799</v>
      </c>
      <c r="AF2890">
        <v>-1.62993030625488</v>
      </c>
      <c r="AG2890">
        <v>-1.0103245999999999</v>
      </c>
      <c r="AH2890">
        <v>133.81310389574</v>
      </c>
      <c r="AI2890">
        <v>90.432558099980994</v>
      </c>
      <c r="AJ2890">
        <v>90.697865205516607</v>
      </c>
      <c r="AK2890">
        <v>133.82684410391201</v>
      </c>
      <c r="AL2890">
        <v>75.854223938435595</v>
      </c>
      <c r="AM2890">
        <v>87.670929349223599</v>
      </c>
      <c r="AN2890">
        <v>0.99999997379895</v>
      </c>
    </row>
    <row r="2891" spans="1:40" x14ac:dyDescent="0.25">
      <c r="A2891" t="str">
        <f>"20190303170823254"</f>
        <v>20190303170823254</v>
      </c>
      <c r="B2891" t="str">
        <f>"1551604103246236"</f>
        <v>1551604103246236</v>
      </c>
      <c r="C2891" t="s">
        <v>40</v>
      </c>
      <c r="D2891">
        <v>4.6528619999999998</v>
      </c>
      <c r="E2891">
        <v>0.4850681</v>
      </c>
      <c r="F2891" t="s">
        <v>90</v>
      </c>
      <c r="G2891">
        <v>-107.39749999999999</v>
      </c>
      <c r="H2891">
        <v>5.93331E-2</v>
      </c>
      <c r="I2891">
        <v>217.5085</v>
      </c>
      <c r="J2891">
        <v>-240.8494</v>
      </c>
      <c r="K2891">
        <v>1.121221</v>
      </c>
      <c r="L2891">
        <v>214.35130000000001</v>
      </c>
      <c r="M2891">
        <v>0.99984280000000003</v>
      </c>
      <c r="N2891">
        <v>-1.30302E-2</v>
      </c>
      <c r="O2891">
        <v>1.2025589999999999E-2</v>
      </c>
      <c r="P2891">
        <v>0.97243440000000003</v>
      </c>
      <c r="Q2891">
        <v>0.23149800000000001</v>
      </c>
      <c r="R2891">
        <v>-2.792977E-2</v>
      </c>
      <c r="S2891">
        <v>3.0932309999999998</v>
      </c>
      <c r="T2891">
        <v>-2.454901E-2</v>
      </c>
      <c r="U2891">
        <v>7.3089600000000005E-2</v>
      </c>
      <c r="V2891">
        <v>3.9587740000000003E-2</v>
      </c>
      <c r="W2891">
        <v>0.2441498</v>
      </c>
      <c r="X2891">
        <v>0.96892909999999999</v>
      </c>
      <c r="Y2891">
        <v>-1.1596520000000001E-2</v>
      </c>
      <c r="Z2891">
        <v>1.8285050000000001E-4</v>
      </c>
      <c r="AA2891">
        <v>0.99993279999999995</v>
      </c>
      <c r="AB2891">
        <v>35</v>
      </c>
      <c r="AC2891">
        <v>133.45189999999999</v>
      </c>
      <c r="AD2891">
        <v>-1.0618878999999899</v>
      </c>
      <c r="AE2891">
        <v>3.15719999999998</v>
      </c>
      <c r="AF2891">
        <v>-1.5518993897341899</v>
      </c>
      <c r="AG2891">
        <v>-1.0618878999999899</v>
      </c>
      <c r="AH2891">
        <v>133.47177280592101</v>
      </c>
      <c r="AI2891">
        <v>90.455798991190505</v>
      </c>
      <c r="AJ2891">
        <v>90.666157920683204</v>
      </c>
      <c r="AK2891">
        <v>133.485018386273</v>
      </c>
      <c r="AL2891">
        <v>75.868404256728596</v>
      </c>
      <c r="AM2891">
        <v>87.660355573597698</v>
      </c>
      <c r="AN2891">
        <v>0.99999995741257697</v>
      </c>
    </row>
    <row r="2892" spans="1:40" x14ac:dyDescent="0.25">
      <c r="A2892" t="str">
        <f>"20190303170823275"</f>
        <v>20190303170823275</v>
      </c>
      <c r="B2892" t="str">
        <f>"1551604103265756"</f>
        <v>1551604103265756</v>
      </c>
      <c r="C2892" t="s">
        <v>40</v>
      </c>
      <c r="D2892">
        <v>4.6591779999999998</v>
      </c>
      <c r="E2892">
        <v>0.48507339999999999</v>
      </c>
      <c r="F2892" t="s">
        <v>46</v>
      </c>
      <c r="G2892">
        <v>-104.752</v>
      </c>
      <c r="H2892">
        <v>-0.05</v>
      </c>
      <c r="I2892">
        <v>217.5326</v>
      </c>
      <c r="J2892">
        <v>-240.5129</v>
      </c>
      <c r="K2892">
        <v>1.1212299999999999</v>
      </c>
      <c r="L2892">
        <v>214.3554</v>
      </c>
      <c r="M2892">
        <v>0.99984070000000003</v>
      </c>
      <c r="N2892">
        <v>-1.312001E-2</v>
      </c>
      <c r="O2892">
        <v>1.2102969999999999E-2</v>
      </c>
      <c r="P2892">
        <v>0.97229410000000005</v>
      </c>
      <c r="Q2892">
        <v>0.2320113</v>
      </c>
      <c r="R2892">
        <v>-2.8550860000000001E-2</v>
      </c>
      <c r="S2892">
        <v>3.0934599999999999</v>
      </c>
      <c r="T2892">
        <v>-2.6621579999999999E-2</v>
      </c>
      <c r="U2892">
        <v>7.2311399999999998E-2</v>
      </c>
      <c r="V2892">
        <v>4.0281520000000001E-2</v>
      </c>
      <c r="W2892">
        <v>0.24474860000000001</v>
      </c>
      <c r="X2892">
        <v>0.96874950000000004</v>
      </c>
      <c r="Y2892">
        <v>-1.1265839999999999E-2</v>
      </c>
      <c r="Z2892">
        <v>1.770415E-4</v>
      </c>
      <c r="AA2892">
        <v>0.99993650000000001</v>
      </c>
      <c r="AB2892">
        <v>35</v>
      </c>
      <c r="AC2892">
        <v>135.76089999999999</v>
      </c>
      <c r="AD2892">
        <v>-1.17123</v>
      </c>
      <c r="AE2892">
        <v>3.1771999999999898</v>
      </c>
      <c r="AF2892">
        <v>-1.5336016684601099</v>
      </c>
      <c r="AG2892">
        <v>-1.17123</v>
      </c>
      <c r="AH2892">
        <v>135.77931131525199</v>
      </c>
      <c r="AI2892">
        <v>90.494188629304702</v>
      </c>
      <c r="AJ2892">
        <v>90.647117487431899</v>
      </c>
      <c r="AK2892">
        <v>135.79302299836499</v>
      </c>
      <c r="AL2892">
        <v>75.833023257298294</v>
      </c>
      <c r="AM2892">
        <v>87.618958945684795</v>
      </c>
      <c r="AN2892">
        <v>1.00000003590285</v>
      </c>
    </row>
    <row r="2893" spans="1:40" x14ac:dyDescent="0.25">
      <c r="A2893" t="str">
        <f>"20190303170823302"</f>
        <v>20190303170823302</v>
      </c>
      <c r="B2893" t="str">
        <f>"1551604103295931"</f>
        <v>1551604103295931</v>
      </c>
      <c r="C2893" t="s">
        <v>40</v>
      </c>
      <c r="D2893">
        <v>4.570729</v>
      </c>
      <c r="E2893">
        <v>0.48441800000000002</v>
      </c>
      <c r="F2893" t="s">
        <v>46</v>
      </c>
      <c r="G2893">
        <v>-99.381550000000004</v>
      </c>
      <c r="H2893">
        <v>-0.05</v>
      </c>
      <c r="I2893">
        <v>217.5727</v>
      </c>
      <c r="J2893">
        <v>-240.09469999999999</v>
      </c>
      <c r="K2893">
        <v>1.1212500000000001</v>
      </c>
      <c r="L2893">
        <v>214.3605</v>
      </c>
      <c r="M2893">
        <v>0.99983789999999995</v>
      </c>
      <c r="N2893">
        <v>-1.3235830000000001E-2</v>
      </c>
      <c r="O2893">
        <v>1.2199379999999999E-2</v>
      </c>
      <c r="P2893">
        <v>0.97219739999999999</v>
      </c>
      <c r="Q2893">
        <v>0.23234360000000001</v>
      </c>
      <c r="R2893">
        <v>-2.9129680000000002E-2</v>
      </c>
      <c r="S2893">
        <v>3.093674</v>
      </c>
      <c r="T2893">
        <v>-2.5673990000000001E-2</v>
      </c>
      <c r="U2893">
        <v>7.0526119999999998E-2</v>
      </c>
      <c r="V2893">
        <v>4.095261E-2</v>
      </c>
      <c r="W2893">
        <v>0.24519150000000001</v>
      </c>
      <c r="X2893">
        <v>0.96860930000000001</v>
      </c>
      <c r="Y2893">
        <v>-1.059119E-2</v>
      </c>
      <c r="Z2893">
        <v>1.742925E-4</v>
      </c>
      <c r="AA2893">
        <v>0.9999439</v>
      </c>
      <c r="AB2893">
        <v>35</v>
      </c>
      <c r="AC2893">
        <v>140.71314999999899</v>
      </c>
      <c r="AD2893">
        <v>-1.1712499999999999</v>
      </c>
      <c r="AE2893">
        <v>3.21219999999999</v>
      </c>
      <c r="AF2893">
        <v>-1.49509367946145</v>
      </c>
      <c r="AG2893">
        <v>-1.1712499999999999</v>
      </c>
      <c r="AH2893">
        <v>140.73212191424901</v>
      </c>
      <c r="AI2893">
        <v>90.476809026342394</v>
      </c>
      <c r="AJ2893">
        <v>90.608669393746695</v>
      </c>
      <c r="AK2893">
        <v>140.74493692548899</v>
      </c>
      <c r="AL2893">
        <v>75.806848677326599</v>
      </c>
      <c r="AM2893">
        <v>87.578987651180299</v>
      </c>
      <c r="AN2893">
        <v>0.99999998199227602</v>
      </c>
    </row>
    <row r="2894" spans="1:40" x14ac:dyDescent="0.25">
      <c r="A2894" t="str">
        <f>"20190303170823327"</f>
        <v>20190303170823327</v>
      </c>
      <c r="B2894" t="str">
        <f>"1551604103315451"</f>
        <v>1551604103315451</v>
      </c>
      <c r="C2894" t="s">
        <v>40</v>
      </c>
      <c r="D2894">
        <v>4.5926099999999996</v>
      </c>
      <c r="E2894">
        <v>0.48498140000000001</v>
      </c>
      <c r="F2894" t="s">
        <v>57</v>
      </c>
      <c r="G2894">
        <v>-183.52690000000001</v>
      </c>
      <c r="H2894" s="1">
        <v>2.7324470000000001E-6</v>
      </c>
      <c r="I2894">
        <v>215.74789999999999</v>
      </c>
      <c r="J2894">
        <v>-239.70660000000001</v>
      </c>
      <c r="K2894">
        <v>1.1212679999999999</v>
      </c>
      <c r="L2894">
        <v>214.36539999999999</v>
      </c>
      <c r="M2894">
        <v>0.99983540000000004</v>
      </c>
      <c r="N2894">
        <v>-1.335543E-2</v>
      </c>
      <c r="O2894">
        <v>1.228841E-2</v>
      </c>
      <c r="P2894">
        <v>0.97225919999999999</v>
      </c>
      <c r="Q2894">
        <v>0.23207230000000001</v>
      </c>
      <c r="R2894">
        <v>-2.923837E-2</v>
      </c>
      <c r="S2894">
        <v>3.1027680000000002</v>
      </c>
      <c r="T2894">
        <v>-6.1500909999999999E-2</v>
      </c>
      <c r="U2894">
        <v>7.6095579999999996E-2</v>
      </c>
      <c r="V2894">
        <v>4.1147830000000003E-2</v>
      </c>
      <c r="W2894">
        <v>0.24503710000000001</v>
      </c>
      <c r="X2894">
        <v>0.9686401</v>
      </c>
      <c r="Y2894">
        <v>-1.2226269999999999E-2</v>
      </c>
      <c r="Z2894">
        <v>1.2341859999999999E-4</v>
      </c>
      <c r="AA2894">
        <v>0.99992530000000002</v>
      </c>
      <c r="AB2894">
        <v>35</v>
      </c>
      <c r="AC2894">
        <v>56.179699999999997</v>
      </c>
      <c r="AD2894">
        <v>-1.1212652675529999</v>
      </c>
      <c r="AE2894">
        <v>1.3824999999999901</v>
      </c>
      <c r="AF2894">
        <v>-0.69169953245628402</v>
      </c>
      <c r="AG2894">
        <v>-1.1212652675529999</v>
      </c>
      <c r="AH2894">
        <v>56.170086160038601</v>
      </c>
      <c r="AI2894">
        <v>91.143497760067802</v>
      </c>
      <c r="AJ2894">
        <v>90.705526081642205</v>
      </c>
      <c r="AK2894">
        <v>56.185534288369901</v>
      </c>
      <c r="AL2894">
        <v>75.815973532489593</v>
      </c>
      <c r="AM2894">
        <v>87.567537835258307</v>
      </c>
      <c r="AN2894">
        <v>0.99999998380906396</v>
      </c>
    </row>
    <row r="2895" spans="1:40" x14ac:dyDescent="0.25">
      <c r="A2895" t="str">
        <f>"20190303170823347"</f>
        <v>20190303170823347</v>
      </c>
      <c r="B2895" t="str">
        <f>"1551604103335947"</f>
        <v>1551604103335947</v>
      </c>
      <c r="C2895" t="s">
        <v>40</v>
      </c>
      <c r="D2895">
        <v>4.5988509999999998</v>
      </c>
      <c r="E2895">
        <v>0.48455490000000001</v>
      </c>
      <c r="F2895" t="s">
        <v>57</v>
      </c>
      <c r="G2895">
        <v>-179.95769999999999</v>
      </c>
      <c r="H2895">
        <v>4.7377379999999997E-2</v>
      </c>
      <c r="I2895">
        <v>215.72710000000001</v>
      </c>
      <c r="J2895">
        <v>-239.3785</v>
      </c>
      <c r="K2895">
        <v>1.121291</v>
      </c>
      <c r="L2895">
        <v>214.36949999999999</v>
      </c>
      <c r="M2895">
        <v>0.99983290000000002</v>
      </c>
      <c r="N2895">
        <v>-1.346955E-2</v>
      </c>
      <c r="O2895">
        <v>1.2364180000000001E-2</v>
      </c>
      <c r="P2895">
        <v>0.97238619999999998</v>
      </c>
      <c r="Q2895">
        <v>0.2315062</v>
      </c>
      <c r="R2895">
        <v>-2.9495380000000002E-2</v>
      </c>
      <c r="S2895">
        <v>3.101013</v>
      </c>
      <c r="T2895">
        <v>-5.573583E-2</v>
      </c>
      <c r="U2895">
        <v>7.0678710000000006E-2</v>
      </c>
      <c r="V2895">
        <v>4.1480110000000001E-2</v>
      </c>
      <c r="W2895">
        <v>0.2445831</v>
      </c>
      <c r="X2895">
        <v>0.96874070000000001</v>
      </c>
      <c r="Y2895">
        <v>-1.041956E-2</v>
      </c>
      <c r="Z2895">
        <v>1.081773E-4</v>
      </c>
      <c r="AA2895">
        <v>0.99994570000000005</v>
      </c>
      <c r="AB2895">
        <v>35</v>
      </c>
      <c r="AC2895">
        <v>59.4208</v>
      </c>
      <c r="AD2895">
        <v>-1.0739136199999999</v>
      </c>
      <c r="AE2895">
        <v>1.3576000000000099</v>
      </c>
      <c r="AF2895">
        <v>-0.62253689599783002</v>
      </c>
      <c r="AG2895">
        <v>-1.0739136199999999</v>
      </c>
      <c r="AH2895">
        <v>59.4136478119133</v>
      </c>
      <c r="AI2895">
        <v>91.035463135130001</v>
      </c>
      <c r="AJ2895">
        <v>90.600323878260895</v>
      </c>
      <c r="AK2895">
        <v>59.426613473831502</v>
      </c>
      <c r="AL2895">
        <v>75.842802680284393</v>
      </c>
      <c r="AM2895">
        <v>87.548173245514306</v>
      </c>
      <c r="AN2895">
        <v>1.00000001808385</v>
      </c>
    </row>
    <row r="2896" spans="1:40" x14ac:dyDescent="0.25">
      <c r="A2896" t="str">
        <f>"20190303170823365"</f>
        <v>20190303170823365</v>
      </c>
      <c r="B2896" t="str">
        <f>"1551604103355467"</f>
        <v>1551604103355467</v>
      </c>
      <c r="C2896" t="s">
        <v>40</v>
      </c>
      <c r="D2896">
        <v>4.594805</v>
      </c>
      <c r="E2896">
        <v>0.48462850000000002</v>
      </c>
      <c r="F2896" t="s">
        <v>57</v>
      </c>
      <c r="G2896">
        <v>-183.01769999999999</v>
      </c>
      <c r="H2896" s="1">
        <v>2.646502E-6</v>
      </c>
      <c r="I2896">
        <v>215.6977</v>
      </c>
      <c r="J2896">
        <v>-239.10749999999999</v>
      </c>
      <c r="K2896">
        <v>1.1213070000000001</v>
      </c>
      <c r="L2896">
        <v>214.37289999999999</v>
      </c>
      <c r="M2896">
        <v>0.99983080000000002</v>
      </c>
      <c r="N2896">
        <v>-1.356777E-2</v>
      </c>
      <c r="O2896">
        <v>1.242706E-2</v>
      </c>
      <c r="P2896">
        <v>0.97231330000000005</v>
      </c>
      <c r="Q2896">
        <v>0.2317707</v>
      </c>
      <c r="R2896">
        <v>-2.9821650000000002E-2</v>
      </c>
      <c r="S2896">
        <v>3.102112</v>
      </c>
      <c r="T2896">
        <v>-6.171596E-2</v>
      </c>
      <c r="U2896">
        <v>7.3104859999999994E-2</v>
      </c>
      <c r="V2896">
        <v>4.1866210000000001E-2</v>
      </c>
      <c r="W2896">
        <v>0.24494189999999999</v>
      </c>
      <c r="X2896">
        <v>0.96863339999999998</v>
      </c>
      <c r="Y2896">
        <v>-1.112959E-2</v>
      </c>
      <c r="Z2896">
        <v>1.076471E-4</v>
      </c>
      <c r="AA2896">
        <v>0.99993810000000005</v>
      </c>
      <c r="AB2896">
        <v>35</v>
      </c>
      <c r="AC2896">
        <v>56.089799999999997</v>
      </c>
      <c r="AD2896">
        <v>-1.1213043534980001</v>
      </c>
      <c r="AE2896">
        <v>1.32480000000001</v>
      </c>
      <c r="AF2896">
        <v>-0.62735167597637798</v>
      </c>
      <c r="AG2896">
        <v>-1.1213043534980001</v>
      </c>
      <c r="AH2896">
        <v>56.079533235145099</v>
      </c>
      <c r="AI2896">
        <v>91.145398785315606</v>
      </c>
      <c r="AJ2896">
        <v>90.640930869327804</v>
      </c>
      <c r="AK2896">
        <v>56.094250520443403</v>
      </c>
      <c r="AL2896">
        <v>75.821599610833005</v>
      </c>
      <c r="AM2896">
        <v>87.525105912433204</v>
      </c>
      <c r="AN2896">
        <v>0.99999998875546603</v>
      </c>
    </row>
    <row r="2897" spans="1:40" x14ac:dyDescent="0.25">
      <c r="A2897" t="str">
        <f>"20190303170823388"</f>
        <v>20190303170823388</v>
      </c>
      <c r="B2897" t="str">
        <f>"1551604103375571"</f>
        <v>1551604103375571</v>
      </c>
      <c r="C2897" t="s">
        <v>40</v>
      </c>
      <c r="D2897">
        <v>4.5943350000000001</v>
      </c>
      <c r="E2897">
        <v>0.48465439999999999</v>
      </c>
      <c r="F2897" t="s">
        <v>57</v>
      </c>
      <c r="G2897">
        <v>-180.18</v>
      </c>
      <c r="H2897" s="1">
        <v>2.1397520000000002E-6</v>
      </c>
      <c r="I2897">
        <v>215.73650000000001</v>
      </c>
      <c r="J2897">
        <v>-238.74700000000001</v>
      </c>
      <c r="K2897">
        <v>1.121326</v>
      </c>
      <c r="L2897">
        <v>214.37739999999999</v>
      </c>
      <c r="M2897">
        <v>0.99982789999999999</v>
      </c>
      <c r="N2897">
        <v>-1.369475E-2</v>
      </c>
      <c r="O2897">
        <v>1.251059E-2</v>
      </c>
      <c r="P2897">
        <v>0.9723212</v>
      </c>
      <c r="Q2897">
        <v>0.23159569999999999</v>
      </c>
      <c r="R2897">
        <v>-3.0902470000000001E-2</v>
      </c>
      <c r="S2897">
        <v>3.101715</v>
      </c>
      <c r="T2897">
        <v>-5.9021230000000001E-2</v>
      </c>
      <c r="U2897">
        <v>7.1777339999999995E-2</v>
      </c>
      <c r="V2897">
        <v>4.3028179999999999E-2</v>
      </c>
      <c r="W2897">
        <v>0.2448901</v>
      </c>
      <c r="X2897">
        <v>0.9685956</v>
      </c>
      <c r="Y2897">
        <v>-1.062163E-2</v>
      </c>
      <c r="Z2897">
        <v>1.07117E-4</v>
      </c>
      <c r="AA2897">
        <v>0.99994360000000004</v>
      </c>
      <c r="AB2897">
        <v>35</v>
      </c>
      <c r="AC2897">
        <v>58.567</v>
      </c>
      <c r="AD2897">
        <v>-1.121323860248</v>
      </c>
      <c r="AE2897">
        <v>1.35910000000001</v>
      </c>
      <c r="AF2897">
        <v>-0.62598778922492904</v>
      </c>
      <c r="AG2897">
        <v>-1.121323860248</v>
      </c>
      <c r="AH2897">
        <v>58.557966392426103</v>
      </c>
      <c r="AI2897">
        <v>91.096957566102404</v>
      </c>
      <c r="AJ2897">
        <v>90.612471614240306</v>
      </c>
      <c r="AK2897">
        <v>58.572046711108896</v>
      </c>
      <c r="AL2897">
        <v>75.824661081422704</v>
      </c>
      <c r="AM2897">
        <v>87.456406663751395</v>
      </c>
      <c r="AN2897">
        <v>1.0000000108457401</v>
      </c>
    </row>
    <row r="2898" spans="1:40" x14ac:dyDescent="0.25">
      <c r="A2898" t="str">
        <f>"20190303170823413"</f>
        <v>20190303170823413</v>
      </c>
      <c r="B2898" t="str">
        <f>"1551604103396067"</f>
        <v>1551604103396067</v>
      </c>
      <c r="C2898" t="s">
        <v>40</v>
      </c>
      <c r="D2898">
        <v>4.5962719999999999</v>
      </c>
      <c r="E2898">
        <v>0.48471019999999998</v>
      </c>
      <c r="F2898" t="s">
        <v>57</v>
      </c>
      <c r="G2898">
        <v>-179.95769999999999</v>
      </c>
      <c r="H2898">
        <v>2.7286399999999999E-2</v>
      </c>
      <c r="I2898">
        <v>215.67269999999999</v>
      </c>
      <c r="J2898">
        <v>-238.36179999999999</v>
      </c>
      <c r="K2898">
        <v>1.1213420000000001</v>
      </c>
      <c r="L2898">
        <v>214.38239999999999</v>
      </c>
      <c r="M2898">
        <v>0.99982519999999997</v>
      </c>
      <c r="N2898">
        <v>-1.381895E-2</v>
      </c>
      <c r="O2898">
        <v>1.260004E-2</v>
      </c>
      <c r="P2898">
        <v>0.97254339999999995</v>
      </c>
      <c r="Q2898">
        <v>0.23059360000000001</v>
      </c>
      <c r="R2898">
        <v>-3.1403340000000002E-2</v>
      </c>
      <c r="S2898">
        <v>3.101318</v>
      </c>
      <c r="T2898">
        <v>-5.771399E-2</v>
      </c>
      <c r="U2898">
        <v>6.8328860000000005E-2</v>
      </c>
      <c r="V2898">
        <v>4.3618780000000003E-2</v>
      </c>
      <c r="W2898">
        <v>0.2440116</v>
      </c>
      <c r="X2898">
        <v>0.96879090000000001</v>
      </c>
      <c r="Y2898">
        <v>-9.4242189999999993E-3</v>
      </c>
      <c r="Z2898" s="1">
        <v>9.2502180000000002E-5</v>
      </c>
      <c r="AA2898">
        <v>0.99995560000000006</v>
      </c>
      <c r="AB2898">
        <v>35</v>
      </c>
      <c r="AC2898">
        <v>58.4041</v>
      </c>
      <c r="AD2898">
        <v>-1.0940555999999999</v>
      </c>
      <c r="AE2898">
        <v>1.2903</v>
      </c>
      <c r="AF2898">
        <v>-0.55403901675564105</v>
      </c>
      <c r="AG2898">
        <v>-1.0940555999999999</v>
      </c>
      <c r="AH2898">
        <v>58.395240861010201</v>
      </c>
      <c r="AI2898">
        <v>91.073282933277397</v>
      </c>
      <c r="AJ2898">
        <v>90.543591299967602</v>
      </c>
      <c r="AK2898">
        <v>58.408116491660401</v>
      </c>
      <c r="AL2898">
        <v>75.876570587657199</v>
      </c>
      <c r="AM2898">
        <v>87.422059480209796</v>
      </c>
      <c r="AN2898">
        <v>1.0000000334130199</v>
      </c>
    </row>
    <row r="2899" spans="1:40" x14ac:dyDescent="0.25">
      <c r="A2899" t="str">
        <f>"20190303170823453"</f>
        <v>20190303170823453</v>
      </c>
      <c r="B2899" t="str">
        <f>"1551604103445842"</f>
        <v>1551604103445842</v>
      </c>
      <c r="C2899" t="s">
        <v>40</v>
      </c>
      <c r="D2899">
        <v>4.6398460000000004</v>
      </c>
      <c r="E2899">
        <v>0.4842709</v>
      </c>
      <c r="F2899" t="s">
        <v>57</v>
      </c>
      <c r="G2899">
        <v>-180.80439999999999</v>
      </c>
      <c r="H2899" s="1">
        <v>2.2614850000000001E-6</v>
      </c>
      <c r="I2899">
        <v>215.61089999999999</v>
      </c>
      <c r="J2899">
        <v>-237.7216</v>
      </c>
      <c r="K2899">
        <v>1.121346</v>
      </c>
      <c r="L2899">
        <v>214.39060000000001</v>
      </c>
      <c r="M2899">
        <v>0.99982090000000001</v>
      </c>
      <c r="N2899">
        <v>-1.399742E-2</v>
      </c>
      <c r="O2899">
        <v>1.274775E-2</v>
      </c>
      <c r="P2899">
        <v>0.97272860000000005</v>
      </c>
      <c r="Q2899">
        <v>0.2298058</v>
      </c>
      <c r="R2899">
        <v>-3.1439439999999999E-2</v>
      </c>
      <c r="S2899">
        <v>3.101181</v>
      </c>
      <c r="T2899">
        <v>-6.0417529999999997E-2</v>
      </c>
      <c r="U2899">
        <v>6.6192630000000002E-2</v>
      </c>
      <c r="V2899">
        <v>4.3800520000000003E-2</v>
      </c>
      <c r="W2899">
        <v>0.24339930000000001</v>
      </c>
      <c r="X2899">
        <v>0.96893669999999998</v>
      </c>
      <c r="Y2899">
        <v>-8.5890319999999999E-3</v>
      </c>
      <c r="Z2899" s="1">
        <v>7.3921680000000006E-5</v>
      </c>
      <c r="AA2899">
        <v>0.99996309999999999</v>
      </c>
      <c r="AB2899">
        <v>35</v>
      </c>
      <c r="AC2899">
        <v>56.917200000000001</v>
      </c>
      <c r="AD2899">
        <v>-1.121343738515</v>
      </c>
      <c r="AE2899">
        <v>1.22029999999998</v>
      </c>
      <c r="AF2899">
        <v>-0.49437179596495801</v>
      </c>
      <c r="AG2899">
        <v>-1.121343738515</v>
      </c>
      <c r="AH2899">
        <v>56.906054367092999</v>
      </c>
      <c r="AI2899">
        <v>91.128834657320994</v>
      </c>
      <c r="AJ2899">
        <v>90.497745014426499</v>
      </c>
      <c r="AK2899">
        <v>56.919248404060099</v>
      </c>
      <c r="AL2899">
        <v>75.912743189307093</v>
      </c>
      <c r="AM2899">
        <v>87.411721930913302</v>
      </c>
      <c r="AN2899">
        <v>1.00000001669982</v>
      </c>
    </row>
    <row r="2900" spans="1:40" x14ac:dyDescent="0.25">
      <c r="A2900" t="str">
        <f>"20190303170823477"</f>
        <v>20190303170823477</v>
      </c>
      <c r="B2900" t="str">
        <f>"1551604103466339"</f>
        <v>1551604103466339</v>
      </c>
      <c r="C2900" t="s">
        <v>40</v>
      </c>
      <c r="D2900">
        <v>4.6264989999999999</v>
      </c>
      <c r="E2900">
        <v>0.4842224</v>
      </c>
      <c r="F2900" t="s">
        <v>57</v>
      </c>
      <c r="G2900">
        <v>-183.77719999999999</v>
      </c>
      <c r="H2900" s="1">
        <v>2.7905100000000001E-6</v>
      </c>
      <c r="I2900">
        <v>215.59139999999999</v>
      </c>
      <c r="J2900">
        <v>-237.3545</v>
      </c>
      <c r="K2900">
        <v>1.1213500000000001</v>
      </c>
      <c r="L2900">
        <v>214.39529999999999</v>
      </c>
      <c r="M2900">
        <v>0.9998186</v>
      </c>
      <c r="N2900">
        <v>-1.4083999999999999E-2</v>
      </c>
      <c r="O2900">
        <v>1.283255E-2</v>
      </c>
      <c r="P2900">
        <v>0.97279979999999999</v>
      </c>
      <c r="Q2900">
        <v>0.22948730000000001</v>
      </c>
      <c r="R2900">
        <v>-3.1563229999999998E-2</v>
      </c>
      <c r="S2900">
        <v>3.1015779999999999</v>
      </c>
      <c r="T2900">
        <v>-6.4472559999999998E-2</v>
      </c>
      <c r="U2900">
        <v>6.904602E-2</v>
      </c>
      <c r="V2900">
        <v>4.4007669999999999E-2</v>
      </c>
      <c r="W2900">
        <v>0.24316570000000001</v>
      </c>
      <c r="X2900">
        <v>0.96898600000000001</v>
      </c>
      <c r="Y2900">
        <v>-9.4204649999999994E-3</v>
      </c>
      <c r="Z2900" s="1">
        <v>7.8301979999999995E-5</v>
      </c>
      <c r="AA2900">
        <v>0.99995560000000006</v>
      </c>
      <c r="AB2900">
        <v>35</v>
      </c>
      <c r="AC2900">
        <v>53.577300000000001</v>
      </c>
      <c r="AD2900">
        <v>-1.1213472094900001</v>
      </c>
      <c r="AE2900">
        <v>1.1960999999999999</v>
      </c>
      <c r="AF2900">
        <v>-0.50817751037263303</v>
      </c>
      <c r="AG2900">
        <v>-1.1213472094900001</v>
      </c>
      <c r="AH2900">
        <v>53.564785985021601</v>
      </c>
      <c r="AI2900">
        <v>91.199224233279594</v>
      </c>
      <c r="AJ2900">
        <v>90.543557722619198</v>
      </c>
      <c r="AK2900">
        <v>53.578932068187399</v>
      </c>
      <c r="AL2900">
        <v>75.926542548384703</v>
      </c>
      <c r="AM2900">
        <v>87.399629830412593</v>
      </c>
      <c r="AN2900">
        <v>1.0000000504356501</v>
      </c>
    </row>
    <row r="2901" spans="1:40" x14ac:dyDescent="0.25">
      <c r="A2901" t="str">
        <f>"20190303170823502"</f>
        <v>20190303170823502</v>
      </c>
      <c r="B2901" t="str">
        <f>"1551604103495619"</f>
        <v>1551604103495619</v>
      </c>
      <c r="C2901" t="s">
        <v>40</v>
      </c>
      <c r="D2901">
        <v>4.723738</v>
      </c>
      <c r="E2901">
        <v>0.51346979999999998</v>
      </c>
      <c r="F2901" t="s">
        <v>57</v>
      </c>
      <c r="G2901">
        <v>-184.07650000000001</v>
      </c>
      <c r="H2901" s="1">
        <v>2.8438210000000001E-6</v>
      </c>
      <c r="I2901">
        <v>215.589</v>
      </c>
      <c r="J2901">
        <v>-236.97669999999999</v>
      </c>
      <c r="K2901">
        <v>1.121354</v>
      </c>
      <c r="L2901">
        <v>214.40029999999999</v>
      </c>
      <c r="M2901">
        <v>0.99981629999999999</v>
      </c>
      <c r="N2901">
        <v>-1.41622E-2</v>
      </c>
      <c r="O2901">
        <v>1.292009E-2</v>
      </c>
      <c r="P2901">
        <v>0.97303110000000004</v>
      </c>
      <c r="Q2901">
        <v>0.2285006</v>
      </c>
      <c r="R2901">
        <v>-3.159153E-2</v>
      </c>
      <c r="S2901">
        <v>3.1015320000000002</v>
      </c>
      <c r="T2901">
        <v>-6.5278290000000003E-2</v>
      </c>
      <c r="U2901">
        <v>6.9488530000000007E-2</v>
      </c>
      <c r="V2901">
        <v>4.4124360000000001E-2</v>
      </c>
      <c r="W2901">
        <v>0.24225769999999999</v>
      </c>
      <c r="X2901">
        <v>0.96920810000000002</v>
      </c>
      <c r="Y2901">
        <v>-9.4757469999999996E-3</v>
      </c>
      <c r="Z2901" s="1">
        <v>7.7933980000000002E-5</v>
      </c>
      <c r="AA2901">
        <v>0.99995509999999999</v>
      </c>
      <c r="AB2901">
        <v>35</v>
      </c>
      <c r="AC2901">
        <v>52.900199999999899</v>
      </c>
      <c r="AD2901">
        <v>-1.1213511561789999</v>
      </c>
      <c r="AE2901">
        <v>1.1887000000000301</v>
      </c>
      <c r="AF2901">
        <v>-0.50483018695348403</v>
      </c>
      <c r="AG2901">
        <v>-1.1213511561789999</v>
      </c>
      <c r="AH2901">
        <v>52.887391224426999</v>
      </c>
      <c r="AI2901">
        <v>91.2145832220437</v>
      </c>
      <c r="AJ2901">
        <v>90.546893313874705</v>
      </c>
      <c r="AK2901">
        <v>52.901686480288298</v>
      </c>
      <c r="AL2901">
        <v>75.980170626095898</v>
      </c>
      <c r="AM2901">
        <v>87.393340879060801</v>
      </c>
      <c r="AN2901">
        <v>1.00000004673015</v>
      </c>
    </row>
    <row r="2902" spans="1:40" x14ac:dyDescent="0.25">
      <c r="A2902" t="str">
        <f>"20190303170823527"</f>
        <v>20190303170823527</v>
      </c>
      <c r="B2902" t="str">
        <f>"1551604103516114"</f>
        <v>1551604103516114</v>
      </c>
      <c r="C2902" t="s">
        <v>40</v>
      </c>
      <c r="D2902">
        <v>4.6817900000000003</v>
      </c>
      <c r="E2902">
        <v>0.52500829999999998</v>
      </c>
      <c r="F2902" t="s">
        <v>57</v>
      </c>
      <c r="G2902">
        <v>-180.32919999999999</v>
      </c>
      <c r="H2902" s="1">
        <v>2.5467800000000002E-6</v>
      </c>
      <c r="I2902">
        <v>211.38329999999999</v>
      </c>
      <c r="J2902">
        <v>-236.57550000000001</v>
      </c>
      <c r="K2902">
        <v>1.1213489999999999</v>
      </c>
      <c r="L2902">
        <v>214.40559999999999</v>
      </c>
      <c r="M2902">
        <v>0.99981419999999999</v>
      </c>
      <c r="N2902">
        <v>-1.4234180000000001E-2</v>
      </c>
      <c r="O2902">
        <v>1.3012849999999999E-2</v>
      </c>
      <c r="P2902">
        <v>0.97330729999999999</v>
      </c>
      <c r="Q2902">
        <v>0.2273984</v>
      </c>
      <c r="R2902">
        <v>-3.1032830000000001E-2</v>
      </c>
      <c r="S2902">
        <v>3.0921940000000001</v>
      </c>
      <c r="T2902">
        <v>-6.1210750000000001E-2</v>
      </c>
      <c r="U2902">
        <v>-0.1646881</v>
      </c>
      <c r="V2902">
        <v>4.3659910000000003E-2</v>
      </c>
      <c r="W2902">
        <v>0.24122950000000001</v>
      </c>
      <c r="X2902">
        <v>0.9694855</v>
      </c>
      <c r="Y2902">
        <v>6.6152749999999996E-2</v>
      </c>
      <c r="Z2902">
        <v>-1.1977929999999999E-3</v>
      </c>
      <c r="AA2902">
        <v>0.99780880000000005</v>
      </c>
      <c r="AB2902">
        <v>35</v>
      </c>
      <c r="AC2902">
        <v>56.246299999999998</v>
      </c>
      <c r="AD2902">
        <v>-1.1213464532199999</v>
      </c>
      <c r="AE2902">
        <v>-3.0223</v>
      </c>
      <c r="AF2902">
        <v>3.7525555422127401</v>
      </c>
      <c r="AG2902">
        <v>-1.1213464532199999</v>
      </c>
      <c r="AH2902">
        <v>56.179939002763597</v>
      </c>
      <c r="AI2902">
        <v>91.140925017334993</v>
      </c>
      <c r="AJ2902">
        <v>86.178588035192305</v>
      </c>
      <c r="AK2902">
        <v>56.316291047260698</v>
      </c>
      <c r="AL2902">
        <v>76.0408821545671</v>
      </c>
      <c r="AM2902">
        <v>87.421478155497397</v>
      </c>
      <c r="AN2902">
        <v>0.99999999706085396</v>
      </c>
    </row>
    <row r="2903" spans="1:40" x14ac:dyDescent="0.25">
      <c r="A2903" t="str">
        <f>"20190303170823550"</f>
        <v>20190303170823550</v>
      </c>
      <c r="B2903" t="str">
        <f>"1551604103535635"</f>
        <v>1551604103535635</v>
      </c>
      <c r="C2903" t="s">
        <v>40</v>
      </c>
      <c r="D2903">
        <v>4.6059799999999997</v>
      </c>
      <c r="E2903">
        <v>0.52950269999999899</v>
      </c>
      <c r="F2903" t="s">
        <v>57</v>
      </c>
      <c r="G2903">
        <v>-200.1148</v>
      </c>
      <c r="H2903" s="1">
        <v>2.5480999999999998E-6</v>
      </c>
      <c r="I2903">
        <v>211.41130000000001</v>
      </c>
      <c r="J2903">
        <v>-236.23269999999999</v>
      </c>
      <c r="K2903">
        <v>1.1213550000000001</v>
      </c>
      <c r="L2903">
        <v>214.4101</v>
      </c>
      <c r="M2903">
        <v>0.99981220000000004</v>
      </c>
      <c r="N2903">
        <v>-1.4286989999999999E-2</v>
      </c>
      <c r="O2903">
        <v>1.309222E-2</v>
      </c>
      <c r="P2903">
        <v>0.97341529999999998</v>
      </c>
      <c r="Q2903">
        <v>0.22706009999999999</v>
      </c>
      <c r="R2903">
        <v>-3.0113150000000002E-2</v>
      </c>
      <c r="S2903">
        <v>3.0964200000000002</v>
      </c>
      <c r="T2903">
        <v>-9.5230339999999997E-2</v>
      </c>
      <c r="U2903">
        <v>-0.25428770000000001</v>
      </c>
      <c r="V2903">
        <v>4.2818790000000002E-2</v>
      </c>
      <c r="W2903">
        <v>0.24094399999999999</v>
      </c>
      <c r="X2903">
        <v>0.96959399999999996</v>
      </c>
      <c r="Y2903">
        <v>9.4823069999999995E-2</v>
      </c>
      <c r="Z2903">
        <v>-2.3493479999999998E-3</v>
      </c>
      <c r="AA2903">
        <v>0.99549140000000003</v>
      </c>
      <c r="AB2903">
        <v>35</v>
      </c>
      <c r="AC2903">
        <v>36.117899999999899</v>
      </c>
      <c r="AD2903">
        <v>-1.12135245189999</v>
      </c>
      <c r="AE2903">
        <v>-2.9987999999999801</v>
      </c>
      <c r="AF2903">
        <v>3.46813459614817</v>
      </c>
      <c r="AG2903">
        <v>-1.12135245189999</v>
      </c>
      <c r="AH2903">
        <v>36.041036171378899</v>
      </c>
      <c r="AI2903">
        <v>91.773892262631904</v>
      </c>
      <c r="AJ2903">
        <v>84.503500711632697</v>
      </c>
      <c r="AK2903">
        <v>36.224876496753197</v>
      </c>
      <c r="AL2903">
        <v>76.057737198678694</v>
      </c>
      <c r="AM2903">
        <v>87.471371577574203</v>
      </c>
      <c r="AN2903">
        <v>0.99999999237453197</v>
      </c>
    </row>
    <row r="2904" spans="1:40" x14ac:dyDescent="0.25">
      <c r="A2904" t="str">
        <f>"20190303170823566"</f>
        <v>20190303170823566</v>
      </c>
      <c r="B2904" t="str">
        <f>"1551604103556131"</f>
        <v>1551604103556131</v>
      </c>
      <c r="C2904" t="s">
        <v>40</v>
      </c>
      <c r="D2904">
        <v>4.6224829999999999</v>
      </c>
      <c r="E2904">
        <v>0.53155200000000002</v>
      </c>
      <c r="F2904" t="s">
        <v>57</v>
      </c>
      <c r="G2904">
        <v>-204.11859999999999</v>
      </c>
      <c r="H2904" s="1">
        <v>4.3214109999999999E-6</v>
      </c>
      <c r="I2904">
        <v>211.43629999999999</v>
      </c>
      <c r="J2904">
        <v>-235.95750000000001</v>
      </c>
      <c r="K2904">
        <v>1.1213550000000001</v>
      </c>
      <c r="L2904">
        <v>214.41380000000001</v>
      </c>
      <c r="M2904">
        <v>0.9998108</v>
      </c>
      <c r="N2904">
        <v>-1.4323799999999999E-2</v>
      </c>
      <c r="O2904">
        <v>1.31562E-2</v>
      </c>
      <c r="P2904">
        <v>0.97341040000000001</v>
      </c>
      <c r="Q2904">
        <v>0.22712450000000001</v>
      </c>
      <c r="R2904">
        <v>-2.9777789999999998E-2</v>
      </c>
      <c r="S2904">
        <v>3.0982970000000001</v>
      </c>
      <c r="T2904">
        <v>-0.1081855</v>
      </c>
      <c r="U2904">
        <v>-0.28691100000000003</v>
      </c>
      <c r="V2904">
        <v>4.254604E-2</v>
      </c>
      <c r="W2904">
        <v>0.24104400000000001</v>
      </c>
      <c r="X2904">
        <v>0.96958120000000003</v>
      </c>
      <c r="Y2904">
        <v>0.1052092</v>
      </c>
      <c r="Z2904">
        <v>-2.858153E-3</v>
      </c>
      <c r="AA2904">
        <v>0.99444600000000005</v>
      </c>
      <c r="AB2904">
        <v>35</v>
      </c>
      <c r="AC2904">
        <v>31.838899999999999</v>
      </c>
      <c r="AD2904">
        <v>-1.1213506785889999</v>
      </c>
      <c r="AE2904">
        <v>-2.97750000000002</v>
      </c>
      <c r="AF2904">
        <v>3.3919931915890098</v>
      </c>
      <c r="AG2904">
        <v>-1.1213506785889999</v>
      </c>
      <c r="AH2904">
        <v>31.757915831984299</v>
      </c>
      <c r="AI2904">
        <v>92.010807806882198</v>
      </c>
      <c r="AJ2904">
        <v>83.903476467050396</v>
      </c>
      <c r="AK2904">
        <v>31.958226846112002</v>
      </c>
      <c r="AL2904">
        <v>76.051834291781304</v>
      </c>
      <c r="AM2904">
        <v>87.487424770066596</v>
      </c>
      <c r="AN2904">
        <v>1.0000000394245601</v>
      </c>
    </row>
    <row r="2905" spans="1:40" x14ac:dyDescent="0.25">
      <c r="A2905" t="str">
        <f>"20190303170823588"</f>
        <v>20190303170823588</v>
      </c>
      <c r="B2905" t="str">
        <f>"1551604103575651"</f>
        <v>1551604103575651</v>
      </c>
      <c r="C2905" t="s">
        <v>40</v>
      </c>
      <c r="D2905">
        <v>4.6074299999999999</v>
      </c>
      <c r="E2905">
        <v>0.53283269999999905</v>
      </c>
      <c r="F2905" t="s">
        <v>57</v>
      </c>
      <c r="G2905">
        <v>-204.90989999999999</v>
      </c>
      <c r="H2905" s="1">
        <v>4.6764139999999998E-6</v>
      </c>
      <c r="I2905">
        <v>211.3895</v>
      </c>
      <c r="J2905">
        <v>-235.6259</v>
      </c>
      <c r="K2905">
        <v>1.1213519999999999</v>
      </c>
      <c r="L2905">
        <v>214.41820000000001</v>
      </c>
      <c r="M2905">
        <v>0.99980939999999996</v>
      </c>
      <c r="N2905">
        <v>-1.4363219999999999E-2</v>
      </c>
      <c r="O2905">
        <v>1.3232799999999999E-2</v>
      </c>
      <c r="P2905">
        <v>0.97353650000000003</v>
      </c>
      <c r="Q2905">
        <v>0.22664300000000001</v>
      </c>
      <c r="R2905">
        <v>-2.9333169999999999E-2</v>
      </c>
      <c r="S2905">
        <v>3.0988159999999998</v>
      </c>
      <c r="T2905">
        <v>-0.1119202</v>
      </c>
      <c r="U2905">
        <v>-0.30184939999999999</v>
      </c>
      <c r="V2905">
        <v>4.217746E-2</v>
      </c>
      <c r="W2905">
        <v>0.2406025</v>
      </c>
      <c r="X2905">
        <v>0.96970690000000004</v>
      </c>
      <c r="Y2905">
        <v>0.1100098</v>
      </c>
      <c r="Z2905">
        <v>-3.060746E-3</v>
      </c>
      <c r="AA2905">
        <v>0.99392579999999997</v>
      </c>
      <c r="AB2905">
        <v>35</v>
      </c>
      <c r="AC2905">
        <v>30.716000000000001</v>
      </c>
      <c r="AD2905">
        <v>-1.1213473235860001</v>
      </c>
      <c r="AE2905">
        <v>-3.0287000000000099</v>
      </c>
      <c r="AF2905">
        <v>3.4304074516387102</v>
      </c>
      <c r="AG2905">
        <v>-1.1213473235860001</v>
      </c>
      <c r="AH2905">
        <v>30.6327947649694</v>
      </c>
      <c r="AI2905">
        <v>92.083427854913296</v>
      </c>
      <c r="AJ2905">
        <v>83.610364689206506</v>
      </c>
      <c r="AK2905">
        <v>30.8446629130083</v>
      </c>
      <c r="AL2905">
        <v>76.0778966911667</v>
      </c>
      <c r="AM2905">
        <v>87.509486363584102</v>
      </c>
      <c r="AN2905">
        <v>0.99999998652295496</v>
      </c>
    </row>
    <row r="2906" spans="1:40" x14ac:dyDescent="0.25">
      <c r="A2906" t="str">
        <f>"20190303170823613"</f>
        <v>20190303170823613</v>
      </c>
      <c r="B2906" t="str">
        <f>"1551604103605907"</f>
        <v>1551604103605907</v>
      </c>
      <c r="C2906" t="s">
        <v>40</v>
      </c>
      <c r="D2906">
        <v>4.614814</v>
      </c>
      <c r="E2906">
        <v>0.53430089999999997</v>
      </c>
      <c r="F2906" t="s">
        <v>57</v>
      </c>
      <c r="G2906">
        <v>-205.82239999999999</v>
      </c>
      <c r="H2906" s="1">
        <v>5.077549E-6</v>
      </c>
      <c r="I2906">
        <v>211.43010000000001</v>
      </c>
      <c r="J2906">
        <v>-235.2337</v>
      </c>
      <c r="K2906">
        <v>1.1213500000000001</v>
      </c>
      <c r="L2906">
        <v>214.42359999999999</v>
      </c>
      <c r="M2906">
        <v>0.99980749999999996</v>
      </c>
      <c r="N2906">
        <v>-1.440253E-2</v>
      </c>
      <c r="O2906">
        <v>1.332412E-2</v>
      </c>
      <c r="P2906">
        <v>0.97379360000000004</v>
      </c>
      <c r="Q2906">
        <v>0.22562579999999999</v>
      </c>
      <c r="R2906">
        <v>-2.8623679999999999E-2</v>
      </c>
      <c r="S2906">
        <v>3.099335</v>
      </c>
      <c r="T2906">
        <v>-0.1166116</v>
      </c>
      <c r="U2906">
        <v>-0.3107452</v>
      </c>
      <c r="V2906">
        <v>4.156087E-2</v>
      </c>
      <c r="W2906">
        <v>0.23962720000000001</v>
      </c>
      <c r="X2906">
        <v>0.96997500000000003</v>
      </c>
      <c r="Y2906">
        <v>0.1128987</v>
      </c>
      <c r="Z2906">
        <v>-3.241917E-3</v>
      </c>
      <c r="AA2906">
        <v>0.99360119999999996</v>
      </c>
      <c r="AB2906">
        <v>35</v>
      </c>
      <c r="AC2906">
        <v>29.411300000000001</v>
      </c>
      <c r="AD2906">
        <v>-1.1213449224509999</v>
      </c>
      <c r="AE2906">
        <v>-2.9934999999999801</v>
      </c>
      <c r="AF2906">
        <v>3.3802912837005099</v>
      </c>
      <c r="AG2906">
        <v>-1.1213449224509999</v>
      </c>
      <c r="AH2906">
        <v>29.326606157043301</v>
      </c>
      <c r="AI2906">
        <v>92.175330975569807</v>
      </c>
      <c r="AJ2906">
        <v>83.424895923853001</v>
      </c>
      <c r="AK2906">
        <v>29.5420651324192</v>
      </c>
      <c r="AL2906">
        <v>76.135461553537993</v>
      </c>
      <c r="AM2906">
        <v>87.546527697521597</v>
      </c>
      <c r="AN2906">
        <v>1.0000000007599901</v>
      </c>
    </row>
    <row r="2907" spans="1:40" x14ac:dyDescent="0.25">
      <c r="A2907" t="str">
        <f>"20190303170823639"</f>
        <v>20190303170823639</v>
      </c>
      <c r="B2907" t="str">
        <f>"1551604103626402"</f>
        <v>1551604103626402</v>
      </c>
      <c r="C2907" t="s">
        <v>40</v>
      </c>
      <c r="D2907">
        <v>4.6232100000000003</v>
      </c>
      <c r="E2907">
        <v>0.53498210000000002</v>
      </c>
      <c r="F2907" t="s">
        <v>57</v>
      </c>
      <c r="G2907">
        <v>-206.8998</v>
      </c>
      <c r="H2907" s="1">
        <v>5.549829E-6</v>
      </c>
      <c r="I2907">
        <v>211.49299999999999</v>
      </c>
      <c r="J2907">
        <v>-234.8449</v>
      </c>
      <c r="K2907">
        <v>1.121351</v>
      </c>
      <c r="L2907">
        <v>214.4288</v>
      </c>
      <c r="M2907">
        <v>0.99980590000000003</v>
      </c>
      <c r="N2907">
        <v>-1.443531E-2</v>
      </c>
      <c r="O2907">
        <v>1.341465E-2</v>
      </c>
      <c r="P2907">
        <v>0.97390580000000004</v>
      </c>
      <c r="Q2907">
        <v>0.22521840000000001</v>
      </c>
      <c r="R2907">
        <v>-2.8007279999999999E-2</v>
      </c>
      <c r="S2907">
        <v>3.0997309999999998</v>
      </c>
      <c r="T2907">
        <v>-0.1226753</v>
      </c>
      <c r="U2907">
        <v>-0.32060240000000001</v>
      </c>
      <c r="V2907">
        <v>4.1034439999999998E-2</v>
      </c>
      <c r="W2907">
        <v>0.2392531</v>
      </c>
      <c r="X2907">
        <v>0.97008970000000005</v>
      </c>
      <c r="Y2907">
        <v>0.1160886</v>
      </c>
      <c r="Z2907">
        <v>-3.46707E-3</v>
      </c>
      <c r="AA2907">
        <v>0.99323280000000003</v>
      </c>
      <c r="AB2907">
        <v>35</v>
      </c>
      <c r="AC2907">
        <v>27.9451</v>
      </c>
      <c r="AD2907">
        <v>-1.1213454501710001</v>
      </c>
      <c r="AE2907">
        <v>-2.9358</v>
      </c>
      <c r="AF2907">
        <v>3.3051847854475098</v>
      </c>
      <c r="AG2907">
        <v>-1.1213454501710001</v>
      </c>
      <c r="AH2907">
        <v>27.858830786857599</v>
      </c>
      <c r="AI2907">
        <v>92.288931994757604</v>
      </c>
      <c r="AJ2907">
        <v>83.234028439988293</v>
      </c>
      <c r="AK2907">
        <v>28.0766115280199</v>
      </c>
      <c r="AL2907">
        <v>76.157537349666995</v>
      </c>
      <c r="AM2907">
        <v>87.577853380307204</v>
      </c>
      <c r="AN2907">
        <v>0.99999994858590502</v>
      </c>
    </row>
    <row r="2908" spans="1:40" x14ac:dyDescent="0.25">
      <c r="A2908" t="str">
        <f>"20190303170823658"</f>
        <v>20190303170823658</v>
      </c>
      <c r="B2908" t="str">
        <f>"1551604103645923"</f>
        <v>1551604103645923</v>
      </c>
      <c r="C2908" t="s">
        <v>40</v>
      </c>
      <c r="D2908">
        <v>4.6278649999999999</v>
      </c>
      <c r="E2908">
        <v>0.53560669999999899</v>
      </c>
      <c r="F2908" t="s">
        <v>57</v>
      </c>
      <c r="G2908">
        <v>-207.05459999999999</v>
      </c>
      <c r="H2908" s="1">
        <v>5.6159559999999997E-6</v>
      </c>
      <c r="I2908">
        <v>211.5215</v>
      </c>
      <c r="J2908">
        <v>-234.542</v>
      </c>
      <c r="K2908">
        <v>1.1213580000000001</v>
      </c>
      <c r="L2908">
        <v>214.43299999999999</v>
      </c>
      <c r="M2908">
        <v>0.99980460000000004</v>
      </c>
      <c r="N2908">
        <v>-1.4457050000000001E-2</v>
      </c>
      <c r="O2908">
        <v>1.348476E-2</v>
      </c>
      <c r="P2908">
        <v>0.97396709999999997</v>
      </c>
      <c r="Q2908">
        <v>0.22497529999999999</v>
      </c>
      <c r="R2908">
        <v>-2.7830029999999999E-2</v>
      </c>
      <c r="S2908">
        <v>3.0999599999999998</v>
      </c>
      <c r="T2908">
        <v>-0.12508419999999901</v>
      </c>
      <c r="U2908">
        <v>-0.3243103</v>
      </c>
      <c r="V2908">
        <v>4.0926459999999998E-2</v>
      </c>
      <c r="W2908">
        <v>0.23903179999999999</v>
      </c>
      <c r="X2908">
        <v>0.97014889999999998</v>
      </c>
      <c r="Y2908">
        <v>0.1173201</v>
      </c>
      <c r="Z2908">
        <v>-3.558571E-3</v>
      </c>
      <c r="AA2908">
        <v>0.99308779999999997</v>
      </c>
      <c r="AB2908">
        <v>35</v>
      </c>
      <c r="AC2908">
        <v>27.487400000000001</v>
      </c>
      <c r="AD2908">
        <v>-1.1213523840440001</v>
      </c>
      <c r="AE2908">
        <v>-2.9114999999999802</v>
      </c>
      <c r="AF2908">
        <v>3.27654247368584</v>
      </c>
      <c r="AG2908">
        <v>-1.1213523840440001</v>
      </c>
      <c r="AH2908">
        <v>27.4005400102997</v>
      </c>
      <c r="AI2908">
        <v>92.326932060288399</v>
      </c>
      <c r="AJ2908">
        <v>83.180979455990396</v>
      </c>
      <c r="AK2908">
        <v>27.618521948270502</v>
      </c>
      <c r="AL2908">
        <v>76.170596985566604</v>
      </c>
      <c r="AM2908">
        <v>87.584366812336896</v>
      </c>
      <c r="AN2908">
        <v>1.00000003235529</v>
      </c>
    </row>
    <row r="2909" spans="1:40" x14ac:dyDescent="0.25">
      <c r="A2909" t="str">
        <f>"20190303170823677"</f>
        <v>20190303170823677</v>
      </c>
      <c r="B2909" t="str">
        <f>"1551604103665443"</f>
        <v>1551604103665443</v>
      </c>
      <c r="C2909" t="s">
        <v>40</v>
      </c>
      <c r="D2909">
        <v>4.6292689999999999</v>
      </c>
      <c r="E2909">
        <v>0.53611609999999998</v>
      </c>
      <c r="F2909" t="s">
        <v>57</v>
      </c>
      <c r="G2909">
        <v>-207.10900000000001</v>
      </c>
      <c r="H2909" s="1">
        <v>5.6395620000000004E-6</v>
      </c>
      <c r="I2909">
        <v>211.52770000000001</v>
      </c>
      <c r="J2909">
        <v>-234.24950000000001</v>
      </c>
      <c r="K2909">
        <v>1.1213660000000001</v>
      </c>
      <c r="L2909">
        <v>214.43700000000001</v>
      </c>
      <c r="M2909">
        <v>0.99980349999999996</v>
      </c>
      <c r="N2909">
        <v>-1.4475170000000001E-2</v>
      </c>
      <c r="O2909">
        <v>1.3552460000000001E-2</v>
      </c>
      <c r="P2909">
        <v>0.97397789999999995</v>
      </c>
      <c r="Q2909">
        <v>0.22503799999999999</v>
      </c>
      <c r="R2909">
        <v>-2.6928939999999998E-2</v>
      </c>
      <c r="S2909">
        <v>3.100098</v>
      </c>
      <c r="T2909">
        <v>-0.1267201</v>
      </c>
      <c r="U2909">
        <v>-0.32830809999999999</v>
      </c>
      <c r="V2909">
        <v>4.0091519999999999E-2</v>
      </c>
      <c r="W2909">
        <v>0.23911279999999999</v>
      </c>
      <c r="X2909">
        <v>0.97016380000000002</v>
      </c>
      <c r="Y2909">
        <v>0.11864470000000001</v>
      </c>
      <c r="Z2909">
        <v>-3.6354600000000001E-3</v>
      </c>
      <c r="AA2909">
        <v>0.99293010000000004</v>
      </c>
      <c r="AB2909">
        <v>35</v>
      </c>
      <c r="AC2909">
        <v>27.140499999999999</v>
      </c>
      <c r="AD2909">
        <v>-1.121360360438</v>
      </c>
      <c r="AE2909">
        <v>-2.9093</v>
      </c>
      <c r="AF2909">
        <v>3.2713707328967199</v>
      </c>
      <c r="AG2909">
        <v>-1.121360360438</v>
      </c>
      <c r="AH2909">
        <v>27.0529176691042</v>
      </c>
      <c r="AI2909">
        <v>92.356440310633502</v>
      </c>
      <c r="AJ2909">
        <v>83.104993032217706</v>
      </c>
      <c r="AK2909">
        <v>27.273057583288001</v>
      </c>
      <c r="AL2909">
        <v>76.165817395170905</v>
      </c>
      <c r="AM2909">
        <v>87.633627798954393</v>
      </c>
      <c r="AN2909">
        <v>1.00000002996509</v>
      </c>
    </row>
    <row r="2910" spans="1:40" x14ac:dyDescent="0.25">
      <c r="A2910" t="str">
        <f>"20190303170823703"</f>
        <v>20190303170823703</v>
      </c>
      <c r="B2910" t="str">
        <f>"1551604103695698"</f>
        <v>1551604103695698</v>
      </c>
      <c r="C2910" t="s">
        <v>40</v>
      </c>
      <c r="D2910">
        <v>4.6111040000000001</v>
      </c>
      <c r="E2910">
        <v>0.5370085</v>
      </c>
      <c r="F2910" t="s">
        <v>57</v>
      </c>
      <c r="G2910">
        <v>-207.01320000000001</v>
      </c>
      <c r="H2910" s="1">
        <v>5.5961109999999998E-6</v>
      </c>
      <c r="I2910">
        <v>211.5385</v>
      </c>
      <c r="J2910">
        <v>-233.8537</v>
      </c>
      <c r="K2910">
        <v>1.121372</v>
      </c>
      <c r="L2910">
        <v>214.44239999999999</v>
      </c>
      <c r="M2910">
        <v>0.99980190000000002</v>
      </c>
      <c r="N2910">
        <v>-1.4495920000000001E-2</v>
      </c>
      <c r="O2910">
        <v>1.364421E-2</v>
      </c>
      <c r="P2910">
        <v>0.97376660000000004</v>
      </c>
      <c r="Q2910">
        <v>0.22604399999999999</v>
      </c>
      <c r="R2910">
        <v>-2.613012E-2</v>
      </c>
      <c r="S2910">
        <v>3.1005250000000002</v>
      </c>
      <c r="T2910">
        <v>-0.1276534</v>
      </c>
      <c r="U2910">
        <v>-0.32995609999999997</v>
      </c>
      <c r="V2910">
        <v>3.9379150000000002E-2</v>
      </c>
      <c r="W2910">
        <v>0.2401355</v>
      </c>
      <c r="X2910">
        <v>0.96994029999999998</v>
      </c>
      <c r="Y2910">
        <v>0.11924079999999999</v>
      </c>
      <c r="Z2910">
        <v>-3.6768180000000001E-3</v>
      </c>
      <c r="AA2910">
        <v>0.99285849999999998</v>
      </c>
      <c r="AB2910">
        <v>35</v>
      </c>
      <c r="AC2910">
        <v>26.840499999999899</v>
      </c>
      <c r="AD2910">
        <v>-1.1213664038889899</v>
      </c>
      <c r="AE2910">
        <v>-2.9038999999999899</v>
      </c>
      <c r="AF2910">
        <v>3.2642537506495501</v>
      </c>
      <c r="AG2910">
        <v>-1.1213664038889899</v>
      </c>
      <c r="AH2910">
        <v>26.752220303697101</v>
      </c>
      <c r="AI2910">
        <v>92.382597933181302</v>
      </c>
      <c r="AJ2910">
        <v>83.043269577954007</v>
      </c>
      <c r="AK2910">
        <v>26.973952367755501</v>
      </c>
      <c r="AL2910">
        <v>76.105461909067401</v>
      </c>
      <c r="AM2910">
        <v>87.6750933658886</v>
      </c>
      <c r="AN2910">
        <v>0.999999980689531</v>
      </c>
    </row>
    <row r="2911" spans="1:40" x14ac:dyDescent="0.25">
      <c r="A2911" t="str">
        <f>"20190303170823727"</f>
        <v>20190303170823727</v>
      </c>
      <c r="B2911" t="str">
        <f>"1551604103716195"</f>
        <v>1551604103716195</v>
      </c>
      <c r="C2911" t="s">
        <v>40</v>
      </c>
      <c r="D2911">
        <v>4.5935489999999897</v>
      </c>
      <c r="E2911">
        <v>0.53747299999999998</v>
      </c>
      <c r="F2911" t="s">
        <v>57</v>
      </c>
      <c r="G2911">
        <v>-205.95750000000001</v>
      </c>
      <c r="H2911" s="1">
        <v>5.137074E-6</v>
      </c>
      <c r="I2911">
        <v>211.43430000000001</v>
      </c>
      <c r="J2911">
        <v>-233.47499999999999</v>
      </c>
      <c r="K2911">
        <v>1.121373</v>
      </c>
      <c r="L2911">
        <v>214.4477</v>
      </c>
      <c r="M2911">
        <v>0.99980060000000004</v>
      </c>
      <c r="N2911">
        <v>-1.4512239999999999E-2</v>
      </c>
      <c r="O2911">
        <v>1.373218E-2</v>
      </c>
      <c r="P2911">
        <v>0.97376229999999997</v>
      </c>
      <c r="Q2911">
        <v>0.22603870000000001</v>
      </c>
      <c r="R2911">
        <v>-2.6343930000000002E-2</v>
      </c>
      <c r="S2911">
        <v>3.100784</v>
      </c>
      <c r="T2911">
        <v>-0.1246449</v>
      </c>
      <c r="U2911">
        <v>-0.33436579999999999</v>
      </c>
      <c r="V2911">
        <v>3.967851E-2</v>
      </c>
      <c r="W2911">
        <v>0.24014559999999999</v>
      </c>
      <c r="X2911">
        <v>0.96992560000000005</v>
      </c>
      <c r="Y2911">
        <v>0.12071949999999999</v>
      </c>
      <c r="Z2911">
        <v>-3.6490009999999998E-3</v>
      </c>
      <c r="AA2911">
        <v>0.99268000000000001</v>
      </c>
      <c r="AB2911">
        <v>34</v>
      </c>
      <c r="AC2911">
        <v>27.517499999999899</v>
      </c>
      <c r="AD2911">
        <v>-1.121367862926</v>
      </c>
      <c r="AE2911">
        <v>-3.0133999999999901</v>
      </c>
      <c r="AF2911">
        <v>3.3854753162798801</v>
      </c>
      <c r="AG2911">
        <v>-1.121367862926</v>
      </c>
      <c r="AH2911">
        <v>27.428510491942799</v>
      </c>
      <c r="AI2911">
        <v>92.323523744603193</v>
      </c>
      <c r="AJ2911">
        <v>82.963624107628604</v>
      </c>
      <c r="AK2911">
        <v>27.659394368057999</v>
      </c>
      <c r="AL2911">
        <v>76.104865788477497</v>
      </c>
      <c r="AM2911">
        <v>87.657403594712704</v>
      </c>
      <c r="AN2911">
        <v>0.99999998144526903</v>
      </c>
    </row>
    <row r="2912" spans="1:40" x14ac:dyDescent="0.25">
      <c r="A2912" t="str">
        <f>"20190303170823751"</f>
        <v>20190303170823751</v>
      </c>
      <c r="B2912" t="str">
        <f>"1551604103745475"</f>
        <v>1551604103745475</v>
      </c>
      <c r="C2912" t="s">
        <v>40</v>
      </c>
      <c r="D2912">
        <v>4.572336</v>
      </c>
      <c r="E2912">
        <v>0.5382654</v>
      </c>
      <c r="F2912" t="s">
        <v>57</v>
      </c>
      <c r="G2912">
        <v>-205.68680000000001</v>
      </c>
      <c r="H2912" s="1">
        <v>5.0182270000000002E-6</v>
      </c>
      <c r="I2912">
        <v>211.42060000000001</v>
      </c>
      <c r="J2912">
        <v>-233.1317</v>
      </c>
      <c r="K2912">
        <v>1.121378</v>
      </c>
      <c r="L2912">
        <v>214.45249999999999</v>
      </c>
      <c r="M2912">
        <v>0.99979910000000005</v>
      </c>
      <c r="N2912">
        <v>-1.4524250000000001E-2</v>
      </c>
      <c r="O2912">
        <v>1.3812069999999999E-2</v>
      </c>
      <c r="P2912">
        <v>0.97387650000000003</v>
      </c>
      <c r="Q2912">
        <v>0.22545480000000001</v>
      </c>
      <c r="R2912">
        <v>-2.7105290000000001E-2</v>
      </c>
      <c r="S2912">
        <v>3.1007539999999998</v>
      </c>
      <c r="T2912">
        <v>-0.12512789999999999</v>
      </c>
      <c r="U2912">
        <v>-0.33778380000000002</v>
      </c>
      <c r="V2912">
        <v>4.0519399999999997E-2</v>
      </c>
      <c r="W2912">
        <v>0.23957529999999999</v>
      </c>
      <c r="X2912">
        <v>0.97003189999999995</v>
      </c>
      <c r="Y2912">
        <v>0.121879</v>
      </c>
      <c r="Z2912">
        <v>-3.6948079999999999E-3</v>
      </c>
      <c r="AA2912">
        <v>0.99253809999999998</v>
      </c>
      <c r="AB2912">
        <v>34</v>
      </c>
      <c r="AC2912">
        <v>27.444899999999901</v>
      </c>
      <c r="AD2912">
        <v>-1.121372981773</v>
      </c>
      <c r="AE2912">
        <v>-3.0318999999999701</v>
      </c>
      <c r="AF2912">
        <v>3.4051054398575098</v>
      </c>
      <c r="AG2912">
        <v>-1.121372981773</v>
      </c>
      <c r="AH2912">
        <v>27.3552821989283</v>
      </c>
      <c r="AI2912">
        <v>92.329449726932793</v>
      </c>
      <c r="AJ2912">
        <v>82.904486150979494</v>
      </c>
      <c r="AK2912">
        <v>27.589195069878301</v>
      </c>
      <c r="AL2912">
        <v>76.138524645303804</v>
      </c>
      <c r="AM2912">
        <v>87.608076850617707</v>
      </c>
      <c r="AN2912">
        <v>1.00000001658202</v>
      </c>
    </row>
    <row r="2913" spans="1:40" x14ac:dyDescent="0.25">
      <c r="A2913" t="str">
        <f>"20190303170823770"</f>
        <v>20190303170823770</v>
      </c>
      <c r="B2913" t="str">
        <f>"1551604103756211"</f>
        <v>1551604103756211</v>
      </c>
      <c r="C2913" t="s">
        <v>40</v>
      </c>
      <c r="D2913">
        <v>4.5630509999999997</v>
      </c>
      <c r="E2913">
        <v>0.53849099999999905</v>
      </c>
      <c r="F2913" t="s">
        <v>57</v>
      </c>
      <c r="G2913">
        <v>-205.8348</v>
      </c>
      <c r="H2913" s="1">
        <v>5.085016E-6</v>
      </c>
      <c r="I2913">
        <v>211.40729999999999</v>
      </c>
      <c r="J2913">
        <v>-232.82300000000001</v>
      </c>
      <c r="K2913">
        <v>1.1213799999999901</v>
      </c>
      <c r="L2913">
        <v>214.45679999999999</v>
      </c>
      <c r="M2913">
        <v>0.99979810000000002</v>
      </c>
      <c r="N2913">
        <v>-1.45332E-2</v>
      </c>
      <c r="O2913">
        <v>1.3884000000000001E-2</v>
      </c>
      <c r="P2913">
        <v>0.97392239999999997</v>
      </c>
      <c r="Q2913">
        <v>0.22506970000000001</v>
      </c>
      <c r="R2913">
        <v>-2.86187E-2</v>
      </c>
      <c r="S2913">
        <v>3.1003270000000001</v>
      </c>
      <c r="T2913">
        <v>-0.12736320000000001</v>
      </c>
      <c r="U2913">
        <v>-0.34587099999999998</v>
      </c>
      <c r="V2913">
        <v>4.2103549999999997E-2</v>
      </c>
      <c r="W2913">
        <v>0.23919940000000001</v>
      </c>
      <c r="X2913">
        <v>0.97005719999999995</v>
      </c>
      <c r="Y2913">
        <v>0.12451520000000001</v>
      </c>
      <c r="Z2913">
        <v>-3.8241439999999998E-3</v>
      </c>
      <c r="AA2913">
        <v>0.99221029999999999</v>
      </c>
      <c r="AB2913">
        <v>34</v>
      </c>
      <c r="AC2913">
        <v>26.9881999999999</v>
      </c>
      <c r="AD2913">
        <v>-1.12137491498399</v>
      </c>
      <c r="AE2913">
        <v>-3.0494999999999899</v>
      </c>
      <c r="AF2913">
        <v>3.4181228884746599</v>
      </c>
      <c r="AG2913">
        <v>-1.12137491498399</v>
      </c>
      <c r="AH2913">
        <v>26.897402816122</v>
      </c>
      <c r="AI2913">
        <v>92.368301098097504</v>
      </c>
      <c r="AJ2913">
        <v>82.757670122789193</v>
      </c>
      <c r="AK2913">
        <v>27.136899676149401</v>
      </c>
      <c r="AL2913">
        <v>76.160707102431502</v>
      </c>
      <c r="AM2913">
        <v>87.514741809940404</v>
      </c>
      <c r="AN2913">
        <v>1.0000000165773999</v>
      </c>
    </row>
    <row r="2914" spans="1:40" x14ac:dyDescent="0.25">
      <c r="A2914" t="str">
        <f>"20190303170823791"</f>
        <v>20190303170823791</v>
      </c>
      <c r="B2914" t="str">
        <f>"1551604103786467"</f>
        <v>1551604103786467</v>
      </c>
      <c r="C2914" t="s">
        <v>40</v>
      </c>
      <c r="D2914">
        <v>4.5179939999999998</v>
      </c>
      <c r="E2914">
        <v>0.54543379999999997</v>
      </c>
      <c r="F2914" t="s">
        <v>57</v>
      </c>
      <c r="G2914">
        <v>-205.821</v>
      </c>
      <c r="H2914" s="1">
        <v>5.0807570000000004E-6</v>
      </c>
      <c r="I2914">
        <v>211.3861</v>
      </c>
      <c r="J2914">
        <v>-232.49889999999999</v>
      </c>
      <c r="K2914">
        <v>1.1213759999999999</v>
      </c>
      <c r="L2914">
        <v>214.4614</v>
      </c>
      <c r="M2914">
        <v>0.99979689999999999</v>
      </c>
      <c r="N2914">
        <v>-1.454096E-2</v>
      </c>
      <c r="O2914">
        <v>1.3959630000000001E-2</v>
      </c>
      <c r="P2914">
        <v>0.97389499999999996</v>
      </c>
      <c r="Q2914">
        <v>0.22492760000000001</v>
      </c>
      <c r="R2914">
        <v>-3.060628E-2</v>
      </c>
      <c r="S2914">
        <v>3.099701</v>
      </c>
      <c r="T2914">
        <v>-0.12872839999999999</v>
      </c>
      <c r="U2914">
        <v>-0.3525085</v>
      </c>
      <c r="V2914">
        <v>4.4164370000000001E-2</v>
      </c>
      <c r="W2914">
        <v>0.2390642</v>
      </c>
      <c r="X2914">
        <v>0.9699989</v>
      </c>
      <c r="Y2914">
        <v>0.1267047</v>
      </c>
      <c r="Z2914">
        <v>-3.9216210000000001E-3</v>
      </c>
      <c r="AA2914">
        <v>0.9919327</v>
      </c>
      <c r="AB2914">
        <v>34</v>
      </c>
      <c r="AC2914">
        <v>26.677899999999902</v>
      </c>
      <c r="AD2914">
        <v>-1.1213709192429999</v>
      </c>
      <c r="AE2914">
        <v>-3.0752999999999902</v>
      </c>
      <c r="AF2914">
        <v>3.44145251174184</v>
      </c>
      <c r="AG2914">
        <v>-1.1213709192429999</v>
      </c>
      <c r="AH2914">
        <v>26.5860083539127</v>
      </c>
      <c r="AI2914">
        <v>92.395285280063106</v>
      </c>
      <c r="AJ2914">
        <v>82.624304261165307</v>
      </c>
      <c r="AK2914">
        <v>26.831267363346999</v>
      </c>
      <c r="AL2914">
        <v>76.168685065986395</v>
      </c>
      <c r="AM2914">
        <v>87.393104631632994</v>
      </c>
      <c r="AN2914">
        <v>1.0000000246501699</v>
      </c>
    </row>
    <row r="2915" spans="1:40" x14ac:dyDescent="0.25">
      <c r="A2915" t="str">
        <f>"20190303170823813"</f>
        <v>20190303170823813</v>
      </c>
      <c r="B2915" t="str">
        <f>"1551604103805987"</f>
        <v>1551604103805987</v>
      </c>
      <c r="C2915" t="s">
        <v>40</v>
      </c>
      <c r="D2915">
        <v>4.4988250000000001</v>
      </c>
      <c r="E2915">
        <v>0.54515599999999997</v>
      </c>
      <c r="F2915" t="s">
        <v>57</v>
      </c>
      <c r="G2915">
        <v>-204.5796</v>
      </c>
      <c r="H2915" s="1">
        <v>4.587816E-6</v>
      </c>
      <c r="I2915">
        <v>210.7276</v>
      </c>
      <c r="J2915">
        <v>-232.1584</v>
      </c>
      <c r="K2915">
        <v>1.1213820000000001</v>
      </c>
      <c r="L2915">
        <v>214.46619999999999</v>
      </c>
      <c r="M2915">
        <v>0.99979569999999995</v>
      </c>
      <c r="N2915">
        <v>-1.45475E-2</v>
      </c>
      <c r="O2915">
        <v>1.403855E-2</v>
      </c>
      <c r="P2915">
        <v>0.97375730000000005</v>
      </c>
      <c r="Q2915">
        <v>0.22518489999999999</v>
      </c>
      <c r="R2915">
        <v>-3.2993010000000003E-2</v>
      </c>
      <c r="S2915">
        <v>3.09613</v>
      </c>
      <c r="T2915">
        <v>-0.1243552</v>
      </c>
      <c r="U2915">
        <v>-0.4140625</v>
      </c>
      <c r="V2915">
        <v>4.6625880000000001E-2</v>
      </c>
      <c r="W2915">
        <v>0.23932580000000001</v>
      </c>
      <c r="X2915">
        <v>0.96981919999999999</v>
      </c>
      <c r="Y2915">
        <v>0.14629529999999999</v>
      </c>
      <c r="Z2915">
        <v>-4.3512489999999997E-3</v>
      </c>
      <c r="AA2915">
        <v>0.98923139999999998</v>
      </c>
      <c r="AB2915">
        <v>34</v>
      </c>
      <c r="AC2915">
        <v>27.578800000000001</v>
      </c>
      <c r="AD2915">
        <v>-1.1213774121840001</v>
      </c>
      <c r="AE2915">
        <v>-3.7385999999999902</v>
      </c>
      <c r="AF2915">
        <v>4.1187521353246703</v>
      </c>
      <c r="AG2915">
        <v>-1.1213774121840001</v>
      </c>
      <c r="AH2915">
        <v>27.478980273970301</v>
      </c>
      <c r="AI2915">
        <v>92.311073297940894</v>
      </c>
      <c r="AJ2915">
        <v>81.475545609889295</v>
      </c>
      <c r="AK2915">
        <v>27.808559174290998</v>
      </c>
      <c r="AL2915">
        <v>76.153248688519099</v>
      </c>
      <c r="AM2915">
        <v>87.247517138796496</v>
      </c>
      <c r="AN2915">
        <v>1.00000004596002</v>
      </c>
    </row>
    <row r="2916" spans="1:40" x14ac:dyDescent="0.25">
      <c r="A2916" t="str">
        <f>"20190303170823839"</f>
        <v>20190303170823839</v>
      </c>
      <c r="B2916" t="str">
        <f>"1551604103825507"</f>
        <v>1551604103825507</v>
      </c>
      <c r="C2916" t="s">
        <v>40</v>
      </c>
      <c r="D2916">
        <v>4.4761499999999996</v>
      </c>
      <c r="E2916">
        <v>0.54522219999999999</v>
      </c>
      <c r="F2916" t="s">
        <v>57</v>
      </c>
      <c r="G2916">
        <v>-204.46090000000001</v>
      </c>
      <c r="H2916" s="1">
        <v>4.5362270000000004E-6</v>
      </c>
      <c r="I2916">
        <v>210.71549999999999</v>
      </c>
      <c r="J2916">
        <v>-231.77760000000001</v>
      </c>
      <c r="K2916">
        <v>1.121386</v>
      </c>
      <c r="L2916">
        <v>214.4716</v>
      </c>
      <c r="M2916">
        <v>0.99979450000000003</v>
      </c>
      <c r="N2916">
        <v>-1.455323E-2</v>
      </c>
      <c r="O2916">
        <v>1.4127260000000001E-2</v>
      </c>
      <c r="P2916">
        <v>0.97372099999999995</v>
      </c>
      <c r="Q2916">
        <v>0.22514010000000001</v>
      </c>
      <c r="R2916">
        <v>-3.434541E-2</v>
      </c>
      <c r="S2916">
        <v>3.0956269999999999</v>
      </c>
      <c r="T2916">
        <v>-0.125331</v>
      </c>
      <c r="U2916">
        <v>-0.41920469999999999</v>
      </c>
      <c r="V2916">
        <v>4.8064080000000002E-2</v>
      </c>
      <c r="W2916">
        <v>0.239286</v>
      </c>
      <c r="X2916">
        <v>0.96975869999999997</v>
      </c>
      <c r="Y2916">
        <v>0.1480138</v>
      </c>
      <c r="Z2916">
        <v>-4.4287220000000004E-3</v>
      </c>
      <c r="AA2916">
        <v>0.98897539999999995</v>
      </c>
      <c r="AB2916">
        <v>34</v>
      </c>
      <c r="AC2916">
        <v>27.316700000000001</v>
      </c>
      <c r="AD2916">
        <v>-1.121381463773</v>
      </c>
      <c r="AE2916">
        <v>-3.7561</v>
      </c>
      <c r="AF2916">
        <v>4.1348372870969303</v>
      </c>
      <c r="AG2916">
        <v>-1.121381463773</v>
      </c>
      <c r="AH2916">
        <v>27.215891306697301</v>
      </c>
      <c r="AI2916">
        <v>92.332696247660493</v>
      </c>
      <c r="AJ2916">
        <v>81.361267972052005</v>
      </c>
      <c r="AK2916">
        <v>27.551027483490099</v>
      </c>
      <c r="AL2916">
        <v>76.155595817774994</v>
      </c>
      <c r="AM2916">
        <v>87.162575284836905</v>
      </c>
      <c r="AN2916">
        <v>0.99999994090396604</v>
      </c>
    </row>
    <row r="2917" spans="1:40" x14ac:dyDescent="0.25">
      <c r="A2917" t="str">
        <f>"20190303170823856"</f>
        <v>20190303170823856</v>
      </c>
      <c r="B2917" t="str">
        <f>"1551604103846003"</f>
        <v>1551604103846003</v>
      </c>
      <c r="C2917" t="s">
        <v>40</v>
      </c>
      <c r="D2917">
        <v>4.4055559999999998</v>
      </c>
      <c r="E2917">
        <v>0.54519340000000005</v>
      </c>
      <c r="F2917" t="s">
        <v>57</v>
      </c>
      <c r="G2917">
        <v>-204.10599999999999</v>
      </c>
      <c r="H2917" s="1">
        <v>4.382217E-6</v>
      </c>
      <c r="I2917">
        <v>210.67699999999999</v>
      </c>
      <c r="J2917">
        <v>-231.5033</v>
      </c>
      <c r="K2917">
        <v>1.1213879999999901</v>
      </c>
      <c r="L2917">
        <v>214.47559999999999</v>
      </c>
      <c r="M2917">
        <v>0.99979340000000005</v>
      </c>
      <c r="N2917">
        <v>-1.455646E-2</v>
      </c>
      <c r="O2917">
        <v>1.419112E-2</v>
      </c>
      <c r="P2917">
        <v>0.97375639999999997</v>
      </c>
      <c r="Q2917">
        <v>0.22480749999999999</v>
      </c>
      <c r="R2917">
        <v>-3.5501320000000003E-2</v>
      </c>
      <c r="S2917">
        <v>3.094986</v>
      </c>
      <c r="T2917">
        <v>-0.12542310000000001</v>
      </c>
      <c r="U2917">
        <v>-0.4244232</v>
      </c>
      <c r="V2917">
        <v>4.9282550000000001E-2</v>
      </c>
      <c r="W2917">
        <v>0.2389568</v>
      </c>
      <c r="X2917">
        <v>0.96977880000000005</v>
      </c>
      <c r="Y2917">
        <v>0.14973889999999901</v>
      </c>
      <c r="Z2917">
        <v>-4.4810509999999998E-3</v>
      </c>
      <c r="AA2917">
        <v>0.98871540000000002</v>
      </c>
      <c r="AB2917">
        <v>34</v>
      </c>
      <c r="AC2917">
        <v>27.397300000000001</v>
      </c>
      <c r="AD2917">
        <v>-1.1213836177830001</v>
      </c>
      <c r="AE2917">
        <v>-3.79859999999996</v>
      </c>
      <c r="AF2917">
        <v>4.18018596385176</v>
      </c>
      <c r="AG2917">
        <v>-1.1213836177830001</v>
      </c>
      <c r="AH2917">
        <v>27.295762298138701</v>
      </c>
      <c r="AI2917">
        <v>92.325461054891505</v>
      </c>
      <c r="AJ2917">
        <v>81.293134471323597</v>
      </c>
      <c r="AK2917">
        <v>27.6367526194216</v>
      </c>
      <c r="AL2917">
        <v>76.175022259943304</v>
      </c>
      <c r="AM2917">
        <v>87.090826119476503</v>
      </c>
      <c r="AN2917">
        <v>1.0000000214650899</v>
      </c>
    </row>
    <row r="2918" spans="1:40" x14ac:dyDescent="0.25">
      <c r="A2918" t="str">
        <f>"20190303170823881"</f>
        <v>20190303170823881</v>
      </c>
      <c r="B2918" t="str">
        <f>"1551604103876261"</f>
        <v>1551604103876261</v>
      </c>
      <c r="C2918" t="s">
        <v>40</v>
      </c>
      <c r="D2918">
        <v>4.3927430000000003</v>
      </c>
      <c r="E2918">
        <v>0.54522559999999998</v>
      </c>
      <c r="F2918" t="s">
        <v>57</v>
      </c>
      <c r="G2918">
        <v>-204.26249999999999</v>
      </c>
      <c r="H2918" s="1">
        <v>4.4483799999999999E-6</v>
      </c>
      <c r="I2918">
        <v>210.714</v>
      </c>
      <c r="J2918">
        <v>-231.12469999999999</v>
      </c>
      <c r="K2918">
        <v>1.1213919999999999</v>
      </c>
      <c r="L2918">
        <v>214.48099999999999</v>
      </c>
      <c r="M2918">
        <v>0.99979220000000002</v>
      </c>
      <c r="N2918">
        <v>-1.455998E-2</v>
      </c>
      <c r="O2918">
        <v>1.427901E-2</v>
      </c>
      <c r="P2918">
        <v>0.97364930000000005</v>
      </c>
      <c r="Q2918">
        <v>0.22514980000000001</v>
      </c>
      <c r="R2918">
        <v>-3.6260250000000001E-2</v>
      </c>
      <c r="S2918">
        <v>3.0946959999999999</v>
      </c>
      <c r="T2918">
        <v>-0.12739519999999999</v>
      </c>
      <c r="U2918">
        <v>-0.42733759999999998</v>
      </c>
      <c r="V2918">
        <v>5.012548E-2</v>
      </c>
      <c r="W2918">
        <v>0.23930080000000001</v>
      </c>
      <c r="X2918">
        <v>0.96965069999999998</v>
      </c>
      <c r="Y2918">
        <v>0.15074609999999999</v>
      </c>
      <c r="Z2918">
        <v>-4.5682149999999996E-3</v>
      </c>
      <c r="AA2918">
        <v>0.98856189999999999</v>
      </c>
      <c r="AB2918">
        <v>34</v>
      </c>
      <c r="AC2918">
        <v>26.862200000000001</v>
      </c>
      <c r="AD2918">
        <v>-1.12138755162</v>
      </c>
      <c r="AE2918">
        <v>-3.7669999999999599</v>
      </c>
      <c r="AF2918">
        <v>4.1431410030103502</v>
      </c>
      <c r="AG2918">
        <v>-1.12138755162</v>
      </c>
      <c r="AH2918">
        <v>26.759930369902399</v>
      </c>
      <c r="AI2918">
        <v>92.371381542597305</v>
      </c>
      <c r="AJ2918">
        <v>81.198986061830396</v>
      </c>
      <c r="AK2918">
        <v>27.101974112853402</v>
      </c>
      <c r="AL2918">
        <v>76.154722712900707</v>
      </c>
      <c r="AM2918">
        <v>87.040765015555607</v>
      </c>
      <c r="AN2918">
        <v>0.99999995831817901</v>
      </c>
    </row>
    <row r="2919" spans="1:40" x14ac:dyDescent="0.25">
      <c r="A2919" t="str">
        <f>"20190303170823905"</f>
        <v>20190303170823905</v>
      </c>
      <c r="B2919" t="str">
        <f>"1551604103895779"</f>
        <v>1551604103895779</v>
      </c>
      <c r="C2919" t="s">
        <v>40</v>
      </c>
      <c r="D2919">
        <v>4.3644119999999997</v>
      </c>
      <c r="E2919">
        <v>0.54526409999999903</v>
      </c>
      <c r="F2919" t="s">
        <v>57</v>
      </c>
      <c r="G2919">
        <v>-203.74270000000001</v>
      </c>
      <c r="H2919" s="1">
        <v>4.221163E-6</v>
      </c>
      <c r="I2919">
        <v>210.6763</v>
      </c>
      <c r="J2919">
        <v>-230.7544</v>
      </c>
      <c r="K2919">
        <v>1.1214</v>
      </c>
      <c r="L2919">
        <v>214.4864</v>
      </c>
      <c r="M2919">
        <v>0.99979079999999998</v>
      </c>
      <c r="N2919">
        <v>-1.456236E-2</v>
      </c>
      <c r="O2919">
        <v>1.436517E-2</v>
      </c>
      <c r="P2919">
        <v>0.97343179999999996</v>
      </c>
      <c r="Q2919">
        <v>0.22611329999999999</v>
      </c>
      <c r="R2919">
        <v>-3.6103320000000001E-2</v>
      </c>
      <c r="S2919">
        <v>3.094452</v>
      </c>
      <c r="T2919">
        <v>-0.12672829999999999</v>
      </c>
      <c r="U2919">
        <v>-0.42997740000000001</v>
      </c>
      <c r="V2919">
        <v>5.0049360000000001E-2</v>
      </c>
      <c r="W2919">
        <v>0.24026320000000001</v>
      </c>
      <c r="X2919">
        <v>0.96941670000000002</v>
      </c>
      <c r="Y2919">
        <v>0.15166979999999999</v>
      </c>
      <c r="Z2919">
        <v>-4.5771420000000002E-3</v>
      </c>
      <c r="AA2919">
        <v>0.98842059999999998</v>
      </c>
      <c r="AB2919">
        <v>34</v>
      </c>
      <c r="AC2919">
        <v>27.011699999999902</v>
      </c>
      <c r="AD2919">
        <v>-1.1213957788369999</v>
      </c>
      <c r="AE2919">
        <v>-3.8100999999999998</v>
      </c>
      <c r="AF2919">
        <v>4.1906937682529302</v>
      </c>
      <c r="AG2919">
        <v>-1.1213957788369999</v>
      </c>
      <c r="AH2919">
        <v>26.908700982574299</v>
      </c>
      <c r="AI2919">
        <v>92.357977533706801</v>
      </c>
      <c r="AJ2919">
        <v>81.148007469589302</v>
      </c>
      <c r="AK2919">
        <v>27.256148504909198</v>
      </c>
      <c r="AL2919">
        <v>76.097925426557893</v>
      </c>
      <c r="AM2919">
        <v>87.044538948043595</v>
      </c>
      <c r="AN2919">
        <v>1.00000004097476</v>
      </c>
    </row>
    <row r="2920" spans="1:40" x14ac:dyDescent="0.25">
      <c r="A2920" t="str">
        <f>"20190303170823928"</f>
        <v>20190303170823928</v>
      </c>
      <c r="B2920" t="str">
        <f>"1551604103916275"</f>
        <v>1551604103916275</v>
      </c>
      <c r="C2920" t="s">
        <v>40</v>
      </c>
      <c r="D2920">
        <v>4.3276779999999997</v>
      </c>
      <c r="E2920">
        <v>0.54531419999999997</v>
      </c>
      <c r="F2920" t="s">
        <v>57</v>
      </c>
      <c r="G2920">
        <v>-202.52189999999999</v>
      </c>
      <c r="H2920" s="1">
        <v>3.6898039999999999E-6</v>
      </c>
      <c r="I2920">
        <v>210.56180000000001</v>
      </c>
      <c r="J2920">
        <v>-230.40469999999999</v>
      </c>
      <c r="K2920">
        <v>1.1214200000000001</v>
      </c>
      <c r="L2920">
        <v>214.4915</v>
      </c>
      <c r="M2920">
        <v>0.9997897</v>
      </c>
      <c r="N2920">
        <v>-1.4563420000000001E-2</v>
      </c>
      <c r="O2920">
        <v>1.444663E-2</v>
      </c>
      <c r="P2920">
        <v>0.97329299999999996</v>
      </c>
      <c r="Q2920">
        <v>0.22671050000000001</v>
      </c>
      <c r="R2920">
        <v>-3.6106390000000002E-2</v>
      </c>
      <c r="S2920">
        <v>3.0944820000000002</v>
      </c>
      <c r="T2920">
        <v>-0.1229132</v>
      </c>
      <c r="U2920">
        <v>-0.4301605</v>
      </c>
      <c r="V2920">
        <v>5.012962E-2</v>
      </c>
      <c r="W2920">
        <v>0.2408593</v>
      </c>
      <c r="X2920">
        <v>0.96926460000000003</v>
      </c>
      <c r="Y2920">
        <v>0.15181539999999999</v>
      </c>
      <c r="Z2920">
        <v>-4.4725670000000002E-3</v>
      </c>
      <c r="AA2920">
        <v>0.98839869999999996</v>
      </c>
      <c r="AB2920">
        <v>34</v>
      </c>
      <c r="AC2920">
        <v>27.8828</v>
      </c>
      <c r="AD2920">
        <v>-1.121416310196</v>
      </c>
      <c r="AE2920">
        <v>-3.9296999999999902</v>
      </c>
      <c r="AF2920">
        <v>4.3252848339082499</v>
      </c>
      <c r="AG2920">
        <v>-1.121416310196</v>
      </c>
      <c r="AH2920">
        <v>27.7790534591091</v>
      </c>
      <c r="AI2920">
        <v>92.284232374188903</v>
      </c>
      <c r="AJ2920">
        <v>81.149931484221199</v>
      </c>
      <c r="AK2920">
        <v>28.136124013787899</v>
      </c>
      <c r="AL2920">
        <v>76.062737845336002</v>
      </c>
      <c r="AM2920">
        <v>87.039344247292703</v>
      </c>
      <c r="AN2920">
        <v>1.00000002300549</v>
      </c>
    </row>
    <row r="2921" spans="1:40" x14ac:dyDescent="0.25">
      <c r="A2921" t="str">
        <f>"20190303170823954"</f>
        <v>20190303170823954</v>
      </c>
      <c r="B2921" t="str">
        <f>"1551604103945556"</f>
        <v>1551604103945556</v>
      </c>
      <c r="C2921" t="s">
        <v>40</v>
      </c>
      <c r="D2921">
        <v>4.315086</v>
      </c>
      <c r="E2921">
        <v>0.54528469999999996</v>
      </c>
      <c r="F2921" t="s">
        <v>57</v>
      </c>
      <c r="G2921">
        <v>-201.7098</v>
      </c>
      <c r="H2921" s="1">
        <v>3.3350860000000001E-6</v>
      </c>
      <c r="I2921">
        <v>210.5001</v>
      </c>
      <c r="J2921">
        <v>-230.03059999999999</v>
      </c>
      <c r="K2921">
        <v>1.121429</v>
      </c>
      <c r="L2921">
        <v>214.49700000000001</v>
      </c>
      <c r="M2921">
        <v>0.99978840000000002</v>
      </c>
      <c r="N2921">
        <v>-1.4563629999999999E-2</v>
      </c>
      <c r="O2921">
        <v>1.4534E-2</v>
      </c>
      <c r="P2921">
        <v>0.97309330000000005</v>
      </c>
      <c r="Q2921">
        <v>0.22764139999999999</v>
      </c>
      <c r="R2921">
        <v>-3.5622069999999999E-2</v>
      </c>
      <c r="S2921">
        <v>3.0945279999999999</v>
      </c>
      <c r="T2921">
        <v>-0.12093660000000001</v>
      </c>
      <c r="U2921">
        <v>-0.43045040000000001</v>
      </c>
      <c r="V2921">
        <v>4.9727609999999998E-2</v>
      </c>
      <c r="W2921">
        <v>0.24178759999999999</v>
      </c>
      <c r="X2921">
        <v>0.96905419999999998</v>
      </c>
      <c r="Y2921">
        <v>0.15199509999999999</v>
      </c>
      <c r="Z2921">
        <v>-4.4220630000000004E-3</v>
      </c>
      <c r="AA2921">
        <v>0.98837140000000001</v>
      </c>
      <c r="AB2921">
        <v>34</v>
      </c>
      <c r="AC2921">
        <v>28.320799999999899</v>
      </c>
      <c r="AD2921">
        <v>-1.121425664914</v>
      </c>
      <c r="AE2921">
        <v>-3.9969000000000001</v>
      </c>
      <c r="AF2921">
        <v>4.4013695467392102</v>
      </c>
      <c r="AG2921">
        <v>-1.121425664914</v>
      </c>
      <c r="AH2921">
        <v>28.216333309659799</v>
      </c>
      <c r="AI2921">
        <v>92.248791182495793</v>
      </c>
      <c r="AJ2921">
        <v>81.134074175652202</v>
      </c>
      <c r="AK2921">
        <v>28.579557639171199</v>
      </c>
      <c r="AL2921">
        <v>76.007930858543503</v>
      </c>
      <c r="AM2921">
        <v>87.062408673750895</v>
      </c>
      <c r="AN2921">
        <v>1.0000000606238499</v>
      </c>
    </row>
    <row r="2922" spans="1:40" x14ac:dyDescent="0.25">
      <c r="A2922" t="str">
        <f>"20190303170823974"</f>
        <v>20190303170823974</v>
      </c>
      <c r="B2922" t="str">
        <f>"1551604103966051"</f>
        <v>1551604103966051</v>
      </c>
      <c r="C2922" t="s">
        <v>40</v>
      </c>
      <c r="D2922">
        <v>4.3088419999999896</v>
      </c>
      <c r="E2922">
        <v>0.54544219999999999</v>
      </c>
      <c r="F2922" t="s">
        <v>57</v>
      </c>
      <c r="G2922">
        <v>-200.34229999999999</v>
      </c>
      <c r="H2922" s="1">
        <v>2.7396270000000001E-6</v>
      </c>
      <c r="I2922">
        <v>210.37430000000001</v>
      </c>
      <c r="J2922">
        <v>-229.70519999999999</v>
      </c>
      <c r="K2922">
        <v>1.1214360000000001</v>
      </c>
      <c r="L2922">
        <v>214.50190000000001</v>
      </c>
      <c r="M2922">
        <v>0.99978730000000005</v>
      </c>
      <c r="N2922">
        <v>-1.456329E-2</v>
      </c>
      <c r="O2922">
        <v>1.461029E-2</v>
      </c>
      <c r="P2922">
        <v>0.97268030000000005</v>
      </c>
      <c r="Q2922">
        <v>0.22954659999999999</v>
      </c>
      <c r="R2922">
        <v>-3.4666509999999998E-2</v>
      </c>
      <c r="S2922">
        <v>3.0945740000000002</v>
      </c>
      <c r="T2922">
        <v>-0.1168922</v>
      </c>
      <c r="U2922">
        <v>-0.42973329999999998</v>
      </c>
      <c r="V2922">
        <v>4.884003E-2</v>
      </c>
      <c r="W2922">
        <v>0.24368600000000001</v>
      </c>
      <c r="X2922">
        <v>0.96862360000000003</v>
      </c>
      <c r="Y2922">
        <v>0.1518533</v>
      </c>
      <c r="Z2922">
        <v>-4.302419E-3</v>
      </c>
      <c r="AA2922">
        <v>0.98839370000000004</v>
      </c>
      <c r="AB2922">
        <v>34</v>
      </c>
      <c r="AC2922">
        <v>29.3629</v>
      </c>
      <c r="AD2922">
        <v>-1.121433260373</v>
      </c>
      <c r="AE2922">
        <v>-4.1276000000000002</v>
      </c>
      <c r="AF2922">
        <v>4.5496974991260704</v>
      </c>
      <c r="AG2922">
        <v>-1.121433260373</v>
      </c>
      <c r="AH2922">
        <v>29.257604003598601</v>
      </c>
      <c r="AI2922">
        <v>92.169008536122604</v>
      </c>
      <c r="AJ2922">
        <v>81.1610255232128</v>
      </c>
      <c r="AK2922">
        <v>29.630469991588299</v>
      </c>
      <c r="AL2922">
        <v>75.895805523653394</v>
      </c>
      <c r="AM2922">
        <v>87.113471400520297</v>
      </c>
      <c r="AN2922">
        <v>0.99999994680167903</v>
      </c>
    </row>
    <row r="2923" spans="1:40" x14ac:dyDescent="0.25">
      <c r="A2923" t="str">
        <f>"20190303170823994"</f>
        <v>20190303170823994</v>
      </c>
      <c r="B2923" t="str">
        <f>"1551604103985572"</f>
        <v>1551604103985572</v>
      </c>
      <c r="C2923" t="s">
        <v>40</v>
      </c>
      <c r="D2923">
        <v>4.2895430000000001</v>
      </c>
      <c r="E2923">
        <v>0.54555310000000001</v>
      </c>
      <c r="F2923" t="s">
        <v>57</v>
      </c>
      <c r="G2923">
        <v>-197.93369999999999</v>
      </c>
      <c r="H2923" s="1">
        <v>2.9518849999999999E-6</v>
      </c>
      <c r="I2923">
        <v>210.1028</v>
      </c>
      <c r="J2923">
        <v>-229.41650000000001</v>
      </c>
      <c r="K2923">
        <v>1.1214569999999999</v>
      </c>
      <c r="L2923">
        <v>214.50620000000001</v>
      </c>
      <c r="M2923">
        <v>0.99978619999999996</v>
      </c>
      <c r="N2923">
        <v>-1.456265E-2</v>
      </c>
      <c r="O2923">
        <v>1.467806E-2</v>
      </c>
      <c r="P2923">
        <v>0.97252519999999998</v>
      </c>
      <c r="Q2923">
        <v>0.2302543</v>
      </c>
      <c r="R2923">
        <v>-3.4320120000000003E-2</v>
      </c>
      <c r="S2923">
        <v>3.0947719999999999</v>
      </c>
      <c r="T2923">
        <v>-0.1092354</v>
      </c>
      <c r="U2923">
        <v>-0.42849730000000003</v>
      </c>
      <c r="V2923">
        <v>4.8557280000000001E-2</v>
      </c>
      <c r="W2923">
        <v>0.2443903</v>
      </c>
      <c r="X2923">
        <v>0.9684604</v>
      </c>
      <c r="Y2923">
        <v>0.1515416</v>
      </c>
      <c r="Z2923">
        <v>-4.0730749999999998E-3</v>
      </c>
      <c r="AA2923">
        <v>0.9884425</v>
      </c>
      <c r="AB2923">
        <v>34</v>
      </c>
      <c r="AC2923">
        <v>31.482800000000001</v>
      </c>
      <c r="AD2923">
        <v>-1.1214540481149999</v>
      </c>
      <c r="AE2923">
        <v>-4.4034000000000004</v>
      </c>
      <c r="AF2923">
        <v>4.8590338004153502</v>
      </c>
      <c r="AG2923">
        <v>-1.1214540481149999</v>
      </c>
      <c r="AH2923">
        <v>31.375719710207701</v>
      </c>
      <c r="AI2923">
        <v>92.022941978731197</v>
      </c>
      <c r="AJ2923">
        <v>81.196761834210903</v>
      </c>
      <c r="AK2923">
        <v>31.769539750980499</v>
      </c>
      <c r="AL2923">
        <v>75.854194589241303</v>
      </c>
      <c r="AM2923">
        <v>87.129671584790501</v>
      </c>
      <c r="AN2923">
        <v>0.99999998727162398</v>
      </c>
    </row>
    <row r="2924" spans="1:40" x14ac:dyDescent="0.25">
      <c r="A2924" t="str">
        <f>"20190303170824014"</f>
        <v>20190303170824014</v>
      </c>
      <c r="B2924" t="str">
        <f>"1551604104006068"</f>
        <v>1551604104006068</v>
      </c>
      <c r="C2924" t="s">
        <v>40</v>
      </c>
      <c r="D2924">
        <v>4.2705159999999998</v>
      </c>
      <c r="E2924">
        <v>0.5458385</v>
      </c>
      <c r="F2924" t="s">
        <v>57</v>
      </c>
      <c r="G2924">
        <v>-196.85830000000001</v>
      </c>
      <c r="H2924" s="1">
        <v>3.1525100000000002E-6</v>
      </c>
      <c r="I2924">
        <v>209.9898</v>
      </c>
      <c r="J2924">
        <v>-229.1019</v>
      </c>
      <c r="K2924">
        <v>1.121464</v>
      </c>
      <c r="L2924">
        <v>214.51089999999999</v>
      </c>
      <c r="M2924">
        <v>0.99978520000000004</v>
      </c>
      <c r="N2924">
        <v>-1.4561579999999999E-2</v>
      </c>
      <c r="O2924">
        <v>1.4751729999999999E-2</v>
      </c>
      <c r="P2924">
        <v>0.97229980000000005</v>
      </c>
      <c r="Q2924">
        <v>0.23130800000000001</v>
      </c>
      <c r="R2924">
        <v>-3.3609989999999999E-2</v>
      </c>
      <c r="S2924">
        <v>3.0948329999999999</v>
      </c>
      <c r="T2924">
        <v>-0.1066003</v>
      </c>
      <c r="U2924">
        <v>-0.42930600000000002</v>
      </c>
      <c r="V2924">
        <v>4.7915680000000002E-2</v>
      </c>
      <c r="W2924">
        <v>0.24543980000000001</v>
      </c>
      <c r="X2924">
        <v>0.96822699999999995</v>
      </c>
      <c r="Y2924">
        <v>0.15187049999999999</v>
      </c>
      <c r="Z2924">
        <v>-4.0058120000000001E-3</v>
      </c>
      <c r="AA2924">
        <v>0.9883923</v>
      </c>
      <c r="AB2924">
        <v>34</v>
      </c>
      <c r="AC2924">
        <v>32.243599999999901</v>
      </c>
      <c r="AD2924">
        <v>-1.1214608474900001</v>
      </c>
      <c r="AE2924">
        <v>-4.5210999999999899</v>
      </c>
      <c r="AF2924">
        <v>4.9903867193040199</v>
      </c>
      <c r="AG2924">
        <v>-1.1214608474900001</v>
      </c>
      <c r="AH2924">
        <v>32.135264848495197</v>
      </c>
      <c r="AI2924">
        <v>91.975050619922499</v>
      </c>
      <c r="AJ2924">
        <v>81.1728651730743</v>
      </c>
      <c r="AK2924">
        <v>32.539773830246403</v>
      </c>
      <c r="AL2924">
        <v>75.792174929839106</v>
      </c>
      <c r="AM2924">
        <v>87.166854128841194</v>
      </c>
      <c r="AN2924">
        <v>1.0000000656714401</v>
      </c>
    </row>
    <row r="2925" spans="1:40" x14ac:dyDescent="0.25">
      <c r="A2925" t="str">
        <f>"20190303170824036"</f>
        <v>20190303170824036</v>
      </c>
      <c r="B2925" t="str">
        <f>"1551604104025587"</f>
        <v>1551604104025587</v>
      </c>
      <c r="C2925" t="s">
        <v>40</v>
      </c>
      <c r="D2925">
        <v>4.2611129999999999</v>
      </c>
      <c r="E2925">
        <v>0.5459349</v>
      </c>
      <c r="F2925" t="s">
        <v>57</v>
      </c>
      <c r="G2925">
        <v>-195.2764</v>
      </c>
      <c r="H2925" s="1">
        <v>3.4484700000000001E-6</v>
      </c>
      <c r="I2925">
        <v>209.8142</v>
      </c>
      <c r="J2925">
        <v>-228.77869999999999</v>
      </c>
      <c r="K2925">
        <v>1.121469</v>
      </c>
      <c r="L2925">
        <v>214.51570000000001</v>
      </c>
      <c r="M2925">
        <v>0.99978420000000001</v>
      </c>
      <c r="N2925">
        <v>-1.4560160000000001E-2</v>
      </c>
      <c r="O2925">
        <v>1.482702E-2</v>
      </c>
      <c r="P2925">
        <v>0.97222390000000003</v>
      </c>
      <c r="Q2925">
        <v>0.2317813</v>
      </c>
      <c r="R2925">
        <v>-3.2527729999999998E-2</v>
      </c>
      <c r="S2925">
        <v>3.0950319999999998</v>
      </c>
      <c r="T2925">
        <v>-0.1026136</v>
      </c>
      <c r="U2925">
        <v>-0.42974849999999998</v>
      </c>
      <c r="V2925">
        <v>4.690561E-2</v>
      </c>
      <c r="W2925">
        <v>0.24591070000000001</v>
      </c>
      <c r="X2925">
        <v>0.96815689999999999</v>
      </c>
      <c r="Y2925">
        <v>0.1520831</v>
      </c>
      <c r="Z2925">
        <v>-3.8957699999999998E-3</v>
      </c>
      <c r="AA2925">
        <v>0.98836000000000002</v>
      </c>
      <c r="AB2925">
        <v>34</v>
      </c>
      <c r="AC2925">
        <v>33.502299999999899</v>
      </c>
      <c r="AD2925">
        <v>-1.12146555153</v>
      </c>
      <c r="AE2925">
        <v>-4.7015000000000002</v>
      </c>
      <c r="AF2925">
        <v>5.1920694389265396</v>
      </c>
      <c r="AG2925">
        <v>-1.12146555153</v>
      </c>
      <c r="AH2925">
        <v>33.392205566698102</v>
      </c>
      <c r="AI2925">
        <v>91.900713848351899</v>
      </c>
      <c r="AJ2925">
        <v>81.161994534391795</v>
      </c>
      <c r="AK2925">
        <v>33.812049075004801</v>
      </c>
      <c r="AL2925">
        <v>75.764340294021196</v>
      </c>
      <c r="AM2925">
        <v>87.226282525780405</v>
      </c>
      <c r="AN2925">
        <v>0.99999999582078603</v>
      </c>
    </row>
    <row r="2926" spans="1:40" x14ac:dyDescent="0.25">
      <c r="A2926" t="str">
        <f>"20190303170824057"</f>
        <v>20190303170824057</v>
      </c>
      <c r="B2926" t="str">
        <f>"1551604104046083"</f>
        <v>1551604104046083</v>
      </c>
      <c r="C2926" t="s">
        <v>40</v>
      </c>
      <c r="D2926">
        <v>4.2422719999999998</v>
      </c>
      <c r="E2926">
        <v>0.54982069999999905</v>
      </c>
      <c r="F2926" t="s">
        <v>57</v>
      </c>
      <c r="G2926">
        <v>-194.2321</v>
      </c>
      <c r="H2926" s="1">
        <v>3.6397859999999999E-6</v>
      </c>
      <c r="I2926">
        <v>209.74459999999999</v>
      </c>
      <c r="J2926">
        <v>-228.4571</v>
      </c>
      <c r="K2926">
        <v>1.1214630000000001</v>
      </c>
      <c r="L2926">
        <v>214.5206</v>
      </c>
      <c r="M2926">
        <v>0.99978299999999998</v>
      </c>
      <c r="N2926">
        <v>-1.455854E-2</v>
      </c>
      <c r="O2926">
        <v>1.490213E-2</v>
      </c>
      <c r="P2926">
        <v>0.97221849999999999</v>
      </c>
      <c r="Q2926">
        <v>0.23185159999999999</v>
      </c>
      <c r="R2926">
        <v>-3.2187309999999997E-2</v>
      </c>
      <c r="S2926">
        <v>3.095383</v>
      </c>
      <c r="T2926">
        <v>-0.1004837</v>
      </c>
      <c r="U2926">
        <v>-0.42749019999999999</v>
      </c>
      <c r="V2926">
        <v>4.6638079999999998E-2</v>
      </c>
      <c r="W2926">
        <v>0.24597920000000001</v>
      </c>
      <c r="X2926">
        <v>0.96815249999999997</v>
      </c>
      <c r="Y2926">
        <v>0.151439299999999</v>
      </c>
      <c r="Z2926">
        <v>-3.8194470000000001E-3</v>
      </c>
      <c r="AA2926">
        <v>0.98845919999999998</v>
      </c>
      <c r="AB2926">
        <v>34</v>
      </c>
      <c r="AC2926">
        <v>34.224999999999902</v>
      </c>
      <c r="AD2926">
        <v>-1.1214593602139999</v>
      </c>
      <c r="AE2926">
        <v>-4.7760000000000096</v>
      </c>
      <c r="AF2926">
        <v>5.2799881871840801</v>
      </c>
      <c r="AG2926">
        <v>-1.1214593602139999</v>
      </c>
      <c r="AH2926">
        <v>34.114090221705602</v>
      </c>
      <c r="AI2926">
        <v>91.8607121899215</v>
      </c>
      <c r="AJ2926">
        <v>81.201889552849195</v>
      </c>
      <c r="AK2926">
        <v>34.538487199182299</v>
      </c>
      <c r="AL2926">
        <v>75.760292241974696</v>
      </c>
      <c r="AM2926">
        <v>87.242065641613095</v>
      </c>
      <c r="AN2926">
        <v>1.0000000702974801</v>
      </c>
    </row>
    <row r="2927" spans="1:40" x14ac:dyDescent="0.25">
      <c r="A2927" t="str">
        <f>"20190303170824081"</f>
        <v>20190303170824081</v>
      </c>
      <c r="B2927" t="str">
        <f>"1551604104066579"</f>
        <v>1551604104066579</v>
      </c>
      <c r="C2927" t="s">
        <v>40</v>
      </c>
      <c r="D2927">
        <v>4.2351109999999998</v>
      </c>
      <c r="E2927">
        <v>0.55044349999999997</v>
      </c>
      <c r="F2927" t="s">
        <v>57</v>
      </c>
      <c r="G2927">
        <v>-193.66669999999999</v>
      </c>
      <c r="H2927" s="1">
        <v>3.8179189999999998E-6</v>
      </c>
      <c r="I2927">
        <v>209.3647</v>
      </c>
      <c r="J2927">
        <v>-228.1053</v>
      </c>
      <c r="K2927">
        <v>1.121462</v>
      </c>
      <c r="L2927">
        <v>214.52590000000001</v>
      </c>
      <c r="M2927">
        <v>0.99978180000000005</v>
      </c>
      <c r="N2927">
        <v>-1.4556639999999999E-2</v>
      </c>
      <c r="O2927">
        <v>1.498415E-2</v>
      </c>
      <c r="P2927">
        <v>0.97231579999999995</v>
      </c>
      <c r="Q2927">
        <v>0.23146839999999999</v>
      </c>
      <c r="R2927">
        <v>-3.2009650000000001E-2</v>
      </c>
      <c r="S2927">
        <v>3.0943450000000001</v>
      </c>
      <c r="T2927">
        <v>-9.9745390000000003E-2</v>
      </c>
      <c r="U2927">
        <v>-0.45857239999999999</v>
      </c>
      <c r="V2927">
        <v>4.6541659999999999E-2</v>
      </c>
      <c r="W2927">
        <v>0.24559600000000001</v>
      </c>
      <c r="X2927">
        <v>0.96825430000000001</v>
      </c>
      <c r="Y2927">
        <v>0.16128120000000001</v>
      </c>
      <c r="Z2927">
        <v>-4.0289030000000003E-3</v>
      </c>
      <c r="AA2927">
        <v>0.98690029999999995</v>
      </c>
      <c r="AB2927">
        <v>34</v>
      </c>
      <c r="AC2927">
        <v>34.438600000000001</v>
      </c>
      <c r="AD2927">
        <v>-1.1214581820809999</v>
      </c>
      <c r="AE2927">
        <v>-5.1612</v>
      </c>
      <c r="AF2927">
        <v>5.6708269221783398</v>
      </c>
      <c r="AG2927">
        <v>-1.1214581820809999</v>
      </c>
      <c r="AH2927">
        <v>34.321792612918699</v>
      </c>
      <c r="AI2927">
        <v>91.846447046296305</v>
      </c>
      <c r="AJ2927">
        <v>80.6180512785009</v>
      </c>
      <c r="AK2927">
        <v>34.805192063823696</v>
      </c>
      <c r="AL2927">
        <v>75.782941150990695</v>
      </c>
      <c r="AM2927">
        <v>87.248047564159194</v>
      </c>
      <c r="AN2927">
        <v>0.99999995540002096</v>
      </c>
    </row>
    <row r="2928" spans="1:40" x14ac:dyDescent="0.25">
      <c r="A2928" t="str">
        <f>"20190303170824106"</f>
        <v>20190303170824106</v>
      </c>
      <c r="B2928" t="str">
        <f>"1551604104095860"</f>
        <v>1551604104095860</v>
      </c>
      <c r="C2928" t="s">
        <v>40</v>
      </c>
      <c r="D2928">
        <v>4.2159500000000003</v>
      </c>
      <c r="E2928">
        <v>0.55121919999999902</v>
      </c>
      <c r="F2928" t="s">
        <v>57</v>
      </c>
      <c r="G2928">
        <v>-192.7655</v>
      </c>
      <c r="H2928" s="1">
        <v>4.014506E-6</v>
      </c>
      <c r="I2928">
        <v>209.226</v>
      </c>
      <c r="J2928">
        <v>-227.7201</v>
      </c>
      <c r="K2928">
        <v>1.121451</v>
      </c>
      <c r="L2928">
        <v>214.5318</v>
      </c>
      <c r="M2928">
        <v>0.99978049999999996</v>
      </c>
      <c r="N2928">
        <v>-1.455415E-2</v>
      </c>
      <c r="O2928">
        <v>1.507381E-2</v>
      </c>
      <c r="P2928">
        <v>0.97235490000000002</v>
      </c>
      <c r="Q2928">
        <v>0.23123650000000001</v>
      </c>
      <c r="R2928">
        <v>-3.2492569999999998E-2</v>
      </c>
      <c r="S2928">
        <v>3.093521</v>
      </c>
      <c r="T2928">
        <v>-9.8168370000000005E-2</v>
      </c>
      <c r="U2928">
        <v>-0.46392820000000001</v>
      </c>
      <c r="V2928">
        <v>4.7112469999999997E-2</v>
      </c>
      <c r="W2928">
        <v>0.2453621</v>
      </c>
      <c r="X2928">
        <v>0.96828599999999998</v>
      </c>
      <c r="Y2928">
        <v>0.163081</v>
      </c>
      <c r="Z2928">
        <v>-4.0239819999999997E-3</v>
      </c>
      <c r="AA2928">
        <v>0.9866045</v>
      </c>
      <c r="AB2928">
        <v>34</v>
      </c>
      <c r="AC2928">
        <v>34.954599999999999</v>
      </c>
      <c r="AD2928">
        <v>-1.1214469854939999</v>
      </c>
      <c r="AE2928">
        <v>-5.3057999999999996</v>
      </c>
      <c r="AF2928">
        <v>5.82628980520012</v>
      </c>
      <c r="AG2928">
        <v>-1.1214469854939999</v>
      </c>
      <c r="AH2928">
        <v>34.835591371636298</v>
      </c>
      <c r="AI2928">
        <v>91.818617950519496</v>
      </c>
      <c r="AJ2928">
        <v>80.505102208129202</v>
      </c>
      <c r="AK2928">
        <v>35.337256860813</v>
      </c>
      <c r="AL2928">
        <v>75.796765724158902</v>
      </c>
      <c r="AM2928">
        <v>87.214440149269905</v>
      </c>
      <c r="AN2928">
        <v>0.99999996137095404</v>
      </c>
    </row>
    <row r="2929" spans="1:40" x14ac:dyDescent="0.25">
      <c r="A2929" t="str">
        <f>"20190303170824145"</f>
        <v>20190303170824145</v>
      </c>
      <c r="B2929" t="str">
        <f>"1551604104135875"</f>
        <v>1551604104135875</v>
      </c>
      <c r="C2929" t="s">
        <v>40</v>
      </c>
      <c r="D2929">
        <v>4.2590120000000002</v>
      </c>
      <c r="E2929">
        <v>0.55239530000000003</v>
      </c>
      <c r="F2929" t="s">
        <v>57</v>
      </c>
      <c r="G2929">
        <v>-191.65790000000001</v>
      </c>
      <c r="H2929" s="1">
        <v>4.2627459999999999E-6</v>
      </c>
      <c r="I2929">
        <v>209.03059999999999</v>
      </c>
      <c r="J2929">
        <v>-227.13980000000001</v>
      </c>
      <c r="K2929">
        <v>1.1214459999999999</v>
      </c>
      <c r="L2929">
        <v>214.54069999999999</v>
      </c>
      <c r="M2929">
        <v>0.99977839999999996</v>
      </c>
      <c r="N2929">
        <v>-1.454982E-2</v>
      </c>
      <c r="O2929">
        <v>1.5209189999999999E-2</v>
      </c>
      <c r="P2929">
        <v>0.97271129999999995</v>
      </c>
      <c r="Q2929">
        <v>0.2296551</v>
      </c>
      <c r="R2929">
        <v>-3.3035080000000001E-2</v>
      </c>
      <c r="S2929">
        <v>3.092422</v>
      </c>
      <c r="T2929">
        <v>-9.6166849999999998E-2</v>
      </c>
      <c r="U2929">
        <v>-0.47174070000000001</v>
      </c>
      <c r="V2929">
        <v>4.7792349999999997E-2</v>
      </c>
      <c r="W2929">
        <v>0.24378130000000001</v>
      </c>
      <c r="X2929">
        <v>0.96865199999999996</v>
      </c>
      <c r="Y2929">
        <v>0.165704399999999</v>
      </c>
      <c r="Z2929">
        <v>-4.0242960000000001E-3</v>
      </c>
      <c r="AA2929">
        <v>0.98616729999999997</v>
      </c>
      <c r="AB2929">
        <v>34</v>
      </c>
      <c r="AC2929">
        <v>35.481900000000003</v>
      </c>
      <c r="AD2929">
        <v>-1.121441737254</v>
      </c>
      <c r="AE2929">
        <v>-5.5100999999999898</v>
      </c>
      <c r="AF2929">
        <v>6.0432759395356896</v>
      </c>
      <c r="AG2929">
        <v>-1.121441737254</v>
      </c>
      <c r="AH2929">
        <v>35.359491763395702</v>
      </c>
      <c r="AI2929">
        <v>91.790605422346999</v>
      </c>
      <c r="AJ2929">
        <v>80.301310950940106</v>
      </c>
      <c r="AK2929">
        <v>35.889726572057903</v>
      </c>
      <c r="AL2929">
        <v>75.890177133089594</v>
      </c>
      <c r="AM2929">
        <v>87.175372369468306</v>
      </c>
      <c r="AN2929">
        <v>1.0000000640261</v>
      </c>
    </row>
    <row r="2930" spans="1:40" x14ac:dyDescent="0.25">
      <c r="A2930" t="str">
        <f>"20190303170824168"</f>
        <v>20190303170824168</v>
      </c>
      <c r="B2930" t="str">
        <f>"1551604104155395"</f>
        <v>1551604104155395</v>
      </c>
      <c r="C2930" t="s">
        <v>40</v>
      </c>
      <c r="D2930">
        <v>4.2608389999999998</v>
      </c>
      <c r="E2930">
        <v>0.5526354</v>
      </c>
      <c r="F2930" t="s">
        <v>57</v>
      </c>
      <c r="G2930">
        <v>-192.43029999999999</v>
      </c>
      <c r="H2930" s="1">
        <v>4.1031679999999999E-6</v>
      </c>
      <c r="I2930">
        <v>209.11580000000001</v>
      </c>
      <c r="J2930">
        <v>-226.7945</v>
      </c>
      <c r="K2930">
        <v>1.121445</v>
      </c>
      <c r="L2930">
        <v>214.54599999999999</v>
      </c>
      <c r="M2930">
        <v>0.99977729999999998</v>
      </c>
      <c r="N2930">
        <v>-1.45471E-2</v>
      </c>
      <c r="O2930">
        <v>1.528883E-2</v>
      </c>
      <c r="P2930">
        <v>0.97258040000000001</v>
      </c>
      <c r="Q2930">
        <v>0.2301009</v>
      </c>
      <c r="R2930">
        <v>-3.3783760000000003E-2</v>
      </c>
      <c r="S2930">
        <v>3.0913240000000002</v>
      </c>
      <c r="T2930">
        <v>-9.9878549999999997E-2</v>
      </c>
      <c r="U2930">
        <v>-0.48315429999999998</v>
      </c>
      <c r="V2930">
        <v>4.861621E-2</v>
      </c>
      <c r="W2930">
        <v>0.24422240000000001</v>
      </c>
      <c r="X2930">
        <v>0.96849980000000002</v>
      </c>
      <c r="Y2930">
        <v>0.16937959999999999</v>
      </c>
      <c r="Z2930">
        <v>-4.2290230000000002E-3</v>
      </c>
      <c r="AA2930">
        <v>0.98554180000000002</v>
      </c>
      <c r="AB2930">
        <v>34</v>
      </c>
      <c r="AC2930">
        <v>34.364199999999997</v>
      </c>
      <c r="AD2930">
        <v>-1.121440896832</v>
      </c>
      <c r="AE2930">
        <v>-5.4301999999999797</v>
      </c>
      <c r="AF2930">
        <v>5.9488281600222601</v>
      </c>
      <c r="AG2930">
        <v>-1.121440896832</v>
      </c>
      <c r="AH2930">
        <v>34.241574329502903</v>
      </c>
      <c r="AI2930">
        <v>91.848151424178297</v>
      </c>
      <c r="AJ2930">
        <v>80.144309016934699</v>
      </c>
      <c r="AK2930">
        <v>34.7725696307511</v>
      </c>
      <c r="AL2930">
        <v>75.864115196128907</v>
      </c>
      <c r="AM2930">
        <v>87.126310652553101</v>
      </c>
      <c r="AN2930">
        <v>0.99999998956828196</v>
      </c>
    </row>
    <row r="2931" spans="1:40" x14ac:dyDescent="0.25">
      <c r="A2931" t="str">
        <f>"20190303170824191"</f>
        <v>20190303170824191</v>
      </c>
      <c r="B2931" t="str">
        <f>"1551604104175892"</f>
        <v>1551604104175892</v>
      </c>
      <c r="C2931" t="s">
        <v>40</v>
      </c>
      <c r="D2931">
        <v>4.2347910000000004</v>
      </c>
      <c r="E2931">
        <v>0.55298849999999999</v>
      </c>
      <c r="F2931" t="s">
        <v>57</v>
      </c>
      <c r="G2931">
        <v>-191.52330000000001</v>
      </c>
      <c r="H2931" s="1">
        <v>4.2973240000000002E-6</v>
      </c>
      <c r="I2931">
        <v>208.99010000000001</v>
      </c>
      <c r="J2931">
        <v>-226.45150000000001</v>
      </c>
      <c r="K2931">
        <v>1.121453</v>
      </c>
      <c r="L2931">
        <v>214.5513</v>
      </c>
      <c r="M2931">
        <v>0.9997762</v>
      </c>
      <c r="N2931">
        <v>-1.454427E-2</v>
      </c>
      <c r="O2931">
        <v>1.53597E-2</v>
      </c>
      <c r="P2931">
        <v>0.97230039999999995</v>
      </c>
      <c r="Q2931">
        <v>0.23103309999999999</v>
      </c>
      <c r="R2931">
        <v>-3.5434260000000002E-2</v>
      </c>
      <c r="S2931">
        <v>3.0909270000000002</v>
      </c>
      <c r="T2931">
        <v>-9.8275420000000002E-2</v>
      </c>
      <c r="U2931">
        <v>-0.48687740000000002</v>
      </c>
      <c r="V2931">
        <v>5.0333650000000001E-2</v>
      </c>
      <c r="W2931">
        <v>0.24514710000000001</v>
      </c>
      <c r="X2931">
        <v>0.96817839999999999</v>
      </c>
      <c r="Y2931">
        <v>0.170629799999999</v>
      </c>
      <c r="Z2931">
        <v>-4.2076730000000003E-3</v>
      </c>
      <c r="AA2931">
        <v>0.98532620000000004</v>
      </c>
      <c r="AB2931">
        <v>34</v>
      </c>
      <c r="AC2931">
        <v>34.928199999999997</v>
      </c>
      <c r="AD2931">
        <v>-1.1214487026760001</v>
      </c>
      <c r="AE2931">
        <v>-5.5611999999999799</v>
      </c>
      <c r="AF2931">
        <v>6.0909634854843304</v>
      </c>
      <c r="AG2931">
        <v>-1.1214487026760001</v>
      </c>
      <c r="AH2931">
        <v>34.803660128042402</v>
      </c>
      <c r="AI2931">
        <v>91.817943289670893</v>
      </c>
      <c r="AJ2931">
        <v>80.073238612707996</v>
      </c>
      <c r="AK2931">
        <v>35.350420671931602</v>
      </c>
      <c r="AL2931">
        <v>75.809472891302704</v>
      </c>
      <c r="AM2931">
        <v>87.023986738610205</v>
      </c>
      <c r="AN2931">
        <v>0.99999999559364605</v>
      </c>
    </row>
    <row r="2932" spans="1:40" x14ac:dyDescent="0.25">
      <c r="A2932" t="str">
        <f>"20190303170824214"</f>
        <v>20190303170824214</v>
      </c>
      <c r="B2932" t="str">
        <f>"1551604104206147"</f>
        <v>1551604104206147</v>
      </c>
      <c r="C2932" t="s">
        <v>40</v>
      </c>
      <c r="D2932">
        <v>4.2594450000000004</v>
      </c>
      <c r="E2932">
        <v>0.55347290000000005</v>
      </c>
      <c r="F2932" t="s">
        <v>57</v>
      </c>
      <c r="G2932">
        <v>-189.8107</v>
      </c>
      <c r="H2932" s="1">
        <v>4.7101050000000004E-6</v>
      </c>
      <c r="I2932">
        <v>208.69130000000001</v>
      </c>
      <c r="J2932">
        <v>-226.0949</v>
      </c>
      <c r="K2932">
        <v>1.121456</v>
      </c>
      <c r="L2932">
        <v>214.55680000000001</v>
      </c>
      <c r="M2932">
        <v>0.99977559999999999</v>
      </c>
      <c r="N2932">
        <v>-1.4541220000000001E-2</v>
      </c>
      <c r="O2932">
        <v>1.5415430000000001E-2</v>
      </c>
      <c r="P2932">
        <v>0.97196110000000002</v>
      </c>
      <c r="Q2932">
        <v>0.2321222</v>
      </c>
      <c r="R2932">
        <v>-3.7568589999999999E-2</v>
      </c>
      <c r="S2932">
        <v>3.0899049999999999</v>
      </c>
      <c r="T2932">
        <v>-9.4571230000000006E-2</v>
      </c>
      <c r="U2932">
        <v>-0.49417109999999898</v>
      </c>
      <c r="V2932">
        <v>5.2523300000000002E-2</v>
      </c>
      <c r="W2932">
        <v>0.2462269</v>
      </c>
      <c r="X2932">
        <v>0.96778799999999998</v>
      </c>
      <c r="Y2932">
        <v>0.17300940000000001</v>
      </c>
      <c r="Z2932">
        <v>-4.1427970000000001E-3</v>
      </c>
      <c r="AA2932">
        <v>0.98491139999999999</v>
      </c>
      <c r="AB2932">
        <v>33</v>
      </c>
      <c r="AC2932">
        <v>36.284199999999998</v>
      </c>
      <c r="AD2932">
        <v>-1.121451289895</v>
      </c>
      <c r="AE2932">
        <v>-5.8654999999999902</v>
      </c>
      <c r="AF2932">
        <v>6.41822349123336</v>
      </c>
      <c r="AG2932">
        <v>-1.121451289895</v>
      </c>
      <c r="AH2932">
        <v>36.155799938116303</v>
      </c>
      <c r="AI2932">
        <v>91.749254502514702</v>
      </c>
      <c r="AJ2932">
        <v>79.933956498014894</v>
      </c>
      <c r="AK2932">
        <v>36.738169727738502</v>
      </c>
      <c r="AL2932">
        <v>75.745648678015996</v>
      </c>
      <c r="AM2932">
        <v>86.893520028538703</v>
      </c>
      <c r="AN2932">
        <v>0.99999999813524898</v>
      </c>
    </row>
    <row r="2933" spans="1:40" x14ac:dyDescent="0.25">
      <c r="A2933" t="str">
        <f>"20190303170824235"</f>
        <v>20190303170824235</v>
      </c>
      <c r="B2933" t="str">
        <f>"1551604104225667"</f>
        <v>1551604104225667</v>
      </c>
      <c r="C2933" t="s">
        <v>40</v>
      </c>
      <c r="D2933">
        <v>4.2680449999999999</v>
      </c>
      <c r="E2933">
        <v>0.55720539999999996</v>
      </c>
      <c r="F2933" t="s">
        <v>57</v>
      </c>
      <c r="G2933">
        <v>-187.73660000000001</v>
      </c>
      <c r="H2933" s="1">
        <v>4.4859620000000001E-6</v>
      </c>
      <c r="I2933">
        <v>208.28460000000001</v>
      </c>
      <c r="J2933">
        <v>-225.7816</v>
      </c>
      <c r="K2933">
        <v>1.121454</v>
      </c>
      <c r="L2933">
        <v>214.5617</v>
      </c>
      <c r="M2933">
        <v>0.99977510000000003</v>
      </c>
      <c r="N2933">
        <v>-1.453846E-2</v>
      </c>
      <c r="O2933">
        <v>1.545152E-2</v>
      </c>
      <c r="P2933">
        <v>0.97159300000000004</v>
      </c>
      <c r="Q2933">
        <v>0.23330239999999999</v>
      </c>
      <c r="R2933">
        <v>-3.971475E-2</v>
      </c>
      <c r="S2933">
        <v>3.0885929999999999</v>
      </c>
      <c r="T2933">
        <v>-9.029877E-2</v>
      </c>
      <c r="U2933">
        <v>-0.50503540000000002</v>
      </c>
      <c r="V2933">
        <v>5.4706190000000002E-2</v>
      </c>
      <c r="W2933">
        <v>0.2473969</v>
      </c>
      <c r="X2933">
        <v>0.96736860000000002</v>
      </c>
      <c r="Y2933">
        <v>0.17649210000000001</v>
      </c>
      <c r="Z2933">
        <v>-4.0800350000000001E-3</v>
      </c>
      <c r="AA2933">
        <v>0.98429359999999999</v>
      </c>
      <c r="AB2933">
        <v>33</v>
      </c>
      <c r="AC2933">
        <v>38.044999999999902</v>
      </c>
      <c r="AD2933">
        <v>-1.1214495140379901</v>
      </c>
      <c r="AE2933">
        <v>-6.2770999999999901</v>
      </c>
      <c r="AF2933">
        <v>6.85846425737404</v>
      </c>
      <c r="AG2933">
        <v>-1.1214495140379901</v>
      </c>
      <c r="AH2933">
        <v>37.911388357787899</v>
      </c>
      <c r="AI2933">
        <v>91.667313096729004</v>
      </c>
      <c r="AJ2933">
        <v>79.745655841737801</v>
      </c>
      <c r="AK2933">
        <v>38.543086905400102</v>
      </c>
      <c r="AL2933">
        <v>75.676472575965803</v>
      </c>
      <c r="AM2933">
        <v>86.763282568844005</v>
      </c>
      <c r="AN2933">
        <v>1.0000000008099399</v>
      </c>
    </row>
    <row r="2934" spans="1:40" x14ac:dyDescent="0.25">
      <c r="A2934" t="str">
        <f>"20190303170824256"</f>
        <v>20190303170824256</v>
      </c>
      <c r="B2934" t="str">
        <f>"1551604104246164"</f>
        <v>1551604104246164</v>
      </c>
      <c r="C2934" t="s">
        <v>40</v>
      </c>
      <c r="D2934">
        <v>4.3009000000000004</v>
      </c>
      <c r="E2934">
        <v>0.55702169999999995</v>
      </c>
      <c r="F2934" t="s">
        <v>57</v>
      </c>
      <c r="G2934">
        <v>-179.95679999999999</v>
      </c>
      <c r="H2934">
        <v>5.0985269999999999E-2</v>
      </c>
      <c r="I2934">
        <v>206.5044</v>
      </c>
      <c r="J2934">
        <v>-225.46369999999999</v>
      </c>
      <c r="K2934">
        <v>1.1214379999999999</v>
      </c>
      <c r="L2934">
        <v>214.56659999999999</v>
      </c>
      <c r="M2934">
        <v>0.99977459999999996</v>
      </c>
      <c r="N2934">
        <v>-1.4535589999999999E-2</v>
      </c>
      <c r="O2934">
        <v>1.547689E-2</v>
      </c>
      <c r="P2934">
        <v>0.97111479999999994</v>
      </c>
      <c r="Q2934">
        <v>0.23480999999999999</v>
      </c>
      <c r="R2934">
        <v>-4.2431440000000001E-2</v>
      </c>
      <c r="S2934">
        <v>3.08284</v>
      </c>
      <c r="T2934">
        <v>-7.2015289999999996E-2</v>
      </c>
      <c r="U2934">
        <v>-0.54205319999999901</v>
      </c>
      <c r="V2934">
        <v>5.7447249999999998E-2</v>
      </c>
      <c r="W2934">
        <v>0.24889210000000001</v>
      </c>
      <c r="X2934">
        <v>0.96682599999999996</v>
      </c>
      <c r="Y2934">
        <v>0.18831429999999999</v>
      </c>
      <c r="Z2934">
        <v>-3.6975670000000001E-3</v>
      </c>
      <c r="AA2934">
        <v>0.98210189999999997</v>
      </c>
      <c r="AB2934">
        <v>33</v>
      </c>
      <c r="AC2934">
        <v>45.506900000000002</v>
      </c>
      <c r="AD2934">
        <v>-1.07045273</v>
      </c>
      <c r="AE2934">
        <v>-8.06219999999999</v>
      </c>
      <c r="AF2934">
        <v>8.7609137180479504</v>
      </c>
      <c r="AG2934">
        <v>-1.07045273</v>
      </c>
      <c r="AH2934">
        <v>45.352326424251601</v>
      </c>
      <c r="AI2934">
        <v>91.327569316693797</v>
      </c>
      <c r="AJ2934">
        <v>79.066586532862502</v>
      </c>
      <c r="AK2934">
        <v>46.203170782037397</v>
      </c>
      <c r="AL2934">
        <v>75.588037777043397</v>
      </c>
      <c r="AM2934">
        <v>86.599574716583803</v>
      </c>
      <c r="AN2934">
        <v>0.99999998912548604</v>
      </c>
    </row>
    <row r="2935" spans="1:40" x14ac:dyDescent="0.25">
      <c r="A2935" t="str">
        <f>"20190303170824288"</f>
        <v>20190303170824288</v>
      </c>
      <c r="B2935" t="str">
        <f>"1551604104276420"</f>
        <v>1551604104276420</v>
      </c>
      <c r="C2935" t="s">
        <v>40</v>
      </c>
      <c r="D2935">
        <v>4.3008800000000003</v>
      </c>
      <c r="E2935">
        <v>0.55684519999999904</v>
      </c>
      <c r="F2935" t="s">
        <v>57</v>
      </c>
      <c r="G2935">
        <v>-179.9289</v>
      </c>
      <c r="H2935">
        <v>7.8877359999999994E-2</v>
      </c>
      <c r="I2935">
        <v>206.46770000000001</v>
      </c>
      <c r="J2935">
        <v>-225.01580000000001</v>
      </c>
      <c r="K2935">
        <v>1.1214170000000001</v>
      </c>
      <c r="L2935">
        <v>214.5736</v>
      </c>
      <c r="M2935">
        <v>0.9997743</v>
      </c>
      <c r="N2935">
        <v>-1.4531540000000001E-2</v>
      </c>
      <c r="O2935">
        <v>1.549437E-2</v>
      </c>
      <c r="P2935">
        <v>0.97103819999999996</v>
      </c>
      <c r="Q2935">
        <v>0.23482210000000001</v>
      </c>
      <c r="R2935">
        <v>-4.4088349999999998E-2</v>
      </c>
      <c r="S2935">
        <v>3.0823360000000002</v>
      </c>
      <c r="T2935">
        <v>-7.0572850000000006E-2</v>
      </c>
      <c r="U2935">
        <v>-0.54823299999999997</v>
      </c>
      <c r="V2935">
        <v>5.9128630000000001E-2</v>
      </c>
      <c r="W2935">
        <v>0.2488967</v>
      </c>
      <c r="X2935">
        <v>0.96672340000000001</v>
      </c>
      <c r="Y2935">
        <v>0.19026960000000001</v>
      </c>
      <c r="Z2935">
        <v>-3.6832689999999999E-3</v>
      </c>
      <c r="AA2935">
        <v>0.98172499999999996</v>
      </c>
      <c r="AB2935">
        <v>33</v>
      </c>
      <c r="AC2935">
        <v>45.0869</v>
      </c>
      <c r="AD2935">
        <v>-1.04253964</v>
      </c>
      <c r="AE2935">
        <v>-8.1058999999999894</v>
      </c>
      <c r="AF2935">
        <v>8.7990363771574298</v>
      </c>
      <c r="AG2935">
        <v>-1.04253964</v>
      </c>
      <c r="AH2935">
        <v>44.932605478377603</v>
      </c>
      <c r="AI2935">
        <v>91.304388687023305</v>
      </c>
      <c r="AJ2935">
        <v>78.920126859620197</v>
      </c>
      <c r="AK2935">
        <v>45.797914419141897</v>
      </c>
      <c r="AL2935">
        <v>75.587765034562693</v>
      </c>
      <c r="AM2935">
        <v>86.499923599206895</v>
      </c>
      <c r="AN2935">
        <v>0.99999994713206197</v>
      </c>
    </row>
    <row r="2936" spans="1:40" x14ac:dyDescent="0.25">
      <c r="A2936" t="str">
        <f>"20190303170824308"</f>
        <v>20190303170824308</v>
      </c>
      <c r="B2936" t="str">
        <f>"1551604104295939"</f>
        <v>1551604104295939</v>
      </c>
      <c r="C2936" t="s">
        <v>40</v>
      </c>
      <c r="D2936">
        <v>4.307213</v>
      </c>
      <c r="E2936">
        <v>0.55656619999999901</v>
      </c>
      <c r="F2936" t="s">
        <v>57</v>
      </c>
      <c r="G2936">
        <v>-179.934</v>
      </c>
      <c r="H2936">
        <v>7.3759240000000004E-2</v>
      </c>
      <c r="I2936">
        <v>206.49299999999999</v>
      </c>
      <c r="J2936">
        <v>-224.70009999999999</v>
      </c>
      <c r="K2936">
        <v>1.1214010000000001</v>
      </c>
      <c r="L2936">
        <v>214.57839999999999</v>
      </c>
      <c r="M2936">
        <v>0.99977459999999996</v>
      </c>
      <c r="N2936">
        <v>-1.4528569999999999E-2</v>
      </c>
      <c r="O2936">
        <v>1.5485199999999999E-2</v>
      </c>
      <c r="P2936">
        <v>0.97137010000000001</v>
      </c>
      <c r="Q2936">
        <v>0.23325609999999999</v>
      </c>
      <c r="R2936">
        <v>-4.5075240000000003E-2</v>
      </c>
      <c r="S2936">
        <v>3.081696</v>
      </c>
      <c r="T2936">
        <v>-7.1615699999999893E-2</v>
      </c>
      <c r="U2936">
        <v>-0.55236819999999998</v>
      </c>
      <c r="V2936">
        <v>6.0118089999999999E-2</v>
      </c>
      <c r="W2936">
        <v>0.2473313</v>
      </c>
      <c r="X2936">
        <v>0.96706409999999998</v>
      </c>
      <c r="Y2936">
        <v>0.19156970000000001</v>
      </c>
      <c r="Z2936">
        <v>-3.7450069999999998E-3</v>
      </c>
      <c r="AA2936">
        <v>0.98147180000000001</v>
      </c>
      <c r="AB2936">
        <v>33</v>
      </c>
      <c r="AC2936">
        <v>44.766099999999902</v>
      </c>
      <c r="AD2936">
        <v>-1.0476417600000001</v>
      </c>
      <c r="AE2936">
        <v>-8.0853999999999893</v>
      </c>
      <c r="AF2936">
        <v>8.7730624314757595</v>
      </c>
      <c r="AG2936">
        <v>-1.0476417600000001</v>
      </c>
      <c r="AH2936">
        <v>44.611852870628297</v>
      </c>
      <c r="AI2936">
        <v>91.319985067469801</v>
      </c>
      <c r="AJ2936">
        <v>78.874569337485397</v>
      </c>
      <c r="AK2936">
        <v>45.478364023285302</v>
      </c>
      <c r="AL2936">
        <v>75.680351211053903</v>
      </c>
      <c r="AM2936">
        <v>86.442752950360799</v>
      </c>
      <c r="AN2936">
        <v>0.99999996510687295</v>
      </c>
    </row>
    <row r="2937" spans="1:40" x14ac:dyDescent="0.25">
      <c r="A2937" t="str">
        <f>"20190303170824334"</f>
        <v>20190303170824334</v>
      </c>
      <c r="B2937" t="str">
        <f>"1551604104326196"</f>
        <v>1551604104326196</v>
      </c>
      <c r="C2937" t="s">
        <v>40</v>
      </c>
      <c r="D2937">
        <v>4.3430220000000004</v>
      </c>
      <c r="E2937">
        <v>0.55659150000000002</v>
      </c>
      <c r="F2937" t="s">
        <v>57</v>
      </c>
      <c r="G2937">
        <v>-180.49209999999999</v>
      </c>
      <c r="H2937" s="1">
        <v>3.5470780000000001E-6</v>
      </c>
      <c r="I2937">
        <v>206.6208</v>
      </c>
      <c r="J2937">
        <v>-224.31319999999999</v>
      </c>
      <c r="K2937">
        <v>1.12137</v>
      </c>
      <c r="L2937">
        <v>214.58439999999999</v>
      </c>
      <c r="M2937">
        <v>0.99977559999999999</v>
      </c>
      <c r="N2937">
        <v>-1.4524840000000001E-2</v>
      </c>
      <c r="O2937">
        <v>1.542018E-2</v>
      </c>
      <c r="P2937">
        <v>0.97151399999999999</v>
      </c>
      <c r="Q2937">
        <v>0.2324388</v>
      </c>
      <c r="R2937">
        <v>-4.6185520000000001E-2</v>
      </c>
      <c r="S2937">
        <v>3.0814509999999999</v>
      </c>
      <c r="T2937">
        <v>-7.8165289999999998E-2</v>
      </c>
      <c r="U2937">
        <v>-0.55467219999999995</v>
      </c>
      <c r="V2937">
        <v>6.1184170000000003E-2</v>
      </c>
      <c r="W2937">
        <v>0.2465078</v>
      </c>
      <c r="X2937">
        <v>0.9672075</v>
      </c>
      <c r="Y2937">
        <v>0.1922171</v>
      </c>
      <c r="Z2937">
        <v>-3.9916029999999998E-3</v>
      </c>
      <c r="AA2937">
        <v>0.98134429999999995</v>
      </c>
      <c r="AB2937">
        <v>33</v>
      </c>
      <c r="AC2937">
        <v>43.821100000000001</v>
      </c>
      <c r="AD2937">
        <v>-1.121366452922</v>
      </c>
      <c r="AE2937">
        <v>-7.96359999999998</v>
      </c>
      <c r="AF2937">
        <v>8.6329810784350496</v>
      </c>
      <c r="AG2937">
        <v>-1.121366452922</v>
      </c>
      <c r="AH2937">
        <v>43.665396273307501</v>
      </c>
      <c r="AI2937">
        <v>91.443160728144406</v>
      </c>
      <c r="AJ2937">
        <v>78.816415664136699</v>
      </c>
      <c r="AK2937">
        <v>44.524742073675498</v>
      </c>
      <c r="AL2937">
        <v>75.729042066119405</v>
      </c>
      <c r="AM2937">
        <v>86.380373541699001</v>
      </c>
      <c r="AN2937">
        <v>0.99999997308783894</v>
      </c>
    </row>
    <row r="2938" spans="1:40" x14ac:dyDescent="0.25">
      <c r="A2938" t="str">
        <f>"20190303170824355"</f>
        <v>20190303170824355</v>
      </c>
      <c r="B2938" t="str">
        <f>"1551604104345716"</f>
        <v>1551604104345716</v>
      </c>
      <c r="C2938" t="s">
        <v>40</v>
      </c>
      <c r="D2938">
        <v>4.3448140000000004</v>
      </c>
      <c r="E2938">
        <v>0.55648109999999995</v>
      </c>
      <c r="F2938" t="s">
        <v>57</v>
      </c>
      <c r="G2938">
        <v>-182.1514</v>
      </c>
      <c r="H2938" s="1">
        <v>3.8293860000000002E-6</v>
      </c>
      <c r="I2938">
        <v>206.94409999999999</v>
      </c>
      <c r="J2938">
        <v>-224.00280000000001</v>
      </c>
      <c r="K2938">
        <v>1.1213310000000001</v>
      </c>
      <c r="L2938">
        <v>214.5891</v>
      </c>
      <c r="M2938">
        <v>0.99977720000000003</v>
      </c>
      <c r="N2938">
        <v>-1.452181E-2</v>
      </c>
      <c r="O2938">
        <v>1.532303E-2</v>
      </c>
      <c r="P2938">
        <v>0.97171589999999997</v>
      </c>
      <c r="Q2938">
        <v>0.2314263</v>
      </c>
      <c r="R2938">
        <v>-4.7013609999999997E-2</v>
      </c>
      <c r="S2938">
        <v>3.0810089999999999</v>
      </c>
      <c r="T2938">
        <v>-8.1944820000000002E-2</v>
      </c>
      <c r="U2938">
        <v>-0.55831909999999996</v>
      </c>
      <c r="V2938">
        <v>6.1941650000000001E-2</v>
      </c>
      <c r="W2938">
        <v>0.2454906</v>
      </c>
      <c r="X2938">
        <v>0.967418</v>
      </c>
      <c r="Y2938">
        <v>0.19326270000000001</v>
      </c>
      <c r="Z2938">
        <v>-4.1475929999999998E-3</v>
      </c>
      <c r="AA2938">
        <v>0.98113830000000002</v>
      </c>
      <c r="AB2938">
        <v>33</v>
      </c>
      <c r="AC2938">
        <v>41.851399999999998</v>
      </c>
      <c r="AD2938">
        <v>-1.12132717061399</v>
      </c>
      <c r="AE2938">
        <v>-7.6449999999999996</v>
      </c>
      <c r="AF2938">
        <v>8.2797082886193198</v>
      </c>
      <c r="AG2938">
        <v>-1.12132717061399</v>
      </c>
      <c r="AH2938">
        <v>41.700359787306901</v>
      </c>
      <c r="AI2938">
        <v>91.510839476028394</v>
      </c>
      <c r="AJ2938">
        <v>78.769838657524303</v>
      </c>
      <c r="AK2938">
        <v>42.5291776355837</v>
      </c>
      <c r="AL2938">
        <v>75.789171414975698</v>
      </c>
      <c r="AM2938">
        <v>86.3364778792739</v>
      </c>
      <c r="AN2938">
        <v>0.99999999470854095</v>
      </c>
    </row>
    <row r="2939" spans="1:40" x14ac:dyDescent="0.25">
      <c r="A2939" t="str">
        <f>"20190303170824374"</f>
        <v>20190303170824374</v>
      </c>
      <c r="B2939" t="str">
        <f>"1551604104366212"</f>
        <v>1551604104366212</v>
      </c>
      <c r="C2939" t="s">
        <v>40</v>
      </c>
      <c r="D2939">
        <v>4.374803</v>
      </c>
      <c r="E2939">
        <v>0.55633679999999996</v>
      </c>
      <c r="F2939" t="s">
        <v>57</v>
      </c>
      <c r="G2939">
        <v>-184.21279999999999</v>
      </c>
      <c r="H2939" s="1">
        <v>4.1764039999999996E-6</v>
      </c>
      <c r="I2939">
        <v>207.3597</v>
      </c>
      <c r="J2939">
        <v>-223.708</v>
      </c>
      <c r="K2939">
        <v>1.121294</v>
      </c>
      <c r="L2939">
        <v>214.59350000000001</v>
      </c>
      <c r="M2939">
        <v>0.99977919999999998</v>
      </c>
      <c r="N2939">
        <v>-1.4518959999999999E-2</v>
      </c>
      <c r="O2939">
        <v>1.519423E-2</v>
      </c>
      <c r="P2939">
        <v>0.97187860000000004</v>
      </c>
      <c r="Q2939">
        <v>0.2305905</v>
      </c>
      <c r="R2939">
        <v>-4.7752629999999997E-2</v>
      </c>
      <c r="S2939">
        <v>3.0809169999999999</v>
      </c>
      <c r="T2939">
        <v>-8.6823819999999996E-2</v>
      </c>
      <c r="U2939">
        <v>-0.55976870000000001</v>
      </c>
      <c r="V2939">
        <v>6.2580109999999994E-2</v>
      </c>
      <c r="W2939">
        <v>0.24464830000000001</v>
      </c>
      <c r="X2939">
        <v>0.96759030000000001</v>
      </c>
      <c r="Y2939">
        <v>0.19357750000000001</v>
      </c>
      <c r="Z2939">
        <v>-4.3281500000000002E-3</v>
      </c>
      <c r="AA2939">
        <v>0.98107549999999999</v>
      </c>
      <c r="AB2939">
        <v>33</v>
      </c>
      <c r="AC2939">
        <v>39.495199999999997</v>
      </c>
      <c r="AD2939">
        <v>-1.1212898235959901</v>
      </c>
      <c r="AE2939">
        <v>-7.2337999999999996</v>
      </c>
      <c r="AF2939">
        <v>7.8270231506222503</v>
      </c>
      <c r="AG2939">
        <v>-1.1212898235959901</v>
      </c>
      <c r="AH2939">
        <v>39.350028600031102</v>
      </c>
      <c r="AI2939">
        <v>91.600872538330606</v>
      </c>
      <c r="AJ2939">
        <v>78.750257990016294</v>
      </c>
      <c r="AK2939">
        <v>40.136571018114402</v>
      </c>
      <c r="AL2939">
        <v>75.838950046487895</v>
      </c>
      <c r="AM2939">
        <v>86.2994780061684</v>
      </c>
      <c r="AN2939">
        <v>1.00000002475729</v>
      </c>
    </row>
    <row r="2940" spans="1:40" x14ac:dyDescent="0.25">
      <c r="A2940" t="str">
        <f>"20190303170824399"</f>
        <v>20190303170824399</v>
      </c>
      <c r="B2940" t="str">
        <f>"1551604104385732"</f>
        <v>1551604104385732</v>
      </c>
      <c r="C2940" t="s">
        <v>40</v>
      </c>
      <c r="D2940">
        <v>4.3672680000000001</v>
      </c>
      <c r="E2940">
        <v>0.55622519999999998</v>
      </c>
      <c r="F2940" t="s">
        <v>57</v>
      </c>
      <c r="G2940">
        <v>-184.76480000000001</v>
      </c>
      <c r="H2940" s="1">
        <v>4.2399120000000002E-6</v>
      </c>
      <c r="I2940">
        <v>207.48949999999999</v>
      </c>
      <c r="J2940">
        <v>-223.35300000000001</v>
      </c>
      <c r="K2940">
        <v>1.1212420000000001</v>
      </c>
      <c r="L2940">
        <v>214.59870000000001</v>
      </c>
      <c r="M2940">
        <v>0.99978259999999997</v>
      </c>
      <c r="N2940">
        <v>-1.4515520000000001E-2</v>
      </c>
      <c r="O2940">
        <v>1.497741E-2</v>
      </c>
      <c r="P2940">
        <v>0.97196530000000003</v>
      </c>
      <c r="Q2940">
        <v>0.23011290000000001</v>
      </c>
      <c r="R2940">
        <v>-4.8287219999999999E-2</v>
      </c>
      <c r="S2940">
        <v>3.0802610000000001</v>
      </c>
      <c r="T2940">
        <v>-8.8690039999999998E-2</v>
      </c>
      <c r="U2940">
        <v>-0.56190490000000004</v>
      </c>
      <c r="V2940">
        <v>6.2935409999999997E-2</v>
      </c>
      <c r="W2940">
        <v>0.2441605</v>
      </c>
      <c r="X2940">
        <v>0.96769050000000001</v>
      </c>
      <c r="Y2940">
        <v>0.19405559999999999</v>
      </c>
      <c r="Z2940">
        <v>-4.4029550000000001E-3</v>
      </c>
      <c r="AA2940">
        <v>0.98098059999999998</v>
      </c>
      <c r="AB2940">
        <v>33</v>
      </c>
      <c r="AC2940">
        <v>38.588199999999901</v>
      </c>
      <c r="AD2940">
        <v>-1.1212377600879999</v>
      </c>
      <c r="AE2940">
        <v>-7.1092000000000102</v>
      </c>
      <c r="AF2940">
        <v>7.68014319029351</v>
      </c>
      <c r="AG2940">
        <v>-1.1212377600879999</v>
      </c>
      <c r="AH2940">
        <v>38.445988510741898</v>
      </c>
      <c r="AI2940">
        <v>91.638151047936802</v>
      </c>
      <c r="AJ2940">
        <v>78.7030429920258</v>
      </c>
      <c r="AK2940">
        <v>39.2216242155543</v>
      </c>
      <c r="AL2940">
        <v>75.867773534615594</v>
      </c>
      <c r="AM2940">
        <v>86.278911341749406</v>
      </c>
      <c r="AN2940">
        <v>1.00000005969118</v>
      </c>
    </row>
    <row r="2941" spans="1:40" x14ac:dyDescent="0.25">
      <c r="A2941" t="str">
        <f>"20190303170824421"</f>
        <v>20190303170824421</v>
      </c>
      <c r="B2941" t="str">
        <f>"1551604104406227"</f>
        <v>1551604104406227</v>
      </c>
      <c r="C2941" t="s">
        <v>40</v>
      </c>
      <c r="D2941">
        <v>4.3671800000000003</v>
      </c>
      <c r="E2941">
        <v>0.55624989999999996</v>
      </c>
      <c r="F2941" t="s">
        <v>57</v>
      </c>
      <c r="G2941">
        <v>-185.11</v>
      </c>
      <c r="H2941" s="1">
        <v>4.261869E-6</v>
      </c>
      <c r="I2941">
        <v>207.60050000000001</v>
      </c>
      <c r="J2941">
        <v>-223.02440000000001</v>
      </c>
      <c r="K2941">
        <v>1.121192</v>
      </c>
      <c r="L2941">
        <v>214.60329999999999</v>
      </c>
      <c r="M2941">
        <v>0.99978659999999997</v>
      </c>
      <c r="N2941">
        <v>-1.4512280000000001E-2</v>
      </c>
      <c r="O2941">
        <v>1.4708300000000001E-2</v>
      </c>
      <c r="P2941">
        <v>0.97191450000000001</v>
      </c>
      <c r="Q2941">
        <v>0.22999069999999999</v>
      </c>
      <c r="R2941">
        <v>-4.9867670000000003E-2</v>
      </c>
      <c r="S2941">
        <v>3.0799099999999999</v>
      </c>
      <c r="T2941">
        <v>-9.0299130000000005E-2</v>
      </c>
      <c r="U2941">
        <v>-0.56359859999999995</v>
      </c>
      <c r="V2941">
        <v>6.4283530000000005E-2</v>
      </c>
      <c r="W2941">
        <v>0.2440264</v>
      </c>
      <c r="X2941">
        <v>0.96763560000000004</v>
      </c>
      <c r="Y2941">
        <v>0.19432940000000001</v>
      </c>
      <c r="Z2941">
        <v>-4.463013E-3</v>
      </c>
      <c r="AA2941">
        <v>0.98092619999999997</v>
      </c>
      <c r="AB2941">
        <v>33</v>
      </c>
      <c r="AC2941">
        <v>37.914400000000001</v>
      </c>
      <c r="AD2941">
        <v>-1.121187738131</v>
      </c>
      <c r="AE2941">
        <v>-7.0027999999999704</v>
      </c>
      <c r="AF2941">
        <v>7.5533700294943804</v>
      </c>
      <c r="AG2941">
        <v>-1.121187738131</v>
      </c>
      <c r="AH2941">
        <v>37.775343783228003</v>
      </c>
      <c r="AI2941">
        <v>91.667082346877294</v>
      </c>
      <c r="AJ2941">
        <v>78.692544995108094</v>
      </c>
      <c r="AK2941">
        <v>38.539422137438201</v>
      </c>
      <c r="AL2941">
        <v>75.875695050293004</v>
      </c>
      <c r="AM2941">
        <v>86.199219218172601</v>
      </c>
      <c r="AN2941">
        <v>0.99999995525678897</v>
      </c>
    </row>
    <row r="2942" spans="1:40" x14ac:dyDescent="0.25">
      <c r="A2942" t="str">
        <f>"20190303170824445"</f>
        <v>20190303170824445</v>
      </c>
      <c r="B2942" t="str">
        <f>"1551604104436483"</f>
        <v>1551604104436483</v>
      </c>
      <c r="C2942" t="s">
        <v>40</v>
      </c>
      <c r="D2942">
        <v>4.365856</v>
      </c>
      <c r="E2942">
        <v>0.55626009999999904</v>
      </c>
      <c r="F2942" t="s">
        <v>57</v>
      </c>
      <c r="G2942">
        <v>-184.73759999999999</v>
      </c>
      <c r="H2942" s="1">
        <v>4.2202559999999997E-6</v>
      </c>
      <c r="I2942">
        <v>207.53139999999999</v>
      </c>
      <c r="J2942">
        <v>-222.67699999999999</v>
      </c>
      <c r="K2942">
        <v>1.1211260000000001</v>
      </c>
      <c r="L2942">
        <v>214.60810000000001</v>
      </c>
      <c r="M2942">
        <v>0.99979189999999996</v>
      </c>
      <c r="N2942">
        <v>-1.450888E-2</v>
      </c>
      <c r="O2942">
        <v>1.4345770000000001E-2</v>
      </c>
      <c r="P2942">
        <v>0.97197960000000005</v>
      </c>
      <c r="Q2942">
        <v>0.22944890000000001</v>
      </c>
      <c r="R2942">
        <v>-5.107913E-2</v>
      </c>
      <c r="S2942">
        <v>3.0788570000000002</v>
      </c>
      <c r="T2942">
        <v>-9.0161199999999997E-2</v>
      </c>
      <c r="U2942">
        <v>-0.56869510000000001</v>
      </c>
      <c r="V2942">
        <v>6.5178269999999996E-2</v>
      </c>
      <c r="W2942">
        <v>0.24347279999999999</v>
      </c>
      <c r="X2942">
        <v>0.96771529999999994</v>
      </c>
      <c r="Y2942">
        <v>0.1956031</v>
      </c>
      <c r="Z2942">
        <v>-4.4811139999999996E-3</v>
      </c>
      <c r="AA2942">
        <v>0.98067289999999996</v>
      </c>
      <c r="AB2942">
        <v>33</v>
      </c>
      <c r="AC2942">
        <v>37.939399999999999</v>
      </c>
      <c r="AD2942">
        <v>-1.1211217797440001</v>
      </c>
      <c r="AE2942">
        <v>-7.0767000000000104</v>
      </c>
      <c r="AF2942">
        <v>7.6138737128186103</v>
      </c>
      <c r="AG2942">
        <v>-1.1211217797440001</v>
      </c>
      <c r="AH2942">
        <v>37.802063867674001</v>
      </c>
      <c r="AI2942">
        <v>91.665338101051802</v>
      </c>
      <c r="AJ2942">
        <v>78.612175679223398</v>
      </c>
      <c r="AK2942">
        <v>38.577506653689703</v>
      </c>
      <c r="AL2942">
        <v>75.908401906284695</v>
      </c>
      <c r="AM2942">
        <v>86.146792193709402</v>
      </c>
      <c r="AN2942">
        <v>1.0000000565370499</v>
      </c>
    </row>
    <row r="2943" spans="1:40" x14ac:dyDescent="0.25">
      <c r="A2943" t="str">
        <f>"20190303170824467"</f>
        <v>20190303170824467</v>
      </c>
      <c r="B2943" t="str">
        <f>"1551604104456004"</f>
        <v>1551604104456004</v>
      </c>
      <c r="C2943" t="s">
        <v>40</v>
      </c>
      <c r="D2943">
        <v>4.3694920000000002</v>
      </c>
      <c r="E2943">
        <v>0.55621359999999997</v>
      </c>
      <c r="F2943" t="s">
        <v>57</v>
      </c>
      <c r="G2943">
        <v>-184.81309999999999</v>
      </c>
      <c r="H2943" s="1">
        <v>4.2233239999999997E-6</v>
      </c>
      <c r="I2943">
        <v>207.56059999999999</v>
      </c>
      <c r="J2943">
        <v>-222.3502</v>
      </c>
      <c r="K2943">
        <v>1.1210659999999999</v>
      </c>
      <c r="L2943">
        <v>214.61240000000001</v>
      </c>
      <c r="M2943">
        <v>0.99979790000000002</v>
      </c>
      <c r="N2943">
        <v>-1.4505759999999999E-2</v>
      </c>
      <c r="O2943">
        <v>1.392706E-2</v>
      </c>
      <c r="P2943">
        <v>0.97207960000000004</v>
      </c>
      <c r="Q2943">
        <v>0.22895579999999999</v>
      </c>
      <c r="R2943">
        <v>-5.1386389999999997E-2</v>
      </c>
      <c r="S2943">
        <v>3.0778810000000001</v>
      </c>
      <c r="T2943">
        <v>-9.1133829999999999E-2</v>
      </c>
      <c r="U2943">
        <v>-0.57287600000000005</v>
      </c>
      <c r="V2943">
        <v>6.5115119999999999E-2</v>
      </c>
      <c r="W2943">
        <v>0.24296870000000001</v>
      </c>
      <c r="X2943">
        <v>0.96784619999999999</v>
      </c>
      <c r="Y2943">
        <v>0.19653290000000001</v>
      </c>
      <c r="Z2943">
        <v>-4.5309699999999996E-3</v>
      </c>
      <c r="AA2943">
        <v>0.98048679999999999</v>
      </c>
      <c r="AB2943">
        <v>33</v>
      </c>
      <c r="AC2943">
        <v>37.537100000000002</v>
      </c>
      <c r="AD2943">
        <v>-1.1210617766759901</v>
      </c>
      <c r="AE2943">
        <v>-7.0518000000000098</v>
      </c>
      <c r="AF2943">
        <v>7.56743268974025</v>
      </c>
      <c r="AG2943">
        <v>-1.1210617766759901</v>
      </c>
      <c r="AH2943">
        <v>37.403013350352801</v>
      </c>
      <c r="AI2943">
        <v>91.682709335733705</v>
      </c>
      <c r="AJ2943">
        <v>78.562230094018702</v>
      </c>
      <c r="AK2943">
        <v>38.1773260549706</v>
      </c>
      <c r="AL2943">
        <v>75.9381783202696</v>
      </c>
      <c r="AM2943">
        <v>86.151033337437795</v>
      </c>
      <c r="AN2943">
        <v>1.0000000174433701</v>
      </c>
    </row>
    <row r="2944" spans="1:40" x14ac:dyDescent="0.25">
      <c r="A2944" t="str">
        <f>"20190303170824487"</f>
        <v>20190303170824487</v>
      </c>
      <c r="B2944" t="str">
        <f>"1551604104476500"</f>
        <v>1551604104476500</v>
      </c>
      <c r="C2944" t="s">
        <v>40</v>
      </c>
      <c r="D2944">
        <v>4.3781089999999896</v>
      </c>
      <c r="E2944">
        <v>0.55622340000000003</v>
      </c>
      <c r="F2944" t="s">
        <v>57</v>
      </c>
      <c r="G2944">
        <v>-184.90549999999999</v>
      </c>
      <c r="H2944" s="1">
        <v>4.2181380000000001E-6</v>
      </c>
      <c r="I2944">
        <v>207.6216</v>
      </c>
      <c r="J2944">
        <v>-222.0581</v>
      </c>
      <c r="K2944">
        <v>1.1210059999999999</v>
      </c>
      <c r="L2944">
        <v>214.61600000000001</v>
      </c>
      <c r="M2944">
        <v>0.99980400000000003</v>
      </c>
      <c r="N2944">
        <v>-1.450303E-2</v>
      </c>
      <c r="O2944">
        <v>1.348473E-2</v>
      </c>
      <c r="P2944">
        <v>0.97175750000000005</v>
      </c>
      <c r="Q2944">
        <v>0.22985420000000001</v>
      </c>
      <c r="R2944">
        <v>-5.3430480000000002E-2</v>
      </c>
      <c r="S2944">
        <v>3.077515</v>
      </c>
      <c r="T2944">
        <v>-9.2138170000000005E-2</v>
      </c>
      <c r="U2944">
        <v>-0.57455440000000002</v>
      </c>
      <c r="V2944">
        <v>6.6759269999999996E-2</v>
      </c>
      <c r="W2944">
        <v>0.24384929999999999</v>
      </c>
      <c r="X2944">
        <v>0.9675127</v>
      </c>
      <c r="Y2944">
        <v>0.19663449999999999</v>
      </c>
      <c r="Z2944">
        <v>-4.5628029999999998E-3</v>
      </c>
      <c r="AA2944">
        <v>0.98046619999999995</v>
      </c>
      <c r="AB2944">
        <v>33</v>
      </c>
      <c r="AC2944">
        <v>37.1526</v>
      </c>
      <c r="AD2944">
        <v>-1.1210017818619999</v>
      </c>
      <c r="AE2944">
        <v>-6.9943999999999802</v>
      </c>
      <c r="AF2944">
        <v>7.4882253773527196</v>
      </c>
      <c r="AG2944">
        <v>-1.1210017818619999</v>
      </c>
      <c r="AH2944">
        <v>37.022342168350001</v>
      </c>
      <c r="AI2944">
        <v>91.699929791943006</v>
      </c>
      <c r="AJ2944">
        <v>78.565485142693305</v>
      </c>
      <c r="AK2944">
        <v>37.788675339674803</v>
      </c>
      <c r="AL2944">
        <v>75.886159623955706</v>
      </c>
      <c r="AM2944">
        <v>86.052794737754098</v>
      </c>
      <c r="AN2944">
        <v>1.00000005295135</v>
      </c>
    </row>
    <row r="2945" spans="1:40" x14ac:dyDescent="0.25">
      <c r="A2945" t="str">
        <f>"20190303170824506"</f>
        <v>20190303170824506</v>
      </c>
      <c r="B2945" t="str">
        <f>"1551604104496020"</f>
        <v>1551604104496020</v>
      </c>
      <c r="C2945" t="s">
        <v>40</v>
      </c>
      <c r="D2945">
        <v>4.4261359999999996</v>
      </c>
      <c r="E2945">
        <v>0.55624580000000001</v>
      </c>
      <c r="F2945" t="s">
        <v>57</v>
      </c>
      <c r="G2945">
        <v>-183.4556</v>
      </c>
      <c r="H2945" s="1">
        <v>4.0139520000000004E-6</v>
      </c>
      <c r="I2945">
        <v>207.3391</v>
      </c>
      <c r="J2945">
        <v>-221.7688</v>
      </c>
      <c r="K2945">
        <v>1.1209480000000001</v>
      </c>
      <c r="L2945">
        <v>214.61940000000001</v>
      </c>
      <c r="M2945">
        <v>0.99981070000000005</v>
      </c>
      <c r="N2945">
        <v>-1.450041E-2</v>
      </c>
      <c r="O2945">
        <v>1.298496E-2</v>
      </c>
      <c r="P2945">
        <v>0.97170520000000005</v>
      </c>
      <c r="Q2945">
        <v>0.22924040000000001</v>
      </c>
      <c r="R2945">
        <v>-5.6904919999999998E-2</v>
      </c>
      <c r="S2945">
        <v>3.076416</v>
      </c>
      <c r="T2945">
        <v>-8.9337829999999993E-2</v>
      </c>
      <c r="U2945">
        <v>-0.57992549999999998</v>
      </c>
      <c r="V2945">
        <v>6.9781570000000001E-2</v>
      </c>
      <c r="W2945">
        <v>0.2432194</v>
      </c>
      <c r="X2945">
        <v>0.96745800000000004</v>
      </c>
      <c r="Y2945">
        <v>0.19786680000000001</v>
      </c>
      <c r="Z2945">
        <v>-4.4821710000000001E-3</v>
      </c>
      <c r="AA2945">
        <v>0.98021860000000005</v>
      </c>
      <c r="AB2945">
        <v>33</v>
      </c>
      <c r="AC2945">
        <v>38.313200000000002</v>
      </c>
      <c r="AD2945">
        <v>-1.1209439860479999</v>
      </c>
      <c r="AE2945">
        <v>-7.2803000000000102</v>
      </c>
      <c r="AF2945">
        <v>7.7708137233629797</v>
      </c>
      <c r="AG2945">
        <v>-1.1209439860479999</v>
      </c>
      <c r="AH2945">
        <v>38.183878750090599</v>
      </c>
      <c r="AI2945">
        <v>91.647762176714195</v>
      </c>
      <c r="AJ2945">
        <v>78.496807346236096</v>
      </c>
      <c r="AK2945">
        <v>38.982696901890797</v>
      </c>
      <c r="AL2945">
        <v>75.923370714269893</v>
      </c>
      <c r="AM2945">
        <v>85.874469586044995</v>
      </c>
      <c r="AN2945">
        <v>1.00000006290601</v>
      </c>
    </row>
    <row r="2946" spans="1:40" x14ac:dyDescent="0.25">
      <c r="A2946" t="str">
        <f>"20190303170824535"</f>
        <v>20190303170824535</v>
      </c>
      <c r="B2946" t="str">
        <f>"1551604104526276"</f>
        <v>1551604104526276</v>
      </c>
      <c r="C2946" t="s">
        <v>40</v>
      </c>
      <c r="D2946">
        <v>4.4053630000000004</v>
      </c>
      <c r="E2946">
        <v>0.55627689999999996</v>
      </c>
      <c r="F2946" t="s">
        <v>57</v>
      </c>
      <c r="G2946">
        <v>-184.256</v>
      </c>
      <c r="H2946" s="1">
        <v>4.168507E-6</v>
      </c>
      <c r="I2946">
        <v>207.42570000000001</v>
      </c>
      <c r="J2946">
        <v>-221.36170000000001</v>
      </c>
      <c r="K2946">
        <v>1.120862</v>
      </c>
      <c r="L2946">
        <v>214.62379999999999</v>
      </c>
      <c r="M2946">
        <v>0.99982079999999995</v>
      </c>
      <c r="N2946">
        <v>-1.4496749999999999E-2</v>
      </c>
      <c r="O2946">
        <v>1.217971E-2</v>
      </c>
      <c r="P2946">
        <v>0.97171629999999998</v>
      </c>
      <c r="Q2946">
        <v>0.2281956</v>
      </c>
      <c r="R2946">
        <v>-6.0784379999999999E-2</v>
      </c>
      <c r="S2946">
        <v>3.0745089999999999</v>
      </c>
      <c r="T2946">
        <v>-9.1871259999999996E-2</v>
      </c>
      <c r="U2946">
        <v>-0.58958440000000001</v>
      </c>
      <c r="V2946">
        <v>7.2925489999999996E-2</v>
      </c>
      <c r="W2946">
        <v>0.2421536</v>
      </c>
      <c r="X2946">
        <v>0.96749339999999995</v>
      </c>
      <c r="Y2946">
        <v>0.200152</v>
      </c>
      <c r="Z2946">
        <v>-4.6129810000000004E-3</v>
      </c>
      <c r="AA2946">
        <v>0.97975400000000001</v>
      </c>
      <c r="AB2946">
        <v>33</v>
      </c>
      <c r="AC2946">
        <v>37.105699999999999</v>
      </c>
      <c r="AD2946">
        <v>-1.120857831493</v>
      </c>
      <c r="AE2946">
        <v>-7.1980999999999797</v>
      </c>
      <c r="AF2946">
        <v>7.6428291464825699</v>
      </c>
      <c r="AG2946">
        <v>-1.120857831493</v>
      </c>
      <c r="AH2946">
        <v>36.982745228725001</v>
      </c>
      <c r="AI2946">
        <v>91.7000636046441</v>
      </c>
      <c r="AJ2946">
        <v>78.323665614222506</v>
      </c>
      <c r="AK2946">
        <v>37.780849703170098</v>
      </c>
      <c r="AL2946">
        <v>75.986317292143895</v>
      </c>
      <c r="AM2946">
        <v>85.689441787874102</v>
      </c>
      <c r="AN2946">
        <v>0.99999998606412899</v>
      </c>
    </row>
    <row r="2947" spans="1:40" x14ac:dyDescent="0.25">
      <c r="A2947" t="str">
        <f>"20190303170824554"</f>
        <v>20190303170824554</v>
      </c>
      <c r="B2947" t="str">
        <f>"1551604104545796"</f>
        <v>1551604104545796</v>
      </c>
      <c r="C2947" t="s">
        <v>40</v>
      </c>
      <c r="D2947">
        <v>4.4205410000000001</v>
      </c>
      <c r="E2947">
        <v>0.55631209999999998</v>
      </c>
      <c r="F2947" t="s">
        <v>57</v>
      </c>
      <c r="G2947">
        <v>-185.10149999999999</v>
      </c>
      <c r="H2947" s="1">
        <v>4.2874249999999999E-6</v>
      </c>
      <c r="I2947">
        <v>207.524</v>
      </c>
      <c r="J2947">
        <v>-221.06299999999999</v>
      </c>
      <c r="K2947">
        <v>1.1208</v>
      </c>
      <c r="L2947">
        <v>214.6267</v>
      </c>
      <c r="M2947">
        <v>0.99982859999999996</v>
      </c>
      <c r="N2947">
        <v>-1.44942E-2</v>
      </c>
      <c r="O2947">
        <v>1.1520590000000001E-2</v>
      </c>
      <c r="P2947">
        <v>0.97194749999999996</v>
      </c>
      <c r="Q2947">
        <v>0.22634840000000001</v>
      </c>
      <c r="R2947">
        <v>-6.3911590000000004E-2</v>
      </c>
      <c r="S2947">
        <v>3.0719910000000001</v>
      </c>
      <c r="T2947">
        <v>-9.4959970000000005E-2</v>
      </c>
      <c r="U2947">
        <v>-0.60150150000000002</v>
      </c>
      <c r="V2947">
        <v>7.5445830000000005E-2</v>
      </c>
      <c r="W2947">
        <v>0.24029420000000001</v>
      </c>
      <c r="X2947">
        <v>0.9677637</v>
      </c>
      <c r="Y2947">
        <v>0.20330699999999999</v>
      </c>
      <c r="Z2947">
        <v>-4.7872430000000001E-3</v>
      </c>
      <c r="AA2947">
        <v>0.97910330000000001</v>
      </c>
      <c r="AB2947">
        <v>33</v>
      </c>
      <c r="AC2947">
        <v>35.961500000000001</v>
      </c>
      <c r="AD2947">
        <v>-1.1207957125749901</v>
      </c>
      <c r="AE2947">
        <v>-7.1026999999999898</v>
      </c>
      <c r="AF2947">
        <v>7.5095491929401899</v>
      </c>
      <c r="AG2947">
        <v>-1.1207957125749901</v>
      </c>
      <c r="AH2947">
        <v>35.843767284846301</v>
      </c>
      <c r="AI2947">
        <v>91.752959193700207</v>
      </c>
      <c r="AJ2947">
        <v>78.167232840056101</v>
      </c>
      <c r="AK2947">
        <v>36.639120694699201</v>
      </c>
      <c r="AL2947">
        <v>76.0960947509882</v>
      </c>
      <c r="AM2947">
        <v>85.542298008568594</v>
      </c>
      <c r="AN2947">
        <v>0.99999997742785895</v>
      </c>
    </row>
    <row r="2948" spans="1:40" x14ac:dyDescent="0.25">
      <c r="A2948" t="str">
        <f>"20190303170824577"</f>
        <v>20190303170824577</v>
      </c>
      <c r="B2948" t="str">
        <f>"1551604104566292"</f>
        <v>1551604104566292</v>
      </c>
      <c r="C2948" t="s">
        <v>40</v>
      </c>
      <c r="D2948">
        <v>4.4220930000000003</v>
      </c>
      <c r="E2948">
        <v>0.55629410000000001</v>
      </c>
      <c r="F2948" t="s">
        <v>57</v>
      </c>
      <c r="G2948">
        <v>-186.86840000000001</v>
      </c>
      <c r="H2948" s="1">
        <v>4.4939619999999999E-6</v>
      </c>
      <c r="I2948">
        <v>207.82640000000001</v>
      </c>
      <c r="J2948">
        <v>-220.7362</v>
      </c>
      <c r="K2948">
        <v>1.120744</v>
      </c>
      <c r="L2948">
        <v>214.62970000000001</v>
      </c>
      <c r="M2948">
        <v>0.99983730000000004</v>
      </c>
      <c r="N2948">
        <v>-1.449144E-2</v>
      </c>
      <c r="O2948">
        <v>1.074228E-2</v>
      </c>
      <c r="P2948">
        <v>0.97208649999999996</v>
      </c>
      <c r="Q2948">
        <v>0.22483909999999999</v>
      </c>
      <c r="R2948">
        <v>-6.7046819999999993E-2</v>
      </c>
      <c r="S2948">
        <v>3.0698850000000002</v>
      </c>
      <c r="T2948">
        <v>-0.1006218</v>
      </c>
      <c r="U2948">
        <v>-0.61051940000000005</v>
      </c>
      <c r="V2948">
        <v>7.7856179999999997E-2</v>
      </c>
      <c r="W2948">
        <v>0.23877109999999999</v>
      </c>
      <c r="X2948">
        <v>0.96794979999999997</v>
      </c>
      <c r="Y2948">
        <v>0.2054233</v>
      </c>
      <c r="Z2948">
        <v>-5.0311590000000003E-3</v>
      </c>
      <c r="AA2948">
        <v>0.97866030000000004</v>
      </c>
      <c r="AB2948">
        <v>33</v>
      </c>
      <c r="AC2948">
        <v>33.867799999999903</v>
      </c>
      <c r="AD2948">
        <v>-1.1207395060380001</v>
      </c>
      <c r="AE2948">
        <v>-6.8033000000000001</v>
      </c>
      <c r="AF2948">
        <v>7.1592273018894996</v>
      </c>
      <c r="AG2948">
        <v>-1.1207395060380001</v>
      </c>
      <c r="AH2948">
        <v>33.7572226172584</v>
      </c>
      <c r="AI2948">
        <v>91.860177689698403</v>
      </c>
      <c r="AJ2948">
        <v>78.0261344448909</v>
      </c>
      <c r="AK2948">
        <v>34.526231642501301</v>
      </c>
      <c r="AL2948">
        <v>76.185979224953101</v>
      </c>
      <c r="AM2948">
        <v>85.401365136836105</v>
      </c>
      <c r="AN2948">
        <v>1.00000001913972</v>
      </c>
    </row>
    <row r="2949" spans="1:40" x14ac:dyDescent="0.25">
      <c r="A2949" t="str">
        <f>"20190303170824597"</f>
        <v>20190303170824597</v>
      </c>
      <c r="B2949" t="str">
        <f>"1551604104585812"</f>
        <v>1551604104585812</v>
      </c>
      <c r="C2949" t="s">
        <v>40</v>
      </c>
      <c r="D2949">
        <v>4.4571370000000003</v>
      </c>
      <c r="E2949">
        <v>0.5562935</v>
      </c>
      <c r="F2949" t="s">
        <v>57</v>
      </c>
      <c r="G2949">
        <v>-188.3691</v>
      </c>
      <c r="H2949" s="1">
        <v>4.65933E-6</v>
      </c>
      <c r="I2949">
        <v>208.11160000000001</v>
      </c>
      <c r="J2949">
        <v>-220.45320000000001</v>
      </c>
      <c r="K2949">
        <v>1.1207069999999999</v>
      </c>
      <c r="L2949">
        <v>214.63200000000001</v>
      </c>
      <c r="M2949">
        <v>0.99984499999999998</v>
      </c>
      <c r="N2949">
        <v>-1.4488849999999999E-2</v>
      </c>
      <c r="O2949">
        <v>1.0020019999999999E-2</v>
      </c>
      <c r="P2949">
        <v>0.97155639999999999</v>
      </c>
      <c r="Q2949">
        <v>0.2257064</v>
      </c>
      <c r="R2949">
        <v>-7.1661130000000003E-2</v>
      </c>
      <c r="S2949">
        <v>3.0680999999999998</v>
      </c>
      <c r="T2949">
        <v>-0.1062357</v>
      </c>
      <c r="U2949">
        <v>-0.61785889999999999</v>
      </c>
      <c r="V2949">
        <v>8.1790269999999998E-2</v>
      </c>
      <c r="W2949">
        <v>0.2396133</v>
      </c>
      <c r="X2949">
        <v>0.96741710000000003</v>
      </c>
      <c r="Y2949">
        <v>0.2070593</v>
      </c>
      <c r="Z2949">
        <v>-5.2635829999999996E-3</v>
      </c>
      <c r="AA2949">
        <v>0.97831420000000002</v>
      </c>
      <c r="AB2949">
        <v>33</v>
      </c>
      <c r="AC2949">
        <v>32.084099999999999</v>
      </c>
      <c r="AD2949">
        <v>-1.1207023406700001</v>
      </c>
      <c r="AE2949">
        <v>-6.5203999999999898</v>
      </c>
      <c r="AF2949">
        <v>6.8335825605094396</v>
      </c>
      <c r="AG2949">
        <v>-1.1207023406700001</v>
      </c>
      <c r="AH2949">
        <v>31.979676342187801</v>
      </c>
      <c r="AI2949">
        <v>91.962787953371503</v>
      </c>
      <c r="AJ2949">
        <v>77.938145022851899</v>
      </c>
      <c r="AK2949">
        <v>32.720842337855103</v>
      </c>
      <c r="AL2949">
        <v>76.136282044603504</v>
      </c>
      <c r="AM2949">
        <v>85.167421163875204</v>
      </c>
      <c r="AN2949">
        <v>1.0000000135879801</v>
      </c>
    </row>
    <row r="2950" spans="1:40" x14ac:dyDescent="0.25">
      <c r="A2950" t="str">
        <f>"20190303170824616"</f>
        <v>20190303170824616</v>
      </c>
      <c r="B2950" t="str">
        <f>"1551604104606308"</f>
        <v>1551604104606308</v>
      </c>
      <c r="C2950" t="s">
        <v>40</v>
      </c>
      <c r="D2950">
        <v>4.4451450000000001</v>
      </c>
      <c r="E2950">
        <v>0.55629980000000001</v>
      </c>
      <c r="F2950" t="s">
        <v>57</v>
      </c>
      <c r="G2950">
        <v>-187.13749999999999</v>
      </c>
      <c r="H2950" s="1">
        <v>4.5647880000000004E-6</v>
      </c>
      <c r="I2950">
        <v>207.761</v>
      </c>
      <c r="J2950">
        <v>-220.16759999999999</v>
      </c>
      <c r="K2950">
        <v>1.1206640000000001</v>
      </c>
      <c r="L2950">
        <v>214.63409999999999</v>
      </c>
      <c r="M2950">
        <v>0.99985239999999997</v>
      </c>
      <c r="N2950">
        <v>-1.448607E-2</v>
      </c>
      <c r="O2950">
        <v>9.2433819999999996E-3</v>
      </c>
      <c r="P2950">
        <v>0.97082089999999999</v>
      </c>
      <c r="Q2950">
        <v>0.22623579999999999</v>
      </c>
      <c r="R2950">
        <v>-7.9524899999999996E-2</v>
      </c>
      <c r="S2950">
        <v>3.0651700000000002</v>
      </c>
      <c r="T2950">
        <v>-0.1031089</v>
      </c>
      <c r="U2950">
        <v>-0.63215639999999995</v>
      </c>
      <c r="V2950">
        <v>8.8919999999999999E-2</v>
      </c>
      <c r="W2950">
        <v>0.24010770000000001</v>
      </c>
      <c r="X2950">
        <v>0.96666510000000005</v>
      </c>
      <c r="Y2950">
        <v>0.21086569999999999</v>
      </c>
      <c r="Z2950">
        <v>-5.2278639999999996E-3</v>
      </c>
      <c r="AA2950">
        <v>0.97750110000000001</v>
      </c>
      <c r="AB2950">
        <v>33</v>
      </c>
      <c r="AC2950">
        <v>33.030099999999997</v>
      </c>
      <c r="AD2950">
        <v>-1.1206594352119901</v>
      </c>
      <c r="AE2950">
        <v>-6.8730999999999902</v>
      </c>
      <c r="AF2950">
        <v>7.1702367933148698</v>
      </c>
      <c r="AG2950">
        <v>-1.1206594352119901</v>
      </c>
      <c r="AH2950">
        <v>32.928818833472</v>
      </c>
      <c r="AI2950">
        <v>91.904586742641996</v>
      </c>
      <c r="AJ2950">
        <v>77.715625851616196</v>
      </c>
      <c r="AK2950">
        <v>33.7190640885769</v>
      </c>
      <c r="AL2950">
        <v>76.107102228877096</v>
      </c>
      <c r="AM2950">
        <v>84.744360243247101</v>
      </c>
      <c r="AN2950">
        <v>0.99999994477864795</v>
      </c>
    </row>
    <row r="2951" spans="1:40" x14ac:dyDescent="0.25">
      <c r="A2951" t="str">
        <f>"20190303170824638"</f>
        <v>20190303170824638</v>
      </c>
      <c r="B2951" t="str">
        <f>"1551604104625828"</f>
        <v>1551604104625828</v>
      </c>
      <c r="C2951" t="s">
        <v>40</v>
      </c>
      <c r="D2951">
        <v>4.424175</v>
      </c>
      <c r="E2951">
        <v>0.55629150000000005</v>
      </c>
      <c r="F2951" t="s">
        <v>57</v>
      </c>
      <c r="G2951">
        <v>-186.05359999999999</v>
      </c>
      <c r="H2951" s="1">
        <v>4.5354919999999998E-6</v>
      </c>
      <c r="I2951">
        <v>207.3</v>
      </c>
      <c r="J2951">
        <v>-219.8372</v>
      </c>
      <c r="K2951">
        <v>1.120606</v>
      </c>
      <c r="L2951">
        <v>214.6361</v>
      </c>
      <c r="M2951">
        <v>0.99986090000000005</v>
      </c>
      <c r="N2951">
        <v>-1.448292E-2</v>
      </c>
      <c r="O2951">
        <v>8.2830309999999997E-3</v>
      </c>
      <c r="P2951">
        <v>0.97004349999999995</v>
      </c>
      <c r="Q2951">
        <v>0.22622700000000001</v>
      </c>
      <c r="R2951">
        <v>-8.8528629999999997E-2</v>
      </c>
      <c r="S2951">
        <v>3.0596770000000002</v>
      </c>
      <c r="T2951">
        <v>-0.1005119</v>
      </c>
      <c r="U2951">
        <v>-0.65779109999999996</v>
      </c>
      <c r="V2951">
        <v>9.7017439999999996E-2</v>
      </c>
      <c r="W2951">
        <v>0.2400572</v>
      </c>
      <c r="X2951">
        <v>0.96589860000000005</v>
      </c>
      <c r="Y2951">
        <v>0.2181109</v>
      </c>
      <c r="Z2951">
        <v>-5.289541E-3</v>
      </c>
      <c r="AA2951">
        <v>0.97590969999999999</v>
      </c>
      <c r="AB2951">
        <v>33</v>
      </c>
      <c r="AC2951">
        <v>33.7836</v>
      </c>
      <c r="AD2951">
        <v>-1.120601464508</v>
      </c>
      <c r="AE2951">
        <v>-7.3360999999999796</v>
      </c>
      <c r="AF2951">
        <v>7.6077147677078196</v>
      </c>
      <c r="AG2951">
        <v>-1.120601464508</v>
      </c>
      <c r="AH2951">
        <v>33.686275033224</v>
      </c>
      <c r="AI2951">
        <v>91.858516116160402</v>
      </c>
      <c r="AJ2951">
        <v>77.273805020837301</v>
      </c>
      <c r="AK2951">
        <v>34.552831971389402</v>
      </c>
      <c r="AL2951">
        <v>76.110083258360802</v>
      </c>
      <c r="AM2951">
        <v>84.264295629210693</v>
      </c>
      <c r="AN2951">
        <v>0.99999997420897602</v>
      </c>
    </row>
    <row r="2952" spans="1:40" x14ac:dyDescent="0.25">
      <c r="A2952" t="str">
        <f>"20190303170824659"</f>
        <v>20190303170824659</v>
      </c>
      <c r="B2952" t="str">
        <f>"1551604104646324"</f>
        <v>1551604104646324</v>
      </c>
      <c r="C2952" t="s">
        <v>40</v>
      </c>
      <c r="D2952">
        <v>4.4454630000000002</v>
      </c>
      <c r="E2952">
        <v>0.55619779999999996</v>
      </c>
      <c r="F2952" t="s">
        <v>57</v>
      </c>
      <c r="G2952">
        <v>-185.56049999999999</v>
      </c>
      <c r="H2952" s="1">
        <v>4.5770569999999996E-6</v>
      </c>
      <c r="I2952">
        <v>206.935</v>
      </c>
      <c r="J2952">
        <v>-219.541</v>
      </c>
      <c r="K2952">
        <v>1.1205480000000001</v>
      </c>
      <c r="L2952">
        <v>214.63759999999999</v>
      </c>
      <c r="M2952">
        <v>0.99986810000000004</v>
      </c>
      <c r="N2952">
        <v>-1.448021E-2</v>
      </c>
      <c r="O2952">
        <v>7.36382599999999E-3</v>
      </c>
      <c r="P2952">
        <v>0.96939929999999996</v>
      </c>
      <c r="Q2952">
        <v>0.226408</v>
      </c>
      <c r="R2952">
        <v>-9.4892039999999997E-2</v>
      </c>
      <c r="S2952">
        <v>3.0533139999999999</v>
      </c>
      <c r="T2952">
        <v>-9.9821569999999998E-2</v>
      </c>
      <c r="U2952">
        <v>-0.68600459999999996</v>
      </c>
      <c r="V2952">
        <v>0.1025161</v>
      </c>
      <c r="W2952">
        <v>0.24020349999999999</v>
      </c>
      <c r="X2952">
        <v>0.96529410000000004</v>
      </c>
      <c r="Y2952">
        <v>0.2262209</v>
      </c>
      <c r="Z2952">
        <v>-5.4426429999999996E-3</v>
      </c>
      <c r="AA2952">
        <v>0.97406079999999995</v>
      </c>
      <c r="AB2952">
        <v>33</v>
      </c>
      <c r="AC2952">
        <v>33.980499999999999</v>
      </c>
      <c r="AD2952">
        <v>-1.12054342294299</v>
      </c>
      <c r="AE2952">
        <v>-7.7025999999999897</v>
      </c>
      <c r="AF2952">
        <v>7.9444270820577296</v>
      </c>
      <c r="AG2952">
        <v>-1.12054342294299</v>
      </c>
      <c r="AH2952">
        <v>33.887802537609303</v>
      </c>
      <c r="AI2952">
        <v>91.843911901139606</v>
      </c>
      <c r="AJ2952">
        <v>76.806226601507404</v>
      </c>
      <c r="AK2952">
        <v>34.824599065213</v>
      </c>
      <c r="AL2952">
        <v>76.101448395099197</v>
      </c>
      <c r="AM2952">
        <v>83.937800821994401</v>
      </c>
      <c r="AN2952">
        <v>0.99999998583313499</v>
      </c>
    </row>
    <row r="2953" spans="1:40" x14ac:dyDescent="0.25">
      <c r="A2953" t="str">
        <f>"20190303170824684"</f>
        <v>20190303170824684</v>
      </c>
      <c r="B2953" t="str">
        <f>"1551604104675603"</f>
        <v>1551604104675603</v>
      </c>
      <c r="C2953" t="s">
        <v>40</v>
      </c>
      <c r="D2953">
        <v>4.4209180000000003</v>
      </c>
      <c r="E2953">
        <v>0.55607169999999995</v>
      </c>
      <c r="F2953" t="s">
        <v>57</v>
      </c>
      <c r="G2953">
        <v>-185.45269999999999</v>
      </c>
      <c r="H2953" s="1">
        <v>4.6039430000000002E-6</v>
      </c>
      <c r="I2953">
        <v>206.7834</v>
      </c>
      <c r="J2953">
        <v>-219.16210000000001</v>
      </c>
      <c r="K2953">
        <v>1.1204620000000001</v>
      </c>
      <c r="L2953">
        <v>214.63910000000001</v>
      </c>
      <c r="M2953">
        <v>0.9998766</v>
      </c>
      <c r="N2953">
        <v>-1.4476950000000001E-2</v>
      </c>
      <c r="O2953">
        <v>6.100098E-3</v>
      </c>
      <c r="P2953">
        <v>0.9687595</v>
      </c>
      <c r="Q2953">
        <v>0.22627369999999999</v>
      </c>
      <c r="R2953">
        <v>-0.10151449999999999</v>
      </c>
      <c r="S2953">
        <v>3.0493320000000002</v>
      </c>
      <c r="T2953">
        <v>-0.1002373</v>
      </c>
      <c r="U2953">
        <v>-0.70259090000000002</v>
      </c>
      <c r="V2953">
        <v>0.1079538</v>
      </c>
      <c r="W2953">
        <v>0.24002760000000001</v>
      </c>
      <c r="X2953">
        <v>0.96474490000000002</v>
      </c>
      <c r="Y2953">
        <v>0.23029269999999999</v>
      </c>
      <c r="Z2953">
        <v>-5.5351649999999999E-3</v>
      </c>
      <c r="AA2953">
        <v>0.97310569999999996</v>
      </c>
      <c r="AB2953">
        <v>33</v>
      </c>
      <c r="AC2953">
        <v>33.709400000000002</v>
      </c>
      <c r="AD2953">
        <v>-1.1204573960569999</v>
      </c>
      <c r="AE2953">
        <v>-7.8557000000000103</v>
      </c>
      <c r="AF2953">
        <v>8.0527674857539893</v>
      </c>
      <c r="AG2953">
        <v>-1.1204573960569999</v>
      </c>
      <c r="AH2953">
        <v>33.625610749835197</v>
      </c>
      <c r="AI2953">
        <v>91.856034382735203</v>
      </c>
      <c r="AJ2953">
        <v>76.532270008790206</v>
      </c>
      <c r="AK2953">
        <v>34.594568753713702</v>
      </c>
      <c r="AL2953">
        <v>76.111830613820402</v>
      </c>
      <c r="AM2953">
        <v>83.615231050629902</v>
      </c>
      <c r="AN2953">
        <v>0.99999999688610497</v>
      </c>
    </row>
    <row r="2954" spans="1:40" x14ac:dyDescent="0.25">
      <c r="A2954" t="str">
        <f>"20190303170824703"</f>
        <v>20190303170824703</v>
      </c>
      <c r="B2954" t="str">
        <f>"1551604104696180"</f>
        <v>1551604104696180</v>
      </c>
      <c r="C2954" t="s">
        <v>40</v>
      </c>
      <c r="D2954">
        <v>4.4493340000000003</v>
      </c>
      <c r="E2954">
        <v>0.55597839999999998</v>
      </c>
      <c r="F2954" t="s">
        <v>57</v>
      </c>
      <c r="G2954">
        <v>-185.47749999999999</v>
      </c>
      <c r="H2954" s="1">
        <v>4.6395140000000002E-6</v>
      </c>
      <c r="I2954">
        <v>206.66980000000001</v>
      </c>
      <c r="J2954">
        <v>-218.88489999999999</v>
      </c>
      <c r="K2954">
        <v>1.1203989999999999</v>
      </c>
      <c r="L2954">
        <v>214.6397</v>
      </c>
      <c r="M2954">
        <v>0.9998823</v>
      </c>
      <c r="N2954">
        <v>-1.447477E-2</v>
      </c>
      <c r="O2954">
        <v>5.0975109999999999E-3</v>
      </c>
      <c r="P2954">
        <v>0.96810499999999999</v>
      </c>
      <c r="Q2954">
        <v>0.22548650000000001</v>
      </c>
      <c r="R2954">
        <v>-0.10921930000000001</v>
      </c>
      <c r="S2954">
        <v>3.0449220000000001</v>
      </c>
      <c r="T2954">
        <v>-0.10128379999999999</v>
      </c>
      <c r="U2954">
        <v>-0.72038269999999904</v>
      </c>
      <c r="V2954">
        <v>0.11471779999999999</v>
      </c>
      <c r="W2954">
        <v>0.23919799999999999</v>
      </c>
      <c r="X2954">
        <v>0.96417019999999998</v>
      </c>
      <c r="Y2954">
        <v>0.23500740000000001</v>
      </c>
      <c r="Z2954">
        <v>-5.6735170000000003E-3</v>
      </c>
      <c r="AA2954">
        <v>0.97197699999999998</v>
      </c>
      <c r="AB2954">
        <v>33</v>
      </c>
      <c r="AC2954">
        <v>33.407400000000003</v>
      </c>
      <c r="AD2954">
        <v>-1.1203943604859901</v>
      </c>
      <c r="AE2954">
        <v>-7.9698999999999902</v>
      </c>
      <c r="AF2954">
        <v>8.1314554865778899</v>
      </c>
      <c r="AG2954">
        <v>-1.1203943604859901</v>
      </c>
      <c r="AH2954">
        <v>33.330864784357999</v>
      </c>
      <c r="AI2954">
        <v>91.8704177704725</v>
      </c>
      <c r="AJ2954">
        <v>76.289832576074403</v>
      </c>
      <c r="AK2954">
        <v>34.326700964793602</v>
      </c>
      <c r="AL2954">
        <v>76.160789702381194</v>
      </c>
      <c r="AM2954">
        <v>83.214796990501299</v>
      </c>
      <c r="AN2954">
        <v>1.00000001570443</v>
      </c>
    </row>
    <row r="2955" spans="1:40" x14ac:dyDescent="0.25">
      <c r="A2955" t="str">
        <f>"20190303170824733"</f>
        <v>20190303170824733</v>
      </c>
      <c r="B2955" t="str">
        <f>"1551604104726437"</f>
        <v>1551604104726437</v>
      </c>
      <c r="C2955" t="s">
        <v>40</v>
      </c>
      <c r="D2955">
        <v>4.4695429999999998</v>
      </c>
      <c r="E2955">
        <v>0.55207869999999903</v>
      </c>
      <c r="F2955" t="s">
        <v>57</v>
      </c>
      <c r="G2955">
        <v>-185.78579999999999</v>
      </c>
      <c r="H2955" s="1">
        <v>4.7464949999999999E-6</v>
      </c>
      <c r="I2955">
        <v>206.524</v>
      </c>
      <c r="J2955">
        <v>-218.4787</v>
      </c>
      <c r="K2955">
        <v>1.120298</v>
      </c>
      <c r="L2955">
        <v>214.64009999999999</v>
      </c>
      <c r="M2955">
        <v>0.99988920000000003</v>
      </c>
      <c r="N2955">
        <v>-1.447203E-2</v>
      </c>
      <c r="O2955">
        <v>3.496454E-3</v>
      </c>
      <c r="P2955">
        <v>0.96715759999999995</v>
      </c>
      <c r="Q2955">
        <v>0.22499649999999999</v>
      </c>
      <c r="R2955">
        <v>-0.11824900000000001</v>
      </c>
      <c r="S2955">
        <v>3.0387420000000001</v>
      </c>
      <c r="T2955">
        <v>-0.1028607</v>
      </c>
      <c r="U2955">
        <v>-0.74508669999999899</v>
      </c>
      <c r="V2955">
        <v>0.122252399999999</v>
      </c>
      <c r="W2955">
        <v>0.2386461</v>
      </c>
      <c r="X2955">
        <v>0.96338069999999998</v>
      </c>
      <c r="Y2955">
        <v>0.2413467</v>
      </c>
      <c r="Z2955">
        <v>-5.8634569999999999E-3</v>
      </c>
      <c r="AA2955">
        <v>0.97042130000000004</v>
      </c>
      <c r="AB2955">
        <v>33</v>
      </c>
      <c r="AC2955">
        <v>32.692900000000002</v>
      </c>
      <c r="AD2955">
        <v>-1.1202932535050001</v>
      </c>
      <c r="AE2955">
        <v>-8.1160999999999799</v>
      </c>
      <c r="AF2955">
        <v>8.2212782377136708</v>
      </c>
      <c r="AG2955">
        <v>-1.1202932535050001</v>
      </c>
      <c r="AH2955">
        <v>32.628230387646802</v>
      </c>
      <c r="AI2955">
        <v>91.906927307434103</v>
      </c>
      <c r="AJ2955">
        <v>75.857666830295997</v>
      </c>
      <c r="AK2955">
        <v>33.666688151125101</v>
      </c>
      <c r="AL2955">
        <v>76.193354018748593</v>
      </c>
      <c r="AM2955">
        <v>82.767857406693494</v>
      </c>
      <c r="AN2955">
        <v>0.99999999174172904</v>
      </c>
    </row>
    <row r="2956" spans="1:40" x14ac:dyDescent="0.25">
      <c r="A2956" t="str">
        <f>"20190303170824771"</f>
        <v>20190303170824771</v>
      </c>
      <c r="B2956" t="str">
        <f>"1551604104766453"</f>
        <v>1551604104766453</v>
      </c>
      <c r="C2956" t="s">
        <v>40</v>
      </c>
      <c r="D2956">
        <v>4.4050070000000003</v>
      </c>
      <c r="E2956">
        <v>0.58659700000000004</v>
      </c>
      <c r="F2956" t="s">
        <v>57</v>
      </c>
      <c r="G2956">
        <v>-185.98240000000001</v>
      </c>
      <c r="H2956" s="1">
        <v>4.739811E-6</v>
      </c>
      <c r="I2956">
        <v>206.68629999999999</v>
      </c>
      <c r="J2956">
        <v>-217.91839999999999</v>
      </c>
      <c r="K2956">
        <v>1.1201749999999999</v>
      </c>
      <c r="L2956">
        <v>214.63910000000001</v>
      </c>
      <c r="M2956">
        <v>0.99989490000000003</v>
      </c>
      <c r="N2956">
        <v>-1.4469310000000001E-2</v>
      </c>
      <c r="O2956">
        <v>1.0036680000000001E-3</v>
      </c>
      <c r="P2956">
        <v>0.96310589999999996</v>
      </c>
      <c r="Q2956">
        <v>0.23036860000000001</v>
      </c>
      <c r="R2956">
        <v>-0.1391327</v>
      </c>
      <c r="S2956">
        <v>3.0354160000000001</v>
      </c>
      <c r="T2956">
        <v>-0.1046444</v>
      </c>
      <c r="U2956">
        <v>-0.74295040000000001</v>
      </c>
      <c r="V2956">
        <v>0.14082700000000001</v>
      </c>
      <c r="W2956">
        <v>0.24385899999999999</v>
      </c>
      <c r="X2956">
        <v>0.95953140000000003</v>
      </c>
      <c r="Y2956">
        <v>0.23852490000000001</v>
      </c>
      <c r="Z2956">
        <v>-5.8218769999999996E-3</v>
      </c>
      <c r="AA2956">
        <v>0.97111890000000001</v>
      </c>
      <c r="AB2956">
        <v>32</v>
      </c>
      <c r="AC2956">
        <v>31.9359999999999</v>
      </c>
      <c r="AD2956">
        <v>-1.120170260189</v>
      </c>
      <c r="AE2956">
        <v>-7.9528000000000203</v>
      </c>
      <c r="AF2956">
        <v>7.9756131360963796</v>
      </c>
      <c r="AG2956">
        <v>-1.120170260189</v>
      </c>
      <c r="AH2956">
        <v>31.891056900008198</v>
      </c>
      <c r="AI2956">
        <v>91.951624006751999</v>
      </c>
      <c r="AJ2956">
        <v>75.958939333509804</v>
      </c>
      <c r="AK2956">
        <v>32.892319719169201</v>
      </c>
      <c r="AL2956">
        <v>75.885585528524999</v>
      </c>
      <c r="AM2956">
        <v>81.650512732887805</v>
      </c>
      <c r="AN2956">
        <v>0.99999998169797899</v>
      </c>
    </row>
    <row r="2957" spans="1:40" x14ac:dyDescent="0.25">
      <c r="A2957" t="str">
        <f>"20190303170824795"</f>
        <v>20190303170824795</v>
      </c>
      <c r="B2957" t="str">
        <f>"1551604104786581"</f>
        <v>1551604104786581</v>
      </c>
      <c r="C2957" t="s">
        <v>40</v>
      </c>
      <c r="D2957">
        <v>4.3677460000000004</v>
      </c>
      <c r="E2957">
        <v>0.58577840000000003</v>
      </c>
      <c r="F2957" t="s">
        <v>57</v>
      </c>
      <c r="G2957">
        <v>-179.95779999999999</v>
      </c>
      <c r="H2957">
        <v>1.976441E-2</v>
      </c>
      <c r="I2957">
        <v>200.88679999999999</v>
      </c>
      <c r="J2957">
        <v>-217.55860000000001</v>
      </c>
      <c r="K2957">
        <v>1.120085</v>
      </c>
      <c r="L2957">
        <v>214.63759999999999</v>
      </c>
      <c r="M2957">
        <v>0.99989499999999998</v>
      </c>
      <c r="N2957">
        <v>-1.446771E-2</v>
      </c>
      <c r="O2957">
        <v>-7.7567309999999998E-4</v>
      </c>
      <c r="P2957">
        <v>0.9612676</v>
      </c>
      <c r="Q2957">
        <v>0.2324917</v>
      </c>
      <c r="R2957">
        <v>-0.14802779999999999</v>
      </c>
      <c r="S2957">
        <v>2.97966</v>
      </c>
      <c r="T2957">
        <v>-8.6374999999999993E-2</v>
      </c>
      <c r="U2957">
        <v>-1.0794680000000001</v>
      </c>
      <c r="V2957">
        <v>0.1480747</v>
      </c>
      <c r="W2957">
        <v>0.24590100000000001</v>
      </c>
      <c r="X2957">
        <v>0.95791780000000004</v>
      </c>
      <c r="Y2957">
        <v>0.33968989999999999</v>
      </c>
      <c r="Z2957">
        <v>-7.2937840000000002E-3</v>
      </c>
      <c r="AA2957">
        <v>0.94050929999999999</v>
      </c>
      <c r="AB2957">
        <v>32</v>
      </c>
      <c r="AC2957">
        <v>37.6008</v>
      </c>
      <c r="AD2957">
        <v>-1.1003205899999999</v>
      </c>
      <c r="AE2957">
        <v>-13.7507999999999</v>
      </c>
      <c r="AF2957">
        <v>13.7112704872169</v>
      </c>
      <c r="AG2957">
        <v>-1.1003205899999999</v>
      </c>
      <c r="AH2957">
        <v>37.583068697930003</v>
      </c>
      <c r="AI2957">
        <v>91.575456660573096</v>
      </c>
      <c r="AJ2957">
        <v>69.956729409227904</v>
      </c>
      <c r="AK2957">
        <v>40.021203086960398</v>
      </c>
      <c r="AL2957">
        <v>75.764913222317801</v>
      </c>
      <c r="AM2957">
        <v>81.212781796834804</v>
      </c>
      <c r="AN2957">
        <v>0.99999996506896405</v>
      </c>
    </row>
    <row r="2958" spans="1:40" x14ac:dyDescent="0.25">
      <c r="A2958" t="str">
        <f>"20190303170824817"</f>
        <v>20190303170824817</v>
      </c>
      <c r="B2958" t="str">
        <f>"1551604104806101"</f>
        <v>1551604104806101</v>
      </c>
      <c r="C2958" t="s">
        <v>40</v>
      </c>
      <c r="D2958">
        <v>4.3874170000000001</v>
      </c>
      <c r="E2958">
        <v>0.58423239999999999</v>
      </c>
      <c r="F2958" t="s">
        <v>57</v>
      </c>
      <c r="G2958">
        <v>-179.95779999999999</v>
      </c>
      <c r="H2958">
        <v>2.5614169999999999E-2</v>
      </c>
      <c r="I2958">
        <v>200.71270000000001</v>
      </c>
      <c r="J2958">
        <v>-217.24359999999999</v>
      </c>
      <c r="K2958">
        <v>1.119998</v>
      </c>
      <c r="L2958">
        <v>214.63560000000001</v>
      </c>
      <c r="M2958">
        <v>0.99989240000000001</v>
      </c>
      <c r="N2958">
        <v>-1.4466339999999999E-2</v>
      </c>
      <c r="O2958">
        <v>-2.440967E-3</v>
      </c>
      <c r="P2958">
        <v>0.96017549999999996</v>
      </c>
      <c r="Q2958">
        <v>0.23176530000000001</v>
      </c>
      <c r="R2958">
        <v>-0.15603800000000001</v>
      </c>
      <c r="S2958">
        <v>2.9722900000000001</v>
      </c>
      <c r="T2958">
        <v>-8.6516380000000004E-2</v>
      </c>
      <c r="U2958">
        <v>-1.1007389999999999</v>
      </c>
      <c r="V2958">
        <v>0.154534</v>
      </c>
      <c r="W2958">
        <v>0.24510879999999999</v>
      </c>
      <c r="X2958">
        <v>0.95710030000000001</v>
      </c>
      <c r="Y2958">
        <v>0.34479409999999999</v>
      </c>
      <c r="Z2958">
        <v>-7.396316E-3</v>
      </c>
      <c r="AA2958">
        <v>0.93864919999999996</v>
      </c>
      <c r="AB2958">
        <v>32</v>
      </c>
      <c r="AC2958">
        <v>37.285800000000002</v>
      </c>
      <c r="AD2958">
        <v>-1.0943838299999999</v>
      </c>
      <c r="AE2958">
        <v>-13.922899999999901</v>
      </c>
      <c r="AF2958">
        <v>13.821385629171401</v>
      </c>
      <c r="AG2958">
        <v>-1.0943838299999999</v>
      </c>
      <c r="AH2958">
        <v>37.291482770927203</v>
      </c>
      <c r="AI2958">
        <v>91.576241169396795</v>
      </c>
      <c r="AJ2958">
        <v>69.663724420617896</v>
      </c>
      <c r="AK2958">
        <v>39.785462972447597</v>
      </c>
      <c r="AL2958">
        <v>75.811736913394498</v>
      </c>
      <c r="AM2958">
        <v>80.828143739614305</v>
      </c>
      <c r="AN2958">
        <v>1.00000003262676</v>
      </c>
    </row>
    <row r="2959" spans="1:40" x14ac:dyDescent="0.25">
      <c r="A2959" t="str">
        <f>"20190303170824842"</f>
        <v>20190303170824842</v>
      </c>
      <c r="B2959" t="str">
        <f>"1551604104836357"</f>
        <v>1551604104836357</v>
      </c>
      <c r="C2959" t="s">
        <v>40</v>
      </c>
      <c r="D2959">
        <v>4.3877030000000001</v>
      </c>
      <c r="E2959">
        <v>0.58317559999999902</v>
      </c>
      <c r="F2959" t="s">
        <v>57</v>
      </c>
      <c r="G2959">
        <v>-182.2261</v>
      </c>
      <c r="H2959" s="1">
        <v>5.389904E-6</v>
      </c>
      <c r="I2959">
        <v>201.49350000000001</v>
      </c>
      <c r="J2959">
        <v>-216.8827</v>
      </c>
      <c r="K2959">
        <v>1.1198779999999999</v>
      </c>
      <c r="L2959">
        <v>214.6326</v>
      </c>
      <c r="M2959">
        <v>0.99988529999999998</v>
      </c>
      <c r="N2959">
        <v>-1.4465199999999999E-2</v>
      </c>
      <c r="O2959">
        <v>-4.513286E-3</v>
      </c>
      <c r="P2959">
        <v>0.95959059999999896</v>
      </c>
      <c r="Q2959">
        <v>0.22826060000000001</v>
      </c>
      <c r="R2959">
        <v>-0.1645702</v>
      </c>
      <c r="S2959">
        <v>2.9664000000000001</v>
      </c>
      <c r="T2959">
        <v>-9.4876769999999999E-2</v>
      </c>
      <c r="U2959">
        <v>-1.113297</v>
      </c>
      <c r="V2959">
        <v>0.1611321</v>
      </c>
      <c r="W2959">
        <v>0.2415331</v>
      </c>
      <c r="X2959">
        <v>0.95692120000000003</v>
      </c>
      <c r="Y2959">
        <v>0.3469082</v>
      </c>
      <c r="Z2959">
        <v>-7.8800609999999903E-3</v>
      </c>
      <c r="AA2959">
        <v>0.93786599999999998</v>
      </c>
      <c r="AB2959">
        <v>32</v>
      </c>
      <c r="AC2959">
        <v>34.656599999999997</v>
      </c>
      <c r="AD2959">
        <v>-1.1198726100959999</v>
      </c>
      <c r="AE2959">
        <v>-13.1390999999999</v>
      </c>
      <c r="AF2959">
        <v>12.970693241673599</v>
      </c>
      <c r="AG2959">
        <v>-1.1198726100959999</v>
      </c>
      <c r="AH2959">
        <v>34.683889494659397</v>
      </c>
      <c r="AI2959">
        <v>91.732234760418095</v>
      </c>
      <c r="AJ2959">
        <v>69.495770459399395</v>
      </c>
      <c r="AK2959">
        <v>37.046797274665799</v>
      </c>
      <c r="AL2959">
        <v>76.022956982816495</v>
      </c>
      <c r="AM2959">
        <v>80.441858432960103</v>
      </c>
      <c r="AN2959">
        <v>0.99999998752772901</v>
      </c>
    </row>
    <row r="2960" spans="1:40" x14ac:dyDescent="0.25">
      <c r="A2960" t="str">
        <f>"20190303170824863"</f>
        <v>20190303170824863</v>
      </c>
      <c r="B2960" t="str">
        <f>"1551604104855877"</f>
        <v>1551604104855877</v>
      </c>
      <c r="C2960" t="s">
        <v>40</v>
      </c>
      <c r="D2960">
        <v>4.3836639999999996</v>
      </c>
      <c r="E2960">
        <v>0.58265769999999995</v>
      </c>
      <c r="F2960" t="s">
        <v>57</v>
      </c>
      <c r="G2960">
        <v>-186.99700000000001</v>
      </c>
      <c r="H2960" s="1">
        <v>6.0179070000000004E-6</v>
      </c>
      <c r="I2960">
        <v>203.20840000000001</v>
      </c>
      <c r="J2960">
        <v>-216.57210000000001</v>
      </c>
      <c r="K2960">
        <v>1.1197600000000001</v>
      </c>
      <c r="L2960">
        <v>214.6292</v>
      </c>
      <c r="M2960">
        <v>0.9998745</v>
      </c>
      <c r="N2960">
        <v>-1.446511E-2</v>
      </c>
      <c r="O2960">
        <v>-6.4561820000000004E-3</v>
      </c>
      <c r="P2960">
        <v>0.95862159999999996</v>
      </c>
      <c r="Q2960">
        <v>0.22616359999999999</v>
      </c>
      <c r="R2960">
        <v>-0.17290039999999901</v>
      </c>
      <c r="S2960">
        <v>2.9587400000000001</v>
      </c>
      <c r="T2960">
        <v>-0.11086940000000001</v>
      </c>
      <c r="U2960">
        <v>-1.1310119999999999</v>
      </c>
      <c r="V2960">
        <v>0.16766249999999999</v>
      </c>
      <c r="W2960">
        <v>0.2393564</v>
      </c>
      <c r="X2960">
        <v>0.95634609999999998</v>
      </c>
      <c r="Y2960">
        <v>0.35071790000000003</v>
      </c>
      <c r="Z2960">
        <v>-8.8260409999999997E-3</v>
      </c>
      <c r="AA2960">
        <v>0.93643960000000004</v>
      </c>
      <c r="AB2960">
        <v>32</v>
      </c>
      <c r="AC2960">
        <v>29.5750999999999</v>
      </c>
      <c r="AD2960">
        <v>-1.119753982093</v>
      </c>
      <c r="AE2960">
        <v>-11.4207999999999</v>
      </c>
      <c r="AF2960">
        <v>11.215608682986399</v>
      </c>
      <c r="AG2960">
        <v>-1.119753982093</v>
      </c>
      <c r="AH2960">
        <v>29.611287056590601</v>
      </c>
      <c r="AI2960">
        <v>92.025333354440704</v>
      </c>
      <c r="AJ2960">
        <v>69.255253024037003</v>
      </c>
      <c r="AK2960">
        <v>31.683939910593601</v>
      </c>
      <c r="AL2960">
        <v>76.1514427516491</v>
      </c>
      <c r="AM2960">
        <v>80.056203834012607</v>
      </c>
      <c r="AN2960">
        <v>1.0000000315562001</v>
      </c>
    </row>
    <row r="2961" spans="1:40" x14ac:dyDescent="0.25">
      <c r="A2961" t="str">
        <f>"20190303170824883"</f>
        <v>20190303170824883</v>
      </c>
      <c r="B2961" t="str">
        <f>"1551604104876373"</f>
        <v>1551604104876373</v>
      </c>
      <c r="C2961" t="s">
        <v>40</v>
      </c>
      <c r="D2961">
        <v>4.3776010000000003</v>
      </c>
      <c r="E2961">
        <v>0.5819105</v>
      </c>
      <c r="F2961" t="s">
        <v>57</v>
      </c>
      <c r="G2961">
        <v>-188.68</v>
      </c>
      <c r="H2961" s="1">
        <v>6.2057779999999998E-6</v>
      </c>
      <c r="I2961">
        <v>203.73259999999999</v>
      </c>
      <c r="J2961">
        <v>-216.2877</v>
      </c>
      <c r="K2961">
        <v>1.119642</v>
      </c>
      <c r="L2961">
        <v>214.62540000000001</v>
      </c>
      <c r="M2961">
        <v>0.99986039999999998</v>
      </c>
      <c r="N2961">
        <v>-1.446595E-2</v>
      </c>
      <c r="O2961">
        <v>-8.3788930000000001E-3</v>
      </c>
      <c r="P2961">
        <v>0.95709809999999995</v>
      </c>
      <c r="Q2961">
        <v>0.22625700000000001</v>
      </c>
      <c r="R2961">
        <v>-0.18102889999999999</v>
      </c>
      <c r="S2961">
        <v>2.9495849999999999</v>
      </c>
      <c r="T2961">
        <v>-0.11841400000000001</v>
      </c>
      <c r="U2961">
        <v>-1.1523129999999999</v>
      </c>
      <c r="V2961">
        <v>0.1740302</v>
      </c>
      <c r="W2961">
        <v>0.2393564</v>
      </c>
      <c r="X2961">
        <v>0.95520780000000005</v>
      </c>
      <c r="Y2961">
        <v>0.35572150000000002</v>
      </c>
      <c r="Z2961">
        <v>-9.3428720000000003E-3</v>
      </c>
      <c r="AA2961">
        <v>0.93454530000000002</v>
      </c>
      <c r="AB2961">
        <v>32</v>
      </c>
      <c r="AC2961">
        <v>27.607699999999902</v>
      </c>
      <c r="AD2961">
        <v>-1.1196357942219901</v>
      </c>
      <c r="AE2961">
        <v>-10.892799999999999</v>
      </c>
      <c r="AF2961">
        <v>10.645920429340499</v>
      </c>
      <c r="AG2961">
        <v>-1.1196357942219901</v>
      </c>
      <c r="AH2961">
        <v>27.658646799494399</v>
      </c>
      <c r="AI2961">
        <v>92.1635278517427</v>
      </c>
      <c r="AJ2961">
        <v>68.948090968594599</v>
      </c>
      <c r="AK2961">
        <v>29.657881732833498</v>
      </c>
      <c r="AL2961">
        <v>76.151441867453499</v>
      </c>
      <c r="AM2961">
        <v>79.6744812619052</v>
      </c>
      <c r="AN2961">
        <v>0.99999996895691901</v>
      </c>
    </row>
    <row r="2962" spans="1:40" x14ac:dyDescent="0.25">
      <c r="A2962" t="str">
        <f>"20190303170824905"</f>
        <v>20190303170824905</v>
      </c>
      <c r="B2962" t="str">
        <f>"1551604104895894"</f>
        <v>1551604104895894</v>
      </c>
      <c r="C2962" t="s">
        <v>40</v>
      </c>
      <c r="D2962">
        <v>4.4027240000000001</v>
      </c>
      <c r="E2962">
        <v>0.5811769</v>
      </c>
      <c r="F2962" t="s">
        <v>57</v>
      </c>
      <c r="G2962">
        <v>-188.65770000000001</v>
      </c>
      <c r="H2962" s="1">
        <v>6.2420759999999899E-6</v>
      </c>
      <c r="I2962">
        <v>203.61590000000001</v>
      </c>
      <c r="J2962">
        <v>-215.95699999999999</v>
      </c>
      <c r="K2962">
        <v>1.1194869999999999</v>
      </c>
      <c r="L2962">
        <v>214.62020000000001</v>
      </c>
      <c r="M2962">
        <v>0.99983719999999998</v>
      </c>
      <c r="N2962">
        <v>-1.446766E-2</v>
      </c>
      <c r="O2962">
        <v>-1.078817E-2</v>
      </c>
      <c r="P2962">
        <v>0.95561090000000004</v>
      </c>
      <c r="Q2962">
        <v>0.22702269999999999</v>
      </c>
      <c r="R2962">
        <v>-0.18779970000000001</v>
      </c>
      <c r="S2962">
        <v>2.9409939999999999</v>
      </c>
      <c r="T2962">
        <v>-0.1191763</v>
      </c>
      <c r="U2962">
        <v>-1.171875</v>
      </c>
      <c r="V2962">
        <v>0.178600799999999</v>
      </c>
      <c r="W2962">
        <v>0.2400216</v>
      </c>
      <c r="X2962">
        <v>0.95419679999999996</v>
      </c>
      <c r="Y2962">
        <v>0.35976000000000002</v>
      </c>
      <c r="Z2962">
        <v>-9.4476119999999993E-3</v>
      </c>
      <c r="AA2962">
        <v>0.93299699999999997</v>
      </c>
      <c r="AB2962">
        <v>32</v>
      </c>
      <c r="AC2962">
        <v>27.299299999999899</v>
      </c>
      <c r="AD2962">
        <v>-1.119480757924</v>
      </c>
      <c r="AE2962">
        <v>-11.004300000000001</v>
      </c>
      <c r="AF2962">
        <v>10.693649990642299</v>
      </c>
      <c r="AG2962">
        <v>-1.119480757924</v>
      </c>
      <c r="AH2962">
        <v>27.376836975182201</v>
      </c>
      <c r="AI2962">
        <v>92.181279797260402</v>
      </c>
      <c r="AJ2962">
        <v>68.663915968341996</v>
      </c>
      <c r="AK2962">
        <v>29.412558373175099</v>
      </c>
      <c r="AL2962">
        <v>76.112185828630501</v>
      </c>
      <c r="AM2962">
        <v>79.398391698682801</v>
      </c>
      <c r="AN2962">
        <v>1.00000007367871</v>
      </c>
    </row>
    <row r="2963" spans="1:40" x14ac:dyDescent="0.25">
      <c r="A2963" t="str">
        <f>"20190303170824932"</f>
        <v>20190303170824932</v>
      </c>
      <c r="B2963" t="str">
        <f>"1551604104926149"</f>
        <v>1551604104926149</v>
      </c>
      <c r="C2963" t="s">
        <v>40</v>
      </c>
      <c r="D2963">
        <v>4.3874519999999997</v>
      </c>
      <c r="E2963">
        <v>0.57317039999999997</v>
      </c>
      <c r="F2963" t="s">
        <v>57</v>
      </c>
      <c r="G2963">
        <v>-187.99930000000001</v>
      </c>
      <c r="H2963" s="1">
        <v>6.2033950000000003E-6</v>
      </c>
      <c r="I2963">
        <v>203.31229999999999</v>
      </c>
      <c r="J2963">
        <v>-215.59630000000001</v>
      </c>
      <c r="K2963">
        <v>1.1193169999999999</v>
      </c>
      <c r="L2963">
        <v>214.61330000000001</v>
      </c>
      <c r="M2963">
        <v>0.99980210000000003</v>
      </c>
      <c r="N2963">
        <v>-1.447035E-2</v>
      </c>
      <c r="O2963">
        <v>-1.364925E-2</v>
      </c>
      <c r="P2963">
        <v>0.95444200000000001</v>
      </c>
      <c r="Q2963">
        <v>0.2265306</v>
      </c>
      <c r="R2963">
        <v>-0.19422710000000001</v>
      </c>
      <c r="S2963">
        <v>2.9340670000000002</v>
      </c>
      <c r="T2963">
        <v>-0.1174858</v>
      </c>
      <c r="U2963">
        <v>-1.1867219999999901</v>
      </c>
      <c r="V2963">
        <v>0.1824017</v>
      </c>
      <c r="W2963">
        <v>0.23942949999999999</v>
      </c>
      <c r="X2963">
        <v>0.95362630000000004</v>
      </c>
      <c r="Y2963">
        <v>0.36191760000000001</v>
      </c>
      <c r="Z2963">
        <v>-9.3530660000000002E-3</v>
      </c>
      <c r="AA2963">
        <v>0.93216319999999997</v>
      </c>
      <c r="AB2963">
        <v>32</v>
      </c>
      <c r="AC2963">
        <v>27.597000000000001</v>
      </c>
      <c r="AD2963">
        <v>-1.119310796605</v>
      </c>
      <c r="AE2963">
        <v>-11.301</v>
      </c>
      <c r="AF2963">
        <v>10.907862215193999</v>
      </c>
      <c r="AG2963">
        <v>-1.119310796605</v>
      </c>
      <c r="AH2963">
        <v>27.709657589442099</v>
      </c>
      <c r="AI2963">
        <v>92.152556088861104</v>
      </c>
      <c r="AJ2963">
        <v>68.513000300523501</v>
      </c>
      <c r="AK2963">
        <v>29.800326147362501</v>
      </c>
      <c r="AL2963">
        <v>76.147128451287699</v>
      </c>
      <c r="AM2963">
        <v>79.171726374581198</v>
      </c>
      <c r="AN2963">
        <v>0.99999999284241503</v>
      </c>
    </row>
    <row r="2964" spans="1:40" x14ac:dyDescent="0.25">
      <c r="A2964" t="str">
        <f>"20190303170824973"</f>
        <v>20190303170824973</v>
      </c>
      <c r="B2964" t="str">
        <f>"1551604104966168"</f>
        <v>1551604104966168</v>
      </c>
      <c r="C2964" t="s">
        <v>40</v>
      </c>
      <c r="D2964">
        <v>4.4027510000000003</v>
      </c>
      <c r="E2964">
        <v>0.5729303</v>
      </c>
      <c r="F2964" t="s">
        <v>57</v>
      </c>
      <c r="G2964">
        <v>-190.9804</v>
      </c>
      <c r="H2964" s="1">
        <v>5.7956379999999998E-6</v>
      </c>
      <c r="I2964">
        <v>205.05279999999999</v>
      </c>
      <c r="J2964">
        <v>-214.99860000000001</v>
      </c>
      <c r="K2964">
        <v>1.1190359999999999</v>
      </c>
      <c r="L2964">
        <v>214.59899999999999</v>
      </c>
      <c r="M2964">
        <v>0.99971690000000002</v>
      </c>
      <c r="N2964">
        <v>-1.447529E-2</v>
      </c>
      <c r="O2964">
        <v>-1.8890750000000001E-2</v>
      </c>
      <c r="P2964">
        <v>0.95281170000000004</v>
      </c>
      <c r="Q2964">
        <v>0.2227422</v>
      </c>
      <c r="R2964">
        <v>-0.20624329999999999</v>
      </c>
      <c r="S2964">
        <v>2.9423979999999998</v>
      </c>
      <c r="T2964">
        <v>-0.1337941</v>
      </c>
      <c r="U2964">
        <v>-1.142792</v>
      </c>
      <c r="V2964">
        <v>0.18955759999999999</v>
      </c>
      <c r="W2964">
        <v>0.235483</v>
      </c>
      <c r="X2964">
        <v>0.95321330000000004</v>
      </c>
      <c r="Y2964">
        <v>0.34395379999999998</v>
      </c>
      <c r="Z2964">
        <v>-9.5567740000000005E-3</v>
      </c>
      <c r="AA2964">
        <v>0.93893789999999999</v>
      </c>
      <c r="AB2964">
        <v>32</v>
      </c>
      <c r="AC2964">
        <v>24.0182</v>
      </c>
      <c r="AD2964">
        <v>-1.119030204362</v>
      </c>
      <c r="AE2964">
        <v>-9.5462000000000202</v>
      </c>
      <c r="AF2964">
        <v>9.0737174338107192</v>
      </c>
      <c r="AG2964">
        <v>-1.119030204362</v>
      </c>
      <c r="AH2964">
        <v>24.148997599758498</v>
      </c>
      <c r="AI2964">
        <v>92.483797251685601</v>
      </c>
      <c r="AJ2964">
        <v>69.406848186351894</v>
      </c>
      <c r="AK2964">
        <v>25.821670390198499</v>
      </c>
      <c r="AL2964">
        <v>76.379903788562203</v>
      </c>
      <c r="AM2964">
        <v>78.752793564543794</v>
      </c>
      <c r="AN2964">
        <v>0.99999996115182399</v>
      </c>
    </row>
    <row r="2965" spans="1:40" x14ac:dyDescent="0.25">
      <c r="A2965" t="str">
        <f>"20190303170824995"</f>
        <v>20190303170824995</v>
      </c>
      <c r="B2965" t="str">
        <f>"1551604104985685"</f>
        <v>1551604104985685</v>
      </c>
      <c r="C2965" t="s">
        <v>40</v>
      </c>
      <c r="D2965">
        <v>4.3947479999999999</v>
      </c>
      <c r="E2965">
        <v>0.57245199999999996</v>
      </c>
      <c r="F2965" t="s">
        <v>57</v>
      </c>
      <c r="G2965">
        <v>-191.6283</v>
      </c>
      <c r="H2965" s="1">
        <v>5.6075899999999996E-6</v>
      </c>
      <c r="I2965">
        <v>205.17840000000001</v>
      </c>
      <c r="J2965">
        <v>-214.67529999999999</v>
      </c>
      <c r="K2965">
        <v>1.1189070000000001</v>
      </c>
      <c r="L2965">
        <v>214.58969999999999</v>
      </c>
      <c r="M2965">
        <v>0.99965459999999995</v>
      </c>
      <c r="N2965">
        <v>-1.4477469999999999E-2</v>
      </c>
      <c r="O2965">
        <v>-2.1939819999999999E-2</v>
      </c>
      <c r="P2965">
        <v>0.95141629999999999</v>
      </c>
      <c r="Q2965">
        <v>0.22192410000000001</v>
      </c>
      <c r="R2965">
        <v>-0.21344099999999999</v>
      </c>
      <c r="S2965">
        <v>2.9260250000000001</v>
      </c>
      <c r="T2965">
        <v>-0.1401057</v>
      </c>
      <c r="U2965">
        <v>-1.179489</v>
      </c>
      <c r="V2965">
        <v>0.19392780000000001</v>
      </c>
      <c r="W2965">
        <v>0.23457739999999999</v>
      </c>
      <c r="X2965">
        <v>0.95255730000000005</v>
      </c>
      <c r="Y2965">
        <v>0.35297339999999999</v>
      </c>
      <c r="Z2965">
        <v>-1.0078200000000001E-2</v>
      </c>
      <c r="AA2965">
        <v>0.9355791</v>
      </c>
      <c r="AB2965">
        <v>32</v>
      </c>
      <c r="AC2965">
        <v>23.047000000000001</v>
      </c>
      <c r="AD2965">
        <v>-1.11890139241</v>
      </c>
      <c r="AE2965">
        <v>-9.4112999999999793</v>
      </c>
      <c r="AF2965">
        <v>8.8853846895198902</v>
      </c>
      <c r="AG2965">
        <v>-1.11890139241</v>
      </c>
      <c r="AH2965">
        <v>23.2010862195668</v>
      </c>
      <c r="AI2965">
        <v>92.578658825960204</v>
      </c>
      <c r="AJ2965">
        <v>69.044519811088406</v>
      </c>
      <c r="AK2965">
        <v>24.869507497625701</v>
      </c>
      <c r="AL2965">
        <v>76.433286441831001</v>
      </c>
      <c r="AM2965">
        <v>78.492617081334501</v>
      </c>
      <c r="AN2965">
        <v>0.99999997899344395</v>
      </c>
    </row>
    <row r="2966" spans="1:40" x14ac:dyDescent="0.25">
      <c r="A2966" t="str">
        <f>"20190303170825015"</f>
        <v>20190303170825015</v>
      </c>
      <c r="B2966" t="str">
        <f>"1551604105006181"</f>
        <v>1551604105006181</v>
      </c>
      <c r="C2966" t="s">
        <v>40</v>
      </c>
      <c r="D2966">
        <v>4.434609</v>
      </c>
      <c r="E2966">
        <v>0.57203479999999995</v>
      </c>
      <c r="F2966" t="s">
        <v>57</v>
      </c>
      <c r="G2966">
        <v>-191.88200000000001</v>
      </c>
      <c r="H2966" s="1">
        <v>5.5296340000000001E-6</v>
      </c>
      <c r="I2966">
        <v>205.2398</v>
      </c>
      <c r="J2966">
        <v>-214.38059999999999</v>
      </c>
      <c r="K2966">
        <v>1.118814</v>
      </c>
      <c r="L2966">
        <v>214.58029999999999</v>
      </c>
      <c r="M2966">
        <v>0.999587</v>
      </c>
      <c r="N2966">
        <v>-1.4479000000000001E-2</v>
      </c>
      <c r="O2966">
        <v>-2.4828630000000001E-2</v>
      </c>
      <c r="P2966">
        <v>0.949596</v>
      </c>
      <c r="Q2966">
        <v>0.22210450000000001</v>
      </c>
      <c r="R2966">
        <v>-0.22121750000000001</v>
      </c>
      <c r="S2966">
        <v>2.918091</v>
      </c>
      <c r="T2966">
        <v>-0.1432465</v>
      </c>
      <c r="U2966">
        <v>-1.1970209999999999</v>
      </c>
      <c r="V2966">
        <v>0.19903899999999999</v>
      </c>
      <c r="W2966">
        <v>0.2346673</v>
      </c>
      <c r="X2966">
        <v>0.95148029999999995</v>
      </c>
      <c r="Y2966">
        <v>0.3559504</v>
      </c>
      <c r="Z2966">
        <v>-1.0248200000000001E-2</v>
      </c>
      <c r="AA2966">
        <v>0.93444870000000002</v>
      </c>
      <c r="AB2966">
        <v>32</v>
      </c>
      <c r="AC2966">
        <v>22.4985999999999</v>
      </c>
      <c r="AD2966">
        <v>-1.118808470366</v>
      </c>
      <c r="AE2966">
        <v>-9.3404999999999898</v>
      </c>
      <c r="AF2966">
        <v>8.76047346385484</v>
      </c>
      <c r="AG2966">
        <v>-1.118808470366</v>
      </c>
      <c r="AH2966">
        <v>22.6757685817275</v>
      </c>
      <c r="AI2966">
        <v>92.635127622066605</v>
      </c>
      <c r="AJ2966">
        <v>68.8766416417035</v>
      </c>
      <c r="AK2966">
        <v>24.3349154195433</v>
      </c>
      <c r="AL2966">
        <v>76.427988117463997</v>
      </c>
      <c r="AM2966">
        <v>78.184744629244605</v>
      </c>
      <c r="AN2966">
        <v>1.00000001324919</v>
      </c>
    </row>
    <row r="2967" spans="1:40" x14ac:dyDescent="0.25">
      <c r="A2967" t="str">
        <f>"20190303170825041"</f>
        <v>20190303170825041</v>
      </c>
      <c r="B2967" t="str">
        <f>"1551604105036437"</f>
        <v>1551604105036437</v>
      </c>
      <c r="C2967" t="s">
        <v>40</v>
      </c>
      <c r="D2967">
        <v>4.4202700000000004</v>
      </c>
      <c r="E2967">
        <v>0.57145659999999998</v>
      </c>
      <c r="F2967" t="s">
        <v>57</v>
      </c>
      <c r="G2967">
        <v>-191.96619999999999</v>
      </c>
      <c r="H2967" s="1">
        <v>5.5215729999999899E-6</v>
      </c>
      <c r="I2967">
        <v>205.2098</v>
      </c>
      <c r="J2967">
        <v>-214.03020000000001</v>
      </c>
      <c r="K2967">
        <v>1.1187119999999999</v>
      </c>
      <c r="L2967">
        <v>214.56790000000001</v>
      </c>
      <c r="M2967">
        <v>0.99949120000000002</v>
      </c>
      <c r="N2967">
        <v>-1.4480989999999999E-2</v>
      </c>
      <c r="O2967">
        <v>-2.8418510000000001E-2</v>
      </c>
      <c r="P2967">
        <v>0.94757760000000002</v>
      </c>
      <c r="Q2967">
        <v>0.2230454</v>
      </c>
      <c r="R2967">
        <v>-0.2287959</v>
      </c>
      <c r="S2967">
        <v>2.909805</v>
      </c>
      <c r="T2967">
        <v>-0.1452427</v>
      </c>
      <c r="U2967">
        <v>-1.2164759999999999</v>
      </c>
      <c r="V2967">
        <v>0.2033142</v>
      </c>
      <c r="W2967">
        <v>0.23550989999999999</v>
      </c>
      <c r="X2967">
        <v>0.95036750000000003</v>
      </c>
      <c r="Y2967">
        <v>0.35884310000000003</v>
      </c>
      <c r="Z2967">
        <v>-1.0332279999999999E-2</v>
      </c>
      <c r="AA2967">
        <v>0.93334070000000002</v>
      </c>
      <c r="AB2967">
        <v>32</v>
      </c>
      <c r="AC2967">
        <v>22.064</v>
      </c>
      <c r="AD2967">
        <v>-1.118706478427</v>
      </c>
      <c r="AE2967">
        <v>-9.3581000000000092</v>
      </c>
      <c r="AF2967">
        <v>8.7082540602479401</v>
      </c>
      <c r="AG2967">
        <v>-1.118706478427</v>
      </c>
      <c r="AH2967">
        <v>22.272529968262099</v>
      </c>
      <c r="AI2967">
        <v>92.678320327397003</v>
      </c>
      <c r="AJ2967">
        <v>68.645182538385896</v>
      </c>
      <c r="AK2967">
        <v>23.940567749112301</v>
      </c>
      <c r="AL2967">
        <v>76.378318205501898</v>
      </c>
      <c r="AM2967">
        <v>77.924610544348099</v>
      </c>
      <c r="AN2967">
        <v>0.99999998098794896</v>
      </c>
    </row>
    <row r="2968" spans="1:40" x14ac:dyDescent="0.25">
      <c r="A2968" t="str">
        <f>"20190303170825063"</f>
        <v>20190303170825063</v>
      </c>
      <c r="B2968" t="str">
        <f>"1551604105055956"</f>
        <v>1551604105055956</v>
      </c>
      <c r="C2968" t="s">
        <v>40</v>
      </c>
      <c r="D2968">
        <v>4.4438589999999998</v>
      </c>
      <c r="E2968">
        <v>0.57134259999999903</v>
      </c>
      <c r="F2968" t="s">
        <v>57</v>
      </c>
      <c r="G2968">
        <v>-191.56209999999999</v>
      </c>
      <c r="H2968" s="1">
        <v>5.6821009999999996E-6</v>
      </c>
      <c r="I2968">
        <v>205.00909999999999</v>
      </c>
      <c r="J2968">
        <v>-213.70410000000001</v>
      </c>
      <c r="K2968">
        <v>1.1185940000000001</v>
      </c>
      <c r="L2968">
        <v>214.55510000000001</v>
      </c>
      <c r="M2968">
        <v>0.999386</v>
      </c>
      <c r="N2968">
        <v>-1.4483899999999999E-2</v>
      </c>
      <c r="O2968">
        <v>-3.1904769999999999E-2</v>
      </c>
      <c r="P2968">
        <v>0.94605419999999996</v>
      </c>
      <c r="Q2968">
        <v>0.22269340000000001</v>
      </c>
      <c r="R2968">
        <v>-0.235349</v>
      </c>
      <c r="S2968">
        <v>2.9018860000000002</v>
      </c>
      <c r="T2968">
        <v>-0.1444877</v>
      </c>
      <c r="U2968">
        <v>-1.2345729999999999</v>
      </c>
      <c r="V2968">
        <v>0.20665020000000001</v>
      </c>
      <c r="W2968">
        <v>0.235071</v>
      </c>
      <c r="X2968">
        <v>0.94975639999999995</v>
      </c>
      <c r="Y2968">
        <v>0.36143370000000002</v>
      </c>
      <c r="Z2968">
        <v>-1.0272170000000001E-2</v>
      </c>
      <c r="AA2968">
        <v>0.93234119999999998</v>
      </c>
      <c r="AB2968">
        <v>32</v>
      </c>
      <c r="AC2968">
        <v>22.141999999999999</v>
      </c>
      <c r="AD2968">
        <v>-1.1185883178989999</v>
      </c>
      <c r="AE2968">
        <v>-9.54600000000001</v>
      </c>
      <c r="AF2968">
        <v>8.8156572390694006</v>
      </c>
      <c r="AG2968">
        <v>-1.1185883178989999</v>
      </c>
      <c r="AH2968">
        <v>22.387140129785699</v>
      </c>
      <c r="AI2968">
        <v>92.661819410558195</v>
      </c>
      <c r="AJ2968">
        <v>68.506362818640198</v>
      </c>
      <c r="AK2968">
        <v>24.086325904387301</v>
      </c>
      <c r="AL2968">
        <v>76.404191287600199</v>
      </c>
      <c r="AM2968">
        <v>77.724776230877097</v>
      </c>
      <c r="AN2968">
        <v>0.99999994977099804</v>
      </c>
    </row>
    <row r="2969" spans="1:40" x14ac:dyDescent="0.25">
      <c r="A2969" t="str">
        <f>"20190303170825085"</f>
        <v>20190303170825085</v>
      </c>
      <c r="B2969" t="str">
        <f>"1551604105076453"</f>
        <v>1551604105076453</v>
      </c>
      <c r="C2969" t="s">
        <v>40</v>
      </c>
      <c r="D2969">
        <v>4.4408000000000003</v>
      </c>
      <c r="E2969">
        <v>0.57104549999999998</v>
      </c>
      <c r="F2969" t="s">
        <v>57</v>
      </c>
      <c r="G2969">
        <v>-191.28319999999999</v>
      </c>
      <c r="H2969" s="1">
        <v>5.8094399999999899E-6</v>
      </c>
      <c r="I2969">
        <v>204.82390000000001</v>
      </c>
      <c r="J2969">
        <v>-213.3939</v>
      </c>
      <c r="K2969">
        <v>1.118465</v>
      </c>
      <c r="L2969">
        <v>214.54159999999999</v>
      </c>
      <c r="M2969">
        <v>0.99926999999999999</v>
      </c>
      <c r="N2969">
        <v>-1.4487389999999999E-2</v>
      </c>
      <c r="O2969">
        <v>-3.5352099999999997E-2</v>
      </c>
      <c r="P2969">
        <v>0.94462270000000004</v>
      </c>
      <c r="Q2969">
        <v>0.22214510000000001</v>
      </c>
      <c r="R2969">
        <v>-0.2415361</v>
      </c>
      <c r="S2969">
        <v>2.8927</v>
      </c>
      <c r="T2969">
        <v>-0.14431759999999999</v>
      </c>
      <c r="U2969">
        <v>-1.255493</v>
      </c>
      <c r="V2969">
        <v>0.2096586</v>
      </c>
      <c r="W2969">
        <v>0.23443829999999999</v>
      </c>
      <c r="X2969">
        <v>0.94925329999999997</v>
      </c>
      <c r="Y2969">
        <v>0.36496689999999998</v>
      </c>
      <c r="Z2969">
        <v>-1.0274109999999999E-2</v>
      </c>
      <c r="AA2969">
        <v>0.93096380000000001</v>
      </c>
      <c r="AB2969">
        <v>32</v>
      </c>
      <c r="AC2969">
        <v>22.110700000000001</v>
      </c>
      <c r="AD2969">
        <v>-1.1184591905600001</v>
      </c>
      <c r="AE2969">
        <v>-9.7176999999999794</v>
      </c>
      <c r="AF2969">
        <v>8.9107731477954797</v>
      </c>
      <c r="AG2969">
        <v>-1.1184591905600001</v>
      </c>
      <c r="AH2969">
        <v>22.392431600646599</v>
      </c>
      <c r="AI2969">
        <v>92.657109320199694</v>
      </c>
      <c r="AJ2969">
        <v>68.300569153913202</v>
      </c>
      <c r="AK2969">
        <v>24.126206126162</v>
      </c>
      <c r="AL2969">
        <v>76.441484315688101</v>
      </c>
      <c r="AM2969">
        <v>77.545215358985899</v>
      </c>
      <c r="AN2969">
        <v>0.99999993631086803</v>
      </c>
    </row>
    <row r="2970" spans="1:40" x14ac:dyDescent="0.25">
      <c r="A2970" t="str">
        <f>"20190303170825108"</f>
        <v>20190303170825108</v>
      </c>
      <c r="B2970" t="str">
        <f>"1551604105095973"</f>
        <v>1551604105095973</v>
      </c>
      <c r="C2970" t="s">
        <v>40</v>
      </c>
      <c r="D2970">
        <v>4.4537170000000001</v>
      </c>
      <c r="E2970">
        <v>0.56881590000000004</v>
      </c>
      <c r="F2970" t="s">
        <v>57</v>
      </c>
      <c r="G2970">
        <v>-191.28290000000001</v>
      </c>
      <c r="H2970" s="1">
        <v>5.8213840000000003E-6</v>
      </c>
      <c r="I2970">
        <v>204.7903</v>
      </c>
      <c r="J2970">
        <v>-213.06739999999999</v>
      </c>
      <c r="K2970">
        <v>1.118322</v>
      </c>
      <c r="L2970">
        <v>214.52629999999999</v>
      </c>
      <c r="M2970">
        <v>0.9991295</v>
      </c>
      <c r="N2970">
        <v>-1.4491169999999999E-2</v>
      </c>
      <c r="O2970">
        <v>-3.9120219999999997E-2</v>
      </c>
      <c r="P2970">
        <v>0.94243869999999996</v>
      </c>
      <c r="Q2970">
        <v>0.22173290000000001</v>
      </c>
      <c r="R2970">
        <v>-0.25028820000000002</v>
      </c>
      <c r="S2970">
        <v>2.884903</v>
      </c>
      <c r="T2970">
        <v>-0.14592929999999901</v>
      </c>
      <c r="U2970">
        <v>-1.2722929999999999</v>
      </c>
      <c r="V2970">
        <v>0.2149643</v>
      </c>
      <c r="W2970">
        <v>0.2339108</v>
      </c>
      <c r="X2970">
        <v>0.94819620000000004</v>
      </c>
      <c r="Y2970">
        <v>0.36691170000000001</v>
      </c>
      <c r="Z2970">
        <v>-1.0298669999999999E-2</v>
      </c>
      <c r="AA2970">
        <v>0.93019879999999999</v>
      </c>
      <c r="AB2970">
        <v>32</v>
      </c>
      <c r="AC2970">
        <v>21.784499999999898</v>
      </c>
      <c r="AD2970">
        <v>-1.1183161786159901</v>
      </c>
      <c r="AE2970">
        <v>-9.73599999999999</v>
      </c>
      <c r="AF2970">
        <v>8.8567871421427</v>
      </c>
      <c r="AG2970">
        <v>-1.1183161786159901</v>
      </c>
      <c r="AH2970">
        <v>22.1001903357263</v>
      </c>
      <c r="AI2970">
        <v>92.689241688789807</v>
      </c>
      <c r="AJ2970">
        <v>68.1612519173149</v>
      </c>
      <c r="AK2970">
        <v>23.835094344934099</v>
      </c>
      <c r="AL2970">
        <v>76.472572763399597</v>
      </c>
      <c r="AM2970">
        <v>77.226468411901095</v>
      </c>
      <c r="AN2970">
        <v>0.99999997316278399</v>
      </c>
    </row>
    <row r="2971" spans="1:40" x14ac:dyDescent="0.25">
      <c r="A2971" t="str">
        <f>"20190303170825133"</f>
        <v>20190303170825133</v>
      </c>
      <c r="B2971" t="str">
        <f>"1551604105126228"</f>
        <v>1551604105126228</v>
      </c>
      <c r="C2971" t="s">
        <v>40</v>
      </c>
      <c r="D2971">
        <v>4.4525309999999996</v>
      </c>
      <c r="E2971">
        <v>0.56878569999999995</v>
      </c>
      <c r="F2971" t="s">
        <v>57</v>
      </c>
      <c r="G2971">
        <v>-192.93709999999999</v>
      </c>
      <c r="H2971" s="1">
        <v>5.1723940000000001E-6</v>
      </c>
      <c r="I2971">
        <v>205.58860000000001</v>
      </c>
      <c r="J2971">
        <v>-212.7234</v>
      </c>
      <c r="K2971">
        <v>1.1181890000000001</v>
      </c>
      <c r="L2971">
        <v>214.50839999999999</v>
      </c>
      <c r="M2971">
        <v>0.99895809999999996</v>
      </c>
      <c r="N2971">
        <v>-1.4495610000000001E-2</v>
      </c>
      <c r="O2971">
        <v>-4.327665E-2</v>
      </c>
      <c r="P2971">
        <v>0.94036560000000002</v>
      </c>
      <c r="Q2971">
        <v>0.22128919999999999</v>
      </c>
      <c r="R2971">
        <v>-0.2583492</v>
      </c>
      <c r="S2971">
        <v>2.8811650000000002</v>
      </c>
      <c r="T2971">
        <v>-0.16006049999999999</v>
      </c>
      <c r="U2971">
        <v>-1.2792209999999999</v>
      </c>
      <c r="V2971">
        <v>0.21921950000000001</v>
      </c>
      <c r="W2971">
        <v>0.23335629999999999</v>
      </c>
      <c r="X2971">
        <v>0.94735829999999999</v>
      </c>
      <c r="Y2971">
        <v>0.36527680000000001</v>
      </c>
      <c r="Z2971">
        <v>-1.0764259999999999E-2</v>
      </c>
      <c r="AA2971">
        <v>0.93083669999999996</v>
      </c>
      <c r="AB2971">
        <v>32</v>
      </c>
      <c r="AC2971">
        <v>19.786300000000001</v>
      </c>
      <c r="AD2971">
        <v>-1.1181838276060001</v>
      </c>
      <c r="AE2971">
        <v>-8.9197999999999809</v>
      </c>
      <c r="AF2971">
        <v>8.0337429366215503</v>
      </c>
      <c r="AG2971">
        <v>-1.1181838276060001</v>
      </c>
      <c r="AH2971">
        <v>20.100465795123299</v>
      </c>
      <c r="AI2971">
        <v>92.957078605862193</v>
      </c>
      <c r="AJ2971">
        <v>68.2144255972281</v>
      </c>
      <c r="AK2971">
        <v>21.675333580477101</v>
      </c>
      <c r="AL2971">
        <v>76.505248618604995</v>
      </c>
      <c r="AM2971">
        <v>76.971029548358302</v>
      </c>
      <c r="AN2971">
        <v>1.00000005025441</v>
      </c>
    </row>
    <row r="2972" spans="1:40" x14ac:dyDescent="0.25">
      <c r="A2972" t="str">
        <f>"20190303170825159"</f>
        <v>20190303170825159</v>
      </c>
      <c r="B2972" t="str">
        <f>"1551604105146725"</f>
        <v>1551604105146725</v>
      </c>
      <c r="C2972" t="s">
        <v>40</v>
      </c>
      <c r="D2972">
        <v>4.4531549999999998</v>
      </c>
      <c r="E2972">
        <v>0.56882549999999998</v>
      </c>
      <c r="F2972" t="s">
        <v>57</v>
      </c>
      <c r="G2972">
        <v>-193.25219999999999</v>
      </c>
      <c r="H2972" s="1">
        <v>5.0699109999999996E-6</v>
      </c>
      <c r="I2972">
        <v>205.68090000000001</v>
      </c>
      <c r="J2972">
        <v>-212.3391</v>
      </c>
      <c r="K2972">
        <v>1.118036</v>
      </c>
      <c r="L2972">
        <v>214.48650000000001</v>
      </c>
      <c r="M2972">
        <v>0.99873469999999998</v>
      </c>
      <c r="N2972">
        <v>-1.4501719999999999E-2</v>
      </c>
      <c r="O2972">
        <v>-4.8152279999999999E-2</v>
      </c>
      <c r="P2972">
        <v>0.93854530000000003</v>
      </c>
      <c r="Q2972">
        <v>0.220806</v>
      </c>
      <c r="R2972">
        <v>-0.26528740000000001</v>
      </c>
      <c r="S2972">
        <v>2.8713989999999998</v>
      </c>
      <c r="T2972">
        <v>-0.16489679999999901</v>
      </c>
      <c r="U2972">
        <v>-1.3017879999999999</v>
      </c>
      <c r="V2972">
        <v>0.22167809999999999</v>
      </c>
      <c r="W2972">
        <v>0.23277149999999999</v>
      </c>
      <c r="X2972">
        <v>0.94692989999999999</v>
      </c>
      <c r="Y2972">
        <v>0.3679596</v>
      </c>
      <c r="Z2972">
        <v>-1.090084E-2</v>
      </c>
      <c r="AA2972">
        <v>0.92977790000000005</v>
      </c>
      <c r="AB2972">
        <v>32</v>
      </c>
      <c r="AC2972">
        <v>19.0869</v>
      </c>
      <c r="AD2972">
        <v>-1.1180309300889999</v>
      </c>
      <c r="AE2972">
        <v>-8.8055999999999894</v>
      </c>
      <c r="AF2972">
        <v>7.8539899601687502</v>
      </c>
      <c r="AG2972">
        <v>-1.1180309300889999</v>
      </c>
      <c r="AH2972">
        <v>19.433830482091199</v>
      </c>
      <c r="AI2972">
        <v>93.053200813385004</v>
      </c>
      <c r="AJ2972">
        <v>67.994391891472404</v>
      </c>
      <c r="AK2972">
        <v>20.9906864742848</v>
      </c>
      <c r="AL2972">
        <v>76.539703262590805</v>
      </c>
      <c r="AM2972">
        <v>76.824222235754604</v>
      </c>
      <c r="AN2972">
        <v>0.99999999337293499</v>
      </c>
    </row>
    <row r="2973" spans="1:40" x14ac:dyDescent="0.25">
      <c r="A2973" t="str">
        <f>"20190303170825182"</f>
        <v>20190303170825182</v>
      </c>
      <c r="B2973" t="str">
        <f>"1551604105166245"</f>
        <v>1551604105166245</v>
      </c>
      <c r="C2973" t="s">
        <v>40</v>
      </c>
      <c r="D2973">
        <v>4.4684210000000002</v>
      </c>
      <c r="E2973">
        <v>0.56884029999999997</v>
      </c>
      <c r="F2973" t="s">
        <v>57</v>
      </c>
      <c r="G2973">
        <v>-192.76660000000001</v>
      </c>
      <c r="H2973" s="1">
        <v>5.2682309999999996E-6</v>
      </c>
      <c r="I2973">
        <v>205.42439999999999</v>
      </c>
      <c r="J2973">
        <v>-212.01740000000001</v>
      </c>
      <c r="K2973">
        <v>1.117899</v>
      </c>
      <c r="L2973">
        <v>214.4667</v>
      </c>
      <c r="M2973">
        <v>0.99852070000000004</v>
      </c>
      <c r="N2973">
        <v>-1.4507330000000001E-2</v>
      </c>
      <c r="O2973">
        <v>-5.2402360000000002E-2</v>
      </c>
      <c r="P2973">
        <v>0.93708440000000004</v>
      </c>
      <c r="Q2973">
        <v>0.22026219999999999</v>
      </c>
      <c r="R2973">
        <v>-0.27084550000000002</v>
      </c>
      <c r="S2973">
        <v>2.860519</v>
      </c>
      <c r="T2973">
        <v>-0.1634003</v>
      </c>
      <c r="U2973">
        <v>-1.3244320000000001</v>
      </c>
      <c r="V2973">
        <v>0.22332640000000001</v>
      </c>
      <c r="W2973">
        <v>0.23214779999999999</v>
      </c>
      <c r="X2973">
        <v>0.94669570000000003</v>
      </c>
      <c r="Y2973">
        <v>0.37141390000000002</v>
      </c>
      <c r="Z2973">
        <v>-1.08022E-2</v>
      </c>
      <c r="AA2973">
        <v>0.92840460000000002</v>
      </c>
      <c r="AB2973">
        <v>32</v>
      </c>
      <c r="AC2973">
        <v>19.250800000000002</v>
      </c>
      <c r="AD2973">
        <v>-1.1178937317690001</v>
      </c>
      <c r="AE2973">
        <v>-9.0423000000000098</v>
      </c>
      <c r="AF2973">
        <v>7.9988824176653699</v>
      </c>
      <c r="AG2973">
        <v>-1.1178937317690001</v>
      </c>
      <c r="AH2973">
        <v>19.6439638665824</v>
      </c>
      <c r="AI2973">
        <v>93.017027130875505</v>
      </c>
      <c r="AJ2973">
        <v>67.844196258861501</v>
      </c>
      <c r="AK2973">
        <v>21.2395179493029</v>
      </c>
      <c r="AL2973">
        <v>76.576445445254095</v>
      </c>
      <c r="AM2973">
        <v>76.726540415855794</v>
      </c>
      <c r="AN2973">
        <v>1.00000001519014</v>
      </c>
    </row>
    <row r="2974" spans="1:40" x14ac:dyDescent="0.25">
      <c r="A2974" t="str">
        <f>"20190303170825205"</f>
        <v>20190303170825205</v>
      </c>
      <c r="B2974" t="str">
        <f>"1551604105196501"</f>
        <v>1551604105196501</v>
      </c>
      <c r="C2974" t="s">
        <v>40</v>
      </c>
      <c r="D2974">
        <v>4.4841709999999999</v>
      </c>
      <c r="E2974">
        <v>0.56874780000000003</v>
      </c>
      <c r="F2974" t="s">
        <v>57</v>
      </c>
      <c r="G2974">
        <v>-192.8339</v>
      </c>
      <c r="H2974" s="1">
        <v>5.2489870000000003E-6</v>
      </c>
      <c r="I2974">
        <v>205.4367</v>
      </c>
      <c r="J2974">
        <v>-211.6892</v>
      </c>
      <c r="K2974">
        <v>1.1177469999999901</v>
      </c>
      <c r="L2974">
        <v>214.44479999999999</v>
      </c>
      <c r="M2974">
        <v>0.99827189999999999</v>
      </c>
      <c r="N2974">
        <v>-1.451363E-2</v>
      </c>
      <c r="O2974">
        <v>-5.6944540000000002E-2</v>
      </c>
      <c r="P2974">
        <v>0.93555339999999998</v>
      </c>
      <c r="Q2974">
        <v>0.2196806</v>
      </c>
      <c r="R2974">
        <v>-0.27655170000000001</v>
      </c>
      <c r="S2974">
        <v>2.852417</v>
      </c>
      <c r="T2974">
        <v>-0.16622089999999901</v>
      </c>
      <c r="U2974">
        <v>-1.3426819999999999</v>
      </c>
      <c r="V2974">
        <v>0.22486419999999999</v>
      </c>
      <c r="W2974">
        <v>0.2314766</v>
      </c>
      <c r="X2974">
        <v>0.946496</v>
      </c>
      <c r="Y2974">
        <v>0.37305139999999998</v>
      </c>
      <c r="Z2974">
        <v>-1.081266E-2</v>
      </c>
      <c r="AA2974">
        <v>0.92774769999999895</v>
      </c>
      <c r="AB2974">
        <v>32</v>
      </c>
      <c r="AC2974">
        <v>18.8553</v>
      </c>
      <c r="AD2974">
        <v>-1.1177417510130001</v>
      </c>
      <c r="AE2974">
        <v>-9.0080999999999793</v>
      </c>
      <c r="AF2974">
        <v>7.8970662264700699</v>
      </c>
      <c r="AG2974">
        <v>-1.1177417510130001</v>
      </c>
      <c r="AH2974">
        <v>19.2825449094444</v>
      </c>
      <c r="AI2974">
        <v>93.070528000269505</v>
      </c>
      <c r="AJ2974">
        <v>67.728701571783603</v>
      </c>
      <c r="AK2974">
        <v>20.866948502163702</v>
      </c>
      <c r="AL2974">
        <v>76.615979063583396</v>
      </c>
      <c r="AM2974">
        <v>76.635690232556797</v>
      </c>
      <c r="AN2974">
        <v>1.0000000014026</v>
      </c>
    </row>
    <row r="2975" spans="1:40" x14ac:dyDescent="0.25">
      <c r="A2975" t="str">
        <f>"20190303170825224"</f>
        <v>20190303170825224</v>
      </c>
      <c r="B2975" t="str">
        <f>"1551604105216021"</f>
        <v>1551604105216021</v>
      </c>
      <c r="C2975" t="s">
        <v>40</v>
      </c>
      <c r="D2975">
        <v>4.4806530000000002</v>
      </c>
      <c r="E2975">
        <v>0.56891080000000005</v>
      </c>
      <c r="F2975" t="s">
        <v>57</v>
      </c>
      <c r="G2975">
        <v>-193.0506</v>
      </c>
      <c r="H2975" s="1">
        <v>5.163285E-6</v>
      </c>
      <c r="I2975">
        <v>205.54320000000001</v>
      </c>
      <c r="J2975">
        <v>-211.41210000000001</v>
      </c>
      <c r="K2975">
        <v>1.117607</v>
      </c>
      <c r="L2975">
        <v>214.42500000000001</v>
      </c>
      <c r="M2975">
        <v>0.99803220000000004</v>
      </c>
      <c r="N2975">
        <v>-1.452115E-2</v>
      </c>
      <c r="O2975">
        <v>-6.099806E-2</v>
      </c>
      <c r="P2975">
        <v>0.93373609999999896</v>
      </c>
      <c r="Q2975">
        <v>0.2210086</v>
      </c>
      <c r="R2975">
        <v>-0.2815879</v>
      </c>
      <c r="S2975">
        <v>2.845062</v>
      </c>
      <c r="T2975">
        <v>-0.17061609999999999</v>
      </c>
      <c r="U2975">
        <v>-1.3587800000000001</v>
      </c>
      <c r="V2975">
        <v>0.22624250000000001</v>
      </c>
      <c r="W2975">
        <v>0.23270569999999999</v>
      </c>
      <c r="X2975">
        <v>0.94586590000000004</v>
      </c>
      <c r="Y2975">
        <v>0.37446309999999999</v>
      </c>
      <c r="Z2975">
        <v>-1.089419E-2</v>
      </c>
      <c r="AA2975">
        <v>0.92717780000000005</v>
      </c>
      <c r="AB2975">
        <v>32</v>
      </c>
      <c r="AC2975">
        <v>18.361499999999999</v>
      </c>
      <c r="AD2975">
        <v>-1.117601836715</v>
      </c>
      <c r="AE2975">
        <v>-8.8817999999999895</v>
      </c>
      <c r="AF2975">
        <v>7.72194025003708</v>
      </c>
      <c r="AG2975">
        <v>-1.117601836715</v>
      </c>
      <c r="AH2975">
        <v>18.8126507820371</v>
      </c>
      <c r="AI2975">
        <v>93.145662411325603</v>
      </c>
      <c r="AJ2975">
        <v>67.683551667187501</v>
      </c>
      <c r="AK2975">
        <v>20.366473051008398</v>
      </c>
      <c r="AL2975">
        <v>76.543579266981695</v>
      </c>
      <c r="AM2975">
        <v>76.548108892939098</v>
      </c>
      <c r="AN2975">
        <v>0.99999995620077398</v>
      </c>
    </row>
    <row r="2976" spans="1:40" x14ac:dyDescent="0.25">
      <c r="A2976" t="str">
        <f>"20190303170825244"</f>
        <v>20190303170825244</v>
      </c>
      <c r="B2976" t="str">
        <f>"1551604105236518"</f>
        <v>1551604105236518</v>
      </c>
      <c r="C2976" t="s">
        <v>40</v>
      </c>
      <c r="D2976">
        <v>4.5071919999999999</v>
      </c>
      <c r="E2976">
        <v>0.56922169999999905</v>
      </c>
      <c r="F2976" t="s">
        <v>57</v>
      </c>
      <c r="G2976">
        <v>-192.499</v>
      </c>
      <c r="H2976" s="1">
        <v>5.38411899999999E-6</v>
      </c>
      <c r="I2976">
        <v>205.2645</v>
      </c>
      <c r="J2976">
        <v>-211.14009999999999</v>
      </c>
      <c r="K2976">
        <v>1.117434</v>
      </c>
      <c r="L2976">
        <v>214.4042</v>
      </c>
      <c r="M2976">
        <v>0.99776670000000001</v>
      </c>
      <c r="N2976">
        <v>-1.453167E-2</v>
      </c>
      <c r="O2976">
        <v>-6.5197679999999994E-2</v>
      </c>
      <c r="P2976">
        <v>0.93153240000000004</v>
      </c>
      <c r="Q2976">
        <v>0.2230096</v>
      </c>
      <c r="R2976">
        <v>-0.287253599999999</v>
      </c>
      <c r="S2976">
        <v>2.8380580000000002</v>
      </c>
      <c r="T2976">
        <v>-0.16770479999999999</v>
      </c>
      <c r="U2976">
        <v>-1.374603</v>
      </c>
      <c r="V2976">
        <v>0.22816690000000001</v>
      </c>
      <c r="W2976">
        <v>0.2345843</v>
      </c>
      <c r="X2976">
        <v>0.94493919999999998</v>
      </c>
      <c r="Y2976">
        <v>0.37566640000000001</v>
      </c>
      <c r="Z2976">
        <v>-1.065286E-2</v>
      </c>
      <c r="AA2976">
        <v>0.92669369999999995</v>
      </c>
      <c r="AB2976">
        <v>32</v>
      </c>
      <c r="AC2976">
        <v>18.641099999999899</v>
      </c>
      <c r="AD2976">
        <v>-1.1174286158810001</v>
      </c>
      <c r="AE2976">
        <v>-9.1396999999999995</v>
      </c>
      <c r="AF2976">
        <v>7.8819319643212502</v>
      </c>
      <c r="AG2976">
        <v>-1.1174286158810001</v>
      </c>
      <c r="AH2976">
        <v>19.141927550108299</v>
      </c>
      <c r="AI2976">
        <v>93.089771442748898</v>
      </c>
      <c r="AJ2976">
        <v>67.619962721299302</v>
      </c>
      <c r="AK2976">
        <v>20.731302142783399</v>
      </c>
      <c r="AL2976">
        <v>76.432880179990704</v>
      </c>
      <c r="AM2976">
        <v>76.425089296423906</v>
      </c>
      <c r="AN2976">
        <v>1.00000000987937</v>
      </c>
    </row>
    <row r="2977" spans="1:40" x14ac:dyDescent="0.25">
      <c r="A2977" t="str">
        <f>"20190303170825264"</f>
        <v>20190303170825264</v>
      </c>
      <c r="B2977" t="str">
        <f>"1551604105256036"</f>
        <v>1551604105256036</v>
      </c>
      <c r="C2977" t="s">
        <v>40</v>
      </c>
      <c r="D2977">
        <v>4.4907089999999998</v>
      </c>
      <c r="E2977">
        <v>0.56950009999999995</v>
      </c>
      <c r="F2977" t="s">
        <v>57</v>
      </c>
      <c r="G2977">
        <v>-191.65520000000001</v>
      </c>
      <c r="H2977" s="1">
        <v>5.73640499999999E-6</v>
      </c>
      <c r="I2977">
        <v>204.7971</v>
      </c>
      <c r="J2977">
        <v>-210.8442</v>
      </c>
      <c r="K2977">
        <v>1.1172029999999999</v>
      </c>
      <c r="L2977">
        <v>214.38</v>
      </c>
      <c r="M2977">
        <v>0.99743850000000001</v>
      </c>
      <c r="N2977">
        <v>-1.4546740000000001E-2</v>
      </c>
      <c r="O2977">
        <v>-7.0034680000000002E-2</v>
      </c>
      <c r="P2977">
        <v>0.92927820000000005</v>
      </c>
      <c r="Q2977">
        <v>0.22344169999999999</v>
      </c>
      <c r="R2977">
        <v>-0.294135799999999</v>
      </c>
      <c r="S2977">
        <v>2.8292079999999999</v>
      </c>
      <c r="T2977">
        <v>-0.1622509</v>
      </c>
      <c r="U2977">
        <v>-1.394943</v>
      </c>
      <c r="V2977">
        <v>0.23072680000000001</v>
      </c>
      <c r="W2977">
        <v>0.23486660000000001</v>
      </c>
      <c r="X2977">
        <v>0.94424719999999995</v>
      </c>
      <c r="Y2977">
        <v>0.37771759999999999</v>
      </c>
      <c r="Z2977">
        <v>-1.0324359999999999E-2</v>
      </c>
      <c r="AA2977">
        <v>0.92586329999999994</v>
      </c>
      <c r="AB2977">
        <v>31</v>
      </c>
      <c r="AC2977">
        <v>19.189</v>
      </c>
      <c r="AD2977">
        <v>-1.117197263595</v>
      </c>
      <c r="AE2977">
        <v>-9.5828999999999898</v>
      </c>
      <c r="AF2977">
        <v>8.1930989391552203</v>
      </c>
      <c r="AG2977">
        <v>-1.117197263595</v>
      </c>
      <c r="AH2977">
        <v>19.7594707863691</v>
      </c>
      <c r="AI2977">
        <v>92.989732708688507</v>
      </c>
      <c r="AJ2977">
        <v>67.479069101608502</v>
      </c>
      <c r="AK2977">
        <v>21.4198899555984</v>
      </c>
      <c r="AL2977">
        <v>76.416240225219099</v>
      </c>
      <c r="AM2977">
        <v>76.268838154993603</v>
      </c>
      <c r="AN2977">
        <v>0.99999997537081897</v>
      </c>
    </row>
    <row r="2978" spans="1:40" x14ac:dyDescent="0.25">
      <c r="A2978" t="str">
        <f>"20190303170825291"</f>
        <v>20190303170825291</v>
      </c>
      <c r="B2978" t="str">
        <f>"1551604105286293"</f>
        <v>1551604105286293</v>
      </c>
      <c r="C2978" t="s">
        <v>40</v>
      </c>
      <c r="D2978">
        <v>4.4912349999999996</v>
      </c>
      <c r="E2978">
        <v>0.56972040000000002</v>
      </c>
      <c r="F2978" t="s">
        <v>57</v>
      </c>
      <c r="G2978">
        <v>-191.3544</v>
      </c>
      <c r="H2978" s="1">
        <v>5.878834E-6</v>
      </c>
      <c r="I2978">
        <v>204.57169999999999</v>
      </c>
      <c r="J2978">
        <v>-210.50409999999999</v>
      </c>
      <c r="K2978">
        <v>1.1169020000000001</v>
      </c>
      <c r="L2978">
        <v>214.3501</v>
      </c>
      <c r="M2978">
        <v>0.99700429999999995</v>
      </c>
      <c r="N2978">
        <v>-1.456739E-2</v>
      </c>
      <c r="O2978">
        <v>-7.5961979999999998E-2</v>
      </c>
      <c r="P2978">
        <v>0.92689600000000005</v>
      </c>
      <c r="Q2978">
        <v>0.22248580000000001</v>
      </c>
      <c r="R2978">
        <v>-0.30226459999999999</v>
      </c>
      <c r="S2978">
        <v>2.8182369999999999</v>
      </c>
      <c r="T2978">
        <v>-0.161548</v>
      </c>
      <c r="U2978">
        <v>-1.4182889999999999</v>
      </c>
      <c r="V2978">
        <v>0.2335362</v>
      </c>
      <c r="W2978">
        <v>0.23372860000000001</v>
      </c>
      <c r="X2978">
        <v>0.94383890000000004</v>
      </c>
      <c r="Y2978">
        <v>0.37978679999999998</v>
      </c>
      <c r="Z2978">
        <v>-1.015421E-2</v>
      </c>
      <c r="AA2978">
        <v>0.92501829999999996</v>
      </c>
      <c r="AB2978">
        <v>31</v>
      </c>
      <c r="AC2978">
        <v>19.149699999999999</v>
      </c>
      <c r="AD2978">
        <v>-1.116896121166</v>
      </c>
      <c r="AE2978">
        <v>-9.7783999999999995</v>
      </c>
      <c r="AF2978">
        <v>8.2730156064178999</v>
      </c>
      <c r="AG2978">
        <v>-1.116896121166</v>
      </c>
      <c r="AH2978">
        <v>19.783843838361101</v>
      </c>
      <c r="AI2978">
        <v>92.981523557574505</v>
      </c>
      <c r="AJ2978">
        <v>67.306767526101893</v>
      </c>
      <c r="AK2978">
        <v>21.473023103190901</v>
      </c>
      <c r="AL2978">
        <v>76.483310632735396</v>
      </c>
      <c r="AM2978">
        <v>76.102306026864994</v>
      </c>
      <c r="AN2978">
        <v>1.0000000421608</v>
      </c>
    </row>
    <row r="2979" spans="1:40" x14ac:dyDescent="0.25">
      <c r="A2979" t="str">
        <f>"20190303170825313"</f>
        <v>20190303170825313</v>
      </c>
      <c r="B2979" t="str">
        <f>"1551604105305813"</f>
        <v>1551604105305813</v>
      </c>
      <c r="C2979" t="s">
        <v>40</v>
      </c>
      <c r="D2979">
        <v>4.509385</v>
      </c>
      <c r="E2979">
        <v>0.57205550000000005</v>
      </c>
      <c r="F2979" t="s">
        <v>57</v>
      </c>
      <c r="G2979">
        <v>-191.54669999999999</v>
      </c>
      <c r="H2979" s="1">
        <v>5.8324339999999999E-6</v>
      </c>
      <c r="I2979">
        <v>204.58590000000001</v>
      </c>
      <c r="J2979">
        <v>-210.16130000000001</v>
      </c>
      <c r="K2979">
        <v>1.1165799999999999</v>
      </c>
      <c r="L2979">
        <v>214.31710000000001</v>
      </c>
      <c r="M2979">
        <v>0.99649010000000005</v>
      </c>
      <c r="N2979">
        <v>-1.45924E-2</v>
      </c>
      <c r="O2979">
        <v>-8.2428810000000005E-2</v>
      </c>
      <c r="P2979">
        <v>0.92471519999999996</v>
      </c>
      <c r="Q2979">
        <v>0.2214122</v>
      </c>
      <c r="R2979">
        <v>-0.30964269999999999</v>
      </c>
      <c r="S2979">
        <v>2.805161</v>
      </c>
      <c r="T2979">
        <v>-0.16526930000000001</v>
      </c>
      <c r="U2979">
        <v>-1.4448240000000001</v>
      </c>
      <c r="V2979">
        <v>0.23508480000000001</v>
      </c>
      <c r="W2979">
        <v>0.2324831</v>
      </c>
      <c r="X2979">
        <v>0.94376199999999999</v>
      </c>
      <c r="Y2979">
        <v>0.38243250000000001</v>
      </c>
      <c r="Z2979">
        <v>-1.015077E-2</v>
      </c>
      <c r="AA2979">
        <v>0.92392770000000002</v>
      </c>
      <c r="AB2979">
        <v>31</v>
      </c>
      <c r="AC2979">
        <v>18.614599999999999</v>
      </c>
      <c r="AD2979">
        <v>-1.1165741675659999</v>
      </c>
      <c r="AE2979">
        <v>-9.7311999999999994</v>
      </c>
      <c r="AF2979">
        <v>8.1405310421536097</v>
      </c>
      <c r="AG2979">
        <v>-1.1165741675659999</v>
      </c>
      <c r="AH2979">
        <v>19.2989221095294</v>
      </c>
      <c r="AI2979">
        <v>93.051457110908302</v>
      </c>
      <c r="AJ2979">
        <v>67.129363578687702</v>
      </c>
      <c r="AK2979">
        <v>20.975304005177701</v>
      </c>
      <c r="AL2979">
        <v>76.556693344877203</v>
      </c>
      <c r="AM2979">
        <v>76.012660634823703</v>
      </c>
      <c r="AN2979">
        <v>0.99999998381032396</v>
      </c>
    </row>
    <row r="2980" spans="1:40" x14ac:dyDescent="0.25">
      <c r="A2980" t="str">
        <f>"20190303170825337"</f>
        <v>20190303170825337</v>
      </c>
      <c r="B2980" t="str">
        <f>"1551604105326309"</f>
        <v>1551604105326309</v>
      </c>
      <c r="C2980" t="s">
        <v>40</v>
      </c>
      <c r="D2980">
        <v>4.4811949999999996</v>
      </c>
      <c r="E2980">
        <v>0.57271539999999999</v>
      </c>
      <c r="F2980" t="s">
        <v>57</v>
      </c>
      <c r="G2980">
        <v>-193.42679999999999</v>
      </c>
      <c r="H2980" s="1">
        <v>5.1288300000000003E-6</v>
      </c>
      <c r="I2980">
        <v>205.40459999999999</v>
      </c>
      <c r="J2980">
        <v>-209.84909999999999</v>
      </c>
      <c r="K2980">
        <v>1.116301</v>
      </c>
      <c r="L2980">
        <v>214.28489999999999</v>
      </c>
      <c r="M2980">
        <v>0.99595560000000005</v>
      </c>
      <c r="N2980">
        <v>-1.4616290000000001E-2</v>
      </c>
      <c r="O2980">
        <v>-8.8650160000000006E-2</v>
      </c>
      <c r="P2980">
        <v>0.92281849999999999</v>
      </c>
      <c r="Q2980">
        <v>0.22042519999999999</v>
      </c>
      <c r="R2980">
        <v>-0.31594149999999999</v>
      </c>
      <c r="S2980">
        <v>2.791077</v>
      </c>
      <c r="T2980">
        <v>-0.18622920000000001</v>
      </c>
      <c r="U2980">
        <v>-1.4864809999999999</v>
      </c>
      <c r="V2980">
        <v>0.23574729999999999</v>
      </c>
      <c r="W2980">
        <v>0.2313606</v>
      </c>
      <c r="X2980">
        <v>0.94387259999999995</v>
      </c>
      <c r="Y2980">
        <v>0.38921289999999997</v>
      </c>
      <c r="Z2980">
        <v>-1.090678E-2</v>
      </c>
      <c r="AA2980">
        <v>0.92108319999999999</v>
      </c>
      <c r="AB2980">
        <v>31</v>
      </c>
      <c r="AC2980">
        <v>16.4223</v>
      </c>
      <c r="AD2980">
        <v>-1.11629587117</v>
      </c>
      <c r="AE2980">
        <v>-8.8803000000000001</v>
      </c>
      <c r="AF2980">
        <v>7.3630104878011302</v>
      </c>
      <c r="AG2980">
        <v>-1.11629587117</v>
      </c>
      <c r="AH2980">
        <v>17.083875749983701</v>
      </c>
      <c r="AI2980">
        <v>93.433980387686205</v>
      </c>
      <c r="AJ2980">
        <v>66.684353657359793</v>
      </c>
      <c r="AK2980">
        <v>18.636492442419001</v>
      </c>
      <c r="AL2980">
        <v>76.622810819818696</v>
      </c>
      <c r="AM2980">
        <v>75.976374854543806</v>
      </c>
      <c r="AN2980">
        <v>1.0000000008601999</v>
      </c>
    </row>
    <row r="2981" spans="1:40" x14ac:dyDescent="0.25">
      <c r="A2981" t="str">
        <f>"20190303170825360"</f>
        <v>20190303170825360</v>
      </c>
      <c r="B2981" t="str">
        <f>"1551604105356565"</f>
        <v>1551604105356565</v>
      </c>
      <c r="C2981" t="s">
        <v>40</v>
      </c>
      <c r="D2981">
        <v>4.4661179999999998</v>
      </c>
      <c r="E2981">
        <v>0.57306099999999904</v>
      </c>
      <c r="F2981" t="s">
        <v>57</v>
      </c>
      <c r="G2981">
        <v>-193.45519999999999</v>
      </c>
      <c r="H2981" s="1">
        <v>5.1387259999999999E-6</v>
      </c>
      <c r="I2981">
        <v>205.3588</v>
      </c>
      <c r="J2981">
        <v>-209.5033</v>
      </c>
      <c r="K2981">
        <v>1.115996</v>
      </c>
      <c r="L2981">
        <v>214.2465</v>
      </c>
      <c r="M2981">
        <v>0.99527699999999997</v>
      </c>
      <c r="N2981">
        <v>-1.4642179999999999E-2</v>
      </c>
      <c r="O2981">
        <v>-9.5965060000000005E-2</v>
      </c>
      <c r="P2981">
        <v>0.9206976</v>
      </c>
      <c r="Q2981">
        <v>0.2194671</v>
      </c>
      <c r="R2981">
        <v>-0.32272339999999999</v>
      </c>
      <c r="S2981">
        <v>2.7781980000000002</v>
      </c>
      <c r="T2981">
        <v>-0.18917410000000001</v>
      </c>
      <c r="U2981">
        <v>-1.5126649999999999</v>
      </c>
      <c r="V2981">
        <v>0.2358896</v>
      </c>
      <c r="W2981">
        <v>0.23026150000000001</v>
      </c>
      <c r="X2981">
        <v>0.9441058</v>
      </c>
      <c r="Y2981">
        <v>0.39092080000000001</v>
      </c>
      <c r="Z2981">
        <v>-1.074844E-2</v>
      </c>
      <c r="AA2981">
        <v>0.92036150000000005</v>
      </c>
      <c r="AB2981">
        <v>31</v>
      </c>
      <c r="AC2981">
        <v>16.048100000000002</v>
      </c>
      <c r="AD2981">
        <v>-1.1159908612739999</v>
      </c>
      <c r="AE2981">
        <v>-8.8876999999999899</v>
      </c>
      <c r="AF2981">
        <v>7.2795099004100798</v>
      </c>
      <c r="AG2981">
        <v>-1.1159908612739999</v>
      </c>
      <c r="AH2981">
        <v>16.764973864045199</v>
      </c>
      <c r="AI2981">
        <v>93.494097645315193</v>
      </c>
      <c r="AJ2981">
        <v>66.529059286336803</v>
      </c>
      <c r="AK2981">
        <v>18.3112273934528</v>
      </c>
      <c r="AL2981">
        <v>76.687532329611003</v>
      </c>
      <c r="AM2981">
        <v>75.971573397575796</v>
      </c>
      <c r="AN2981">
        <v>1.00000001168202</v>
      </c>
    </row>
    <row r="2982" spans="1:40" x14ac:dyDescent="0.25">
      <c r="A2982" t="str">
        <f>"20190303170825396"</f>
        <v>20190303170825396</v>
      </c>
      <c r="B2982" t="str">
        <f>"1551604105385845"</f>
        <v>1551604105385845</v>
      </c>
      <c r="C2982" t="s">
        <v>40</v>
      </c>
      <c r="D2982">
        <v>4.4491040000000002</v>
      </c>
      <c r="E2982">
        <v>0.5736753</v>
      </c>
      <c r="F2982" t="s">
        <v>57</v>
      </c>
      <c r="G2982">
        <v>-193.48849999999999</v>
      </c>
      <c r="H2982" s="1">
        <v>5.1336460000000003E-6</v>
      </c>
      <c r="I2982">
        <v>205.35230000000001</v>
      </c>
      <c r="J2982">
        <v>-209.01429999999999</v>
      </c>
      <c r="K2982">
        <v>1.115516</v>
      </c>
      <c r="L2982">
        <v>214.18700000000001</v>
      </c>
      <c r="M2982">
        <v>0.9941335</v>
      </c>
      <c r="N2982">
        <v>-1.4687179999999999E-2</v>
      </c>
      <c r="O2982">
        <v>-0.1071595</v>
      </c>
      <c r="P2982">
        <v>0.91663360000000005</v>
      </c>
      <c r="Q2982">
        <v>0.2163071</v>
      </c>
      <c r="R2982">
        <v>-0.33614640000000001</v>
      </c>
      <c r="S2982">
        <v>2.7659150000000001</v>
      </c>
      <c r="T2982">
        <v>-0.19274259999999999</v>
      </c>
      <c r="U2982">
        <v>-1.5361180000000001</v>
      </c>
      <c r="V2982">
        <v>0.2392088</v>
      </c>
      <c r="W2982">
        <v>0.2268346</v>
      </c>
      <c r="X2982">
        <v>0.94410019999999994</v>
      </c>
      <c r="Y2982">
        <v>0.38825710000000002</v>
      </c>
      <c r="Z2982">
        <v>-1.0232990000000001E-2</v>
      </c>
      <c r="AA2982">
        <v>0.92149420000000004</v>
      </c>
      <c r="AB2982">
        <v>31</v>
      </c>
      <c r="AC2982">
        <v>15.5258</v>
      </c>
      <c r="AD2982">
        <v>-1.1155108663540001</v>
      </c>
      <c r="AE2982">
        <v>-8.8346999999999891</v>
      </c>
      <c r="AF2982">
        <v>7.0922444568721703</v>
      </c>
      <c r="AG2982">
        <v>-1.1155108663540001</v>
      </c>
      <c r="AH2982">
        <v>16.319565296655998</v>
      </c>
      <c r="AI2982">
        <v>93.587184499208902</v>
      </c>
      <c r="AJ2982">
        <v>66.5109389054373</v>
      </c>
      <c r="AK2982">
        <v>17.828979426787399</v>
      </c>
      <c r="AL2982">
        <v>76.889217092040298</v>
      </c>
      <c r="AM2982">
        <v>75.782050794071594</v>
      </c>
      <c r="AN2982">
        <v>0.99999998669731904</v>
      </c>
    </row>
    <row r="2983" spans="1:40" x14ac:dyDescent="0.25">
      <c r="A2983" t="str">
        <f>"20190303170825423"</f>
        <v>20190303170825423</v>
      </c>
      <c r="B2983" t="str">
        <f>"1551604105416102"</f>
        <v>1551604105416102</v>
      </c>
      <c r="C2983" t="s">
        <v>40</v>
      </c>
      <c r="D2983">
        <v>4.4132769999999999</v>
      </c>
      <c r="E2983">
        <v>0.57447340000000002</v>
      </c>
      <c r="F2983" t="s">
        <v>57</v>
      </c>
      <c r="G2983">
        <v>-193.9496</v>
      </c>
      <c r="H2983" s="1">
        <v>4.9800770000000004E-6</v>
      </c>
      <c r="I2983">
        <v>205.4975</v>
      </c>
      <c r="J2983">
        <v>-208.62569999999999</v>
      </c>
      <c r="K2983">
        <v>1.115111</v>
      </c>
      <c r="L2983">
        <v>214.13499999999999</v>
      </c>
      <c r="M2983">
        <v>0.99305120000000002</v>
      </c>
      <c r="N2983">
        <v>-1.4733319999999999E-2</v>
      </c>
      <c r="O2983">
        <v>-0.1167566</v>
      </c>
      <c r="P2983">
        <v>0.91376820000000003</v>
      </c>
      <c r="Q2983">
        <v>0.21483440000000001</v>
      </c>
      <c r="R2983">
        <v>-0.34478130000000001</v>
      </c>
      <c r="S2983">
        <v>2.7409520000000001</v>
      </c>
      <c r="T2983">
        <v>-0.20296320000000001</v>
      </c>
      <c r="U2983">
        <v>-1.581024</v>
      </c>
      <c r="V2983">
        <v>0.2391556</v>
      </c>
      <c r="W2983">
        <v>0.22518379999999999</v>
      </c>
      <c r="X2983">
        <v>0.94450880000000004</v>
      </c>
      <c r="Y2983">
        <v>0.39423649999999999</v>
      </c>
      <c r="Z2983">
        <v>-1.0322710000000001E-2</v>
      </c>
      <c r="AA2983">
        <v>0.91895099999999996</v>
      </c>
      <c r="AB2983">
        <v>31</v>
      </c>
      <c r="AC2983">
        <v>14.6760999999999</v>
      </c>
      <c r="AD2983">
        <v>-1.1151060199230001</v>
      </c>
      <c r="AE2983">
        <v>-8.6374999999999797</v>
      </c>
      <c r="AF2983">
        <v>6.8353844626215796</v>
      </c>
      <c r="AG2983">
        <v>-1.1151060199230001</v>
      </c>
      <c r="AH2983">
        <v>15.517758160367899</v>
      </c>
      <c r="AI2983">
        <v>93.762507482641297</v>
      </c>
      <c r="AJ2983">
        <v>66.227090050849</v>
      </c>
      <c r="AK2983">
        <v>16.993138630376102</v>
      </c>
      <c r="AL2983">
        <v>76.986313624009099</v>
      </c>
      <c r="AM2983">
        <v>75.790985039353203</v>
      </c>
      <c r="AN2983">
        <v>1.00000000903562</v>
      </c>
    </row>
    <row r="2984" spans="1:40" x14ac:dyDescent="0.25">
      <c r="A2984" t="str">
        <f>"20190303170825448"</f>
        <v>20190303170825448</v>
      </c>
      <c r="B2984" t="str">
        <f>"1551604105436598"</f>
        <v>1551604105436598</v>
      </c>
      <c r="C2984" t="s">
        <v>40</v>
      </c>
      <c r="D2984">
        <v>4.3945449999999999</v>
      </c>
      <c r="E2984">
        <v>0.57491559999999997</v>
      </c>
      <c r="F2984" t="s">
        <v>57</v>
      </c>
      <c r="G2984">
        <v>-193.77340000000001</v>
      </c>
      <c r="H2984" s="1">
        <v>5.0834219999999997E-6</v>
      </c>
      <c r="I2984">
        <v>205.31569999999999</v>
      </c>
      <c r="J2984">
        <v>-208.2861</v>
      </c>
      <c r="K2984">
        <v>1.1147450000000001</v>
      </c>
      <c r="L2984">
        <v>214.08609999999999</v>
      </c>
      <c r="M2984">
        <v>0.99196719999999905</v>
      </c>
      <c r="N2984">
        <v>-1.477495E-2</v>
      </c>
      <c r="O2984">
        <v>-0.1256293</v>
      </c>
      <c r="P2984">
        <v>0.91151870000000002</v>
      </c>
      <c r="Q2984">
        <v>0.21413989999999999</v>
      </c>
      <c r="R2984">
        <v>-0.35110920000000001</v>
      </c>
      <c r="S2984">
        <v>2.7214049999999999</v>
      </c>
      <c r="T2984">
        <v>-0.20432149999999999</v>
      </c>
      <c r="U2984">
        <v>-1.6159669999999999</v>
      </c>
      <c r="V2984">
        <v>0.23741570000000001</v>
      </c>
      <c r="W2984">
        <v>0.22436510000000001</v>
      </c>
      <c r="X2984">
        <v>0.94514240000000005</v>
      </c>
      <c r="Y2984">
        <v>0.39763520000000002</v>
      </c>
      <c r="Z2984">
        <v>-1.006493E-2</v>
      </c>
      <c r="AA2984">
        <v>0.91748839999999998</v>
      </c>
      <c r="AB2984">
        <v>31</v>
      </c>
      <c r="AC2984">
        <v>14.512699999999899</v>
      </c>
      <c r="AD2984">
        <v>-1.1147399165780001</v>
      </c>
      <c r="AE2984">
        <v>-8.7703999999999898</v>
      </c>
      <c r="AF2984">
        <v>6.8478854097364099</v>
      </c>
      <c r="AG2984">
        <v>-1.1147399165780001</v>
      </c>
      <c r="AH2984">
        <v>15.432937868744</v>
      </c>
      <c r="AI2984">
        <v>93.777385010102094</v>
      </c>
      <c r="AJ2984">
        <v>66.072236491268796</v>
      </c>
      <c r="AK2984">
        <v>16.9207491242855</v>
      </c>
      <c r="AL2984">
        <v>77.034453876630707</v>
      </c>
      <c r="AM2984">
        <v>75.899296432521297</v>
      </c>
      <c r="AN2984">
        <v>1.00000003449112</v>
      </c>
    </row>
    <row r="2985" spans="1:40" x14ac:dyDescent="0.25">
      <c r="A2985" t="str">
        <f>"20190303170825472"</f>
        <v>20190303170825472</v>
      </c>
      <c r="B2985" t="str">
        <f>"1551604105465879"</f>
        <v>1551604105465879</v>
      </c>
      <c r="C2985" t="s">
        <v>40</v>
      </c>
      <c r="D2985">
        <v>4.3619029999999999</v>
      </c>
      <c r="E2985">
        <v>0.57547469999999901</v>
      </c>
      <c r="F2985" t="s">
        <v>57</v>
      </c>
      <c r="G2985">
        <v>-193.56540000000001</v>
      </c>
      <c r="H2985" s="1">
        <v>5.1812590000000002E-6</v>
      </c>
      <c r="I2985">
        <v>205.1694</v>
      </c>
      <c r="J2985">
        <v>-207.95429999999999</v>
      </c>
      <c r="K2985">
        <v>1.1143620000000001</v>
      </c>
      <c r="L2985">
        <v>214.03440000000001</v>
      </c>
      <c r="M2985">
        <v>0.99075080000000004</v>
      </c>
      <c r="N2985">
        <v>-1.4819769999999999E-2</v>
      </c>
      <c r="O2985">
        <v>-0.1348829</v>
      </c>
      <c r="P2985">
        <v>0.90853309999999998</v>
      </c>
      <c r="Q2985">
        <v>0.2134547</v>
      </c>
      <c r="R2985">
        <v>-0.35917280000000001</v>
      </c>
      <c r="S2985">
        <v>2.7076259999999999</v>
      </c>
      <c r="T2985">
        <v>-0.205037</v>
      </c>
      <c r="U2985">
        <v>-1.6400600000000001</v>
      </c>
      <c r="V2985">
        <v>0.2371375</v>
      </c>
      <c r="W2985">
        <v>0.2235193</v>
      </c>
      <c r="X2985">
        <v>0.94541260000000005</v>
      </c>
      <c r="Y2985">
        <v>0.39712320000000001</v>
      </c>
      <c r="Z2985">
        <v>-9.5920999999999992E-3</v>
      </c>
      <c r="AA2985">
        <v>0.91771519999999995</v>
      </c>
      <c r="AB2985">
        <v>31</v>
      </c>
      <c r="AC2985">
        <v>14.3888999999999</v>
      </c>
      <c r="AD2985">
        <v>-1.114356818741</v>
      </c>
      <c r="AE2985">
        <v>-8.8650000000000002</v>
      </c>
      <c r="AF2985">
        <v>6.81331879203778</v>
      </c>
      <c r="AG2985">
        <v>-1.114356818741</v>
      </c>
      <c r="AH2985">
        <v>15.386353562760499</v>
      </c>
      <c r="AI2985">
        <v>93.788753818225203</v>
      </c>
      <c r="AJ2985">
        <v>66.115485682936793</v>
      </c>
      <c r="AK2985">
        <v>16.864251541046301</v>
      </c>
      <c r="AL2985">
        <v>77.084177418653596</v>
      </c>
      <c r="AM2985">
        <v>75.9190266914852</v>
      </c>
      <c r="AN2985">
        <v>1.00000002780874</v>
      </c>
    </row>
    <row r="2986" spans="1:40" x14ac:dyDescent="0.25">
      <c r="A2986" t="str">
        <f>"20190303170825493"</f>
        <v>20190303170825493</v>
      </c>
      <c r="B2986" t="str">
        <f>"1551604105486375"</f>
        <v>1551604105486375</v>
      </c>
      <c r="C2986" t="s">
        <v>40</v>
      </c>
      <c r="D2986">
        <v>4.3469170000000004</v>
      </c>
      <c r="E2986">
        <v>0.5756677</v>
      </c>
      <c r="F2986" t="s">
        <v>57</v>
      </c>
      <c r="G2986">
        <v>-193.4699</v>
      </c>
      <c r="H2986" s="1">
        <v>5.240277E-6</v>
      </c>
      <c r="I2986">
        <v>205.06229999999999</v>
      </c>
      <c r="J2986">
        <v>-207.65960000000001</v>
      </c>
      <c r="K2986">
        <v>1.1140000000000001</v>
      </c>
      <c r="L2986">
        <v>213.9855</v>
      </c>
      <c r="M2986">
        <v>0.9895275</v>
      </c>
      <c r="N2986">
        <v>-1.4868030000000001E-2</v>
      </c>
      <c r="O2986">
        <v>-0.14357619999999999</v>
      </c>
      <c r="P2986">
        <v>0.90503699999999998</v>
      </c>
      <c r="Q2986">
        <v>0.2126547</v>
      </c>
      <c r="R2986">
        <v>-0.36835600000000002</v>
      </c>
      <c r="S2986">
        <v>2.6915589999999998</v>
      </c>
      <c r="T2986">
        <v>-0.20707490000000001</v>
      </c>
      <c r="U2986">
        <v>-1.6672359999999999</v>
      </c>
      <c r="V2986">
        <v>0.23856730000000001</v>
      </c>
      <c r="W2986">
        <v>0.2225376</v>
      </c>
      <c r="X2986">
        <v>0.94528440000000002</v>
      </c>
      <c r="Y2986">
        <v>0.39821050000000002</v>
      </c>
      <c r="Z2986">
        <v>-9.2428149999999997E-3</v>
      </c>
      <c r="AA2986">
        <v>0.91724749999999999</v>
      </c>
      <c r="AB2986">
        <v>31</v>
      </c>
      <c r="AC2986">
        <v>14.1897</v>
      </c>
      <c r="AD2986">
        <v>-1.113994759723</v>
      </c>
      <c r="AE2986">
        <v>-8.9231999999999996</v>
      </c>
      <c r="AF2986">
        <v>6.7633279017522403</v>
      </c>
      <c r="AG2986">
        <v>-1.113994759723</v>
      </c>
      <c r="AH2986">
        <v>15.256567716648901</v>
      </c>
      <c r="AI2986">
        <v>93.818960003920594</v>
      </c>
      <c r="AJ2986">
        <v>66.092003160660397</v>
      </c>
      <c r="AK2986">
        <v>16.7256224734389</v>
      </c>
      <c r="AL2986">
        <v>77.141877277652995</v>
      </c>
      <c r="AM2986">
        <v>75.835689851740597</v>
      </c>
      <c r="AN2986">
        <v>0.99999996846320405</v>
      </c>
    </row>
    <row r="2987" spans="1:40" x14ac:dyDescent="0.25">
      <c r="A2987" t="str">
        <f>"20190303170825514"</f>
        <v>20190303170825514</v>
      </c>
      <c r="B2987" t="str">
        <f>"1551604105505894"</f>
        <v>1551604105505894</v>
      </c>
      <c r="C2987" t="s">
        <v>40</v>
      </c>
      <c r="D2987">
        <v>4.3561759999999996</v>
      </c>
      <c r="E2987">
        <v>0.58035459999999905</v>
      </c>
      <c r="F2987" t="s">
        <v>57</v>
      </c>
      <c r="G2987">
        <v>-193.48699999999999</v>
      </c>
      <c r="H2987" s="1">
        <v>5.2581770000000003E-6</v>
      </c>
      <c r="I2987">
        <v>205.001</v>
      </c>
      <c r="J2987">
        <v>-207.3699</v>
      </c>
      <c r="K2987">
        <v>1.1136619999999999</v>
      </c>
      <c r="L2987">
        <v>213.93430000000001</v>
      </c>
      <c r="M2987">
        <v>0.98818989999999995</v>
      </c>
      <c r="N2987">
        <v>-1.49216E-2</v>
      </c>
      <c r="O2987">
        <v>-0.15250659999999999</v>
      </c>
      <c r="P2987">
        <v>0.90172969999999997</v>
      </c>
      <c r="Q2987">
        <v>0.2112078</v>
      </c>
      <c r="R2987">
        <v>-0.37719370000000002</v>
      </c>
      <c r="S2987">
        <v>2.674194</v>
      </c>
      <c r="T2987">
        <v>-0.21019740000000001</v>
      </c>
      <c r="U2987">
        <v>-1.6952670000000001</v>
      </c>
      <c r="V2987">
        <v>0.23938780000000001</v>
      </c>
      <c r="W2987">
        <v>0.22093479999999999</v>
      </c>
      <c r="X2987">
        <v>0.94545290000000004</v>
      </c>
      <c r="Y2987">
        <v>0.39946589999999998</v>
      </c>
      <c r="Z2987">
        <v>-8.8979290000000006E-3</v>
      </c>
      <c r="AA2987">
        <v>0.91670479999999999</v>
      </c>
      <c r="AB2987">
        <v>31</v>
      </c>
      <c r="AC2987">
        <v>13.882899999999999</v>
      </c>
      <c r="AD2987">
        <v>-1.1136567418229999</v>
      </c>
      <c r="AE2987">
        <v>-8.9333000000000293</v>
      </c>
      <c r="AF2987">
        <v>6.6809069534867298</v>
      </c>
      <c r="AG2987">
        <v>-1.1136567418229999</v>
      </c>
      <c r="AH2987">
        <v>15.0146798288959</v>
      </c>
      <c r="AI2987">
        <v>93.876753804967393</v>
      </c>
      <c r="AJ2987">
        <v>66.012928606241701</v>
      </c>
      <c r="AK2987">
        <v>16.471653208588702</v>
      </c>
      <c r="AL2987">
        <v>77.236055072903397</v>
      </c>
      <c r="AM2987">
        <v>75.791375267476496</v>
      </c>
      <c r="AN2987">
        <v>0.99999994537914305</v>
      </c>
    </row>
    <row r="2988" spans="1:40" x14ac:dyDescent="0.25">
      <c r="A2988" t="str">
        <f>"20190303170825552"</f>
        <v>20190303170825552</v>
      </c>
      <c r="B2988" t="str">
        <f>"1551604105545909"</f>
        <v>1551604105545909</v>
      </c>
      <c r="C2988" t="s">
        <v>40</v>
      </c>
      <c r="D2988">
        <v>4.3098369999999999</v>
      </c>
      <c r="E2988">
        <v>0.58170880000000003</v>
      </c>
      <c r="F2988" t="s">
        <v>57</v>
      </c>
      <c r="G2988">
        <v>-193.39150000000001</v>
      </c>
      <c r="H2988" s="1">
        <v>5.4110210000000003E-6</v>
      </c>
      <c r="I2988">
        <v>204.6285</v>
      </c>
      <c r="J2988">
        <v>-206.84540000000001</v>
      </c>
      <c r="K2988">
        <v>1.1130450000000001</v>
      </c>
      <c r="L2988">
        <v>213.8339</v>
      </c>
      <c r="M2988">
        <v>0.98538320000000001</v>
      </c>
      <c r="N2988">
        <v>-1.501886E-2</v>
      </c>
      <c r="O2988">
        <v>-0.1696898</v>
      </c>
      <c r="P2988">
        <v>0.89558289999999996</v>
      </c>
      <c r="Q2988">
        <v>0.21001819999999999</v>
      </c>
      <c r="R2988">
        <v>-0.39220349999999998</v>
      </c>
      <c r="S2988">
        <v>2.6407929999999999</v>
      </c>
      <c r="T2988">
        <v>-0.21039160000000001</v>
      </c>
      <c r="U2988">
        <v>-1.758057</v>
      </c>
      <c r="V2988">
        <v>0.23896890000000001</v>
      </c>
      <c r="W2988">
        <v>0.21950919999999999</v>
      </c>
      <c r="X2988">
        <v>0.94589089999999998</v>
      </c>
      <c r="Y2988">
        <v>0.40400249999999999</v>
      </c>
      <c r="Z2988">
        <v>-8.2081600000000008E-3</v>
      </c>
      <c r="AA2988">
        <v>0.91472109999999995</v>
      </c>
      <c r="AB2988">
        <v>31</v>
      </c>
      <c r="AC2988">
        <v>13.453900000000001</v>
      </c>
      <c r="AD2988">
        <v>-1.1130395889789999</v>
      </c>
      <c r="AE2988">
        <v>-9.2053999999999903</v>
      </c>
      <c r="AF2988">
        <v>6.7571214475802499</v>
      </c>
      <c r="AG2988">
        <v>-1.1130395889789999</v>
      </c>
      <c r="AH2988">
        <v>14.752207586788201</v>
      </c>
      <c r="AI2988">
        <v>93.924093185443994</v>
      </c>
      <c r="AJ2988">
        <v>65.390260725384294</v>
      </c>
      <c r="AK2988">
        <v>16.2642299561853</v>
      </c>
      <c r="AL2988">
        <v>77.319792527049103</v>
      </c>
      <c r="AM2988">
        <v>75.821537670003096</v>
      </c>
      <c r="AN2988">
        <v>1.00000000937733</v>
      </c>
    </row>
    <row r="2989" spans="1:40" x14ac:dyDescent="0.25">
      <c r="A2989" t="str">
        <f>"20190303170825580"</f>
        <v>20190303170825580</v>
      </c>
      <c r="B2989" t="str">
        <f>"1551604105576166"</f>
        <v>1551604105576166</v>
      </c>
      <c r="C2989" t="s">
        <v>40</v>
      </c>
      <c r="D2989">
        <v>4.2903989999999999</v>
      </c>
      <c r="E2989">
        <v>0.58262029999999998</v>
      </c>
      <c r="F2989" t="s">
        <v>57</v>
      </c>
      <c r="G2989">
        <v>-192.88210000000001</v>
      </c>
      <c r="H2989" s="1">
        <v>5.6644780000000004E-6</v>
      </c>
      <c r="I2989">
        <v>204.102</v>
      </c>
      <c r="J2989">
        <v>-206.4759</v>
      </c>
      <c r="K2989">
        <v>1.1126229999999999</v>
      </c>
      <c r="L2989">
        <v>213.75640000000001</v>
      </c>
      <c r="M2989">
        <v>0.98306669999999996</v>
      </c>
      <c r="N2989">
        <v>-1.5094140000000001E-2</v>
      </c>
      <c r="O2989">
        <v>-0.18262529999999999</v>
      </c>
      <c r="P2989">
        <v>0.89058859999999995</v>
      </c>
      <c r="Q2989">
        <v>0.21026919999999999</v>
      </c>
      <c r="R2989">
        <v>-0.40328520000000001</v>
      </c>
      <c r="S2989">
        <v>2.603729</v>
      </c>
      <c r="T2989">
        <v>-0.20754900000000001</v>
      </c>
      <c r="U2989">
        <v>-1.814713</v>
      </c>
      <c r="V2989">
        <v>0.238511</v>
      </c>
      <c r="W2989">
        <v>0.21960550000000001</v>
      </c>
      <c r="X2989">
        <v>0.94598409999999999</v>
      </c>
      <c r="Y2989">
        <v>0.41149390000000002</v>
      </c>
      <c r="Z2989">
        <v>-7.8512689999999993E-3</v>
      </c>
      <c r="AA2989">
        <v>0.91137869999999999</v>
      </c>
      <c r="AB2989">
        <v>31</v>
      </c>
      <c r="AC2989">
        <v>13.5937999999999</v>
      </c>
      <c r="AD2989">
        <v>-1.1126173355219999</v>
      </c>
      <c r="AE2989">
        <v>-9.6544000000000096</v>
      </c>
      <c r="AF2989">
        <v>6.9780728837231596</v>
      </c>
      <c r="AG2989">
        <v>-1.1126173355219999</v>
      </c>
      <c r="AH2989">
        <v>15.0614056947148</v>
      </c>
      <c r="AI2989">
        <v>93.834665127794594</v>
      </c>
      <c r="AJ2989">
        <v>65.141323387738396</v>
      </c>
      <c r="AK2989">
        <v>16.636627062197501</v>
      </c>
      <c r="AL2989">
        <v>77.314136760930197</v>
      </c>
      <c r="AM2989">
        <v>75.848951392478895</v>
      </c>
      <c r="AN2989">
        <v>0.99999999510202997</v>
      </c>
    </row>
    <row r="2990" spans="1:40" x14ac:dyDescent="0.25">
      <c r="A2990" t="str">
        <f>"20190303170825600"</f>
        <v>20190303170825600</v>
      </c>
      <c r="B2990" t="str">
        <f>"1551604105595685"</f>
        <v>1551604105595685</v>
      </c>
      <c r="C2990" t="s">
        <v>40</v>
      </c>
      <c r="D2990">
        <v>4.2726689999999996</v>
      </c>
      <c r="E2990">
        <v>0.58323100000000005</v>
      </c>
      <c r="F2990" t="s">
        <v>57</v>
      </c>
      <c r="G2990">
        <v>-192.63980000000001</v>
      </c>
      <c r="H2990" s="1">
        <v>5.7937390000000001E-6</v>
      </c>
      <c r="I2990">
        <v>203.8168</v>
      </c>
      <c r="J2990">
        <v>-206.20079999999999</v>
      </c>
      <c r="K2990">
        <v>1.1123190000000001</v>
      </c>
      <c r="L2990">
        <v>213.69499999999999</v>
      </c>
      <c r="M2990">
        <v>0.98114800000000002</v>
      </c>
      <c r="N2990">
        <v>-1.515274E-2</v>
      </c>
      <c r="O2990">
        <v>-0.1926629</v>
      </c>
      <c r="P2990">
        <v>0.88676250000000001</v>
      </c>
      <c r="Q2990">
        <v>0.2092628</v>
      </c>
      <c r="R2990">
        <v>-0.41214279999999998</v>
      </c>
      <c r="S2990">
        <v>2.578659</v>
      </c>
      <c r="T2990">
        <v>-0.20736009999999999</v>
      </c>
      <c r="U2990">
        <v>-1.852463</v>
      </c>
      <c r="V2990">
        <v>0.2383671</v>
      </c>
      <c r="W2990">
        <v>0.21848890000000001</v>
      </c>
      <c r="X2990">
        <v>0.94627890000000003</v>
      </c>
      <c r="Y2990">
        <v>0.41518440000000001</v>
      </c>
      <c r="Z2990">
        <v>-7.503086E-3</v>
      </c>
      <c r="AA2990">
        <v>0.90970629999999997</v>
      </c>
      <c r="AB2990">
        <v>31</v>
      </c>
      <c r="AC2990">
        <v>13.5609999999999</v>
      </c>
      <c r="AD2990">
        <v>-1.1123132062609999</v>
      </c>
      <c r="AE2990">
        <v>-9.8781999999999908</v>
      </c>
      <c r="AF2990">
        <v>7.0491031945164497</v>
      </c>
      <c r="AG2990">
        <v>-1.1123132062609999</v>
      </c>
      <c r="AH2990">
        <v>15.1436930370563</v>
      </c>
      <c r="AI2990">
        <v>93.809696358560402</v>
      </c>
      <c r="AJ2990">
        <v>65.038911184577699</v>
      </c>
      <c r="AK2990">
        <v>16.740923968417999</v>
      </c>
      <c r="AL2990">
        <v>77.379705878366806</v>
      </c>
      <c r="AM2990">
        <v>75.861375684658</v>
      </c>
      <c r="AN2990">
        <v>1.00000001518541</v>
      </c>
    </row>
    <row r="2991" spans="1:40" x14ac:dyDescent="0.25">
      <c r="A2991" t="str">
        <f>"20190303170825630"</f>
        <v>20190303170825630</v>
      </c>
      <c r="B2991" t="str">
        <f>"1551604105625941"</f>
        <v>1551604105625941</v>
      </c>
      <c r="C2991" t="s">
        <v>40</v>
      </c>
      <c r="D2991">
        <v>4.3196620000000001</v>
      </c>
      <c r="E2991">
        <v>0.58388899999999999</v>
      </c>
      <c r="F2991" t="s">
        <v>57</v>
      </c>
      <c r="G2991">
        <v>-192.6559</v>
      </c>
      <c r="H2991" s="1">
        <v>5.8157939999999997E-6</v>
      </c>
      <c r="I2991">
        <v>203.72</v>
      </c>
      <c r="J2991">
        <v>-205.7818</v>
      </c>
      <c r="K2991">
        <v>1.1118189999999999</v>
      </c>
      <c r="L2991">
        <v>213.59549999999999</v>
      </c>
      <c r="M2991">
        <v>0.97786530000000005</v>
      </c>
      <c r="N2991">
        <v>-1.5246330000000001E-2</v>
      </c>
      <c r="O2991">
        <v>-0.2086797</v>
      </c>
      <c r="P2991">
        <v>0.87988529999999998</v>
      </c>
      <c r="Q2991">
        <v>0.20803160000000001</v>
      </c>
      <c r="R2991">
        <v>-0.42722979999999999</v>
      </c>
      <c r="S2991">
        <v>2.557312</v>
      </c>
      <c r="T2991">
        <v>-0.2100071</v>
      </c>
      <c r="U2991">
        <v>-1.8833009999999999</v>
      </c>
      <c r="V2991">
        <v>0.2392319</v>
      </c>
      <c r="W2991">
        <v>0.21705179999999999</v>
      </c>
      <c r="X2991">
        <v>0.94639130000000005</v>
      </c>
      <c r="Y2991">
        <v>0.41106350000000003</v>
      </c>
      <c r="Z2991">
        <v>-6.4973619999999996E-3</v>
      </c>
      <c r="AA2991">
        <v>0.91158349999999999</v>
      </c>
      <c r="AB2991">
        <v>31</v>
      </c>
      <c r="AC2991">
        <v>13.1259</v>
      </c>
      <c r="AD2991">
        <v>-1.1118131842059999</v>
      </c>
      <c r="AE2991">
        <v>-9.8754999999999793</v>
      </c>
      <c r="AF2991">
        <v>6.8870510069034001</v>
      </c>
      <c r="AG2991">
        <v>-1.1118131842059999</v>
      </c>
      <c r="AH2991">
        <v>14.8299665802968</v>
      </c>
      <c r="AI2991">
        <v>93.889902896912602</v>
      </c>
      <c r="AJ2991">
        <v>65.089798373295693</v>
      </c>
      <c r="AK2991">
        <v>16.388883699049899</v>
      </c>
      <c r="AL2991">
        <v>77.464069428606905</v>
      </c>
      <c r="AM2991">
        <v>75.813765333101898</v>
      </c>
      <c r="AN2991">
        <v>0.99999993928826802</v>
      </c>
    </row>
    <row r="2992" spans="1:40" x14ac:dyDescent="0.25">
      <c r="A2992" t="str">
        <f>"20190303170825655"</f>
        <v>20190303170825655</v>
      </c>
      <c r="B2992" t="str">
        <f>"1551604105646438"</f>
        <v>1551604105646438</v>
      </c>
      <c r="C2992" t="s">
        <v>40</v>
      </c>
      <c r="D2992">
        <v>4.334905</v>
      </c>
      <c r="E2992">
        <v>0.58413309999999996</v>
      </c>
      <c r="F2992" t="s">
        <v>57</v>
      </c>
      <c r="G2992">
        <v>-192.53960000000001</v>
      </c>
      <c r="H2992" s="1">
        <v>5.9180940000000004E-6</v>
      </c>
      <c r="I2992">
        <v>203.43100000000001</v>
      </c>
      <c r="J2992">
        <v>-205.4538</v>
      </c>
      <c r="K2992">
        <v>1.111413</v>
      </c>
      <c r="L2992">
        <v>213.51130000000001</v>
      </c>
      <c r="M2992">
        <v>0.974943</v>
      </c>
      <c r="N2992">
        <v>-1.533374E-2</v>
      </c>
      <c r="O2992">
        <v>-0.22192590000000001</v>
      </c>
      <c r="P2992">
        <v>0.87322379999999999</v>
      </c>
      <c r="Q2992">
        <v>0.2088981</v>
      </c>
      <c r="R2992">
        <v>-0.44027509999999997</v>
      </c>
      <c r="S2992">
        <v>2.5202640000000001</v>
      </c>
      <c r="T2992">
        <v>-0.2116014</v>
      </c>
      <c r="U2992">
        <v>-1.934509</v>
      </c>
      <c r="V2992">
        <v>0.24075869999999999</v>
      </c>
      <c r="W2992">
        <v>0.21772900000000001</v>
      </c>
      <c r="X2992">
        <v>0.94584849999999998</v>
      </c>
      <c r="Y2992">
        <v>0.41681459999999998</v>
      </c>
      <c r="Z2992">
        <v>-6.0690010000000001E-3</v>
      </c>
      <c r="AA2992">
        <v>0.90897130000000004</v>
      </c>
      <c r="AB2992">
        <v>31</v>
      </c>
      <c r="AC2992">
        <v>12.9141999999999</v>
      </c>
      <c r="AD2992">
        <v>-1.111407081906</v>
      </c>
      <c r="AE2992">
        <v>-10.080299999999999</v>
      </c>
      <c r="AF2992">
        <v>6.93064336714263</v>
      </c>
      <c r="AG2992">
        <v>-1.111407081906</v>
      </c>
      <c r="AH2992">
        <v>14.7614935452041</v>
      </c>
      <c r="AI2992">
        <v>93.898850370283796</v>
      </c>
      <c r="AJ2992">
        <v>64.849556083347693</v>
      </c>
      <c r="AK2992">
        <v>16.3453582055987</v>
      </c>
      <c r="AL2992">
        <v>77.424319180113301</v>
      </c>
      <c r="AM2992">
        <v>75.719059935782795</v>
      </c>
      <c r="AN2992">
        <v>1.00000002700946</v>
      </c>
    </row>
    <row r="2993" spans="1:40" x14ac:dyDescent="0.25">
      <c r="A2993" t="str">
        <f>"20190303170825675"</f>
        <v>20190303170825675</v>
      </c>
      <c r="B2993" t="str">
        <f>"1551604105665957"</f>
        <v>1551604105665957</v>
      </c>
      <c r="C2993" t="s">
        <v>40</v>
      </c>
      <c r="D2993">
        <v>4.328646</v>
      </c>
      <c r="E2993">
        <v>0.58438409999999996</v>
      </c>
      <c r="F2993" t="s">
        <v>57</v>
      </c>
      <c r="G2993">
        <v>-192.2398</v>
      </c>
      <c r="H2993" s="1">
        <v>6.126756E-6</v>
      </c>
      <c r="I2993">
        <v>203.03989999999999</v>
      </c>
      <c r="J2993">
        <v>-205.1695</v>
      </c>
      <c r="K2993">
        <v>1.1110789999999999</v>
      </c>
      <c r="L2993">
        <v>213.43430000000001</v>
      </c>
      <c r="M2993">
        <v>0.97215969999999996</v>
      </c>
      <c r="N2993">
        <v>-1.541359E-2</v>
      </c>
      <c r="O2993">
        <v>-0.2338122</v>
      </c>
      <c r="P2993">
        <v>0.86718490000000004</v>
      </c>
      <c r="Q2993">
        <v>0.20997569999999999</v>
      </c>
      <c r="R2993">
        <v>-0.45155400000000001</v>
      </c>
      <c r="S2993">
        <v>2.4905849999999998</v>
      </c>
      <c r="T2993">
        <v>-0.2094781</v>
      </c>
      <c r="U2993">
        <v>-1.9736480000000001</v>
      </c>
      <c r="V2993">
        <v>0.24173510000000001</v>
      </c>
      <c r="W2993">
        <v>0.2186611</v>
      </c>
      <c r="X2993">
        <v>0.94538429999999996</v>
      </c>
      <c r="Y2993">
        <v>0.41978389999999999</v>
      </c>
      <c r="Z2993">
        <v>-5.5961140000000001E-3</v>
      </c>
      <c r="AA2993">
        <v>0.90760680000000005</v>
      </c>
      <c r="AB2993">
        <v>31</v>
      </c>
      <c r="AC2993">
        <v>12.929699999999899</v>
      </c>
      <c r="AD2993">
        <v>-1.1110728732439901</v>
      </c>
      <c r="AE2993">
        <v>-10.394399999999999</v>
      </c>
      <c r="AF2993">
        <v>7.0511086094320099</v>
      </c>
      <c r="AG2993">
        <v>-1.1110728732439901</v>
      </c>
      <c r="AH2993">
        <v>14.9348621598379</v>
      </c>
      <c r="AI2993">
        <v>93.848702896236304</v>
      </c>
      <c r="AJ2993">
        <v>64.726874050317704</v>
      </c>
      <c r="AK2993">
        <v>16.5530276168749</v>
      </c>
      <c r="AL2993">
        <v>77.369594936068907</v>
      </c>
      <c r="AM2993">
        <v>75.656777127592804</v>
      </c>
      <c r="AN2993">
        <v>1.00000000495585</v>
      </c>
    </row>
    <row r="2994" spans="1:40" x14ac:dyDescent="0.25">
      <c r="A2994" t="str">
        <f>"20190303170825698"</f>
        <v>20190303170825698</v>
      </c>
      <c r="B2994" t="str">
        <f>"1551604105686454"</f>
        <v>1551604105686454</v>
      </c>
      <c r="C2994" t="s">
        <v>40</v>
      </c>
      <c r="D2994">
        <v>4.3386069999999997</v>
      </c>
      <c r="E2994">
        <v>0.58454450000000002</v>
      </c>
      <c r="F2994" t="s">
        <v>57</v>
      </c>
      <c r="G2994">
        <v>-191.97800000000001</v>
      </c>
      <c r="H2994" s="1">
        <v>6.320635E-6</v>
      </c>
      <c r="I2994">
        <v>202.6885</v>
      </c>
      <c r="J2994">
        <v>-204.88159999999999</v>
      </c>
      <c r="K2994">
        <v>1.110751</v>
      </c>
      <c r="L2994">
        <v>213.352</v>
      </c>
      <c r="M2994">
        <v>0.96908090000000002</v>
      </c>
      <c r="N2994">
        <v>-1.5493430000000001E-2</v>
      </c>
      <c r="O2994">
        <v>-0.24625610000000001</v>
      </c>
      <c r="P2994">
        <v>0.86042609999999997</v>
      </c>
      <c r="Q2994">
        <v>0.21087359999999999</v>
      </c>
      <c r="R2994">
        <v>-0.46389560000000002</v>
      </c>
      <c r="S2994">
        <v>2.4644010000000001</v>
      </c>
      <c r="T2994">
        <v>-0.20756859999999999</v>
      </c>
      <c r="U2994">
        <v>-2.0075069999999999</v>
      </c>
      <c r="V2994">
        <v>0.24337700000000001</v>
      </c>
      <c r="W2994">
        <v>0.2193957</v>
      </c>
      <c r="X2994">
        <v>0.94479259999999998</v>
      </c>
      <c r="Y2994">
        <v>0.42039379999999998</v>
      </c>
      <c r="Z2994">
        <v>-4.9977329999999999E-3</v>
      </c>
      <c r="AA2994">
        <v>0.90732800000000002</v>
      </c>
      <c r="AB2994">
        <v>31</v>
      </c>
      <c r="AC2994">
        <v>12.903600000000001</v>
      </c>
      <c r="AD2994">
        <v>-1.110744679365</v>
      </c>
      <c r="AE2994">
        <v>-10.663500000000001</v>
      </c>
      <c r="AF2994">
        <v>7.12568958973179</v>
      </c>
      <c r="AG2994">
        <v>-1.110744679365</v>
      </c>
      <c r="AH2994">
        <v>15.0660667321732</v>
      </c>
      <c r="AI2994">
        <v>93.812929915384998</v>
      </c>
      <c r="AJ2994">
        <v>64.687591013737304</v>
      </c>
      <c r="AK2994">
        <v>16.703160558716</v>
      </c>
      <c r="AL2994">
        <v>77.326457281290899</v>
      </c>
      <c r="AM2994">
        <v>75.554751213617706</v>
      </c>
      <c r="AN2994">
        <v>0.99999994716112295</v>
      </c>
    </row>
    <row r="2995" spans="1:40" x14ac:dyDescent="0.25">
      <c r="A2995" t="str">
        <f>"20190303170825721"</f>
        <v>20190303170825721</v>
      </c>
      <c r="B2995" t="str">
        <f>"1551604105715734"</f>
        <v>1551604105715734</v>
      </c>
      <c r="C2995" t="s">
        <v>40</v>
      </c>
      <c r="D2995">
        <v>4.3687620000000003</v>
      </c>
      <c r="E2995">
        <v>0.584794699999999</v>
      </c>
      <c r="F2995" t="s">
        <v>57</v>
      </c>
      <c r="G2995">
        <v>-191.77680000000001</v>
      </c>
      <c r="H2995" s="1">
        <v>6.4908599999999997E-6</v>
      </c>
      <c r="I2995">
        <v>202.35839999999999</v>
      </c>
      <c r="J2995">
        <v>-204.56780000000001</v>
      </c>
      <c r="K2995">
        <v>1.11039</v>
      </c>
      <c r="L2995">
        <v>213.25729999999999</v>
      </c>
      <c r="M2995">
        <v>0.96540369999999998</v>
      </c>
      <c r="N2995">
        <v>-1.5581569999999999E-2</v>
      </c>
      <c r="O2995">
        <v>-0.26029400000000003</v>
      </c>
      <c r="P2995">
        <v>0.85195769999999904</v>
      </c>
      <c r="Q2995">
        <v>0.2108593</v>
      </c>
      <c r="R2995">
        <v>-0.47927740000000002</v>
      </c>
      <c r="S2995">
        <v>2.435638</v>
      </c>
      <c r="T2995">
        <v>-0.20644129999999999</v>
      </c>
      <c r="U2995">
        <v>-2.0432589999999999</v>
      </c>
      <c r="V2995">
        <v>0.24683389999999999</v>
      </c>
      <c r="W2995">
        <v>0.21915889999999999</v>
      </c>
      <c r="X2995">
        <v>0.94395039999999997</v>
      </c>
      <c r="Y2995">
        <v>0.42034460000000001</v>
      </c>
      <c r="Z2995">
        <v>-4.290627E-3</v>
      </c>
      <c r="AA2995">
        <v>0.90735440000000001</v>
      </c>
      <c r="AB2995">
        <v>30</v>
      </c>
      <c r="AC2995">
        <v>12.790999999999899</v>
      </c>
      <c r="AD2995">
        <v>-1.1103835091399901</v>
      </c>
      <c r="AE2995">
        <v>-10.8988999999999</v>
      </c>
      <c r="AF2995">
        <v>7.1620212107408099</v>
      </c>
      <c r="AG2995">
        <v>-1.1103835091399901</v>
      </c>
      <c r="AH2995">
        <v>15.121220425812</v>
      </c>
      <c r="AI2995">
        <v>93.796839577959901</v>
      </c>
      <c r="AJ2995">
        <v>64.6558732550467</v>
      </c>
      <c r="AK2995">
        <v>16.768387117623</v>
      </c>
      <c r="AL2995">
        <v>77.3403637531746</v>
      </c>
      <c r="AM2995">
        <v>75.345830181032198</v>
      </c>
      <c r="AN2995">
        <v>0.99999997764928905</v>
      </c>
    </row>
    <row r="2996" spans="1:40" x14ac:dyDescent="0.25">
      <c r="A2996" t="str">
        <f>"20190303170825745"</f>
        <v>20190303170825745</v>
      </c>
      <c r="B2996" t="str">
        <f>"1551604105736230"</f>
        <v>1551604105736230</v>
      </c>
      <c r="C2996" t="s">
        <v>40</v>
      </c>
      <c r="D2996">
        <v>4.3831110000000004</v>
      </c>
      <c r="E2996">
        <v>0.5848894</v>
      </c>
      <c r="F2996" t="s">
        <v>57</v>
      </c>
      <c r="G2996">
        <v>-191.83420000000001</v>
      </c>
      <c r="H2996" s="1">
        <v>6.5394429999999997E-6</v>
      </c>
      <c r="I2996">
        <v>202.17779999999999</v>
      </c>
      <c r="J2996">
        <v>-204.25200000000001</v>
      </c>
      <c r="K2996">
        <v>1.110036</v>
      </c>
      <c r="L2996">
        <v>213.1567</v>
      </c>
      <c r="M2996">
        <v>0.96134419999999998</v>
      </c>
      <c r="N2996">
        <v>-1.5674130000000001E-2</v>
      </c>
      <c r="O2996">
        <v>-0.27490310000000001</v>
      </c>
      <c r="P2996">
        <v>0.84279439999999906</v>
      </c>
      <c r="Q2996">
        <v>0.20937620000000001</v>
      </c>
      <c r="R2996">
        <v>-0.49584230000000001</v>
      </c>
      <c r="S2996">
        <v>2.3988649999999998</v>
      </c>
      <c r="T2996">
        <v>-0.20918349999999999</v>
      </c>
      <c r="U2996">
        <v>-2.0872649999999999</v>
      </c>
      <c r="V2996">
        <v>0.25102910000000001</v>
      </c>
      <c r="W2996">
        <v>0.21743670000000001</v>
      </c>
      <c r="X2996">
        <v>0.94324209999999997</v>
      </c>
      <c r="Y2996">
        <v>0.4229445</v>
      </c>
      <c r="Z2996">
        <v>-3.6077209999999999E-3</v>
      </c>
      <c r="AA2996">
        <v>0.90614839999999997</v>
      </c>
      <c r="AB2996">
        <v>30</v>
      </c>
      <c r="AC2996">
        <v>12.4178</v>
      </c>
      <c r="AD2996">
        <v>-1.110029460557</v>
      </c>
      <c r="AE2996">
        <v>-10.978899999999999</v>
      </c>
      <c r="AF2996">
        <v>7.1098006656258903</v>
      </c>
      <c r="AG2996">
        <v>-1.110029460557</v>
      </c>
      <c r="AH2996">
        <v>14.8909665729427</v>
      </c>
      <c r="AI2996">
        <v>93.848463426011605</v>
      </c>
      <c r="AJ2996">
        <v>64.477517044613506</v>
      </c>
      <c r="AK2996">
        <v>16.5385101017213</v>
      </c>
      <c r="AL2996">
        <v>77.441477396173696</v>
      </c>
      <c r="AM2996">
        <v>75.097062543759804</v>
      </c>
      <c r="AN2996">
        <v>0.99999999338305401</v>
      </c>
    </row>
    <row r="2997" spans="1:40" x14ac:dyDescent="0.25">
      <c r="A2997" t="str">
        <f>"20190303170825774"</f>
        <v>20190303170825774</v>
      </c>
      <c r="B2997" t="str">
        <f>"1551604105766486"</f>
        <v>1551604105766486</v>
      </c>
      <c r="C2997" t="s">
        <v>40</v>
      </c>
      <c r="D2997">
        <v>4.3662559999999999</v>
      </c>
      <c r="E2997">
        <v>0.58499599999999996</v>
      </c>
      <c r="F2997" t="s">
        <v>57</v>
      </c>
      <c r="G2997">
        <v>-192.1103</v>
      </c>
      <c r="H2997" s="1">
        <v>6.4674530000000001E-6</v>
      </c>
      <c r="I2997">
        <v>202.17359999999999</v>
      </c>
      <c r="J2997">
        <v>-203.88990000000001</v>
      </c>
      <c r="K2997">
        <v>1.1096520000000001</v>
      </c>
      <c r="L2997">
        <v>213.03389999999999</v>
      </c>
      <c r="M2997">
        <v>0.95620850000000002</v>
      </c>
      <c r="N2997">
        <v>-1.5784989999999999E-2</v>
      </c>
      <c r="O2997">
        <v>-0.29225990000000002</v>
      </c>
      <c r="P2997">
        <v>0.83226160000000005</v>
      </c>
      <c r="Q2997">
        <v>0.20899719999999999</v>
      </c>
      <c r="R2997">
        <v>-0.51347920000000002</v>
      </c>
      <c r="S2997">
        <v>2.3581539999999999</v>
      </c>
      <c r="T2997">
        <v>-0.215591</v>
      </c>
      <c r="U2997">
        <v>-2.1331479999999998</v>
      </c>
      <c r="V2997">
        <v>0.25398890000000002</v>
      </c>
      <c r="W2997">
        <v>0.2168437</v>
      </c>
      <c r="X2997">
        <v>0.94258609999999998</v>
      </c>
      <c r="Y2997">
        <v>0.42400680000000002</v>
      </c>
      <c r="Z2997">
        <v>-2.5902830000000001E-3</v>
      </c>
      <c r="AA2997">
        <v>0.90565530000000005</v>
      </c>
      <c r="AB2997">
        <v>30</v>
      </c>
      <c r="AC2997">
        <v>11.7796</v>
      </c>
      <c r="AD2997">
        <v>-1.109645532547</v>
      </c>
      <c r="AE2997">
        <v>-10.860299999999899</v>
      </c>
      <c r="AF2997">
        <v>6.9097292276978699</v>
      </c>
      <c r="AG2997">
        <v>-1.109645532547</v>
      </c>
      <c r="AH2997">
        <v>14.370654597668899</v>
      </c>
      <c r="AI2997">
        <v>93.980780475933997</v>
      </c>
      <c r="AJ2997">
        <v>64.320720963592194</v>
      </c>
      <c r="AK2997">
        <v>15.9840978717444</v>
      </c>
      <c r="AL2997">
        <v>77.476285039513996</v>
      </c>
      <c r="AM2997">
        <v>74.919286127494203</v>
      </c>
      <c r="AN2997">
        <v>1.00000005373305</v>
      </c>
    </row>
    <row r="2998" spans="1:40" x14ac:dyDescent="0.25">
      <c r="A2998" t="str">
        <f>"20190303170825794"</f>
        <v>20190303170825794</v>
      </c>
      <c r="B2998" t="str">
        <f>"1551604105786005"</f>
        <v>1551604105786005</v>
      </c>
      <c r="C2998" t="s">
        <v>40</v>
      </c>
      <c r="D2998">
        <v>4.4128949999999998</v>
      </c>
      <c r="E2998">
        <v>0.58491599999999999</v>
      </c>
      <c r="F2998" t="s">
        <v>57</v>
      </c>
      <c r="G2998">
        <v>-192.0582</v>
      </c>
      <c r="H2998" s="1">
        <v>6.5942450000000001E-6</v>
      </c>
      <c r="I2998">
        <v>201.85409999999999</v>
      </c>
      <c r="J2998">
        <v>-203.6037</v>
      </c>
      <c r="K2998">
        <v>1.1093630000000001</v>
      </c>
      <c r="L2998">
        <v>212.93119999999999</v>
      </c>
      <c r="M2998">
        <v>0.95176700000000003</v>
      </c>
      <c r="N2998">
        <v>-1.5874260000000001E-2</v>
      </c>
      <c r="O2998">
        <v>-0.30641109999999999</v>
      </c>
      <c r="P2998">
        <v>0.82297659999999995</v>
      </c>
      <c r="Q2998">
        <v>0.21059649999999999</v>
      </c>
      <c r="R2998">
        <v>-0.52759739999999999</v>
      </c>
      <c r="S2998">
        <v>2.3115079999999999</v>
      </c>
      <c r="T2998">
        <v>-0.21678720000000001</v>
      </c>
      <c r="U2998">
        <v>-2.184158</v>
      </c>
      <c r="V2998">
        <v>0.25641039999999998</v>
      </c>
      <c r="W2998">
        <v>0.21827160000000001</v>
      </c>
      <c r="X2998">
        <v>0.94160029999999995</v>
      </c>
      <c r="Y2998">
        <v>0.43024190000000001</v>
      </c>
      <c r="Z2998">
        <v>-2.0735440000000001E-3</v>
      </c>
      <c r="AA2998">
        <v>0.90271129999999999</v>
      </c>
      <c r="AB2998">
        <v>30</v>
      </c>
      <c r="AC2998">
        <v>11.545500000000001</v>
      </c>
      <c r="AD2998">
        <v>-1.1093564057549901</v>
      </c>
      <c r="AE2998">
        <v>-11.0771</v>
      </c>
      <c r="AF2998">
        <v>6.9725121087204096</v>
      </c>
      <c r="AG2998">
        <v>-1.1093564057549901</v>
      </c>
      <c r="AH2998">
        <v>14.315763403124</v>
      </c>
      <c r="AI2998">
        <v>93.985242546986498</v>
      </c>
      <c r="AJ2998">
        <v>64.031539086481104</v>
      </c>
      <c r="AK2998">
        <v>15.962069995945599</v>
      </c>
      <c r="AL2998">
        <v>77.392463414674097</v>
      </c>
      <c r="AM2998">
        <v>74.766953913078694</v>
      </c>
      <c r="AN2998">
        <v>0.999999954777403</v>
      </c>
    </row>
    <row r="2999" spans="1:40" x14ac:dyDescent="0.25">
      <c r="A2999" t="str">
        <f>"20190303170825832"</f>
        <v>20190303170825832</v>
      </c>
      <c r="B2999" t="str">
        <f>"1551604105826021"</f>
        <v>1551604105826021</v>
      </c>
      <c r="C2999" t="s">
        <v>40</v>
      </c>
      <c r="D2999">
        <v>4.4147949999999998</v>
      </c>
      <c r="E2999">
        <v>0.58166839999999997</v>
      </c>
      <c r="F2999" t="s">
        <v>57</v>
      </c>
      <c r="G2999">
        <v>-191.74449999999999</v>
      </c>
      <c r="H2999" s="1">
        <v>6.8599939999999998E-6</v>
      </c>
      <c r="I2999">
        <v>201.33850000000001</v>
      </c>
      <c r="J2999">
        <v>-203.126</v>
      </c>
      <c r="K2999">
        <v>1.1089230000000001</v>
      </c>
      <c r="L2999">
        <v>212.7484</v>
      </c>
      <c r="M2999">
        <v>0.94358350000000002</v>
      </c>
      <c r="N2999">
        <v>-1.60188E-2</v>
      </c>
      <c r="O2999">
        <v>-0.33074700000000001</v>
      </c>
      <c r="P2999">
        <v>0.80562699999999998</v>
      </c>
      <c r="Q2999">
        <v>0.21195839999999999</v>
      </c>
      <c r="R2999">
        <v>-0.55320780000000003</v>
      </c>
      <c r="S2999">
        <v>2.2744140000000002</v>
      </c>
      <c r="T2999">
        <v>-0.2127587</v>
      </c>
      <c r="U2999">
        <v>-2.223312</v>
      </c>
      <c r="V2999">
        <v>0.26223740000000001</v>
      </c>
      <c r="W2999">
        <v>0.2193087</v>
      </c>
      <c r="X2999">
        <v>0.93975280000000005</v>
      </c>
      <c r="Y2999">
        <v>0.4224272</v>
      </c>
      <c r="Z2999">
        <v>-5.2009150000000004E-4</v>
      </c>
      <c r="AA2999">
        <v>0.90639669999999894</v>
      </c>
      <c r="AB2999">
        <v>30</v>
      </c>
      <c r="AC2999">
        <v>11.3814999999999</v>
      </c>
      <c r="AD2999">
        <v>-1.1089161400059999</v>
      </c>
      <c r="AE2999">
        <v>-11.409899999999899</v>
      </c>
      <c r="AF2999">
        <v>6.9696960696858996</v>
      </c>
      <c r="AG2999">
        <v>-1.1089161400059999</v>
      </c>
      <c r="AH2999">
        <v>14.446648875470601</v>
      </c>
      <c r="AI2999">
        <v>93.954812305768499</v>
      </c>
      <c r="AJ2999">
        <v>64.245303148511098</v>
      </c>
      <c r="AK2999">
        <v>16.078309054141702</v>
      </c>
      <c r="AL2999">
        <v>77.331567671890497</v>
      </c>
      <c r="AM2999">
        <v>74.408274828444206</v>
      </c>
      <c r="AN2999">
        <v>1.0000000424811399</v>
      </c>
    </row>
    <row r="3000" spans="1:40" x14ac:dyDescent="0.25">
      <c r="A3000" t="str">
        <f>"20190303170825857"</f>
        <v>20190303170825857</v>
      </c>
      <c r="B3000" t="str">
        <f>"1551604105846518"</f>
        <v>1551604105846518</v>
      </c>
      <c r="C3000" t="s">
        <v>40</v>
      </c>
      <c r="D3000">
        <v>4.4118430000000002</v>
      </c>
      <c r="E3000">
        <v>0.58160940000000005</v>
      </c>
      <c r="F3000" t="s">
        <v>57</v>
      </c>
      <c r="G3000">
        <v>-192.77170000000001</v>
      </c>
      <c r="H3000" s="1">
        <v>6.2913299999999998E-6</v>
      </c>
      <c r="I3000">
        <v>202.17400000000001</v>
      </c>
      <c r="J3000">
        <v>-202.81450000000001</v>
      </c>
      <c r="K3000">
        <v>1.108663</v>
      </c>
      <c r="L3000">
        <v>212.6208</v>
      </c>
      <c r="M3000">
        <v>0.93768189999999996</v>
      </c>
      <c r="N3000">
        <v>-1.610893E-2</v>
      </c>
      <c r="O3000">
        <v>-0.34712090000000001</v>
      </c>
      <c r="P3000">
        <v>0.7950045</v>
      </c>
      <c r="Q3000">
        <v>0.2106142</v>
      </c>
      <c r="R3000">
        <v>-0.56886729999999996</v>
      </c>
      <c r="S3000">
        <v>2.2256930000000001</v>
      </c>
      <c r="T3000">
        <v>-0.2383661</v>
      </c>
      <c r="U3000">
        <v>-2.2730260000000002</v>
      </c>
      <c r="V3000">
        <v>0.26424629999999999</v>
      </c>
      <c r="W3000">
        <v>0.21782899999999999</v>
      </c>
      <c r="X3000">
        <v>0.93953419999999999</v>
      </c>
      <c r="Y3000">
        <v>0.42637770000000003</v>
      </c>
      <c r="Z3000">
        <v>1.2908590000000001E-3</v>
      </c>
      <c r="AA3000">
        <v>0.90454429999999997</v>
      </c>
      <c r="AB3000">
        <v>30</v>
      </c>
      <c r="AC3000">
        <v>10.0428</v>
      </c>
      <c r="AD3000">
        <v>-1.1086567086700001</v>
      </c>
      <c r="AE3000">
        <v>-10.4467999999999</v>
      </c>
      <c r="AF3000">
        <v>6.2738076532191398</v>
      </c>
      <c r="AG3000">
        <v>-1.1086567086700001</v>
      </c>
      <c r="AH3000">
        <v>12.969039116608499</v>
      </c>
      <c r="AI3000">
        <v>94.4004422316996</v>
      </c>
      <c r="AJ3000">
        <v>64.184499107735306</v>
      </c>
      <c r="AK3000">
        <v>14.449420672656499</v>
      </c>
      <c r="AL3000">
        <v>77.418448950679505</v>
      </c>
      <c r="AM3000">
        <v>74.2912318381549</v>
      </c>
      <c r="AN3000">
        <v>1.0000000466371599</v>
      </c>
    </row>
    <row r="3001" spans="1:40" x14ac:dyDescent="0.25">
      <c r="A3001" t="str">
        <f>"20190303170825878"</f>
        <v>20190303170825878</v>
      </c>
      <c r="B3001" t="str">
        <f>"1551604105866037"</f>
        <v>1551604105866037</v>
      </c>
      <c r="C3001" t="s">
        <v>40</v>
      </c>
      <c r="D3001">
        <v>4.4837129999999998</v>
      </c>
      <c r="E3001">
        <v>0.58361390000000002</v>
      </c>
      <c r="F3001" t="s">
        <v>57</v>
      </c>
      <c r="G3001">
        <v>-192.8733</v>
      </c>
      <c r="H3001" s="1">
        <v>6.3002439999999998E-6</v>
      </c>
      <c r="I3001">
        <v>202.07230000000001</v>
      </c>
      <c r="J3001">
        <v>-202.54740000000001</v>
      </c>
      <c r="K3001">
        <v>1.1084510000000001</v>
      </c>
      <c r="L3001">
        <v>212.5061</v>
      </c>
      <c r="M3001">
        <v>0.93226249999999999</v>
      </c>
      <c r="N3001">
        <v>-1.6183690000000001E-2</v>
      </c>
      <c r="O3001">
        <v>-0.36142069999999998</v>
      </c>
      <c r="P3001">
        <v>0.78532809999999997</v>
      </c>
      <c r="Q3001">
        <v>0.20944109999999999</v>
      </c>
      <c r="R3001">
        <v>-0.58257559999999997</v>
      </c>
      <c r="S3001">
        <v>2.1815799999999999</v>
      </c>
      <c r="T3001">
        <v>-0.24329439999999999</v>
      </c>
      <c r="U3001">
        <v>-2.3148650000000002</v>
      </c>
      <c r="V3001">
        <v>0.26614139999999997</v>
      </c>
      <c r="W3001">
        <v>0.21654019999999999</v>
      </c>
      <c r="X3001">
        <v>0.9392971</v>
      </c>
      <c r="Y3001">
        <v>0.4298187</v>
      </c>
      <c r="Z3001">
        <v>2.2629019999999998E-3</v>
      </c>
      <c r="AA3001">
        <v>0.90291239999999995</v>
      </c>
      <c r="AB3001">
        <v>30</v>
      </c>
      <c r="AC3001">
        <v>9.6741000000000099</v>
      </c>
      <c r="AD3001">
        <v>-1.108444699756</v>
      </c>
      <c r="AE3001">
        <v>-10.4337999999999</v>
      </c>
      <c r="AF3001">
        <v>6.1938465257576896</v>
      </c>
      <c r="AG3001">
        <v>-1.108444699756</v>
      </c>
      <c r="AH3001">
        <v>12.714304893391001</v>
      </c>
      <c r="AI3001">
        <v>94.481423731525496</v>
      </c>
      <c r="AJ3001">
        <v>64.026705974884706</v>
      </c>
      <c r="AK3001">
        <v>14.1861176281308</v>
      </c>
      <c r="AL3001">
        <v>77.494096500117493</v>
      </c>
      <c r="AM3001">
        <v>74.180398277335499</v>
      </c>
      <c r="AN3001">
        <v>0.99999997253920403</v>
      </c>
    </row>
    <row r="3002" spans="1:40" x14ac:dyDescent="0.25">
      <c r="A3002" t="str">
        <f>"20190303170825901"</f>
        <v>20190303170825901</v>
      </c>
      <c r="B3002" t="str">
        <f>"1551604105886534"</f>
        <v>1551604105886534</v>
      </c>
      <c r="C3002" t="s">
        <v>40</v>
      </c>
      <c r="D3002">
        <v>4.5224120000000001</v>
      </c>
      <c r="E3002">
        <v>0.61482669999999995</v>
      </c>
      <c r="F3002" t="s">
        <v>57</v>
      </c>
      <c r="G3002">
        <v>-192.73349999999999</v>
      </c>
      <c r="H3002" s="1">
        <v>6.5006400000000003E-6</v>
      </c>
      <c r="I3002">
        <v>201.61070000000001</v>
      </c>
      <c r="J3002">
        <v>-202.26609999999999</v>
      </c>
      <c r="K3002">
        <v>1.1082510000000001</v>
      </c>
      <c r="L3002">
        <v>212.37989999999999</v>
      </c>
      <c r="M3002">
        <v>0.9261682</v>
      </c>
      <c r="N3002">
        <v>-1.6259880000000001E-2</v>
      </c>
      <c r="O3002">
        <v>-0.37676019999999999</v>
      </c>
      <c r="P3002">
        <v>0.77437199999999995</v>
      </c>
      <c r="Q3002">
        <v>0.21084520000000001</v>
      </c>
      <c r="R3002">
        <v>-0.59656709999999902</v>
      </c>
      <c r="S3002">
        <v>2.1299899999999998</v>
      </c>
      <c r="T3002">
        <v>-0.24057410000000001</v>
      </c>
      <c r="U3002">
        <v>-2.3647309999999999</v>
      </c>
      <c r="V3002">
        <v>0.26778109999999999</v>
      </c>
      <c r="W3002">
        <v>0.21782760000000001</v>
      </c>
      <c r="X3002">
        <v>0.93853310000000001</v>
      </c>
      <c r="Y3002">
        <v>0.43527969999999999</v>
      </c>
      <c r="Z3002">
        <v>2.8490379999999999E-3</v>
      </c>
      <c r="AA3002">
        <v>0.90029079999999995</v>
      </c>
      <c r="AB3002">
        <v>30</v>
      </c>
      <c r="AC3002">
        <v>9.5326000000000004</v>
      </c>
      <c r="AD3002">
        <v>-1.10824449936</v>
      </c>
      <c r="AE3002">
        <v>-10.7691999999999</v>
      </c>
      <c r="AF3002">
        <v>6.3457500196099703</v>
      </c>
      <c r="AG3002">
        <v>-1.10824449936</v>
      </c>
      <c r="AH3002">
        <v>12.811825898127699</v>
      </c>
      <c r="AI3002">
        <v>94.432391055239506</v>
      </c>
      <c r="AJ3002">
        <v>63.650596627886301</v>
      </c>
      <c r="AK3002">
        <v>14.340140585980301</v>
      </c>
      <c r="AL3002">
        <v>77.418530290253699</v>
      </c>
      <c r="AM3002">
        <v>74.075557922876996</v>
      </c>
      <c r="AN3002">
        <v>0.99999998031728898</v>
      </c>
    </row>
    <row r="3003" spans="1:40" x14ac:dyDescent="0.25">
      <c r="A3003" t="str">
        <f>"20190303170825924"</f>
        <v>20190303170825924</v>
      </c>
      <c r="B3003" t="str">
        <f>"1551604105915813"</f>
        <v>1551604105915813</v>
      </c>
      <c r="C3003" t="s">
        <v>40</v>
      </c>
      <c r="D3003">
        <v>4.5150249999999996</v>
      </c>
      <c r="E3003">
        <v>0.63391529999999996</v>
      </c>
      <c r="F3003" t="s">
        <v>43</v>
      </c>
      <c r="G3003">
        <v>-185.77799999999999</v>
      </c>
      <c r="H3003" s="1">
        <v>-1.2699830000000001E-6</v>
      </c>
      <c r="I3003">
        <v>190.0789</v>
      </c>
      <c r="J3003">
        <v>-201.9699</v>
      </c>
      <c r="K3003">
        <v>1.108039</v>
      </c>
      <c r="L3003">
        <v>212.2407</v>
      </c>
      <c r="M3003">
        <v>0.9193038</v>
      </c>
      <c r="N3003">
        <v>-1.633977E-2</v>
      </c>
      <c r="O3003">
        <v>-0.39320949999999999</v>
      </c>
      <c r="P3003">
        <v>0.76240559999999902</v>
      </c>
      <c r="Q3003">
        <v>0.2127088</v>
      </c>
      <c r="R3003">
        <v>-0.61114080000000004</v>
      </c>
      <c r="S3003">
        <v>1.9143680000000001</v>
      </c>
      <c r="T3003">
        <v>-0.12867490000000001</v>
      </c>
      <c r="U3003">
        <v>-2.5892789999999999</v>
      </c>
      <c r="V3003">
        <v>0.26922059999999998</v>
      </c>
      <c r="W3003">
        <v>0.219579</v>
      </c>
      <c r="X3003">
        <v>0.93771280000000001</v>
      </c>
      <c r="Y3003">
        <v>0.50507709999999995</v>
      </c>
      <c r="Z3003">
        <v>-4.7488290000000004E-3</v>
      </c>
      <c r="AA3003">
        <v>0.86306109999999903</v>
      </c>
      <c r="AB3003">
        <v>30</v>
      </c>
      <c r="AC3003">
        <v>16.1919</v>
      </c>
      <c r="AD3003">
        <v>-1.1080402699830001</v>
      </c>
      <c r="AE3003">
        <v>-22.161799999999999</v>
      </c>
      <c r="AF3003">
        <v>13.9856933463725</v>
      </c>
      <c r="AG3003">
        <v>-1.1080402699830001</v>
      </c>
      <c r="AH3003">
        <v>23.564249826558498</v>
      </c>
      <c r="AI3003">
        <v>92.315571811808098</v>
      </c>
      <c r="AJ3003">
        <v>59.310309682351402</v>
      </c>
      <c r="AK3003">
        <v>27.4244642884256</v>
      </c>
      <c r="AL3003">
        <v>77.315692917259597</v>
      </c>
      <c r="AM3003">
        <v>73.981043789554803</v>
      </c>
      <c r="AN3003">
        <v>0.99999998199459905</v>
      </c>
    </row>
    <row r="3004" spans="1:40" x14ac:dyDescent="0.25">
      <c r="A3004" t="str">
        <f>"20190303170825948"</f>
        <v>20190303170825948</v>
      </c>
      <c r="B3004" t="str">
        <f>"1551604105936309"</f>
        <v>1551604105936309</v>
      </c>
      <c r="C3004" t="s">
        <v>40</v>
      </c>
      <c r="D3004">
        <v>4.5116740000000002</v>
      </c>
      <c r="E3004">
        <v>0.63939519999999905</v>
      </c>
      <c r="F3004" t="s">
        <v>43</v>
      </c>
      <c r="G3004">
        <v>-154.8373</v>
      </c>
      <c r="H3004" s="1">
        <v>-2.3597609999999998E-6</v>
      </c>
      <c r="I3004">
        <v>138.69909999999999</v>
      </c>
      <c r="J3004">
        <v>-201.67689999999999</v>
      </c>
      <c r="K3004">
        <v>1.1078319999999999</v>
      </c>
      <c r="L3004">
        <v>212.09649999999999</v>
      </c>
      <c r="M3004">
        <v>0.91203829999999997</v>
      </c>
      <c r="N3004">
        <v>-1.6419389999999999E-2</v>
      </c>
      <c r="O3004">
        <v>-0.40977639999999999</v>
      </c>
      <c r="P3004">
        <v>0.75023240000000002</v>
      </c>
      <c r="Q3004">
        <v>0.2117417</v>
      </c>
      <c r="R3004">
        <v>-0.62635209999999997</v>
      </c>
      <c r="S3004">
        <v>1.7534029999999901</v>
      </c>
      <c r="T3004">
        <v>-4.1220779999999999E-2</v>
      </c>
      <c r="U3004">
        <v>-2.7358549999999999</v>
      </c>
      <c r="V3004">
        <v>0.27108749999999998</v>
      </c>
      <c r="W3004">
        <v>0.21849540000000001</v>
      </c>
      <c r="X3004">
        <v>0.93742809999999999</v>
      </c>
      <c r="Y3004">
        <v>0.54670289999999999</v>
      </c>
      <c r="Z3004">
        <v>-9.4313999999999995E-3</v>
      </c>
      <c r="AA3004">
        <v>0.83727359999999995</v>
      </c>
      <c r="AB3004">
        <v>30</v>
      </c>
      <c r="AC3004">
        <v>46.839599999999898</v>
      </c>
      <c r="AD3004">
        <v>-1.1078343597610001</v>
      </c>
      <c r="AE3004">
        <v>-73.397400000000005</v>
      </c>
      <c r="AF3004">
        <v>47.746181570886598</v>
      </c>
      <c r="AG3004">
        <v>-1.1078343597610001</v>
      </c>
      <c r="AH3004">
        <v>72.794056091892898</v>
      </c>
      <c r="AI3004">
        <v>90.729083807019506</v>
      </c>
      <c r="AJ3004">
        <v>56.738822912328601</v>
      </c>
      <c r="AK3004">
        <v>87.062619727862497</v>
      </c>
      <c r="AL3004">
        <v>77.3793247785934</v>
      </c>
      <c r="AM3004">
        <v>73.871073134034404</v>
      </c>
      <c r="AN3004">
        <v>1.0000000575735</v>
      </c>
    </row>
    <row r="3005" spans="1:40" x14ac:dyDescent="0.25">
      <c r="A3005" t="str">
        <f>"20190303170825975"</f>
        <v>20190303170825975</v>
      </c>
      <c r="B3005" t="str">
        <f>"1551604105966567"</f>
        <v>1551604105966567</v>
      </c>
      <c r="C3005" t="s">
        <v>40</v>
      </c>
      <c r="D3005">
        <v>4.5074839999999998</v>
      </c>
      <c r="E3005">
        <v>0.64160810000000001</v>
      </c>
      <c r="F3005" t="s">
        <v>55</v>
      </c>
      <c r="G3005">
        <v>-145.65559999999999</v>
      </c>
      <c r="H3005">
        <v>0.29975410000000002</v>
      </c>
      <c r="I3005">
        <v>117.9002</v>
      </c>
      <c r="J3005">
        <v>-201.36330000000001</v>
      </c>
      <c r="K3005">
        <v>1.1076079999999999</v>
      </c>
      <c r="L3005">
        <v>211.93360000000001</v>
      </c>
      <c r="M3005">
        <v>0.90368090000000001</v>
      </c>
      <c r="N3005">
        <v>-1.6505659999999998E-2</v>
      </c>
      <c r="O3005">
        <v>-0.4278885</v>
      </c>
      <c r="P3005">
        <v>0.73698269999999899</v>
      </c>
      <c r="Q3005">
        <v>0.2099251</v>
      </c>
      <c r="R3005">
        <v>-0.64248570000000005</v>
      </c>
      <c r="S3005">
        <v>1.6663509999999999</v>
      </c>
      <c r="T3005">
        <v>-2.403593E-2</v>
      </c>
      <c r="U3005">
        <v>-2.8018649999999998</v>
      </c>
      <c r="V3005">
        <v>0.2725649</v>
      </c>
      <c r="W3005">
        <v>0.21657879999999999</v>
      </c>
      <c r="X3005">
        <v>0.93744439999999996</v>
      </c>
      <c r="Y3005">
        <v>0.55797580000000002</v>
      </c>
      <c r="Z3005">
        <v>-1.049022E-2</v>
      </c>
      <c r="AA3005">
        <v>0.8297909</v>
      </c>
      <c r="AB3005">
        <v>30</v>
      </c>
      <c r="AC3005">
        <v>55.707700000000003</v>
      </c>
      <c r="AD3005">
        <v>-0.80785390000000001</v>
      </c>
      <c r="AE3005">
        <v>-94.0334</v>
      </c>
      <c r="AF3005">
        <v>61.144487529676297</v>
      </c>
      <c r="AG3005">
        <v>-0.80785390000000001</v>
      </c>
      <c r="AH3005">
        <v>90.585178979198503</v>
      </c>
      <c r="AI3005">
        <v>90.423513032376704</v>
      </c>
      <c r="AJ3005">
        <v>55.980870872288698</v>
      </c>
      <c r="AK3005">
        <v>109.29307221358501</v>
      </c>
      <c r="AL3005">
        <v>77.491831501376893</v>
      </c>
      <c r="AM3005">
        <v>73.788044960914704</v>
      </c>
      <c r="AN3005">
        <v>1.0000000022064</v>
      </c>
    </row>
    <row r="3006" spans="1:40" x14ac:dyDescent="0.25">
      <c r="A3006" t="str">
        <f>"20190303170825997"</f>
        <v>20190303170825997</v>
      </c>
      <c r="B3006" t="str">
        <f>"1551604105986085"</f>
        <v>1551604105986085</v>
      </c>
      <c r="C3006" t="s">
        <v>40</v>
      </c>
      <c r="D3006">
        <v>4.4746480000000002</v>
      </c>
      <c r="E3006">
        <v>0.64206960000000002</v>
      </c>
      <c r="F3006" t="s">
        <v>55</v>
      </c>
      <c r="G3006">
        <v>-148.78960000000001</v>
      </c>
      <c r="H3006">
        <v>0.66388800000000003</v>
      </c>
      <c r="I3006">
        <v>117.9003</v>
      </c>
      <c r="J3006">
        <v>-201.09299999999999</v>
      </c>
      <c r="K3006">
        <v>1.1074329999999999</v>
      </c>
      <c r="L3006">
        <v>211.7867</v>
      </c>
      <c r="M3006">
        <v>0.89599999999999902</v>
      </c>
      <c r="N3006">
        <v>-1.6579279999999998E-2</v>
      </c>
      <c r="O3006">
        <v>-0.44374469999999999</v>
      </c>
      <c r="P3006">
        <v>0.72498560000000001</v>
      </c>
      <c r="Q3006">
        <v>0.20856420000000001</v>
      </c>
      <c r="R3006">
        <v>-0.65642739999999999</v>
      </c>
      <c r="S3006">
        <v>1.5920559999999999</v>
      </c>
      <c r="T3006">
        <v>-1.343656E-2</v>
      </c>
      <c r="U3006">
        <v>-2.8475489999999999</v>
      </c>
      <c r="V3006">
        <v>0.27380520000000003</v>
      </c>
      <c r="W3006">
        <v>0.21513599999999999</v>
      </c>
      <c r="X3006">
        <v>0.9374152</v>
      </c>
      <c r="Y3006">
        <v>0.56554309999999997</v>
      </c>
      <c r="Z3006">
        <v>-1.1279529999999999E-2</v>
      </c>
      <c r="AA3006">
        <v>0.82464159999999997</v>
      </c>
      <c r="AB3006">
        <v>30</v>
      </c>
      <c r="AC3006">
        <v>52.303399999999897</v>
      </c>
      <c r="AD3006">
        <v>-0.44354499999999902</v>
      </c>
      <c r="AE3006">
        <v>-93.886399999999995</v>
      </c>
      <c r="AF3006">
        <v>60.920186540424197</v>
      </c>
      <c r="AG3006">
        <v>-0.44354499999999902</v>
      </c>
      <c r="AH3006">
        <v>88.536089670361093</v>
      </c>
      <c r="AI3006">
        <v>90.236465935401199</v>
      </c>
      <c r="AJ3006">
        <v>55.468797075547201</v>
      </c>
      <c r="AK3006">
        <v>107.471414964191</v>
      </c>
      <c r="AL3006">
        <v>77.576494027337304</v>
      </c>
      <c r="AM3006">
        <v>73.717692348511605</v>
      </c>
      <c r="AN3006">
        <v>1.0000000216170299</v>
      </c>
    </row>
    <row r="3007" spans="1:40" x14ac:dyDescent="0.25">
      <c r="A3007" t="str">
        <f>"20190303170826017"</f>
        <v>20190303170826017</v>
      </c>
      <c r="B3007" t="str">
        <f>"1551604106006582"</f>
        <v>1551604106006582</v>
      </c>
      <c r="C3007" t="s">
        <v>40</v>
      </c>
      <c r="D3007">
        <v>4.4970559999999997</v>
      </c>
      <c r="E3007">
        <v>0.64254809999999996</v>
      </c>
      <c r="F3007" t="s">
        <v>55</v>
      </c>
      <c r="G3007">
        <v>-151.02889999999999</v>
      </c>
      <c r="H3007">
        <v>0.72307109999999997</v>
      </c>
      <c r="I3007">
        <v>117.9003</v>
      </c>
      <c r="J3007">
        <v>-200.858</v>
      </c>
      <c r="K3007">
        <v>1.1073</v>
      </c>
      <c r="L3007">
        <v>211.65379999999999</v>
      </c>
      <c r="M3007">
        <v>0.88894280000000003</v>
      </c>
      <c r="N3007">
        <v>-1.6641920000000001E-2</v>
      </c>
      <c r="O3007">
        <v>-0.45771590000000001</v>
      </c>
      <c r="P3007">
        <v>0.71452320000000002</v>
      </c>
      <c r="Q3007">
        <v>0.2094463</v>
      </c>
      <c r="R3007">
        <v>-0.66752460000000002</v>
      </c>
      <c r="S3007">
        <v>1.534988</v>
      </c>
      <c r="T3007">
        <v>-1.178443E-2</v>
      </c>
      <c r="U3007">
        <v>-2.8786010000000002</v>
      </c>
      <c r="V3007">
        <v>0.2738003</v>
      </c>
      <c r="W3007">
        <v>0.21598619999999999</v>
      </c>
      <c r="X3007">
        <v>0.93722110000000003</v>
      </c>
      <c r="Y3007">
        <v>0.56905380000000005</v>
      </c>
      <c r="Z3007">
        <v>-1.1588650000000001E-2</v>
      </c>
      <c r="AA3007">
        <v>0.82221860000000002</v>
      </c>
      <c r="AB3007">
        <v>30</v>
      </c>
      <c r="AC3007">
        <v>49.829099999999997</v>
      </c>
      <c r="AD3007">
        <v>-0.38422889999999998</v>
      </c>
      <c r="AE3007">
        <v>-93.753500000000003</v>
      </c>
      <c r="AF3007">
        <v>60.5415158144746</v>
      </c>
      <c r="AG3007">
        <v>-0.38422889999999998</v>
      </c>
      <c r="AH3007">
        <v>87.218619422980893</v>
      </c>
      <c r="AI3007">
        <v>90.207349640445997</v>
      </c>
      <c r="AJ3007">
        <v>55.2341231840321</v>
      </c>
      <c r="AK3007">
        <v>106.172078923852</v>
      </c>
      <c r="AL3007">
        <v>77.526608296720795</v>
      </c>
      <c r="AM3007">
        <v>73.714774947064498</v>
      </c>
      <c r="AN3007">
        <v>1.00000001657787</v>
      </c>
    </row>
    <row r="3008" spans="1:40" x14ac:dyDescent="0.25">
      <c r="A3008" t="str">
        <f>"20190303170826036"</f>
        <v>20190303170826036</v>
      </c>
      <c r="B3008" t="str">
        <f>"1551604106026102"</f>
        <v>1551604106026102</v>
      </c>
      <c r="C3008" t="s">
        <v>40</v>
      </c>
      <c r="D3008">
        <v>4.5215489999999896</v>
      </c>
      <c r="E3008">
        <v>0.64244389999999996</v>
      </c>
      <c r="F3008" t="s">
        <v>55</v>
      </c>
      <c r="G3008">
        <v>-152.8544</v>
      </c>
      <c r="H3008">
        <v>0.87076569999999998</v>
      </c>
      <c r="I3008">
        <v>117.9004</v>
      </c>
      <c r="J3008">
        <v>-200.63079999999999</v>
      </c>
      <c r="K3008">
        <v>1.1071799999999901</v>
      </c>
      <c r="L3008">
        <v>211.5205</v>
      </c>
      <c r="M3008">
        <v>0.88177150000000004</v>
      </c>
      <c r="N3008">
        <v>-1.670021E-2</v>
      </c>
      <c r="O3008">
        <v>-0.4713812</v>
      </c>
      <c r="P3008">
        <v>0.70426919999999904</v>
      </c>
      <c r="Q3008">
        <v>0.21078839999999999</v>
      </c>
      <c r="R3008">
        <v>-0.67791869999999999</v>
      </c>
      <c r="S3008">
        <v>1.487198</v>
      </c>
      <c r="T3008">
        <v>-7.3277949999999998E-3</v>
      </c>
      <c r="U3008">
        <v>-2.9045719999999999</v>
      </c>
      <c r="V3008">
        <v>0.27335999999999999</v>
      </c>
      <c r="W3008">
        <v>0.21731619999999999</v>
      </c>
      <c r="X3008">
        <v>0.93704219999999905</v>
      </c>
      <c r="Y3008">
        <v>0.570079</v>
      </c>
      <c r="Z3008">
        <v>-1.204416E-2</v>
      </c>
      <c r="AA3008">
        <v>0.82150159999999905</v>
      </c>
      <c r="AB3008">
        <v>30</v>
      </c>
      <c r="AC3008">
        <v>47.776400000000002</v>
      </c>
      <c r="AD3008">
        <v>-0.23641429999999899</v>
      </c>
      <c r="AE3008">
        <v>-93.620099999999994</v>
      </c>
      <c r="AF3008">
        <v>60.038705092387502</v>
      </c>
      <c r="AG3008">
        <v>-0.23641429999999899</v>
      </c>
      <c r="AH3008">
        <v>86.270212873303706</v>
      </c>
      <c r="AI3008">
        <v>90.128875278750201</v>
      </c>
      <c r="AJ3008">
        <v>55.164482756422899</v>
      </c>
      <c r="AK3008">
        <v>105.105906732671</v>
      </c>
      <c r="AL3008">
        <v>77.448551428876399</v>
      </c>
      <c r="AM3008">
        <v>73.736638246241696</v>
      </c>
      <c r="AN3008">
        <v>1.0000000524816299</v>
      </c>
    </row>
    <row r="3009" spans="1:40" x14ac:dyDescent="0.25">
      <c r="A3009" t="str">
        <f>"20190303170826062"</f>
        <v>20190303170826062</v>
      </c>
      <c r="B3009" t="str">
        <f>"1551604106056358"</f>
        <v>1551604106056358</v>
      </c>
      <c r="C3009" t="s">
        <v>40</v>
      </c>
      <c r="D3009">
        <v>4.4874989999999997</v>
      </c>
      <c r="E3009">
        <v>0.6413605</v>
      </c>
      <c r="F3009" t="s">
        <v>55</v>
      </c>
      <c r="G3009">
        <v>-154.39940000000001</v>
      </c>
      <c r="H3009">
        <v>0.98552799999999996</v>
      </c>
      <c r="I3009">
        <v>117.9004</v>
      </c>
      <c r="J3009">
        <v>-200.3306</v>
      </c>
      <c r="K3009">
        <v>1.1070120000000001</v>
      </c>
      <c r="L3009">
        <v>211.33670000000001</v>
      </c>
      <c r="M3009">
        <v>0.87173639999999997</v>
      </c>
      <c r="N3009">
        <v>-1.6774020000000001E-2</v>
      </c>
      <c r="O3009">
        <v>-0.48968800000000001</v>
      </c>
      <c r="P3009">
        <v>0.68984380000000001</v>
      </c>
      <c r="Q3009">
        <v>0.2103054</v>
      </c>
      <c r="R3009">
        <v>-0.69273899999999999</v>
      </c>
      <c r="S3009">
        <v>1.444733</v>
      </c>
      <c r="T3009">
        <v>-3.8013460000000002E-3</v>
      </c>
      <c r="U3009">
        <v>-2.9256289999999998</v>
      </c>
      <c r="V3009">
        <v>0.27371329999999999</v>
      </c>
      <c r="W3009">
        <v>0.2167934</v>
      </c>
      <c r="X3009">
        <v>0.93706009999999995</v>
      </c>
      <c r="Y3009">
        <v>0.56485649999999998</v>
      </c>
      <c r="Z3009">
        <v>-1.248546E-2</v>
      </c>
      <c r="AA3009">
        <v>0.82509469999999996</v>
      </c>
      <c r="AB3009">
        <v>30</v>
      </c>
      <c r="AC3009">
        <v>45.931199999999897</v>
      </c>
      <c r="AD3009">
        <v>-0.12148399999999999</v>
      </c>
      <c r="AE3009">
        <v>-93.436300000000003</v>
      </c>
      <c r="AF3009">
        <v>58.968080838845502</v>
      </c>
      <c r="AG3009">
        <v>-0.12148399999999999</v>
      </c>
      <c r="AH3009">
        <v>85.806487031279502</v>
      </c>
      <c r="AI3009">
        <v>90.066853957700403</v>
      </c>
      <c r="AJ3009">
        <v>55.502305644304997</v>
      </c>
      <c r="AK3009">
        <v>104.11533284213201</v>
      </c>
      <c r="AL3009">
        <v>77.479236432719901</v>
      </c>
      <c r="AM3009">
        <v>73.717026466753197</v>
      </c>
      <c r="AN3009">
        <v>0.99999998994622996</v>
      </c>
    </row>
    <row r="3010" spans="1:40" x14ac:dyDescent="0.25">
      <c r="A3010" t="str">
        <f>"20190303170826082"</f>
        <v>20190303170826082</v>
      </c>
      <c r="B3010" t="str">
        <f>"1551604106075878"</f>
        <v>1551604106075878</v>
      </c>
      <c r="C3010" t="s">
        <v>40</v>
      </c>
      <c r="D3010">
        <v>4.4836850000000004</v>
      </c>
      <c r="E3010">
        <v>0.64038809999999902</v>
      </c>
      <c r="F3010" t="s">
        <v>55</v>
      </c>
      <c r="G3010">
        <v>-156.79040000000001</v>
      </c>
      <c r="H3010">
        <v>0.94142009999999998</v>
      </c>
      <c r="I3010">
        <v>118.883</v>
      </c>
      <c r="J3010">
        <v>-200.09960000000001</v>
      </c>
      <c r="K3010">
        <v>1.1069</v>
      </c>
      <c r="L3010">
        <v>211.1892</v>
      </c>
      <c r="M3010">
        <v>0.86356959999999905</v>
      </c>
      <c r="N3010">
        <v>-1.6829070000000002E-2</v>
      </c>
      <c r="O3010">
        <v>-0.50394870000000003</v>
      </c>
      <c r="P3010">
        <v>0.67830649999999904</v>
      </c>
      <c r="Q3010">
        <v>0.20886160000000001</v>
      </c>
      <c r="R3010">
        <v>-0.70446980000000003</v>
      </c>
      <c r="S3010">
        <v>1.388855</v>
      </c>
      <c r="T3010">
        <v>-5.281806E-3</v>
      </c>
      <c r="U3010">
        <v>-2.949112</v>
      </c>
      <c r="V3010">
        <v>0.27417140000000001</v>
      </c>
      <c r="W3010">
        <v>0.21531800000000001</v>
      </c>
      <c r="X3010">
        <v>0.9372663</v>
      </c>
      <c r="Y3010">
        <v>0.56660180000000004</v>
      </c>
      <c r="Z3010">
        <v>-1.2616E-2</v>
      </c>
      <c r="AA3010">
        <v>0.82389519999999905</v>
      </c>
      <c r="AB3010">
        <v>30</v>
      </c>
      <c r="AC3010">
        <v>43.309199999999997</v>
      </c>
      <c r="AD3010">
        <v>-0.16547990000000001</v>
      </c>
      <c r="AE3010">
        <v>-92.306200000000004</v>
      </c>
      <c r="AF3010">
        <v>57.895260802607702</v>
      </c>
      <c r="AG3010">
        <v>-0.16547990000000001</v>
      </c>
      <c r="AH3010">
        <v>83.929764521889396</v>
      </c>
      <c r="AI3010">
        <v>90.092989299136306</v>
      </c>
      <c r="AJ3010">
        <v>55.401852750539497</v>
      </c>
      <c r="AK3010">
        <v>101.961237633225</v>
      </c>
      <c r="AL3010">
        <v>77.565815133492904</v>
      </c>
      <c r="AM3010">
        <v>73.694619025763899</v>
      </c>
      <c r="AN3010">
        <v>0.99999995740882397</v>
      </c>
    </row>
    <row r="3011" spans="1:40" x14ac:dyDescent="0.25">
      <c r="A3011" t="str">
        <f>"20190303170826106"</f>
        <v>20190303170826106</v>
      </c>
      <c r="B3011" t="str">
        <f>"1551604106095958"</f>
        <v>1551604106095958</v>
      </c>
      <c r="C3011" t="s">
        <v>40</v>
      </c>
      <c r="D3011">
        <v>4.4819420000000001</v>
      </c>
      <c r="E3011">
        <v>0.63944829999999997</v>
      </c>
      <c r="F3011" t="s">
        <v>55</v>
      </c>
      <c r="G3011">
        <v>-157.4777</v>
      </c>
      <c r="H3011">
        <v>0.81770279999999995</v>
      </c>
      <c r="I3011">
        <v>117.1508</v>
      </c>
      <c r="J3011">
        <v>-199.83080000000001</v>
      </c>
      <c r="K3011">
        <v>1.1067819999999999</v>
      </c>
      <c r="L3011">
        <v>211.01070000000001</v>
      </c>
      <c r="M3011">
        <v>0.85355809999999999</v>
      </c>
      <c r="N3011">
        <v>-1.6891130000000001E-2</v>
      </c>
      <c r="O3011">
        <v>-0.52072379999999996</v>
      </c>
      <c r="P3011">
        <v>0.66455200000000003</v>
      </c>
      <c r="Q3011">
        <v>0.20938080000000001</v>
      </c>
      <c r="R3011">
        <v>-0.7173079</v>
      </c>
      <c r="S3011">
        <v>1.3445739999999999</v>
      </c>
      <c r="T3011">
        <v>-9.1228490000000006E-3</v>
      </c>
      <c r="U3011">
        <v>-2.966583</v>
      </c>
      <c r="V3011">
        <v>0.27394210000000002</v>
      </c>
      <c r="W3011">
        <v>0.2158274</v>
      </c>
      <c r="X3011">
        <v>0.93721620000000005</v>
      </c>
      <c r="Y3011">
        <v>0.56250159999999905</v>
      </c>
      <c r="Z3011">
        <v>-1.2515190000000001E-2</v>
      </c>
      <c r="AA3011">
        <v>0.82670149999999998</v>
      </c>
      <c r="AB3011">
        <v>29</v>
      </c>
      <c r="AC3011">
        <v>42.353099999999998</v>
      </c>
      <c r="AD3011">
        <v>-0.28907919999999898</v>
      </c>
      <c r="AE3011">
        <v>-93.859899999999996</v>
      </c>
      <c r="AF3011">
        <v>58.068437039902101</v>
      </c>
      <c r="AG3011">
        <v>-0.28907919999999898</v>
      </c>
      <c r="AH3011">
        <v>85.037376463358299</v>
      </c>
      <c r="AI3011">
        <v>90.160848804055902</v>
      </c>
      <c r="AJ3011">
        <v>55.672479485735003</v>
      </c>
      <c r="AK3011">
        <v>102.97272620850499</v>
      </c>
      <c r="AL3011">
        <v>77.535926099158701</v>
      </c>
      <c r="AM3011">
        <v>73.706707516606599</v>
      </c>
      <c r="AN3011">
        <v>0.99999997314280398</v>
      </c>
    </row>
    <row r="3012" spans="1:40" x14ac:dyDescent="0.25">
      <c r="A3012" t="str">
        <f>"20190303170826128"</f>
        <v>20190303170826128</v>
      </c>
      <c r="B3012" t="str">
        <f>"1551604106116453"</f>
        <v>1551604106116453</v>
      </c>
      <c r="C3012" t="s">
        <v>40</v>
      </c>
      <c r="D3012">
        <v>4.4633099999999999</v>
      </c>
      <c r="E3012">
        <v>0.63891750000000003</v>
      </c>
      <c r="F3012" t="s">
        <v>55</v>
      </c>
      <c r="G3012">
        <v>-158.7011</v>
      </c>
      <c r="H3012">
        <v>0.90833379999999997</v>
      </c>
      <c r="I3012">
        <v>115.92529999999999</v>
      </c>
      <c r="J3012">
        <v>-199.59469999999999</v>
      </c>
      <c r="K3012">
        <v>1.106692</v>
      </c>
      <c r="L3012">
        <v>210.84729999999999</v>
      </c>
      <c r="M3012">
        <v>0.844280699999999</v>
      </c>
      <c r="N3012">
        <v>-1.694385E-2</v>
      </c>
      <c r="O3012">
        <v>-0.53563309999999997</v>
      </c>
      <c r="P3012">
        <v>0.65296869999999996</v>
      </c>
      <c r="Q3012">
        <v>0.21122659999999999</v>
      </c>
      <c r="R3012">
        <v>-0.72733400000000004</v>
      </c>
      <c r="S3012">
        <v>1.292084</v>
      </c>
      <c r="T3012">
        <v>-6.2339309999999998E-3</v>
      </c>
      <c r="U3012">
        <v>-2.9870909999999999</v>
      </c>
      <c r="V3012">
        <v>0.27216639999999998</v>
      </c>
      <c r="W3012">
        <v>0.21772659999999999</v>
      </c>
      <c r="X3012">
        <v>0.93729430000000002</v>
      </c>
      <c r="Y3012">
        <v>0.56228389999999995</v>
      </c>
      <c r="Z3012">
        <v>-1.2952740000000001E-2</v>
      </c>
      <c r="AA3012">
        <v>0.82684279999999999</v>
      </c>
      <c r="AB3012">
        <v>29</v>
      </c>
      <c r="AC3012">
        <v>40.8935999999999</v>
      </c>
      <c r="AD3012">
        <v>-0.19835820000000001</v>
      </c>
      <c r="AE3012">
        <v>-94.921999999999997</v>
      </c>
      <c r="AF3012">
        <v>58.2449993333327</v>
      </c>
      <c r="AG3012">
        <v>-0.19835820000000001</v>
      </c>
      <c r="AH3012">
        <v>85.3809930025635</v>
      </c>
      <c r="AI3012">
        <v>90.109960818420603</v>
      </c>
      <c r="AJ3012">
        <v>55.699068144489203</v>
      </c>
      <c r="AK3012">
        <v>103.355857402564</v>
      </c>
      <c r="AL3012">
        <v>77.424459893802805</v>
      </c>
      <c r="AM3012">
        <v>73.808048218974605</v>
      </c>
      <c r="AN3012">
        <v>1.0000000132244999</v>
      </c>
    </row>
    <row r="3013" spans="1:40" x14ac:dyDescent="0.25">
      <c r="A3013" t="str">
        <f>"20190303170826150"</f>
        <v>20190303170826150</v>
      </c>
      <c r="B3013" t="str">
        <f>"1551604106135973"</f>
        <v>1551604106135973</v>
      </c>
      <c r="C3013" t="s">
        <v>40</v>
      </c>
      <c r="D3013">
        <v>4.4929110000000003</v>
      </c>
      <c r="E3013">
        <v>0.62297389999999997</v>
      </c>
      <c r="F3013" t="s">
        <v>55</v>
      </c>
      <c r="G3013">
        <v>-159.73240000000001</v>
      </c>
      <c r="H3013">
        <v>1.0855669999999999</v>
      </c>
      <c r="I3013">
        <v>114.89239999999999</v>
      </c>
      <c r="J3013">
        <v>-199.36240000000001</v>
      </c>
      <c r="K3013">
        <v>1.106603</v>
      </c>
      <c r="L3013">
        <v>210.68020000000001</v>
      </c>
      <c r="M3013">
        <v>0.83469899999999997</v>
      </c>
      <c r="N3013">
        <v>-1.69938E-2</v>
      </c>
      <c r="O3013">
        <v>-0.5504445</v>
      </c>
      <c r="P3013">
        <v>0.64056899999999894</v>
      </c>
      <c r="Q3013">
        <v>0.21341080000000001</v>
      </c>
      <c r="R3013">
        <v>-0.73764980000000002</v>
      </c>
      <c r="S3013">
        <v>1.2480770000000001</v>
      </c>
      <c r="T3013">
        <v>-6.6113469999999998E-4</v>
      </c>
      <c r="U3013">
        <v>-3.004318</v>
      </c>
      <c r="V3013">
        <v>0.27108690000000002</v>
      </c>
      <c r="W3013">
        <v>0.21993860000000001</v>
      </c>
      <c r="X3013">
        <v>0.9370906</v>
      </c>
      <c r="Y3013">
        <v>0.55971130000000002</v>
      </c>
      <c r="Z3013">
        <v>-1.363814E-2</v>
      </c>
      <c r="AA3013">
        <v>0.82857549999999902</v>
      </c>
      <c r="AB3013">
        <v>29</v>
      </c>
      <c r="AC3013">
        <v>39.630000000000003</v>
      </c>
      <c r="AD3013">
        <v>-2.1035999999999999E-2</v>
      </c>
      <c r="AE3013">
        <v>-95.787800000000004</v>
      </c>
      <c r="AF3013">
        <v>58.148249450453001</v>
      </c>
      <c r="AG3013">
        <v>-2.1035999999999999E-2</v>
      </c>
      <c r="AH3013">
        <v>85.817362635199601</v>
      </c>
      <c r="AI3013">
        <v>90.011626945347402</v>
      </c>
      <c r="AJ3013">
        <v>55.879163141467302</v>
      </c>
      <c r="AK3013">
        <v>103.662139117069</v>
      </c>
      <c r="AL3013">
        <v>77.294572570934406</v>
      </c>
      <c r="AM3013">
        <v>73.865600244355306</v>
      </c>
      <c r="AN3013">
        <v>0.99999994386496305</v>
      </c>
    </row>
    <row r="3014" spans="1:40" x14ac:dyDescent="0.25">
      <c r="A3014" t="str">
        <f>"20190303170826192"</f>
        <v>20190303170826192</v>
      </c>
      <c r="B3014" t="str">
        <f>"1551604106186358"</f>
        <v>1551604106186358</v>
      </c>
      <c r="C3014" t="s">
        <v>40</v>
      </c>
      <c r="D3014">
        <v>4.4542510000000002</v>
      </c>
      <c r="E3014">
        <v>0.6193535</v>
      </c>
      <c r="F3014" t="s">
        <v>55</v>
      </c>
      <c r="G3014">
        <v>-157.86959999999999</v>
      </c>
      <c r="H3014">
        <v>0.50836749999999997</v>
      </c>
      <c r="I3014">
        <v>116.758</v>
      </c>
      <c r="J3014">
        <v>-198.92230000000001</v>
      </c>
      <c r="K3014">
        <v>1.1064480000000001</v>
      </c>
      <c r="L3014">
        <v>210.3451</v>
      </c>
      <c r="M3014">
        <v>0.81522759999999905</v>
      </c>
      <c r="N3014">
        <v>-1.708148E-2</v>
      </c>
      <c r="O3014">
        <v>-0.57888879999999998</v>
      </c>
      <c r="P3014">
        <v>0.61402889999999999</v>
      </c>
      <c r="Q3014">
        <v>0.21205740000000001</v>
      </c>
      <c r="R3014">
        <v>-0.76026329999999998</v>
      </c>
      <c r="S3014">
        <v>1.3002469999999999</v>
      </c>
      <c r="T3014">
        <v>-1.874638E-2</v>
      </c>
      <c r="U3014">
        <v>-2.9432070000000001</v>
      </c>
      <c r="V3014">
        <v>0.27233000000000002</v>
      </c>
      <c r="W3014">
        <v>0.21853359999999999</v>
      </c>
      <c r="X3014">
        <v>0.93705890000000003</v>
      </c>
      <c r="Y3014">
        <v>0.51177589999999995</v>
      </c>
      <c r="Z3014">
        <v>-1.165909E-2</v>
      </c>
      <c r="AA3014">
        <v>0.85903989999999997</v>
      </c>
      <c r="AB3014">
        <v>29</v>
      </c>
      <c r="AC3014">
        <v>41.052700000000002</v>
      </c>
      <c r="AD3014">
        <v>-0.59808049999999902</v>
      </c>
      <c r="AE3014">
        <v>-93.587100000000007</v>
      </c>
      <c r="AF3014">
        <v>52.535702959255602</v>
      </c>
      <c r="AG3014">
        <v>-0.59808049999999902</v>
      </c>
      <c r="AH3014">
        <v>87.653602404348902</v>
      </c>
      <c r="AI3014">
        <v>90.335321556562803</v>
      </c>
      <c r="AJ3014">
        <v>59.0633870124244</v>
      </c>
      <c r="AK3014">
        <v>102.193501751174</v>
      </c>
      <c r="AL3014">
        <v>77.377080787645596</v>
      </c>
      <c r="AM3014">
        <v>73.794969274106805</v>
      </c>
      <c r="AN3014">
        <v>0.99999997264908402</v>
      </c>
    </row>
    <row r="3015" spans="1:40" x14ac:dyDescent="0.25">
      <c r="A3015" t="str">
        <f>"20190303170826214"</f>
        <v>20190303170826214</v>
      </c>
      <c r="B3015" t="str">
        <f>"1551604106205865"</f>
        <v>1551604106205865</v>
      </c>
      <c r="C3015" t="s">
        <v>40</v>
      </c>
      <c r="D3015">
        <v>4.4410730000000003</v>
      </c>
      <c r="E3015">
        <v>0.61088199999999904</v>
      </c>
      <c r="F3015" t="s">
        <v>55</v>
      </c>
      <c r="G3015">
        <v>-159.74629999999999</v>
      </c>
      <c r="H3015">
        <v>0.14898510000000001</v>
      </c>
      <c r="I3015">
        <v>114.87779999999999</v>
      </c>
      <c r="J3015">
        <v>-198.66929999999999</v>
      </c>
      <c r="K3015">
        <v>1.106379</v>
      </c>
      <c r="L3015">
        <v>210.14070000000001</v>
      </c>
      <c r="M3015">
        <v>0.80321129999999996</v>
      </c>
      <c r="N3015">
        <v>-1.712553E-2</v>
      </c>
      <c r="O3015">
        <v>-0.59544809999999904</v>
      </c>
      <c r="P3015">
        <v>0.59850380000000003</v>
      </c>
      <c r="Q3015">
        <v>0.2101317</v>
      </c>
      <c r="R3015">
        <v>-0.77307049999999999</v>
      </c>
      <c r="S3015">
        <v>1.2187650000000001</v>
      </c>
      <c r="T3015">
        <v>-2.978635E-2</v>
      </c>
      <c r="U3015">
        <v>-2.969986</v>
      </c>
      <c r="V3015">
        <v>0.27252219999999999</v>
      </c>
      <c r="W3015">
        <v>0.21661</v>
      </c>
      <c r="X3015">
        <v>0.93744959999999999</v>
      </c>
      <c r="Y3015">
        <v>0.51699600000000001</v>
      </c>
      <c r="Z3015">
        <v>-1.058313E-2</v>
      </c>
      <c r="AA3015">
        <v>0.85592239999999997</v>
      </c>
      <c r="AB3015">
        <v>29</v>
      </c>
      <c r="AC3015">
        <v>38.923000000000002</v>
      </c>
      <c r="AD3015">
        <v>-0.95739390000000002</v>
      </c>
      <c r="AE3015">
        <v>-95.262900000000002</v>
      </c>
      <c r="AF3015">
        <v>53.342814794983497</v>
      </c>
      <c r="AG3015">
        <v>-0.95739390000000002</v>
      </c>
      <c r="AH3015">
        <v>87.992790539774703</v>
      </c>
      <c r="AI3015">
        <v>90.533077010910802</v>
      </c>
      <c r="AJ3015">
        <v>58.7750016362994</v>
      </c>
      <c r="AK3015">
        <v>102.90337059741201</v>
      </c>
      <c r="AL3015">
        <v>77.490000340586803</v>
      </c>
      <c r="AM3015">
        <v>73.790536541892806</v>
      </c>
      <c r="AN3015">
        <v>0.9999999970665</v>
      </c>
    </row>
    <row r="3016" spans="1:40" x14ac:dyDescent="0.25">
      <c r="A3016" t="str">
        <f>"20190303170826239"</f>
        <v>20190303170826239</v>
      </c>
      <c r="B3016" t="str">
        <f>"1551604106226361"</f>
        <v>1551604106226361</v>
      </c>
      <c r="C3016" t="s">
        <v>40</v>
      </c>
      <c r="D3016">
        <v>4.46068</v>
      </c>
      <c r="E3016">
        <v>0.60791669999999998</v>
      </c>
      <c r="F3016" t="s">
        <v>43</v>
      </c>
      <c r="G3016">
        <v>-178.85140000000001</v>
      </c>
      <c r="H3016">
        <v>7.998595E-2</v>
      </c>
      <c r="I3016">
        <v>161.83199999999999</v>
      </c>
      <c r="J3016">
        <v>-198.4194</v>
      </c>
      <c r="K3016">
        <v>1.1063350000000001</v>
      </c>
      <c r="L3016">
        <v>209.93039999999999</v>
      </c>
      <c r="M3016">
        <v>0.79073959999999999</v>
      </c>
      <c r="N3016">
        <v>-1.7163290000000001E-2</v>
      </c>
      <c r="O3016">
        <v>-0.61191200000000001</v>
      </c>
      <c r="P3016">
        <v>0.58189690000000005</v>
      </c>
      <c r="Q3016">
        <v>0.2115552</v>
      </c>
      <c r="R3016">
        <v>-0.78526459999999998</v>
      </c>
      <c r="S3016">
        <v>1.2135469999999999</v>
      </c>
      <c r="T3016">
        <v>-6.2850950000000003E-2</v>
      </c>
      <c r="U3016">
        <v>-2.9581759999999999</v>
      </c>
      <c r="V3016">
        <v>0.27290609999999998</v>
      </c>
      <c r="W3016">
        <v>0.2180213</v>
      </c>
      <c r="X3016">
        <v>0.93701060000000003</v>
      </c>
      <c r="Y3016">
        <v>0.49921339999999997</v>
      </c>
      <c r="Z3016">
        <v>-6.2647980000000002E-3</v>
      </c>
      <c r="AA3016">
        <v>0.86645640000000002</v>
      </c>
      <c r="AB3016">
        <v>29</v>
      </c>
      <c r="AC3016">
        <v>19.567999999999898</v>
      </c>
      <c r="AD3016">
        <v>-1.0263490500000001</v>
      </c>
      <c r="AE3016">
        <v>-48.098399999999998</v>
      </c>
      <c r="AF3016">
        <v>26.053076623216199</v>
      </c>
      <c r="AG3016">
        <v>-1.0263490500000001</v>
      </c>
      <c r="AH3016">
        <v>44.894257474967397</v>
      </c>
      <c r="AI3016">
        <v>91.132769649728402</v>
      </c>
      <c r="AJ3016">
        <v>59.872510058934097</v>
      </c>
      <c r="AK3016">
        <v>51.9163803450922</v>
      </c>
      <c r="AL3016">
        <v>77.407158346346904</v>
      </c>
      <c r="AM3016">
        <v>73.7616999751382</v>
      </c>
      <c r="AN3016">
        <v>0.99999994559162797</v>
      </c>
    </row>
    <row r="3017" spans="1:40" x14ac:dyDescent="0.25">
      <c r="A3017" t="str">
        <f>"20190303170826259"</f>
        <v>20190303170826259</v>
      </c>
      <c r="B3017" t="str">
        <f>"1551604106245881"</f>
        <v>1551604106245881</v>
      </c>
      <c r="C3017" t="s">
        <v>40</v>
      </c>
      <c r="D3017">
        <v>4.4404599999999999</v>
      </c>
      <c r="E3017">
        <v>0.6070721</v>
      </c>
      <c r="F3017" t="s">
        <v>43</v>
      </c>
      <c r="G3017">
        <v>-179.13849999999999</v>
      </c>
      <c r="H3017">
        <v>7.998574E-2</v>
      </c>
      <c r="I3017">
        <v>161.0264</v>
      </c>
      <c r="J3017">
        <v>-198.22</v>
      </c>
      <c r="K3017">
        <v>1.1063179999999999</v>
      </c>
      <c r="L3017">
        <v>209.756</v>
      </c>
      <c r="M3017">
        <v>0.78033549999999996</v>
      </c>
      <c r="N3017">
        <v>-1.7189340000000001E-2</v>
      </c>
      <c r="O3017">
        <v>-0.62512469999999998</v>
      </c>
      <c r="P3017">
        <v>0.56715930000000003</v>
      </c>
      <c r="Q3017">
        <v>0.21421750000000001</v>
      </c>
      <c r="R3017">
        <v>-0.79526189999999997</v>
      </c>
      <c r="S3017">
        <v>1.170776</v>
      </c>
      <c r="T3017">
        <v>-6.2322139999999998E-2</v>
      </c>
      <c r="U3017">
        <v>-2.9695589999999998</v>
      </c>
      <c r="V3017">
        <v>0.27417039999999998</v>
      </c>
      <c r="W3017">
        <v>0.2206321</v>
      </c>
      <c r="X3017">
        <v>0.93603000000000003</v>
      </c>
      <c r="Y3017">
        <v>0.4965541</v>
      </c>
      <c r="Z3017">
        <v>-6.1591930000000003E-3</v>
      </c>
      <c r="AA3017">
        <v>0.86798390000000003</v>
      </c>
      <c r="AB3017">
        <v>29</v>
      </c>
      <c r="AC3017">
        <v>19.081499999999998</v>
      </c>
      <c r="AD3017">
        <v>-1.02633226</v>
      </c>
      <c r="AE3017">
        <v>-48.729599999999898</v>
      </c>
      <c r="AF3017">
        <v>26.090942875646299</v>
      </c>
      <c r="AG3017">
        <v>-1.02633226</v>
      </c>
      <c r="AH3017">
        <v>45.341314022284401</v>
      </c>
      <c r="AI3017">
        <v>91.123961550972496</v>
      </c>
      <c r="AJ3017">
        <v>60.082405213337701</v>
      </c>
      <c r="AK3017">
        <v>52.322322342529397</v>
      </c>
      <c r="AL3017">
        <v>77.253838630161098</v>
      </c>
      <c r="AM3017">
        <v>73.674285595539402</v>
      </c>
      <c r="AN3017">
        <v>1.0000000463432801</v>
      </c>
    </row>
    <row r="3018" spans="1:40" x14ac:dyDescent="0.25">
      <c r="A3018" t="str">
        <f>"20190303170826282"</f>
        <v>20190303170826282</v>
      </c>
      <c r="B3018" t="str">
        <f>"1551604106276137"</f>
        <v>1551604106276137</v>
      </c>
      <c r="C3018" t="s">
        <v>40</v>
      </c>
      <c r="D3018">
        <v>4.46014</v>
      </c>
      <c r="E3018">
        <v>0.59816599999999998</v>
      </c>
      <c r="F3018" t="s">
        <v>58</v>
      </c>
      <c r="G3018">
        <v>-177.8091</v>
      </c>
      <c r="H3018">
        <v>7.9984550000000001E-2</v>
      </c>
      <c r="I3018">
        <v>155.55699999999999</v>
      </c>
      <c r="J3018">
        <v>-197.99350000000001</v>
      </c>
      <c r="K3018">
        <v>1.1063000000000001</v>
      </c>
      <c r="L3018">
        <v>209.5506</v>
      </c>
      <c r="M3018">
        <v>0.76801260000000005</v>
      </c>
      <c r="N3018">
        <v>-1.721466E-2</v>
      </c>
      <c r="O3018">
        <v>-0.64020339999999998</v>
      </c>
      <c r="P3018">
        <v>0.55053439999999998</v>
      </c>
      <c r="Q3018">
        <v>0.21496770000000001</v>
      </c>
      <c r="R3018">
        <v>-0.80666040000000006</v>
      </c>
      <c r="S3018">
        <v>1.12439</v>
      </c>
      <c r="T3018">
        <v>-5.6538459999999999E-2</v>
      </c>
      <c r="U3018">
        <v>-2.985703</v>
      </c>
      <c r="V3018">
        <v>0.27525250000000001</v>
      </c>
      <c r="W3018">
        <v>0.22134789999999999</v>
      </c>
      <c r="X3018">
        <v>0.93554329999999997</v>
      </c>
      <c r="Y3018">
        <v>0.49301329999999999</v>
      </c>
      <c r="Z3018">
        <v>-6.7526340000000004E-3</v>
      </c>
      <c r="AA3018">
        <v>0.86999559999999998</v>
      </c>
      <c r="AB3018">
        <v>29</v>
      </c>
      <c r="AC3018">
        <v>20.1844</v>
      </c>
      <c r="AD3018">
        <v>-1.02631545</v>
      </c>
      <c r="AE3018">
        <v>-53.993600000000001</v>
      </c>
      <c r="AF3018">
        <v>28.540825290004602</v>
      </c>
      <c r="AG3018">
        <v>-1.02631545</v>
      </c>
      <c r="AH3018">
        <v>50.060308534680402</v>
      </c>
      <c r="AI3018">
        <v>91.020348287887202</v>
      </c>
      <c r="AJ3018">
        <v>60.311288695261702</v>
      </c>
      <c r="AK3018">
        <v>57.633900806945903</v>
      </c>
      <c r="AL3018">
        <v>77.211786654380205</v>
      </c>
      <c r="AM3018">
        <v>73.605234229457096</v>
      </c>
      <c r="AN3018">
        <v>1.0000000488827701</v>
      </c>
    </row>
    <row r="3019" spans="1:40" x14ac:dyDescent="0.25">
      <c r="A3019" t="str">
        <f>"20190303170826306"</f>
        <v>20190303170826306</v>
      </c>
      <c r="B3019" t="str">
        <f>"1551604106296304"</f>
        <v>1551604106296304</v>
      </c>
      <c r="C3019" t="s">
        <v>40</v>
      </c>
      <c r="D3019">
        <v>4.4697269999999998</v>
      </c>
      <c r="E3019">
        <v>0.59623530000000002</v>
      </c>
      <c r="F3019" t="s">
        <v>43</v>
      </c>
      <c r="G3019">
        <v>-182.1883</v>
      </c>
      <c r="H3019" s="1">
        <v>-5.2584859999999997E-6</v>
      </c>
      <c r="I3019">
        <v>167.82409999999999</v>
      </c>
      <c r="J3019">
        <v>-197.76589999999999</v>
      </c>
      <c r="K3019">
        <v>1.1062809999999901</v>
      </c>
      <c r="L3019">
        <v>209.33590000000001</v>
      </c>
      <c r="M3019">
        <v>0.75505909999999998</v>
      </c>
      <c r="N3019">
        <v>-1.723564E-2</v>
      </c>
      <c r="O3019">
        <v>-0.65543009999999902</v>
      </c>
      <c r="P3019">
        <v>0.53368349999999998</v>
      </c>
      <c r="Q3019">
        <v>0.2129047</v>
      </c>
      <c r="R3019">
        <v>-0.81844600000000001</v>
      </c>
      <c r="S3019">
        <v>1.1256710000000001</v>
      </c>
      <c r="T3019">
        <v>-7.879245E-2</v>
      </c>
      <c r="U3019">
        <v>-2.9718170000000002</v>
      </c>
      <c r="V3019">
        <v>0.27629379999999998</v>
      </c>
      <c r="W3019">
        <v>0.21926409999999999</v>
      </c>
      <c r="X3019">
        <v>0.93572699999999998</v>
      </c>
      <c r="Y3019">
        <v>0.47378930000000002</v>
      </c>
      <c r="Z3019">
        <v>-3.0447819999999998E-3</v>
      </c>
      <c r="AA3019">
        <v>0.880633</v>
      </c>
      <c r="AB3019">
        <v>29</v>
      </c>
      <c r="AC3019">
        <v>15.577599999999901</v>
      </c>
      <c r="AD3019">
        <v>-1.10628625848599</v>
      </c>
      <c r="AE3019">
        <v>-41.511800000000001</v>
      </c>
      <c r="AF3019">
        <v>21.123824293205999</v>
      </c>
      <c r="AG3019">
        <v>-1.10628625848599</v>
      </c>
      <c r="AH3019">
        <v>38.951633515539797</v>
      </c>
      <c r="AI3019">
        <v>91.430179308744599</v>
      </c>
      <c r="AJ3019">
        <v>61.528621373088399</v>
      </c>
      <c r="AK3019">
        <v>44.324593349345903</v>
      </c>
      <c r="AL3019">
        <v>77.334186445264606</v>
      </c>
      <c r="AM3019">
        <v>73.549615333536906</v>
      </c>
      <c r="AN3019">
        <v>1.00000001399812</v>
      </c>
    </row>
    <row r="3020" spans="1:40" x14ac:dyDescent="0.25">
      <c r="A3020" t="str">
        <f>"20190303170826326"</f>
        <v>20190303170826326</v>
      </c>
      <c r="B3020" t="str">
        <f>"1551604106315825"</f>
        <v>1551604106315825</v>
      </c>
      <c r="C3020" t="s">
        <v>40</v>
      </c>
      <c r="D3020">
        <v>4.466037</v>
      </c>
      <c r="E3020">
        <v>0.58719350000000003</v>
      </c>
      <c r="F3020" t="s">
        <v>43</v>
      </c>
      <c r="G3020">
        <v>-184.17599999999999</v>
      </c>
      <c r="H3020" s="1">
        <v>-2.2163700000000001E-6</v>
      </c>
      <c r="I3020">
        <v>171.60740000000001</v>
      </c>
      <c r="J3020">
        <v>-197.57239999999999</v>
      </c>
      <c r="K3020">
        <v>1.106279</v>
      </c>
      <c r="L3020">
        <v>209.14619999999999</v>
      </c>
      <c r="M3020">
        <v>0.74357359999999995</v>
      </c>
      <c r="N3020">
        <v>-1.7249790000000001E-2</v>
      </c>
      <c r="O3020">
        <v>-0.66843160000000001</v>
      </c>
      <c r="P3020">
        <v>0.51838790000000001</v>
      </c>
      <c r="Q3020">
        <v>0.21119669999999999</v>
      </c>
      <c r="R3020">
        <v>-0.828655699999999</v>
      </c>
      <c r="S3020">
        <v>1.075836</v>
      </c>
      <c r="T3020">
        <v>-8.7578649999999994E-2</v>
      </c>
      <c r="U3020">
        <v>-2.9867710000000001</v>
      </c>
      <c r="V3020">
        <v>0.2777075</v>
      </c>
      <c r="W3020">
        <v>0.21751860000000001</v>
      </c>
      <c r="X3020">
        <v>0.93571590000000004</v>
      </c>
      <c r="Y3020">
        <v>0.47288920000000001</v>
      </c>
      <c r="Z3020">
        <v>-1.4756729999999901E-3</v>
      </c>
      <c r="AA3020">
        <v>0.88112069999999998</v>
      </c>
      <c r="AB3020">
        <v>29</v>
      </c>
      <c r="AC3020">
        <v>13.3964</v>
      </c>
      <c r="AD3020">
        <v>-1.10628121637</v>
      </c>
      <c r="AE3020">
        <v>-37.538799999999902</v>
      </c>
      <c r="AF3020">
        <v>18.946508051859201</v>
      </c>
      <c r="AG3020">
        <v>-1.10628121637</v>
      </c>
      <c r="AH3020">
        <v>35.031556922533802</v>
      </c>
      <c r="AI3020">
        <v>91.591110186704896</v>
      </c>
      <c r="AJ3020">
        <v>61.593652495322303</v>
      </c>
      <c r="AK3020">
        <v>39.8422389670258</v>
      </c>
      <c r="AL3020">
        <v>77.436670158794101</v>
      </c>
      <c r="AM3020">
        <v>73.469841751173604</v>
      </c>
      <c r="AN3020">
        <v>1.0000000212075</v>
      </c>
    </row>
    <row r="3021" spans="1:40" x14ac:dyDescent="0.25">
      <c r="A3021" t="str">
        <f>"20190303170826349"</f>
        <v>20190303170826349</v>
      </c>
      <c r="B3021" t="str">
        <f>"1551604106336321"</f>
        <v>1551604106336321</v>
      </c>
      <c r="C3021" t="s">
        <v>40</v>
      </c>
      <c r="D3021">
        <v>4.5023</v>
      </c>
      <c r="E3021">
        <v>0.58532010000000001</v>
      </c>
      <c r="F3021" t="s">
        <v>43</v>
      </c>
      <c r="G3021">
        <v>-186.26730000000001</v>
      </c>
      <c r="H3021" s="1">
        <v>-4.3066609999999998E-6</v>
      </c>
      <c r="I3021">
        <v>178.1283</v>
      </c>
      <c r="J3021">
        <v>-197.36410000000001</v>
      </c>
      <c r="K3021">
        <v>1.106285</v>
      </c>
      <c r="L3021">
        <v>208.93459999999999</v>
      </c>
      <c r="M3021">
        <v>0.73071090000000005</v>
      </c>
      <c r="N3021">
        <v>-1.7261599999999998E-2</v>
      </c>
      <c r="O3021">
        <v>-0.68246899999999999</v>
      </c>
      <c r="P3021">
        <v>0.50131349999999997</v>
      </c>
      <c r="Q3021">
        <v>0.2101296</v>
      </c>
      <c r="R3021">
        <v>-0.83936330000000003</v>
      </c>
      <c r="S3021">
        <v>1.0825039999999999</v>
      </c>
      <c r="T3021">
        <v>-0.10593130000000001</v>
      </c>
      <c r="U3021">
        <v>-2.9700929999999999</v>
      </c>
      <c r="V3021">
        <v>0.27920430000000002</v>
      </c>
      <c r="W3021">
        <v>0.21641170000000001</v>
      </c>
      <c r="X3021">
        <v>0.93552709999999994</v>
      </c>
      <c r="Y3021">
        <v>0.45264490000000002</v>
      </c>
      <c r="Z3021">
        <v>2.2056659999999998E-3</v>
      </c>
      <c r="AA3021">
        <v>0.89168819999999904</v>
      </c>
      <c r="AB3021">
        <v>29</v>
      </c>
      <c r="AC3021">
        <v>11.0968</v>
      </c>
      <c r="AD3021">
        <v>-1.106289306661</v>
      </c>
      <c r="AE3021">
        <v>-30.8063</v>
      </c>
      <c r="AF3021">
        <v>14.922466738080001</v>
      </c>
      <c r="AG3021">
        <v>-1.106289306661</v>
      </c>
      <c r="AH3021">
        <v>29.104011907384901</v>
      </c>
      <c r="AI3021">
        <v>91.937269450337595</v>
      </c>
      <c r="AJ3021">
        <v>62.854476490616797</v>
      </c>
      <c r="AK3021">
        <v>32.725332674922299</v>
      </c>
      <c r="AL3021">
        <v>77.501638303290505</v>
      </c>
      <c r="AM3021">
        <v>73.382477747204007</v>
      </c>
      <c r="AN3021">
        <v>1.00000000993489</v>
      </c>
    </row>
    <row r="3022" spans="1:40" x14ac:dyDescent="0.25">
      <c r="A3022" t="str">
        <f>"20190303170826374"</f>
        <v>20190303170826374</v>
      </c>
      <c r="B3022" t="str">
        <f>"1551604106366576"</f>
        <v>1551604106366576</v>
      </c>
      <c r="C3022" t="s">
        <v>40</v>
      </c>
      <c r="D3022">
        <v>4.5029669999999999</v>
      </c>
      <c r="E3022">
        <v>0.58273189999999997</v>
      </c>
      <c r="F3022" t="s">
        <v>43</v>
      </c>
      <c r="G3022">
        <v>-186.34200000000001</v>
      </c>
      <c r="H3022" s="1">
        <v>-3.8553789999999996E-6</v>
      </c>
      <c r="I3022">
        <v>177.10720000000001</v>
      </c>
      <c r="J3022">
        <v>-197.13570000000001</v>
      </c>
      <c r="K3022">
        <v>1.1063019999999999</v>
      </c>
      <c r="L3022">
        <v>208.69210000000001</v>
      </c>
      <c r="M3022">
        <v>0.71595580000000003</v>
      </c>
      <c r="N3022">
        <v>-1.726919E-2</v>
      </c>
      <c r="O3022">
        <v>-0.69793209999999894</v>
      </c>
      <c r="P3022">
        <v>0.48368489999999997</v>
      </c>
      <c r="Q3022">
        <v>0.2104095</v>
      </c>
      <c r="R3022">
        <v>-0.8495743</v>
      </c>
      <c r="S3022">
        <v>1.033066</v>
      </c>
      <c r="T3022">
        <v>-0.103689</v>
      </c>
      <c r="U3022">
        <v>-2.9830779999999999</v>
      </c>
      <c r="V3022">
        <v>0.27867940000000002</v>
      </c>
      <c r="W3022">
        <v>0.2167357</v>
      </c>
      <c r="X3022">
        <v>0.93560860000000001</v>
      </c>
      <c r="Y3022">
        <v>0.44796439999999998</v>
      </c>
      <c r="Z3022">
        <v>2.3791440000000001E-3</v>
      </c>
      <c r="AA3022">
        <v>0.89404819999999996</v>
      </c>
      <c r="AB3022">
        <v>29</v>
      </c>
      <c r="AC3022">
        <v>10.793699999999999</v>
      </c>
      <c r="AD3022">
        <v>-1.1063058553789999</v>
      </c>
      <c r="AE3022">
        <v>-31.584900000000001</v>
      </c>
      <c r="AF3022">
        <v>15.0658200007113</v>
      </c>
      <c r="AG3022">
        <v>-1.1063058553789999</v>
      </c>
      <c r="AH3022">
        <v>29.743690723015199</v>
      </c>
      <c r="AI3022">
        <v>91.900427745011996</v>
      </c>
      <c r="AJ3022">
        <v>63.1368039376474</v>
      </c>
      <c r="AK3022">
        <v>33.360005736897897</v>
      </c>
      <c r="AL3022">
        <v>77.482623197306495</v>
      </c>
      <c r="AM3022">
        <v>73.413365865302296</v>
      </c>
      <c r="AN3022">
        <v>1.0000000120164001</v>
      </c>
    </row>
    <row r="3023" spans="1:40" x14ac:dyDescent="0.25">
      <c r="A3023" t="str">
        <f>"20190303170826398"</f>
        <v>20190303170826398</v>
      </c>
      <c r="B3023" t="str">
        <f>"1551604106386097"</f>
        <v>1551604106386097</v>
      </c>
      <c r="C3023" t="s">
        <v>40</v>
      </c>
      <c r="D3023">
        <v>4.5277760000000002</v>
      </c>
      <c r="E3023">
        <v>0.58192809999999995</v>
      </c>
      <c r="F3023" t="s">
        <v>43</v>
      </c>
      <c r="G3023">
        <v>-187.01759999999999</v>
      </c>
      <c r="H3023" s="1">
        <v>-4.1450729999999998E-6</v>
      </c>
      <c r="I3023">
        <v>178.06190000000001</v>
      </c>
      <c r="J3023">
        <v>-196.91550000000001</v>
      </c>
      <c r="K3023">
        <v>1.1063320000000001</v>
      </c>
      <c r="L3023">
        <v>208.44829999999999</v>
      </c>
      <c r="M3023">
        <v>0.70108119999999996</v>
      </c>
      <c r="N3023">
        <v>-1.7271189999999999E-2</v>
      </c>
      <c r="O3023">
        <v>-0.71287270000000003</v>
      </c>
      <c r="P3023">
        <v>0.46551880000000001</v>
      </c>
      <c r="Q3023">
        <v>0.21023819999999999</v>
      </c>
      <c r="R3023">
        <v>-0.85970480000000005</v>
      </c>
      <c r="S3023">
        <v>0.98925779999999996</v>
      </c>
      <c r="T3023">
        <v>-0.1081647</v>
      </c>
      <c r="U3023">
        <v>-2.9947509999999999</v>
      </c>
      <c r="V3023">
        <v>0.27884229999999999</v>
      </c>
      <c r="W3023">
        <v>0.21658440000000001</v>
      </c>
      <c r="X3023">
        <v>0.93559510000000001</v>
      </c>
      <c r="Y3023">
        <v>0.44192029999999899</v>
      </c>
      <c r="Z3023">
        <v>3.7077339999999999E-3</v>
      </c>
      <c r="AA3023">
        <v>0.89704669999999898</v>
      </c>
      <c r="AB3023">
        <v>29</v>
      </c>
      <c r="AC3023">
        <v>9.8979000000000195</v>
      </c>
      <c r="AD3023">
        <v>-1.1063361450729901</v>
      </c>
      <c r="AE3023">
        <v>-30.386399999999899</v>
      </c>
      <c r="AF3023">
        <v>14.2324551295243</v>
      </c>
      <c r="AG3023">
        <v>-1.1063361450729901</v>
      </c>
      <c r="AH3023">
        <v>28.570883511721402</v>
      </c>
      <c r="AI3023">
        <v>91.9850847359494</v>
      </c>
      <c r="AJ3023">
        <v>63.5200189711422</v>
      </c>
      <c r="AK3023">
        <v>31.938724823013398</v>
      </c>
      <c r="AL3023">
        <v>77.491502954278005</v>
      </c>
      <c r="AM3023">
        <v>73.403977098862399</v>
      </c>
      <c r="AN3023">
        <v>1.00000001086833</v>
      </c>
    </row>
    <row r="3024" spans="1:40" x14ac:dyDescent="0.25">
      <c r="A3024" t="str">
        <f>"20190303170826437"</f>
        <v>20190303170826437</v>
      </c>
      <c r="B3024" t="str">
        <f>"1551604106426113"</f>
        <v>1551604106426113</v>
      </c>
      <c r="C3024" t="s">
        <v>40</v>
      </c>
      <c r="D3024">
        <v>4.5348810000000004</v>
      </c>
      <c r="E3024">
        <v>0.57123749999999995</v>
      </c>
      <c r="F3024" t="s">
        <v>43</v>
      </c>
      <c r="G3024">
        <v>-187.40119999999999</v>
      </c>
      <c r="H3024" s="1">
        <v>-3.9059710000000002E-6</v>
      </c>
      <c r="I3024">
        <v>177.66309999999999</v>
      </c>
      <c r="J3024">
        <v>-196.58449999999999</v>
      </c>
      <c r="K3024">
        <v>1.1064020000000001</v>
      </c>
      <c r="L3024">
        <v>208.0616</v>
      </c>
      <c r="M3024">
        <v>0.67744919999999997</v>
      </c>
      <c r="N3024">
        <v>-1.72636E-2</v>
      </c>
      <c r="O3024">
        <v>-0.73536699999999999</v>
      </c>
      <c r="P3024">
        <v>0.43900139999999999</v>
      </c>
      <c r="Q3024">
        <v>0.20852619999999999</v>
      </c>
      <c r="R3024">
        <v>-0.87395349999999905</v>
      </c>
      <c r="S3024">
        <v>0.93087770000000003</v>
      </c>
      <c r="T3024">
        <v>-0.1082433</v>
      </c>
      <c r="U3024">
        <v>-3.0120089999999999</v>
      </c>
      <c r="V3024">
        <v>0.27710370000000001</v>
      </c>
      <c r="W3024">
        <v>0.21499579999999999</v>
      </c>
      <c r="X3024">
        <v>0.93647769999999997</v>
      </c>
      <c r="Y3024">
        <v>0.42993769999999998</v>
      </c>
      <c r="Z3024">
        <v>4.6488340000000001E-3</v>
      </c>
      <c r="AA3024">
        <v>0.90284660000000005</v>
      </c>
      <c r="AB3024">
        <v>29</v>
      </c>
      <c r="AC3024">
        <v>9.1832999999999991</v>
      </c>
      <c r="AD3024">
        <v>-1.1064059059710001</v>
      </c>
      <c r="AE3024">
        <v>-30.398499999999999</v>
      </c>
      <c r="AF3024">
        <v>13.825622703374</v>
      </c>
      <c r="AG3024">
        <v>-1.1064059059710001</v>
      </c>
      <c r="AH3024">
        <v>28.544879414674</v>
      </c>
      <c r="AI3024">
        <v>91.997887950909799</v>
      </c>
      <c r="AJ3024">
        <v>64.156918387863698</v>
      </c>
      <c r="AK3024">
        <v>31.736132687570802</v>
      </c>
      <c r="AL3024">
        <v>77.584719964732102</v>
      </c>
      <c r="AM3024">
        <v>73.5165173462496</v>
      </c>
      <c r="AN3024">
        <v>1.0000000685843</v>
      </c>
    </row>
    <row r="3025" spans="1:40" x14ac:dyDescent="0.25">
      <c r="A3025" t="str">
        <f>"20190303170826463"</f>
        <v>20190303170826463</v>
      </c>
      <c r="B3025" t="str">
        <f>"1551604106456369"</f>
        <v>1551604106456369</v>
      </c>
      <c r="C3025" t="s">
        <v>40</v>
      </c>
      <c r="D3025">
        <v>4.635046</v>
      </c>
      <c r="E3025">
        <v>0.56429090000000004</v>
      </c>
      <c r="F3025" t="s">
        <v>43</v>
      </c>
      <c r="G3025">
        <v>-188.55760000000001</v>
      </c>
      <c r="H3025" s="1">
        <v>-1.1586269999999999E-6</v>
      </c>
      <c r="I3025">
        <v>181.7372</v>
      </c>
      <c r="J3025">
        <v>-196.37129999999999</v>
      </c>
      <c r="K3025">
        <v>1.1064889999999901</v>
      </c>
      <c r="L3025">
        <v>207.79859999999999</v>
      </c>
      <c r="M3025">
        <v>0.66138189999999997</v>
      </c>
      <c r="N3025">
        <v>-1.72507999999999E-2</v>
      </c>
      <c r="O3025">
        <v>-0.74985100000000005</v>
      </c>
      <c r="P3025">
        <v>0.42141830000000002</v>
      </c>
      <c r="Q3025">
        <v>0.20905399999999999</v>
      </c>
      <c r="R3025">
        <v>-0.8824417</v>
      </c>
      <c r="S3025">
        <v>0.91561890000000001</v>
      </c>
      <c r="T3025">
        <v>-0.12620719999999999</v>
      </c>
      <c r="U3025">
        <v>-3.0028229999999998</v>
      </c>
      <c r="V3025">
        <v>0.27548159999999999</v>
      </c>
      <c r="W3025">
        <v>0.21562439999999999</v>
      </c>
      <c r="X3025">
        <v>0.93681159999999997</v>
      </c>
      <c r="Y3025">
        <v>0.41374270000000002</v>
      </c>
      <c r="Z3025">
        <v>8.9698290000000003E-3</v>
      </c>
      <c r="AA3025">
        <v>0.91034970000000004</v>
      </c>
      <c r="AB3025">
        <v>29</v>
      </c>
      <c r="AC3025">
        <v>7.8136999999999803</v>
      </c>
      <c r="AD3025">
        <v>-1.10649015862699</v>
      </c>
      <c r="AE3025">
        <v>-26.0613999999999</v>
      </c>
      <c r="AF3025">
        <v>11.3603308718944</v>
      </c>
      <c r="AG3025">
        <v>-1.10649015862699</v>
      </c>
      <c r="AH3025">
        <v>24.672875402578999</v>
      </c>
      <c r="AI3025">
        <v>92.332697840904004</v>
      </c>
      <c r="AJ3025">
        <v>65.276857669191799</v>
      </c>
      <c r="AK3025">
        <v>27.185147022248099</v>
      </c>
      <c r="AL3025">
        <v>77.5478377472228</v>
      </c>
      <c r="AM3025">
        <v>73.613343129703907</v>
      </c>
      <c r="AN3025">
        <v>0.99999998385423905</v>
      </c>
    </row>
    <row r="3026" spans="1:40" x14ac:dyDescent="0.25">
      <c r="A3026" t="str">
        <f>"20190303170826486"</f>
        <v>20190303170826486</v>
      </c>
      <c r="B3026" t="str">
        <f>"1551604106475888"</f>
        <v>1551604106475888</v>
      </c>
      <c r="C3026" t="s">
        <v>40</v>
      </c>
      <c r="D3026">
        <v>4.6066949999999904</v>
      </c>
      <c r="E3026">
        <v>0.59381850000000003</v>
      </c>
      <c r="F3026" t="s">
        <v>43</v>
      </c>
      <c r="G3026">
        <v>-189.13839999999999</v>
      </c>
      <c r="H3026" s="1">
        <v>-1.9655539999999999E-6</v>
      </c>
      <c r="I3026">
        <v>183.85830000000001</v>
      </c>
      <c r="J3026">
        <v>-196.18979999999999</v>
      </c>
      <c r="K3026">
        <v>1.1065750000000001</v>
      </c>
      <c r="L3026">
        <v>207.5652</v>
      </c>
      <c r="M3026">
        <v>0.64714850000000002</v>
      </c>
      <c r="N3026">
        <v>-1.7234010000000001E-2</v>
      </c>
      <c r="O3026">
        <v>-0.76216930000000005</v>
      </c>
      <c r="P3026">
        <v>0.40566609999999997</v>
      </c>
      <c r="Q3026">
        <v>0.21023939999999999</v>
      </c>
      <c r="R3026">
        <v>-0.88951360000000002</v>
      </c>
      <c r="S3026">
        <v>0.90628050000000004</v>
      </c>
      <c r="T3026">
        <v>-0.13864360000000001</v>
      </c>
      <c r="U3026">
        <v>-2.9997250000000002</v>
      </c>
      <c r="V3026">
        <v>0.27431139999999998</v>
      </c>
      <c r="W3026">
        <v>0.21689069999999999</v>
      </c>
      <c r="X3026">
        <v>0.93686270000000005</v>
      </c>
      <c r="Y3026">
        <v>0.39888800000000002</v>
      </c>
      <c r="Z3026">
        <v>1.2292600000000001E-2</v>
      </c>
      <c r="AA3026">
        <v>0.91691730000000005</v>
      </c>
      <c r="AB3026">
        <v>28</v>
      </c>
      <c r="AC3026">
        <v>7.0514000000000001</v>
      </c>
      <c r="AD3026">
        <v>-1.1065769655540001</v>
      </c>
      <c r="AE3026">
        <v>-23.706899999999901</v>
      </c>
      <c r="AF3026">
        <v>9.9490885765151198</v>
      </c>
      <c r="AG3026">
        <v>-1.1065769655540001</v>
      </c>
      <c r="AH3026">
        <v>22.590114975646699</v>
      </c>
      <c r="AI3026">
        <v>92.566840134467895</v>
      </c>
      <c r="AJ3026">
        <v>66.230453499226797</v>
      </c>
      <c r="AK3026">
        <v>24.708746845944599</v>
      </c>
      <c r="AL3026">
        <v>77.4735260490325</v>
      </c>
      <c r="AM3026">
        <v>73.680081817953607</v>
      </c>
      <c r="AN3026">
        <v>1.0000000192838601</v>
      </c>
    </row>
    <row r="3027" spans="1:40" x14ac:dyDescent="0.25">
      <c r="A3027" t="str">
        <f>"20190303170826505"</f>
        <v>20190303170826505</v>
      </c>
      <c r="B3027" t="str">
        <f>"1551604106496385"</f>
        <v>1551604106496385</v>
      </c>
      <c r="C3027" t="s">
        <v>40</v>
      </c>
      <c r="D3027">
        <v>4.6528130000000001</v>
      </c>
      <c r="E3027">
        <v>0.60840300000000003</v>
      </c>
      <c r="F3027" t="s">
        <v>43</v>
      </c>
      <c r="G3027">
        <v>-188.0273</v>
      </c>
      <c r="H3027" s="1">
        <v>-4.0431210000000002E-6</v>
      </c>
      <c r="I3027">
        <v>167.44409999999999</v>
      </c>
      <c r="J3027">
        <v>-196.03790000000001</v>
      </c>
      <c r="K3027">
        <v>1.1066640000000001</v>
      </c>
      <c r="L3027">
        <v>207.36250000000001</v>
      </c>
      <c r="M3027">
        <v>0.63484770000000001</v>
      </c>
      <c r="N3027">
        <v>-1.721367E-2</v>
      </c>
      <c r="O3027">
        <v>-0.77244569999999901</v>
      </c>
      <c r="P3027">
        <v>0.39130979999999999</v>
      </c>
      <c r="Q3027">
        <v>0.21009800000000001</v>
      </c>
      <c r="R3027">
        <v>-0.89595539999999996</v>
      </c>
      <c r="S3027">
        <v>0.63166809999999995</v>
      </c>
      <c r="T3027">
        <v>-8.5634230000000006E-2</v>
      </c>
      <c r="U3027">
        <v>-3.1048279999999999</v>
      </c>
      <c r="V3027">
        <v>0.27432529999999999</v>
      </c>
      <c r="W3027">
        <v>0.2167897</v>
      </c>
      <c r="X3027">
        <v>0.93688199999999999</v>
      </c>
      <c r="Y3027">
        <v>0.46796480000000001</v>
      </c>
      <c r="Z3027">
        <v>5.988705E-4</v>
      </c>
      <c r="AA3027">
        <v>0.8837469</v>
      </c>
      <c r="AB3027">
        <v>28</v>
      </c>
      <c r="AC3027">
        <v>8.0106000000000002</v>
      </c>
      <c r="AD3027">
        <v>-1.1066680431210001</v>
      </c>
      <c r="AE3027">
        <v>-39.918399999999998</v>
      </c>
      <c r="AF3027">
        <v>19.1430433609289</v>
      </c>
      <c r="AG3027">
        <v>-1.1066680431210001</v>
      </c>
      <c r="AH3027">
        <v>35.899102291945802</v>
      </c>
      <c r="AI3027">
        <v>91.558143548602501</v>
      </c>
      <c r="AJ3027">
        <v>61.931420528239499</v>
      </c>
      <c r="AK3027">
        <v>40.6992182804984</v>
      </c>
      <c r="AL3027">
        <v>77.479453886008997</v>
      </c>
      <c r="AM3027">
        <v>73.679617178593006</v>
      </c>
      <c r="AN3027">
        <v>1.0000000130850899</v>
      </c>
    </row>
    <row r="3028" spans="1:40" x14ac:dyDescent="0.25">
      <c r="A3028" t="str">
        <f>"20190303170826526"</f>
        <v>20190303170826526</v>
      </c>
      <c r="B3028" t="str">
        <f>"1551604106515905"</f>
        <v>1551604106515905</v>
      </c>
      <c r="C3028" t="s">
        <v>40</v>
      </c>
      <c r="D3028">
        <v>4.6747160000000001</v>
      </c>
      <c r="E3028">
        <v>0.61506359999999904</v>
      </c>
      <c r="F3028" t="s">
        <v>58</v>
      </c>
      <c r="G3028">
        <v>-186.66489999999999</v>
      </c>
      <c r="H3028" s="1">
        <v>-9.7021539999999992E-6</v>
      </c>
      <c r="I3028">
        <v>144.78299999999999</v>
      </c>
      <c r="J3028">
        <v>-195.87479999999999</v>
      </c>
      <c r="K3028">
        <v>1.1067899999999999</v>
      </c>
      <c r="L3028">
        <v>207.13730000000001</v>
      </c>
      <c r="M3028">
        <v>0.62125399999999997</v>
      </c>
      <c r="N3028">
        <v>-1.7183380000000002E-2</v>
      </c>
      <c r="O3028">
        <v>-0.78342109999999998</v>
      </c>
      <c r="P3028">
        <v>0.37632290000000002</v>
      </c>
      <c r="Q3028">
        <v>0.20826710000000001</v>
      </c>
      <c r="R3028">
        <v>-0.90277689999999999</v>
      </c>
      <c r="S3028">
        <v>0.4725647</v>
      </c>
      <c r="T3028">
        <v>-5.5795789999999998E-2</v>
      </c>
      <c r="U3028">
        <v>-3.155106</v>
      </c>
      <c r="V3028">
        <v>0.27369959999999999</v>
      </c>
      <c r="W3028">
        <v>0.21504229999999999</v>
      </c>
      <c r="X3028">
        <v>0.93746750000000001</v>
      </c>
      <c r="Y3028">
        <v>0.49826500000000001</v>
      </c>
      <c r="Z3028">
        <v>-5.5120990000000003E-3</v>
      </c>
      <c r="AA3028">
        <v>0.86700730000000004</v>
      </c>
      <c r="AB3028">
        <v>28</v>
      </c>
      <c r="AC3028">
        <v>9.2098999999999993</v>
      </c>
      <c r="AD3028">
        <v>-1.1067997021539999</v>
      </c>
      <c r="AE3028">
        <v>-62.354300000000002</v>
      </c>
      <c r="AF3028">
        <v>31.517558333125301</v>
      </c>
      <c r="AG3028">
        <v>-1.1067997021539999</v>
      </c>
      <c r="AH3028">
        <v>54.5625844764756</v>
      </c>
      <c r="AI3028">
        <v>91.006301500486501</v>
      </c>
      <c r="AJ3028">
        <v>59.987530010011398</v>
      </c>
      <c r="AK3028">
        <v>63.021084675013199</v>
      </c>
      <c r="AL3028">
        <v>77.581990880836798</v>
      </c>
      <c r="AM3028">
        <v>73.724499516150402</v>
      </c>
      <c r="AN3028">
        <v>0.99999998769284903</v>
      </c>
    </row>
    <row r="3029" spans="1:40" x14ac:dyDescent="0.25">
      <c r="A3029" t="str">
        <f>"20190303170826550"</f>
        <v>20190303170826550</v>
      </c>
      <c r="B3029" t="str">
        <f>"1551604106536401"</f>
        <v>1551604106536401</v>
      </c>
      <c r="C3029" t="s">
        <v>40</v>
      </c>
      <c r="D3029">
        <v>4.6591630000000004</v>
      </c>
      <c r="E3029">
        <v>0.61731239999999998</v>
      </c>
      <c r="F3029" t="s">
        <v>58</v>
      </c>
      <c r="G3029">
        <v>-186.37209999999999</v>
      </c>
      <c r="H3029" s="1">
        <v>-3.3261070000000002E-6</v>
      </c>
      <c r="I3029">
        <v>124.9468</v>
      </c>
      <c r="J3029">
        <v>-195.70509999999999</v>
      </c>
      <c r="K3029">
        <v>1.1069469999999999</v>
      </c>
      <c r="L3029">
        <v>206.89400000000001</v>
      </c>
      <c r="M3029">
        <v>0.60667919999999997</v>
      </c>
      <c r="N3029">
        <v>-1.7141199999999999E-2</v>
      </c>
      <c r="O3029">
        <v>-0.79476179999999996</v>
      </c>
      <c r="P3029">
        <v>0.36098649999999999</v>
      </c>
      <c r="Q3029">
        <v>0.2062879</v>
      </c>
      <c r="R3029">
        <v>-0.90946919999999998</v>
      </c>
      <c r="S3029">
        <v>0.36763000000000001</v>
      </c>
      <c r="T3029">
        <v>-4.2818309999999998E-2</v>
      </c>
      <c r="U3029">
        <v>-3.1796880000000001</v>
      </c>
      <c r="V3029">
        <v>0.27237080000000002</v>
      </c>
      <c r="W3029">
        <v>0.21318480000000001</v>
      </c>
      <c r="X3029">
        <v>0.93827839999999996</v>
      </c>
      <c r="Y3029">
        <v>0.51131680000000002</v>
      </c>
      <c r="Z3029">
        <v>-8.0859109999999994E-3</v>
      </c>
      <c r="AA3029">
        <v>0.85935430000000002</v>
      </c>
      <c r="AB3029">
        <v>28</v>
      </c>
      <c r="AC3029">
        <v>9.3329999999999895</v>
      </c>
      <c r="AD3029">
        <v>-1.1069503261069999</v>
      </c>
      <c r="AE3029">
        <v>-81.947199999999995</v>
      </c>
      <c r="AF3029">
        <v>42.296750682799001</v>
      </c>
      <c r="AG3029">
        <v>-1.1069503261069999</v>
      </c>
      <c r="AH3029">
        <v>70.788299474402606</v>
      </c>
      <c r="AI3029">
        <v>90.769077797003007</v>
      </c>
      <c r="AJ3029">
        <v>59.141240348256702</v>
      </c>
      <c r="AK3029">
        <v>82.469532554908099</v>
      </c>
      <c r="AL3029">
        <v>77.690944531518795</v>
      </c>
      <c r="AM3029">
        <v>73.812630087491002</v>
      </c>
      <c r="AN3029">
        <v>0.99999998377511901</v>
      </c>
    </row>
    <row r="3030" spans="1:40" x14ac:dyDescent="0.25">
      <c r="A3030" t="str">
        <f>"20190303170826576"</f>
        <v>20190303170826576</v>
      </c>
      <c r="B3030" t="str">
        <f>"1551604106566656"</f>
        <v>1551604106566656</v>
      </c>
      <c r="C3030" t="s">
        <v>40</v>
      </c>
      <c r="D3030">
        <v>4.7056190000000004</v>
      </c>
      <c r="E3030">
        <v>0.61862030000000001</v>
      </c>
      <c r="F3030" t="s">
        <v>43</v>
      </c>
      <c r="G3030">
        <v>-185.39869999999999</v>
      </c>
      <c r="H3030" s="1">
        <v>-2.9629410000000001E-6</v>
      </c>
      <c r="I3030">
        <v>94.636899999999997</v>
      </c>
      <c r="J3030">
        <v>-195.51519999999999</v>
      </c>
      <c r="K3030">
        <v>1.107154</v>
      </c>
      <c r="L3030">
        <v>206.60929999999999</v>
      </c>
      <c r="M3030">
        <v>0.58981629999999996</v>
      </c>
      <c r="N3030">
        <v>-1.70814E-2</v>
      </c>
      <c r="O3030">
        <v>-0.80735679999999999</v>
      </c>
      <c r="P3030">
        <v>0.34252120000000003</v>
      </c>
      <c r="Q3030">
        <v>0.20699519999999999</v>
      </c>
      <c r="R3030">
        <v>-0.91642389999999996</v>
      </c>
      <c r="S3030">
        <v>0.29283140000000002</v>
      </c>
      <c r="T3030">
        <v>-3.1451460000000001E-2</v>
      </c>
      <c r="U3030">
        <v>-3.1895289999999998</v>
      </c>
      <c r="V3030">
        <v>0.2714125</v>
      </c>
      <c r="W3030">
        <v>0.21400420000000001</v>
      </c>
      <c r="X3030">
        <v>0.93836960000000003</v>
      </c>
      <c r="Y3030">
        <v>0.51348749999999999</v>
      </c>
      <c r="Z3030">
        <v>-1.0250560000000001E-2</v>
      </c>
      <c r="AA3030">
        <v>0.85803589999999996</v>
      </c>
      <c r="AB3030">
        <v>28</v>
      </c>
      <c r="AC3030">
        <v>10.1165</v>
      </c>
      <c r="AD3030">
        <v>-1.1071569629410001</v>
      </c>
      <c r="AE3030">
        <v>-111.97239999999999</v>
      </c>
      <c r="AF3030">
        <v>57.878352625784203</v>
      </c>
      <c r="AG3030">
        <v>-1.1071569629410001</v>
      </c>
      <c r="AH3030">
        <v>96.373269088621399</v>
      </c>
      <c r="AI3030">
        <v>90.5642656102616</v>
      </c>
      <c r="AJ3030">
        <v>59.012472470345003</v>
      </c>
      <c r="AK3030">
        <v>112.42302475046201</v>
      </c>
      <c r="AL3030">
        <v>77.642887833770104</v>
      </c>
      <c r="AM3030">
        <v>73.868101731993406</v>
      </c>
      <c r="AN3030">
        <v>1.0000000244890199</v>
      </c>
    </row>
    <row r="3031" spans="1:40" x14ac:dyDescent="0.25">
      <c r="A3031" t="str">
        <f>"20190303170826597"</f>
        <v>20190303170826597</v>
      </c>
      <c r="B3031" t="str">
        <f>"1551604106586177"</f>
        <v>1551604106586177</v>
      </c>
      <c r="C3031" t="s">
        <v>40</v>
      </c>
      <c r="D3031">
        <v>4.6623910000000004</v>
      </c>
      <c r="E3031">
        <v>0.61838579999999999</v>
      </c>
      <c r="F3031" t="s">
        <v>43</v>
      </c>
      <c r="G3031">
        <v>-182.6814</v>
      </c>
      <c r="H3031" s="1">
        <v>-4.7033450000000001E-6</v>
      </c>
      <c r="I3031">
        <v>17.570239999999998</v>
      </c>
      <c r="J3031">
        <v>-195.36269999999999</v>
      </c>
      <c r="K3031">
        <v>1.1073379999999999</v>
      </c>
      <c r="L3031">
        <v>206.3717</v>
      </c>
      <c r="M3031">
        <v>0.57584669999999905</v>
      </c>
      <c r="N3031">
        <v>-1.702969E-2</v>
      </c>
      <c r="O3031">
        <v>-0.81738049999999995</v>
      </c>
      <c r="P3031">
        <v>0.3276367</v>
      </c>
      <c r="Q3031">
        <v>0.20832039999999999</v>
      </c>
      <c r="R3031">
        <v>-0.92155149999999997</v>
      </c>
      <c r="S3031">
        <v>0.21702579999999999</v>
      </c>
      <c r="T3031">
        <v>-1.8722530000000001E-2</v>
      </c>
      <c r="U3031">
        <v>-3.1967319999999999</v>
      </c>
      <c r="V3031">
        <v>0.27025009999999999</v>
      </c>
      <c r="W3031">
        <v>0.21543019999999999</v>
      </c>
      <c r="X3031">
        <v>0.93837879999999996</v>
      </c>
      <c r="Y3031">
        <v>0.51913629999999999</v>
      </c>
      <c r="Z3031">
        <v>-1.283317E-2</v>
      </c>
      <c r="AA3031">
        <v>0.85459509999999905</v>
      </c>
      <c r="AB3031">
        <v>28</v>
      </c>
      <c r="AC3031">
        <v>12.681299999999901</v>
      </c>
      <c r="AD3031">
        <v>-1.1073427033449901</v>
      </c>
      <c r="AE3031">
        <v>-188.80145999999999</v>
      </c>
      <c r="AF3031">
        <v>98.366131476125801</v>
      </c>
      <c r="AG3031">
        <v>-1.1073427033449901</v>
      </c>
      <c r="AH3031">
        <v>161.642997239246</v>
      </c>
      <c r="AI3031">
        <v>90.3352986458396</v>
      </c>
      <c r="AJ3031">
        <v>58.677840168057998</v>
      </c>
      <c r="AK3031">
        <v>189.22362586613701</v>
      </c>
      <c r="AL3031">
        <v>77.559232969462897</v>
      </c>
      <c r="AM3031">
        <v>73.933768294417504</v>
      </c>
      <c r="AN3031">
        <v>1.0000000299557401</v>
      </c>
    </row>
    <row r="3032" spans="1:40" x14ac:dyDescent="0.25">
      <c r="A3032" t="str">
        <f>"20190303170826620"</f>
        <v>20190303170826620</v>
      </c>
      <c r="B3032" t="str">
        <f>"1551604106606673"</f>
        <v>1551604106606673</v>
      </c>
      <c r="C3032" t="s">
        <v>40</v>
      </c>
      <c r="D3032">
        <v>4.6939719999999996</v>
      </c>
      <c r="E3032">
        <v>0.61778040000000001</v>
      </c>
      <c r="F3032" t="s">
        <v>56</v>
      </c>
      <c r="G3032">
        <v>-180.3227</v>
      </c>
      <c r="H3032">
        <v>0.30773830000000002</v>
      </c>
      <c r="I3032">
        <v>-81.815259999999995</v>
      </c>
      <c r="J3032">
        <v>-195.21449999999999</v>
      </c>
      <c r="K3032">
        <v>1.1075090000000001</v>
      </c>
      <c r="L3032">
        <v>206.1319</v>
      </c>
      <c r="M3032">
        <v>0.56186569999999902</v>
      </c>
      <c r="N3032">
        <v>-1.6977909999999999E-2</v>
      </c>
      <c r="O3032">
        <v>-0.82705439999999997</v>
      </c>
      <c r="P3032">
        <v>0.31437280000000001</v>
      </c>
      <c r="Q3032">
        <v>0.20762739999999999</v>
      </c>
      <c r="R3032">
        <v>-0.92631600000000003</v>
      </c>
      <c r="S3032">
        <v>0.16690060000000001</v>
      </c>
      <c r="T3032">
        <v>-8.8732240000000007E-3</v>
      </c>
      <c r="U3032">
        <v>-3.1980439999999999</v>
      </c>
      <c r="V3032">
        <v>0.26773209999999997</v>
      </c>
      <c r="W3032">
        <v>0.2148929</v>
      </c>
      <c r="X3032">
        <v>0.93922340000000004</v>
      </c>
      <c r="Y3032">
        <v>0.51799090000000003</v>
      </c>
      <c r="Z3032">
        <v>-1.4850790000000001E-2</v>
      </c>
      <c r="AA3032">
        <v>0.85525720000000005</v>
      </c>
      <c r="AB3032">
        <v>28</v>
      </c>
      <c r="AC3032">
        <v>14.8917999999999</v>
      </c>
      <c r="AD3032">
        <v>-0.79977069999999995</v>
      </c>
      <c r="AE3032">
        <v>-287.94716</v>
      </c>
      <c r="AF3032">
        <v>149.49167885551299</v>
      </c>
      <c r="AG3032">
        <v>-0.79977069999999995</v>
      </c>
      <c r="AH3032">
        <v>246.54876061477901</v>
      </c>
      <c r="AI3032">
        <v>90.158926943115105</v>
      </c>
      <c r="AJ3032">
        <v>58.770009329043198</v>
      </c>
      <c r="AK3032">
        <v>288.33087424155002</v>
      </c>
      <c r="AL3032">
        <v>77.590756133728704</v>
      </c>
      <c r="AM3032">
        <v>74.089433505955697</v>
      </c>
      <c r="AN3032">
        <v>1.0000000154741899</v>
      </c>
    </row>
    <row r="3033" spans="1:40" x14ac:dyDescent="0.25">
      <c r="A3033" t="str">
        <f>"20190303170826638"</f>
        <v>20190303170826638</v>
      </c>
      <c r="B3033" t="str">
        <f>"1551604106626193"</f>
        <v>1551604106626193</v>
      </c>
      <c r="C3033" t="s">
        <v>40</v>
      </c>
      <c r="D3033">
        <v>4.6980510000000004</v>
      </c>
      <c r="E3033">
        <v>0.61692139999999995</v>
      </c>
      <c r="F3033" t="s">
        <v>56</v>
      </c>
      <c r="G3033">
        <v>-184.0044</v>
      </c>
      <c r="H3033">
        <v>0.51285459999999905</v>
      </c>
      <c r="I3033">
        <v>-81.815330000000003</v>
      </c>
      <c r="J3033">
        <v>-195.0882</v>
      </c>
      <c r="K3033">
        <v>1.1076549999999901</v>
      </c>
      <c r="L3033">
        <v>205.92019999999999</v>
      </c>
      <c r="M3033">
        <v>0.54962500000000003</v>
      </c>
      <c r="N3033">
        <v>-1.693238E-2</v>
      </c>
      <c r="O3033">
        <v>-0.83523999999999998</v>
      </c>
      <c r="P3033">
        <v>0.30345450000000002</v>
      </c>
      <c r="Q3033">
        <v>0.2055942</v>
      </c>
      <c r="R3033">
        <v>-0.93040149999999999</v>
      </c>
      <c r="S3033">
        <v>0.1244965</v>
      </c>
      <c r="T3033">
        <v>-6.604075E-3</v>
      </c>
      <c r="U3033">
        <v>-3.1978759999999999</v>
      </c>
      <c r="V3033">
        <v>0.265044</v>
      </c>
      <c r="W3033">
        <v>0.21301339999999999</v>
      </c>
      <c r="X3033">
        <v>0.94041319999999995</v>
      </c>
      <c r="Y3033">
        <v>0.5167119</v>
      </c>
      <c r="Z3033">
        <v>-1.5328319999999999E-2</v>
      </c>
      <c r="AA3033">
        <v>0.85602210000000001</v>
      </c>
      <c r="AB3033">
        <v>28</v>
      </c>
      <c r="AC3033">
        <v>11.083799999999901</v>
      </c>
      <c r="AD3033">
        <v>-0.59480039999999901</v>
      </c>
      <c r="AE3033">
        <v>-287.73552999999998</v>
      </c>
      <c r="AF3033">
        <v>148.90970524929301</v>
      </c>
      <c r="AG3033">
        <v>-0.59480039999999901</v>
      </c>
      <c r="AH3033">
        <v>246.454413551241</v>
      </c>
      <c r="AI3033">
        <v>90.118353103813803</v>
      </c>
      <c r="AJ3033">
        <v>58.859296579249403</v>
      </c>
      <c r="AK3033">
        <v>287.94831491751</v>
      </c>
      <c r="AL3033">
        <v>77.700996212777795</v>
      </c>
      <c r="AM3033">
        <v>74.260156520846493</v>
      </c>
      <c r="AN3033">
        <v>1.0000000086248999</v>
      </c>
    </row>
    <row r="3034" spans="1:40" x14ac:dyDescent="0.25">
      <c r="A3034" t="str">
        <f>"20190303170826660"</f>
        <v>20190303170826660</v>
      </c>
      <c r="B3034" t="str">
        <f>"1551604106645713"</f>
        <v>1551604106645713</v>
      </c>
      <c r="C3034" t="s">
        <v>40</v>
      </c>
      <c r="D3034">
        <v>4.7421579999999999</v>
      </c>
      <c r="E3034">
        <v>0.61590180000000005</v>
      </c>
      <c r="F3034" t="s">
        <v>56</v>
      </c>
      <c r="G3034">
        <v>-186.84190000000001</v>
      </c>
      <c r="H3034">
        <v>0.2263346</v>
      </c>
      <c r="I3034">
        <v>-81.815240000000003</v>
      </c>
      <c r="J3034">
        <v>-194.9521</v>
      </c>
      <c r="K3034">
        <v>1.107799</v>
      </c>
      <c r="L3034">
        <v>205.68430000000001</v>
      </c>
      <c r="M3034">
        <v>0.53608509999999998</v>
      </c>
      <c r="N3034">
        <v>-1.6881400000000001E-2</v>
      </c>
      <c r="O3034">
        <v>-0.84399519999999995</v>
      </c>
      <c r="P3034">
        <v>0.29051440000000001</v>
      </c>
      <c r="Q3034">
        <v>0.20448169999999999</v>
      </c>
      <c r="R3034">
        <v>-0.93476689999999996</v>
      </c>
      <c r="S3034">
        <v>9.1613769999999997E-2</v>
      </c>
      <c r="T3034">
        <v>-9.7912550000000004E-3</v>
      </c>
      <c r="U3034">
        <v>-3.1966860000000001</v>
      </c>
      <c r="V3034">
        <v>0.262936</v>
      </c>
      <c r="W3034">
        <v>0.2120293</v>
      </c>
      <c r="X3034">
        <v>0.94122700000000004</v>
      </c>
      <c r="Y3034">
        <v>0.51167559999999901</v>
      </c>
      <c r="Z3034">
        <v>-1.460901E-2</v>
      </c>
      <c r="AA3034">
        <v>0.85905450000000005</v>
      </c>
      <c r="AB3034">
        <v>28</v>
      </c>
      <c r="AC3034">
        <v>8.1101999999999901</v>
      </c>
      <c r="AD3034">
        <v>-0.88146440000000004</v>
      </c>
      <c r="AE3034">
        <v>-287.499539999999</v>
      </c>
      <c r="AF3034">
        <v>147.29884829886299</v>
      </c>
      <c r="AG3034">
        <v>-0.88146440000000004</v>
      </c>
      <c r="AH3034">
        <v>247.02885701269099</v>
      </c>
      <c r="AI3034">
        <v>90.175598274334106</v>
      </c>
      <c r="AJ3034">
        <v>59.1931391371403</v>
      </c>
      <c r="AK3034">
        <v>287.61255863862499</v>
      </c>
      <c r="AL3034">
        <v>77.758699209960795</v>
      </c>
      <c r="AM3034">
        <v>74.392054820023702</v>
      </c>
      <c r="AN3034">
        <v>1.0000000148417401</v>
      </c>
    </row>
    <row r="3035" spans="1:40" x14ac:dyDescent="0.25">
      <c r="A3035" t="str">
        <f>"20190303170826682"</f>
        <v>20190303170826682</v>
      </c>
      <c r="B3035" t="str">
        <f>"1551604106675969"</f>
        <v>1551604106675969</v>
      </c>
      <c r="C3035" t="s">
        <v>40</v>
      </c>
      <c r="D3035">
        <v>4.7388760000000003</v>
      </c>
      <c r="E3035">
        <v>0.61412109999999998</v>
      </c>
      <c r="F3035" t="s">
        <v>59</v>
      </c>
      <c r="G3035">
        <v>-190.5855</v>
      </c>
      <c r="H3035" s="1">
        <v>-3.3997159999999998E-6</v>
      </c>
      <c r="I3035">
        <v>-46.350960000000001</v>
      </c>
      <c r="J3035">
        <v>-194.81440000000001</v>
      </c>
      <c r="K3035">
        <v>1.1079460000000001</v>
      </c>
      <c r="L3035">
        <v>205.43610000000001</v>
      </c>
      <c r="M3035">
        <v>0.52195179999999997</v>
      </c>
      <c r="N3035">
        <v>-1.6828249999999999E-2</v>
      </c>
      <c r="O3035">
        <v>-0.85280919999999905</v>
      </c>
      <c r="P3035">
        <v>0.27457320000000002</v>
      </c>
      <c r="Q3035">
        <v>0.2044039</v>
      </c>
      <c r="R3035">
        <v>-0.93958989999999998</v>
      </c>
      <c r="S3035">
        <v>5.5358890000000001E-2</v>
      </c>
      <c r="T3035">
        <v>-1.4044279999999999E-2</v>
      </c>
      <c r="U3035">
        <v>-3.1952060000000002</v>
      </c>
      <c r="V3035">
        <v>0.26319330000000002</v>
      </c>
      <c r="W3035">
        <v>0.21198690000000001</v>
      </c>
      <c r="X3035">
        <v>0.94116460000000002</v>
      </c>
      <c r="Y3035">
        <v>0.50708120000000001</v>
      </c>
      <c r="Z3035">
        <v>-1.3623069999999999E-2</v>
      </c>
      <c r="AA3035">
        <v>0.86179059999999896</v>
      </c>
      <c r="AB3035">
        <v>28</v>
      </c>
      <c r="AC3035">
        <v>4.2289000000000003</v>
      </c>
      <c r="AD3035">
        <v>-1.1079493997159999</v>
      </c>
      <c r="AE3035">
        <v>-251.78706</v>
      </c>
      <c r="AF3035">
        <v>127.82986581574799</v>
      </c>
      <c r="AG3035">
        <v>-1.1079493997159999</v>
      </c>
      <c r="AH3035">
        <v>216.96008285332601</v>
      </c>
      <c r="AI3035">
        <v>90.252088776285404</v>
      </c>
      <c r="AJ3035">
        <v>59.493998999887502</v>
      </c>
      <c r="AK3035">
        <v>251.82013362331901</v>
      </c>
      <c r="AL3035">
        <v>77.761184646575799</v>
      </c>
      <c r="AM3035">
        <v>74.376541721616803</v>
      </c>
      <c r="AN3035">
        <v>0.99999998161482895</v>
      </c>
    </row>
    <row r="3036" spans="1:40" x14ac:dyDescent="0.25">
      <c r="A3036" t="str">
        <f>"20190303170826707"</f>
        <v>20190303170826707</v>
      </c>
      <c r="B3036" t="str">
        <f>"1551604106696464"</f>
        <v>1551604106696464</v>
      </c>
      <c r="C3036" t="s">
        <v>40</v>
      </c>
      <c r="D3036">
        <v>4.7780699999999996</v>
      </c>
      <c r="E3036">
        <v>0.61342980000000003</v>
      </c>
      <c r="F3036" t="s">
        <v>43</v>
      </c>
      <c r="G3036">
        <v>-193.7311</v>
      </c>
      <c r="H3036" s="1">
        <v>-4.8237509999999996E-6</v>
      </c>
      <c r="I3036">
        <v>-10.78321</v>
      </c>
      <c r="J3036">
        <v>-194.666</v>
      </c>
      <c r="K3036">
        <v>1.108125</v>
      </c>
      <c r="L3036">
        <v>205.15799999999999</v>
      </c>
      <c r="M3036">
        <v>0.50622929999999999</v>
      </c>
      <c r="N3036">
        <v>-1.6770609999999998E-2</v>
      </c>
      <c r="O3036">
        <v>-0.86223609999999995</v>
      </c>
      <c r="P3036">
        <v>0.25736330000000002</v>
      </c>
      <c r="Q3036">
        <v>0.2049504</v>
      </c>
      <c r="R3036">
        <v>-0.94433040000000001</v>
      </c>
      <c r="S3036">
        <v>1.5991209999999999E-2</v>
      </c>
      <c r="T3036">
        <v>-1.635528E-2</v>
      </c>
      <c r="U3036">
        <v>-3.1917719999999998</v>
      </c>
      <c r="V3036">
        <v>0.26300210000000002</v>
      </c>
      <c r="W3036">
        <v>0.21258569999999999</v>
      </c>
      <c r="X3036">
        <v>0.941083</v>
      </c>
      <c r="Y3036">
        <v>0.50187979999999999</v>
      </c>
      <c r="Z3036">
        <v>-1.3027540000000001E-2</v>
      </c>
      <c r="AA3036">
        <v>0.86483929999999998</v>
      </c>
      <c r="AB3036">
        <v>28</v>
      </c>
      <c r="AC3036">
        <v>0.93489999999999895</v>
      </c>
      <c r="AD3036">
        <v>-1.108129823751</v>
      </c>
      <c r="AE3036">
        <v>-215.94121000000001</v>
      </c>
      <c r="AF3036">
        <v>108.52204349263199</v>
      </c>
      <c r="AG3036">
        <v>-1.108129823751</v>
      </c>
      <c r="AH3036">
        <v>186.686878178538</v>
      </c>
      <c r="AI3036">
        <v>90.2940229963246</v>
      </c>
      <c r="AJ3036">
        <v>59.830342605963097</v>
      </c>
      <c r="AK3036">
        <v>215.94039075534599</v>
      </c>
      <c r="AL3036">
        <v>77.726075925253696</v>
      </c>
      <c r="AM3036">
        <v>74.3860501202536</v>
      </c>
      <c r="AN3036">
        <v>0.99999999866894995</v>
      </c>
    </row>
    <row r="3037" spans="1:40" x14ac:dyDescent="0.25">
      <c r="A3037" t="str">
        <f>"20190303170826727"</f>
        <v>20190303170826727</v>
      </c>
      <c r="B3037" t="str">
        <f>"1551604106715985"</f>
        <v>1551604106715985</v>
      </c>
      <c r="C3037" t="s">
        <v>40</v>
      </c>
      <c r="D3037">
        <v>4.8011990000000004</v>
      </c>
      <c r="E3037">
        <v>0.59369550000000004</v>
      </c>
      <c r="F3037" t="s">
        <v>43</v>
      </c>
      <c r="G3037">
        <v>-197.33690000000001</v>
      </c>
      <c r="H3037" s="1">
        <v>-3.369866E-6</v>
      </c>
      <c r="I3037">
        <v>-26.93507</v>
      </c>
      <c r="J3037">
        <v>-194.54349999999999</v>
      </c>
      <c r="K3037">
        <v>1.108279</v>
      </c>
      <c r="L3037">
        <v>204.91849999999999</v>
      </c>
      <c r="M3037">
        <v>0.49279339999999999</v>
      </c>
      <c r="N3037">
        <v>-1.6722279999999999E-2</v>
      </c>
      <c r="O3037">
        <v>-0.86998569999999997</v>
      </c>
      <c r="P3037">
        <v>0.2437867</v>
      </c>
      <c r="Q3037">
        <v>0.2059957</v>
      </c>
      <c r="R3037">
        <v>-0.94769910000000002</v>
      </c>
      <c r="S3037">
        <v>-3.6712649999999999E-2</v>
      </c>
      <c r="T3037">
        <v>-1.523161E-2</v>
      </c>
      <c r="U3037">
        <v>-3.1902010000000001</v>
      </c>
      <c r="V3037">
        <v>0.26175189999999998</v>
      </c>
      <c r="W3037">
        <v>0.2137117</v>
      </c>
      <c r="X3037">
        <v>0.94117649999999997</v>
      </c>
      <c r="Y3037">
        <v>0.502749</v>
      </c>
      <c r="Z3037">
        <v>-1.3253910000000001E-2</v>
      </c>
      <c r="AA3037">
        <v>0.86433079999999995</v>
      </c>
      <c r="AB3037">
        <v>28</v>
      </c>
      <c r="AC3037">
        <v>-2.7934000000000201</v>
      </c>
      <c r="AD3037">
        <v>-1.108282369866</v>
      </c>
      <c r="AE3037">
        <v>-231.85356999999999</v>
      </c>
      <c r="AF3037">
        <v>116.69977402523</v>
      </c>
      <c r="AG3037">
        <v>-1.108282369866</v>
      </c>
      <c r="AH3037">
        <v>200.35615102193401</v>
      </c>
      <c r="AI3037">
        <v>90.273863633490606</v>
      </c>
      <c r="AJ3037">
        <v>59.780840785133698</v>
      </c>
      <c r="AK3037">
        <v>231.86774851124801</v>
      </c>
      <c r="AL3037">
        <v>77.660043147483407</v>
      </c>
      <c r="AM3037">
        <v>74.458145459495697</v>
      </c>
      <c r="AN3037">
        <v>0.99999997601137403</v>
      </c>
    </row>
    <row r="3038" spans="1:40" x14ac:dyDescent="0.25">
      <c r="A3038" t="str">
        <f>"20190303170826750"</f>
        <v>20190303170826750</v>
      </c>
      <c r="B3038" t="str">
        <f>"1551604106736482"</f>
        <v>1551604106736482</v>
      </c>
      <c r="C3038" t="s">
        <v>40</v>
      </c>
      <c r="D3038">
        <v>4.8096690000000004</v>
      </c>
      <c r="E3038">
        <v>0.59126599999999996</v>
      </c>
      <c r="F3038" t="s">
        <v>43</v>
      </c>
      <c r="G3038">
        <v>-191.88720000000001</v>
      </c>
      <c r="H3038" s="1">
        <v>-3.3421480000000002E-6</v>
      </c>
      <c r="I3038">
        <v>86.209249999999997</v>
      </c>
      <c r="J3038">
        <v>-194.42230000000001</v>
      </c>
      <c r="K3038">
        <v>1.1084320000000001</v>
      </c>
      <c r="L3038">
        <v>204.67240000000001</v>
      </c>
      <c r="M3038">
        <v>0.47909299999999999</v>
      </c>
      <c r="N3038">
        <v>-1.6673299999999999E-2</v>
      </c>
      <c r="O3038">
        <v>-0.87760579999999999</v>
      </c>
      <c r="P3038">
        <v>0.22939480000000001</v>
      </c>
      <c r="Q3038">
        <v>0.20666490000000001</v>
      </c>
      <c r="R3038">
        <v>-0.95114019999999999</v>
      </c>
      <c r="S3038">
        <v>7.0571899999999896E-2</v>
      </c>
      <c r="T3038">
        <v>-2.9444459999999999E-2</v>
      </c>
      <c r="U3038">
        <v>-3.1538240000000002</v>
      </c>
      <c r="V3038">
        <v>0.26113330000000001</v>
      </c>
      <c r="W3038">
        <v>0.21444389999999999</v>
      </c>
      <c r="X3038">
        <v>0.94118179999999996</v>
      </c>
      <c r="Y3038">
        <v>0.45930179999999998</v>
      </c>
      <c r="Z3038">
        <v>-9.4743829999999994E-3</v>
      </c>
      <c r="AA3038">
        <v>0.88822979999999996</v>
      </c>
      <c r="AB3038">
        <v>28</v>
      </c>
      <c r="AC3038">
        <v>2.5350999999999999</v>
      </c>
      <c r="AD3038">
        <v>-1.10843534214799</v>
      </c>
      <c r="AE3038">
        <v>-118.46315</v>
      </c>
      <c r="AF3038">
        <v>54.5328554037469</v>
      </c>
      <c r="AG3038">
        <v>-1.10843534214799</v>
      </c>
      <c r="AH3038">
        <v>105.18391220212099</v>
      </c>
      <c r="AI3038">
        <v>90.536013382354597</v>
      </c>
      <c r="AJ3038">
        <v>62.595408661895</v>
      </c>
      <c r="AK3038">
        <v>118.48508907679999</v>
      </c>
      <c r="AL3038">
        <v>77.617095599585298</v>
      </c>
      <c r="AM3038">
        <v>74.493189264891896</v>
      </c>
      <c r="AN3038">
        <v>0.99999998363366904</v>
      </c>
    </row>
    <row r="3039" spans="1:40" x14ac:dyDescent="0.25">
      <c r="A3039" t="str">
        <f>"20190303170826774"</f>
        <v>20190303170826774</v>
      </c>
      <c r="B3039" t="str">
        <f>"1551604106766736"</f>
        <v>1551604106766736</v>
      </c>
      <c r="C3039" t="s">
        <v>40</v>
      </c>
      <c r="D3039">
        <v>4.7989860000000002</v>
      </c>
      <c r="E3039">
        <v>0.58817390000000003</v>
      </c>
      <c r="F3039" t="s">
        <v>43</v>
      </c>
      <c r="G3039">
        <v>-192.98150000000001</v>
      </c>
      <c r="H3039" s="1">
        <v>-3.7643940000000002E-6</v>
      </c>
      <c r="I3039">
        <v>96.514790000000005</v>
      </c>
      <c r="J3039">
        <v>-194.28530000000001</v>
      </c>
      <c r="K3039">
        <v>1.108616</v>
      </c>
      <c r="L3039">
        <v>204.38069999999999</v>
      </c>
      <c r="M3039">
        <v>0.46302009999999999</v>
      </c>
      <c r="N3039">
        <v>-1.6613099999999999E-2</v>
      </c>
      <c r="O3039">
        <v>-0.88619210000000004</v>
      </c>
      <c r="P3039">
        <v>0.2123572</v>
      </c>
      <c r="Q3039">
        <v>0.20676939999999999</v>
      </c>
      <c r="R3039">
        <v>-0.95506599999999997</v>
      </c>
      <c r="S3039">
        <v>4.1976930000000003E-2</v>
      </c>
      <c r="T3039">
        <v>-3.2292840000000003E-2</v>
      </c>
      <c r="U3039">
        <v>-3.1510310000000001</v>
      </c>
      <c r="V3039">
        <v>0.26069829999999999</v>
      </c>
      <c r="W3039">
        <v>0.21462000000000001</v>
      </c>
      <c r="X3039">
        <v>0.9412623</v>
      </c>
      <c r="Y3039">
        <v>0.4511329</v>
      </c>
      <c r="Z3039">
        <v>-8.6083770000000004E-3</v>
      </c>
      <c r="AA3039">
        <v>0.89241530000000002</v>
      </c>
      <c r="AB3039">
        <v>28</v>
      </c>
      <c r="AC3039">
        <v>1.3037999999999901</v>
      </c>
      <c r="AD3039">
        <v>-1.1086197643939999</v>
      </c>
      <c r="AE3039">
        <v>-107.86591</v>
      </c>
      <c r="AF3039">
        <v>48.790247083646399</v>
      </c>
      <c r="AG3039">
        <v>-1.1086197643939999</v>
      </c>
      <c r="AH3039">
        <v>96.196717916399905</v>
      </c>
      <c r="AI3039">
        <v>90.588870622360503</v>
      </c>
      <c r="AJ3039">
        <v>63.106221489226201</v>
      </c>
      <c r="AK3039">
        <v>107.868094384543</v>
      </c>
      <c r="AL3039">
        <v>77.606765909680306</v>
      </c>
      <c r="AM3039">
        <v>74.519041200750394</v>
      </c>
      <c r="AN3039">
        <v>1.0000000327120799</v>
      </c>
    </row>
    <row r="3040" spans="1:40" x14ac:dyDescent="0.25">
      <c r="A3040" t="str">
        <f>"20190303170826796"</f>
        <v>20190303170826796</v>
      </c>
      <c r="B3040" t="str">
        <f>"1551604106786257"</f>
        <v>1551604106786257</v>
      </c>
      <c r="C3040" t="s">
        <v>40</v>
      </c>
      <c r="D3040">
        <v>4.8216460000000003</v>
      </c>
      <c r="E3040">
        <v>0.57903090000000002</v>
      </c>
      <c r="F3040" t="s">
        <v>43</v>
      </c>
      <c r="G3040">
        <v>-193.9854</v>
      </c>
      <c r="H3040" s="1">
        <v>-4.365157E-6</v>
      </c>
      <c r="I3040">
        <v>117.7366</v>
      </c>
      <c r="J3040">
        <v>-194.16800000000001</v>
      </c>
      <c r="K3040">
        <v>1.1087899999999999</v>
      </c>
      <c r="L3040">
        <v>204.12039999999999</v>
      </c>
      <c r="M3040">
        <v>0.44878380000000001</v>
      </c>
      <c r="N3040">
        <v>-1.6559299999999999E-2</v>
      </c>
      <c r="O3040">
        <v>-0.89348700000000003</v>
      </c>
      <c r="P3040">
        <v>0.19912150000000001</v>
      </c>
      <c r="Q3040">
        <v>0.2060398</v>
      </c>
      <c r="R3040">
        <v>-0.95807030000000004</v>
      </c>
      <c r="S3040">
        <v>1.089478E-2</v>
      </c>
      <c r="T3040">
        <v>-4.0272120000000002E-2</v>
      </c>
      <c r="U3040">
        <v>-3.1474609999999998</v>
      </c>
      <c r="V3040">
        <v>0.25861879999999998</v>
      </c>
      <c r="W3040">
        <v>0.2140136</v>
      </c>
      <c r="X3040">
        <v>0.94197370000000002</v>
      </c>
      <c r="Y3040">
        <v>0.44563649999999999</v>
      </c>
      <c r="Z3040">
        <v>-6.4632789999999997E-3</v>
      </c>
      <c r="AA3040">
        <v>0.89519069999999901</v>
      </c>
      <c r="AB3040">
        <v>28</v>
      </c>
      <c r="AC3040">
        <v>0.18260000000000701</v>
      </c>
      <c r="AD3040">
        <v>-1.108794365157</v>
      </c>
      <c r="AE3040">
        <v>-86.383799999999994</v>
      </c>
      <c r="AF3040">
        <v>38.603430714816803</v>
      </c>
      <c r="AG3040">
        <v>-1.108794365157</v>
      </c>
      <c r="AH3040">
        <v>77.262611526415498</v>
      </c>
      <c r="AI3040">
        <v>90.735509110897496</v>
      </c>
      <c r="AJ3040">
        <v>63.451488290794799</v>
      </c>
      <c r="AK3040">
        <v>86.376880169288697</v>
      </c>
      <c r="AL3040">
        <v>77.642335897141805</v>
      </c>
      <c r="AM3040">
        <v>74.647726338741904</v>
      </c>
      <c r="AN3040">
        <v>0.99999997809504404</v>
      </c>
    </row>
    <row r="3041" spans="1:40" x14ac:dyDescent="0.25">
      <c r="A3041" t="str">
        <f>"20190303170826822"</f>
        <v>20190303170826822</v>
      </c>
      <c r="B3041" t="str">
        <f>"1551604106805777"</f>
        <v>1551604106805777</v>
      </c>
      <c r="C3041" t="s">
        <v>40</v>
      </c>
      <c r="D3041">
        <v>4.7921969999999998</v>
      </c>
      <c r="E3041">
        <v>0.57647590000000004</v>
      </c>
      <c r="F3041" t="s">
        <v>58</v>
      </c>
      <c r="G3041">
        <v>-193.512</v>
      </c>
      <c r="H3041" s="1">
        <v>-1.279654E-5</v>
      </c>
      <c r="I3041">
        <v>153.22049999999999</v>
      </c>
      <c r="J3041">
        <v>-194.04259999999999</v>
      </c>
      <c r="K3041">
        <v>1.1089960000000001</v>
      </c>
      <c r="L3041">
        <v>203.82929999999999</v>
      </c>
      <c r="M3041">
        <v>0.43301149999999999</v>
      </c>
      <c r="N3041">
        <v>-1.6500009999999999E-2</v>
      </c>
      <c r="O3041">
        <v>-0.90123759999999997</v>
      </c>
      <c r="P3041">
        <v>0.18647559999999999</v>
      </c>
      <c r="Q3041">
        <v>0.205433</v>
      </c>
      <c r="R3041">
        <v>-0.96074190000000004</v>
      </c>
      <c r="S3041">
        <v>4.0435789999999999E-2</v>
      </c>
      <c r="T3041">
        <v>-6.8348770000000003E-2</v>
      </c>
      <c r="U3041">
        <v>-3.1375730000000002</v>
      </c>
      <c r="V3041">
        <v>0.25440119999999999</v>
      </c>
      <c r="W3041">
        <v>0.213612</v>
      </c>
      <c r="X3041">
        <v>0.94321259999999996</v>
      </c>
      <c r="Y3041">
        <v>0.42127680000000001</v>
      </c>
      <c r="Z3041">
        <v>1.095305E-3</v>
      </c>
      <c r="AA3041">
        <v>0.9069315</v>
      </c>
      <c r="AB3041">
        <v>28</v>
      </c>
      <c r="AC3041">
        <v>0.53059999999999197</v>
      </c>
      <c r="AD3041">
        <v>-1.10900879654</v>
      </c>
      <c r="AE3041">
        <v>-50.608800000000002</v>
      </c>
      <c r="AF3041">
        <v>21.428620997615798</v>
      </c>
      <c r="AG3041">
        <v>-1.10900879654</v>
      </c>
      <c r="AH3041">
        <v>45.824538681453703</v>
      </c>
      <c r="AI3041">
        <v>91.255875617922399</v>
      </c>
      <c r="AJ3041">
        <v>64.938114976726396</v>
      </c>
      <c r="AK3041">
        <v>50.599447069491902</v>
      </c>
      <c r="AL3041">
        <v>77.665891280708806</v>
      </c>
      <c r="AM3041">
        <v>74.905497747329207</v>
      </c>
      <c r="AN3041">
        <v>1.0000000329520899</v>
      </c>
    </row>
    <row r="3042" spans="1:40" x14ac:dyDescent="0.25">
      <c r="A3042" t="str">
        <f>"20190303170826840"</f>
        <v>20190303170826840</v>
      </c>
      <c r="B3042" t="str">
        <f>"1551604106836033"</f>
        <v>1551604106836033</v>
      </c>
      <c r="C3042" t="s">
        <v>40</v>
      </c>
      <c r="D3042">
        <v>4.784141</v>
      </c>
      <c r="E3042">
        <v>0.57434090000000004</v>
      </c>
      <c r="F3042" t="s">
        <v>58</v>
      </c>
      <c r="G3042">
        <v>-193.77180000000001</v>
      </c>
      <c r="H3042" s="1">
        <v>-1.336786E-5</v>
      </c>
      <c r="I3042">
        <v>155.07570000000001</v>
      </c>
      <c r="J3042">
        <v>-193.95179999999999</v>
      </c>
      <c r="K3042">
        <v>1.1091629999999999</v>
      </c>
      <c r="L3042">
        <v>203.6097</v>
      </c>
      <c r="M3042">
        <v>0.4212457</v>
      </c>
      <c r="N3042">
        <v>-1.6453619999999999E-2</v>
      </c>
      <c r="O3042">
        <v>-0.90679759999999998</v>
      </c>
      <c r="P3042">
        <v>0.17753369999999999</v>
      </c>
      <c r="Q3042">
        <v>0.20635780000000001</v>
      </c>
      <c r="R3042">
        <v>-0.96223650000000005</v>
      </c>
      <c r="S3042">
        <v>1.741028E-2</v>
      </c>
      <c r="T3042">
        <v>-7.1300269999999999E-2</v>
      </c>
      <c r="U3042">
        <v>-3.1344599999999998</v>
      </c>
      <c r="V3042">
        <v>0.25074339999999901</v>
      </c>
      <c r="W3042">
        <v>0.2147075</v>
      </c>
      <c r="X3042">
        <v>0.94394299999999998</v>
      </c>
      <c r="Y3042">
        <v>0.41611559999999997</v>
      </c>
      <c r="Z3042">
        <v>2.1045600000000001E-3</v>
      </c>
      <c r="AA3042">
        <v>0.90930929999999999</v>
      </c>
      <c r="AB3042">
        <v>28</v>
      </c>
      <c r="AC3042">
        <v>0.17999999999997801</v>
      </c>
      <c r="AD3042">
        <v>-1.10917636786</v>
      </c>
      <c r="AE3042">
        <v>-48.533999999999899</v>
      </c>
      <c r="AF3042">
        <v>20.273667025731999</v>
      </c>
      <c r="AG3042">
        <v>-1.10917636786</v>
      </c>
      <c r="AH3042">
        <v>44.069279131800002</v>
      </c>
      <c r="AI3042">
        <v>91.309861152380293</v>
      </c>
      <c r="AJ3042">
        <v>65.295639754305</v>
      </c>
      <c r="AK3042">
        <v>48.5216777335839</v>
      </c>
      <c r="AL3042">
        <v>77.601632143644196</v>
      </c>
      <c r="AM3042">
        <v>75.123833763679798</v>
      </c>
      <c r="AN3042">
        <v>0.99999997522440398</v>
      </c>
    </row>
    <row r="3043" spans="1:40" x14ac:dyDescent="0.25">
      <c r="A3043" t="str">
        <f>"20190303170826862"</f>
        <v>20190303170826862</v>
      </c>
      <c r="B3043" t="str">
        <f>"1551604106856529"</f>
        <v>1551604106856529</v>
      </c>
      <c r="C3043" t="s">
        <v>40</v>
      </c>
      <c r="D3043">
        <v>4.7733420000000004</v>
      </c>
      <c r="E3043">
        <v>0.56621960000000005</v>
      </c>
      <c r="F3043" t="s">
        <v>58</v>
      </c>
      <c r="G3043">
        <v>-193.8854</v>
      </c>
      <c r="H3043" s="1">
        <v>-1.1800270000000001E-5</v>
      </c>
      <c r="I3043">
        <v>150.58609999999999</v>
      </c>
      <c r="J3043">
        <v>-193.85130000000001</v>
      </c>
      <c r="K3043">
        <v>1.1093770000000001</v>
      </c>
      <c r="L3043">
        <v>203.3571</v>
      </c>
      <c r="M3043">
        <v>0.40788780000000002</v>
      </c>
      <c r="N3043">
        <v>-1.6395650000000001E-2</v>
      </c>
      <c r="O3043">
        <v>-0.91288480000000005</v>
      </c>
      <c r="P3043">
        <v>0.16493759999999999</v>
      </c>
      <c r="Q3043">
        <v>0.20716329999999999</v>
      </c>
      <c r="R3043">
        <v>-0.96430229999999995</v>
      </c>
      <c r="S3043">
        <v>3.9215090000000001E-3</v>
      </c>
      <c r="T3043">
        <v>-6.5496799999999994E-2</v>
      </c>
      <c r="U3043">
        <v>-3.1310419999999999</v>
      </c>
      <c r="V3043">
        <v>0.24906500000000001</v>
      </c>
      <c r="W3043">
        <v>0.2156332</v>
      </c>
      <c r="X3043">
        <v>0.94417629999999997</v>
      </c>
      <c r="Y3043">
        <v>0.40666720000000001</v>
      </c>
      <c r="Z3043">
        <v>8.9145700000000001E-4</v>
      </c>
      <c r="AA3043">
        <v>0.9135759</v>
      </c>
      <c r="AB3043">
        <v>28</v>
      </c>
      <c r="AC3043">
        <v>-3.40999999999951E-2</v>
      </c>
      <c r="AD3043">
        <v>-1.1093888002700001</v>
      </c>
      <c r="AE3043">
        <v>-52.771000000000001</v>
      </c>
      <c r="AF3043">
        <v>21.54915133147</v>
      </c>
      <c r="AG3043">
        <v>-1.1093888002700001</v>
      </c>
      <c r="AH3043">
        <v>48.145132926566802</v>
      </c>
      <c r="AI3043">
        <v>91.204866326340493</v>
      </c>
      <c r="AJ3043">
        <v>65.8873155918169</v>
      </c>
      <c r="AK3043">
        <v>52.7593640137327</v>
      </c>
      <c r="AL3043">
        <v>77.547321200945106</v>
      </c>
      <c r="AM3043">
        <v>75.222529496762306</v>
      </c>
      <c r="AN3043">
        <v>0.99999996832446403</v>
      </c>
    </row>
    <row r="3044" spans="1:40" x14ac:dyDescent="0.25">
      <c r="A3044" t="str">
        <f>"20190303170826884"</f>
        <v>20190303170826884</v>
      </c>
      <c r="B3044" t="str">
        <f>"1551604106876049"</f>
        <v>1551604106876049</v>
      </c>
      <c r="C3044" t="s">
        <v>40</v>
      </c>
      <c r="D3044">
        <v>4.7615460000000001</v>
      </c>
      <c r="E3044">
        <v>0.56457789999999997</v>
      </c>
      <c r="F3044" t="s">
        <v>58</v>
      </c>
      <c r="G3044">
        <v>-193.40559999999999</v>
      </c>
      <c r="H3044" s="1">
        <v>-1.31283299999999E-5</v>
      </c>
      <c r="I3044">
        <v>154.57669999999999</v>
      </c>
      <c r="J3044">
        <v>-193.74889999999999</v>
      </c>
      <c r="K3044">
        <v>1.1096360000000001</v>
      </c>
      <c r="L3044">
        <v>203.0889</v>
      </c>
      <c r="M3044">
        <v>0.39394610000000002</v>
      </c>
      <c r="N3044">
        <v>-1.6326830000000001E-2</v>
      </c>
      <c r="O3044">
        <v>-0.91898860000000004</v>
      </c>
      <c r="P3044">
        <v>0.15221309999999999</v>
      </c>
      <c r="Q3044">
        <v>0.20695279999999999</v>
      </c>
      <c r="R3044">
        <v>-0.96643789999999996</v>
      </c>
      <c r="S3044">
        <v>2.8518680000000001E-2</v>
      </c>
      <c r="T3044">
        <v>-7.0989490000000002E-2</v>
      </c>
      <c r="U3044">
        <v>-3.121445</v>
      </c>
      <c r="V3044">
        <v>0.2470099</v>
      </c>
      <c r="W3044">
        <v>0.21557229999999999</v>
      </c>
      <c r="X3044">
        <v>0.94472999999999996</v>
      </c>
      <c r="Y3044">
        <v>0.38545509999999999</v>
      </c>
      <c r="Z3044">
        <v>2.8062920000000002E-3</v>
      </c>
      <c r="AA3044">
        <v>0.9227223</v>
      </c>
      <c r="AB3044">
        <v>28</v>
      </c>
      <c r="AC3044">
        <v>0.34329999999999899</v>
      </c>
      <c r="AD3044">
        <v>-1.1096491283299901</v>
      </c>
      <c r="AE3044">
        <v>-48.5122</v>
      </c>
      <c r="AF3044">
        <v>18.788377888673999</v>
      </c>
      <c r="AG3044">
        <v>-1.1096491283299901</v>
      </c>
      <c r="AH3044">
        <v>44.699972582895001</v>
      </c>
      <c r="AI3044">
        <v>91.310985288256305</v>
      </c>
      <c r="AJ3044">
        <v>67.201917620300904</v>
      </c>
      <c r="AK3044">
        <v>48.500742404495</v>
      </c>
      <c r="AL3044">
        <v>77.550895462584293</v>
      </c>
      <c r="AM3044">
        <v>75.347411579096303</v>
      </c>
      <c r="AN3044">
        <v>1.0000000400626401</v>
      </c>
    </row>
    <row r="3045" spans="1:40" x14ac:dyDescent="0.25">
      <c r="A3045" t="str">
        <f>"20190303170826907"</f>
        <v>20190303170826907</v>
      </c>
      <c r="B3045" t="str">
        <f>"1551604106896545"</f>
        <v>1551604106896545</v>
      </c>
      <c r="C3045" t="s">
        <v>40</v>
      </c>
      <c r="D3045">
        <v>4.7851499999999998</v>
      </c>
      <c r="E3045">
        <v>0.56373329999999999</v>
      </c>
      <c r="F3045" t="s">
        <v>58</v>
      </c>
      <c r="G3045">
        <v>-193.7193</v>
      </c>
      <c r="H3045" s="1">
        <v>-1.3987710000000001E-5</v>
      </c>
      <c r="I3045">
        <v>156.53139999999999</v>
      </c>
      <c r="J3045">
        <v>-193.65369999999999</v>
      </c>
      <c r="K3045">
        <v>1.1099129999999999</v>
      </c>
      <c r="L3045">
        <v>202.82859999999999</v>
      </c>
      <c r="M3045">
        <v>0.38068809999999997</v>
      </c>
      <c r="N3045">
        <v>-1.6253030000000002E-2</v>
      </c>
      <c r="O3045">
        <v>-0.92456079999999996</v>
      </c>
      <c r="P3045">
        <v>0.141795799999999</v>
      </c>
      <c r="Q3045">
        <v>0.2059019</v>
      </c>
      <c r="R3045">
        <v>-0.96824500000000002</v>
      </c>
      <c r="S3045">
        <v>1.9836430000000002E-3</v>
      </c>
      <c r="T3045">
        <v>-7.4357149999999997E-2</v>
      </c>
      <c r="U3045">
        <v>-3.1197970000000002</v>
      </c>
      <c r="V3045">
        <v>0.24349280000000001</v>
      </c>
      <c r="W3045">
        <v>0.214728</v>
      </c>
      <c r="X3045">
        <v>0.94583459999999997</v>
      </c>
      <c r="Y3045">
        <v>0.38001950000000001</v>
      </c>
      <c r="Z3045">
        <v>3.9927030000000002E-3</v>
      </c>
      <c r="AA3045">
        <v>0.92496990000000001</v>
      </c>
      <c r="AB3045">
        <v>28</v>
      </c>
      <c r="AC3045">
        <v>-6.5600000000017603E-2</v>
      </c>
      <c r="AD3045">
        <v>-1.10992698771</v>
      </c>
      <c r="AE3045">
        <v>-46.297199999999997</v>
      </c>
      <c r="AF3045">
        <v>17.677618127362301</v>
      </c>
      <c r="AG3045">
        <v>-1.10992698771</v>
      </c>
      <c r="AH3045">
        <v>42.7606722964806</v>
      </c>
      <c r="AI3045">
        <v>91.374131014770995</v>
      </c>
      <c r="AJ3045">
        <v>67.539391098774402</v>
      </c>
      <c r="AK3045">
        <v>46.283962836190902</v>
      </c>
      <c r="AL3045">
        <v>77.600429516349607</v>
      </c>
      <c r="AM3045">
        <v>75.563421351618402</v>
      </c>
      <c r="AN3045">
        <v>0.99999997409649899</v>
      </c>
    </row>
    <row r="3046" spans="1:40" x14ac:dyDescent="0.25">
      <c r="A3046" t="str">
        <f>"20190303170826927"</f>
        <v>20190303170826927</v>
      </c>
      <c r="B3046" t="str">
        <f>"1551604106916065"</f>
        <v>1551604106916065</v>
      </c>
      <c r="C3046" t="s">
        <v>40</v>
      </c>
      <c r="D3046">
        <v>4.761393</v>
      </c>
      <c r="E3046">
        <v>0.55541750000000001</v>
      </c>
      <c r="F3046" t="s">
        <v>58</v>
      </c>
      <c r="G3046">
        <v>-194.0017</v>
      </c>
      <c r="H3046" s="1">
        <v>-1.4854929999999999E-5</v>
      </c>
      <c r="I3046">
        <v>159.1292</v>
      </c>
      <c r="J3046">
        <v>-193.56479999999999</v>
      </c>
      <c r="K3046">
        <v>1.1102209999999999</v>
      </c>
      <c r="L3046">
        <v>202.57550000000001</v>
      </c>
      <c r="M3046">
        <v>0.36810320000000002</v>
      </c>
      <c r="N3046">
        <v>-1.6175640000000002E-2</v>
      </c>
      <c r="O3046">
        <v>-0.92964409999999997</v>
      </c>
      <c r="P3046">
        <v>0.1323241</v>
      </c>
      <c r="Q3046">
        <v>0.20520379999999999</v>
      </c>
      <c r="R3046">
        <v>-0.96973290000000001</v>
      </c>
      <c r="S3046">
        <v>-2.4841309999999998E-2</v>
      </c>
      <c r="T3046">
        <v>-7.9216960000000003E-2</v>
      </c>
      <c r="U3046">
        <v>-3.118881</v>
      </c>
      <c r="V3046">
        <v>0.23976320000000001</v>
      </c>
      <c r="W3046">
        <v>0.2142464</v>
      </c>
      <c r="X3046">
        <v>0.94689599999999996</v>
      </c>
      <c r="Y3046">
        <v>0.37541140000000001</v>
      </c>
      <c r="Z3046">
        <v>5.5880039999999997E-3</v>
      </c>
      <c r="AA3046">
        <v>0.92684140000000004</v>
      </c>
      <c r="AB3046">
        <v>28</v>
      </c>
      <c r="AC3046">
        <v>-0.436900000000008</v>
      </c>
      <c r="AD3046">
        <v>-1.11023585492999</v>
      </c>
      <c r="AE3046">
        <v>-43.446300000000001</v>
      </c>
      <c r="AF3046">
        <v>16.3903291776756</v>
      </c>
      <c r="AG3046">
        <v>-1.11023585492999</v>
      </c>
      <c r="AH3046">
        <v>40.2077870551297</v>
      </c>
      <c r="AI3046">
        <v>91.464711145058402</v>
      </c>
      <c r="AJ3046">
        <v>67.822192785537894</v>
      </c>
      <c r="AK3046">
        <v>43.434337269915702</v>
      </c>
      <c r="AL3046">
        <v>77.628680650612097</v>
      </c>
      <c r="AM3046">
        <v>75.790806154997199</v>
      </c>
      <c r="AN3046">
        <v>0.99999997340159896</v>
      </c>
    </row>
    <row r="3047" spans="1:40" x14ac:dyDescent="0.25">
      <c r="A3047" t="str">
        <f>"20190303170826950"</f>
        <v>20190303170826950</v>
      </c>
      <c r="B3047" t="str">
        <f>"1551604106936561"</f>
        <v>1551604106936561</v>
      </c>
      <c r="C3047" t="s">
        <v>40</v>
      </c>
      <c r="D3047">
        <v>4.8166250000000002</v>
      </c>
      <c r="E3047">
        <v>0.55459459999999905</v>
      </c>
      <c r="F3047" t="s">
        <v>43</v>
      </c>
      <c r="G3047">
        <v>-193.4323</v>
      </c>
      <c r="H3047" s="1">
        <v>-3.9438950000000001E-6</v>
      </c>
      <c r="I3047">
        <v>166.00290000000001</v>
      </c>
      <c r="J3047">
        <v>-193.4753</v>
      </c>
      <c r="K3047">
        <v>1.1105750000000001</v>
      </c>
      <c r="L3047">
        <v>202.30969999999999</v>
      </c>
      <c r="M3047">
        <v>0.35526619999999998</v>
      </c>
      <c r="N3047">
        <v>-1.6088269999999998E-2</v>
      </c>
      <c r="O3047">
        <v>-0.93462679999999998</v>
      </c>
      <c r="P3047">
        <v>0.1211083</v>
      </c>
      <c r="Q3047">
        <v>0.2063469</v>
      </c>
      <c r="R3047">
        <v>-0.97095540000000002</v>
      </c>
      <c r="S3047">
        <v>1.127625E-2</v>
      </c>
      <c r="T3047">
        <v>-9.4473360000000006E-2</v>
      </c>
      <c r="U3047">
        <v>-3.1121059999999998</v>
      </c>
      <c r="V3047">
        <v>0.2374185</v>
      </c>
      <c r="W3047">
        <v>0.2155695</v>
      </c>
      <c r="X3047">
        <v>0.94718650000000004</v>
      </c>
      <c r="Y3047">
        <v>0.35178340000000002</v>
      </c>
      <c r="Z3047">
        <v>1.03304E-2</v>
      </c>
      <c r="AA3047">
        <v>0.93602439999999998</v>
      </c>
      <c r="AB3047">
        <v>28</v>
      </c>
      <c r="AC3047">
        <v>4.3000000000006297E-2</v>
      </c>
      <c r="AD3047">
        <v>-1.110578943895</v>
      </c>
      <c r="AE3047">
        <v>-36.306799999999903</v>
      </c>
      <c r="AF3047">
        <v>12.848031785166899</v>
      </c>
      <c r="AG3047">
        <v>-1.110578943895</v>
      </c>
      <c r="AH3047">
        <v>33.921237316974597</v>
      </c>
      <c r="AI3047">
        <v>91.753695976653503</v>
      </c>
      <c r="AJ3047">
        <v>69.255281283426399</v>
      </c>
      <c r="AK3047">
        <v>36.289883541529797</v>
      </c>
      <c r="AL3047">
        <v>77.551059368573803</v>
      </c>
      <c r="AM3047">
        <v>75.928357274689901</v>
      </c>
      <c r="AN3047">
        <v>1.00000000962737</v>
      </c>
    </row>
    <row r="3048" spans="1:40" x14ac:dyDescent="0.25">
      <c r="A3048" t="str">
        <f>"20190303170826974"</f>
        <v>20190303170826974</v>
      </c>
      <c r="B3048" t="str">
        <f>"1551604106965841"</f>
        <v>1551604106965841</v>
      </c>
      <c r="C3048" t="s">
        <v>40</v>
      </c>
      <c r="D3048">
        <v>4.770473</v>
      </c>
      <c r="E3048">
        <v>0.55347539999999995</v>
      </c>
      <c r="F3048" t="s">
        <v>43</v>
      </c>
      <c r="G3048">
        <v>-193.6833</v>
      </c>
      <c r="H3048" s="1">
        <v>-3.2414110000000001E-6</v>
      </c>
      <c r="I3048">
        <v>164.37549999999999</v>
      </c>
      <c r="J3048">
        <v>-193.38290000000001</v>
      </c>
      <c r="K3048">
        <v>1.110975</v>
      </c>
      <c r="L3048">
        <v>202.02250000000001</v>
      </c>
      <c r="M3048">
        <v>0.34188740000000001</v>
      </c>
      <c r="N3048">
        <v>-1.5987100000000001E-2</v>
      </c>
      <c r="O3048">
        <v>-0.93960500000000002</v>
      </c>
      <c r="P3048">
        <v>0.107294899999999</v>
      </c>
      <c r="Q3048">
        <v>0.2073451</v>
      </c>
      <c r="R3048">
        <v>-0.97236619999999996</v>
      </c>
      <c r="S3048">
        <v>-1.7059330000000001E-2</v>
      </c>
      <c r="T3048">
        <v>-9.1085079999999999E-2</v>
      </c>
      <c r="U3048">
        <v>-3.1112060000000001</v>
      </c>
      <c r="V3048">
        <v>0.2370987</v>
      </c>
      <c r="W3048">
        <v>0.21670310000000001</v>
      </c>
      <c r="X3048">
        <v>0.94700790000000001</v>
      </c>
      <c r="Y3048">
        <v>0.34694560000000002</v>
      </c>
      <c r="Z3048">
        <v>9.709433E-3</v>
      </c>
      <c r="AA3048">
        <v>0.93783499999999997</v>
      </c>
      <c r="AB3048">
        <v>28</v>
      </c>
      <c r="AC3048">
        <v>-0.300399999999996</v>
      </c>
      <c r="AD3048">
        <v>-1.1109782414110001</v>
      </c>
      <c r="AE3048">
        <v>-37.646999999999998</v>
      </c>
      <c r="AF3048">
        <v>13.1435271175925</v>
      </c>
      <c r="AG3048">
        <v>-1.1109782414110001</v>
      </c>
      <c r="AH3048">
        <v>35.244421111280502</v>
      </c>
      <c r="AI3048">
        <v>91.691748400994797</v>
      </c>
      <c r="AJ3048">
        <v>69.548255083811199</v>
      </c>
      <c r="AK3048">
        <v>37.6318455196268</v>
      </c>
      <c r="AL3048">
        <v>77.484536293654799</v>
      </c>
      <c r="AM3048">
        <v>75.944014683353203</v>
      </c>
      <c r="AN3048">
        <v>0.99999999487685498</v>
      </c>
    </row>
    <row r="3049" spans="1:40" x14ac:dyDescent="0.25">
      <c r="A3049" t="str">
        <f>"20190303170826998"</f>
        <v>20190303170826998</v>
      </c>
      <c r="B3049" t="str">
        <f>"1551604106986337"</f>
        <v>1551604106986337</v>
      </c>
      <c r="C3049" t="s">
        <v>40</v>
      </c>
      <c r="D3049">
        <v>4.7585220000000001</v>
      </c>
      <c r="E3049">
        <v>0.54625599999999996</v>
      </c>
      <c r="F3049" t="s">
        <v>43</v>
      </c>
      <c r="G3049">
        <v>-193.9606</v>
      </c>
      <c r="H3049" s="1">
        <v>-3.4043909999999999E-6</v>
      </c>
      <c r="I3049">
        <v>164.5642</v>
      </c>
      <c r="J3049">
        <v>-193.29689999999999</v>
      </c>
      <c r="K3049">
        <v>1.111348</v>
      </c>
      <c r="L3049">
        <v>201.744</v>
      </c>
      <c r="M3049">
        <v>0.32931319999999997</v>
      </c>
      <c r="N3049">
        <v>-1.5889009999999999E-2</v>
      </c>
      <c r="O3049">
        <v>-0.94408700000000001</v>
      </c>
      <c r="P3049">
        <v>9.4328869999999995E-2</v>
      </c>
      <c r="Q3049">
        <v>0.20712610000000001</v>
      </c>
      <c r="R3049">
        <v>-0.97375599999999995</v>
      </c>
      <c r="S3049">
        <v>-4.7973630000000003E-2</v>
      </c>
      <c r="T3049">
        <v>-9.2245939999999998E-2</v>
      </c>
      <c r="U3049">
        <v>-3.110214</v>
      </c>
      <c r="V3049">
        <v>0.23688609999999999</v>
      </c>
      <c r="W3049">
        <v>0.21660679999999999</v>
      </c>
      <c r="X3049">
        <v>0.94708309999999996</v>
      </c>
      <c r="Y3049">
        <v>0.34374579999999999</v>
      </c>
      <c r="Z3049">
        <v>1.033125E-2</v>
      </c>
      <c r="AA3049">
        <v>0.93900589999999995</v>
      </c>
      <c r="AB3049">
        <v>27</v>
      </c>
      <c r="AC3049">
        <v>-0.66370000000000495</v>
      </c>
      <c r="AD3049">
        <v>-1.111351404391</v>
      </c>
      <c r="AE3049">
        <v>-37.1798</v>
      </c>
      <c r="AF3049">
        <v>12.8605279227768</v>
      </c>
      <c r="AG3049">
        <v>-1.111351404391</v>
      </c>
      <c r="AH3049">
        <v>34.855673125673498</v>
      </c>
      <c r="AI3049">
        <v>91.713389318746195</v>
      </c>
      <c r="AJ3049">
        <v>69.747697734020093</v>
      </c>
      <c r="AK3049">
        <v>37.169156964348304</v>
      </c>
      <c r="AL3049">
        <v>77.490187728573204</v>
      </c>
      <c r="AM3049">
        <v>75.957190293998806</v>
      </c>
      <c r="AN3049">
        <v>0.99999996424252902</v>
      </c>
    </row>
    <row r="3050" spans="1:40" x14ac:dyDescent="0.25">
      <c r="A3050" t="str">
        <f>"20190303170827023"</f>
        <v>20190303170827023</v>
      </c>
      <c r="B3050" t="str">
        <f>"1551604107016593"</f>
        <v>1551604107016593</v>
      </c>
      <c r="C3050" t="s">
        <v>40</v>
      </c>
      <c r="D3050">
        <v>4.7792120000000002</v>
      </c>
      <c r="E3050">
        <v>0.54386619999999997</v>
      </c>
      <c r="F3050" t="s">
        <v>43</v>
      </c>
      <c r="G3050">
        <v>-193.6284</v>
      </c>
      <c r="H3050" s="1">
        <v>-4.3001130000000003E-6</v>
      </c>
      <c r="I3050">
        <v>166.80779999999999</v>
      </c>
      <c r="J3050">
        <v>-193.2056</v>
      </c>
      <c r="K3050">
        <v>1.111761</v>
      </c>
      <c r="L3050">
        <v>201.43510000000001</v>
      </c>
      <c r="M3050">
        <v>0.3158763</v>
      </c>
      <c r="N3050">
        <v>-1.57834E-2</v>
      </c>
      <c r="O3050">
        <v>-0.94866930000000005</v>
      </c>
      <c r="P3050">
        <v>8.2420770000000004E-2</v>
      </c>
      <c r="Q3050">
        <v>0.2042359</v>
      </c>
      <c r="R3050">
        <v>-0.97544609999999998</v>
      </c>
      <c r="S3050">
        <v>-2.946472E-2</v>
      </c>
      <c r="T3050">
        <v>-9.8764420000000006E-2</v>
      </c>
      <c r="U3050">
        <v>-3.1047359999999999</v>
      </c>
      <c r="V3050">
        <v>0.23491870000000001</v>
      </c>
      <c r="W3050">
        <v>0.2139055</v>
      </c>
      <c r="X3050">
        <v>0.94818650000000004</v>
      </c>
      <c r="Y3050">
        <v>0.32477590000000001</v>
      </c>
      <c r="Z3050">
        <v>1.2685719999999999E-2</v>
      </c>
      <c r="AA3050">
        <v>0.94570600000000005</v>
      </c>
      <c r="AB3050">
        <v>27</v>
      </c>
      <c r="AC3050">
        <v>-0.42279999999999501</v>
      </c>
      <c r="AD3050">
        <v>-1.1117653001129999</v>
      </c>
      <c r="AE3050">
        <v>-34.627299999999998</v>
      </c>
      <c r="AF3050">
        <v>11.3287748306252</v>
      </c>
      <c r="AG3050">
        <v>-1.1117653001129999</v>
      </c>
      <c r="AH3050">
        <v>32.686683808389397</v>
      </c>
      <c r="AI3050">
        <v>91.840698626269102</v>
      </c>
      <c r="AJ3050">
        <v>70.884356217590195</v>
      </c>
      <c r="AK3050">
        <v>34.6120854563138</v>
      </c>
      <c r="AL3050">
        <v>77.648676659168004</v>
      </c>
      <c r="AM3050">
        <v>76.084840037478401</v>
      </c>
      <c r="AN3050">
        <v>0.99999999866109401</v>
      </c>
    </row>
    <row r="3051" spans="1:40" x14ac:dyDescent="0.25">
      <c r="A3051" t="str">
        <f>"20190303170827041"</f>
        <v>20190303170827041</v>
      </c>
      <c r="B3051" t="str">
        <f>"1551604107036113"</f>
        <v>1551604107036113</v>
      </c>
      <c r="C3051" t="s">
        <v>40</v>
      </c>
      <c r="D3051">
        <v>4.781809</v>
      </c>
      <c r="E3051">
        <v>0.54261610000000005</v>
      </c>
      <c r="F3051" t="s">
        <v>43</v>
      </c>
      <c r="G3051">
        <v>-193.7013</v>
      </c>
      <c r="H3051" s="1">
        <v>-5.29544599999999E-6</v>
      </c>
      <c r="I3051">
        <v>169.36600000000001</v>
      </c>
      <c r="J3051">
        <v>-193.14269999999999</v>
      </c>
      <c r="K3051">
        <v>1.1120650000000001</v>
      </c>
      <c r="L3051">
        <v>201.21379999999999</v>
      </c>
      <c r="M3051">
        <v>0.30665019999999998</v>
      </c>
      <c r="N3051">
        <v>-1.570537E-2</v>
      </c>
      <c r="O3051">
        <v>-0.9516926</v>
      </c>
      <c r="P3051">
        <v>7.5914239999999994E-2</v>
      </c>
      <c r="Q3051">
        <v>0.2029765</v>
      </c>
      <c r="R3051">
        <v>-0.97623629999999995</v>
      </c>
      <c r="S3051">
        <v>-4.795837E-2</v>
      </c>
      <c r="T3051">
        <v>-0.1075425</v>
      </c>
      <c r="U3051">
        <v>-3.1020810000000001</v>
      </c>
      <c r="V3051">
        <v>0.2319167</v>
      </c>
      <c r="W3051">
        <v>0.21282419999999999</v>
      </c>
      <c r="X3051">
        <v>0.94916829999999996</v>
      </c>
      <c r="Y3051">
        <v>0.32122869999999998</v>
      </c>
      <c r="Z3051">
        <v>1.548298E-2</v>
      </c>
      <c r="AA3051">
        <v>0.94687509999999997</v>
      </c>
      <c r="AB3051">
        <v>27</v>
      </c>
      <c r="AC3051">
        <v>-0.55860000000001198</v>
      </c>
      <c r="AD3051">
        <v>-1.11207029544599</v>
      </c>
      <c r="AE3051">
        <v>-31.847799999999999</v>
      </c>
      <c r="AF3051">
        <v>10.286482653201199</v>
      </c>
      <c r="AG3051">
        <v>-1.11207029544599</v>
      </c>
      <c r="AH3051">
        <v>30.1050458841382</v>
      </c>
      <c r="AI3051">
        <v>92.001985346519504</v>
      </c>
      <c r="AJ3051">
        <v>71.135403576358101</v>
      </c>
      <c r="AK3051">
        <v>31.833350646808899</v>
      </c>
      <c r="AL3051">
        <v>77.712090605892897</v>
      </c>
      <c r="AM3051">
        <v>76.2695542271112</v>
      </c>
      <c r="AN3051">
        <v>0.99999997878470903</v>
      </c>
    </row>
    <row r="3052" spans="1:40" x14ac:dyDescent="0.25">
      <c r="A3052" t="str">
        <f>"20190303170827063"</f>
        <v>20190303170827063</v>
      </c>
      <c r="B3052" t="str">
        <f>"1551604107056608"</f>
        <v>1551604107056608</v>
      </c>
      <c r="C3052" t="s">
        <v>40</v>
      </c>
      <c r="D3052">
        <v>4.8156309999999998</v>
      </c>
      <c r="E3052">
        <v>0.53418180000000004</v>
      </c>
      <c r="F3052" t="s">
        <v>43</v>
      </c>
      <c r="G3052">
        <v>-193.7698</v>
      </c>
      <c r="H3052" s="1">
        <v>-5.1769429999999996E-6</v>
      </c>
      <c r="I3052">
        <v>169.0258</v>
      </c>
      <c r="J3052">
        <v>-193.07149999999999</v>
      </c>
      <c r="K3052">
        <v>1.112452</v>
      </c>
      <c r="L3052">
        <v>200.95429999999999</v>
      </c>
      <c r="M3052">
        <v>0.29626209999999997</v>
      </c>
      <c r="N3052">
        <v>-1.560889E-2</v>
      </c>
      <c r="O3052">
        <v>-0.95497909999999997</v>
      </c>
      <c r="P3052">
        <v>6.7513859999999995E-2</v>
      </c>
      <c r="Q3052">
        <v>0.20315279999999999</v>
      </c>
      <c r="R3052">
        <v>-0.97681669999999998</v>
      </c>
      <c r="S3052">
        <v>-6.0394290000000003E-2</v>
      </c>
      <c r="T3052">
        <v>-0.10710169999999999</v>
      </c>
      <c r="U3052">
        <v>-3.0999759999999998</v>
      </c>
      <c r="V3052">
        <v>0.2295209</v>
      </c>
      <c r="W3052">
        <v>0.2131816</v>
      </c>
      <c r="X3052">
        <v>0.94967040000000003</v>
      </c>
      <c r="Y3052">
        <v>0.31471369999999999</v>
      </c>
      <c r="Z3052">
        <v>1.567116E-2</v>
      </c>
      <c r="AA3052">
        <v>0.94905729999999999</v>
      </c>
      <c r="AB3052">
        <v>27</v>
      </c>
      <c r="AC3052">
        <v>-0.69830000000001702</v>
      </c>
      <c r="AD3052">
        <v>-1.1124571769430001</v>
      </c>
      <c r="AE3052">
        <v>-31.9284999999999</v>
      </c>
      <c r="AF3052">
        <v>10.115026870459801</v>
      </c>
      <c r="AG3052">
        <v>-1.1124571769430001</v>
      </c>
      <c r="AH3052">
        <v>30.251154395809401</v>
      </c>
      <c r="AI3052">
        <v>91.997442268977395</v>
      </c>
      <c r="AJ3052">
        <v>71.511698795384902</v>
      </c>
      <c r="AK3052">
        <v>31.916824275603499</v>
      </c>
      <c r="AL3052">
        <v>77.691133062040294</v>
      </c>
      <c r="AM3052">
        <v>76.413027202148896</v>
      </c>
      <c r="AN3052">
        <v>1.00000005337576</v>
      </c>
    </row>
    <row r="3053" spans="1:40" x14ac:dyDescent="0.25">
      <c r="A3053" t="str">
        <f>"20190303170827086"</f>
        <v>20190303170827086</v>
      </c>
      <c r="B3053" t="str">
        <f>"1551604107076133"</f>
        <v>1551604107076133</v>
      </c>
      <c r="C3053" t="s">
        <v>40</v>
      </c>
      <c r="D3053">
        <v>4.7998370000000001</v>
      </c>
      <c r="E3053">
        <v>0.53308</v>
      </c>
      <c r="F3053" t="s">
        <v>43</v>
      </c>
      <c r="G3053">
        <v>-193.274</v>
      </c>
      <c r="H3053" s="1">
        <v>-4.5509120000000002E-6</v>
      </c>
      <c r="I3053">
        <v>167.62459999999999</v>
      </c>
      <c r="J3053">
        <v>-192.99879999999999</v>
      </c>
      <c r="K3053">
        <v>1.112905</v>
      </c>
      <c r="L3053">
        <v>200.67959999999999</v>
      </c>
      <c r="M3053">
        <v>0.28578900000000002</v>
      </c>
      <c r="N3053">
        <v>-1.5503029999999999E-2</v>
      </c>
      <c r="O3053">
        <v>-0.95816730000000006</v>
      </c>
      <c r="P3053">
        <v>5.8233109999999998E-2</v>
      </c>
      <c r="Q3053">
        <v>0.20247080000000001</v>
      </c>
      <c r="R3053">
        <v>-0.97755579999999997</v>
      </c>
      <c r="S3053">
        <v>-1.8798829999999999E-2</v>
      </c>
      <c r="T3053">
        <v>-0.103268899999999</v>
      </c>
      <c r="U3053">
        <v>-3.093979</v>
      </c>
      <c r="V3053">
        <v>0.22793179999999999</v>
      </c>
      <c r="W3053">
        <v>0.21268210000000001</v>
      </c>
      <c r="X3053">
        <v>0.95016489999999998</v>
      </c>
      <c r="Y3053">
        <v>0.29152410000000001</v>
      </c>
      <c r="Z3053">
        <v>1.503438E-2</v>
      </c>
      <c r="AA3053">
        <v>0.95644530000000005</v>
      </c>
      <c r="AB3053">
        <v>27</v>
      </c>
      <c r="AC3053">
        <v>-0.27520000000001199</v>
      </c>
      <c r="AD3053">
        <v>-1.1129095509119999</v>
      </c>
      <c r="AE3053">
        <v>-33.055</v>
      </c>
      <c r="AF3053">
        <v>9.7006133639464007</v>
      </c>
      <c r="AG3053">
        <v>-1.1129095509119999</v>
      </c>
      <c r="AH3053">
        <v>31.561589478338401</v>
      </c>
      <c r="AI3053">
        <v>91.930447062188506</v>
      </c>
      <c r="AJ3053">
        <v>72.914925839025202</v>
      </c>
      <c r="AK3053">
        <v>33.037469602020799</v>
      </c>
      <c r="AL3053">
        <v>77.720422855804301</v>
      </c>
      <c r="AM3053">
        <v>76.510411911050099</v>
      </c>
      <c r="AN3053">
        <v>0.99999995915182904</v>
      </c>
    </row>
    <row r="3054" spans="1:40" x14ac:dyDescent="0.25">
      <c r="A3054" t="str">
        <f>"20190303170827107"</f>
        <v>20190303170827107</v>
      </c>
      <c r="B3054" t="str">
        <f>"1551604107096626"</f>
        <v>1551604107096626</v>
      </c>
      <c r="C3054" t="s">
        <v>40</v>
      </c>
      <c r="D3054">
        <v>4.7844319999999998</v>
      </c>
      <c r="E3054">
        <v>0.53260269999999899</v>
      </c>
      <c r="F3054" t="s">
        <v>43</v>
      </c>
      <c r="G3054">
        <v>-193.37</v>
      </c>
      <c r="H3054" s="1">
        <v>-4.8288210000000002E-6</v>
      </c>
      <c r="I3054">
        <v>168.304</v>
      </c>
      <c r="J3054">
        <v>-192.93450000000001</v>
      </c>
      <c r="K3054">
        <v>1.1133459999999999</v>
      </c>
      <c r="L3054">
        <v>200.42740000000001</v>
      </c>
      <c r="M3054">
        <v>0.27666580000000002</v>
      </c>
      <c r="N3054">
        <v>-1.540622E-2</v>
      </c>
      <c r="O3054">
        <v>-0.96084270000000005</v>
      </c>
      <c r="P3054">
        <v>5.0080710000000001E-2</v>
      </c>
      <c r="Q3054">
        <v>0.2020574</v>
      </c>
      <c r="R3054">
        <v>-0.97809259999999998</v>
      </c>
      <c r="S3054">
        <v>-3.5461430000000002E-2</v>
      </c>
      <c r="T3054">
        <v>-0.10632179999999999</v>
      </c>
      <c r="U3054">
        <v>-3.0930019999999998</v>
      </c>
      <c r="V3054">
        <v>0.2266077</v>
      </c>
      <c r="W3054">
        <v>0.21244080000000001</v>
      </c>
      <c r="X3054">
        <v>0.95053560000000004</v>
      </c>
      <c r="Y3054">
        <v>0.28758030000000001</v>
      </c>
      <c r="Z3054">
        <v>1.6189430000000001E-2</v>
      </c>
      <c r="AA3054">
        <v>0.95761969999999996</v>
      </c>
      <c r="AB3054">
        <v>27</v>
      </c>
      <c r="AC3054">
        <v>-0.43549999999999001</v>
      </c>
      <c r="AD3054">
        <v>-1.1133508288209999</v>
      </c>
      <c r="AE3054">
        <v>-32.123399999999997</v>
      </c>
      <c r="AF3054">
        <v>9.29583343628234</v>
      </c>
      <c r="AG3054">
        <v>-1.1133508288209999</v>
      </c>
      <c r="AH3054">
        <v>30.711810876903598</v>
      </c>
      <c r="AI3054">
        <v>91.987194335133395</v>
      </c>
      <c r="AJ3054">
        <v>73.160015730324005</v>
      </c>
      <c r="AK3054">
        <v>32.107123768438598</v>
      </c>
      <c r="AL3054">
        <v>77.734572605981299</v>
      </c>
      <c r="AM3054">
        <v>76.590977850850607</v>
      </c>
      <c r="AN3054">
        <v>1.0000000350356399</v>
      </c>
    </row>
    <row r="3055" spans="1:40" x14ac:dyDescent="0.25">
      <c r="A3055" t="str">
        <f>"20190303170827129"</f>
        <v>20190303170827129</v>
      </c>
      <c r="B3055" t="str">
        <f>"1551604107116146"</f>
        <v>1551604107116146</v>
      </c>
      <c r="C3055" t="s">
        <v>40</v>
      </c>
      <c r="D3055">
        <v>4.8119969999999999</v>
      </c>
      <c r="E3055">
        <v>0.53154469999999898</v>
      </c>
      <c r="F3055" t="s">
        <v>43</v>
      </c>
      <c r="G3055">
        <v>-193.51750000000001</v>
      </c>
      <c r="H3055" s="1">
        <v>-4.778199E-6</v>
      </c>
      <c r="I3055">
        <v>168.10400000000001</v>
      </c>
      <c r="J3055">
        <v>-192.869</v>
      </c>
      <c r="K3055">
        <v>1.11382</v>
      </c>
      <c r="L3055">
        <v>200.16239999999999</v>
      </c>
      <c r="M3055">
        <v>0.26759149999999998</v>
      </c>
      <c r="N3055">
        <v>-1.530772E-2</v>
      </c>
      <c r="O3055">
        <v>-0.96341089999999996</v>
      </c>
      <c r="P3055">
        <v>4.3901700000000002E-2</v>
      </c>
      <c r="Q3055">
        <v>0.20017550000000001</v>
      </c>
      <c r="R3055">
        <v>-0.97877599999999998</v>
      </c>
      <c r="S3055">
        <v>-5.577087E-2</v>
      </c>
      <c r="T3055">
        <v>-0.10650320000000001</v>
      </c>
      <c r="U3055">
        <v>-3.0920559999999999</v>
      </c>
      <c r="V3055">
        <v>0.22346659999999999</v>
      </c>
      <c r="W3055">
        <v>0.2107868</v>
      </c>
      <c r="X3055">
        <v>0.95164680000000001</v>
      </c>
      <c r="Y3055">
        <v>0.28483979999999998</v>
      </c>
      <c r="Z3055">
        <v>1.6483379999999999E-2</v>
      </c>
      <c r="AA3055">
        <v>0.95843339999999999</v>
      </c>
      <c r="AB3055">
        <v>27</v>
      </c>
      <c r="AC3055">
        <v>-0.64849999999998398</v>
      </c>
      <c r="AD3055">
        <v>-1.1138247781990001</v>
      </c>
      <c r="AE3055">
        <v>-32.058399999999899</v>
      </c>
      <c r="AF3055">
        <v>9.1933124526479695</v>
      </c>
      <c r="AG3055">
        <v>-1.1138247781990001</v>
      </c>
      <c r="AH3055">
        <v>30.678458913524501</v>
      </c>
      <c r="AI3055">
        <v>91.9918541425982</v>
      </c>
      <c r="AJ3055">
        <v>73.318277421764094</v>
      </c>
      <c r="AK3055">
        <v>32.045677412052903</v>
      </c>
      <c r="AL3055">
        <v>77.831535465147695</v>
      </c>
      <c r="AM3055">
        <v>76.785171433698906</v>
      </c>
      <c r="AN3055">
        <v>1.0000000141600101</v>
      </c>
    </row>
    <row r="3056" spans="1:40" x14ac:dyDescent="0.25">
      <c r="A3056" t="str">
        <f>"20190303170827153"</f>
        <v>20190303170827153</v>
      </c>
      <c r="B3056" t="str">
        <f>"1551604107146401"</f>
        <v>1551604107146401</v>
      </c>
      <c r="C3056" t="s">
        <v>40</v>
      </c>
      <c r="D3056">
        <v>4.8178669999999997</v>
      </c>
      <c r="E3056">
        <v>0.52521379999999995</v>
      </c>
      <c r="F3056" t="s">
        <v>43</v>
      </c>
      <c r="G3056">
        <v>-193.53700000000001</v>
      </c>
      <c r="H3056" s="1">
        <v>-9.7679170000000008E-7</v>
      </c>
      <c r="I3056">
        <v>169.67230000000001</v>
      </c>
      <c r="J3056">
        <v>-192.8013</v>
      </c>
      <c r="K3056">
        <v>1.114304</v>
      </c>
      <c r="L3056">
        <v>199.87860000000001</v>
      </c>
      <c r="M3056">
        <v>0.25849450000000002</v>
      </c>
      <c r="N3056">
        <v>-1.520518E-2</v>
      </c>
      <c r="O3056">
        <v>-0.96589309999999995</v>
      </c>
      <c r="P3056">
        <v>3.9117520000000003E-2</v>
      </c>
      <c r="Q3056">
        <v>0.19881360000000001</v>
      </c>
      <c r="R3056">
        <v>-0.97925620000000002</v>
      </c>
      <c r="S3056">
        <v>-6.7718509999999996E-2</v>
      </c>
      <c r="T3056">
        <v>-0.1129222</v>
      </c>
      <c r="U3056">
        <v>-3.0911710000000001</v>
      </c>
      <c r="V3056">
        <v>0.21892880000000001</v>
      </c>
      <c r="W3056">
        <v>0.20967820000000001</v>
      </c>
      <c r="X3056">
        <v>0.9529455</v>
      </c>
      <c r="Y3056">
        <v>0.279501</v>
      </c>
      <c r="Z3056">
        <v>1.8668850000000001E-2</v>
      </c>
      <c r="AA3056">
        <v>0.95996389999999998</v>
      </c>
      <c r="AB3056">
        <v>27</v>
      </c>
      <c r="AC3056">
        <v>-0.73570000000000801</v>
      </c>
      <c r="AD3056">
        <v>-1.1143049767916999</v>
      </c>
      <c r="AE3056">
        <v>-30.206299999999999</v>
      </c>
      <c r="AF3056">
        <v>8.5081829666198505</v>
      </c>
      <c r="AG3056">
        <v>-1.1143049767916999</v>
      </c>
      <c r="AH3056">
        <v>28.9498591133468</v>
      </c>
      <c r="AI3056">
        <v>92.114917110676899</v>
      </c>
      <c r="AJ3056">
        <v>73.622266807566007</v>
      </c>
      <c r="AK3056">
        <v>30.194787557745901</v>
      </c>
      <c r="AL3056">
        <v>77.896504727328804</v>
      </c>
      <c r="AM3056">
        <v>77.061436091787996</v>
      </c>
      <c r="AN3056">
        <v>0.99999994649746304</v>
      </c>
    </row>
    <row r="3057" spans="1:40" x14ac:dyDescent="0.25">
      <c r="A3057" t="str">
        <f>"20190303170827176"</f>
        <v>20190303170827176</v>
      </c>
      <c r="B3057" t="str">
        <f>"1551604107165925"</f>
        <v>1551604107165925</v>
      </c>
      <c r="C3057" t="s">
        <v>40</v>
      </c>
      <c r="D3057">
        <v>4.9943809999999997</v>
      </c>
      <c r="E3057">
        <v>0.5221787</v>
      </c>
      <c r="F3057" t="s">
        <v>43</v>
      </c>
      <c r="G3057">
        <v>-193.1455</v>
      </c>
      <c r="H3057" s="1">
        <v>-5.09013699999999E-6</v>
      </c>
      <c r="I3057">
        <v>169.0882</v>
      </c>
      <c r="J3057">
        <v>-192.739</v>
      </c>
      <c r="K3057">
        <v>1.1147039999999999</v>
      </c>
      <c r="L3057">
        <v>199.6088</v>
      </c>
      <c r="M3057">
        <v>0.25029790000000002</v>
      </c>
      <c r="N3057">
        <v>-1.5113659999999999E-2</v>
      </c>
      <c r="O3057">
        <v>-0.96805099999999999</v>
      </c>
      <c r="P3057">
        <v>3.4036339999999998E-2</v>
      </c>
      <c r="Q3057">
        <v>0.19954949999999999</v>
      </c>
      <c r="R3057">
        <v>-0.97929630000000001</v>
      </c>
      <c r="S3057">
        <v>-3.4515379999999998E-2</v>
      </c>
      <c r="T3057">
        <v>-0.1117418</v>
      </c>
      <c r="U3057">
        <v>-3.087631</v>
      </c>
      <c r="V3057">
        <v>0.21555389999999999</v>
      </c>
      <c r="W3057">
        <v>0.21059710000000001</v>
      </c>
      <c r="X3057">
        <v>0.95351209999999997</v>
      </c>
      <c r="Y3057">
        <v>0.26102560000000002</v>
      </c>
      <c r="Z3057">
        <v>1.8681619999999999E-2</v>
      </c>
      <c r="AA3057">
        <v>0.96515110000000004</v>
      </c>
      <c r="AB3057">
        <v>27</v>
      </c>
      <c r="AC3057">
        <v>-0.40649999999999398</v>
      </c>
      <c r="AD3057">
        <v>-1.114709090137</v>
      </c>
      <c r="AE3057">
        <v>-30.520600000000002</v>
      </c>
      <c r="AF3057">
        <v>8.0229713231079796</v>
      </c>
      <c r="AG3057">
        <v>-1.114709090137</v>
      </c>
      <c r="AH3057">
        <v>29.407890232273999</v>
      </c>
      <c r="AI3057">
        <v>92.0942954502774</v>
      </c>
      <c r="AJ3057">
        <v>74.740098260613394</v>
      </c>
      <c r="AK3057">
        <v>30.503026950132799</v>
      </c>
      <c r="AL3057">
        <v>77.842653558184594</v>
      </c>
      <c r="AM3057">
        <v>77.261653690849599</v>
      </c>
      <c r="AN3057">
        <v>0.99999997359001402</v>
      </c>
    </row>
    <row r="3058" spans="1:40" x14ac:dyDescent="0.25">
      <c r="A3058" t="str">
        <f>"20190303170827198"</f>
        <v>20190303170827198</v>
      </c>
      <c r="B3058" t="str">
        <f>"1551604107186420"</f>
        <v>1551604107186420</v>
      </c>
      <c r="C3058" t="s">
        <v>40</v>
      </c>
      <c r="D3058">
        <v>4.9939629999999999</v>
      </c>
      <c r="E3058">
        <v>0.51965640000000002</v>
      </c>
      <c r="F3058" t="s">
        <v>43</v>
      </c>
      <c r="G3058">
        <v>-192.9915</v>
      </c>
      <c r="H3058" s="1">
        <v>-4.5896650000000004E-6</v>
      </c>
      <c r="I3058">
        <v>167.85599999999999</v>
      </c>
      <c r="J3058">
        <v>-192.67920000000001</v>
      </c>
      <c r="K3058">
        <v>1.115067</v>
      </c>
      <c r="L3058">
        <v>199.34209999999999</v>
      </c>
      <c r="M3058">
        <v>0.2426246</v>
      </c>
      <c r="N3058">
        <v>-1.502964E-2</v>
      </c>
      <c r="O3058">
        <v>-0.97000399999999998</v>
      </c>
      <c r="P3058">
        <v>2.8423090000000002E-2</v>
      </c>
      <c r="Q3058">
        <v>0.2012005</v>
      </c>
      <c r="R3058">
        <v>-0.97913760000000005</v>
      </c>
      <c r="S3058">
        <v>-2.4551389999999999E-2</v>
      </c>
      <c r="T3058">
        <v>-0.10834870000000001</v>
      </c>
      <c r="U3058">
        <v>-3.0863489999999998</v>
      </c>
      <c r="V3058">
        <v>0.21322240000000001</v>
      </c>
      <c r="W3058">
        <v>0.2123872</v>
      </c>
      <c r="X3058">
        <v>0.95363929999999997</v>
      </c>
      <c r="Y3058">
        <v>0.25026219999999999</v>
      </c>
      <c r="Z3058">
        <v>1.7913519999999999E-2</v>
      </c>
      <c r="AA3058">
        <v>0.9680124</v>
      </c>
      <c r="AB3058">
        <v>27</v>
      </c>
      <c r="AC3058">
        <v>-0.31229999999999303</v>
      </c>
      <c r="AD3058">
        <v>-1.1150715896650001</v>
      </c>
      <c r="AE3058">
        <v>-31.4861</v>
      </c>
      <c r="AF3058">
        <v>7.9331816385977199</v>
      </c>
      <c r="AG3058">
        <v>-1.1150715896650001</v>
      </c>
      <c r="AH3058">
        <v>30.431144480423299</v>
      </c>
      <c r="AI3058">
        <v>92.030708311251701</v>
      </c>
      <c r="AJ3058">
        <v>75.388606576780305</v>
      </c>
      <c r="AK3058">
        <v>31.467972765169701</v>
      </c>
      <c r="AL3058">
        <v>77.737715123288893</v>
      </c>
      <c r="AM3058">
        <v>77.396637596095104</v>
      </c>
      <c r="AN3058">
        <v>1.0000000145450401</v>
      </c>
    </row>
    <row r="3059" spans="1:40" x14ac:dyDescent="0.25">
      <c r="A3059" t="str">
        <f>"20190303170827220"</f>
        <v>20190303170827220</v>
      </c>
      <c r="B3059" t="str">
        <f>"1551604107205939"</f>
        <v>1551604107205939</v>
      </c>
      <c r="C3059" t="s">
        <v>40</v>
      </c>
      <c r="D3059">
        <v>4.9391389999999999</v>
      </c>
      <c r="E3059">
        <v>0.51855519999999999</v>
      </c>
      <c r="F3059" t="s">
        <v>43</v>
      </c>
      <c r="G3059">
        <v>-192.9067</v>
      </c>
      <c r="H3059" s="1">
        <v>-2.2734699999999999E-6</v>
      </c>
      <c r="I3059">
        <v>162.76499999999999</v>
      </c>
      <c r="J3059">
        <v>-192.6208</v>
      </c>
      <c r="K3059">
        <v>1.115415</v>
      </c>
      <c r="L3059">
        <v>199.0735</v>
      </c>
      <c r="M3059">
        <v>0.235346</v>
      </c>
      <c r="N3059">
        <v>-1.4948599999999999E-2</v>
      </c>
      <c r="O3059">
        <v>-0.97179689999999996</v>
      </c>
      <c r="P3059">
        <v>2.3648120000000002E-2</v>
      </c>
      <c r="Q3059">
        <v>0.20050699999999999</v>
      </c>
      <c r="R3059">
        <v>-0.97940700000000003</v>
      </c>
      <c r="S3059">
        <v>-1.9180300000000001E-2</v>
      </c>
      <c r="T3059">
        <v>-9.4011430000000007E-2</v>
      </c>
      <c r="U3059">
        <v>-3.0838169999999998</v>
      </c>
      <c r="V3059">
        <v>0.21055979999999999</v>
      </c>
      <c r="W3059">
        <v>0.21183920000000001</v>
      </c>
      <c r="X3059">
        <v>0.95435250000000005</v>
      </c>
      <c r="Y3059">
        <v>0.2413276</v>
      </c>
      <c r="Z3059">
        <v>1.378042E-2</v>
      </c>
      <c r="AA3059">
        <v>0.97034589999999998</v>
      </c>
      <c r="AB3059">
        <v>27</v>
      </c>
      <c r="AC3059">
        <v>-0.28589999999999799</v>
      </c>
      <c r="AD3059">
        <v>-1.1154172734700001</v>
      </c>
      <c r="AE3059">
        <v>-36.308500000000002</v>
      </c>
      <c r="AF3059">
        <v>8.8155618999869194</v>
      </c>
      <c r="AG3059">
        <v>-1.1154172734700001</v>
      </c>
      <c r="AH3059">
        <v>35.187923865149997</v>
      </c>
      <c r="AI3059">
        <v>91.761209663069707</v>
      </c>
      <c r="AJ3059">
        <v>75.935284819439403</v>
      </c>
      <c r="AK3059">
        <v>36.292537431902602</v>
      </c>
      <c r="AL3059">
        <v>77.769843941592697</v>
      </c>
      <c r="AM3059">
        <v>77.558098392253797</v>
      </c>
      <c r="AN3059">
        <v>0.99999998514446398</v>
      </c>
    </row>
    <row r="3060" spans="1:40" x14ac:dyDescent="0.25">
      <c r="A3060" t="str">
        <f>"20190303170827242"</f>
        <v>20190303170827242</v>
      </c>
      <c r="B3060" t="str">
        <f>"1551604107236193"</f>
        <v>1551604107236193</v>
      </c>
      <c r="C3060" t="s">
        <v>40</v>
      </c>
      <c r="D3060">
        <v>4.7863340000000001</v>
      </c>
      <c r="E3060">
        <v>0.51685709999999996</v>
      </c>
      <c r="F3060" t="s">
        <v>43</v>
      </c>
      <c r="G3060">
        <v>-192.91849999999999</v>
      </c>
      <c r="H3060" s="1">
        <v>-1.9428630000000001E-6</v>
      </c>
      <c r="I3060">
        <v>162.05889999999999</v>
      </c>
      <c r="J3060">
        <v>-192.5658</v>
      </c>
      <c r="K3060">
        <v>1.1157680000000001</v>
      </c>
      <c r="L3060">
        <v>198.8134</v>
      </c>
      <c r="M3060">
        <v>0.22872619999999999</v>
      </c>
      <c r="N3060">
        <v>-1.4871229999999999E-2</v>
      </c>
      <c r="O3060">
        <v>-0.9733773</v>
      </c>
      <c r="P3060">
        <v>2.0269160000000001E-2</v>
      </c>
      <c r="Q3060">
        <v>0.1973163</v>
      </c>
      <c r="R3060">
        <v>-0.98013070000000002</v>
      </c>
      <c r="S3060">
        <v>-2.479553E-2</v>
      </c>
      <c r="T3060">
        <v>-9.2896339999999994E-2</v>
      </c>
      <c r="U3060">
        <v>-3.0827179999999998</v>
      </c>
      <c r="V3060">
        <v>0.2072717</v>
      </c>
      <c r="W3060">
        <v>0.20881279999999999</v>
      </c>
      <c r="X3060">
        <v>0.95573830000000004</v>
      </c>
      <c r="Y3060">
        <v>0.2364918</v>
      </c>
      <c r="Z3060">
        <v>1.3613480000000001E-2</v>
      </c>
      <c r="AA3060">
        <v>0.97153809999999996</v>
      </c>
      <c r="AB3060">
        <v>27</v>
      </c>
      <c r="AC3060">
        <v>-0.35269999999999802</v>
      </c>
      <c r="AD3060">
        <v>-1.1157699428629999</v>
      </c>
      <c r="AE3060">
        <v>-36.7545</v>
      </c>
      <c r="AF3060">
        <v>8.7429376567148296</v>
      </c>
      <c r="AG3060">
        <v>-1.1157699428629999</v>
      </c>
      <c r="AH3060">
        <v>35.6664024104508</v>
      </c>
      <c r="AI3060">
        <v>91.740336371453907</v>
      </c>
      <c r="AJ3060">
        <v>76.226623700994793</v>
      </c>
      <c r="AK3060">
        <v>36.7392999707236</v>
      </c>
      <c r="AL3060">
        <v>77.947211882930901</v>
      </c>
      <c r="AM3060">
        <v>77.763707960647594</v>
      </c>
      <c r="AN3060">
        <v>1.0000000205758099</v>
      </c>
    </row>
    <row r="3061" spans="1:40" x14ac:dyDescent="0.25">
      <c r="A3061" t="str">
        <f>"20190303170827264"</f>
        <v>20190303170827264</v>
      </c>
      <c r="B3061" t="str">
        <f>"1551604107256689"</f>
        <v>1551604107256689</v>
      </c>
      <c r="C3061" t="s">
        <v>40</v>
      </c>
      <c r="D3061">
        <v>4.9225099999999999</v>
      </c>
      <c r="E3061">
        <v>0.53143949999999995</v>
      </c>
      <c r="F3061" t="s">
        <v>43</v>
      </c>
      <c r="G3061">
        <v>-192.81700000000001</v>
      </c>
      <c r="H3061" s="1">
        <v>-3.5621269999999999E-6</v>
      </c>
      <c r="I3061">
        <v>165.54159999999999</v>
      </c>
      <c r="J3061">
        <v>-192.511</v>
      </c>
      <c r="K3061">
        <v>1.1161319999999999</v>
      </c>
      <c r="L3061">
        <v>198.54769999999999</v>
      </c>
      <c r="M3061">
        <v>0.22238550000000001</v>
      </c>
      <c r="N3061">
        <v>-1.479432E-2</v>
      </c>
      <c r="O3061">
        <v>-0.97484660000000001</v>
      </c>
      <c r="P3061">
        <v>1.5251249999999999E-2</v>
      </c>
      <c r="Q3061">
        <v>0.19584090000000001</v>
      </c>
      <c r="R3061">
        <v>-0.98051730000000004</v>
      </c>
      <c r="S3061">
        <v>-2.3269649999999999E-2</v>
      </c>
      <c r="T3061">
        <v>-0.10335859999999999</v>
      </c>
      <c r="U3061">
        <v>-3.0821079999999998</v>
      </c>
      <c r="V3061">
        <v>0.20579549999999999</v>
      </c>
      <c r="W3061">
        <v>0.20747660000000001</v>
      </c>
      <c r="X3061">
        <v>0.95634810000000003</v>
      </c>
      <c r="Y3061">
        <v>0.2296784</v>
      </c>
      <c r="Z3061">
        <v>1.700631E-2</v>
      </c>
      <c r="AA3061">
        <v>0.97311800000000004</v>
      </c>
      <c r="AB3061">
        <v>27</v>
      </c>
      <c r="AC3061">
        <v>-0.30600000000001099</v>
      </c>
      <c r="AD3061">
        <v>-1.1161355621269999</v>
      </c>
      <c r="AE3061">
        <v>-33.006100000000004</v>
      </c>
      <c r="AF3061">
        <v>7.6304919668733397</v>
      </c>
      <c r="AG3061">
        <v>-1.1161355621269999</v>
      </c>
      <c r="AH3061">
        <v>32.074672487195102</v>
      </c>
      <c r="AI3061">
        <v>91.938907896444604</v>
      </c>
      <c r="AJ3061">
        <v>76.618211677014003</v>
      </c>
      <c r="AK3061">
        <v>32.988706876905503</v>
      </c>
      <c r="AL3061">
        <v>78.025484685082802</v>
      </c>
      <c r="AM3061">
        <v>77.855775006091605</v>
      </c>
      <c r="AN3061">
        <v>1.0000000078707101</v>
      </c>
    </row>
    <row r="3062" spans="1:40" x14ac:dyDescent="0.25">
      <c r="A3062" t="str">
        <f>"20190303170827286"</f>
        <v>20190303170827286</v>
      </c>
      <c r="B3062" t="str">
        <f>"1551604107276210"</f>
        <v>1551604107276210</v>
      </c>
      <c r="C3062" t="s">
        <v>40</v>
      </c>
      <c r="D3062">
        <v>4.8635849999999996</v>
      </c>
      <c r="E3062">
        <v>0.54226359999999996</v>
      </c>
      <c r="F3062" t="s">
        <v>43</v>
      </c>
      <c r="G3062">
        <v>-194.0112</v>
      </c>
      <c r="H3062" s="1">
        <v>-5.2244899999999998E-6</v>
      </c>
      <c r="I3062">
        <v>169.03819999999999</v>
      </c>
      <c r="J3062">
        <v>-192.4572</v>
      </c>
      <c r="K3062">
        <v>1.116525</v>
      </c>
      <c r="L3062">
        <v>198.2801</v>
      </c>
      <c r="M3062">
        <v>0.2164256</v>
      </c>
      <c r="N3062">
        <v>-1.472102E-2</v>
      </c>
      <c r="O3062">
        <v>-0.9761881</v>
      </c>
      <c r="P3062">
        <v>9.0056289999999994E-3</v>
      </c>
      <c r="Q3062">
        <v>0.19494159999999999</v>
      </c>
      <c r="R3062">
        <v>-0.98077360000000002</v>
      </c>
      <c r="S3062">
        <v>-0.15684509999999999</v>
      </c>
      <c r="T3062">
        <v>-0.1166977</v>
      </c>
      <c r="U3062">
        <v>-3.0853730000000001</v>
      </c>
      <c r="V3062">
        <v>0.20587549999999999</v>
      </c>
      <c r="W3062">
        <v>0.2067013</v>
      </c>
      <c r="X3062">
        <v>0.95649870000000004</v>
      </c>
      <c r="Y3062">
        <v>0.26561829999999997</v>
      </c>
      <c r="Z3062">
        <v>2.0951250000000001E-2</v>
      </c>
      <c r="AA3062">
        <v>0.9638506</v>
      </c>
      <c r="AB3062">
        <v>27</v>
      </c>
      <c r="AC3062">
        <v>-1.554</v>
      </c>
      <c r="AD3062">
        <v>-1.1165302244899999</v>
      </c>
      <c r="AE3062">
        <v>-29.241900000000001</v>
      </c>
      <c r="AF3062">
        <v>7.8351517348760202</v>
      </c>
      <c r="AG3062">
        <v>-1.1165302244899999</v>
      </c>
      <c r="AH3062">
        <v>28.1713715675271</v>
      </c>
      <c r="AI3062">
        <v>92.186729748770702</v>
      </c>
      <c r="AJ3062">
        <v>74.457442120092395</v>
      </c>
      <c r="AK3062">
        <v>29.261961971925398</v>
      </c>
      <c r="AL3062">
        <v>78.070889775970798</v>
      </c>
      <c r="AM3062">
        <v>77.853050335766</v>
      </c>
      <c r="AN3062">
        <v>0.99999995601181402</v>
      </c>
    </row>
    <row r="3063" spans="1:40" x14ac:dyDescent="0.25">
      <c r="A3063" t="str">
        <f>"20190303170827308"</f>
        <v>20190303170827308</v>
      </c>
      <c r="B3063" t="str">
        <f>"1551604107295729"</f>
        <v>1551604107295729</v>
      </c>
      <c r="C3063" t="s">
        <v>40</v>
      </c>
      <c r="D3063">
        <v>4.8672789999999999</v>
      </c>
      <c r="E3063">
        <v>0.54742250000000003</v>
      </c>
      <c r="F3063" t="s">
        <v>43</v>
      </c>
      <c r="G3063">
        <v>-195.12620000000001</v>
      </c>
      <c r="H3063" s="1">
        <v>-4.5560059999999998E-6</v>
      </c>
      <c r="I3063">
        <v>166.78229999999999</v>
      </c>
      <c r="J3063">
        <v>-192.4075</v>
      </c>
      <c r="K3063">
        <v>1.116887</v>
      </c>
      <c r="L3063">
        <v>198.02760000000001</v>
      </c>
      <c r="M3063">
        <v>0.21120939999999999</v>
      </c>
      <c r="N3063">
        <v>-1.465614E-2</v>
      </c>
      <c r="O3063">
        <v>-0.97733099999999995</v>
      </c>
      <c r="P3063">
        <v>3.0021589999999999E-3</v>
      </c>
      <c r="Q3063">
        <v>0.19414690000000001</v>
      </c>
      <c r="R3063">
        <v>-0.98096819999999896</v>
      </c>
      <c r="S3063">
        <v>-0.26123049999999998</v>
      </c>
      <c r="T3063">
        <v>-0.10928300000000001</v>
      </c>
      <c r="U3063">
        <v>-3.082916</v>
      </c>
      <c r="V3063">
        <v>0.20646429999999999</v>
      </c>
      <c r="W3063">
        <v>0.2060196</v>
      </c>
      <c r="X3063">
        <v>0.95651889999999995</v>
      </c>
      <c r="Y3063">
        <v>0.29287940000000001</v>
      </c>
      <c r="Z3063">
        <v>1.8603250000000002E-2</v>
      </c>
      <c r="AA3063">
        <v>0.95596840000000005</v>
      </c>
      <c r="AB3063">
        <v>27</v>
      </c>
      <c r="AC3063">
        <v>-2.7187000000000099</v>
      </c>
      <c r="AD3063">
        <v>-1.116891556006</v>
      </c>
      <c r="AE3063">
        <v>-31.2453</v>
      </c>
      <c r="AF3063">
        <v>9.2456396848383697</v>
      </c>
      <c r="AG3063">
        <v>-1.116891556006</v>
      </c>
      <c r="AH3063">
        <v>29.928048600071399</v>
      </c>
      <c r="AI3063">
        <v>92.042102658245895</v>
      </c>
      <c r="AJ3063">
        <v>72.832568762215701</v>
      </c>
      <c r="AK3063">
        <v>31.343538296401299</v>
      </c>
      <c r="AL3063">
        <v>78.110807962115203</v>
      </c>
      <c r="AM3063">
        <v>77.819595745869293</v>
      </c>
      <c r="AN3063">
        <v>0.99999999440792997</v>
      </c>
    </row>
    <row r="3064" spans="1:40" x14ac:dyDescent="0.25">
      <c r="A3064" t="str">
        <f>"20190303170827331"</f>
        <v>20190303170827331</v>
      </c>
      <c r="B3064" t="str">
        <f>"1551604107325986"</f>
        <v>1551604107325986</v>
      </c>
      <c r="C3064" t="s">
        <v>40</v>
      </c>
      <c r="D3064">
        <v>4.8682540000000003</v>
      </c>
      <c r="E3064">
        <v>0.55032979999999998</v>
      </c>
      <c r="F3064" t="s">
        <v>43</v>
      </c>
      <c r="G3064">
        <v>-195.80539999999999</v>
      </c>
      <c r="H3064" s="1">
        <v>-4.1331780000000003E-6</v>
      </c>
      <c r="I3064">
        <v>165.36750000000001</v>
      </c>
      <c r="J3064">
        <v>-192.35380000000001</v>
      </c>
      <c r="K3064">
        <v>1.117273</v>
      </c>
      <c r="L3064">
        <v>197.74959999999999</v>
      </c>
      <c r="M3064">
        <v>0.20594090000000001</v>
      </c>
      <c r="N3064">
        <v>-1.458922E-2</v>
      </c>
      <c r="O3064">
        <v>-0.97845570000000004</v>
      </c>
      <c r="P3064">
        <v>-3.3604629999999999E-4</v>
      </c>
      <c r="Q3064">
        <v>0.1920898</v>
      </c>
      <c r="R3064">
        <v>-0.98137739999999996</v>
      </c>
      <c r="S3064">
        <v>-0.32044980000000001</v>
      </c>
      <c r="T3064">
        <v>-0.1053299</v>
      </c>
      <c r="U3064">
        <v>-3.0800480000000001</v>
      </c>
      <c r="V3064">
        <v>0.20443030000000001</v>
      </c>
      <c r="W3064">
        <v>0.20412060000000001</v>
      </c>
      <c r="X3064">
        <v>0.95736250000000001</v>
      </c>
      <c r="Y3064">
        <v>0.30599280000000001</v>
      </c>
      <c r="Z3064">
        <v>1.7425630000000001E-2</v>
      </c>
      <c r="AA3064">
        <v>0.95187440000000001</v>
      </c>
      <c r="AB3064">
        <v>27</v>
      </c>
      <c r="AC3064">
        <v>-3.45159999999998</v>
      </c>
      <c r="AD3064">
        <v>-1.117277133178</v>
      </c>
      <c r="AE3064">
        <v>-32.382099999999902</v>
      </c>
      <c r="AF3064">
        <v>10.035293196712701</v>
      </c>
      <c r="AG3064">
        <v>-1.117277133178</v>
      </c>
      <c r="AH3064">
        <v>30.940501259734699</v>
      </c>
      <c r="AI3064">
        <v>91.967277096320601</v>
      </c>
      <c r="AJ3064">
        <v>72.029962112013493</v>
      </c>
      <c r="AK3064">
        <v>32.546428927609803</v>
      </c>
      <c r="AL3064">
        <v>78.221974882909706</v>
      </c>
      <c r="AM3064">
        <v>77.946379443182593</v>
      </c>
      <c r="AN3064">
        <v>0.99999996165434901</v>
      </c>
    </row>
    <row r="3065" spans="1:40" x14ac:dyDescent="0.25">
      <c r="A3065" t="str">
        <f>"20190303170827354"</f>
        <v>20190303170827354</v>
      </c>
      <c r="B3065" t="str">
        <f>"1551604107346482"</f>
        <v>1551604107346482</v>
      </c>
      <c r="C3065" t="s">
        <v>40</v>
      </c>
      <c r="D3065">
        <v>4.8445460000000002</v>
      </c>
      <c r="E3065">
        <v>0.55101469999999997</v>
      </c>
      <c r="F3065" t="s">
        <v>43</v>
      </c>
      <c r="G3065">
        <v>-196.02379999999999</v>
      </c>
      <c r="H3065" s="1">
        <v>-4.427127E-6</v>
      </c>
      <c r="I3065">
        <v>166.03210000000001</v>
      </c>
      <c r="J3065">
        <v>-192.30240000000001</v>
      </c>
      <c r="K3065">
        <v>1.11761</v>
      </c>
      <c r="L3065">
        <v>197.4776</v>
      </c>
      <c r="M3065">
        <v>0.20122490000000001</v>
      </c>
      <c r="N3065">
        <v>-1.45284E-2</v>
      </c>
      <c r="O3065">
        <v>-0.97943740000000001</v>
      </c>
      <c r="P3065">
        <v>-2.8716990000000001E-3</v>
      </c>
      <c r="Q3065">
        <v>0.19107640000000001</v>
      </c>
      <c r="R3065">
        <v>-0.98157110000000003</v>
      </c>
      <c r="S3065">
        <v>-0.35615540000000001</v>
      </c>
      <c r="T3065">
        <v>-0.1084263</v>
      </c>
      <c r="U3065">
        <v>-3.078033</v>
      </c>
      <c r="V3065">
        <v>0.20214679999999999</v>
      </c>
      <c r="W3065">
        <v>0.20324529999999999</v>
      </c>
      <c r="X3065">
        <v>0.95803340000000003</v>
      </c>
      <c r="Y3065">
        <v>0.31236700000000001</v>
      </c>
      <c r="Z3065">
        <v>1.8434229999999999E-2</v>
      </c>
      <c r="AA3065">
        <v>0.94978260000000003</v>
      </c>
      <c r="AB3065">
        <v>27</v>
      </c>
      <c r="AC3065">
        <v>-3.7213999999999801</v>
      </c>
      <c r="AD3065">
        <v>-1.1176144271269901</v>
      </c>
      <c r="AE3065">
        <v>-31.4454999999999</v>
      </c>
      <c r="AF3065">
        <v>9.9611388252920801</v>
      </c>
      <c r="AG3065">
        <v>-1.1176144271269901</v>
      </c>
      <c r="AH3065">
        <v>30.015838115376202</v>
      </c>
      <c r="AI3065">
        <v>92.023932300989998</v>
      </c>
      <c r="AJ3065">
        <v>71.640916578569502</v>
      </c>
      <c r="AK3065">
        <v>31.6452822150938</v>
      </c>
      <c r="AL3065">
        <v>78.273200028501705</v>
      </c>
      <c r="AM3065">
        <v>78.085255824504202</v>
      </c>
      <c r="AN3065">
        <v>0.99999998811894397</v>
      </c>
    </row>
    <row r="3066" spans="1:40" x14ac:dyDescent="0.25">
      <c r="A3066" t="str">
        <f>"20190303170827375"</f>
        <v>20190303170827375</v>
      </c>
      <c r="B3066" t="str">
        <f>"1551604107366005"</f>
        <v>1551604107366005</v>
      </c>
      <c r="C3066" t="s">
        <v>40</v>
      </c>
      <c r="D3066">
        <v>4.8583540000000003</v>
      </c>
      <c r="E3066">
        <v>0.55136459999999998</v>
      </c>
      <c r="F3066" t="s">
        <v>43</v>
      </c>
      <c r="G3066">
        <v>-196.1395</v>
      </c>
      <c r="H3066" s="1">
        <v>-4.3494670000000002E-6</v>
      </c>
      <c r="I3066">
        <v>165.7764</v>
      </c>
      <c r="J3066">
        <v>-192.25360000000001</v>
      </c>
      <c r="K3066">
        <v>1.1178870000000001</v>
      </c>
      <c r="L3066">
        <v>197.21510000000001</v>
      </c>
      <c r="M3066">
        <v>0.19698740000000001</v>
      </c>
      <c r="N3066">
        <v>-1.4474839999999999E-2</v>
      </c>
      <c r="O3066">
        <v>-0.98029909999999998</v>
      </c>
      <c r="P3066">
        <v>-6.1666869999999997E-3</v>
      </c>
      <c r="Q3066">
        <v>0.1920946</v>
      </c>
      <c r="R3066">
        <v>-0.98135689999999998</v>
      </c>
      <c r="S3066">
        <v>-0.37236019999999997</v>
      </c>
      <c r="T3066">
        <v>-0.1084555</v>
      </c>
      <c r="U3066">
        <v>-3.0763400000000001</v>
      </c>
      <c r="V3066">
        <v>0.20105239999999999</v>
      </c>
      <c r="W3066">
        <v>0.2043526</v>
      </c>
      <c r="X3066">
        <v>0.95802810000000005</v>
      </c>
      <c r="Y3066">
        <v>0.31325229999999998</v>
      </c>
      <c r="Z3066">
        <v>1.8541510000000001E-2</v>
      </c>
      <c r="AA3066">
        <v>0.94948889999999997</v>
      </c>
      <c r="AB3066">
        <v>27</v>
      </c>
      <c r="AC3066">
        <v>-3.8858999999999901</v>
      </c>
      <c r="AD3066">
        <v>-1.117891349467</v>
      </c>
      <c r="AE3066">
        <v>-31.438700000000001</v>
      </c>
      <c r="AF3066">
        <v>9.9909785644313303</v>
      </c>
      <c r="AG3066">
        <v>-1.117891349467</v>
      </c>
      <c r="AH3066">
        <v>30.019622295274001</v>
      </c>
      <c r="AI3066">
        <v>92.023602124062407</v>
      </c>
      <c r="AJ3066">
        <v>71.591787300927706</v>
      </c>
      <c r="AK3066">
        <v>31.658285747889899</v>
      </c>
      <c r="AL3066">
        <v>78.208395859728896</v>
      </c>
      <c r="AM3066">
        <v>78.147868017934499</v>
      </c>
      <c r="AN3066">
        <v>0.99999994653106306</v>
      </c>
    </row>
    <row r="3067" spans="1:40" x14ac:dyDescent="0.25">
      <c r="A3067" t="str">
        <f>"20190303170827400"</f>
        <v>20190303170827400</v>
      </c>
      <c r="B3067" t="str">
        <f>"1551604107386497"</f>
        <v>1551604107386497</v>
      </c>
      <c r="C3067" t="s">
        <v>40</v>
      </c>
      <c r="D3067">
        <v>4.871302</v>
      </c>
      <c r="E3067">
        <v>0.55171409999999999</v>
      </c>
      <c r="F3067" t="s">
        <v>43</v>
      </c>
      <c r="G3067">
        <v>-196.3886</v>
      </c>
      <c r="H3067" s="1">
        <v>-3.7962319999999998E-6</v>
      </c>
      <c r="I3067">
        <v>164.22069999999999</v>
      </c>
      <c r="J3067">
        <v>-192.2028</v>
      </c>
      <c r="K3067">
        <v>1.1181319999999999</v>
      </c>
      <c r="L3067">
        <v>196.93709999999999</v>
      </c>
      <c r="M3067">
        <v>0.192797</v>
      </c>
      <c r="N3067">
        <v>-1.442364E-2</v>
      </c>
      <c r="O3067">
        <v>-0.98113280000000003</v>
      </c>
      <c r="P3067">
        <v>-1.007277E-2</v>
      </c>
      <c r="Q3067">
        <v>0.19346869999999999</v>
      </c>
      <c r="R3067">
        <v>-0.98105500000000001</v>
      </c>
      <c r="S3067">
        <v>-0.385376</v>
      </c>
      <c r="T3067">
        <v>-0.1041836</v>
      </c>
      <c r="U3067">
        <v>-3.0749659999999999</v>
      </c>
      <c r="V3067">
        <v>0.2006134</v>
      </c>
      <c r="W3067">
        <v>0.2057909</v>
      </c>
      <c r="X3067">
        <v>0.9578122</v>
      </c>
      <c r="Y3067">
        <v>0.31321070000000001</v>
      </c>
      <c r="Z3067">
        <v>1.733328E-2</v>
      </c>
      <c r="AA3067">
        <v>0.94952550000000002</v>
      </c>
      <c r="AB3067">
        <v>27</v>
      </c>
      <c r="AC3067">
        <v>-4.1858000000000004</v>
      </c>
      <c r="AD3067">
        <v>-1.118135796232</v>
      </c>
      <c r="AE3067">
        <v>-32.716399999999901</v>
      </c>
      <c r="AF3067">
        <v>10.4035752999779</v>
      </c>
      <c r="AG3067">
        <v>-1.118135796232</v>
      </c>
      <c r="AH3067">
        <v>31.259450092071301</v>
      </c>
      <c r="AI3067">
        <v>91.943829141328493</v>
      </c>
      <c r="AJ3067">
        <v>71.591847479322098</v>
      </c>
      <c r="AK3067">
        <v>32.964190066492201</v>
      </c>
      <c r="AL3067">
        <v>78.124197550045196</v>
      </c>
      <c r="AM3067">
        <v>78.170426815700793</v>
      </c>
      <c r="AN3067">
        <v>0.99999992062560095</v>
      </c>
    </row>
    <row r="3068" spans="1:40" x14ac:dyDescent="0.25">
      <c r="A3068" t="str">
        <f>"20190303170827421"</f>
        <v>20190303170827421</v>
      </c>
      <c r="B3068" t="str">
        <f>"1551604107415777"</f>
        <v>1551604107415777</v>
      </c>
      <c r="C3068" t="s">
        <v>40</v>
      </c>
      <c r="D3068">
        <v>4.8950279999999999</v>
      </c>
      <c r="E3068">
        <v>0.55186109999999999</v>
      </c>
      <c r="F3068" t="s">
        <v>43</v>
      </c>
      <c r="G3068">
        <v>-196.68459999999999</v>
      </c>
      <c r="H3068" s="1">
        <v>-3.0893760000000002E-6</v>
      </c>
      <c r="I3068">
        <v>162.36449999999999</v>
      </c>
      <c r="J3068">
        <v>-192.1558</v>
      </c>
      <c r="K3068">
        <v>1.1183259999999999</v>
      </c>
      <c r="L3068">
        <v>196.67509999999999</v>
      </c>
      <c r="M3068">
        <v>0.1890956</v>
      </c>
      <c r="N3068">
        <v>-1.4379650000000001E-2</v>
      </c>
      <c r="O3068">
        <v>-0.98185350000000005</v>
      </c>
      <c r="P3068">
        <v>-1.2346849999999999E-2</v>
      </c>
      <c r="Q3068">
        <v>0.1921004</v>
      </c>
      <c r="R3068">
        <v>-0.98129789999999995</v>
      </c>
      <c r="S3068">
        <v>-0.3984222</v>
      </c>
      <c r="T3068">
        <v>-9.9400760000000005E-2</v>
      </c>
      <c r="U3068">
        <v>-3.0734560000000002</v>
      </c>
      <c r="V3068">
        <v>0.19916349999999999</v>
      </c>
      <c r="W3068">
        <v>0.20449030000000001</v>
      </c>
      <c r="X3068">
        <v>0.9583933</v>
      </c>
      <c r="Y3068">
        <v>0.31365989999999999</v>
      </c>
      <c r="Z3068">
        <v>1.594974E-2</v>
      </c>
      <c r="AA3068">
        <v>0.94940139999999995</v>
      </c>
      <c r="AB3068">
        <v>27</v>
      </c>
      <c r="AC3068">
        <v>-4.5287999999999897</v>
      </c>
      <c r="AD3068">
        <v>-1.1183290893759901</v>
      </c>
      <c r="AE3068">
        <v>-34.310599999999901</v>
      </c>
      <c r="AF3068">
        <v>10.924324000915</v>
      </c>
      <c r="AG3068">
        <v>-1.1183290893759901</v>
      </c>
      <c r="AH3068">
        <v>32.800747542807997</v>
      </c>
      <c r="AI3068">
        <v>91.852742742946802</v>
      </c>
      <c r="AJ3068">
        <v>71.579607759564098</v>
      </c>
      <c r="AK3068">
        <v>34.590180025494803</v>
      </c>
      <c r="AL3068">
        <v>78.200337269324805</v>
      </c>
      <c r="AM3068">
        <v>78.260463703144794</v>
      </c>
      <c r="AN3068">
        <v>1.0000000500056101</v>
      </c>
    </row>
    <row r="3069" spans="1:40" x14ac:dyDescent="0.25">
      <c r="A3069" t="str">
        <f>"20190303170827445"</f>
        <v>20190303170827445</v>
      </c>
      <c r="B3069" t="str">
        <f>"1551604107436274"</f>
        <v>1551604107436274</v>
      </c>
      <c r="C3069" t="s">
        <v>40</v>
      </c>
      <c r="D3069">
        <v>4.9166270000000001</v>
      </c>
      <c r="E3069">
        <v>0.55186069999999998</v>
      </c>
      <c r="F3069" t="s">
        <v>43</v>
      </c>
      <c r="G3069">
        <v>-196.5266</v>
      </c>
      <c r="H3069" s="1">
        <v>-3.6226420000000002E-6</v>
      </c>
      <c r="I3069">
        <v>163.70490000000001</v>
      </c>
      <c r="J3069">
        <v>-192.10650000000001</v>
      </c>
      <c r="K3069">
        <v>1.118512</v>
      </c>
      <c r="L3069">
        <v>196.39529999999999</v>
      </c>
      <c r="M3069">
        <v>0.18534880000000001</v>
      </c>
      <c r="N3069">
        <v>-1.4336720000000001E-2</v>
      </c>
      <c r="O3069">
        <v>-0.98256810000000006</v>
      </c>
      <c r="P3069">
        <v>-1.2994530000000001E-2</v>
      </c>
      <c r="Q3069">
        <v>0.1906487</v>
      </c>
      <c r="R3069">
        <v>-0.98157240000000001</v>
      </c>
      <c r="S3069">
        <v>-0.40730290000000002</v>
      </c>
      <c r="T3069">
        <v>-0.1042153</v>
      </c>
      <c r="U3069">
        <v>-3.0724330000000002</v>
      </c>
      <c r="V3069">
        <v>0.1960846</v>
      </c>
      <c r="W3069">
        <v>0.20311589999999999</v>
      </c>
      <c r="X3069">
        <v>0.9593199</v>
      </c>
      <c r="Y3069">
        <v>0.31276920000000002</v>
      </c>
      <c r="Z3069">
        <v>1.7515090000000001E-2</v>
      </c>
      <c r="AA3069">
        <v>0.9496677</v>
      </c>
      <c r="AB3069">
        <v>27</v>
      </c>
      <c r="AC3069">
        <v>-4.4200999999999899</v>
      </c>
      <c r="AD3069">
        <v>-1.1185156226420001</v>
      </c>
      <c r="AE3069">
        <v>-32.690399999999897</v>
      </c>
      <c r="AF3069">
        <v>10.391299335165</v>
      </c>
      <c r="AG3069">
        <v>-1.1185156226420001</v>
      </c>
      <c r="AH3069">
        <v>31.268555903609901</v>
      </c>
      <c r="AI3069">
        <v>91.944207873139007</v>
      </c>
      <c r="AJ3069">
        <v>71.617101603509099</v>
      </c>
      <c r="AK3069">
        <v>32.968966731887001</v>
      </c>
      <c r="AL3069">
        <v>78.280771649789401</v>
      </c>
      <c r="AM3069">
        <v>78.447890905178696</v>
      </c>
      <c r="AN3069">
        <v>0.99999995486298898</v>
      </c>
    </row>
    <row r="3070" spans="1:40" x14ac:dyDescent="0.25">
      <c r="A3070" t="str">
        <f>"20190303170827477"</f>
        <v>20190303170827477</v>
      </c>
      <c r="B3070" t="str">
        <f>"1551604107466529"</f>
        <v>1551604107466529</v>
      </c>
      <c r="C3070" t="s">
        <v>40</v>
      </c>
      <c r="D3070">
        <v>4.9433530000000001</v>
      </c>
      <c r="E3070">
        <v>0.55184690000000003</v>
      </c>
      <c r="F3070" t="s">
        <v>43</v>
      </c>
      <c r="G3070">
        <v>-196.38399999999999</v>
      </c>
      <c r="H3070" s="1">
        <v>-3.885403E-6</v>
      </c>
      <c r="I3070">
        <v>164.45500000000001</v>
      </c>
      <c r="J3070">
        <v>-192.042</v>
      </c>
      <c r="K3070">
        <v>1.1186990000000001</v>
      </c>
      <c r="L3070">
        <v>196.02099999999999</v>
      </c>
      <c r="M3070">
        <v>0.18054829999999999</v>
      </c>
      <c r="N3070">
        <v>-1.428726E-2</v>
      </c>
      <c r="O3070">
        <v>-0.98346239999999996</v>
      </c>
      <c r="P3070">
        <v>-1.3125619999999999E-2</v>
      </c>
      <c r="Q3070">
        <v>0.1916272</v>
      </c>
      <c r="R3070">
        <v>-0.98138009999999998</v>
      </c>
      <c r="S3070">
        <v>-0.41137699999999999</v>
      </c>
      <c r="T3070">
        <v>-0.1075704</v>
      </c>
      <c r="U3070">
        <v>-3.071777</v>
      </c>
      <c r="V3070">
        <v>0.1913948</v>
      </c>
      <c r="W3070">
        <v>0.20417189999999999</v>
      </c>
      <c r="X3070">
        <v>0.96004270000000003</v>
      </c>
      <c r="Y3070">
        <v>0.30938929999999998</v>
      </c>
      <c r="Z3070">
        <v>1.8668649999999998E-2</v>
      </c>
      <c r="AA3070">
        <v>0.95075220000000005</v>
      </c>
      <c r="AB3070">
        <v>27</v>
      </c>
      <c r="AC3070">
        <v>-4.3420000000000103</v>
      </c>
      <c r="AD3070">
        <v>-1.1187028854029999</v>
      </c>
      <c r="AE3070">
        <v>-31.565999999999899</v>
      </c>
      <c r="AF3070">
        <v>9.9581233380117098</v>
      </c>
      <c r="AG3070">
        <v>-1.1187028854029999</v>
      </c>
      <c r="AH3070">
        <v>30.225861902965701</v>
      </c>
      <c r="AI3070">
        <v>92.013278416995902</v>
      </c>
      <c r="AJ3070">
        <v>71.765168213742498</v>
      </c>
      <c r="AK3070">
        <v>31.843656265228301</v>
      </c>
      <c r="AL3070">
        <v>78.218973553208301</v>
      </c>
      <c r="AM3070">
        <v>78.725291350822204</v>
      </c>
      <c r="AN3070">
        <v>1.0000000600199599</v>
      </c>
    </row>
    <row r="3071" spans="1:40" x14ac:dyDescent="0.25">
      <c r="A3071" t="str">
        <f>"20190303170827498"</f>
        <v>20190303170827498</v>
      </c>
      <c r="B3071" t="str">
        <f>"1551604107486049"</f>
        <v>1551604107486049</v>
      </c>
      <c r="C3071" t="s">
        <v>40</v>
      </c>
      <c r="D3071">
        <v>4.9185049999999997</v>
      </c>
      <c r="E3071">
        <v>0.55183919999999997</v>
      </c>
      <c r="F3071" t="s">
        <v>43</v>
      </c>
      <c r="G3071">
        <v>-196.4957</v>
      </c>
      <c r="H3071" s="1">
        <v>-3.2733679999999998E-6</v>
      </c>
      <c r="I3071">
        <v>162.86009999999999</v>
      </c>
      <c r="J3071">
        <v>-191.99940000000001</v>
      </c>
      <c r="K3071">
        <v>1.118792</v>
      </c>
      <c r="L3071">
        <v>195.7687</v>
      </c>
      <c r="M3071">
        <v>0.1773826</v>
      </c>
      <c r="N3071">
        <v>-1.425909E-2</v>
      </c>
      <c r="O3071">
        <v>-0.98403870000000004</v>
      </c>
      <c r="P3071">
        <v>-1.381339E-2</v>
      </c>
      <c r="Q3071">
        <v>0.1934679</v>
      </c>
      <c r="R3071">
        <v>-0.98100969999999998</v>
      </c>
      <c r="S3071">
        <v>-0.41253659999999998</v>
      </c>
      <c r="T3071">
        <v>-0.10362349999999999</v>
      </c>
      <c r="U3071">
        <v>-3.0716399999999999</v>
      </c>
      <c r="V3071">
        <v>0.18887880000000001</v>
      </c>
      <c r="W3071">
        <v>0.20603830000000001</v>
      </c>
      <c r="X3071">
        <v>0.96014219999999895</v>
      </c>
      <c r="Y3071">
        <v>0.3066933</v>
      </c>
      <c r="Z3071">
        <v>1.7529699999999999E-2</v>
      </c>
      <c r="AA3071">
        <v>0.95164700000000002</v>
      </c>
      <c r="AB3071">
        <v>27</v>
      </c>
      <c r="AC3071">
        <v>-4.49629999999999</v>
      </c>
      <c r="AD3071">
        <v>-1.118795273368</v>
      </c>
      <c r="AE3071">
        <v>-32.9086</v>
      </c>
      <c r="AF3071">
        <v>10.251357886260299</v>
      </c>
      <c r="AG3071">
        <v>-1.118795273368</v>
      </c>
      <c r="AH3071">
        <v>31.5531801501815</v>
      </c>
      <c r="AI3071">
        <v>91.931414584437107</v>
      </c>
      <c r="AJ3071">
        <v>72.001464787339799</v>
      </c>
      <c r="AK3071">
        <v>33.1955602297312</v>
      </c>
      <c r="AL3071">
        <v>78.109713267039098</v>
      </c>
      <c r="AM3071">
        <v>78.870904515583504</v>
      </c>
      <c r="AN3071">
        <v>1.00000001318858</v>
      </c>
    </row>
    <row r="3072" spans="1:40" x14ac:dyDescent="0.25">
      <c r="A3072" t="str">
        <f>"20190303170827521"</f>
        <v>20190303170827521</v>
      </c>
      <c r="B3072" t="str">
        <f>"1551604107506546"</f>
        <v>1551604107506546</v>
      </c>
      <c r="C3072" t="s">
        <v>40</v>
      </c>
      <c r="D3072">
        <v>4.926336</v>
      </c>
      <c r="E3072">
        <v>0.55183590000000005</v>
      </c>
      <c r="F3072" t="s">
        <v>43</v>
      </c>
      <c r="G3072">
        <v>-196.75899999999999</v>
      </c>
      <c r="H3072" s="1">
        <v>-2.2335159999999999E-6</v>
      </c>
      <c r="I3072">
        <v>160.5121</v>
      </c>
      <c r="J3072">
        <v>-191.95480000000001</v>
      </c>
      <c r="K3072">
        <v>1.118852</v>
      </c>
      <c r="L3072">
        <v>195.499</v>
      </c>
      <c r="M3072">
        <v>0.17403109999999999</v>
      </c>
      <c r="N3072">
        <v>-1.423309E-2</v>
      </c>
      <c r="O3072">
        <v>-0.9846374</v>
      </c>
      <c r="P3072">
        <v>-1.4746540000000001E-2</v>
      </c>
      <c r="Q3072">
        <v>0.19404679999999999</v>
      </c>
      <c r="R3072">
        <v>-0.98088180000000003</v>
      </c>
      <c r="S3072">
        <v>-0.41464230000000002</v>
      </c>
      <c r="T3072">
        <v>-9.7466349999999993E-2</v>
      </c>
      <c r="U3072">
        <v>-3.0714570000000001</v>
      </c>
      <c r="V3072">
        <v>0.186476</v>
      </c>
      <c r="W3072">
        <v>0.20663219999999999</v>
      </c>
      <c r="X3072">
        <v>0.96048409999999995</v>
      </c>
      <c r="Y3072">
        <v>0.30410969999999998</v>
      </c>
      <c r="Z3072">
        <v>1.5702870000000001E-2</v>
      </c>
      <c r="AA3072">
        <v>0.95250760000000001</v>
      </c>
      <c r="AB3072">
        <v>27</v>
      </c>
      <c r="AC3072">
        <v>-4.8041999999999998</v>
      </c>
      <c r="AD3072">
        <v>-1.1188542335160001</v>
      </c>
      <c r="AE3072">
        <v>-34.986899999999999</v>
      </c>
      <c r="AF3072">
        <v>10.8094486436728</v>
      </c>
      <c r="AG3072">
        <v>-1.1188542335160001</v>
      </c>
      <c r="AH3072">
        <v>33.583022856946997</v>
      </c>
      <c r="AI3072">
        <v>91.816454865893903</v>
      </c>
      <c r="AJ3072">
        <v>72.158065084310607</v>
      </c>
      <c r="AK3072">
        <v>35.2975273777963</v>
      </c>
      <c r="AL3072">
        <v>78.074936024580694</v>
      </c>
      <c r="AM3072">
        <v>79.012830141707397</v>
      </c>
      <c r="AN3072">
        <v>0.99999993550282196</v>
      </c>
    </row>
    <row r="3073" spans="1:40" x14ac:dyDescent="0.25">
      <c r="A3073" t="str">
        <f>"20190303170827543"</f>
        <v>20190303170827543</v>
      </c>
      <c r="B3073" t="str">
        <f>"1551604107535826"</f>
        <v>1551604107535826</v>
      </c>
      <c r="C3073" t="s">
        <v>40</v>
      </c>
      <c r="D3073">
        <v>4.9107070000000004</v>
      </c>
      <c r="E3073">
        <v>0.55178559999999999</v>
      </c>
      <c r="F3073" t="s">
        <v>58</v>
      </c>
      <c r="G3073">
        <v>-196.87979999999999</v>
      </c>
      <c r="H3073" s="1">
        <v>-1.4923770000000001E-5</v>
      </c>
      <c r="I3073">
        <v>159.40280000000001</v>
      </c>
      <c r="J3073">
        <v>-191.91120000000001</v>
      </c>
      <c r="K3073">
        <v>1.118873</v>
      </c>
      <c r="L3073">
        <v>195.23050000000001</v>
      </c>
      <c r="M3073">
        <v>0.17069770000000001</v>
      </c>
      <c r="N3073">
        <v>-1.42107E-2</v>
      </c>
      <c r="O3073">
        <v>-0.98522100000000001</v>
      </c>
      <c r="P3073">
        <v>-1.5739199999999998E-2</v>
      </c>
      <c r="Q3073">
        <v>0.19419510000000001</v>
      </c>
      <c r="R3073">
        <v>-0.98083670000000001</v>
      </c>
      <c r="S3073">
        <v>-0.4190063</v>
      </c>
      <c r="T3073">
        <v>-9.5190529999999995E-2</v>
      </c>
      <c r="U3073">
        <v>-3.0709840000000002</v>
      </c>
      <c r="V3073">
        <v>0.1841777</v>
      </c>
      <c r="W3073">
        <v>0.20678569999999999</v>
      </c>
      <c r="X3073">
        <v>0.96089449999999998</v>
      </c>
      <c r="Y3073">
        <v>0.30223739999999999</v>
      </c>
      <c r="Z3073">
        <v>1.5062620000000001E-2</v>
      </c>
      <c r="AA3073">
        <v>0.95311369999999895</v>
      </c>
      <c r="AB3073">
        <v>27</v>
      </c>
      <c r="AC3073">
        <v>-4.9685999999999799</v>
      </c>
      <c r="AD3073">
        <v>-1.11888792377</v>
      </c>
      <c r="AE3073">
        <v>-35.827699999999901</v>
      </c>
      <c r="AF3073">
        <v>11.001459443042</v>
      </c>
      <c r="AG3073">
        <v>-1.11888792377</v>
      </c>
      <c r="AH3073">
        <v>34.420614931224499</v>
      </c>
      <c r="AI3073">
        <v>91.773496567012302</v>
      </c>
      <c r="AJ3073">
        <v>72.275167393174598</v>
      </c>
      <c r="AK3073">
        <v>36.153322839076601</v>
      </c>
      <c r="AL3073">
        <v>78.065947707496505</v>
      </c>
      <c r="AM3073">
        <v>79.149535664248305</v>
      </c>
      <c r="AN3073">
        <v>0.99999999551601504</v>
      </c>
    </row>
    <row r="3074" spans="1:40" x14ac:dyDescent="0.25">
      <c r="A3074" t="str">
        <f>"20190303170827566"</f>
        <v>20190303170827566</v>
      </c>
      <c r="B3074" t="str">
        <f>"1551604107556321"</f>
        <v>1551604107556321</v>
      </c>
      <c r="C3074" t="s">
        <v>40</v>
      </c>
      <c r="D3074">
        <v>4.921932</v>
      </c>
      <c r="E3074">
        <v>0.55177100000000001</v>
      </c>
      <c r="F3074" t="s">
        <v>58</v>
      </c>
      <c r="G3074">
        <v>-197.00309999999999</v>
      </c>
      <c r="H3074" s="1">
        <v>-1.4671050000000001E-5</v>
      </c>
      <c r="I3074">
        <v>158.39840000000001</v>
      </c>
      <c r="J3074">
        <v>-191.8689</v>
      </c>
      <c r="K3074">
        <v>1.1188670000000001</v>
      </c>
      <c r="L3074">
        <v>194.9639</v>
      </c>
      <c r="M3074">
        <v>0.16736239999999999</v>
      </c>
      <c r="N3074">
        <v>-1.4191469999999999E-2</v>
      </c>
      <c r="O3074">
        <v>-0.98579340000000004</v>
      </c>
      <c r="P3074">
        <v>-1.7675960000000001E-2</v>
      </c>
      <c r="Q3074">
        <v>0.19436909999999999</v>
      </c>
      <c r="R3074">
        <v>-0.98076929999999996</v>
      </c>
      <c r="S3074">
        <v>-0.42445369999999999</v>
      </c>
      <c r="T3074">
        <v>-9.3268870000000004E-2</v>
      </c>
      <c r="U3074">
        <v>-3.0702669999999999</v>
      </c>
      <c r="V3074">
        <v>0.18281710000000001</v>
      </c>
      <c r="W3074">
        <v>0.20694940000000001</v>
      </c>
      <c r="X3074">
        <v>0.9611191</v>
      </c>
      <c r="Y3074">
        <v>0.30070380000000002</v>
      </c>
      <c r="Z3074">
        <v>1.452591E-2</v>
      </c>
      <c r="AA3074">
        <v>0.95360699999999998</v>
      </c>
      <c r="AB3074">
        <v>27</v>
      </c>
      <c r="AC3074">
        <v>-5.1341999999999901</v>
      </c>
      <c r="AD3074">
        <v>-1.11888167105</v>
      </c>
      <c r="AE3074">
        <v>-36.565499999999901</v>
      </c>
      <c r="AF3074">
        <v>11.1718171055997</v>
      </c>
      <c r="AG3074">
        <v>-1.11888167105</v>
      </c>
      <c r="AH3074">
        <v>35.158014084836502</v>
      </c>
      <c r="AI3074">
        <v>91.737245892789403</v>
      </c>
      <c r="AJ3074">
        <v>72.371815299714299</v>
      </c>
      <c r="AK3074">
        <v>36.907280420322799</v>
      </c>
      <c r="AL3074">
        <v>78.056361500405302</v>
      </c>
      <c r="AM3074">
        <v>79.230268816609595</v>
      </c>
      <c r="AN3074">
        <v>1.0000000352987799</v>
      </c>
    </row>
    <row r="3075" spans="1:40" x14ac:dyDescent="0.25">
      <c r="A3075" t="str">
        <f>"20190303170827588"</f>
        <v>20190303170827588</v>
      </c>
      <c r="B3075" t="str">
        <f>"1551604107575841"</f>
        <v>1551604107575841</v>
      </c>
      <c r="C3075" t="s">
        <v>40</v>
      </c>
      <c r="D3075">
        <v>4.9174410000000002</v>
      </c>
      <c r="E3075">
        <v>0.55180209999999996</v>
      </c>
      <c r="F3075" t="s">
        <v>58</v>
      </c>
      <c r="G3075">
        <v>-197.0949</v>
      </c>
      <c r="H3075" s="1">
        <v>-1.45180399999999E-5</v>
      </c>
      <c r="I3075">
        <v>157.7903</v>
      </c>
      <c r="J3075">
        <v>-191.8295</v>
      </c>
      <c r="K3075">
        <v>1.118846</v>
      </c>
      <c r="L3075">
        <v>194.71010000000001</v>
      </c>
      <c r="M3075">
        <v>0.16412959999999999</v>
      </c>
      <c r="N3075">
        <v>-1.4176029999999999E-2</v>
      </c>
      <c r="O3075">
        <v>-0.98633720000000003</v>
      </c>
      <c r="P3075">
        <v>-2.044373E-2</v>
      </c>
      <c r="Q3075">
        <v>0.19413810000000001</v>
      </c>
      <c r="R3075">
        <v>-0.98076160000000001</v>
      </c>
      <c r="S3075">
        <v>-0.43150329999999898</v>
      </c>
      <c r="T3075">
        <v>-9.2384099999999997E-2</v>
      </c>
      <c r="U3075">
        <v>-3.069366</v>
      </c>
      <c r="V3075">
        <v>0.1823948</v>
      </c>
      <c r="W3075">
        <v>0.20669750000000001</v>
      </c>
      <c r="X3075">
        <v>0.96125349999999998</v>
      </c>
      <c r="Y3075">
        <v>0.2997649</v>
      </c>
      <c r="Z3075">
        <v>1.430097E-2</v>
      </c>
      <c r="AA3075">
        <v>0.95390589999999997</v>
      </c>
      <c r="AB3075">
        <v>27</v>
      </c>
      <c r="AC3075">
        <v>-5.2653999999999996</v>
      </c>
      <c r="AD3075">
        <v>-1.11886051804</v>
      </c>
      <c r="AE3075">
        <v>-36.919800000000002</v>
      </c>
      <c r="AF3075">
        <v>11.244098881840401</v>
      </c>
      <c r="AG3075">
        <v>-1.11886051804</v>
      </c>
      <c r="AH3075">
        <v>35.522753104381898</v>
      </c>
      <c r="AI3075">
        <v>91.719994660683895</v>
      </c>
      <c r="AJ3075">
        <v>72.435738287263504</v>
      </c>
      <c r="AK3075">
        <v>37.276636069236602</v>
      </c>
      <c r="AL3075">
        <v>78.071112903605894</v>
      </c>
      <c r="AM3075">
        <v>79.256033983932994</v>
      </c>
      <c r="AN3075">
        <v>1.00000000541777</v>
      </c>
    </row>
    <row r="3076" spans="1:40" x14ac:dyDescent="0.25">
      <c r="A3076" t="str">
        <f>"20190303170827611"</f>
        <v>20190303170827611</v>
      </c>
      <c r="B3076" t="str">
        <f>"1551604107606097"</f>
        <v>1551604107606097</v>
      </c>
      <c r="C3076" t="s">
        <v>40</v>
      </c>
      <c r="D3076">
        <v>4.9125040000000002</v>
      </c>
      <c r="E3076">
        <v>0.55184449999999996</v>
      </c>
      <c r="F3076" t="s">
        <v>58</v>
      </c>
      <c r="G3076">
        <v>-197.0643</v>
      </c>
      <c r="H3076" s="1">
        <v>-1.460507E-5</v>
      </c>
      <c r="I3076">
        <v>158.1362</v>
      </c>
      <c r="J3076">
        <v>-191.78890000000001</v>
      </c>
      <c r="K3076">
        <v>1.1188149999999999</v>
      </c>
      <c r="L3076">
        <v>194.4419</v>
      </c>
      <c r="M3076">
        <v>0.1606339</v>
      </c>
      <c r="N3076">
        <v>-1.416254E-2</v>
      </c>
      <c r="O3076">
        <v>-0.98691280000000003</v>
      </c>
      <c r="P3076">
        <v>-2.3298349999999999E-2</v>
      </c>
      <c r="Q3076">
        <v>0.19300590000000001</v>
      </c>
      <c r="R3076">
        <v>-0.98092159999999995</v>
      </c>
      <c r="S3076">
        <v>-0.43916319999999998</v>
      </c>
      <c r="T3076">
        <v>-9.386361E-2</v>
      </c>
      <c r="U3076">
        <v>-3.0682680000000002</v>
      </c>
      <c r="V3076">
        <v>0.18183350000000001</v>
      </c>
      <c r="W3076">
        <v>0.20554359999999999</v>
      </c>
      <c r="X3076">
        <v>0.9616072</v>
      </c>
      <c r="Y3076">
        <v>0.29876449999999999</v>
      </c>
      <c r="Z3076">
        <v>1.481003E-2</v>
      </c>
      <c r="AA3076">
        <v>0.95421199999999995</v>
      </c>
      <c r="AB3076">
        <v>27</v>
      </c>
      <c r="AC3076">
        <v>-5.2753999999999897</v>
      </c>
      <c r="AD3076">
        <v>-1.11882960507</v>
      </c>
      <c r="AE3076">
        <v>-36.305700000000002</v>
      </c>
      <c r="AF3076">
        <v>11.0291316793157</v>
      </c>
      <c r="AG3076">
        <v>-1.11882960507</v>
      </c>
      <c r="AH3076">
        <v>34.954139683167497</v>
      </c>
      <c r="AI3076">
        <v>91.748411444991106</v>
      </c>
      <c r="AJ3076">
        <v>72.487873765403705</v>
      </c>
      <c r="AK3076">
        <v>36.6699523625986</v>
      </c>
      <c r="AL3076">
        <v>78.138677282124206</v>
      </c>
      <c r="AM3076">
        <v>79.292180042933694</v>
      </c>
      <c r="AN3076">
        <v>1.00000000015752</v>
      </c>
    </row>
    <row r="3077" spans="1:40" x14ac:dyDescent="0.25">
      <c r="A3077" t="str">
        <f>"20190303170827645"</f>
        <v>20190303170827645</v>
      </c>
      <c r="B3077" t="str">
        <f>"1551604107636354"</f>
        <v>1551604107636354</v>
      </c>
      <c r="C3077" t="s">
        <v>40</v>
      </c>
      <c r="D3077">
        <v>4.8716889999999999</v>
      </c>
      <c r="E3077">
        <v>0.55184160000000004</v>
      </c>
      <c r="F3077" t="s">
        <v>58</v>
      </c>
      <c r="G3077">
        <v>-196.94300000000001</v>
      </c>
      <c r="H3077" s="1">
        <v>-1.487821E-5</v>
      </c>
      <c r="I3077">
        <v>159.2217</v>
      </c>
      <c r="J3077">
        <v>-191.72980000000001</v>
      </c>
      <c r="K3077">
        <v>1.118749</v>
      </c>
      <c r="L3077">
        <v>194.03809999999999</v>
      </c>
      <c r="M3077">
        <v>0.155227</v>
      </c>
      <c r="N3077">
        <v>-1.41466E-2</v>
      </c>
      <c r="O3077">
        <v>-0.98777760000000003</v>
      </c>
      <c r="P3077">
        <v>-2.7561740000000001E-2</v>
      </c>
      <c r="Q3077">
        <v>0.19219310000000001</v>
      </c>
      <c r="R3077">
        <v>-0.98097000000000001</v>
      </c>
      <c r="S3077">
        <v>-0.44880680000000001</v>
      </c>
      <c r="T3077">
        <v>-9.7424269999999993E-2</v>
      </c>
      <c r="U3077">
        <v>-3.0668639999999998</v>
      </c>
      <c r="V3077">
        <v>0.18079780000000001</v>
      </c>
      <c r="W3077">
        <v>0.20469699999999999</v>
      </c>
      <c r="X3077">
        <v>0.96198300000000003</v>
      </c>
      <c r="Y3077">
        <v>0.29653359999999901</v>
      </c>
      <c r="Z3077">
        <v>1.5991749999999999E-2</v>
      </c>
      <c r="AA3077">
        <v>0.95488850000000003</v>
      </c>
      <c r="AB3077">
        <v>26</v>
      </c>
      <c r="AC3077">
        <v>-5.2131999999999703</v>
      </c>
      <c r="AD3077">
        <v>-1.11876387821</v>
      </c>
      <c r="AE3077">
        <v>-34.816399999999902</v>
      </c>
      <c r="AF3077">
        <v>10.5443342573944</v>
      </c>
      <c r="AG3077">
        <v>-1.11876387821</v>
      </c>
      <c r="AH3077">
        <v>33.551105794310999</v>
      </c>
      <c r="AI3077">
        <v>91.822025376831505</v>
      </c>
      <c r="AJ3077">
        <v>72.553276271563703</v>
      </c>
      <c r="AK3077">
        <v>35.1868060154357</v>
      </c>
      <c r="AL3077">
        <v>78.188237695128393</v>
      </c>
      <c r="AM3077">
        <v>79.355836529110704</v>
      </c>
      <c r="AN3077">
        <v>0.99999999929142003</v>
      </c>
    </row>
    <row r="3078" spans="1:40" x14ac:dyDescent="0.25">
      <c r="A3078" t="str">
        <f>"20190303170827666"</f>
        <v>20190303170827666</v>
      </c>
      <c r="B3078" t="str">
        <f>"1551604107655879"</f>
        <v>1551604107655879</v>
      </c>
      <c r="C3078" t="s">
        <v>40</v>
      </c>
      <c r="D3078">
        <v>4.8762230000000004</v>
      </c>
      <c r="E3078">
        <v>0.55180699999999905</v>
      </c>
      <c r="F3078" t="s">
        <v>43</v>
      </c>
      <c r="G3078">
        <v>-196.92</v>
      </c>
      <c r="H3078" s="1">
        <v>-1.898548E-6</v>
      </c>
      <c r="I3078">
        <v>159.71289999999999</v>
      </c>
      <c r="J3078">
        <v>-191.6944</v>
      </c>
      <c r="K3078">
        <v>1.118714</v>
      </c>
      <c r="L3078">
        <v>193.7885</v>
      </c>
      <c r="M3078">
        <v>0.1518177</v>
      </c>
      <c r="N3078">
        <v>-1.4138090000000001E-2</v>
      </c>
      <c r="O3078">
        <v>-0.98830739999999995</v>
      </c>
      <c r="P3078">
        <v>-3.0681710000000001E-2</v>
      </c>
      <c r="Q3078">
        <v>0.1937403</v>
      </c>
      <c r="R3078">
        <v>-0.98057309999999998</v>
      </c>
      <c r="S3078">
        <v>-0.46340940000000003</v>
      </c>
      <c r="T3078">
        <v>-9.9888210000000005E-2</v>
      </c>
      <c r="U3078">
        <v>-3.064743</v>
      </c>
      <c r="V3078">
        <v>0.18051880000000001</v>
      </c>
      <c r="W3078">
        <v>0.20621880000000001</v>
      </c>
      <c r="X3078">
        <v>0.96171030000000002</v>
      </c>
      <c r="Y3078">
        <v>0.29777979999999998</v>
      </c>
      <c r="Z3078">
        <v>1.6794409999999999E-2</v>
      </c>
      <c r="AA3078">
        <v>0.95448679999999997</v>
      </c>
      <c r="AB3078">
        <v>26</v>
      </c>
      <c r="AC3078">
        <v>-5.2255999999999796</v>
      </c>
      <c r="AD3078">
        <v>-1.1187158985479999</v>
      </c>
      <c r="AE3078">
        <v>-34.075600000000001</v>
      </c>
      <c r="AF3078">
        <v>10.3279355789522</v>
      </c>
      <c r="AG3078">
        <v>-1.1187158985479999</v>
      </c>
      <c r="AH3078">
        <v>32.852519768847799</v>
      </c>
      <c r="AI3078">
        <v>91.860611774087801</v>
      </c>
      <c r="AJ3078">
        <v>72.548275432355496</v>
      </c>
      <c r="AK3078">
        <v>34.455853403263497</v>
      </c>
      <c r="AL3078">
        <v>78.099143840670294</v>
      </c>
      <c r="AM3078">
        <v>79.368942703155497</v>
      </c>
      <c r="AN3078">
        <v>0.99999996587648399</v>
      </c>
    </row>
    <row r="3079" spans="1:40" x14ac:dyDescent="0.25">
      <c r="A3079" t="str">
        <f>"20190303170827688"</f>
        <v>20190303170827688</v>
      </c>
      <c r="B3079" t="str">
        <f>"1551604107676370"</f>
        <v>1551604107676370</v>
      </c>
      <c r="C3079" t="s">
        <v>40</v>
      </c>
      <c r="D3079">
        <v>4.9367199999999896</v>
      </c>
      <c r="E3079">
        <v>0.55180109999999905</v>
      </c>
      <c r="F3079" t="s">
        <v>58</v>
      </c>
      <c r="G3079">
        <v>-197.2491</v>
      </c>
      <c r="H3079" s="1">
        <v>-1.45256E-5</v>
      </c>
      <c r="I3079">
        <v>157.8203</v>
      </c>
      <c r="J3079">
        <v>-191.65940000000001</v>
      </c>
      <c r="K3079">
        <v>1.118695</v>
      </c>
      <c r="L3079">
        <v>193.53489999999999</v>
      </c>
      <c r="M3079">
        <v>0.148303399999999</v>
      </c>
      <c r="N3079">
        <v>-1.4130139999999999E-2</v>
      </c>
      <c r="O3079">
        <v>-0.98884110000000003</v>
      </c>
      <c r="P3079">
        <v>-3.4664269999999997E-2</v>
      </c>
      <c r="Q3079">
        <v>0.19455149999999999</v>
      </c>
      <c r="R3079">
        <v>-0.98027980000000003</v>
      </c>
      <c r="S3079">
        <v>-0.47309879999999999</v>
      </c>
      <c r="T3079">
        <v>-9.5283629999999994E-2</v>
      </c>
      <c r="U3079">
        <v>-3.0634610000000002</v>
      </c>
      <c r="V3079">
        <v>0.1810039</v>
      </c>
      <c r="W3079">
        <v>0.20700260000000001</v>
      </c>
      <c r="X3079">
        <v>0.96145080000000005</v>
      </c>
      <c r="Y3079">
        <v>0.29740229999999901</v>
      </c>
      <c r="Z3079">
        <v>1.540241E-2</v>
      </c>
      <c r="AA3079">
        <v>0.95462809999999998</v>
      </c>
      <c r="AB3079">
        <v>26</v>
      </c>
      <c r="AC3079">
        <v>-5.5896999999999899</v>
      </c>
      <c r="AD3079">
        <v>-1.1187095255999999</v>
      </c>
      <c r="AE3079">
        <v>-35.714599999999898</v>
      </c>
      <c r="AF3079">
        <v>10.814643637799501</v>
      </c>
      <c r="AG3079">
        <v>-1.1187095255999999</v>
      </c>
      <c r="AH3079">
        <v>34.457531127342897</v>
      </c>
      <c r="AI3079">
        <v>91.774255004578805</v>
      </c>
      <c r="AJ3079">
        <v>72.575311521153495</v>
      </c>
      <c r="AK3079">
        <v>36.132111471751401</v>
      </c>
      <c r="AL3079">
        <v>78.0532462541602</v>
      </c>
      <c r="AM3079">
        <v>79.338217133768893</v>
      </c>
      <c r="AN3079">
        <v>1.0000000645213001</v>
      </c>
    </row>
    <row r="3080" spans="1:40" x14ac:dyDescent="0.25">
      <c r="A3080" t="str">
        <f>"20190303170827710"</f>
        <v>20190303170827710</v>
      </c>
      <c r="B3080" t="str">
        <f>"1551604107696579"</f>
        <v>1551604107696579</v>
      </c>
      <c r="C3080" t="s">
        <v>40</v>
      </c>
      <c r="D3080">
        <v>4.856992</v>
      </c>
      <c r="E3080">
        <v>0.56976850000000001</v>
      </c>
      <c r="F3080" t="s">
        <v>58</v>
      </c>
      <c r="G3080">
        <v>-197.5035</v>
      </c>
      <c r="H3080" s="1">
        <v>-1.423154E-5</v>
      </c>
      <c r="I3080">
        <v>156.6516</v>
      </c>
      <c r="J3080">
        <v>-191.62479999999999</v>
      </c>
      <c r="K3080">
        <v>1.118671</v>
      </c>
      <c r="L3080">
        <v>193.27680000000001</v>
      </c>
      <c r="M3080">
        <v>0.1446865</v>
      </c>
      <c r="N3080">
        <v>-1.412294E-2</v>
      </c>
      <c r="O3080">
        <v>-0.9893769</v>
      </c>
      <c r="P3080">
        <v>-3.7840480000000003E-2</v>
      </c>
      <c r="Q3080">
        <v>0.19464480000000001</v>
      </c>
      <c r="R3080">
        <v>-0.98014380000000001</v>
      </c>
      <c r="S3080">
        <v>-0.48510740000000002</v>
      </c>
      <c r="T3080">
        <v>-9.2862009999999995E-2</v>
      </c>
      <c r="U3080">
        <v>-3.0616150000000002</v>
      </c>
      <c r="V3080">
        <v>0.18061140000000001</v>
      </c>
      <c r="W3080">
        <v>0.2070824</v>
      </c>
      <c r="X3080">
        <v>0.96150740000000001</v>
      </c>
      <c r="Y3080">
        <v>0.29765609999999998</v>
      </c>
      <c r="Z3080">
        <v>1.468708E-2</v>
      </c>
      <c r="AA3080">
        <v>0.95456019999999997</v>
      </c>
      <c r="AB3080">
        <v>26</v>
      </c>
      <c r="AC3080">
        <v>-5.8787000000000003</v>
      </c>
      <c r="AD3080">
        <v>-1.11868523154</v>
      </c>
      <c r="AE3080">
        <v>-36.6252</v>
      </c>
      <c r="AF3080">
        <v>11.1064276234173</v>
      </c>
      <c r="AG3080">
        <v>-1.11868523154</v>
      </c>
      <c r="AH3080">
        <v>35.356925083935401</v>
      </c>
      <c r="AI3080">
        <v>91.7289797381369</v>
      </c>
      <c r="AJ3080">
        <v>72.561290465724099</v>
      </c>
      <c r="AK3080">
        <v>37.077167402493103</v>
      </c>
      <c r="AL3080">
        <v>78.048572479561997</v>
      </c>
      <c r="AM3080">
        <v>79.361420439941398</v>
      </c>
      <c r="AN3080">
        <v>1.0000000392272299</v>
      </c>
    </row>
    <row r="3081" spans="1:40" x14ac:dyDescent="0.25">
      <c r="A3081" t="str">
        <f>"20190303170827733"</f>
        <v>20190303170827733</v>
      </c>
      <c r="B3081" t="str">
        <f>"1551604107725858"</f>
        <v>1551604107725858</v>
      </c>
      <c r="C3081" t="s">
        <v>40</v>
      </c>
      <c r="D3081">
        <v>4.8339049999999997</v>
      </c>
      <c r="E3081">
        <v>0.57430360000000003</v>
      </c>
      <c r="F3081" t="s">
        <v>58</v>
      </c>
      <c r="G3081">
        <v>-199.36850000000001</v>
      </c>
      <c r="H3081" s="1">
        <v>-1.41268E-5</v>
      </c>
      <c r="I3081">
        <v>156.2354</v>
      </c>
      <c r="J3081">
        <v>-191.589</v>
      </c>
      <c r="K3081">
        <v>1.118655</v>
      </c>
      <c r="L3081">
        <v>193.00049999999999</v>
      </c>
      <c r="M3081">
        <v>0.1407854</v>
      </c>
      <c r="N3081">
        <v>-1.411602E-2</v>
      </c>
      <c r="O3081">
        <v>-0.98993960000000003</v>
      </c>
      <c r="P3081">
        <v>-4.169258E-2</v>
      </c>
      <c r="Q3081">
        <v>0.19335269999999999</v>
      </c>
      <c r="R3081">
        <v>-0.98024330000000004</v>
      </c>
      <c r="S3081">
        <v>-0.63854979999999995</v>
      </c>
      <c r="T3081">
        <v>-9.2247369999999995E-2</v>
      </c>
      <c r="U3081">
        <v>-3.054459</v>
      </c>
      <c r="V3081">
        <v>0.1806354</v>
      </c>
      <c r="W3081">
        <v>0.20578070000000001</v>
      </c>
      <c r="X3081">
        <v>0.96178229999999998</v>
      </c>
      <c r="Y3081">
        <v>0.34028629999999999</v>
      </c>
      <c r="Z3081">
        <v>1.420453E-2</v>
      </c>
      <c r="AA3081">
        <v>0.94021460000000001</v>
      </c>
      <c r="AB3081">
        <v>26</v>
      </c>
      <c r="AC3081">
        <v>-7.7794999999999801</v>
      </c>
      <c r="AD3081">
        <v>-1.1186691268</v>
      </c>
      <c r="AE3081">
        <v>-36.765099999999897</v>
      </c>
      <c r="AF3081">
        <v>12.8671040506437</v>
      </c>
      <c r="AG3081">
        <v>-1.1186691268</v>
      </c>
      <c r="AH3081">
        <v>35.272245651602503</v>
      </c>
      <c r="AI3081">
        <v>91.706606701199505</v>
      </c>
      <c r="AJ3081">
        <v>69.958333216602796</v>
      </c>
      <c r="AK3081">
        <v>37.562549175639496</v>
      </c>
      <c r="AL3081">
        <v>78.124795926977001</v>
      </c>
      <c r="AM3081">
        <v>79.363010783563496</v>
      </c>
      <c r="AN3081">
        <v>1.00000001840946</v>
      </c>
    </row>
    <row r="3082" spans="1:40" x14ac:dyDescent="0.25">
      <c r="A3082" t="str">
        <f>"20190303170827756"</f>
        <v>20190303170827756</v>
      </c>
      <c r="B3082" t="str">
        <f>"1551604107746354"</f>
        <v>1551604107746354</v>
      </c>
      <c r="C3082" t="s">
        <v>40</v>
      </c>
      <c r="D3082">
        <v>4.8275410000000001</v>
      </c>
      <c r="E3082">
        <v>0.57514489999999996</v>
      </c>
      <c r="F3082" t="s">
        <v>58</v>
      </c>
      <c r="G3082">
        <v>-199.89109999999999</v>
      </c>
      <c r="H3082" s="1">
        <v>-1.41053399999999E-5</v>
      </c>
      <c r="I3082">
        <v>156.15</v>
      </c>
      <c r="J3082">
        <v>-191.5565</v>
      </c>
      <c r="K3082">
        <v>1.1186400000000001</v>
      </c>
      <c r="L3082">
        <v>192.7424</v>
      </c>
      <c r="M3082">
        <v>0.13712969999999999</v>
      </c>
      <c r="N3082">
        <v>-1.410991E-2</v>
      </c>
      <c r="O3082">
        <v>-0.99045280000000002</v>
      </c>
      <c r="P3082">
        <v>-4.6130530000000003E-2</v>
      </c>
      <c r="Q3082">
        <v>0.19277559999999999</v>
      </c>
      <c r="R3082">
        <v>-0.98015830000000004</v>
      </c>
      <c r="S3082">
        <v>-0.68702700000000005</v>
      </c>
      <c r="T3082">
        <v>-9.2573169999999996E-2</v>
      </c>
      <c r="U3082">
        <v>-3.0494840000000001</v>
      </c>
      <c r="V3082">
        <v>0.1814566</v>
      </c>
      <c r="W3082">
        <v>0.20518939999999999</v>
      </c>
      <c r="X3082">
        <v>0.961754</v>
      </c>
      <c r="Y3082">
        <v>0.35136590000000001</v>
      </c>
      <c r="Z3082">
        <v>1.426123E-2</v>
      </c>
      <c r="AA3082">
        <v>0.93612960000000001</v>
      </c>
      <c r="AB3082">
        <v>26</v>
      </c>
      <c r="AC3082">
        <v>-8.3345999999999894</v>
      </c>
      <c r="AD3082">
        <v>-1.1186541053400001</v>
      </c>
      <c r="AE3082">
        <v>-36.592399999999998</v>
      </c>
      <c r="AF3082">
        <v>13.262468233769701</v>
      </c>
      <c r="AG3082">
        <v>-1.1186541053400001</v>
      </c>
      <c r="AH3082">
        <v>35.072450567039397</v>
      </c>
      <c r="AI3082">
        <v>91.7088409800064</v>
      </c>
      <c r="AJ3082">
        <v>69.286144105634804</v>
      </c>
      <c r="AK3082">
        <v>37.5129476239414</v>
      </c>
      <c r="AL3082">
        <v>78.159413097786697</v>
      </c>
      <c r="AM3082">
        <v>79.315456854344404</v>
      </c>
      <c r="AN3082">
        <v>0.99999997203595903</v>
      </c>
    </row>
    <row r="3083" spans="1:40" x14ac:dyDescent="0.25">
      <c r="A3083" t="str">
        <f>"20190303170827776"</f>
        <v>20190303170827776</v>
      </c>
      <c r="B3083" t="str">
        <f>"1551604107765874"</f>
        <v>1551604107765874</v>
      </c>
      <c r="C3083" t="s">
        <v>40</v>
      </c>
      <c r="D3083">
        <v>4.8118670000000003</v>
      </c>
      <c r="E3083">
        <v>0.57539659999999904</v>
      </c>
      <c r="F3083" t="s">
        <v>58</v>
      </c>
      <c r="G3083">
        <v>-199.95779999999999</v>
      </c>
      <c r="H3083">
        <v>4.1910770000000002E-4</v>
      </c>
      <c r="I3083">
        <v>156.52260000000001</v>
      </c>
      <c r="J3083">
        <v>-191.52619999999999</v>
      </c>
      <c r="K3083">
        <v>1.1186430000000001</v>
      </c>
      <c r="L3083">
        <v>192.49459999999999</v>
      </c>
      <c r="M3083">
        <v>0.13361489999999901</v>
      </c>
      <c r="N3083">
        <v>-1.410425E-2</v>
      </c>
      <c r="O3083">
        <v>-0.99093310000000001</v>
      </c>
      <c r="P3083">
        <v>-5.0082250000000002E-2</v>
      </c>
      <c r="Q3083">
        <v>0.19285369999999999</v>
      </c>
      <c r="R3083">
        <v>-0.97994890000000001</v>
      </c>
      <c r="S3083">
        <v>-0.70652769999999898</v>
      </c>
      <c r="T3083">
        <v>-9.4039319999999996E-2</v>
      </c>
      <c r="U3083">
        <v>-3.0459900000000002</v>
      </c>
      <c r="V3083">
        <v>0.18192240000000001</v>
      </c>
      <c r="W3083">
        <v>0.2052571</v>
      </c>
      <c r="X3083">
        <v>0.96165160000000005</v>
      </c>
      <c r="Y3083">
        <v>0.35396499999999997</v>
      </c>
      <c r="Z3083">
        <v>1.473812E-2</v>
      </c>
      <c r="AA3083">
        <v>0.93514260000000005</v>
      </c>
      <c r="AB3083">
        <v>26</v>
      </c>
      <c r="AC3083">
        <v>-8.4315999999999995</v>
      </c>
      <c r="AD3083">
        <v>-1.1182238923000001</v>
      </c>
      <c r="AE3083">
        <v>-35.971999999999902</v>
      </c>
      <c r="AF3083">
        <v>13.1508078937745</v>
      </c>
      <c r="AG3083">
        <v>-1.1182238923000001</v>
      </c>
      <c r="AH3083">
        <v>34.491093009197598</v>
      </c>
      <c r="AI3083">
        <v>91.735152772795402</v>
      </c>
      <c r="AJ3083">
        <v>69.129087737522198</v>
      </c>
      <c r="AK3083">
        <v>36.9300645802495</v>
      </c>
      <c r="AL3083">
        <v>78.155450371028095</v>
      </c>
      <c r="AM3083">
        <v>79.287549205856493</v>
      </c>
      <c r="AN3083">
        <v>1.0000000182523601</v>
      </c>
    </row>
    <row r="3084" spans="1:40" x14ac:dyDescent="0.25">
      <c r="A3084" t="str">
        <f>"20190303170827801"</f>
        <v>20190303170827801</v>
      </c>
      <c r="B3084" t="str">
        <f>"1551604107796130"</f>
        <v>1551604107796130</v>
      </c>
      <c r="C3084" t="s">
        <v>40</v>
      </c>
      <c r="D3084">
        <v>4.8328439999999997</v>
      </c>
      <c r="E3084">
        <v>0.57584859999999904</v>
      </c>
      <c r="F3084" t="s">
        <v>58</v>
      </c>
      <c r="G3084">
        <v>-199.95779999999999</v>
      </c>
      <c r="H3084">
        <v>1.6057490000000001E-2</v>
      </c>
      <c r="I3084">
        <v>156.8475</v>
      </c>
      <c r="J3084">
        <v>-191.49289999999999</v>
      </c>
      <c r="K3084">
        <v>1.118652</v>
      </c>
      <c r="L3084">
        <v>192.21340000000001</v>
      </c>
      <c r="M3084">
        <v>0.12962989999999999</v>
      </c>
      <c r="N3084">
        <v>-1.409815E-2</v>
      </c>
      <c r="O3084">
        <v>-0.99146230000000002</v>
      </c>
      <c r="P3084">
        <v>-5.4659010000000001E-2</v>
      </c>
      <c r="Q3084">
        <v>0.1927671</v>
      </c>
      <c r="R3084">
        <v>-0.97972119999999996</v>
      </c>
      <c r="S3084">
        <v>-0.71978759999999997</v>
      </c>
      <c r="T3084">
        <v>-9.4125150000000005E-2</v>
      </c>
      <c r="U3084">
        <v>-3.0431059999999999</v>
      </c>
      <c r="V3084">
        <v>0.1825493</v>
      </c>
      <c r="W3084">
        <v>0.20516100000000001</v>
      </c>
      <c r="X3084">
        <v>0.96155330000000006</v>
      </c>
      <c r="Y3084">
        <v>0.35426229999999997</v>
      </c>
      <c r="Z3084">
        <v>1.480854E-2</v>
      </c>
      <c r="AA3084">
        <v>0.93502890000000005</v>
      </c>
      <c r="AB3084">
        <v>26</v>
      </c>
      <c r="AC3084">
        <v>-8.4649000000000001</v>
      </c>
      <c r="AD3084">
        <v>-1.1025945100000001</v>
      </c>
      <c r="AE3084">
        <v>-35.365900000000003</v>
      </c>
      <c r="AF3084">
        <v>12.9664757156098</v>
      </c>
      <c r="AG3084">
        <v>-1.1025945100000001</v>
      </c>
      <c r="AH3084">
        <v>33.938824991879301</v>
      </c>
      <c r="AI3084">
        <v>91.738291481436207</v>
      </c>
      <c r="AJ3084">
        <v>69.090425686479605</v>
      </c>
      <c r="AK3084">
        <v>36.348164313571502</v>
      </c>
      <c r="AL3084">
        <v>78.161076194309999</v>
      </c>
      <c r="AM3084">
        <v>79.250419737220099</v>
      </c>
      <c r="AN3084">
        <v>1.0000000157961899</v>
      </c>
    </row>
    <row r="3085" spans="1:40" x14ac:dyDescent="0.25">
      <c r="A3085" t="str">
        <f>"20190303170827824"</f>
        <v>20190303170827824</v>
      </c>
      <c r="B3085" t="str">
        <f>"1551604107816626"</f>
        <v>1551604107816626</v>
      </c>
      <c r="C3085" t="s">
        <v>40</v>
      </c>
      <c r="D3085">
        <v>4.8507819999999997</v>
      </c>
      <c r="E3085">
        <v>0.57607949999999997</v>
      </c>
      <c r="F3085" t="s">
        <v>58</v>
      </c>
      <c r="G3085">
        <v>-199.95779999999999</v>
      </c>
      <c r="H3085">
        <v>2.903886E-2</v>
      </c>
      <c r="I3085">
        <v>157.29900000000001</v>
      </c>
      <c r="J3085">
        <v>-191.4614</v>
      </c>
      <c r="K3085">
        <v>1.1186609999999999</v>
      </c>
      <c r="L3085">
        <v>191.93860000000001</v>
      </c>
      <c r="M3085">
        <v>0.12573869999999901</v>
      </c>
      <c r="N3085">
        <v>-1.409264E-2</v>
      </c>
      <c r="O3085">
        <v>-0.99196329999999999</v>
      </c>
      <c r="P3085">
        <v>-5.9059439999999998E-2</v>
      </c>
      <c r="Q3085">
        <v>0.1920164</v>
      </c>
      <c r="R3085">
        <v>-0.97961310000000001</v>
      </c>
      <c r="S3085">
        <v>-0.73695369999999905</v>
      </c>
      <c r="T3085">
        <v>-9.4861509999999996E-2</v>
      </c>
      <c r="U3085">
        <v>-3.0396420000000002</v>
      </c>
      <c r="V3085">
        <v>0.1831073</v>
      </c>
      <c r="W3085">
        <v>0.2044058</v>
      </c>
      <c r="X3085">
        <v>0.96160809999999997</v>
      </c>
      <c r="Y3085">
        <v>0.3558231</v>
      </c>
      <c r="Z3085">
        <v>1.507085E-2</v>
      </c>
      <c r="AA3085">
        <v>0.93443180000000003</v>
      </c>
      <c r="AB3085">
        <v>26</v>
      </c>
      <c r="AC3085">
        <v>-8.4963999999999906</v>
      </c>
      <c r="AD3085">
        <v>-1.0896221399999999</v>
      </c>
      <c r="AE3085">
        <v>-34.639600000000002</v>
      </c>
      <c r="AF3085">
        <v>12.773003414686199</v>
      </c>
      <c r="AG3085">
        <v>-1.0896221399999999</v>
      </c>
      <c r="AH3085">
        <v>33.265144705700401</v>
      </c>
      <c r="AI3085">
        <v>91.751496814343199</v>
      </c>
      <c r="AJ3085">
        <v>68.994429666059602</v>
      </c>
      <c r="AK3085">
        <v>35.649779030601998</v>
      </c>
      <c r="AL3085">
        <v>78.2052835472293</v>
      </c>
      <c r="AM3085">
        <v>79.218930499547099</v>
      </c>
      <c r="AN3085">
        <v>1.00000007618626</v>
      </c>
    </row>
    <row r="3086" spans="1:40" x14ac:dyDescent="0.25">
      <c r="A3086" t="str">
        <f>"20190303170827844"</f>
        <v>20190303170827844</v>
      </c>
      <c r="B3086" t="str">
        <f>"1551604107836146"</f>
        <v>1551604107836146</v>
      </c>
      <c r="C3086" t="s">
        <v>40</v>
      </c>
      <c r="D3086">
        <v>4.8176069999999998</v>
      </c>
      <c r="E3086">
        <v>0.57618259999999999</v>
      </c>
      <c r="F3086" t="s">
        <v>58</v>
      </c>
      <c r="G3086">
        <v>-199.95779999999999</v>
      </c>
      <c r="H3086">
        <v>2.8746150000000002E-2</v>
      </c>
      <c r="I3086">
        <v>157.6472</v>
      </c>
      <c r="J3086">
        <v>-191.43459999999999</v>
      </c>
      <c r="K3086">
        <v>1.118668</v>
      </c>
      <c r="L3086">
        <v>191.69630000000001</v>
      </c>
      <c r="M3086">
        <v>0.122311</v>
      </c>
      <c r="N3086">
        <v>-1.408803E-2</v>
      </c>
      <c r="O3086">
        <v>-0.99239200000000005</v>
      </c>
      <c r="P3086">
        <v>-6.3697080000000003E-2</v>
      </c>
      <c r="Q3086">
        <v>0.19161120000000001</v>
      </c>
      <c r="R3086">
        <v>-0.97940190000000005</v>
      </c>
      <c r="S3086">
        <v>-0.7522278</v>
      </c>
      <c r="T3086">
        <v>-9.6495750000000005E-2</v>
      </c>
      <c r="U3086">
        <v>-3.0359950000000002</v>
      </c>
      <c r="V3086">
        <v>0.18434500000000001</v>
      </c>
      <c r="W3086">
        <v>0.2039889</v>
      </c>
      <c r="X3086">
        <v>0.96146010000000004</v>
      </c>
      <c r="Y3086">
        <v>0.35728179999999998</v>
      </c>
      <c r="Z3086">
        <v>1.5611450000000001E-2</v>
      </c>
      <c r="AA3086">
        <v>0.93386610000000003</v>
      </c>
      <c r="AB3086">
        <v>26</v>
      </c>
      <c r="AC3086">
        <v>-8.5231999999999992</v>
      </c>
      <c r="AD3086">
        <v>-1.0899218500000001</v>
      </c>
      <c r="AE3086">
        <v>-34.049100000000003</v>
      </c>
      <c r="AF3086">
        <v>12.6120246778185</v>
      </c>
      <c r="AG3086">
        <v>-1.0899218500000001</v>
      </c>
      <c r="AH3086">
        <v>32.719268867612101</v>
      </c>
      <c r="AI3086">
        <v>91.780302666290794</v>
      </c>
      <c r="AJ3086">
        <v>68.920259899006993</v>
      </c>
      <c r="AK3086">
        <v>35.0827828335226</v>
      </c>
      <c r="AL3086">
        <v>78.229683819439799</v>
      </c>
      <c r="AM3086">
        <v>79.146150683797103</v>
      </c>
      <c r="AN3086">
        <v>1.0000000371201001</v>
      </c>
    </row>
    <row r="3087" spans="1:40" x14ac:dyDescent="0.25">
      <c r="A3087" t="str">
        <f>"20190303170827866"</f>
        <v>20190303170827866</v>
      </c>
      <c r="B3087" t="str">
        <f>"1551604107856643"</f>
        <v>1551604107856643</v>
      </c>
      <c r="C3087" t="s">
        <v>40</v>
      </c>
      <c r="D3087">
        <v>4.7865320000000002</v>
      </c>
      <c r="E3087">
        <v>0.57622620000000002</v>
      </c>
      <c r="F3087" t="s">
        <v>58</v>
      </c>
      <c r="G3087">
        <v>-199.95779999999999</v>
      </c>
      <c r="H3087">
        <v>2.9490349999999999E-2</v>
      </c>
      <c r="I3087">
        <v>158.00309999999999</v>
      </c>
      <c r="J3087">
        <v>-191.40860000000001</v>
      </c>
      <c r="K3087">
        <v>1.118681</v>
      </c>
      <c r="L3087">
        <v>191.45400000000001</v>
      </c>
      <c r="M3087">
        <v>0.1188872</v>
      </c>
      <c r="N3087">
        <v>-1.40836E-2</v>
      </c>
      <c r="O3087">
        <v>-0.99280800000000002</v>
      </c>
      <c r="P3087">
        <v>-6.8836579999999994E-2</v>
      </c>
      <c r="Q3087">
        <v>0.1916475</v>
      </c>
      <c r="R3087">
        <v>-0.97904720000000001</v>
      </c>
      <c r="S3087">
        <v>-0.76708980000000004</v>
      </c>
      <c r="T3087">
        <v>-9.8026390000000005E-2</v>
      </c>
      <c r="U3087">
        <v>-3.032394</v>
      </c>
      <c r="V3087">
        <v>0.18607480000000001</v>
      </c>
      <c r="W3087">
        <v>0.204009</v>
      </c>
      <c r="X3087">
        <v>0.96112249999999999</v>
      </c>
      <c r="Y3087">
        <v>0.35862179999999999</v>
      </c>
      <c r="Z3087">
        <v>1.6120840000000001E-2</v>
      </c>
      <c r="AA3087">
        <v>0.93334379999999995</v>
      </c>
      <c r="AB3087">
        <v>26</v>
      </c>
      <c r="AC3087">
        <v>-8.5491999999999795</v>
      </c>
      <c r="AD3087">
        <v>-1.0891906499999999</v>
      </c>
      <c r="AE3087">
        <v>-33.450899999999997</v>
      </c>
      <c r="AF3087">
        <v>12.4534391174767</v>
      </c>
      <c r="AG3087">
        <v>-1.0891906499999999</v>
      </c>
      <c r="AH3087">
        <v>32.165109207094801</v>
      </c>
      <c r="AI3087">
        <v>91.8087007720641</v>
      </c>
      <c r="AJ3087">
        <v>68.834977190344105</v>
      </c>
      <c r="AK3087">
        <v>34.508965971600503</v>
      </c>
      <c r="AL3087">
        <v>78.228506773863799</v>
      </c>
      <c r="AM3087">
        <v>79.043001691871893</v>
      </c>
      <c r="AN3087">
        <v>0.99999998164114401</v>
      </c>
    </row>
    <row r="3088" spans="1:40" x14ac:dyDescent="0.25">
      <c r="A3088" t="str">
        <f>"20190303170827888"</f>
        <v>20190303170827888</v>
      </c>
      <c r="B3088" t="str">
        <f>"1551604107876163"</f>
        <v>1551604107876163</v>
      </c>
      <c r="C3088" t="s">
        <v>40</v>
      </c>
      <c r="D3088">
        <v>4.9504060000000001</v>
      </c>
      <c r="E3088">
        <v>0.57595220000000003</v>
      </c>
      <c r="F3088" t="s">
        <v>58</v>
      </c>
      <c r="G3088">
        <v>-199.95779999999999</v>
      </c>
      <c r="H3088">
        <v>3.9700539999999999E-2</v>
      </c>
      <c r="I3088">
        <v>158.3631</v>
      </c>
      <c r="J3088">
        <v>-191.38120000000001</v>
      </c>
      <c r="K3088">
        <v>1.1186879999999999</v>
      </c>
      <c r="L3088">
        <v>191.18950000000001</v>
      </c>
      <c r="M3088">
        <v>0.1151528</v>
      </c>
      <c r="N3088">
        <v>-1.4079100000000001E-2</v>
      </c>
      <c r="O3088">
        <v>-0.99324809999999997</v>
      </c>
      <c r="P3088">
        <v>-7.3866080000000001E-2</v>
      </c>
      <c r="Q3088">
        <v>0.19208810000000001</v>
      </c>
      <c r="R3088">
        <v>-0.97859419999999997</v>
      </c>
      <c r="S3088">
        <v>-0.78242489999999998</v>
      </c>
      <c r="T3088">
        <v>-9.8749039999999996E-2</v>
      </c>
      <c r="U3088">
        <v>-3.0285030000000002</v>
      </c>
      <c r="V3088">
        <v>0.1873909</v>
      </c>
      <c r="W3088">
        <v>0.20443610000000001</v>
      </c>
      <c r="X3088">
        <v>0.96077599999999996</v>
      </c>
      <c r="Y3088">
        <v>0.35982989999999998</v>
      </c>
      <c r="Z3088">
        <v>1.6384969999999999E-2</v>
      </c>
      <c r="AA3088">
        <v>0.93287399999999998</v>
      </c>
      <c r="AB3088">
        <v>26</v>
      </c>
      <c r="AC3088">
        <v>-8.5765999999999796</v>
      </c>
      <c r="AD3088">
        <v>-1.07898746</v>
      </c>
      <c r="AE3088">
        <v>-32.8264</v>
      </c>
      <c r="AF3088">
        <v>12.2875343685063</v>
      </c>
      <c r="AG3088">
        <v>-1.07898746</v>
      </c>
      <c r="AH3088">
        <v>31.588323845461002</v>
      </c>
      <c r="AI3088">
        <v>91.823346030897198</v>
      </c>
      <c r="AJ3088">
        <v>68.744474636003901</v>
      </c>
      <c r="AK3088">
        <v>33.911206380218601</v>
      </c>
      <c r="AL3088">
        <v>78.203509065988698</v>
      </c>
      <c r="AM3088">
        <v>78.963517129524803</v>
      </c>
      <c r="AN3088">
        <v>0.99999999528101002</v>
      </c>
    </row>
    <row r="3089" spans="1:40" x14ac:dyDescent="0.25">
      <c r="A3089" t="str">
        <f>"20190303170827912"</f>
        <v>20190303170827912</v>
      </c>
      <c r="B3089" t="str">
        <f>"1551604107906418"</f>
        <v>1551604107906418</v>
      </c>
      <c r="C3089" t="s">
        <v>40</v>
      </c>
      <c r="D3089">
        <v>4.8024579999999997</v>
      </c>
      <c r="E3089">
        <v>0.57600750000000001</v>
      </c>
      <c r="F3089" t="s">
        <v>58</v>
      </c>
      <c r="G3089">
        <v>-199.95840000000001</v>
      </c>
      <c r="H3089">
        <v>5.0588019999999997E-2</v>
      </c>
      <c r="I3089">
        <v>158.57660000000001</v>
      </c>
      <c r="J3089">
        <v>-191.35400000000001</v>
      </c>
      <c r="K3089">
        <v>1.1186940000000001</v>
      </c>
      <c r="L3089">
        <v>190.9162</v>
      </c>
      <c r="M3089">
        <v>0.1112954</v>
      </c>
      <c r="N3089">
        <v>-1.407458E-2</v>
      </c>
      <c r="O3089">
        <v>-0.9936876</v>
      </c>
      <c r="P3089">
        <v>-7.9060110000000003E-2</v>
      </c>
      <c r="Q3089">
        <v>0.19282869999999999</v>
      </c>
      <c r="R3089">
        <v>-0.97804230000000003</v>
      </c>
      <c r="S3089">
        <v>-0.79557800000000001</v>
      </c>
      <c r="T3089">
        <v>-9.9071980000000004E-2</v>
      </c>
      <c r="U3089">
        <v>-3.0250240000000002</v>
      </c>
      <c r="V3089">
        <v>0.18874869999999999</v>
      </c>
      <c r="W3089">
        <v>0.20516139999999999</v>
      </c>
      <c r="X3089">
        <v>0.96035550000000003</v>
      </c>
      <c r="Y3089">
        <v>0.36026409999999998</v>
      </c>
      <c r="Z3089">
        <v>1.6529599999999998E-2</v>
      </c>
      <c r="AA3089">
        <v>0.93270390000000003</v>
      </c>
      <c r="AB3089">
        <v>26</v>
      </c>
      <c r="AC3089">
        <v>-8.6043999999999894</v>
      </c>
      <c r="AD3089">
        <v>-1.0681059799999999</v>
      </c>
      <c r="AE3089">
        <v>-32.339599999999898</v>
      </c>
      <c r="AF3089">
        <v>12.138173605457</v>
      </c>
      <c r="AG3089">
        <v>-1.0681059799999999</v>
      </c>
      <c r="AH3089">
        <v>31.1491885956662</v>
      </c>
      <c r="AI3089">
        <v>91.8299729558384</v>
      </c>
      <c r="AJ3089">
        <v>68.710199618617096</v>
      </c>
      <c r="AK3089">
        <v>33.447691385641299</v>
      </c>
      <c r="AL3089">
        <v>78.161052337045803</v>
      </c>
      <c r="AM3089">
        <v>78.880787689696504</v>
      </c>
      <c r="AN3089">
        <v>0.99999997909094895</v>
      </c>
    </row>
    <row r="3090" spans="1:40" x14ac:dyDescent="0.25">
      <c r="A3090" t="str">
        <f>"20190303170827934"</f>
        <v>20190303170827934</v>
      </c>
      <c r="B3090" t="str">
        <f>"1551604107925942"</f>
        <v>1551604107925942</v>
      </c>
      <c r="C3090" t="s">
        <v>40</v>
      </c>
      <c r="D3090">
        <v>4.8096319999999997</v>
      </c>
      <c r="E3090">
        <v>0.57585920000000002</v>
      </c>
      <c r="F3090" t="s">
        <v>58</v>
      </c>
      <c r="G3090">
        <v>-200.07329999999999</v>
      </c>
      <c r="H3090">
        <v>7.9983949999999998E-2</v>
      </c>
      <c r="I3090">
        <v>158.45939999999999</v>
      </c>
      <c r="J3090">
        <v>-191.3288</v>
      </c>
      <c r="K3090">
        <v>1.1187</v>
      </c>
      <c r="L3090">
        <v>190.6524</v>
      </c>
      <c r="M3090">
        <v>0.10757319999999999</v>
      </c>
      <c r="N3090">
        <v>-1.4070269999999999E-2</v>
      </c>
      <c r="O3090">
        <v>-0.99409780000000003</v>
      </c>
      <c r="P3090">
        <v>-8.3936880000000005E-2</v>
      </c>
      <c r="Q3090">
        <v>0.19289799999999999</v>
      </c>
      <c r="R3090">
        <v>-0.97762230000000006</v>
      </c>
      <c r="S3090">
        <v>-0.81152340000000001</v>
      </c>
      <c r="T3090">
        <v>-9.6675280000000002E-2</v>
      </c>
      <c r="U3090">
        <v>-3.0208279999999998</v>
      </c>
      <c r="V3090">
        <v>0.18993979999999999</v>
      </c>
      <c r="W3090">
        <v>0.20521929999999999</v>
      </c>
      <c r="X3090">
        <v>0.96010830000000003</v>
      </c>
      <c r="Y3090">
        <v>0.3616914</v>
      </c>
      <c r="Z3090">
        <v>1.5823090000000001E-2</v>
      </c>
      <c r="AA3090">
        <v>0.93216359999999998</v>
      </c>
      <c r="AB3090">
        <v>26</v>
      </c>
      <c r="AC3090">
        <v>-8.7444999999999808</v>
      </c>
      <c r="AD3090">
        <v>-1.0387160499999999</v>
      </c>
      <c r="AE3090">
        <v>-32.192999999999998</v>
      </c>
      <c r="AF3090">
        <v>12.145418076600601</v>
      </c>
      <c r="AG3090">
        <v>-1.0387160499999999</v>
      </c>
      <c r="AH3090">
        <v>31.035296373643899</v>
      </c>
      <c r="AI3090">
        <v>91.785173236409193</v>
      </c>
      <c r="AJ3090">
        <v>68.627501906425493</v>
      </c>
      <c r="AK3090">
        <v>33.343361142630101</v>
      </c>
      <c r="AL3090">
        <v>78.157663258946201</v>
      </c>
      <c r="AM3090">
        <v>78.809576658847902</v>
      </c>
      <c r="AN3090">
        <v>1.00000001822271</v>
      </c>
    </row>
    <row r="3091" spans="1:40" x14ac:dyDescent="0.25">
      <c r="A3091" t="str">
        <f>"20190303170827958"</f>
        <v>20190303170827958</v>
      </c>
      <c r="B3091" t="str">
        <f>"1551604107946435"</f>
        <v>1551604107946435</v>
      </c>
      <c r="C3091" t="s">
        <v>40</v>
      </c>
      <c r="D3091">
        <v>4.8384970000000003</v>
      </c>
      <c r="E3091">
        <v>0.57575030000000005</v>
      </c>
      <c r="F3091" t="s">
        <v>58</v>
      </c>
      <c r="G3091">
        <v>-200.32149999999999</v>
      </c>
      <c r="H3091">
        <v>7.9984109999999997E-2</v>
      </c>
      <c r="I3091">
        <v>157.79249999999999</v>
      </c>
      <c r="J3091">
        <v>-191.30459999999999</v>
      </c>
      <c r="K3091">
        <v>1.1187100000000001</v>
      </c>
      <c r="L3091">
        <v>190.3886</v>
      </c>
      <c r="M3091">
        <v>0.1038485</v>
      </c>
      <c r="N3091">
        <v>-1.406633E-2</v>
      </c>
      <c r="O3091">
        <v>-0.99449379999999998</v>
      </c>
      <c r="P3091">
        <v>-8.8279869999999996E-2</v>
      </c>
      <c r="Q3091">
        <v>0.19253819999999999</v>
      </c>
      <c r="R3091">
        <v>-0.97731049999999997</v>
      </c>
      <c r="S3091">
        <v>-0.82554629999999996</v>
      </c>
      <c r="T3091">
        <v>-9.5355990000000002E-2</v>
      </c>
      <c r="U3091">
        <v>-3.0166019999999998</v>
      </c>
      <c r="V3091">
        <v>0.19061210000000001</v>
      </c>
      <c r="W3091">
        <v>0.2048548</v>
      </c>
      <c r="X3091">
        <v>0.96005289999999999</v>
      </c>
      <c r="Y3091">
        <v>0.36256450000000001</v>
      </c>
      <c r="Z3091">
        <v>1.545588E-2</v>
      </c>
      <c r="AA3091">
        <v>0.93183050000000001</v>
      </c>
      <c r="AB3091">
        <v>26</v>
      </c>
      <c r="AC3091">
        <v>-9.0168999999999908</v>
      </c>
      <c r="AD3091">
        <v>-1.03872589</v>
      </c>
      <c r="AE3091">
        <v>-32.5961</v>
      </c>
      <c r="AF3091">
        <v>12.3418855946845</v>
      </c>
      <c r="AG3091">
        <v>-1.03872589</v>
      </c>
      <c r="AH3091">
        <v>31.453667946907998</v>
      </c>
      <c r="AI3091">
        <v>91.760837666114696</v>
      </c>
      <c r="AJ3091">
        <v>68.575800077819906</v>
      </c>
      <c r="AK3091">
        <v>33.804353548340302</v>
      </c>
      <c r="AL3091">
        <v>78.179000882055703</v>
      </c>
      <c r="AM3091">
        <v>78.770340948594907</v>
      </c>
      <c r="AN3091">
        <v>1.00000001627392</v>
      </c>
    </row>
    <row r="3092" spans="1:40" x14ac:dyDescent="0.25">
      <c r="A3092" t="str">
        <f>"20190303170827978"</f>
        <v>20190303170827978</v>
      </c>
      <c r="B3092" t="str">
        <f>"1551604107965954"</f>
        <v>1551604107965954</v>
      </c>
      <c r="C3092" t="s">
        <v>40</v>
      </c>
      <c r="D3092">
        <v>4.7938409999999996</v>
      </c>
      <c r="E3092">
        <v>0.57561680000000004</v>
      </c>
      <c r="F3092" t="s">
        <v>58</v>
      </c>
      <c r="G3092">
        <v>-200.4023</v>
      </c>
      <c r="H3092">
        <v>7.9984070000000004E-2</v>
      </c>
      <c r="I3092">
        <v>157.6891</v>
      </c>
      <c r="J3092">
        <v>-191.2834</v>
      </c>
      <c r="K3092">
        <v>1.1187240000000001</v>
      </c>
      <c r="L3092">
        <v>190.14879999999999</v>
      </c>
      <c r="M3092">
        <v>0.10046099999999999</v>
      </c>
      <c r="N3092">
        <v>-1.406306E-2</v>
      </c>
      <c r="O3092">
        <v>-0.99484159999999999</v>
      </c>
      <c r="P3092">
        <v>-9.3260190000000007E-2</v>
      </c>
      <c r="Q3092">
        <v>0.1925953</v>
      </c>
      <c r="R3092">
        <v>-0.9768365</v>
      </c>
      <c r="S3092">
        <v>-0.83822629999999998</v>
      </c>
      <c r="T3092">
        <v>-9.57036E-2</v>
      </c>
      <c r="U3092">
        <v>-3.0127869999999999</v>
      </c>
      <c r="V3092">
        <v>0.1922365</v>
      </c>
      <c r="W3092">
        <v>0.2048963</v>
      </c>
      <c r="X3092">
        <v>0.95972009999999996</v>
      </c>
      <c r="Y3092">
        <v>0.36333389999999999</v>
      </c>
      <c r="Z3092">
        <v>1.560259E-2</v>
      </c>
      <c r="AA3092">
        <v>0.93152829999999998</v>
      </c>
      <c r="AB3092">
        <v>26</v>
      </c>
      <c r="AC3092">
        <v>-9.1188999999999893</v>
      </c>
      <c r="AD3092">
        <v>-1.03873993</v>
      </c>
      <c r="AE3092">
        <v>-32.459699999999998</v>
      </c>
      <c r="AF3092">
        <v>12.322319022400199</v>
      </c>
      <c r="AG3092">
        <v>-1.03873993</v>
      </c>
      <c r="AH3092">
        <v>31.349513909869099</v>
      </c>
      <c r="AI3092">
        <v>91.766299800566998</v>
      </c>
      <c r="AJ3092">
        <v>68.542070308623096</v>
      </c>
      <c r="AK3092">
        <v>33.7003048816633</v>
      </c>
      <c r="AL3092">
        <v>78.1765715977821</v>
      </c>
      <c r="AM3092">
        <v>78.673278890013094</v>
      </c>
      <c r="AN3092">
        <v>1.00000001801497</v>
      </c>
    </row>
    <row r="3093" spans="1:40" x14ac:dyDescent="0.25">
      <c r="A3093" t="str">
        <f>"20190303170828013"</f>
        <v>20190303170828013</v>
      </c>
      <c r="B3093" t="str">
        <f>"1551604108005970"</f>
        <v>1551604108005970</v>
      </c>
      <c r="C3093" t="s">
        <v>40</v>
      </c>
      <c r="D3093">
        <v>4.8035540000000001</v>
      </c>
      <c r="E3093">
        <v>0.57535849999999999</v>
      </c>
      <c r="F3093" t="s">
        <v>58</v>
      </c>
      <c r="G3093">
        <v>-200.56540000000001</v>
      </c>
      <c r="H3093">
        <v>7.9984130000000001E-2</v>
      </c>
      <c r="I3093">
        <v>157.37379999999999</v>
      </c>
      <c r="J3093">
        <v>-191.24950000000001</v>
      </c>
      <c r="K3093">
        <v>1.1187339999999999</v>
      </c>
      <c r="L3093">
        <v>189.7439</v>
      </c>
      <c r="M3093">
        <v>9.4731750000000003E-2</v>
      </c>
      <c r="N3093">
        <v>-1.405783E-2</v>
      </c>
      <c r="O3093">
        <v>-0.99540360000000006</v>
      </c>
      <c r="P3093">
        <v>-0.1006986</v>
      </c>
      <c r="Q3093">
        <v>0.1933182</v>
      </c>
      <c r="R3093">
        <v>-0.97595509999999996</v>
      </c>
      <c r="S3093">
        <v>-0.8520508</v>
      </c>
      <c r="T3093">
        <v>-9.5351580000000005E-2</v>
      </c>
      <c r="U3093">
        <v>-3.008591</v>
      </c>
      <c r="V3093">
        <v>0.19401409999999999</v>
      </c>
      <c r="W3093">
        <v>0.20559920000000001</v>
      </c>
      <c r="X3093">
        <v>0.95921190000000001</v>
      </c>
      <c r="Y3093">
        <v>0.36227379999999998</v>
      </c>
      <c r="Z3093">
        <v>1.556074E-2</v>
      </c>
      <c r="AA3093">
        <v>0.93194189999999999</v>
      </c>
      <c r="AB3093">
        <v>26</v>
      </c>
      <c r="AC3093">
        <v>-9.3158999999999992</v>
      </c>
      <c r="AD3093">
        <v>-1.03874987</v>
      </c>
      <c r="AE3093">
        <v>-32.370100000000001</v>
      </c>
      <c r="AF3093">
        <v>12.3290509586054</v>
      </c>
      <c r="AG3093">
        <v>-1.03874987</v>
      </c>
      <c r="AH3093">
        <v>31.312121313517199</v>
      </c>
      <c r="AI3093">
        <v>91.768012661385796</v>
      </c>
      <c r="AJ3093">
        <v>68.508113332210499</v>
      </c>
      <c r="AK3093">
        <v>33.667988356667998</v>
      </c>
      <c r="AL3093">
        <v>78.135421937693096</v>
      </c>
      <c r="AM3093">
        <v>78.565389811921705</v>
      </c>
      <c r="AN3093">
        <v>0.99999998557052905</v>
      </c>
    </row>
    <row r="3094" spans="1:40" x14ac:dyDescent="0.25">
      <c r="A3094" t="str">
        <f>"20190303170828035"</f>
        <v>20190303170828035</v>
      </c>
      <c r="B3094" t="str">
        <f>"1551604108026466"</f>
        <v>1551604108026466</v>
      </c>
      <c r="C3094" t="s">
        <v>40</v>
      </c>
      <c r="D3094">
        <v>4.8400129999999999</v>
      </c>
      <c r="E3094">
        <v>0.575179</v>
      </c>
      <c r="F3094" t="s">
        <v>58</v>
      </c>
      <c r="G3094">
        <v>-200.88550000000001</v>
      </c>
      <c r="H3094">
        <v>7.9984310000000003E-2</v>
      </c>
      <c r="I3094">
        <v>156.5352</v>
      </c>
      <c r="J3094">
        <v>-191.22909999999999</v>
      </c>
      <c r="K3094">
        <v>1.1187389999999999</v>
      </c>
      <c r="L3094">
        <v>189.4855</v>
      </c>
      <c r="M3094">
        <v>9.1065989999999999E-2</v>
      </c>
      <c r="N3094">
        <v>-1.405463E-2</v>
      </c>
      <c r="O3094">
        <v>-0.99574569999999996</v>
      </c>
      <c r="P3094">
        <v>-0.1046265</v>
      </c>
      <c r="Q3094">
        <v>0.19401779999999999</v>
      </c>
      <c r="R3094">
        <v>-0.97540300000000002</v>
      </c>
      <c r="S3094">
        <v>-0.87126159999999997</v>
      </c>
      <c r="T3094">
        <v>-9.392035E-2</v>
      </c>
      <c r="U3094">
        <v>-3.0026250000000001</v>
      </c>
      <c r="V3094">
        <v>0.1943349</v>
      </c>
      <c r="W3094">
        <v>0.20629159999999999</v>
      </c>
      <c r="X3094">
        <v>0.95899829999999997</v>
      </c>
      <c r="Y3094">
        <v>0.36483700000000002</v>
      </c>
      <c r="Z3094">
        <v>1.5151100000000001E-2</v>
      </c>
      <c r="AA3094">
        <v>0.93094809999999995</v>
      </c>
      <c r="AB3094">
        <v>26</v>
      </c>
      <c r="AC3094">
        <v>-9.6564000000000192</v>
      </c>
      <c r="AD3094">
        <v>-1.03875469</v>
      </c>
      <c r="AE3094">
        <v>-32.950299999999999</v>
      </c>
      <c r="AF3094">
        <v>12.6056794673633</v>
      </c>
      <c r="AG3094">
        <v>-1.03875469</v>
      </c>
      <c r="AH3094">
        <v>31.9047036121631</v>
      </c>
      <c r="AI3094">
        <v>91.734399625076605</v>
      </c>
      <c r="AJ3094">
        <v>68.440820375355401</v>
      </c>
      <c r="AK3094">
        <v>34.320435293274997</v>
      </c>
      <c r="AL3094">
        <v>78.0948815650641</v>
      </c>
      <c r="AM3094">
        <v>78.5444985374412</v>
      </c>
      <c r="AN3094">
        <v>1.0000000084957299</v>
      </c>
    </row>
    <row r="3095" spans="1:40" x14ac:dyDescent="0.25">
      <c r="A3095" t="str">
        <f>"20190303170828056"</f>
        <v>20190303170828056</v>
      </c>
      <c r="B3095" t="str">
        <f>"1551604108045990"</f>
        <v>1551604108045990</v>
      </c>
      <c r="C3095" t="s">
        <v>40</v>
      </c>
      <c r="D3095">
        <v>4.8349929999999999</v>
      </c>
      <c r="E3095">
        <v>0.57500830000000003</v>
      </c>
      <c r="F3095" t="s">
        <v>58</v>
      </c>
      <c r="G3095">
        <v>-201.19560000000001</v>
      </c>
      <c r="H3095">
        <v>7.9984520000000003E-2</v>
      </c>
      <c r="I3095">
        <v>155.60910000000001</v>
      </c>
      <c r="J3095">
        <v>-191.2106</v>
      </c>
      <c r="K3095">
        <v>1.1187450000000001</v>
      </c>
      <c r="L3095">
        <v>189.24</v>
      </c>
      <c r="M3095">
        <v>8.7578840000000005E-2</v>
      </c>
      <c r="N3095">
        <v>-1.405168E-2</v>
      </c>
      <c r="O3095">
        <v>-0.99605849999999996</v>
      </c>
      <c r="P3095">
        <v>-0.1088765</v>
      </c>
      <c r="Q3095">
        <v>0.19454189999999999</v>
      </c>
      <c r="R3095">
        <v>-0.97483319999999996</v>
      </c>
      <c r="S3095">
        <v>-0.88240049999999903</v>
      </c>
      <c r="T3095">
        <v>-9.1967699999999999E-2</v>
      </c>
      <c r="U3095">
        <v>-2.999298</v>
      </c>
      <c r="V3095">
        <v>0.19515170000000001</v>
      </c>
      <c r="W3095">
        <v>0.20680580000000001</v>
      </c>
      <c r="X3095">
        <v>0.95872159999999995</v>
      </c>
      <c r="Y3095">
        <v>0.36504249999999999</v>
      </c>
      <c r="Z3095">
        <v>1.4577120000000001E-2</v>
      </c>
      <c r="AA3095">
        <v>0.9308767</v>
      </c>
      <c r="AB3095">
        <v>26</v>
      </c>
      <c r="AC3095">
        <v>-9.9850000000000101</v>
      </c>
      <c r="AD3095">
        <v>-1.0387604800000001</v>
      </c>
      <c r="AE3095">
        <v>-33.630899999999997</v>
      </c>
      <c r="AF3095">
        <v>12.8809788089353</v>
      </c>
      <c r="AG3095">
        <v>-1.0387604800000001</v>
      </c>
      <c r="AH3095">
        <v>32.598509671197696</v>
      </c>
      <c r="AI3095">
        <v>91.697496172690805</v>
      </c>
      <c r="AJ3095">
        <v>68.439036005215499</v>
      </c>
      <c r="AK3095">
        <v>35.066529215110798</v>
      </c>
      <c r="AL3095">
        <v>78.064770256418001</v>
      </c>
      <c r="AM3095">
        <v>78.494399919215397</v>
      </c>
      <c r="AN3095">
        <v>0.99999996561654403</v>
      </c>
    </row>
    <row r="3096" spans="1:40" x14ac:dyDescent="0.25">
      <c r="A3096" t="str">
        <f>"20190303170828079"</f>
        <v>20190303170828079</v>
      </c>
      <c r="B3096" t="str">
        <f>"1551604108066483"</f>
        <v>1551604108066483</v>
      </c>
      <c r="C3096" t="s">
        <v>40</v>
      </c>
      <c r="D3096">
        <v>4.8172990000000002</v>
      </c>
      <c r="E3096">
        <v>0.57479880000000005</v>
      </c>
      <c r="F3096" t="s">
        <v>58</v>
      </c>
      <c r="G3096">
        <v>-201.4718</v>
      </c>
      <c r="H3096">
        <v>7.9984669999999994E-2</v>
      </c>
      <c r="I3096">
        <v>154.8477</v>
      </c>
      <c r="J3096">
        <v>-191.19239999999999</v>
      </c>
      <c r="K3096">
        <v>1.1187469999999999</v>
      </c>
      <c r="L3096">
        <v>188.98609999999999</v>
      </c>
      <c r="M3096">
        <v>8.3965250000000005E-2</v>
      </c>
      <c r="N3096">
        <v>-1.4048679999999999E-2</v>
      </c>
      <c r="O3096">
        <v>-0.99636979999999997</v>
      </c>
      <c r="P3096">
        <v>-0.11354300000000001</v>
      </c>
      <c r="Q3096">
        <v>0.19455249999999999</v>
      </c>
      <c r="R3096">
        <v>-0.97429869999999996</v>
      </c>
      <c r="S3096">
        <v>-0.89376829999999996</v>
      </c>
      <c r="T3096">
        <v>-9.0478299999999998E-2</v>
      </c>
      <c r="U3096">
        <v>-2.9956510000000001</v>
      </c>
      <c r="V3096">
        <v>0.19626650000000001</v>
      </c>
      <c r="W3096">
        <v>0.20680390000000001</v>
      </c>
      <c r="X3096">
        <v>0.95849439999999997</v>
      </c>
      <c r="Y3096">
        <v>0.36522250000000001</v>
      </c>
      <c r="Z3096">
        <v>1.414997E-2</v>
      </c>
      <c r="AA3096">
        <v>0.93081270000000005</v>
      </c>
      <c r="AB3096">
        <v>26</v>
      </c>
      <c r="AC3096">
        <v>-10.279400000000001</v>
      </c>
      <c r="AD3096">
        <v>-1.03876233</v>
      </c>
      <c r="AE3096">
        <v>-34.138399999999898</v>
      </c>
      <c r="AF3096">
        <v>13.0986953614184</v>
      </c>
      <c r="AG3096">
        <v>-1.03876233</v>
      </c>
      <c r="AH3096">
        <v>33.126504331533198</v>
      </c>
      <c r="AI3096">
        <v>91.670302138378702</v>
      </c>
      <c r="AJ3096">
        <v>68.425446387201205</v>
      </c>
      <c r="AK3096">
        <v>35.637341884272999</v>
      </c>
      <c r="AL3096">
        <v>78.064881376463504</v>
      </c>
      <c r="AM3096">
        <v>78.427773240343299</v>
      </c>
      <c r="AN3096">
        <v>0.99999995345440895</v>
      </c>
    </row>
    <row r="3097" spans="1:40" x14ac:dyDescent="0.25">
      <c r="A3097" t="str">
        <f>"20190303170828101"</f>
        <v>20190303170828101</v>
      </c>
      <c r="B3097" t="str">
        <f>"1551604108096338"</f>
        <v>1551604108096338</v>
      </c>
      <c r="C3097" t="s">
        <v>40</v>
      </c>
      <c r="D3097">
        <v>4.914148</v>
      </c>
      <c r="E3097">
        <v>0.57460929999999999</v>
      </c>
      <c r="F3097" t="s">
        <v>58</v>
      </c>
      <c r="G3097">
        <v>-201.4487</v>
      </c>
      <c r="H3097">
        <v>7.9984609999999998E-2</v>
      </c>
      <c r="I3097">
        <v>155.10290000000001</v>
      </c>
      <c r="J3097">
        <v>-191.1747</v>
      </c>
      <c r="K3097">
        <v>1.1187480000000001</v>
      </c>
      <c r="L3097">
        <v>188.72460000000001</v>
      </c>
      <c r="M3097">
        <v>8.0234780000000006E-2</v>
      </c>
      <c r="N3097">
        <v>-1.4045709999999999E-2</v>
      </c>
      <c r="O3097">
        <v>-0.99667709999999998</v>
      </c>
      <c r="P3097">
        <v>-0.1177729</v>
      </c>
      <c r="Q3097">
        <v>0.19465199999999999</v>
      </c>
      <c r="R3097">
        <v>-0.97377650000000004</v>
      </c>
      <c r="S3097">
        <v>-0.90563959999999999</v>
      </c>
      <c r="T3097">
        <v>-9.1723440000000003E-2</v>
      </c>
      <c r="U3097">
        <v>-2.9919129999999998</v>
      </c>
      <c r="V3097">
        <v>0.19684009999999999</v>
      </c>
      <c r="W3097">
        <v>0.20689630000000001</v>
      </c>
      <c r="X3097">
        <v>0.95835689999999996</v>
      </c>
      <c r="Y3097">
        <v>0.3654405</v>
      </c>
      <c r="Z3097">
        <v>1.457956E-2</v>
      </c>
      <c r="AA3097">
        <v>0.93072049999999995</v>
      </c>
      <c r="AB3097">
        <v>26</v>
      </c>
      <c r="AC3097">
        <v>-10.273999999999999</v>
      </c>
      <c r="AD3097">
        <v>-1.03876339</v>
      </c>
      <c r="AE3097">
        <v>-33.621699999999997</v>
      </c>
      <c r="AF3097">
        <v>12.927479711279499</v>
      </c>
      <c r="AG3097">
        <v>-1.03876339</v>
      </c>
      <c r="AH3097">
        <v>32.660355466515398</v>
      </c>
      <c r="AI3097">
        <v>91.693897254959694</v>
      </c>
      <c r="AJ3097">
        <v>68.405565668975399</v>
      </c>
      <c r="AK3097">
        <v>35.141109548007897</v>
      </c>
      <c r="AL3097">
        <v>78.059471094296299</v>
      </c>
      <c r="AM3097">
        <v>78.393249047954697</v>
      </c>
      <c r="AN3097">
        <v>1.00000002584965</v>
      </c>
    </row>
    <row r="3098" spans="1:40" x14ac:dyDescent="0.25">
      <c r="A3098" t="str">
        <f>"20190303170828125"</f>
        <v>20190303170828125</v>
      </c>
      <c r="B3098" t="str">
        <f>"1551604108115840"</f>
        <v>1551604108115840</v>
      </c>
      <c r="C3098" t="s">
        <v>40</v>
      </c>
      <c r="D3098">
        <v>4.8312819999999999</v>
      </c>
      <c r="E3098">
        <v>0.57521929999999999</v>
      </c>
      <c r="F3098" t="s">
        <v>58</v>
      </c>
      <c r="G3098">
        <v>-201.49809999999999</v>
      </c>
      <c r="H3098">
        <v>7.9984609999999998E-2</v>
      </c>
      <c r="I3098">
        <v>155.07640000000001</v>
      </c>
      <c r="J3098">
        <v>-191.15690000000001</v>
      </c>
      <c r="K3098">
        <v>1.118752</v>
      </c>
      <c r="L3098">
        <v>188.44759999999999</v>
      </c>
      <c r="M3098">
        <v>7.6275620000000002E-2</v>
      </c>
      <c r="N3098">
        <v>-1.404265E-2</v>
      </c>
      <c r="O3098">
        <v>-0.99698799999999999</v>
      </c>
      <c r="P3098">
        <v>-0.12232229999999999</v>
      </c>
      <c r="Q3098">
        <v>0.19482720000000001</v>
      </c>
      <c r="R3098">
        <v>-0.97318020000000005</v>
      </c>
      <c r="S3098">
        <v>-0.91683959999999998</v>
      </c>
      <c r="T3098">
        <v>-9.22544E-2</v>
      </c>
      <c r="U3098">
        <v>-2.9883579999999998</v>
      </c>
      <c r="V3098">
        <v>0.1975114</v>
      </c>
      <c r="W3098">
        <v>0.20706330000000001</v>
      </c>
      <c r="X3098">
        <v>0.95818270000000005</v>
      </c>
      <c r="Y3098">
        <v>0.36524089999999998</v>
      </c>
      <c r="Z3098">
        <v>1.47882999999999E-2</v>
      </c>
      <c r="AA3098">
        <v>0.93079559999999995</v>
      </c>
      <c r="AB3098">
        <v>26</v>
      </c>
      <c r="AC3098">
        <v>-10.341199999999899</v>
      </c>
      <c r="AD3098">
        <v>-1.0387673900000001</v>
      </c>
      <c r="AE3098">
        <v>-33.371199999999902</v>
      </c>
      <c r="AF3098">
        <v>12.845371647572099</v>
      </c>
      <c r="AG3098">
        <v>-1.0387673900000001</v>
      </c>
      <c r="AH3098">
        <v>32.456411032314399</v>
      </c>
      <c r="AI3098">
        <v>91.704566248923797</v>
      </c>
      <c r="AJ3098">
        <v>68.407677456167704</v>
      </c>
      <c r="AK3098">
        <v>34.921357756440599</v>
      </c>
      <c r="AL3098">
        <v>78.0496909008112</v>
      </c>
      <c r="AM3098">
        <v>78.352685687479607</v>
      </c>
      <c r="AN3098">
        <v>1.0000000249580601</v>
      </c>
    </row>
    <row r="3099" spans="1:40" x14ac:dyDescent="0.25">
      <c r="A3099" t="str">
        <f>"20190303170828147"</f>
        <v>20190303170828147</v>
      </c>
      <c r="B3099" t="str">
        <f>"1551604108136336"</f>
        <v>1551604108136336</v>
      </c>
      <c r="C3099" t="s">
        <v>40</v>
      </c>
      <c r="D3099">
        <v>4.8523040000000002</v>
      </c>
      <c r="E3099">
        <v>0.60180929999999999</v>
      </c>
      <c r="F3099" t="s">
        <v>58</v>
      </c>
      <c r="G3099">
        <v>-201.82419999999999</v>
      </c>
      <c r="H3099">
        <v>7.9984710000000001E-2</v>
      </c>
      <c r="I3099">
        <v>154.43899999999999</v>
      </c>
      <c r="J3099">
        <v>-191.142</v>
      </c>
      <c r="K3099">
        <v>1.1187530000000001</v>
      </c>
      <c r="L3099">
        <v>188.19990000000001</v>
      </c>
      <c r="M3099">
        <v>7.2730039999999996E-2</v>
      </c>
      <c r="N3099">
        <v>-1.403973E-2</v>
      </c>
      <c r="O3099">
        <v>-0.9972529</v>
      </c>
      <c r="P3099">
        <v>-0.1261197</v>
      </c>
      <c r="Q3099">
        <v>0.19427150000000001</v>
      </c>
      <c r="R3099">
        <v>-0.97280659999999997</v>
      </c>
      <c r="S3099">
        <v>-0.9357605</v>
      </c>
      <c r="T3099">
        <v>-9.1122869999999995E-2</v>
      </c>
      <c r="U3099">
        <v>-2.9833069999999999</v>
      </c>
      <c r="V3099">
        <v>0.197848</v>
      </c>
      <c r="W3099">
        <v>0.20650489999999999</v>
      </c>
      <c r="X3099">
        <v>0.95823380000000002</v>
      </c>
      <c r="Y3099">
        <v>0.36775720000000001</v>
      </c>
      <c r="Z3099">
        <v>1.4457269999999999E-2</v>
      </c>
      <c r="AA3099">
        <v>0.92980949999999996</v>
      </c>
      <c r="AB3099">
        <v>26</v>
      </c>
      <c r="AC3099">
        <v>-10.6821999999999</v>
      </c>
      <c r="AD3099">
        <v>-1.0387682899999999</v>
      </c>
      <c r="AE3099">
        <v>-33.760899999999999</v>
      </c>
      <c r="AF3099">
        <v>13.098306223301501</v>
      </c>
      <c r="AG3099">
        <v>-1.0387682899999999</v>
      </c>
      <c r="AH3099">
        <v>32.8661960544853</v>
      </c>
      <c r="AI3099">
        <v>91.681734151705598</v>
      </c>
      <c r="AJ3099">
        <v>68.271022599567303</v>
      </c>
      <c r="AK3099">
        <v>35.395359986466502</v>
      </c>
      <c r="AL3099">
        <v>78.082392063412996</v>
      </c>
      <c r="AM3099">
        <v>78.333985049894906</v>
      </c>
      <c r="AN3099">
        <v>1.0000000601452199</v>
      </c>
    </row>
    <row r="3100" spans="1:40" x14ac:dyDescent="0.25">
      <c r="A3100" t="str">
        <f>"20190303170828168"</f>
        <v>20190303170828168</v>
      </c>
      <c r="B3100" t="str">
        <f>"1551604108155856"</f>
        <v>1551604108155856</v>
      </c>
      <c r="C3100" t="s">
        <v>40</v>
      </c>
      <c r="D3100">
        <v>4.8474949999999897</v>
      </c>
      <c r="E3100">
        <v>0.60223389999999999</v>
      </c>
      <c r="F3100" t="s">
        <v>43</v>
      </c>
      <c r="G3100">
        <v>-214.2141</v>
      </c>
      <c r="H3100">
        <v>4.7799890000000001E-3</v>
      </c>
      <c r="I3100">
        <v>129.6163</v>
      </c>
      <c r="J3100">
        <v>-191.12809999999999</v>
      </c>
      <c r="K3100">
        <v>1.1187480000000001</v>
      </c>
      <c r="L3100">
        <v>187.95509999999999</v>
      </c>
      <c r="M3100">
        <v>6.9221829999999998E-2</v>
      </c>
      <c r="N3100">
        <v>-1.403687E-2</v>
      </c>
      <c r="O3100">
        <v>-0.99750269999999996</v>
      </c>
      <c r="P3100">
        <v>-0.12937319999999999</v>
      </c>
      <c r="Q3100">
        <v>0.19294539999999999</v>
      </c>
      <c r="R3100">
        <v>-0.97264349999999999</v>
      </c>
      <c r="S3100">
        <v>-1.1597139999999999</v>
      </c>
      <c r="T3100">
        <v>-5.5993559999999998E-2</v>
      </c>
      <c r="U3100">
        <v>-2.9446870000000001</v>
      </c>
      <c r="V3100">
        <v>0.19769039999999999</v>
      </c>
      <c r="W3100">
        <v>0.2051829</v>
      </c>
      <c r="X3100">
        <v>0.95855020000000002</v>
      </c>
      <c r="Y3100">
        <v>0.42987839999999999</v>
      </c>
      <c r="Z3100">
        <v>3.1486610000000001E-3</v>
      </c>
      <c r="AA3100">
        <v>0.9028813</v>
      </c>
      <c r="AB3100">
        <v>26</v>
      </c>
      <c r="AC3100">
        <v>-23.085999999999999</v>
      </c>
      <c r="AD3100">
        <v>-1.1139680110000001</v>
      </c>
      <c r="AE3100">
        <v>-58.3387999999999</v>
      </c>
      <c r="AF3100">
        <v>27.060797463634898</v>
      </c>
      <c r="AG3100">
        <v>-1.1139680110000001</v>
      </c>
      <c r="AH3100">
        <v>56.582784888222001</v>
      </c>
      <c r="AI3100">
        <v>91.017508694109196</v>
      </c>
      <c r="AJ3100">
        <v>64.4404752620528</v>
      </c>
      <c r="AK3100">
        <v>62.7306881024288</v>
      </c>
      <c r="AL3100">
        <v>78.159793968335904</v>
      </c>
      <c r="AM3100">
        <v>78.346765942000005</v>
      </c>
      <c r="AN3100">
        <v>1.0000000013123</v>
      </c>
    </row>
    <row r="3101" spans="1:40" x14ac:dyDescent="0.25">
      <c r="A3101" t="str">
        <f>"20190303170828190"</f>
        <v>20190303170828190</v>
      </c>
      <c r="B3101" t="str">
        <f>"1551604108186111"</f>
        <v>1551604108186111</v>
      </c>
      <c r="C3101" t="s">
        <v>40</v>
      </c>
      <c r="D3101">
        <v>4.8643799999999997</v>
      </c>
      <c r="E3101">
        <v>0.60195019999999999</v>
      </c>
      <c r="F3101" t="s">
        <v>43</v>
      </c>
      <c r="G3101">
        <v>-213.542</v>
      </c>
      <c r="H3101" s="1">
        <v>-4.5559800000000004E-6</v>
      </c>
      <c r="I3101">
        <v>131.75460000000001</v>
      </c>
      <c r="J3101">
        <v>-191.11439999999999</v>
      </c>
      <c r="K3101">
        <v>1.1187510000000001</v>
      </c>
      <c r="L3101">
        <v>187.69720000000001</v>
      </c>
      <c r="M3101">
        <v>6.5524239999999997E-2</v>
      </c>
      <c r="N3101">
        <v>-1.4033830000000001E-2</v>
      </c>
      <c r="O3101">
        <v>-0.99775219999999998</v>
      </c>
      <c r="P3101">
        <v>-0.13257049999999901</v>
      </c>
      <c r="Q3101">
        <v>0.1915462</v>
      </c>
      <c r="R3101">
        <v>-0.97248920000000005</v>
      </c>
      <c r="S3101">
        <v>-1.1725460000000001</v>
      </c>
      <c r="T3101">
        <v>-5.8525679999999997E-2</v>
      </c>
      <c r="U3101">
        <v>-2.9400330000000001</v>
      </c>
      <c r="V3101">
        <v>0.1972949</v>
      </c>
      <c r="W3101">
        <v>0.203791</v>
      </c>
      <c r="X3101">
        <v>0.95892849999999996</v>
      </c>
      <c r="Y3101">
        <v>0.43042079999999999</v>
      </c>
      <c r="Z3101">
        <v>3.9624559999999996E-3</v>
      </c>
      <c r="AA3101">
        <v>0.90261970000000002</v>
      </c>
      <c r="AB3101">
        <v>26</v>
      </c>
      <c r="AC3101">
        <v>-22.427600000000002</v>
      </c>
      <c r="AD3101">
        <v>-1.11875555598</v>
      </c>
      <c r="AE3101">
        <v>-55.942599999999999</v>
      </c>
      <c r="AF3101">
        <v>26.036379847040799</v>
      </c>
      <c r="AG3101">
        <v>-1.11875555598</v>
      </c>
      <c r="AH3101">
        <v>54.333937149271897</v>
      </c>
      <c r="AI3101">
        <v>91.063776625824403</v>
      </c>
      <c r="AJ3101">
        <v>64.396639002143502</v>
      </c>
      <c r="AK3101">
        <v>60.260446527340399</v>
      </c>
      <c r="AL3101">
        <v>78.241265014645805</v>
      </c>
      <c r="AM3101">
        <v>78.373907006090903</v>
      </c>
      <c r="AN3101">
        <v>0.99999995867962899</v>
      </c>
    </row>
    <row r="3102" spans="1:40" x14ac:dyDescent="0.25">
      <c r="A3102" t="str">
        <f>"20190303170828215"</f>
        <v>20190303170828215</v>
      </c>
      <c r="B3102" t="str">
        <f>"1551604108206406"</f>
        <v>1551604108206406</v>
      </c>
      <c r="C3102" t="s">
        <v>40</v>
      </c>
      <c r="D3102">
        <v>4.8627659999999997</v>
      </c>
      <c r="E3102">
        <v>0.60169799999999996</v>
      </c>
      <c r="F3102" t="s">
        <v>43</v>
      </c>
      <c r="G3102">
        <v>-210.68170000000001</v>
      </c>
      <c r="H3102" s="1">
        <v>-4.5023769999999999E-6</v>
      </c>
      <c r="I3102">
        <v>138.9564</v>
      </c>
      <c r="J3102">
        <v>-191.101</v>
      </c>
      <c r="K3102">
        <v>1.118754</v>
      </c>
      <c r="L3102">
        <v>187.4238</v>
      </c>
      <c r="M3102">
        <v>6.1601070000000001E-2</v>
      </c>
      <c r="N3102">
        <v>-1.4030590000000001E-2</v>
      </c>
      <c r="O3102">
        <v>-0.99800250000000001</v>
      </c>
      <c r="P3102">
        <v>-0.13567499999999999</v>
      </c>
      <c r="Q3102">
        <v>0.19105349999999999</v>
      </c>
      <c r="R3102">
        <v>-0.97215819999999997</v>
      </c>
      <c r="S3102">
        <v>-1.17923</v>
      </c>
      <c r="T3102">
        <v>-6.7422389999999999E-2</v>
      </c>
      <c r="U3102">
        <v>-2.9373930000000001</v>
      </c>
      <c r="V3102">
        <v>0.19658419999999999</v>
      </c>
      <c r="W3102">
        <v>0.2033064</v>
      </c>
      <c r="X3102">
        <v>0.95917730000000001</v>
      </c>
      <c r="Y3102">
        <v>0.42890719999999999</v>
      </c>
      <c r="Z3102">
        <v>6.762601E-3</v>
      </c>
      <c r="AA3102">
        <v>0.90332319999999999</v>
      </c>
      <c r="AB3102">
        <v>26</v>
      </c>
      <c r="AC3102">
        <v>-19.5807</v>
      </c>
      <c r="AD3102">
        <v>-1.1187585023769999</v>
      </c>
      <c r="AE3102">
        <v>-48.467399999999998</v>
      </c>
      <c r="AF3102">
        <v>22.519127924256001</v>
      </c>
      <c r="AG3102">
        <v>-1.1187585023769999</v>
      </c>
      <c r="AH3102">
        <v>47.1474286729987</v>
      </c>
      <c r="AI3102">
        <v>91.226625543454603</v>
      </c>
      <c r="AJ3102">
        <v>64.469358965437195</v>
      </c>
      <c r="AK3102">
        <v>52.261293263094402</v>
      </c>
      <c r="AL3102">
        <v>78.269624348564406</v>
      </c>
      <c r="AM3102">
        <v>78.4175764839636</v>
      </c>
      <c r="AN3102">
        <v>0.99999996640294397</v>
      </c>
    </row>
    <row r="3103" spans="1:40" x14ac:dyDescent="0.25">
      <c r="A3103" t="str">
        <f>"20190303170828258"</f>
        <v>20190303170828258</v>
      </c>
      <c r="B3103" t="str">
        <f>"1551604108246423"</f>
        <v>1551604108246423</v>
      </c>
      <c r="C3103" t="s">
        <v>40</v>
      </c>
      <c r="D3103">
        <v>4.9968120000000003</v>
      </c>
      <c r="E3103">
        <v>0.60176660000000004</v>
      </c>
      <c r="F3103" t="s">
        <v>43</v>
      </c>
      <c r="G3103">
        <v>-210.1284</v>
      </c>
      <c r="H3103" s="1">
        <v>-4.7923739999999998E-6</v>
      </c>
      <c r="I3103">
        <v>140.35140000000001</v>
      </c>
      <c r="J3103">
        <v>-191.0795</v>
      </c>
      <c r="K3103">
        <v>1.118776</v>
      </c>
      <c r="L3103">
        <v>186.93029999999999</v>
      </c>
      <c r="M3103">
        <v>5.4520640000000002E-2</v>
      </c>
      <c r="N3103">
        <v>-1.4024699999999999E-2</v>
      </c>
      <c r="O3103">
        <v>-0.99841429999999998</v>
      </c>
      <c r="P3103">
        <v>-0.1396654</v>
      </c>
      <c r="Q3103">
        <v>0.19001889999999999</v>
      </c>
      <c r="R3103">
        <v>-0.97179559999999998</v>
      </c>
      <c r="S3103">
        <v>-1.186005</v>
      </c>
      <c r="T3103">
        <v>-6.9733980000000001E-2</v>
      </c>
      <c r="U3103">
        <v>-2.934097</v>
      </c>
      <c r="V3103">
        <v>0.19370799999999999</v>
      </c>
      <c r="W3103">
        <v>0.2023016</v>
      </c>
      <c r="X3103">
        <v>0.95997460000000001</v>
      </c>
      <c r="Y3103">
        <v>0.42463709999999999</v>
      </c>
      <c r="Z3103">
        <v>7.5562959999999997E-3</v>
      </c>
      <c r="AA3103">
        <v>0.90533209999999997</v>
      </c>
      <c r="AB3103">
        <v>26</v>
      </c>
      <c r="AC3103">
        <v>-19.0489</v>
      </c>
      <c r="AD3103">
        <v>-1.1187807923739901</v>
      </c>
      <c r="AE3103">
        <v>-46.578899999999898</v>
      </c>
      <c r="AF3103">
        <v>21.549671801418398</v>
      </c>
      <c r="AG3103">
        <v>-1.1187807923739901</v>
      </c>
      <c r="AH3103">
        <v>45.448483753009697</v>
      </c>
      <c r="AI3103">
        <v>91.274206450128204</v>
      </c>
      <c r="AJ3103">
        <v>64.631749732486398</v>
      </c>
      <c r="AK3103">
        <v>50.311079303249201</v>
      </c>
      <c r="AL3103">
        <v>78.328417056678703</v>
      </c>
      <c r="AM3103">
        <v>78.591789198555503</v>
      </c>
      <c r="AN3103">
        <v>0.99999997963585896</v>
      </c>
    </row>
    <row r="3104" spans="1:40" x14ac:dyDescent="0.25">
      <c r="A3104" t="str">
        <f>"20190303170828279"</f>
        <v>20190303170828279</v>
      </c>
      <c r="B3104" t="str">
        <f>"1551604108265943"</f>
        <v>1551604108265943</v>
      </c>
      <c r="C3104" t="s">
        <v>40</v>
      </c>
      <c r="D3104">
        <v>4.866479</v>
      </c>
      <c r="E3104">
        <v>0.6019679</v>
      </c>
      <c r="F3104" t="s">
        <v>58</v>
      </c>
      <c r="G3104">
        <v>-208.5727</v>
      </c>
      <c r="H3104" s="1">
        <v>-7.2035910000000003E-6</v>
      </c>
      <c r="I3104">
        <v>144.1712</v>
      </c>
      <c r="J3104">
        <v>-191.0702</v>
      </c>
      <c r="K3104">
        <v>1.118787</v>
      </c>
      <c r="L3104">
        <v>186.68729999999999</v>
      </c>
      <c r="M3104">
        <v>5.1033160000000001E-2</v>
      </c>
      <c r="N3104">
        <v>-1.4021759999999999E-2</v>
      </c>
      <c r="O3104">
        <v>-0.9985986</v>
      </c>
      <c r="P3104">
        <v>-0.1406966</v>
      </c>
      <c r="Q3104">
        <v>0.18958620000000001</v>
      </c>
      <c r="R3104">
        <v>-0.97173129999999996</v>
      </c>
      <c r="S3104">
        <v>-1.1986079999999999</v>
      </c>
      <c r="T3104">
        <v>-7.6657409999999995E-2</v>
      </c>
      <c r="U3104">
        <v>-2.9297939999999998</v>
      </c>
      <c r="V3104">
        <v>0.19136500000000001</v>
      </c>
      <c r="W3104">
        <v>0.20189109999999999</v>
      </c>
      <c r="X3104">
        <v>0.96053080000000002</v>
      </c>
      <c r="Y3104">
        <v>0.42526449999999999</v>
      </c>
      <c r="Z3104">
        <v>9.7410699999999992E-3</v>
      </c>
      <c r="AA3104">
        <v>0.90501670000000001</v>
      </c>
      <c r="AB3104">
        <v>25</v>
      </c>
      <c r="AC3104">
        <v>-17.502499999999898</v>
      </c>
      <c r="AD3104">
        <v>-1.1187942035909999</v>
      </c>
      <c r="AE3104">
        <v>-42.516100000000002</v>
      </c>
      <c r="AF3104">
        <v>19.638005223121699</v>
      </c>
      <c r="AG3104">
        <v>-1.1187942035909999</v>
      </c>
      <c r="AH3104">
        <v>41.542795248587097</v>
      </c>
      <c r="AI3104">
        <v>91.394749195482007</v>
      </c>
      <c r="AJ3104">
        <v>64.6990802666772</v>
      </c>
      <c r="AK3104">
        <v>45.964190264589398</v>
      </c>
      <c r="AL3104">
        <v>78.352432742615605</v>
      </c>
      <c r="AM3104">
        <v>78.732583715995901</v>
      </c>
      <c r="AN3104">
        <v>0.99999999861642397</v>
      </c>
    </row>
    <row r="3105" spans="1:40" x14ac:dyDescent="0.25">
      <c r="A3105" t="str">
        <f>"20190303170828303"</f>
        <v>20190303170828303</v>
      </c>
      <c r="B3105" t="str">
        <f>"1551604108296199"</f>
        <v>1551604108296199</v>
      </c>
      <c r="C3105" t="s">
        <v>40</v>
      </c>
      <c r="D3105">
        <v>4.8814830000000002</v>
      </c>
      <c r="E3105">
        <v>0.60231400000000002</v>
      </c>
      <c r="F3105" t="s">
        <v>58</v>
      </c>
      <c r="G3105">
        <v>-207.67</v>
      </c>
      <c r="H3105" s="1">
        <v>-8.1651199999999904E-6</v>
      </c>
      <c r="I3105">
        <v>146.2971</v>
      </c>
      <c r="J3105">
        <v>-191.06020000000001</v>
      </c>
      <c r="K3105">
        <v>1.118811</v>
      </c>
      <c r="L3105">
        <v>186.39859999999999</v>
      </c>
      <c r="M3105">
        <v>4.689844E-2</v>
      </c>
      <c r="N3105">
        <v>-1.401815E-2</v>
      </c>
      <c r="O3105">
        <v>-0.99880139999999995</v>
      </c>
      <c r="P3105">
        <v>-0.1422861</v>
      </c>
      <c r="Q3105">
        <v>0.1899005</v>
      </c>
      <c r="R3105">
        <v>-0.97143860000000004</v>
      </c>
      <c r="S3105">
        <v>-1.203705</v>
      </c>
      <c r="T3105">
        <v>-8.1127409999999997E-2</v>
      </c>
      <c r="U3105">
        <v>-2.9288180000000001</v>
      </c>
      <c r="V3105">
        <v>0.18894569999999999</v>
      </c>
      <c r="W3105">
        <v>0.20222780000000001</v>
      </c>
      <c r="X3105">
        <v>0.96093890000000004</v>
      </c>
      <c r="Y3105">
        <v>0.42296089999999997</v>
      </c>
      <c r="Z3105">
        <v>1.1171169999999999E-2</v>
      </c>
      <c r="AA3105">
        <v>0.90607910000000003</v>
      </c>
      <c r="AB3105">
        <v>25</v>
      </c>
      <c r="AC3105">
        <v>-16.6097999999999</v>
      </c>
      <c r="AD3105">
        <v>-1.1188191651199999</v>
      </c>
      <c r="AE3105">
        <v>-40.101499999999902</v>
      </c>
      <c r="AF3105">
        <v>18.4601373632118</v>
      </c>
      <c r="AG3105">
        <v>-1.1188191651199999</v>
      </c>
      <c r="AH3105">
        <v>39.252236458544701</v>
      </c>
      <c r="AI3105">
        <v>91.477516821880101</v>
      </c>
      <c r="AJ3105">
        <v>64.812624803731694</v>
      </c>
      <c r="AK3105">
        <v>43.390857271900003</v>
      </c>
      <c r="AL3105">
        <v>78.332735738714405</v>
      </c>
      <c r="AM3105">
        <v>78.876060950527602</v>
      </c>
      <c r="AN3105">
        <v>1.00000006508726</v>
      </c>
    </row>
    <row r="3106" spans="1:40" x14ac:dyDescent="0.25">
      <c r="A3106" t="str">
        <f>"20190303170828326"</f>
        <v>20190303170828326</v>
      </c>
      <c r="B3106" t="str">
        <f>"1551604108316654"</f>
        <v>1551604108316654</v>
      </c>
      <c r="C3106" t="s">
        <v>40</v>
      </c>
      <c r="D3106">
        <v>4.883051</v>
      </c>
      <c r="E3106">
        <v>0.60234180000000004</v>
      </c>
      <c r="F3106" t="s">
        <v>58</v>
      </c>
      <c r="G3106">
        <v>-206.22720000000001</v>
      </c>
      <c r="H3106">
        <v>7.9984899999999998E-2</v>
      </c>
      <c r="I3106">
        <v>149.7816</v>
      </c>
      <c r="J3106">
        <v>-191.05250000000001</v>
      </c>
      <c r="K3106">
        <v>1.118838</v>
      </c>
      <c r="L3106">
        <v>186.14830000000001</v>
      </c>
      <c r="M3106">
        <v>4.3336979999999997E-2</v>
      </c>
      <c r="N3106">
        <v>-1.4014560000000001E-2</v>
      </c>
      <c r="O3106">
        <v>-0.99896220000000002</v>
      </c>
      <c r="P3106">
        <v>-0.142569899999999</v>
      </c>
      <c r="Q3106">
        <v>0.1916001</v>
      </c>
      <c r="R3106">
        <v>-0.97106329999999996</v>
      </c>
      <c r="S3106">
        <v>-1.212326</v>
      </c>
      <c r="T3106">
        <v>-8.3034869999999997E-2</v>
      </c>
      <c r="U3106">
        <v>-2.9268489999999998</v>
      </c>
      <c r="V3106">
        <v>0.18577679999999999</v>
      </c>
      <c r="W3106">
        <v>0.20395579999999999</v>
      </c>
      <c r="X3106">
        <v>0.96119140000000003</v>
      </c>
      <c r="Y3106">
        <v>0.4222207</v>
      </c>
      <c r="Z3106">
        <v>1.179231E-2</v>
      </c>
      <c r="AA3106">
        <v>0.90641640000000001</v>
      </c>
      <c r="AB3106">
        <v>25</v>
      </c>
      <c r="AC3106">
        <v>-15.1747</v>
      </c>
      <c r="AD3106">
        <v>-1.0388530999999901</v>
      </c>
      <c r="AE3106">
        <v>-36.366700000000002</v>
      </c>
      <c r="AF3106">
        <v>16.724994486151001</v>
      </c>
      <c r="AG3106">
        <v>-1.0388530999999901</v>
      </c>
      <c r="AH3106">
        <v>35.6500598176493</v>
      </c>
      <c r="AI3106">
        <v>91.511189229041406</v>
      </c>
      <c r="AJ3106">
        <v>64.866682675709001</v>
      </c>
      <c r="AK3106">
        <v>39.392022305628601</v>
      </c>
      <c r="AL3106">
        <v>78.2316199679194</v>
      </c>
      <c r="AM3106">
        <v>79.060890950302195</v>
      </c>
      <c r="AN3106">
        <v>0.99999994760291799</v>
      </c>
    </row>
    <row r="3107" spans="1:40" x14ac:dyDescent="0.25">
      <c r="A3107" t="str">
        <f>"20190303170828347"</f>
        <v>20190303170828347</v>
      </c>
      <c r="B3107" t="str">
        <f>"1551604108336176"</f>
        <v>1551604108336176</v>
      </c>
      <c r="C3107" t="s">
        <v>40</v>
      </c>
      <c r="D3107">
        <v>5.0002440000000004</v>
      </c>
      <c r="E3107">
        <v>0.60236440000000002</v>
      </c>
      <c r="F3107" t="s">
        <v>58</v>
      </c>
      <c r="G3107">
        <v>-208.6378</v>
      </c>
      <c r="H3107" s="1">
        <v>-7.0635579999999997E-6</v>
      </c>
      <c r="I3107">
        <v>143.75020000000001</v>
      </c>
      <c r="J3107">
        <v>-191.04570000000001</v>
      </c>
      <c r="K3107">
        <v>1.118878</v>
      </c>
      <c r="L3107">
        <v>185.9023</v>
      </c>
      <c r="M3107">
        <v>3.9885759999999999E-2</v>
      </c>
      <c r="N3107">
        <v>-1.4010299999999899E-2</v>
      </c>
      <c r="O3107">
        <v>-0.99910620000000006</v>
      </c>
      <c r="P3107">
        <v>-0.14308299999999999</v>
      </c>
      <c r="Q3107">
        <v>0.19147990000000001</v>
      </c>
      <c r="R3107">
        <v>-0.97101130000000002</v>
      </c>
      <c r="S3107">
        <v>-1.2137910000000001</v>
      </c>
      <c r="T3107">
        <v>-7.7225799999999997E-2</v>
      </c>
      <c r="U3107">
        <v>-2.926437</v>
      </c>
      <c r="V3107">
        <v>0.1829375</v>
      </c>
      <c r="W3107">
        <v>0.20387269999999999</v>
      </c>
      <c r="X3107">
        <v>0.96175350000000004</v>
      </c>
      <c r="Y3107">
        <v>0.4195333</v>
      </c>
      <c r="Z3107">
        <v>1.0015309999999999E-2</v>
      </c>
      <c r="AA3107">
        <v>0.90768470000000001</v>
      </c>
      <c r="AB3107">
        <v>25</v>
      </c>
      <c r="AC3107">
        <v>-17.592099999999899</v>
      </c>
      <c r="AD3107">
        <v>-1.1188850635580001</v>
      </c>
      <c r="AE3107">
        <v>-42.152099999999898</v>
      </c>
      <c r="AF3107">
        <v>19.247981517999801</v>
      </c>
      <c r="AG3107">
        <v>-1.1188850635580001</v>
      </c>
      <c r="AH3107">
        <v>41.391969856479001</v>
      </c>
      <c r="AI3107">
        <v>91.404090917829805</v>
      </c>
      <c r="AJ3107">
        <v>65.060757976987205</v>
      </c>
      <c r="AK3107">
        <v>45.662149148965597</v>
      </c>
      <c r="AL3107">
        <v>78.236484068941394</v>
      </c>
      <c r="AM3107">
        <v>79.230284395437096</v>
      </c>
      <c r="AN3107">
        <v>1.0000000007368901</v>
      </c>
    </row>
    <row r="3108" spans="1:40" x14ac:dyDescent="0.25">
      <c r="A3108" t="str">
        <f>"20190303170828370"</f>
        <v>20190303170828370</v>
      </c>
      <c r="B3108" t="str">
        <f>"1551604108356672"</f>
        <v>1551604108356672</v>
      </c>
      <c r="C3108" t="s">
        <v>40</v>
      </c>
      <c r="D3108">
        <v>4.9914639999999997</v>
      </c>
      <c r="E3108">
        <v>0.57319799999999999</v>
      </c>
      <c r="F3108" t="s">
        <v>58</v>
      </c>
      <c r="G3108">
        <v>-208.5052</v>
      </c>
      <c r="H3108" s="1">
        <v>-7.1492150000000003E-6</v>
      </c>
      <c r="I3108">
        <v>143.8518</v>
      </c>
      <c r="J3108">
        <v>-191.03970000000001</v>
      </c>
      <c r="K3108">
        <v>1.1189359999999999</v>
      </c>
      <c r="L3108">
        <v>185.65270000000001</v>
      </c>
      <c r="M3108">
        <v>3.6466680000000001E-2</v>
      </c>
      <c r="N3108">
        <v>-1.4004859999999999E-2</v>
      </c>
      <c r="O3108">
        <v>-0.99923680000000004</v>
      </c>
      <c r="P3108">
        <v>-0.142556399999999</v>
      </c>
      <c r="Q3108">
        <v>0.19105610000000001</v>
      </c>
      <c r="R3108">
        <v>-0.97117220000000004</v>
      </c>
      <c r="S3108">
        <v>-1.214844</v>
      </c>
      <c r="T3108">
        <v>-7.7852850000000001E-2</v>
      </c>
      <c r="U3108">
        <v>-2.9259029999999999</v>
      </c>
      <c r="V3108">
        <v>0.1790822</v>
      </c>
      <c r="W3108">
        <v>0.2035053</v>
      </c>
      <c r="X3108">
        <v>0.96255659999999998</v>
      </c>
      <c r="Y3108">
        <v>0.41676190000000002</v>
      </c>
      <c r="Z3108">
        <v>1.025001E-2</v>
      </c>
      <c r="AA3108">
        <v>0.90895789999999999</v>
      </c>
      <c r="AB3108">
        <v>25</v>
      </c>
      <c r="AC3108">
        <v>-17.465499999999899</v>
      </c>
      <c r="AD3108">
        <v>-1.1189431492149999</v>
      </c>
      <c r="AE3108">
        <v>-41.800899999999999</v>
      </c>
      <c r="AF3108">
        <v>18.966799710098901</v>
      </c>
      <c r="AG3108">
        <v>-1.1189431492149999</v>
      </c>
      <c r="AH3108">
        <v>41.111040631533399</v>
      </c>
      <c r="AI3108">
        <v>91.415730073313597</v>
      </c>
      <c r="AJ3108">
        <v>65.233507793880406</v>
      </c>
      <c r="AK3108">
        <v>45.289172953607498</v>
      </c>
      <c r="AL3108">
        <v>78.257985584985803</v>
      </c>
      <c r="AM3108">
        <v>79.460706824591199</v>
      </c>
      <c r="AN3108">
        <v>1.00000002484424</v>
      </c>
    </row>
    <row r="3109" spans="1:40" x14ac:dyDescent="0.25">
      <c r="A3109" t="str">
        <f>"20190303170828394"</f>
        <v>20190303170828394</v>
      </c>
      <c r="B3109" t="str">
        <f>"1551604108385951"</f>
        <v>1551604108385951</v>
      </c>
      <c r="C3109" t="s">
        <v>40</v>
      </c>
      <c r="D3109">
        <v>4.9330930000000004</v>
      </c>
      <c r="E3109">
        <v>0.55551899999999999</v>
      </c>
      <c r="F3109" t="s">
        <v>58</v>
      </c>
      <c r="G3109">
        <v>-199.959</v>
      </c>
      <c r="H3109">
        <v>5.1174850000000001E-2</v>
      </c>
      <c r="I3109">
        <v>158.6825</v>
      </c>
      <c r="J3109">
        <v>-191.03399999999999</v>
      </c>
      <c r="K3109">
        <v>1.1190209999999901</v>
      </c>
      <c r="L3109">
        <v>185.38409999999999</v>
      </c>
      <c r="M3109">
        <v>3.2918290000000003E-2</v>
      </c>
      <c r="N3109">
        <v>-1.3997559999999999E-2</v>
      </c>
      <c r="O3109">
        <v>-0.99936000000000003</v>
      </c>
      <c r="P3109">
        <v>-0.14232919999999999</v>
      </c>
      <c r="Q3109">
        <v>0.1897278</v>
      </c>
      <c r="R3109">
        <v>-0.97146580000000005</v>
      </c>
      <c r="S3109">
        <v>-0.98156739999999998</v>
      </c>
      <c r="T3109">
        <v>-0.11750720000000001</v>
      </c>
      <c r="U3109">
        <v>-2.9680789999999999</v>
      </c>
      <c r="V3109">
        <v>0.17538110000000001</v>
      </c>
      <c r="W3109">
        <v>0.2022456</v>
      </c>
      <c r="X3109">
        <v>0.96350309999999995</v>
      </c>
      <c r="Y3109">
        <v>0.34486309999999998</v>
      </c>
      <c r="Z3109">
        <v>2.325615E-2</v>
      </c>
      <c r="AA3109">
        <v>0.93836489999999995</v>
      </c>
      <c r="AB3109">
        <v>25</v>
      </c>
      <c r="AC3109">
        <v>-8.9249999999999794</v>
      </c>
      <c r="AD3109">
        <v>-1.0678461499999901</v>
      </c>
      <c r="AE3109">
        <v>-26.7015999999999</v>
      </c>
      <c r="AF3109">
        <v>9.7851421607600706</v>
      </c>
      <c r="AG3109">
        <v>-1.0678461499999901</v>
      </c>
      <c r="AH3109">
        <v>26.355386196904799</v>
      </c>
      <c r="AI3109">
        <v>92.175261024579996</v>
      </c>
      <c r="AJ3109">
        <v>69.631209257174802</v>
      </c>
      <c r="AK3109">
        <v>28.1335330894353</v>
      </c>
      <c r="AL3109">
        <v>78.331693802253497</v>
      </c>
      <c r="AM3109">
        <v>79.6837150936081</v>
      </c>
      <c r="AN3109">
        <v>1.0000000183330799</v>
      </c>
    </row>
    <row r="3110" spans="1:40" x14ac:dyDescent="0.25">
      <c r="A3110" t="str">
        <f>"20190303170828417"</f>
        <v>20190303170828417</v>
      </c>
      <c r="B3110" t="str">
        <f>"1551604108406447"</f>
        <v>1551604108406447</v>
      </c>
      <c r="C3110" t="s">
        <v>40</v>
      </c>
      <c r="D3110">
        <v>4.8678229999999996</v>
      </c>
      <c r="E3110">
        <v>0.55097779999999996</v>
      </c>
      <c r="F3110" t="s">
        <v>43</v>
      </c>
      <c r="G3110">
        <v>-198.1345</v>
      </c>
      <c r="H3110" s="1">
        <v>-2.4285320000000002E-6</v>
      </c>
      <c r="I3110">
        <v>160.15039999999999</v>
      </c>
      <c r="J3110">
        <v>-191.02930000000001</v>
      </c>
      <c r="K3110">
        <v>1.119113</v>
      </c>
      <c r="L3110">
        <v>185.12540000000001</v>
      </c>
      <c r="M3110">
        <v>2.961892E-2</v>
      </c>
      <c r="N3110">
        <v>-1.39901E-2</v>
      </c>
      <c r="O3110">
        <v>-0.99946360000000001</v>
      </c>
      <c r="P3110">
        <v>-0.1422764</v>
      </c>
      <c r="Q3110">
        <v>0.18890979999999999</v>
      </c>
      <c r="R3110">
        <v>-0.97163339999999998</v>
      </c>
      <c r="S3110">
        <v>-0.84155270000000004</v>
      </c>
      <c r="T3110">
        <v>-0.13262699999999999</v>
      </c>
      <c r="U3110">
        <v>-2.990707</v>
      </c>
      <c r="V3110">
        <v>0.17208879999999999</v>
      </c>
      <c r="W3110">
        <v>0.2014908</v>
      </c>
      <c r="X3110">
        <v>0.96425459999999996</v>
      </c>
      <c r="Y3110">
        <v>0.299039099999999</v>
      </c>
      <c r="Z3110">
        <v>2.8399339999999999E-2</v>
      </c>
      <c r="AA3110">
        <v>0.9538181</v>
      </c>
      <c r="AB3110">
        <v>25</v>
      </c>
      <c r="AC3110">
        <v>-7.1051999999999902</v>
      </c>
      <c r="AD3110">
        <v>-1.119115428532</v>
      </c>
      <c r="AE3110">
        <v>-24.975000000000001</v>
      </c>
      <c r="AF3110">
        <v>7.8273471966791401</v>
      </c>
      <c r="AG3110">
        <v>-1.119115428532</v>
      </c>
      <c r="AH3110">
        <v>24.707675957874699</v>
      </c>
      <c r="AI3110">
        <v>92.472454543218404</v>
      </c>
      <c r="AJ3110">
        <v>72.421892178170197</v>
      </c>
      <c r="AK3110">
        <v>25.942032201026201</v>
      </c>
      <c r="AL3110">
        <v>78.375849675784707</v>
      </c>
      <c r="AM3110">
        <v>79.881059244347298</v>
      </c>
      <c r="AN3110">
        <v>1.0000000155956099</v>
      </c>
    </row>
    <row r="3111" spans="1:40" x14ac:dyDescent="0.25">
      <c r="A3111" t="str">
        <f>"20190303170828439"</f>
        <v>20190303170828439</v>
      </c>
      <c r="B3111" t="str">
        <f>"1551604108425968"</f>
        <v>1551604108425968</v>
      </c>
      <c r="C3111" t="s">
        <v>40</v>
      </c>
      <c r="D3111">
        <v>4.824605</v>
      </c>
      <c r="E3111">
        <v>0.54851079999999997</v>
      </c>
      <c r="F3111" t="s">
        <v>43</v>
      </c>
      <c r="G3111">
        <v>-197.5891</v>
      </c>
      <c r="H3111" s="1">
        <v>-2.5659209999999998E-6</v>
      </c>
      <c r="I3111">
        <v>160.74799999999999</v>
      </c>
      <c r="J3111">
        <v>-191.02529999999999</v>
      </c>
      <c r="K3111">
        <v>1.119213</v>
      </c>
      <c r="L3111">
        <v>184.86529999999999</v>
      </c>
      <c r="M3111">
        <v>2.644796E-2</v>
      </c>
      <c r="N3111">
        <v>-1.398245E-2</v>
      </c>
      <c r="O3111">
        <v>-0.99955240000000001</v>
      </c>
      <c r="P3111">
        <v>-0.1425872</v>
      </c>
      <c r="Q3111">
        <v>0.18976199999999999</v>
      </c>
      <c r="R3111">
        <v>-0.97142150000000005</v>
      </c>
      <c r="S3111">
        <v>-0.80627439999999995</v>
      </c>
      <c r="T3111">
        <v>-0.1375526</v>
      </c>
      <c r="U3111">
        <v>-2.9962620000000002</v>
      </c>
      <c r="V3111">
        <v>0.16927799999999901</v>
      </c>
      <c r="W3111">
        <v>0.2023983</v>
      </c>
      <c r="X3111">
        <v>0.96456200000000003</v>
      </c>
      <c r="Y3111">
        <v>0.28506859999999901</v>
      </c>
      <c r="Z3111">
        <v>3.0080079999999999E-2</v>
      </c>
      <c r="AA3111">
        <v>0.95803499999999997</v>
      </c>
      <c r="AB3111">
        <v>25</v>
      </c>
      <c r="AC3111">
        <v>-6.5638000000000103</v>
      </c>
      <c r="AD3111">
        <v>-1.1192155659209999</v>
      </c>
      <c r="AE3111">
        <v>-24.1173</v>
      </c>
      <c r="AF3111">
        <v>7.1850125317693703</v>
      </c>
      <c r="AG3111">
        <v>-1.1192155659209999</v>
      </c>
      <c r="AH3111">
        <v>23.8873492172536</v>
      </c>
      <c r="AI3111">
        <v>92.569033520159195</v>
      </c>
      <c r="AJ3111">
        <v>73.259377601276</v>
      </c>
      <c r="AK3111">
        <v>24.969631579014301</v>
      </c>
      <c r="AL3111">
        <v>78.322759552513105</v>
      </c>
      <c r="AM3111">
        <v>80.046111850838599</v>
      </c>
      <c r="AN3111">
        <v>0.99999998248544397</v>
      </c>
    </row>
    <row r="3112" spans="1:40" x14ac:dyDescent="0.25">
      <c r="A3112" t="str">
        <f>"20190303170828462"</f>
        <v>20190303170828462</v>
      </c>
      <c r="B3112" t="str">
        <f>"1551604108456223"</f>
        <v>1551604108456223</v>
      </c>
      <c r="C3112" t="s">
        <v>40</v>
      </c>
      <c r="D3112">
        <v>4.831213</v>
      </c>
      <c r="E3112">
        <v>0.54663759999999995</v>
      </c>
      <c r="F3112" t="s">
        <v>43</v>
      </c>
      <c r="G3112">
        <v>-197.49119999999999</v>
      </c>
      <c r="H3112" s="1">
        <v>-2.3058570000000001E-6</v>
      </c>
      <c r="I3112">
        <v>160.25299999999999</v>
      </c>
      <c r="J3112">
        <v>-191.02209999999999</v>
      </c>
      <c r="K3112">
        <v>1.1193219999999999</v>
      </c>
      <c r="L3112">
        <v>184.61539999999999</v>
      </c>
      <c r="M3112">
        <v>2.3564740000000001E-2</v>
      </c>
      <c r="N3112">
        <v>-1.397462E-2</v>
      </c>
      <c r="O3112">
        <v>-0.99962479999999998</v>
      </c>
      <c r="P3112">
        <v>-0.14277599999999999</v>
      </c>
      <c r="Q3112">
        <v>0.19014420000000001</v>
      </c>
      <c r="R3112">
        <v>-0.9713193</v>
      </c>
      <c r="S3112">
        <v>-0.78793329999999995</v>
      </c>
      <c r="T3112">
        <v>-0.13638810000000001</v>
      </c>
      <c r="U3112">
        <v>-2.9992679999999998</v>
      </c>
      <c r="V3112">
        <v>0.16662170000000001</v>
      </c>
      <c r="W3112">
        <v>0.20283619999999999</v>
      </c>
      <c r="X3112">
        <v>0.96493240000000002</v>
      </c>
      <c r="Y3112">
        <v>0.27658670000000002</v>
      </c>
      <c r="Z3112">
        <v>2.977314E-2</v>
      </c>
      <c r="AA3112">
        <v>0.96052769999999998</v>
      </c>
      <c r="AB3112">
        <v>25</v>
      </c>
      <c r="AC3112">
        <v>-6.4690999999999903</v>
      </c>
      <c r="AD3112">
        <v>-1.1193243058569999</v>
      </c>
      <c r="AE3112">
        <v>-24.362400000000001</v>
      </c>
      <c r="AF3112">
        <v>7.0275952599976197</v>
      </c>
      <c r="AG3112">
        <v>-1.1193243058569999</v>
      </c>
      <c r="AH3112">
        <v>24.155544122001</v>
      </c>
      <c r="AI3112">
        <v>92.547606980125394</v>
      </c>
      <c r="AJ3112">
        <v>73.778651903013397</v>
      </c>
      <c r="AK3112">
        <v>25.181943806425199</v>
      </c>
      <c r="AL3112">
        <v>78.297137620790494</v>
      </c>
      <c r="AM3112">
        <v>80.202944404278298</v>
      </c>
      <c r="AN3112">
        <v>0.99999992575554197</v>
      </c>
    </row>
    <row r="3113" spans="1:40" x14ac:dyDescent="0.25">
      <c r="A3113" t="str">
        <f>"20190303170828482"</f>
        <v>20190303170828482</v>
      </c>
      <c r="B3113" t="str">
        <f>"1551604108475743"</f>
        <v>1551604108475743</v>
      </c>
      <c r="C3113" t="s">
        <v>40</v>
      </c>
      <c r="D3113">
        <v>4.8372260000000002</v>
      </c>
      <c r="E3113">
        <v>0.54599770000000003</v>
      </c>
      <c r="F3113" t="s">
        <v>43</v>
      </c>
      <c r="G3113">
        <v>-197.3365</v>
      </c>
      <c r="H3113" s="1">
        <v>-2.192593E-6</v>
      </c>
      <c r="I3113">
        <v>160.10040000000001</v>
      </c>
      <c r="J3113">
        <v>-191.01949999999999</v>
      </c>
      <c r="K3113">
        <v>1.1194440000000001</v>
      </c>
      <c r="L3113">
        <v>184.3819</v>
      </c>
      <c r="M3113">
        <v>2.1031729999999998E-2</v>
      </c>
      <c r="N3113">
        <v>-1.3966620000000001E-2</v>
      </c>
      <c r="O3113">
        <v>-0.99968140000000005</v>
      </c>
      <c r="P3113">
        <v>-0.14242389999999999</v>
      </c>
      <c r="Q3113">
        <v>0.18985270000000001</v>
      </c>
      <c r="R3113">
        <v>-0.97142779999999995</v>
      </c>
      <c r="S3113">
        <v>-0.77317809999999998</v>
      </c>
      <c r="T3113">
        <v>-0.1370565</v>
      </c>
      <c r="U3113">
        <v>-3.0017550000000002</v>
      </c>
      <c r="V3113">
        <v>0.16376289999999999</v>
      </c>
      <c r="W3113">
        <v>0.20260230000000001</v>
      </c>
      <c r="X3113">
        <v>0.96547090000000002</v>
      </c>
      <c r="Y3113">
        <v>0.26952690000000001</v>
      </c>
      <c r="Z3113">
        <v>3.004099E-2</v>
      </c>
      <c r="AA3113">
        <v>0.96252420000000005</v>
      </c>
      <c r="AB3113">
        <v>25</v>
      </c>
      <c r="AC3113">
        <v>-6.3170000000000002</v>
      </c>
      <c r="AD3113">
        <v>-1.1194461925929999</v>
      </c>
      <c r="AE3113">
        <v>-24.281499999999902</v>
      </c>
      <c r="AF3113">
        <v>6.8127717235215002</v>
      </c>
      <c r="AG3113">
        <v>-1.1194461925929999</v>
      </c>
      <c r="AH3113">
        <v>24.095290358318501</v>
      </c>
      <c r="AI3113">
        <v>92.559788482553003</v>
      </c>
      <c r="AJ3113">
        <v>74.212127514610103</v>
      </c>
      <c r="AK3113">
        <v>25.064916432866902</v>
      </c>
      <c r="AL3113">
        <v>78.310824367103905</v>
      </c>
      <c r="AM3113">
        <v>80.373132668437407</v>
      </c>
      <c r="AN3113">
        <v>1.00000001906425</v>
      </c>
    </row>
    <row r="3114" spans="1:40" x14ac:dyDescent="0.25">
      <c r="A3114" t="str">
        <f>"20190303170828505"</f>
        <v>20190303170828505</v>
      </c>
      <c r="B3114" t="str">
        <f>"1551604108496239"</f>
        <v>1551604108496239</v>
      </c>
      <c r="C3114" t="s">
        <v>40</v>
      </c>
      <c r="D3114">
        <v>4.849367</v>
      </c>
      <c r="E3114">
        <v>0.5455873</v>
      </c>
      <c r="F3114" t="s">
        <v>43</v>
      </c>
      <c r="G3114">
        <v>-197.23410000000001</v>
      </c>
      <c r="H3114" s="1">
        <v>-2.1511079999999998E-6</v>
      </c>
      <c r="I3114">
        <v>160.0703</v>
      </c>
      <c r="J3114">
        <v>-191.0172</v>
      </c>
      <c r="K3114">
        <v>1.1195900000000001</v>
      </c>
      <c r="L3114">
        <v>184.1216</v>
      </c>
      <c r="M3114">
        <v>1.8398769999999998E-2</v>
      </c>
      <c r="N3114">
        <v>-1.3957219999999999E-2</v>
      </c>
      <c r="O3114">
        <v>-0.99973339999999999</v>
      </c>
      <c r="P3114">
        <v>-0.1421916</v>
      </c>
      <c r="Q3114">
        <v>0.18945129999999999</v>
      </c>
      <c r="R3114">
        <v>-0.97153999999999996</v>
      </c>
      <c r="S3114">
        <v>-0.76757810000000004</v>
      </c>
      <c r="T3114">
        <v>-0.1382641</v>
      </c>
      <c r="U3114">
        <v>-3.0027469999999998</v>
      </c>
      <c r="V3114">
        <v>0.16091179999999999</v>
      </c>
      <c r="W3114">
        <v>0.20226710000000001</v>
      </c>
      <c r="X3114">
        <v>0.9660204</v>
      </c>
      <c r="Y3114">
        <v>0.26522509999999999</v>
      </c>
      <c r="Z3114">
        <v>3.046919E-2</v>
      </c>
      <c r="AA3114">
        <v>0.96370489999999998</v>
      </c>
      <c r="AB3114">
        <v>25</v>
      </c>
      <c r="AC3114">
        <v>-6.2169000000000096</v>
      </c>
      <c r="AD3114">
        <v>-1.11959215110799</v>
      </c>
      <c r="AE3114">
        <v>-24.051300000000001</v>
      </c>
      <c r="AF3114">
        <v>6.6449076857737701</v>
      </c>
      <c r="AG3114">
        <v>-1.11959215110799</v>
      </c>
      <c r="AH3114">
        <v>23.884319617836901</v>
      </c>
      <c r="AI3114">
        <v>92.585745237743794</v>
      </c>
      <c r="AJ3114">
        <v>74.452787187502693</v>
      </c>
      <c r="AK3114">
        <v>24.8167082495698</v>
      </c>
      <c r="AL3114">
        <v>78.330435731476996</v>
      </c>
      <c r="AM3114">
        <v>80.542963939287503</v>
      </c>
      <c r="AN3114">
        <v>1.0000000001689</v>
      </c>
    </row>
    <row r="3115" spans="1:40" x14ac:dyDescent="0.25">
      <c r="A3115" t="str">
        <f>"20190303170828526"</f>
        <v>20190303170828526</v>
      </c>
      <c r="B3115" t="str">
        <f>"1551604108515759"</f>
        <v>1551604108515759</v>
      </c>
      <c r="C3115" t="s">
        <v>40</v>
      </c>
      <c r="D3115">
        <v>4.8331239999999998</v>
      </c>
      <c r="E3115">
        <v>0.54526129999999995</v>
      </c>
      <c r="F3115" t="s">
        <v>43</v>
      </c>
      <c r="G3115">
        <v>-197.1551</v>
      </c>
      <c r="H3115" s="1">
        <v>-2.1053329999999998E-6</v>
      </c>
      <c r="I3115">
        <v>160.018</v>
      </c>
      <c r="J3115">
        <v>-191.0154</v>
      </c>
      <c r="K3115">
        <v>1.119726</v>
      </c>
      <c r="L3115">
        <v>183.88900000000001</v>
      </c>
      <c r="M3115">
        <v>1.6230939999999999E-2</v>
      </c>
      <c r="N3115">
        <v>-1.3948530000000001E-2</v>
      </c>
      <c r="O3115">
        <v>-0.99977099999999997</v>
      </c>
      <c r="P3115">
        <v>-0.1419501</v>
      </c>
      <c r="Q3115">
        <v>0.18988749999999999</v>
      </c>
      <c r="R3115">
        <v>-0.97149050000000003</v>
      </c>
      <c r="S3115">
        <v>-0.76475519999999997</v>
      </c>
      <c r="T3115">
        <v>-0.139494799999999</v>
      </c>
      <c r="U3115">
        <v>-3.003174</v>
      </c>
      <c r="V3115">
        <v>0.15850310000000001</v>
      </c>
      <c r="W3115">
        <v>0.20276159999999999</v>
      </c>
      <c r="X3115">
        <v>0.96631489999999998</v>
      </c>
      <c r="Y3115">
        <v>0.26224730000000002</v>
      </c>
      <c r="Z3115">
        <v>3.0896960000000001E-2</v>
      </c>
      <c r="AA3115">
        <v>0.96450599999999997</v>
      </c>
      <c r="AB3115">
        <v>25</v>
      </c>
      <c r="AC3115">
        <v>-6.1397000000000004</v>
      </c>
      <c r="AD3115">
        <v>-1.1197281053329999</v>
      </c>
      <c r="AE3115">
        <v>-23.870999999999999</v>
      </c>
      <c r="AF3115">
        <v>6.5129362203644998</v>
      </c>
      <c r="AG3115">
        <v>-1.1197281053329999</v>
      </c>
      <c r="AH3115">
        <v>23.7192406744945</v>
      </c>
      <c r="AI3115">
        <v>92.606455773481699</v>
      </c>
      <c r="AJ3115">
        <v>74.645882866487995</v>
      </c>
      <c r="AK3115">
        <v>24.622642169657698</v>
      </c>
      <c r="AL3115">
        <v>78.301503380999804</v>
      </c>
      <c r="AM3115">
        <v>80.684815762744904</v>
      </c>
      <c r="AN3115">
        <v>0.99999999255308902</v>
      </c>
    </row>
    <row r="3116" spans="1:40" x14ac:dyDescent="0.25">
      <c r="A3116" t="str">
        <f>"20190303170828547"</f>
        <v>20190303170828547</v>
      </c>
      <c r="B3116" t="str">
        <f>"1551604108536256"</f>
        <v>1551604108536256</v>
      </c>
      <c r="C3116" t="s">
        <v>40</v>
      </c>
      <c r="D3116">
        <v>4.8508519999999997</v>
      </c>
      <c r="E3116">
        <v>0.54516260000000005</v>
      </c>
      <c r="F3116" t="s">
        <v>43</v>
      </c>
      <c r="G3116">
        <v>-197.16149999999999</v>
      </c>
      <c r="H3116" s="1">
        <v>-1.938425E-6</v>
      </c>
      <c r="I3116">
        <v>159.66130000000001</v>
      </c>
      <c r="J3116">
        <v>-191.01400000000001</v>
      </c>
      <c r="K3116">
        <v>1.1198809999999999</v>
      </c>
      <c r="L3116">
        <v>183.6463</v>
      </c>
      <c r="M3116">
        <v>1.4155569999999999E-2</v>
      </c>
      <c r="N3116">
        <v>-1.393957E-2</v>
      </c>
      <c r="O3116">
        <v>-0.99980290000000005</v>
      </c>
      <c r="P3116">
        <v>-0.14259340000000001</v>
      </c>
      <c r="Q3116">
        <v>0.1908417</v>
      </c>
      <c r="R3116">
        <v>-0.97120919999999999</v>
      </c>
      <c r="S3116">
        <v>-0.76200869999999998</v>
      </c>
      <c r="T3116">
        <v>-0.13882739999999999</v>
      </c>
      <c r="U3116">
        <v>-3.0038299999999998</v>
      </c>
      <c r="V3116">
        <v>0.1570599</v>
      </c>
      <c r="W3116">
        <v>0.20377000000000001</v>
      </c>
      <c r="X3116">
        <v>0.96633849999999999</v>
      </c>
      <c r="Y3116">
        <v>0.25936740000000003</v>
      </c>
      <c r="Z3116">
        <v>3.0710709999999999E-2</v>
      </c>
      <c r="AA3116">
        <v>0.96529030000000005</v>
      </c>
      <c r="AB3116">
        <v>25</v>
      </c>
      <c r="AC3116">
        <v>-6.1474999999999804</v>
      </c>
      <c r="AD3116">
        <v>-1.119882938425</v>
      </c>
      <c r="AE3116">
        <v>-23.9849999999999</v>
      </c>
      <c r="AF3116">
        <v>6.4731962100888198</v>
      </c>
      <c r="AG3116">
        <v>-1.119882938425</v>
      </c>
      <c r="AH3116">
        <v>23.846784105394001</v>
      </c>
      <c r="AI3116">
        <v>92.594955711660802</v>
      </c>
      <c r="AJ3116">
        <v>74.813049065763295</v>
      </c>
      <c r="AK3116">
        <v>24.735107016937601</v>
      </c>
      <c r="AL3116">
        <v>78.242495232905497</v>
      </c>
      <c r="AM3116">
        <v>80.7683869153459</v>
      </c>
      <c r="AN3116">
        <v>1.0000000608351201</v>
      </c>
    </row>
    <row r="3117" spans="1:40" x14ac:dyDescent="0.25">
      <c r="A3117" t="str">
        <f>"20190303170828571"</f>
        <v>20190303170828571</v>
      </c>
      <c r="B3117" t="str">
        <f>"1551604108566512"</f>
        <v>1551604108566512</v>
      </c>
      <c r="C3117" t="s">
        <v>40</v>
      </c>
      <c r="D3117">
        <v>4.8205830000000001</v>
      </c>
      <c r="E3117">
        <v>0.54514490000000004</v>
      </c>
      <c r="F3117" t="s">
        <v>58</v>
      </c>
      <c r="G3117">
        <v>-197.239</v>
      </c>
      <c r="H3117" s="1">
        <v>-1.484608E-5</v>
      </c>
      <c r="I3117">
        <v>159.09399999999999</v>
      </c>
      <c r="J3117">
        <v>-191.0128</v>
      </c>
      <c r="K3117">
        <v>1.1200490000000001</v>
      </c>
      <c r="L3117">
        <v>183.38759999999999</v>
      </c>
      <c r="M3117">
        <v>1.2174030000000001E-2</v>
      </c>
      <c r="N3117">
        <v>-1.3930110000000001E-2</v>
      </c>
      <c r="O3117">
        <v>-0.99982890000000002</v>
      </c>
      <c r="P3117">
        <v>-0.14393129999999901</v>
      </c>
      <c r="Q3117">
        <v>0.1913369</v>
      </c>
      <c r="R3117">
        <v>-0.9709141</v>
      </c>
      <c r="S3117">
        <v>-0.7616425</v>
      </c>
      <c r="T3117">
        <v>-0.13702049999999999</v>
      </c>
      <c r="U3117">
        <v>-3.0039980000000002</v>
      </c>
      <c r="V3117">
        <v>0.15639449999999999</v>
      </c>
      <c r="W3117">
        <v>0.2043199</v>
      </c>
      <c r="X3117">
        <v>0.96633020000000003</v>
      </c>
      <c r="Y3117">
        <v>0.25733549999999999</v>
      </c>
      <c r="Z3117">
        <v>3.0155339999999999E-2</v>
      </c>
      <c r="AA3117">
        <v>0.96585149999999997</v>
      </c>
      <c r="AB3117">
        <v>25</v>
      </c>
      <c r="AC3117">
        <v>-6.2262000000000004</v>
      </c>
      <c r="AD3117">
        <v>-1.1200638460799901</v>
      </c>
      <c r="AE3117">
        <v>-24.293600000000001</v>
      </c>
      <c r="AF3117">
        <v>6.5085357672460997</v>
      </c>
      <c r="AG3117">
        <v>-1.1200638460799901</v>
      </c>
      <c r="AH3117">
        <v>24.167787049010901</v>
      </c>
      <c r="AI3117">
        <v>92.562329524078393</v>
      </c>
      <c r="AJ3117">
        <v>74.927480217143199</v>
      </c>
      <c r="AK3117">
        <v>25.053892146713601</v>
      </c>
      <c r="AL3117">
        <v>78.210309955556497</v>
      </c>
      <c r="AM3117">
        <v>80.806750763528498</v>
      </c>
      <c r="AN3117">
        <v>0.99999995829914901</v>
      </c>
    </row>
    <row r="3118" spans="1:40" x14ac:dyDescent="0.25">
      <c r="A3118" t="str">
        <f>"20190303170828594"</f>
        <v>20190303170828594</v>
      </c>
      <c r="B3118" t="str">
        <f>"1551604108586031"</f>
        <v>1551604108586031</v>
      </c>
      <c r="C3118" t="s">
        <v>40</v>
      </c>
      <c r="D3118">
        <v>4.8596199999999996</v>
      </c>
      <c r="E3118">
        <v>0.54515829999999998</v>
      </c>
      <c r="F3118" t="s">
        <v>58</v>
      </c>
      <c r="G3118">
        <v>-197.28639999999999</v>
      </c>
      <c r="H3118" s="1">
        <v>-1.4762689999999999E-5</v>
      </c>
      <c r="I3118">
        <v>158.76259999999999</v>
      </c>
      <c r="J3118">
        <v>-191.01169999999999</v>
      </c>
      <c r="K3118">
        <v>1.120207</v>
      </c>
      <c r="L3118">
        <v>183.12280000000001</v>
      </c>
      <c r="M3118">
        <v>1.038209E-2</v>
      </c>
      <c r="N3118">
        <v>-1.392067E-2</v>
      </c>
      <c r="O3118">
        <v>-0.9998494</v>
      </c>
      <c r="P3118">
        <v>-0.14384949999999999</v>
      </c>
      <c r="Q3118">
        <v>0.19116150000000001</v>
      </c>
      <c r="R3118">
        <v>-0.97096079999999996</v>
      </c>
      <c r="S3118">
        <v>-0.76515200000000005</v>
      </c>
      <c r="T3118">
        <v>-0.13660649999999999</v>
      </c>
      <c r="U3118">
        <v>-3.003342</v>
      </c>
      <c r="V3118">
        <v>0.15449679999999999</v>
      </c>
      <c r="W3118">
        <v>0.20420550000000001</v>
      </c>
      <c r="X3118">
        <v>0.96665959999999995</v>
      </c>
      <c r="Y3118">
        <v>0.25671559999999999</v>
      </c>
      <c r="Z3118">
        <v>3.0042909999999999E-2</v>
      </c>
      <c r="AA3118">
        <v>0.96601990000000004</v>
      </c>
      <c r="AB3118">
        <v>25</v>
      </c>
      <c r="AC3118">
        <v>-6.2746999999999904</v>
      </c>
      <c r="AD3118">
        <v>-1.12022176269</v>
      </c>
      <c r="AE3118">
        <v>-24.360199999999999</v>
      </c>
      <c r="AF3118">
        <v>6.5143772551944101</v>
      </c>
      <c r="AG3118">
        <v>-1.12022176269</v>
      </c>
      <c r="AH3118">
        <v>24.245654159629002</v>
      </c>
      <c r="AI3118">
        <v>92.554870236496299</v>
      </c>
      <c r="AJ3118">
        <v>74.960818866489902</v>
      </c>
      <c r="AK3118">
        <v>25.130534284987501</v>
      </c>
      <c r="AL3118">
        <v>78.217005845144001</v>
      </c>
      <c r="AM3118">
        <v>80.919475010276003</v>
      </c>
      <c r="AN3118">
        <v>0.99999996485632403</v>
      </c>
    </row>
    <row r="3119" spans="1:40" x14ac:dyDescent="0.25">
      <c r="A3119" t="str">
        <f>"20190303170828618"</f>
        <v>20190303170828618</v>
      </c>
      <c r="B3119" t="str">
        <f>"1551604108606527"</f>
        <v>1551604108606527</v>
      </c>
      <c r="C3119" t="s">
        <v>40</v>
      </c>
      <c r="D3119">
        <v>4.8253490000000001</v>
      </c>
      <c r="E3119">
        <v>0.54513129999999999</v>
      </c>
      <c r="F3119" t="s">
        <v>58</v>
      </c>
      <c r="G3119">
        <v>-197.2517</v>
      </c>
      <c r="H3119" s="1">
        <v>-1.4732560000000001E-5</v>
      </c>
      <c r="I3119">
        <v>158.6429</v>
      </c>
      <c r="J3119">
        <v>-191.011</v>
      </c>
      <c r="K3119">
        <v>1.1203369999999999</v>
      </c>
      <c r="L3119">
        <v>182.86420000000001</v>
      </c>
      <c r="M3119">
        <v>8.8098329999999996E-3</v>
      </c>
      <c r="N3119">
        <v>-1.391191E-2</v>
      </c>
      <c r="O3119">
        <v>-0.99986430000000004</v>
      </c>
      <c r="P3119">
        <v>-0.14417369999999999</v>
      </c>
      <c r="Q3119">
        <v>0.19105059999999999</v>
      </c>
      <c r="R3119">
        <v>-0.97093450000000003</v>
      </c>
      <c r="S3119">
        <v>-0.76556400000000002</v>
      </c>
      <c r="T3119">
        <v>-0.13743669999999999</v>
      </c>
      <c r="U3119">
        <v>-3.0033720000000002</v>
      </c>
      <c r="V3119">
        <v>0.15323100000000001</v>
      </c>
      <c r="W3119">
        <v>0.20414060000000001</v>
      </c>
      <c r="X3119">
        <v>0.96687480000000003</v>
      </c>
      <c r="Y3119">
        <v>0.25531569999999998</v>
      </c>
      <c r="Z3119">
        <v>3.0329459999999999E-2</v>
      </c>
      <c r="AA3119">
        <v>0.96638190000000002</v>
      </c>
      <c r="AB3119">
        <v>25</v>
      </c>
      <c r="AC3119">
        <v>-6.2407000000000004</v>
      </c>
      <c r="AD3119">
        <v>-1.1203517325599901</v>
      </c>
      <c r="AE3119">
        <v>-24.221299999999999</v>
      </c>
      <c r="AF3119">
        <v>6.44094147677413</v>
      </c>
      <c r="AG3119">
        <v>-1.1203517325599901</v>
      </c>
      <c r="AH3119">
        <v>24.1169886557669</v>
      </c>
      <c r="AI3119">
        <v>92.569813513552404</v>
      </c>
      <c r="AJ3119">
        <v>75.046971518089507</v>
      </c>
      <c r="AK3119">
        <v>24.987397962458399</v>
      </c>
      <c r="AL3119">
        <v>78.220804794404899</v>
      </c>
      <c r="AM3119">
        <v>80.994619492926901</v>
      </c>
      <c r="AN3119">
        <v>1.0000000014021999</v>
      </c>
    </row>
    <row r="3120" spans="1:40" x14ac:dyDescent="0.25">
      <c r="A3120" t="str">
        <f>"20190303170828639"</f>
        <v>20190303170828639</v>
      </c>
      <c r="B3120" t="str">
        <f>"1551604108626047"</f>
        <v>1551604108626047</v>
      </c>
      <c r="C3120" t="s">
        <v>40</v>
      </c>
      <c r="D3120">
        <v>4.8718409999999999</v>
      </c>
      <c r="E3120">
        <v>0.54515939999999996</v>
      </c>
      <c r="F3120" t="s">
        <v>58</v>
      </c>
      <c r="G3120">
        <v>-197.20599999999999</v>
      </c>
      <c r="H3120" s="1">
        <v>-1.472109E-5</v>
      </c>
      <c r="I3120">
        <v>158.59729999999999</v>
      </c>
      <c r="J3120">
        <v>-191.01050000000001</v>
      </c>
      <c r="K3120">
        <v>1.1204350000000001</v>
      </c>
      <c r="L3120">
        <v>182.6301</v>
      </c>
      <c r="M3120">
        <v>7.529076E-3</v>
      </c>
      <c r="N3120">
        <v>-1.3904379999999999E-2</v>
      </c>
      <c r="O3120">
        <v>-0.99987530000000002</v>
      </c>
      <c r="P3120">
        <v>-0.14479510000000001</v>
      </c>
      <c r="Q3120">
        <v>0.1912227</v>
      </c>
      <c r="R3120">
        <v>-0.97080860000000002</v>
      </c>
      <c r="S3120">
        <v>-0.76669309999999902</v>
      </c>
      <c r="T3120">
        <v>-0.1386539</v>
      </c>
      <c r="U3120">
        <v>-3.00325</v>
      </c>
      <c r="V3120">
        <v>0.15256020000000001</v>
      </c>
      <c r="W3120">
        <v>0.2043451</v>
      </c>
      <c r="X3120">
        <v>0.96693770000000001</v>
      </c>
      <c r="Y3120">
        <v>0.2544245</v>
      </c>
      <c r="Z3120">
        <v>3.073623E-2</v>
      </c>
      <c r="AA3120">
        <v>0.96660409999999997</v>
      </c>
      <c r="AB3120">
        <v>25</v>
      </c>
      <c r="AC3120">
        <v>-6.1954999999999796</v>
      </c>
      <c r="AD3120">
        <v>-1.12044972109</v>
      </c>
      <c r="AE3120">
        <v>-24.032800000000002</v>
      </c>
      <c r="AF3120">
        <v>6.3633172907355604</v>
      </c>
      <c r="AG3120">
        <v>-1.12044972109</v>
      </c>
      <c r="AH3120">
        <v>23.936681667417002</v>
      </c>
      <c r="AI3120">
        <v>92.590163116098395</v>
      </c>
      <c r="AJ3120">
        <v>75.112834617522907</v>
      </c>
      <c r="AK3120">
        <v>24.7933850808502</v>
      </c>
      <c r="AL3120">
        <v>78.208835781153596</v>
      </c>
      <c r="AM3120">
        <v>81.033974290831793</v>
      </c>
      <c r="AN3120">
        <v>1.0000000250996599</v>
      </c>
    </row>
    <row r="3121" spans="1:40" x14ac:dyDescent="0.25">
      <c r="A3121" t="str">
        <f>"20190303170828660"</f>
        <v>20190303170828660</v>
      </c>
      <c r="B3121" t="str">
        <f>"1551604108646543"</f>
        <v>1551604108646543</v>
      </c>
      <c r="C3121" t="s">
        <v>40</v>
      </c>
      <c r="D3121">
        <v>4.8823369999999997</v>
      </c>
      <c r="E3121">
        <v>0.54521909999999996</v>
      </c>
      <c r="F3121" t="s">
        <v>58</v>
      </c>
      <c r="G3121">
        <v>-197.21119999999999</v>
      </c>
      <c r="H3121" s="1">
        <v>-1.4672330000000001E-5</v>
      </c>
      <c r="I3121">
        <v>158.40350000000001</v>
      </c>
      <c r="J3121">
        <v>-191.0102</v>
      </c>
      <c r="K3121">
        <v>1.1205270000000001</v>
      </c>
      <c r="L3121">
        <v>182.39510000000001</v>
      </c>
      <c r="M3121">
        <v>6.3722029999999999E-3</v>
      </c>
      <c r="N3121">
        <v>-1.3897140000000001E-2</v>
      </c>
      <c r="O3121">
        <v>-0.99988339999999998</v>
      </c>
      <c r="P3121">
        <v>-0.14496210000000001</v>
      </c>
      <c r="Q3121">
        <v>0.19144620000000001</v>
      </c>
      <c r="R3121">
        <v>-0.97073920000000002</v>
      </c>
      <c r="S3121">
        <v>-0.76858519999999997</v>
      </c>
      <c r="T3121">
        <v>-0.138881</v>
      </c>
      <c r="U3121">
        <v>-3.0029140000000001</v>
      </c>
      <c r="V3121">
        <v>0.1515611</v>
      </c>
      <c r="W3121">
        <v>0.2045981</v>
      </c>
      <c r="X3121">
        <v>0.96704129999999999</v>
      </c>
      <c r="Y3121">
        <v>0.25390259999999998</v>
      </c>
      <c r="Z3121">
        <v>3.082356E-2</v>
      </c>
      <c r="AA3121">
        <v>0.96673849999999995</v>
      </c>
      <c r="AB3121">
        <v>25</v>
      </c>
      <c r="AC3121">
        <v>-6.2009999999999899</v>
      </c>
      <c r="AD3121">
        <v>-1.1205416723299999</v>
      </c>
      <c r="AE3121">
        <v>-23.991599999999998</v>
      </c>
      <c r="AF3121">
        <v>6.3408024157170404</v>
      </c>
      <c r="AG3121">
        <v>-1.1205416723299999</v>
      </c>
      <c r="AH3121">
        <v>23.902718475742901</v>
      </c>
      <c r="AI3121">
        <v>92.594413604415607</v>
      </c>
      <c r="AJ3121">
        <v>75.143031845292697</v>
      </c>
      <c r="AK3121">
        <v>24.754824569065502</v>
      </c>
      <c r="AL3121">
        <v>78.194026930230095</v>
      </c>
      <c r="AM3121">
        <v>81.092686122339501</v>
      </c>
      <c r="AN3121">
        <v>1.0000000127312501</v>
      </c>
    </row>
    <row r="3122" spans="1:40" x14ac:dyDescent="0.25">
      <c r="A3122" t="str">
        <f>"20190303170828683"</f>
        <v>20190303170828683</v>
      </c>
      <c r="B3122" t="str">
        <f>"1551604108675823"</f>
        <v>1551604108675823</v>
      </c>
      <c r="C3122" t="s">
        <v>40</v>
      </c>
      <c r="D3122">
        <v>4.8881930000000002</v>
      </c>
      <c r="E3122">
        <v>0.54527239999999999</v>
      </c>
      <c r="F3122" t="s">
        <v>58</v>
      </c>
      <c r="G3122">
        <v>-197.2123</v>
      </c>
      <c r="H3122" s="1">
        <v>-1.46231399999999E-5</v>
      </c>
      <c r="I3122">
        <v>158.208</v>
      </c>
      <c r="J3122">
        <v>-191.01</v>
      </c>
      <c r="K3122">
        <v>1.1206199999999999</v>
      </c>
      <c r="L3122">
        <v>182.13380000000001</v>
      </c>
      <c r="M3122">
        <v>5.2115130000000001E-3</v>
      </c>
      <c r="N3122">
        <v>-1.3889479999999999E-2</v>
      </c>
      <c r="O3122">
        <v>-0.9998901</v>
      </c>
      <c r="P3122">
        <v>-0.14453070000000001</v>
      </c>
      <c r="Q3122">
        <v>0.1913376</v>
      </c>
      <c r="R3122">
        <v>-0.9708253</v>
      </c>
      <c r="S3122">
        <v>-0.77000429999999997</v>
      </c>
      <c r="T3122">
        <v>-0.13911750000000001</v>
      </c>
      <c r="U3122">
        <v>-3.0028839999999999</v>
      </c>
      <c r="V3122">
        <v>0.1499597</v>
      </c>
      <c r="W3122">
        <v>0.20452149999999999</v>
      </c>
      <c r="X3122">
        <v>0.96730709999999998</v>
      </c>
      <c r="Y3122">
        <v>0.25321050000000001</v>
      </c>
      <c r="Z3122">
        <v>3.091172E-2</v>
      </c>
      <c r="AA3122">
        <v>0.96691720000000003</v>
      </c>
      <c r="AB3122">
        <v>25</v>
      </c>
      <c r="AC3122">
        <v>-6.2023000000000001</v>
      </c>
      <c r="AD3122">
        <v>-1.12063462314</v>
      </c>
      <c r="AE3122">
        <v>-23.925799999999999</v>
      </c>
      <c r="AF3122">
        <v>6.3139381401295598</v>
      </c>
      <c r="AG3122">
        <v>-1.12063462314</v>
      </c>
      <c r="AH3122">
        <v>23.844133357979199</v>
      </c>
      <c r="AI3122">
        <v>92.601300263768195</v>
      </c>
      <c r="AJ3122">
        <v>75.168454604173903</v>
      </c>
      <c r="AK3122">
        <v>24.691381743212698</v>
      </c>
      <c r="AL3122">
        <v>78.198510333857996</v>
      </c>
      <c r="AM3122">
        <v>81.187699515515604</v>
      </c>
      <c r="AN3122">
        <v>0.99999999064837497</v>
      </c>
    </row>
    <row r="3123" spans="1:40" x14ac:dyDescent="0.25">
      <c r="A3123" t="str">
        <f>"20190303170828706"</f>
        <v>20190303170828706</v>
      </c>
      <c r="B3123" t="str">
        <f>"1551604108696320"</f>
        <v>1551604108696320</v>
      </c>
      <c r="C3123" t="s">
        <v>40</v>
      </c>
      <c r="D3123">
        <v>4.8944989999999997</v>
      </c>
      <c r="E3123">
        <v>0.54530710000000004</v>
      </c>
      <c r="F3123" t="s">
        <v>58</v>
      </c>
      <c r="G3123">
        <v>-197.17439999999999</v>
      </c>
      <c r="H3123" s="1">
        <v>-1.4597310000000001E-5</v>
      </c>
      <c r="I3123">
        <v>158.1053</v>
      </c>
      <c r="J3123">
        <v>-191.00989999999999</v>
      </c>
      <c r="K3123">
        <v>1.1206989999999999</v>
      </c>
      <c r="L3123">
        <v>181.8888</v>
      </c>
      <c r="M3123">
        <v>4.2151319999999999E-3</v>
      </c>
      <c r="N3123">
        <v>-1.3882800000000001E-2</v>
      </c>
      <c r="O3123">
        <v>-0.99989479999999997</v>
      </c>
      <c r="P3123">
        <v>-0.14308100000000001</v>
      </c>
      <c r="Q3123">
        <v>0.19212599999999999</v>
      </c>
      <c r="R3123">
        <v>-0.97088399999999997</v>
      </c>
      <c r="S3123">
        <v>-0.77041630000000005</v>
      </c>
      <c r="T3123">
        <v>-0.1400554</v>
      </c>
      <c r="U3123">
        <v>-3.0030519999999998</v>
      </c>
      <c r="V3123">
        <v>0.14750859999999999</v>
      </c>
      <c r="W3123">
        <v>0.20533689999999999</v>
      </c>
      <c r="X3123">
        <v>0.96751120000000002</v>
      </c>
      <c r="Y3123">
        <v>0.25235540000000001</v>
      </c>
      <c r="Z3123">
        <v>3.1223979999999998E-2</v>
      </c>
      <c r="AA3123">
        <v>0.96713070000000001</v>
      </c>
      <c r="AB3123">
        <v>25</v>
      </c>
      <c r="AC3123">
        <v>-6.1645000000000003</v>
      </c>
      <c r="AD3123">
        <v>-1.12071359731</v>
      </c>
      <c r="AE3123">
        <v>-23.7835</v>
      </c>
      <c r="AF3123">
        <v>6.2516978559020897</v>
      </c>
      <c r="AG3123">
        <v>-1.12071359731</v>
      </c>
      <c r="AH3123">
        <v>23.7079739051625</v>
      </c>
      <c r="AI3123">
        <v>92.617116334040404</v>
      </c>
      <c r="AJ3123">
        <v>75.227606730478698</v>
      </c>
      <c r="AK3123">
        <v>24.543996246262601</v>
      </c>
      <c r="AL3123">
        <v>78.150778149420304</v>
      </c>
      <c r="AM3123">
        <v>81.331331672150199</v>
      </c>
      <c r="AN3123">
        <v>0.99999997585050404</v>
      </c>
    </row>
    <row r="3124" spans="1:40" x14ac:dyDescent="0.25">
      <c r="A3124" t="str">
        <f>"20190303170828727"</f>
        <v>20190303170828727</v>
      </c>
      <c r="B3124" t="str">
        <f>"1551604108715839"</f>
        <v>1551604108715839</v>
      </c>
      <c r="C3124" t="s">
        <v>40</v>
      </c>
      <c r="D3124">
        <v>4.8995300000000004</v>
      </c>
      <c r="E3124">
        <v>0.54536790000000002</v>
      </c>
      <c r="F3124" t="s">
        <v>58</v>
      </c>
      <c r="G3124">
        <v>-197.27</v>
      </c>
      <c r="H3124" s="1">
        <v>-1.4420149999999999E-5</v>
      </c>
      <c r="I3124">
        <v>157.40119999999999</v>
      </c>
      <c r="J3124">
        <v>-191.01</v>
      </c>
      <c r="K3124">
        <v>1.120757</v>
      </c>
      <c r="L3124">
        <v>181.65180000000001</v>
      </c>
      <c r="M3124">
        <v>3.3114759999999998E-3</v>
      </c>
      <c r="N3124">
        <v>-1.387685E-2</v>
      </c>
      <c r="O3124">
        <v>-0.99989839999999997</v>
      </c>
      <c r="P3124">
        <v>-0.14245070000000001</v>
      </c>
      <c r="Q3124">
        <v>0.19376959999999999</v>
      </c>
      <c r="R3124">
        <v>-0.97065029999999997</v>
      </c>
      <c r="S3124">
        <v>-0.76795959999999996</v>
      </c>
      <c r="T3124">
        <v>-0.13748369999999999</v>
      </c>
      <c r="U3124">
        <v>-3.004013</v>
      </c>
      <c r="V3124">
        <v>0.14597539999999901</v>
      </c>
      <c r="W3124">
        <v>0.20699519999999999</v>
      </c>
      <c r="X3124">
        <v>0.96739039999999998</v>
      </c>
      <c r="Y3124">
        <v>0.25067220000000001</v>
      </c>
      <c r="Z3124">
        <v>3.0405350000000001E-2</v>
      </c>
      <c r="AA3124">
        <v>0.96759439999999997</v>
      </c>
      <c r="AB3124">
        <v>25</v>
      </c>
      <c r="AC3124">
        <v>-6.2600000000000096</v>
      </c>
      <c r="AD3124">
        <v>-1.1207714201500001</v>
      </c>
      <c r="AE3124">
        <v>-24.250599999999999</v>
      </c>
      <c r="AF3124">
        <v>6.3276076152178398</v>
      </c>
      <c r="AG3124">
        <v>-1.1207714201500001</v>
      </c>
      <c r="AH3124">
        <v>24.181312023577298</v>
      </c>
      <c r="AI3124">
        <v>92.567362788134204</v>
      </c>
      <c r="AJ3124">
        <v>75.336009421519606</v>
      </c>
      <c r="AK3124">
        <v>25.020603467742198</v>
      </c>
      <c r="AL3124">
        <v>78.053678945573495</v>
      </c>
      <c r="AM3124">
        <v>81.419030278038306</v>
      </c>
      <c r="AN3124">
        <v>1.0000000081201701</v>
      </c>
    </row>
    <row r="3125" spans="1:40" x14ac:dyDescent="0.25">
      <c r="A3125" t="str">
        <f>"20190303170828749"</f>
        <v>20190303170828749</v>
      </c>
      <c r="B3125" t="str">
        <f>"1551604108736335"</f>
        <v>1551604108736335</v>
      </c>
      <c r="C3125" t="s">
        <v>40</v>
      </c>
      <c r="D3125">
        <v>4.9526469999999998</v>
      </c>
      <c r="E3125">
        <v>0.54545600000000005</v>
      </c>
      <c r="F3125" t="s">
        <v>58</v>
      </c>
      <c r="G3125">
        <v>-197.4864</v>
      </c>
      <c r="H3125" s="1">
        <v>-1.414509E-5</v>
      </c>
      <c r="I3125">
        <v>156.30799999999999</v>
      </c>
      <c r="J3125">
        <v>-191.0103</v>
      </c>
      <c r="K3125">
        <v>1.120808</v>
      </c>
      <c r="L3125">
        <v>181.41159999999999</v>
      </c>
      <c r="M3125">
        <v>2.4340590000000001E-3</v>
      </c>
      <c r="N3125">
        <v>-1.38713E-2</v>
      </c>
      <c r="O3125">
        <v>-0.99990089999999998</v>
      </c>
      <c r="P3125">
        <v>-0.14180970000000001</v>
      </c>
      <c r="Q3125">
        <v>0.19499240000000001</v>
      </c>
      <c r="R3125">
        <v>-0.97049890000000005</v>
      </c>
      <c r="S3125">
        <v>-0.76779169999999997</v>
      </c>
      <c r="T3125">
        <v>-0.13286999999999999</v>
      </c>
      <c r="U3125">
        <v>-3.004562</v>
      </c>
      <c r="V3125">
        <v>0.14446600000000001</v>
      </c>
      <c r="W3125">
        <v>0.20822750000000001</v>
      </c>
      <c r="X3125">
        <v>0.96735249999999995</v>
      </c>
      <c r="Y3125">
        <v>0.2497434</v>
      </c>
      <c r="Z3125">
        <v>2.89267E-2</v>
      </c>
      <c r="AA3125">
        <v>0.96787990000000002</v>
      </c>
      <c r="AB3125">
        <v>25</v>
      </c>
      <c r="AC3125">
        <v>-6.4760999999999997</v>
      </c>
      <c r="AD3125">
        <v>-1.12082214509</v>
      </c>
      <c r="AE3125">
        <v>-25.1036</v>
      </c>
      <c r="AF3125">
        <v>6.5249948220888596</v>
      </c>
      <c r="AG3125">
        <v>-1.12082214509</v>
      </c>
      <c r="AH3125">
        <v>25.040958220216201</v>
      </c>
      <c r="AI3125">
        <v>92.480116574224198</v>
      </c>
      <c r="AJ3125">
        <v>75.395042392255107</v>
      </c>
      <c r="AK3125">
        <v>25.901378115764899</v>
      </c>
      <c r="AL3125">
        <v>77.981500443618899</v>
      </c>
      <c r="AM3125">
        <v>81.506129656057595</v>
      </c>
      <c r="AN3125">
        <v>0.99999998808424895</v>
      </c>
    </row>
    <row r="3126" spans="1:40" x14ac:dyDescent="0.25">
      <c r="A3126" t="str">
        <f>"20190303170828773"</f>
        <v>20190303170828773</v>
      </c>
      <c r="B3126" t="str">
        <f>"1551604108766591"</f>
        <v>1551604108766591</v>
      </c>
      <c r="C3126" t="s">
        <v>40</v>
      </c>
      <c r="D3126">
        <v>4.9443650000000003</v>
      </c>
      <c r="E3126">
        <v>0.54557869999999997</v>
      </c>
      <c r="F3126" t="s">
        <v>58</v>
      </c>
      <c r="G3126">
        <v>-197.64439999999999</v>
      </c>
      <c r="H3126" s="1">
        <v>-1.3860169999999999E-5</v>
      </c>
      <c r="I3126">
        <v>155.42269999999999</v>
      </c>
      <c r="J3126">
        <v>-191.01079999999999</v>
      </c>
      <c r="K3126">
        <v>1.12083</v>
      </c>
      <c r="L3126">
        <v>181.14750000000001</v>
      </c>
      <c r="M3126">
        <v>1.495594E-3</v>
      </c>
      <c r="N3126">
        <v>-1.386576E-2</v>
      </c>
      <c r="O3126">
        <v>-0.99990299999999999</v>
      </c>
      <c r="P3126">
        <v>-0.14189689999999999</v>
      </c>
      <c r="Q3126">
        <v>0.19542870000000001</v>
      </c>
      <c r="R3126">
        <v>-0.97039839999999999</v>
      </c>
      <c r="S3126">
        <v>-0.76712040000000004</v>
      </c>
      <c r="T3126">
        <v>-0.12960239999999901</v>
      </c>
      <c r="U3126">
        <v>-3.0051420000000002</v>
      </c>
      <c r="V3126">
        <v>0.14363509999999999</v>
      </c>
      <c r="W3126">
        <v>0.20866499999999999</v>
      </c>
      <c r="X3126">
        <v>0.96738199999999996</v>
      </c>
      <c r="Y3126">
        <v>0.24859619999999999</v>
      </c>
      <c r="Z3126">
        <v>2.7882589999999999E-2</v>
      </c>
      <c r="AA3126">
        <v>0.96820580000000001</v>
      </c>
      <c r="AB3126">
        <v>25</v>
      </c>
      <c r="AC3126">
        <v>-6.6336000000000004</v>
      </c>
      <c r="AD3126">
        <v>-1.1208438601699999</v>
      </c>
      <c r="AE3126">
        <v>-25.724799999999998</v>
      </c>
      <c r="AF3126">
        <v>6.6602147507178397</v>
      </c>
      <c r="AG3126">
        <v>-1.1208438601699999</v>
      </c>
      <c r="AH3126">
        <v>25.6691572587075</v>
      </c>
      <c r="AI3126">
        <v>92.420193683927394</v>
      </c>
      <c r="AJ3126">
        <v>75.454569132353797</v>
      </c>
      <c r="AK3126">
        <v>26.542802901291601</v>
      </c>
      <c r="AL3126">
        <v>77.955871049551504</v>
      </c>
      <c r="AM3126">
        <v>81.554529625881997</v>
      </c>
      <c r="AN3126">
        <v>1.0000000290505</v>
      </c>
    </row>
    <row r="3127" spans="1:40" x14ac:dyDescent="0.25">
      <c r="A3127" t="str">
        <f>"20190303170828795"</f>
        <v>20190303170828795</v>
      </c>
      <c r="B3127" t="str">
        <f>"1551604108786111"</f>
        <v>1551604108786111</v>
      </c>
      <c r="C3127" t="s">
        <v>40</v>
      </c>
      <c r="D3127">
        <v>4.8946339999999999</v>
      </c>
      <c r="E3127">
        <v>0.5456531</v>
      </c>
      <c r="F3127" t="s">
        <v>58</v>
      </c>
      <c r="G3127">
        <v>-197.68899999999999</v>
      </c>
      <c r="H3127" s="1">
        <v>-1.372711E-5</v>
      </c>
      <c r="I3127">
        <v>155.10329999999999</v>
      </c>
      <c r="J3127">
        <v>-191.01140000000001</v>
      </c>
      <c r="K3127">
        <v>1.1208340000000001</v>
      </c>
      <c r="L3127">
        <v>180.9008</v>
      </c>
      <c r="M3127">
        <v>6.2467649999999996E-4</v>
      </c>
      <c r="N3127">
        <v>-1.386096E-2</v>
      </c>
      <c r="O3127">
        <v>-0.99990389999999996</v>
      </c>
      <c r="P3127">
        <v>-0.14147279999999901</v>
      </c>
      <c r="Q3127">
        <v>0.1959574</v>
      </c>
      <c r="R3127">
        <v>-0.97035400000000005</v>
      </c>
      <c r="S3127">
        <v>-0.77050779999999996</v>
      </c>
      <c r="T3127">
        <v>-0.1293185</v>
      </c>
      <c r="U3127">
        <v>-3.004883</v>
      </c>
      <c r="V3127">
        <v>0.1423671</v>
      </c>
      <c r="W3127">
        <v>0.2091914</v>
      </c>
      <c r="X3127">
        <v>0.96745570000000003</v>
      </c>
      <c r="Y3127">
        <v>0.24879780000000001</v>
      </c>
      <c r="Z3127">
        <v>2.7794300000000001E-2</v>
      </c>
      <c r="AA3127">
        <v>0.96815660000000003</v>
      </c>
      <c r="AB3127">
        <v>25</v>
      </c>
      <c r="AC3127">
        <v>-6.6776000000000098</v>
      </c>
      <c r="AD3127">
        <v>-1.1208477271099999</v>
      </c>
      <c r="AE3127">
        <v>-25.797499999999999</v>
      </c>
      <c r="AF3127">
        <v>6.6818938378587802</v>
      </c>
      <c r="AG3127">
        <v>-1.1208477271099999</v>
      </c>
      <c r="AH3127">
        <v>25.747770693296101</v>
      </c>
      <c r="AI3127">
        <v>92.412792210296203</v>
      </c>
      <c r="AJ3127">
        <v>75.451896820484606</v>
      </c>
      <c r="AK3127">
        <v>26.624269014610299</v>
      </c>
      <c r="AL3127">
        <v>77.925029344378402</v>
      </c>
      <c r="AM3127">
        <v>81.628653056047796</v>
      </c>
      <c r="AN3127">
        <v>0.99999998222942998</v>
      </c>
    </row>
    <row r="3128" spans="1:40" x14ac:dyDescent="0.25">
      <c r="A3128" t="str">
        <f>"20190303170828829"</f>
        <v>20190303170828829</v>
      </c>
      <c r="B3128" t="str">
        <f>"1551604108816368"</f>
        <v>1551604108816368</v>
      </c>
      <c r="C3128" t="s">
        <v>40</v>
      </c>
      <c r="D3128">
        <v>4.9323309999999996</v>
      </c>
      <c r="E3128">
        <v>0.54588590000000003</v>
      </c>
      <c r="F3128" t="s">
        <v>58</v>
      </c>
      <c r="G3128">
        <v>-197.73830000000001</v>
      </c>
      <c r="H3128" s="1">
        <v>-1.35511999999999E-5</v>
      </c>
      <c r="I3128">
        <v>154.68299999999999</v>
      </c>
      <c r="J3128">
        <v>-191.0128</v>
      </c>
      <c r="K3128">
        <v>1.1208180000000001</v>
      </c>
      <c r="L3128">
        <v>180.53030000000001</v>
      </c>
      <c r="M3128">
        <v>-6.9697279999999997E-4</v>
      </c>
      <c r="N3128">
        <v>-1.385426E-2</v>
      </c>
      <c r="O3128">
        <v>-0.99990400000000002</v>
      </c>
      <c r="P3128">
        <v>-0.14333280000000001</v>
      </c>
      <c r="Q3128">
        <v>0.196793</v>
      </c>
      <c r="R3128">
        <v>-0.96991159999999998</v>
      </c>
      <c r="S3128">
        <v>-0.77107239999999999</v>
      </c>
      <c r="T3128">
        <v>-0.1284767</v>
      </c>
      <c r="U3128">
        <v>-3.0052029999999998</v>
      </c>
      <c r="V3128">
        <v>0.14295329999999901</v>
      </c>
      <c r="W3128">
        <v>0.21001159999999999</v>
      </c>
      <c r="X3128">
        <v>0.96719160000000004</v>
      </c>
      <c r="Y3128">
        <v>0.2476661</v>
      </c>
      <c r="Z3128">
        <v>2.7533430000000001E-2</v>
      </c>
      <c r="AA3128">
        <v>0.96845409999999998</v>
      </c>
      <c r="AB3128">
        <v>25</v>
      </c>
      <c r="AC3128">
        <v>-6.72550000000001</v>
      </c>
      <c r="AD3128">
        <v>-1.1208315512</v>
      </c>
      <c r="AE3128">
        <v>-25.847300000000001</v>
      </c>
      <c r="AF3128">
        <v>6.6956895853681697</v>
      </c>
      <c r="AG3128">
        <v>-1.1208315512</v>
      </c>
      <c r="AH3128">
        <v>25.806532190127001</v>
      </c>
      <c r="AI3128">
        <v>92.407302977619196</v>
      </c>
      <c r="AJ3128">
        <v>75.454920627914902</v>
      </c>
      <c r="AK3128">
        <v>26.684557820391799</v>
      </c>
      <c r="AL3128">
        <v>77.876968637076203</v>
      </c>
      <c r="AM3128">
        <v>81.592412917898102</v>
      </c>
      <c r="AN3128">
        <v>1.0000000546129999</v>
      </c>
    </row>
    <row r="3129" spans="1:40" x14ac:dyDescent="0.25">
      <c r="A3129" t="str">
        <f>"20190303170828851"</f>
        <v>20190303170828851</v>
      </c>
      <c r="B3129" t="str">
        <f>"1551604108835887"</f>
        <v>1551604108835887</v>
      </c>
      <c r="C3129" t="s">
        <v>40</v>
      </c>
      <c r="D3129">
        <v>4.9688239999999997</v>
      </c>
      <c r="E3129">
        <v>0.54598259999999998</v>
      </c>
      <c r="F3129" t="s">
        <v>58</v>
      </c>
      <c r="G3129">
        <v>-197.82310000000001</v>
      </c>
      <c r="H3129" s="1">
        <v>-1.34355E-5</v>
      </c>
      <c r="I3129">
        <v>154.24029999999999</v>
      </c>
      <c r="J3129">
        <v>-191.01400000000001</v>
      </c>
      <c r="K3129">
        <v>1.120817</v>
      </c>
      <c r="L3129">
        <v>180.2867</v>
      </c>
      <c r="M3129">
        <v>-1.587801E-3</v>
      </c>
      <c r="N3129">
        <v>-1.385049E-2</v>
      </c>
      <c r="O3129">
        <v>-0.99990299999999999</v>
      </c>
      <c r="P3129">
        <v>-0.14431089999999999</v>
      </c>
      <c r="Q3129">
        <v>0.19838310000000001</v>
      </c>
      <c r="R3129">
        <v>-0.96944269999999999</v>
      </c>
      <c r="S3129">
        <v>-0.77818299999999996</v>
      </c>
      <c r="T3129">
        <v>-0.1280713</v>
      </c>
      <c r="U3129">
        <v>-3.004013</v>
      </c>
      <c r="V3129">
        <v>0.14307549999999999</v>
      </c>
      <c r="W3129">
        <v>0.2115889</v>
      </c>
      <c r="X3129">
        <v>0.96682959999999996</v>
      </c>
      <c r="Y3129">
        <v>0.24904509999999999</v>
      </c>
      <c r="Z3129">
        <v>2.740474E-2</v>
      </c>
      <c r="AA3129">
        <v>0.96810410000000002</v>
      </c>
      <c r="AB3129">
        <v>25</v>
      </c>
      <c r="AC3129">
        <v>-6.8090999999999999</v>
      </c>
      <c r="AD3129">
        <v>-1.1208304355000001</v>
      </c>
      <c r="AE3129">
        <v>-26.046399999999998</v>
      </c>
      <c r="AF3129">
        <v>6.7560207280046098</v>
      </c>
      <c r="AG3129">
        <v>-1.1208304355000001</v>
      </c>
      <c r="AH3129">
        <v>26.012092867324601</v>
      </c>
      <c r="AI3129">
        <v>92.388142943388402</v>
      </c>
      <c r="AJ3129">
        <v>75.440481730313493</v>
      </c>
      <c r="AK3129">
        <v>26.8984953534708</v>
      </c>
      <c r="AL3129">
        <v>77.784517497362302</v>
      </c>
      <c r="AM3129">
        <v>81.582223277176993</v>
      </c>
      <c r="AN3129">
        <v>0.99999996836980898</v>
      </c>
    </row>
    <row r="3130" spans="1:40" x14ac:dyDescent="0.25">
      <c r="A3130" t="str">
        <f>"20190303170828872"</f>
        <v>20190303170828872</v>
      </c>
      <c r="B3130" t="str">
        <f>"1551604108866144"</f>
        <v>1551604108866144</v>
      </c>
      <c r="C3130" t="s">
        <v>40</v>
      </c>
      <c r="D3130">
        <v>5.1041179999999997</v>
      </c>
      <c r="E3130">
        <v>0.4919056</v>
      </c>
      <c r="F3130" t="s">
        <v>58</v>
      </c>
      <c r="G3130">
        <v>-198.02539999999999</v>
      </c>
      <c r="H3130" s="1">
        <v>-1.322331E-5</v>
      </c>
      <c r="I3130">
        <v>153.32570000000001</v>
      </c>
      <c r="J3130">
        <v>-191.0154</v>
      </c>
      <c r="K3130">
        <v>1.120806</v>
      </c>
      <c r="L3130">
        <v>180.0506</v>
      </c>
      <c r="M3130">
        <v>-2.4664050000000001E-3</v>
      </c>
      <c r="N3130">
        <v>-1.3847089999999999E-2</v>
      </c>
      <c r="O3130">
        <v>-0.99990140000000005</v>
      </c>
      <c r="P3130">
        <v>-0.14473939999999999</v>
      </c>
      <c r="Q3130">
        <v>0.19872989999999999</v>
      </c>
      <c r="R3130">
        <v>-0.96930819999999995</v>
      </c>
      <c r="S3130">
        <v>-0.78117369999999997</v>
      </c>
      <c r="T3130">
        <v>-0.1248765</v>
      </c>
      <c r="U3130">
        <v>-3.0038450000000001</v>
      </c>
      <c r="V3130">
        <v>0.14265729999999999</v>
      </c>
      <c r="W3130">
        <v>0.21193010000000001</v>
      </c>
      <c r="X3130">
        <v>0.96681669999999997</v>
      </c>
      <c r="Y3130">
        <v>0.24911900000000001</v>
      </c>
      <c r="Z3130">
        <v>2.6378809999999999E-2</v>
      </c>
      <c r="AA3130">
        <v>0.96811349999999996</v>
      </c>
      <c r="AB3130">
        <v>25</v>
      </c>
      <c r="AC3130">
        <v>-7.00999999999999</v>
      </c>
      <c r="AD3130">
        <v>-1.1208192233100001</v>
      </c>
      <c r="AE3130">
        <v>-26.724899999999899</v>
      </c>
      <c r="AF3130">
        <v>6.9326491276998601</v>
      </c>
      <c r="AG3130">
        <v>-1.1208192233100001</v>
      </c>
      <c r="AH3130">
        <v>26.698173590523002</v>
      </c>
      <c r="AI3130">
        <v>92.326851477599604</v>
      </c>
      <c r="AJ3130">
        <v>75.443627515570796</v>
      </c>
      <c r="AK3130">
        <v>27.606345877874499</v>
      </c>
      <c r="AL3130">
        <v>77.764514963240501</v>
      </c>
      <c r="AM3130">
        <v>81.606366456419707</v>
      </c>
      <c r="AN3130">
        <v>1.00000000196409</v>
      </c>
    </row>
    <row r="3131" spans="1:40" x14ac:dyDescent="0.25">
      <c r="A3131" t="str">
        <f>"20190303170828896"</f>
        <v>20190303170828896</v>
      </c>
      <c r="B3131" t="str">
        <f>"1551604108886639"</f>
        <v>1551604108886639</v>
      </c>
      <c r="C3131" t="s">
        <v>40</v>
      </c>
      <c r="D3131">
        <v>5.1653079999999996</v>
      </c>
      <c r="E3131">
        <v>0.4763309</v>
      </c>
      <c r="F3131" t="s">
        <v>58</v>
      </c>
      <c r="G3131">
        <v>-194.43899999999999</v>
      </c>
      <c r="H3131" s="1">
        <v>-1.1845190000000001E-5</v>
      </c>
      <c r="I3131">
        <v>150.46190000000001</v>
      </c>
      <c r="J3131">
        <v>-191.0172</v>
      </c>
      <c r="K3131">
        <v>1.1207910000000001</v>
      </c>
      <c r="L3131">
        <v>179.792</v>
      </c>
      <c r="M3131">
        <v>-3.4407090000000001E-3</v>
      </c>
      <c r="N3131">
        <v>-1.384348E-2</v>
      </c>
      <c r="O3131">
        <v>-0.99989859999999997</v>
      </c>
      <c r="P3131">
        <v>-0.14596809999999999</v>
      </c>
      <c r="Q3131">
        <v>0.19783039999999999</v>
      </c>
      <c r="R3131">
        <v>-0.96930769999999999</v>
      </c>
      <c r="S3131">
        <v>-0.3547363</v>
      </c>
      <c r="T3131">
        <v>-0.1161335</v>
      </c>
      <c r="U3131">
        <v>-3.0658259999999999</v>
      </c>
      <c r="V3131">
        <v>0.14294379999999901</v>
      </c>
      <c r="W3131">
        <v>0.21102589999999999</v>
      </c>
      <c r="X3131">
        <v>0.96697219999999995</v>
      </c>
      <c r="Y3131">
        <v>0.1114488</v>
      </c>
      <c r="Z3131">
        <v>2.3774839999999998E-2</v>
      </c>
      <c r="AA3131">
        <v>0.99348570000000003</v>
      </c>
      <c r="AB3131">
        <v>24</v>
      </c>
      <c r="AC3131">
        <v>-3.4218000000000099</v>
      </c>
      <c r="AD3131">
        <v>-1.1208028451899901</v>
      </c>
      <c r="AE3131">
        <v>-29.330099999999899</v>
      </c>
      <c r="AF3131">
        <v>3.3160764422585398</v>
      </c>
      <c r="AG3131">
        <v>-1.1208028451899901</v>
      </c>
      <c r="AH3131">
        <v>29.299490423616199</v>
      </c>
      <c r="AI3131">
        <v>92.176801863643504</v>
      </c>
      <c r="AJ3131">
        <v>83.542818998087199</v>
      </c>
      <c r="AK3131">
        <v>29.507841348907</v>
      </c>
      <c r="AL3131">
        <v>77.817521221011603</v>
      </c>
      <c r="AM3131">
        <v>81.591083426859399</v>
      </c>
      <c r="AN3131">
        <v>1.00000004800104</v>
      </c>
    </row>
    <row r="3132" spans="1:40" x14ac:dyDescent="0.25">
      <c r="A3132" t="str">
        <f>"20190303170828916"</f>
        <v>20190303170828916</v>
      </c>
      <c r="B3132" t="str">
        <f>"1551604108906160"</f>
        <v>1551604108906160</v>
      </c>
      <c r="C3132" t="s">
        <v>40</v>
      </c>
      <c r="D3132">
        <v>5.1673689999999999</v>
      </c>
      <c r="E3132">
        <v>0.46850219999999998</v>
      </c>
      <c r="F3132" t="s">
        <v>58</v>
      </c>
      <c r="G3132">
        <v>-193.4881</v>
      </c>
      <c r="H3132" s="1">
        <v>-1.0749499999999999E-5</v>
      </c>
      <c r="I3132">
        <v>147.47669999999999</v>
      </c>
      <c r="J3132">
        <v>-191.0189</v>
      </c>
      <c r="K3132">
        <v>1.1207780000000001</v>
      </c>
      <c r="L3132">
        <v>179.56299999999999</v>
      </c>
      <c r="M3132">
        <v>-4.3087120000000001E-3</v>
      </c>
      <c r="N3132">
        <v>-1.3840389999999999E-2</v>
      </c>
      <c r="O3132">
        <v>-0.99989519999999998</v>
      </c>
      <c r="P3132">
        <v>-0.1475996</v>
      </c>
      <c r="Q3132">
        <v>0.19655259999999999</v>
      </c>
      <c r="R3132">
        <v>-0.96932030000000002</v>
      </c>
      <c r="S3132">
        <v>-0.23561099999999999</v>
      </c>
      <c r="T3132">
        <v>-0.1068708</v>
      </c>
      <c r="U3132">
        <v>-3.0813290000000002</v>
      </c>
      <c r="V3132">
        <v>0.14373420000000001</v>
      </c>
      <c r="W3132">
        <v>0.2097444</v>
      </c>
      <c r="X3132">
        <v>0.96713380000000004</v>
      </c>
      <c r="Y3132">
        <v>7.1903770000000006E-2</v>
      </c>
      <c r="Z3132">
        <v>2.0733640000000001E-2</v>
      </c>
      <c r="AA3132">
        <v>0.99719610000000003</v>
      </c>
      <c r="AB3132">
        <v>24</v>
      </c>
      <c r="AC3132">
        <v>-2.4691999999999998</v>
      </c>
      <c r="AD3132">
        <v>-1.1207887495</v>
      </c>
      <c r="AE3132">
        <v>-32.086299999999902</v>
      </c>
      <c r="AF3132">
        <v>2.3280893802378202</v>
      </c>
      <c r="AG3132">
        <v>-1.1207887495</v>
      </c>
      <c r="AH3132">
        <v>32.057757640853602</v>
      </c>
      <c r="AI3132">
        <v>91.997078430166297</v>
      </c>
      <c r="AJ3132">
        <v>85.846373869864905</v>
      </c>
      <c r="AK3132">
        <v>32.161716256180902</v>
      </c>
      <c r="AL3132">
        <v>77.892626269866895</v>
      </c>
      <c r="AM3132">
        <v>81.546649315013795</v>
      </c>
      <c r="AN3132">
        <v>1.0000000103417199</v>
      </c>
    </row>
    <row r="3133" spans="1:40" x14ac:dyDescent="0.25">
      <c r="A3133" t="str">
        <f>"20190303170828940"</f>
        <v>20190303170828940</v>
      </c>
      <c r="B3133" t="str">
        <f>"1551604108926656"</f>
        <v>1551604108926656</v>
      </c>
      <c r="C3133" t="s">
        <v>40</v>
      </c>
      <c r="D3133">
        <v>5.1645890000000003</v>
      </c>
      <c r="E3133">
        <v>0.46433000000000002</v>
      </c>
      <c r="F3133" t="s">
        <v>58</v>
      </c>
      <c r="G3133">
        <v>-193.01249999999999</v>
      </c>
      <c r="H3133" s="1">
        <v>-1.009221E-5</v>
      </c>
      <c r="I3133">
        <v>145.30410000000001</v>
      </c>
      <c r="J3133">
        <v>-191.02109999999999</v>
      </c>
      <c r="K3133">
        <v>1.12077</v>
      </c>
      <c r="L3133">
        <v>179.31559999999999</v>
      </c>
      <c r="M3133">
        <v>-5.2481580000000002E-3</v>
      </c>
      <c r="N3133">
        <v>-1.3837159999999999E-2</v>
      </c>
      <c r="O3133">
        <v>-0.99989039999999996</v>
      </c>
      <c r="P3133">
        <v>-0.148845799999999</v>
      </c>
      <c r="Q3133">
        <v>0.19622220000000001</v>
      </c>
      <c r="R3133">
        <v>-0.96919670000000002</v>
      </c>
      <c r="S3133">
        <v>-0.179702799999999</v>
      </c>
      <c r="T3133">
        <v>-0.1010268</v>
      </c>
      <c r="U3133">
        <v>-3.0880580000000002</v>
      </c>
      <c r="V3133">
        <v>0.14407149999999999</v>
      </c>
      <c r="W3133">
        <v>0.2094087</v>
      </c>
      <c r="X3133">
        <v>0.96715640000000003</v>
      </c>
      <c r="Y3133">
        <v>5.2826650000000003E-2</v>
      </c>
      <c r="Z3133">
        <v>1.881594E-2</v>
      </c>
      <c r="AA3133">
        <v>0.99842640000000005</v>
      </c>
      <c r="AB3133">
        <v>24</v>
      </c>
      <c r="AC3133">
        <v>-1.9913999999999901</v>
      </c>
      <c r="AD3133">
        <v>-1.12078009221</v>
      </c>
      <c r="AE3133">
        <v>-34.011499999999899</v>
      </c>
      <c r="AF3133">
        <v>1.81089800433693</v>
      </c>
      <c r="AG3133">
        <v>-1.12078009221</v>
      </c>
      <c r="AH3133">
        <v>33.984705837895298</v>
      </c>
      <c r="AI3133">
        <v>91.886196396839395</v>
      </c>
      <c r="AJ3133">
        <v>86.949840344710594</v>
      </c>
      <c r="AK3133">
        <v>34.051368995761102</v>
      </c>
      <c r="AL3133">
        <v>77.912297816547294</v>
      </c>
      <c r="AM3133">
        <v>81.527294633095295</v>
      </c>
      <c r="AN3133">
        <v>1.00000005140444</v>
      </c>
    </row>
    <row r="3134" spans="1:40" x14ac:dyDescent="0.25">
      <c r="A3134" t="str">
        <f>"20190303170828961"</f>
        <v>20190303170828961</v>
      </c>
      <c r="B3134" t="str">
        <f>"1551604108955936"</f>
        <v>1551604108955936</v>
      </c>
      <c r="C3134" t="s">
        <v>40</v>
      </c>
      <c r="D3134">
        <v>5.159141</v>
      </c>
      <c r="E3134">
        <v>0.46037670000000003</v>
      </c>
      <c r="F3134" t="s">
        <v>58</v>
      </c>
      <c r="G3134">
        <v>-192.70760000000001</v>
      </c>
      <c r="H3134" s="1">
        <v>-9.9053210000000006E-6</v>
      </c>
      <c r="I3134">
        <v>144.8006</v>
      </c>
      <c r="J3134">
        <v>-191.02330000000001</v>
      </c>
      <c r="K3134">
        <v>1.1207670000000001</v>
      </c>
      <c r="L3134">
        <v>179.07669999999999</v>
      </c>
      <c r="M3134">
        <v>-6.1548449999999999E-3</v>
      </c>
      <c r="N3134">
        <v>-1.383416E-2</v>
      </c>
      <c r="O3134">
        <v>-0.99988540000000004</v>
      </c>
      <c r="P3134">
        <v>-0.14926449999999999</v>
      </c>
      <c r="Q3134">
        <v>0.19655130000000001</v>
      </c>
      <c r="R3134">
        <v>-0.96906570000000003</v>
      </c>
      <c r="S3134">
        <v>-0.15110779999999999</v>
      </c>
      <c r="T3134">
        <v>-0.10041940000000001</v>
      </c>
      <c r="U3134">
        <v>-3.0924680000000002</v>
      </c>
      <c r="V3134">
        <v>0.1436132</v>
      </c>
      <c r="W3134">
        <v>0.20973459999999999</v>
      </c>
      <c r="X3134">
        <v>0.96715390000000001</v>
      </c>
      <c r="Y3134">
        <v>4.2633850000000001E-2</v>
      </c>
      <c r="Z3134">
        <v>1.8592250000000001E-2</v>
      </c>
      <c r="AA3134">
        <v>0.99891779999999997</v>
      </c>
      <c r="AB3134">
        <v>24</v>
      </c>
      <c r="AC3134">
        <v>-1.6842999999999999</v>
      </c>
      <c r="AD3134">
        <v>-1.1207769053209999</v>
      </c>
      <c r="AE3134">
        <v>-34.2760999999999</v>
      </c>
      <c r="AF3134">
        <v>1.4717140724298501</v>
      </c>
      <c r="AG3134">
        <v>-1.1207769053209999</v>
      </c>
      <c r="AH3134">
        <v>34.249287399850402</v>
      </c>
      <c r="AI3134">
        <v>91.872556851239594</v>
      </c>
      <c r="AJ3134">
        <v>87.539476915574696</v>
      </c>
      <c r="AK3134">
        <v>34.2992094745643</v>
      </c>
      <c r="AL3134">
        <v>77.893200537268996</v>
      </c>
      <c r="AM3134">
        <v>81.553835924230995</v>
      </c>
      <c r="AN3134">
        <v>1.0000000099683</v>
      </c>
    </row>
    <row r="3135" spans="1:40" x14ac:dyDescent="0.25">
      <c r="A3135" t="str">
        <f>"20190303170828985"</f>
        <v>20190303170828985</v>
      </c>
      <c r="B3135" t="str">
        <f>"1551604108976432"</f>
        <v>1551604108976432</v>
      </c>
      <c r="C3135" t="s">
        <v>40</v>
      </c>
      <c r="D3135">
        <v>5.1671300000000002</v>
      </c>
      <c r="E3135">
        <v>0.45868179999999997</v>
      </c>
      <c r="F3135" t="s">
        <v>58</v>
      </c>
      <c r="G3135">
        <v>-192.42740000000001</v>
      </c>
      <c r="H3135" s="1">
        <v>-9.4291320000000001E-6</v>
      </c>
      <c r="I3135">
        <v>143.1833</v>
      </c>
      <c r="J3135">
        <v>-191.02600000000001</v>
      </c>
      <c r="K3135">
        <v>1.12077</v>
      </c>
      <c r="L3135">
        <v>178.82490000000001</v>
      </c>
      <c r="M3135">
        <v>-7.1098840000000003E-3</v>
      </c>
      <c r="N3135">
        <v>-1.3831070000000001E-2</v>
      </c>
      <c r="O3135">
        <v>-0.99987919999999997</v>
      </c>
      <c r="P3135">
        <v>-0.14981120000000001</v>
      </c>
      <c r="Q3135">
        <v>0.19649990000000001</v>
      </c>
      <c r="R3135">
        <v>-0.96899159999999995</v>
      </c>
      <c r="S3135">
        <v>-0.1211395</v>
      </c>
      <c r="T3135">
        <v>-9.6695660000000003E-2</v>
      </c>
      <c r="U3135">
        <v>-3.0967250000000002</v>
      </c>
      <c r="V3135">
        <v>0.14323469999999999</v>
      </c>
      <c r="W3135">
        <v>0.20968100000000001</v>
      </c>
      <c r="X3135">
        <v>0.96722160000000001</v>
      </c>
      <c r="Y3135">
        <v>3.1966729999999999E-2</v>
      </c>
      <c r="Z3135">
        <v>1.7363449999999999E-2</v>
      </c>
      <c r="AA3135">
        <v>0.99933810000000001</v>
      </c>
      <c r="AB3135">
        <v>24</v>
      </c>
      <c r="AC3135">
        <v>-1.40140000000002</v>
      </c>
      <c r="AD3135">
        <v>-1.1207794291319999</v>
      </c>
      <c r="AE3135">
        <v>-35.641599999999997</v>
      </c>
      <c r="AF3135">
        <v>1.1468004707461601</v>
      </c>
      <c r="AG3135">
        <v>-1.1207794291319999</v>
      </c>
      <c r="AH3135">
        <v>35.615500050984501</v>
      </c>
      <c r="AI3135">
        <v>91.801505386884699</v>
      </c>
      <c r="AJ3135">
        <v>88.155743074734303</v>
      </c>
      <c r="AK3135">
        <v>35.651579792908898</v>
      </c>
      <c r="AL3135">
        <v>77.896340845630306</v>
      </c>
      <c r="AM3135">
        <v>81.576357569861102</v>
      </c>
      <c r="AN3135">
        <v>0.99999996227582399</v>
      </c>
    </row>
    <row r="3136" spans="1:40" x14ac:dyDescent="0.25">
      <c r="A3136" t="str">
        <f>"20190303170829006"</f>
        <v>20190303170829006</v>
      </c>
      <c r="B3136" t="str">
        <f>"1551604108995952"</f>
        <v>1551604108995952</v>
      </c>
      <c r="C3136" t="s">
        <v>40</v>
      </c>
      <c r="D3136">
        <v>5.1833539999999996</v>
      </c>
      <c r="E3136">
        <v>0.4575092</v>
      </c>
      <c r="F3136" t="s">
        <v>58</v>
      </c>
      <c r="G3136">
        <v>-192.31030000000001</v>
      </c>
      <c r="H3136" s="1">
        <v>-9.2060609999999998E-6</v>
      </c>
      <c r="I3136">
        <v>142.4162</v>
      </c>
      <c r="J3136">
        <v>-191.02869999999999</v>
      </c>
      <c r="K3136">
        <v>1.120771</v>
      </c>
      <c r="L3136">
        <v>178.5855</v>
      </c>
      <c r="M3136">
        <v>-8.0164109999999993E-3</v>
      </c>
      <c r="N3136">
        <v>-1.3828180000000001E-2</v>
      </c>
      <c r="O3136">
        <v>-0.99987230000000005</v>
      </c>
      <c r="P3136">
        <v>-0.14909500000000001</v>
      </c>
      <c r="Q3136">
        <v>0.1950828</v>
      </c>
      <c r="R3136">
        <v>-0.96938809999999997</v>
      </c>
      <c r="S3136">
        <v>-0.1092987</v>
      </c>
      <c r="T3136">
        <v>-9.5381140000000003E-2</v>
      </c>
      <c r="U3136">
        <v>-3.098465</v>
      </c>
      <c r="V3136">
        <v>0.1416336</v>
      </c>
      <c r="W3136">
        <v>0.2082714</v>
      </c>
      <c r="X3136">
        <v>0.96776180000000001</v>
      </c>
      <c r="Y3136">
        <v>2.7226420000000001E-2</v>
      </c>
      <c r="Z3136">
        <v>1.6929420000000001E-2</v>
      </c>
      <c r="AA3136">
        <v>0.99948590000000004</v>
      </c>
      <c r="AB3136">
        <v>24</v>
      </c>
      <c r="AC3136">
        <v>-1.2816000000000201</v>
      </c>
      <c r="AD3136">
        <v>-1.1207802060609999</v>
      </c>
      <c r="AE3136">
        <v>-36.1692999999999</v>
      </c>
      <c r="AF3136">
        <v>0.99063311497323503</v>
      </c>
      <c r="AG3136">
        <v>-1.1207802060609999</v>
      </c>
      <c r="AH3136">
        <v>36.143750771613</v>
      </c>
      <c r="AI3136">
        <v>91.775447225519301</v>
      </c>
      <c r="AJ3136">
        <v>88.430022088819499</v>
      </c>
      <c r="AK3136">
        <v>36.1746903522235</v>
      </c>
      <c r="AL3136">
        <v>77.9789286432636</v>
      </c>
      <c r="AM3136">
        <v>81.6737745634059</v>
      </c>
      <c r="AN3136">
        <v>0.99999997712307898</v>
      </c>
    </row>
    <row r="3137" spans="1:40" x14ac:dyDescent="0.25">
      <c r="A3137" t="str">
        <f>"20190303170829030"</f>
        <v>20190303170829030</v>
      </c>
      <c r="B3137" t="str">
        <f>"1551604109016448"</f>
        <v>1551604109016448</v>
      </c>
      <c r="C3137" t="s">
        <v>40</v>
      </c>
      <c r="D3137">
        <v>5.1764199999999896</v>
      </c>
      <c r="E3137">
        <v>0.45649299999999998</v>
      </c>
      <c r="F3137" t="s">
        <v>58</v>
      </c>
      <c r="G3137">
        <v>-192.1404</v>
      </c>
      <c r="H3137" s="1">
        <v>-9.4841910000000001E-6</v>
      </c>
      <c r="I3137">
        <v>143.58519999999999</v>
      </c>
      <c r="J3137">
        <v>-191.0318</v>
      </c>
      <c r="K3137">
        <v>1.120771</v>
      </c>
      <c r="L3137">
        <v>178.33799999999999</v>
      </c>
      <c r="M3137">
        <v>-8.9527440000000003E-3</v>
      </c>
      <c r="N3137">
        <v>-1.3825240000000001E-2</v>
      </c>
      <c r="O3137">
        <v>-0.99986450000000004</v>
      </c>
      <c r="P3137">
        <v>-0.1489027</v>
      </c>
      <c r="Q3137">
        <v>0.19455059999999999</v>
      </c>
      <c r="R3137">
        <v>-0.96952490000000002</v>
      </c>
      <c r="S3137">
        <v>-9.8449709999999996E-2</v>
      </c>
      <c r="T3137">
        <v>-9.9254250000000002E-2</v>
      </c>
      <c r="U3137">
        <v>-3.099564</v>
      </c>
      <c r="V3137">
        <v>0.14052979999999901</v>
      </c>
      <c r="W3137">
        <v>0.20774200000000001</v>
      </c>
      <c r="X3137">
        <v>0.96803649999999997</v>
      </c>
      <c r="Y3137">
        <v>2.2783620000000001E-2</v>
      </c>
      <c r="Z3137">
        <v>1.8172210000000001E-2</v>
      </c>
      <c r="AA3137">
        <v>0.99957530000000006</v>
      </c>
      <c r="AB3137">
        <v>24</v>
      </c>
      <c r="AC3137">
        <v>-1.10859999999999</v>
      </c>
      <c r="AD3137">
        <v>-1.1207804841910001</v>
      </c>
      <c r="AE3137">
        <v>-34.752800000000001</v>
      </c>
      <c r="AF3137">
        <v>0.79656531041701295</v>
      </c>
      <c r="AG3137">
        <v>-1.1207804841910001</v>
      </c>
      <c r="AH3137">
        <v>34.725253026523397</v>
      </c>
      <c r="AI3137">
        <v>91.848131560729399</v>
      </c>
      <c r="AJ3137">
        <v>88.685918065490597</v>
      </c>
      <c r="AK3137">
        <v>34.752465566396502</v>
      </c>
      <c r="AL3137">
        <v>78.0099397663285</v>
      </c>
      <c r="AM3137">
        <v>81.740076694272204</v>
      </c>
      <c r="AN3137">
        <v>1.0000000142921399</v>
      </c>
    </row>
    <row r="3138" spans="1:40" x14ac:dyDescent="0.25">
      <c r="A3138" t="str">
        <f>"20190303170829052"</f>
        <v>20190303170829052</v>
      </c>
      <c r="B3138" t="str">
        <f>"1551604109035968"</f>
        <v>1551604109035968</v>
      </c>
      <c r="C3138" t="s">
        <v>40</v>
      </c>
      <c r="D3138">
        <v>5.1638279999999996</v>
      </c>
      <c r="E3138">
        <v>0.4557177</v>
      </c>
      <c r="F3138" t="s">
        <v>58</v>
      </c>
      <c r="G3138">
        <v>-192.03540000000001</v>
      </c>
      <c r="H3138" s="1">
        <v>-9.537204E-6</v>
      </c>
      <c r="I3138">
        <v>143.8569</v>
      </c>
      <c r="J3138">
        <v>-191.0351</v>
      </c>
      <c r="K3138">
        <v>1.1207739999999999</v>
      </c>
      <c r="L3138">
        <v>178.09630000000001</v>
      </c>
      <c r="M3138">
        <v>-9.8660099999999997E-3</v>
      </c>
      <c r="N3138">
        <v>-1.3822289999999999E-2</v>
      </c>
      <c r="O3138">
        <v>-0.99985610000000003</v>
      </c>
      <c r="P3138">
        <v>-0.1492144</v>
      </c>
      <c r="Q3138">
        <v>0.19531299999999999</v>
      </c>
      <c r="R3138">
        <v>-0.96932390000000002</v>
      </c>
      <c r="S3138">
        <v>-9.0240479999999998E-2</v>
      </c>
      <c r="T3138">
        <v>-0.1007841</v>
      </c>
      <c r="U3138">
        <v>-3.1006469999999999</v>
      </c>
      <c r="V3138">
        <v>0.1399569</v>
      </c>
      <c r="W3138">
        <v>0.2085022</v>
      </c>
      <c r="X3138">
        <v>0.96795609999999999</v>
      </c>
      <c r="Y3138">
        <v>1.921604E-2</v>
      </c>
      <c r="Z3138">
        <v>1.8658689999999999E-2</v>
      </c>
      <c r="AA3138">
        <v>0.99964120000000001</v>
      </c>
      <c r="AB3138">
        <v>24</v>
      </c>
      <c r="AC3138">
        <v>-1.00030000000001</v>
      </c>
      <c r="AD3138">
        <v>-1.120783537204</v>
      </c>
      <c r="AE3138">
        <v>-34.239400000000003</v>
      </c>
      <c r="AF3138">
        <v>0.66170446227427404</v>
      </c>
      <c r="AG3138">
        <v>-1.120783537204</v>
      </c>
      <c r="AH3138">
        <v>34.210977432526697</v>
      </c>
      <c r="AI3138">
        <v>91.876041447133204</v>
      </c>
      <c r="AJ3138">
        <v>88.891930338125107</v>
      </c>
      <c r="AK3138">
        <v>34.235726740081198</v>
      </c>
      <c r="AL3138">
        <v>77.965408918653495</v>
      </c>
      <c r="AM3138">
        <v>81.772614253163596</v>
      </c>
      <c r="AN3138">
        <v>1.0000000563948199</v>
      </c>
    </row>
    <row r="3139" spans="1:40" x14ac:dyDescent="0.25">
      <c r="A3139" t="str">
        <f>"20190303170829074"</f>
        <v>20190303170829074</v>
      </c>
      <c r="B3139" t="str">
        <f>"1551604109066223"</f>
        <v>1551604109066223</v>
      </c>
      <c r="C3139" t="s">
        <v>40</v>
      </c>
      <c r="D3139">
        <v>5.1819949999999997</v>
      </c>
      <c r="E3139">
        <v>0.45478180000000001</v>
      </c>
      <c r="F3139" t="s">
        <v>58</v>
      </c>
      <c r="G3139">
        <v>-192.00720000000001</v>
      </c>
      <c r="H3139" s="1">
        <v>-9.1533889999999994E-6</v>
      </c>
      <c r="I3139">
        <v>142.4204</v>
      </c>
      <c r="J3139">
        <v>-191.0385</v>
      </c>
      <c r="K3139">
        <v>1.1207849999999999</v>
      </c>
      <c r="L3139">
        <v>177.85230000000001</v>
      </c>
      <c r="M3139">
        <v>-1.078687E-2</v>
      </c>
      <c r="N3139">
        <v>-1.3819430000000001E-2</v>
      </c>
      <c r="O3139">
        <v>-0.99984649999999997</v>
      </c>
      <c r="P3139">
        <v>-0.1498591</v>
      </c>
      <c r="Q3139">
        <v>0.1962942</v>
      </c>
      <c r="R3139">
        <v>-0.96902600000000005</v>
      </c>
      <c r="S3139">
        <v>-8.4518430000000005E-2</v>
      </c>
      <c r="T3139">
        <v>-9.7437259999999998E-2</v>
      </c>
      <c r="U3139">
        <v>-3.1015470000000001</v>
      </c>
      <c r="V3139">
        <v>0.13971120000000001</v>
      </c>
      <c r="W3139">
        <v>0.2094791</v>
      </c>
      <c r="X3139">
        <v>0.96778059999999999</v>
      </c>
      <c r="Y3139">
        <v>1.6445479999999998E-2</v>
      </c>
      <c r="Z3139">
        <v>1.7575940000000002E-2</v>
      </c>
      <c r="AA3139">
        <v>0.99971030000000005</v>
      </c>
      <c r="AB3139">
        <v>24</v>
      </c>
      <c r="AC3139">
        <v>-0.968700000000012</v>
      </c>
      <c r="AD3139">
        <v>-1.120794153389</v>
      </c>
      <c r="AE3139">
        <v>-35.431899999999999</v>
      </c>
      <c r="AF3139">
        <v>0.58582215957834205</v>
      </c>
      <c r="AG3139">
        <v>-1.120794153389</v>
      </c>
      <c r="AH3139">
        <v>35.404888555329599</v>
      </c>
      <c r="AI3139">
        <v>91.812929198624204</v>
      </c>
      <c r="AJ3139">
        <v>89.052049703214095</v>
      </c>
      <c r="AK3139">
        <v>35.427468167401301</v>
      </c>
      <c r="AL3139">
        <v>77.908172085821107</v>
      </c>
      <c r="AM3139">
        <v>81.785391476585204</v>
      </c>
      <c r="AN3139">
        <v>1.0000000012393</v>
      </c>
    </row>
    <row r="3140" spans="1:40" x14ac:dyDescent="0.25">
      <c r="A3140" t="str">
        <f>"20190303170829096"</f>
        <v>20190303170829096</v>
      </c>
      <c r="B3140" t="str">
        <f>"1551604109086720"</f>
        <v>1551604109086720</v>
      </c>
      <c r="C3140" t="s">
        <v>40</v>
      </c>
      <c r="D3140">
        <v>5.1949550000000002</v>
      </c>
      <c r="E3140">
        <v>0.45443129999999998</v>
      </c>
      <c r="F3140" t="s">
        <v>58</v>
      </c>
      <c r="G3140">
        <v>-191.99340000000001</v>
      </c>
      <c r="H3140" s="1">
        <v>-8.5762680000000003E-6</v>
      </c>
      <c r="I3140">
        <v>140.4014</v>
      </c>
      <c r="J3140">
        <v>-191.04220000000001</v>
      </c>
      <c r="K3140">
        <v>1.120789</v>
      </c>
      <c r="L3140">
        <v>177.6138</v>
      </c>
      <c r="M3140">
        <v>-1.168694E-2</v>
      </c>
      <c r="N3140">
        <v>-1.381664E-2</v>
      </c>
      <c r="O3140">
        <v>-0.99983650000000002</v>
      </c>
      <c r="P3140">
        <v>-0.1503321</v>
      </c>
      <c r="Q3140">
        <v>0.19682749999999999</v>
      </c>
      <c r="R3140">
        <v>-0.9688447</v>
      </c>
      <c r="S3140">
        <v>-7.9101560000000001E-2</v>
      </c>
      <c r="T3140">
        <v>-9.2848420000000001E-2</v>
      </c>
      <c r="U3140">
        <v>-3.1024929999999999</v>
      </c>
      <c r="V3140">
        <v>0.139312299999999</v>
      </c>
      <c r="W3140">
        <v>0.21000959999999999</v>
      </c>
      <c r="X3140">
        <v>0.96772309999999995</v>
      </c>
      <c r="Y3140">
        <v>1.379438E-2</v>
      </c>
      <c r="Z3140">
        <v>1.6093039999999999E-2</v>
      </c>
      <c r="AA3140">
        <v>0.99977539999999998</v>
      </c>
      <c r="AB3140">
        <v>24</v>
      </c>
      <c r="AC3140">
        <v>-0.95120000000000005</v>
      </c>
      <c r="AD3140">
        <v>-1.120797576268</v>
      </c>
      <c r="AE3140">
        <v>-37.212400000000002</v>
      </c>
      <c r="AF3140">
        <v>0.51572699772862196</v>
      </c>
      <c r="AG3140">
        <v>-1.120797576268</v>
      </c>
      <c r="AH3140">
        <v>37.187263394106203</v>
      </c>
      <c r="AI3140">
        <v>91.726165416640796</v>
      </c>
      <c r="AJ3140">
        <v>89.205451451145294</v>
      </c>
      <c r="AK3140">
        <v>37.207723933153801</v>
      </c>
      <c r="AL3140">
        <v>77.877084845972504</v>
      </c>
      <c r="AM3140">
        <v>81.808046770076302</v>
      </c>
      <c r="AN3140">
        <v>0.99999997364852899</v>
      </c>
    </row>
    <row r="3141" spans="1:40" x14ac:dyDescent="0.25">
      <c r="A3141" t="str">
        <f>"20190303170829116"</f>
        <v>20190303170829116</v>
      </c>
      <c r="B3141" t="str">
        <f>"1551604109106240"</f>
        <v>1551604109106240</v>
      </c>
      <c r="C3141" t="s">
        <v>40</v>
      </c>
      <c r="D3141">
        <v>5.1955879999999999</v>
      </c>
      <c r="E3141">
        <v>0.45412469999999999</v>
      </c>
      <c r="F3141" t="s">
        <v>58</v>
      </c>
      <c r="G3141">
        <v>-191.99639999999999</v>
      </c>
      <c r="H3141" s="1">
        <v>-8.3079450000000003E-6</v>
      </c>
      <c r="I3141">
        <v>139.50630000000001</v>
      </c>
      <c r="J3141">
        <v>-191.04570000000001</v>
      </c>
      <c r="K3141">
        <v>1.120789</v>
      </c>
      <c r="L3141">
        <v>177.39519999999999</v>
      </c>
      <c r="M3141">
        <v>-1.251156E-2</v>
      </c>
      <c r="N3141">
        <v>-1.3814180000000001E-2</v>
      </c>
      <c r="O3141">
        <v>-0.99982649999999995</v>
      </c>
      <c r="P3141">
        <v>-0.151254799999999</v>
      </c>
      <c r="Q3141">
        <v>0.19680700000000001</v>
      </c>
      <c r="R3141">
        <v>-0.96870480000000003</v>
      </c>
      <c r="S3141">
        <v>-7.7697749999999996E-2</v>
      </c>
      <c r="T3141">
        <v>-9.126186E-2</v>
      </c>
      <c r="U3141">
        <v>-3.1029360000000001</v>
      </c>
      <c r="V3141">
        <v>0.13943529999999901</v>
      </c>
      <c r="W3141">
        <v>0.20998729999999999</v>
      </c>
      <c r="X3141">
        <v>0.96771030000000002</v>
      </c>
      <c r="Y3141">
        <v>1.251467E-2</v>
      </c>
      <c r="Z3141">
        <v>1.5580689999999999E-2</v>
      </c>
      <c r="AA3141">
        <v>0.99980029999999998</v>
      </c>
      <c r="AB3141">
        <v>24</v>
      </c>
      <c r="AC3141">
        <v>-0.950699999999983</v>
      </c>
      <c r="AD3141">
        <v>-1.120797307945</v>
      </c>
      <c r="AE3141">
        <v>-37.8888999999999</v>
      </c>
      <c r="AF3141">
        <v>0.47611482358213902</v>
      </c>
      <c r="AG3141">
        <v>-1.120797307945</v>
      </c>
      <c r="AH3141">
        <v>37.864717177184602</v>
      </c>
      <c r="AI3141">
        <v>91.695328624587006</v>
      </c>
      <c r="AJ3141">
        <v>89.279594978416497</v>
      </c>
      <c r="AK3141">
        <v>37.884293299980001</v>
      </c>
      <c r="AL3141">
        <v>77.878392583341395</v>
      </c>
      <c r="AM3141">
        <v>81.800805345119699</v>
      </c>
      <c r="AN3141">
        <v>1.0000000468867301</v>
      </c>
    </row>
    <row r="3142" spans="1:40" x14ac:dyDescent="0.25">
      <c r="A3142" t="str">
        <f>"20190303170829141"</f>
        <v>20190303170829141</v>
      </c>
      <c r="B3142" t="str">
        <f>"1551604109136496"</f>
        <v>1551604109136496</v>
      </c>
      <c r="C3142" t="s">
        <v>40</v>
      </c>
      <c r="D3142">
        <v>5.2161759999999999</v>
      </c>
      <c r="E3142">
        <v>0.45369959999999998</v>
      </c>
      <c r="F3142" t="s">
        <v>58</v>
      </c>
      <c r="G3142">
        <v>-192.00569999999999</v>
      </c>
      <c r="H3142" s="1">
        <v>-8.2381229999999995E-6</v>
      </c>
      <c r="I3142">
        <v>139.28389999999999</v>
      </c>
      <c r="J3142">
        <v>-191.05009999999999</v>
      </c>
      <c r="K3142">
        <v>1.1207929999999999</v>
      </c>
      <c r="L3142">
        <v>177.13419999999999</v>
      </c>
      <c r="M3142">
        <v>-1.349591E-2</v>
      </c>
      <c r="N3142">
        <v>-1.3811240000000001E-2</v>
      </c>
      <c r="O3142">
        <v>-0.99981359999999997</v>
      </c>
      <c r="P3142">
        <v>-0.1527135</v>
      </c>
      <c r="Q3142">
        <v>0.19624549999999999</v>
      </c>
      <c r="R3142">
        <v>-0.96859010000000001</v>
      </c>
      <c r="S3142">
        <v>-7.8170779999999995E-2</v>
      </c>
      <c r="T3142">
        <v>-9.1262579999999996E-2</v>
      </c>
      <c r="U3142">
        <v>-3.1032709999999999</v>
      </c>
      <c r="V3142">
        <v>0.1399379</v>
      </c>
      <c r="W3142">
        <v>0.20942369999999999</v>
      </c>
      <c r="X3142">
        <v>0.96775979999999995</v>
      </c>
      <c r="Y3142">
        <v>1.1680050000000001E-2</v>
      </c>
      <c r="Z3142">
        <v>1.5580399999999999E-2</v>
      </c>
      <c r="AA3142">
        <v>0.99981039999999999</v>
      </c>
      <c r="AB3142">
        <v>24</v>
      </c>
      <c r="AC3142">
        <v>-0.955600000000004</v>
      </c>
      <c r="AD3142">
        <v>-1.1208012381229999</v>
      </c>
      <c r="AE3142">
        <v>-37.850299999999997</v>
      </c>
      <c r="AF3142">
        <v>0.44425072874620503</v>
      </c>
      <c r="AG3142">
        <v>-1.1208012381229999</v>
      </c>
      <c r="AH3142">
        <v>37.8266034740587</v>
      </c>
      <c r="AI3142">
        <v>91.697058877795698</v>
      </c>
      <c r="AJ3142">
        <v>89.3271264327648</v>
      </c>
      <c r="AK3142">
        <v>37.845811981103601</v>
      </c>
      <c r="AL3142">
        <v>77.911417846027405</v>
      </c>
      <c r="AM3142">
        <v>81.772070111134695</v>
      </c>
      <c r="AN3142">
        <v>0.99999996623706899</v>
      </c>
    </row>
    <row r="3143" spans="1:40" x14ac:dyDescent="0.25">
      <c r="A3143" t="str">
        <f>"20190303170829163"</f>
        <v>20190303170829163</v>
      </c>
      <c r="B3143" t="str">
        <f>"1551604109156016"</f>
        <v>1551604109156016</v>
      </c>
      <c r="C3143" t="s">
        <v>40</v>
      </c>
      <c r="D3143">
        <v>5.211144</v>
      </c>
      <c r="E3143">
        <v>0.45344689999999999</v>
      </c>
      <c r="F3143" t="s">
        <v>58</v>
      </c>
      <c r="G3143">
        <v>-192.006</v>
      </c>
      <c r="H3143" s="1">
        <v>-8.3592290000000005E-6</v>
      </c>
      <c r="I3143">
        <v>139.66579999999999</v>
      </c>
      <c r="J3143">
        <v>-191.05439999999999</v>
      </c>
      <c r="K3143">
        <v>1.1207959999999999</v>
      </c>
      <c r="L3143">
        <v>176.8972</v>
      </c>
      <c r="M3143">
        <v>-1.4390729999999999E-2</v>
      </c>
      <c r="N3143">
        <v>-1.3808519999999999E-2</v>
      </c>
      <c r="O3143">
        <v>-0.99980119999999895</v>
      </c>
      <c r="P3143">
        <v>-0.15453459999999999</v>
      </c>
      <c r="Q3143">
        <v>0.19611120000000001</v>
      </c>
      <c r="R3143">
        <v>-0.96832819999999997</v>
      </c>
      <c r="S3143">
        <v>-7.9177860000000003E-2</v>
      </c>
      <c r="T3143">
        <v>-9.2839240000000003E-2</v>
      </c>
      <c r="U3143">
        <v>-3.1036220000000001</v>
      </c>
      <c r="V3143">
        <v>0.14089279999999901</v>
      </c>
      <c r="W3143">
        <v>0.2092842</v>
      </c>
      <c r="X3143">
        <v>0.96765140000000005</v>
      </c>
      <c r="Y3143">
        <v>1.110643E-2</v>
      </c>
      <c r="Z3143">
        <v>1.608673E-2</v>
      </c>
      <c r="AA3143">
        <v>0.9998089</v>
      </c>
      <c r="AB3143">
        <v>24</v>
      </c>
      <c r="AC3143">
        <v>-0.95159999999998401</v>
      </c>
      <c r="AD3143">
        <v>-1.120804359229</v>
      </c>
      <c r="AE3143">
        <v>-37.231400000000001</v>
      </c>
      <c r="AF3143">
        <v>0.415287281813913</v>
      </c>
      <c r="AG3143">
        <v>-1.120804359229</v>
      </c>
      <c r="AH3143">
        <v>37.207542636785497</v>
      </c>
      <c r="AI3143">
        <v>91.725294010905998</v>
      </c>
      <c r="AJ3143">
        <v>89.360526956187002</v>
      </c>
      <c r="AK3143">
        <v>37.226736292701197</v>
      </c>
      <c r="AL3143">
        <v>77.919591477477198</v>
      </c>
      <c r="AM3143">
        <v>81.715786270959995</v>
      </c>
      <c r="AN3143">
        <v>0.99999994469171805</v>
      </c>
    </row>
    <row r="3144" spans="1:40" x14ac:dyDescent="0.25">
      <c r="A3144" t="str">
        <f>"20190303170829187"</f>
        <v>20190303170829187</v>
      </c>
      <c r="B3144" t="str">
        <f>"1551604109176512"</f>
        <v>1551604109176512</v>
      </c>
      <c r="C3144" t="s">
        <v>40</v>
      </c>
      <c r="D3144">
        <v>5.2449909999999997</v>
      </c>
      <c r="E3144">
        <v>0.45334039999999998</v>
      </c>
      <c r="F3144" t="s">
        <v>58</v>
      </c>
      <c r="G3144">
        <v>-192.05670000000001</v>
      </c>
      <c r="H3144" s="1">
        <v>-8.2801819999999999E-6</v>
      </c>
      <c r="I3144">
        <v>139.39240000000001</v>
      </c>
      <c r="J3144">
        <v>-191.0591</v>
      </c>
      <c r="K3144">
        <v>1.1207879999999999</v>
      </c>
      <c r="L3144">
        <v>176.64609999999999</v>
      </c>
      <c r="M3144">
        <v>-1.533896E-2</v>
      </c>
      <c r="N3144">
        <v>-1.3805639999999999E-2</v>
      </c>
      <c r="O3144">
        <v>-0.99978710000000004</v>
      </c>
      <c r="P3144">
        <v>-0.156683399999999</v>
      </c>
      <c r="Q3144">
        <v>0.19582450000000001</v>
      </c>
      <c r="R3144">
        <v>-0.96804089999999998</v>
      </c>
      <c r="S3144">
        <v>-8.2946779999999998E-2</v>
      </c>
      <c r="T3144">
        <v>-9.2751029999999998E-2</v>
      </c>
      <c r="U3144">
        <v>-3.1036679999999999</v>
      </c>
      <c r="V3144">
        <v>0.1421241</v>
      </c>
      <c r="W3144">
        <v>0.20899229999999999</v>
      </c>
      <c r="X3144">
        <v>0.96753449999999996</v>
      </c>
      <c r="Y3144">
        <v>1.13709E-2</v>
      </c>
      <c r="Z3144">
        <v>1.605993E-2</v>
      </c>
      <c r="AA3144">
        <v>0.99980630000000004</v>
      </c>
      <c r="AB3144">
        <v>24</v>
      </c>
      <c r="AC3144">
        <v>-0.99760000000000504</v>
      </c>
      <c r="AD3144">
        <v>-1.1207962801819999</v>
      </c>
      <c r="AE3144">
        <v>-37.253699999999903</v>
      </c>
      <c r="AF3144">
        <v>0.42561020890881002</v>
      </c>
      <c r="AG3144">
        <v>-1.1207962801819999</v>
      </c>
      <c r="AH3144">
        <v>37.230944942409501</v>
      </c>
      <c r="AI3144">
        <v>91.724192514329701</v>
      </c>
      <c r="AJ3144">
        <v>89.345044651627106</v>
      </c>
      <c r="AK3144">
        <v>37.250242813387501</v>
      </c>
      <c r="AL3144">
        <v>77.9366953106056</v>
      </c>
      <c r="AM3144">
        <v>81.643410794238406</v>
      </c>
      <c r="AN3144">
        <v>1.0000000249751699</v>
      </c>
    </row>
    <row r="3145" spans="1:40" x14ac:dyDescent="0.25">
      <c r="A3145" t="str">
        <f>"20190303170829207"</f>
        <v>20190303170829207</v>
      </c>
      <c r="B3145" t="str">
        <f>"1551604109196032"</f>
        <v>1551604109196032</v>
      </c>
      <c r="C3145" t="s">
        <v>40</v>
      </c>
      <c r="D3145">
        <v>5.1389490000000002</v>
      </c>
      <c r="E3145">
        <v>0.45334039999999998</v>
      </c>
      <c r="F3145" t="s">
        <v>58</v>
      </c>
      <c r="G3145">
        <v>-192.1275</v>
      </c>
      <c r="H3145" s="1">
        <v>-8.3531809999999996E-6</v>
      </c>
      <c r="I3145">
        <v>139.5889</v>
      </c>
      <c r="J3145">
        <v>-191.06360000000001</v>
      </c>
      <c r="K3145">
        <v>1.12079</v>
      </c>
      <c r="L3145">
        <v>176.42089999999999</v>
      </c>
      <c r="M3145">
        <v>-1.6189660000000002E-2</v>
      </c>
      <c r="N3145">
        <v>-1.3802979999999999E-2</v>
      </c>
      <c r="O3145">
        <v>-0.99977369999999999</v>
      </c>
      <c r="P3145">
        <v>-0.15811929999999999</v>
      </c>
      <c r="Q3145">
        <v>0.1959467</v>
      </c>
      <c r="R3145">
        <v>-0.9677827</v>
      </c>
      <c r="S3145">
        <v>-8.9477539999999994E-2</v>
      </c>
      <c r="T3145">
        <v>-9.3867300000000001E-2</v>
      </c>
      <c r="U3145">
        <v>-3.103561</v>
      </c>
      <c r="V3145">
        <v>0.1427377</v>
      </c>
      <c r="W3145">
        <v>0.2091094</v>
      </c>
      <c r="X3145">
        <v>0.96741880000000002</v>
      </c>
      <c r="Y3145">
        <v>1.2622649999999999E-2</v>
      </c>
      <c r="Z3145">
        <v>1.6421459999999999E-2</v>
      </c>
      <c r="AA3145">
        <v>0.99978549999999999</v>
      </c>
      <c r="AB3145">
        <v>24</v>
      </c>
      <c r="AC3145">
        <v>-1.0638999999999801</v>
      </c>
      <c r="AD3145">
        <v>-1.120798353181</v>
      </c>
      <c r="AE3145">
        <v>-36.832000000000001</v>
      </c>
      <c r="AF3145">
        <v>0.46697414073418397</v>
      </c>
      <c r="AG3145">
        <v>-1.120798353181</v>
      </c>
      <c r="AH3145">
        <v>36.810340217105903</v>
      </c>
      <c r="AI3145">
        <v>91.743858366199603</v>
      </c>
      <c r="AJ3145">
        <v>89.273187585477899</v>
      </c>
      <c r="AK3145">
        <v>36.830359768751798</v>
      </c>
      <c r="AL3145">
        <v>77.929833626550106</v>
      </c>
      <c r="AM3145">
        <v>81.606855786181299</v>
      </c>
      <c r="AN3145">
        <v>0.99999996338154395</v>
      </c>
    </row>
    <row r="3146" spans="1:40" x14ac:dyDescent="0.25">
      <c r="A3146" t="str">
        <f>"20190303170829231"</f>
        <v>20190303170829231</v>
      </c>
      <c r="B3146" t="str">
        <f>"1551604109216528"</f>
        <v>1551604109216528</v>
      </c>
      <c r="C3146" t="s">
        <v>40</v>
      </c>
      <c r="D3146">
        <v>5.0179119999999999</v>
      </c>
      <c r="E3146">
        <v>0.51910789999999996</v>
      </c>
      <c r="F3146" t="s">
        <v>58</v>
      </c>
      <c r="G3146">
        <v>-192.19229999999999</v>
      </c>
      <c r="H3146" s="1">
        <v>-8.2424059999999905E-6</v>
      </c>
      <c r="I3146">
        <v>139.21350000000001</v>
      </c>
      <c r="J3146">
        <v>-191.06870000000001</v>
      </c>
      <c r="K3146">
        <v>1.120789</v>
      </c>
      <c r="L3146">
        <v>176.173</v>
      </c>
      <c r="M3146">
        <v>-1.7125990000000001E-2</v>
      </c>
      <c r="N3146">
        <v>-1.3800160000000001E-2</v>
      </c>
      <c r="O3146">
        <v>-0.99975840000000005</v>
      </c>
      <c r="P3146">
        <v>-0.15943089999999999</v>
      </c>
      <c r="Q3146">
        <v>0.1960423</v>
      </c>
      <c r="R3146">
        <v>-0.96754870000000004</v>
      </c>
      <c r="S3146">
        <v>-9.4146729999999998E-2</v>
      </c>
      <c r="T3146">
        <v>-9.3484520000000002E-2</v>
      </c>
      <c r="U3146">
        <v>-3.103424</v>
      </c>
      <c r="V3146">
        <v>0.14314360000000001</v>
      </c>
      <c r="W3146">
        <v>0.20920169999999999</v>
      </c>
      <c r="X3146">
        <v>0.9673389</v>
      </c>
      <c r="Y3146">
        <v>1.3190240000000001E-2</v>
      </c>
      <c r="Z3146">
        <v>1.6301340000000001E-2</v>
      </c>
      <c r="AA3146">
        <v>0.99978009999999995</v>
      </c>
      <c r="AB3146">
        <v>24</v>
      </c>
      <c r="AC3146">
        <v>-1.1235999999999799</v>
      </c>
      <c r="AD3146">
        <v>-1.120797242406</v>
      </c>
      <c r="AE3146">
        <v>-36.959499999999899</v>
      </c>
      <c r="AF3146">
        <v>0.48995691157443499</v>
      </c>
      <c r="AG3146">
        <v>-1.120797242406</v>
      </c>
      <c r="AH3146">
        <v>36.939384735969199</v>
      </c>
      <c r="AI3146">
        <v>91.737755350863793</v>
      </c>
      <c r="AJ3146">
        <v>89.240084335429501</v>
      </c>
      <c r="AK3146">
        <v>36.959631882714099</v>
      </c>
      <c r="AL3146">
        <v>77.924425994712905</v>
      </c>
      <c r="AM3146">
        <v>81.582644558496895</v>
      </c>
      <c r="AN3146">
        <v>0.99999999447853005</v>
      </c>
    </row>
    <row r="3147" spans="1:40" x14ac:dyDescent="0.25">
      <c r="A3147" t="str">
        <f>"20190303170829254"</f>
        <v>20190303170829254</v>
      </c>
      <c r="B3147" t="str">
        <f>"1551604109246784"</f>
        <v>1551604109246784</v>
      </c>
      <c r="C3147" t="s">
        <v>40</v>
      </c>
      <c r="D3147">
        <v>4.9438890000000004</v>
      </c>
      <c r="E3147">
        <v>0.53759489999999999</v>
      </c>
      <c r="F3147" t="s">
        <v>58</v>
      </c>
      <c r="G3147">
        <v>-195.5796</v>
      </c>
      <c r="H3147" s="1">
        <v>-1.3157450000000001E-5</v>
      </c>
      <c r="I3147">
        <v>153.92609999999999</v>
      </c>
      <c r="J3147">
        <v>-191.07400000000001</v>
      </c>
      <c r="K3147">
        <v>1.1207940000000001</v>
      </c>
      <c r="L3147">
        <v>175.92599999999999</v>
      </c>
      <c r="M3147">
        <v>-1.8059329999999998E-2</v>
      </c>
      <c r="N3147">
        <v>-1.379729E-2</v>
      </c>
      <c r="O3147">
        <v>-0.99974200000000002</v>
      </c>
      <c r="P3147">
        <v>-0.1606011</v>
      </c>
      <c r="Q3147">
        <v>0.19521559999999999</v>
      </c>
      <c r="R3147">
        <v>-0.96752210000000005</v>
      </c>
      <c r="S3147">
        <v>-0.61444089999999996</v>
      </c>
      <c r="T3147">
        <v>-0.15266740000000001</v>
      </c>
      <c r="U3147">
        <v>-3.030319</v>
      </c>
      <c r="V3147">
        <v>0.14340639999999999</v>
      </c>
      <c r="W3147">
        <v>0.2083739</v>
      </c>
      <c r="X3147">
        <v>0.96747859999999997</v>
      </c>
      <c r="Y3147">
        <v>0.18078320000000001</v>
      </c>
      <c r="Z3147">
        <v>3.562829E-2</v>
      </c>
      <c r="AA3147">
        <v>0.98287740000000001</v>
      </c>
      <c r="AB3147">
        <v>24</v>
      </c>
      <c r="AC3147">
        <v>-4.5055999999999798</v>
      </c>
      <c r="AD3147">
        <v>-1.12080715745</v>
      </c>
      <c r="AE3147">
        <v>-21.9999</v>
      </c>
      <c r="AF3147">
        <v>4.0973174346027603</v>
      </c>
      <c r="AG3147">
        <v>-1.12080715745</v>
      </c>
      <c r="AH3147">
        <v>22.022828166710799</v>
      </c>
      <c r="AI3147">
        <v>92.864370708780001</v>
      </c>
      <c r="AJ3147">
        <v>79.460697888363796</v>
      </c>
      <c r="AK3147">
        <v>22.428757863612599</v>
      </c>
      <c r="AL3147">
        <v>77.972923872920703</v>
      </c>
      <c r="AM3147">
        <v>81.568613102055394</v>
      </c>
      <c r="AN3147">
        <v>0.99999995961006405</v>
      </c>
    </row>
    <row r="3148" spans="1:40" x14ac:dyDescent="0.25">
      <c r="A3148" t="str">
        <f>"20190303170829276"</f>
        <v>20190303170829276</v>
      </c>
      <c r="B3148" t="str">
        <f>"1551604109266304"</f>
        <v>1551604109266304</v>
      </c>
      <c r="C3148" t="s">
        <v>40</v>
      </c>
      <c r="D3148">
        <v>4.9321539999999997</v>
      </c>
      <c r="E3148">
        <v>0.5422555</v>
      </c>
      <c r="F3148" t="s">
        <v>58</v>
      </c>
      <c r="G3148">
        <v>-196.66480000000001</v>
      </c>
      <c r="H3148" s="1">
        <v>-1.324786E-5</v>
      </c>
      <c r="I3148">
        <v>153.90280000000001</v>
      </c>
      <c r="J3148">
        <v>-191.07929999999999</v>
      </c>
      <c r="K3148">
        <v>1.12079</v>
      </c>
      <c r="L3148">
        <v>175.68979999999999</v>
      </c>
      <c r="M3148">
        <v>-1.8951849999999999E-2</v>
      </c>
      <c r="N3148">
        <v>-1.379467E-2</v>
      </c>
      <c r="O3148">
        <v>-0.99972530000000004</v>
      </c>
      <c r="P3148">
        <v>-0.16134509999999999</v>
      </c>
      <c r="Q3148">
        <v>0.1947034</v>
      </c>
      <c r="R3148">
        <v>-0.9675011</v>
      </c>
      <c r="S3148">
        <v>-0.76283259999999997</v>
      </c>
      <c r="T3148">
        <v>-0.15292819999999999</v>
      </c>
      <c r="U3148">
        <v>-3.0049440000000001</v>
      </c>
      <c r="V3148">
        <v>0.14328299999999999</v>
      </c>
      <c r="W3148">
        <v>0.20786189999999999</v>
      </c>
      <c r="X3148">
        <v>0.96760710000000005</v>
      </c>
      <c r="Y3148">
        <v>0.227386</v>
      </c>
      <c r="Z3148">
        <v>3.5616799999999997E-2</v>
      </c>
      <c r="AA3148">
        <v>0.97315309999999999</v>
      </c>
      <c r="AB3148">
        <v>24</v>
      </c>
      <c r="AC3148">
        <v>-5.5855000000000201</v>
      </c>
      <c r="AD3148">
        <v>-1.1208032478600001</v>
      </c>
      <c r="AE3148">
        <v>-21.7869999999999</v>
      </c>
      <c r="AF3148">
        <v>5.1587430201625297</v>
      </c>
      <c r="AG3148">
        <v>-1.1208032478600001</v>
      </c>
      <c r="AH3148">
        <v>21.834730987857199</v>
      </c>
      <c r="AI3148">
        <v>92.859883104606396</v>
      </c>
      <c r="AJ3148">
        <v>76.706880866761793</v>
      </c>
      <c r="AK3148">
        <v>22.463844434570401</v>
      </c>
      <c r="AL3148">
        <v>78.002917054140298</v>
      </c>
      <c r="AM3148">
        <v>81.576866788967095</v>
      </c>
      <c r="AN3148">
        <v>1.0000000437654999</v>
      </c>
    </row>
    <row r="3149" spans="1:40" x14ac:dyDescent="0.25">
      <c r="A3149" t="str">
        <f>"20190303170829297"</f>
        <v>20190303170829297</v>
      </c>
      <c r="B3149" t="str">
        <f>"1551604109285824"</f>
        <v>1551604109285824</v>
      </c>
      <c r="C3149" t="s">
        <v>40</v>
      </c>
      <c r="D3149">
        <v>4.9707600000000003</v>
      </c>
      <c r="E3149">
        <v>0.54504019999999898</v>
      </c>
      <c r="F3149" t="s">
        <v>58</v>
      </c>
      <c r="G3149">
        <v>-196.93049999999999</v>
      </c>
      <c r="H3149" s="1">
        <v>-1.32479799999999E-5</v>
      </c>
      <c r="I3149">
        <v>153.80969999999999</v>
      </c>
      <c r="J3149">
        <v>-191.0848</v>
      </c>
      <c r="K3149">
        <v>1.120789</v>
      </c>
      <c r="L3149">
        <v>175.45519999999999</v>
      </c>
      <c r="M3149">
        <v>-1.9838669999999999E-2</v>
      </c>
      <c r="N3149">
        <v>-1.379212E-2</v>
      </c>
      <c r="O3149">
        <v>-0.99970840000000005</v>
      </c>
      <c r="P3149">
        <v>-0.16174240000000001</v>
      </c>
      <c r="Q3149">
        <v>0.1947014</v>
      </c>
      <c r="R3149">
        <v>-0.9674355</v>
      </c>
      <c r="S3149">
        <v>-0.80171199999999998</v>
      </c>
      <c r="T3149">
        <v>-0.15356929999999999</v>
      </c>
      <c r="U3149">
        <v>-2.9979550000000001</v>
      </c>
      <c r="V3149">
        <v>0.14282010000000001</v>
      </c>
      <c r="W3149">
        <v>0.20785909999999999</v>
      </c>
      <c r="X3149">
        <v>0.96767610000000004</v>
      </c>
      <c r="Y3149">
        <v>0.23885609999999999</v>
      </c>
      <c r="Z3149">
        <v>3.5790780000000001E-2</v>
      </c>
      <c r="AA3149">
        <v>0.97039509999999995</v>
      </c>
      <c r="AB3149">
        <v>24</v>
      </c>
      <c r="AC3149">
        <v>-5.8456999999999901</v>
      </c>
      <c r="AD3149">
        <v>-1.1208022479799999</v>
      </c>
      <c r="AE3149">
        <v>-21.645499999999998</v>
      </c>
      <c r="AF3149">
        <v>5.40159263060381</v>
      </c>
      <c r="AG3149">
        <v>-1.1208022479799999</v>
      </c>
      <c r="AH3149">
        <v>21.702987501712499</v>
      </c>
      <c r="AI3149">
        <v>92.868916926411501</v>
      </c>
      <c r="AJ3149">
        <v>76.023788312211394</v>
      </c>
      <c r="AK3149">
        <v>22.3931477717082</v>
      </c>
      <c r="AL3149">
        <v>78.003080659094095</v>
      </c>
      <c r="AM3149">
        <v>81.604280778056307</v>
      </c>
      <c r="AN3149">
        <v>1.0000000104640101</v>
      </c>
    </row>
    <row r="3150" spans="1:40" x14ac:dyDescent="0.25">
      <c r="A3150" t="str">
        <f>"20190303170829318"</f>
        <v>20190303170829318</v>
      </c>
      <c r="B3150" t="str">
        <f>"1551604109306320"</f>
        <v>1551604109306320</v>
      </c>
      <c r="C3150" t="s">
        <v>40</v>
      </c>
      <c r="D3150">
        <v>4.9339510000000004</v>
      </c>
      <c r="E3150">
        <v>0.54697099999999998</v>
      </c>
      <c r="F3150" t="s">
        <v>58</v>
      </c>
      <c r="G3150">
        <v>-197.0992</v>
      </c>
      <c r="H3150" s="1">
        <v>-1.321707E-5</v>
      </c>
      <c r="I3150">
        <v>153.62739999999999</v>
      </c>
      <c r="J3150">
        <v>-191.09020000000001</v>
      </c>
      <c r="K3150">
        <v>1.1207929999999999</v>
      </c>
      <c r="L3150">
        <v>175.2363</v>
      </c>
      <c r="M3150">
        <v>-2.0666440000000001E-2</v>
      </c>
      <c r="N3150">
        <v>-1.378972E-2</v>
      </c>
      <c r="O3150">
        <v>-0.99969140000000001</v>
      </c>
      <c r="P3150">
        <v>-0.162937</v>
      </c>
      <c r="Q3150">
        <v>0.19510830000000001</v>
      </c>
      <c r="R3150">
        <v>-0.96715289999999998</v>
      </c>
      <c r="S3150">
        <v>-0.824951199999999</v>
      </c>
      <c r="T3150">
        <v>-0.15373429999999999</v>
      </c>
      <c r="U3150">
        <v>-2.9940030000000002</v>
      </c>
      <c r="V3150">
        <v>0.1432165</v>
      </c>
      <c r="W3150">
        <v>0.208262</v>
      </c>
      <c r="X3150">
        <v>0.96753080000000002</v>
      </c>
      <c r="Y3150">
        <v>0.2453775</v>
      </c>
      <c r="Z3150">
        <v>3.5820249999999998E-2</v>
      </c>
      <c r="AA3150">
        <v>0.9687656</v>
      </c>
      <c r="AB3150">
        <v>24</v>
      </c>
      <c r="AC3150">
        <v>-6.0089999999999799</v>
      </c>
      <c r="AD3150">
        <v>-1.1208062170699999</v>
      </c>
      <c r="AE3150">
        <v>-21.608899999999998</v>
      </c>
      <c r="AF3150">
        <v>5.5472425324486903</v>
      </c>
      <c r="AG3150">
        <v>-1.1208062170699999</v>
      </c>
      <c r="AH3150">
        <v>21.674355976152501</v>
      </c>
      <c r="AI3150">
        <v>92.867917712889096</v>
      </c>
      <c r="AJ3150">
        <v>75.644118396484302</v>
      </c>
      <c r="AK3150">
        <v>22.401022594314899</v>
      </c>
      <c r="AL3150">
        <v>77.979478817759997</v>
      </c>
      <c r="AM3150">
        <v>81.5800656273626</v>
      </c>
      <c r="AN3150">
        <v>0.999999937732443</v>
      </c>
    </row>
    <row r="3151" spans="1:40" x14ac:dyDescent="0.25">
      <c r="A3151" t="str">
        <f>"20190303170829341"</f>
        <v>20190303170829341</v>
      </c>
      <c r="B3151" t="str">
        <f>"1551604109325840"</f>
        <v>1551604109325840</v>
      </c>
      <c r="C3151" t="s">
        <v>40</v>
      </c>
      <c r="D3151">
        <v>4.9246319999999999</v>
      </c>
      <c r="E3151">
        <v>0.54827990000000004</v>
      </c>
      <c r="F3151" t="s">
        <v>58</v>
      </c>
      <c r="G3151">
        <v>-197.3313</v>
      </c>
      <c r="H3151" s="1">
        <v>-1.311025E-5</v>
      </c>
      <c r="I3151">
        <v>153.12100000000001</v>
      </c>
      <c r="J3151">
        <v>-191.09630000000001</v>
      </c>
      <c r="K3151">
        <v>1.1208020000000001</v>
      </c>
      <c r="L3151">
        <v>174.99189999999999</v>
      </c>
      <c r="M3151">
        <v>-2.159092E-2</v>
      </c>
      <c r="N3151">
        <v>-1.378708E-2</v>
      </c>
      <c r="O3151">
        <v>-0.99967209999999995</v>
      </c>
      <c r="P3151">
        <v>-0.16415969999999999</v>
      </c>
      <c r="Q3151">
        <v>0.19572619999999999</v>
      </c>
      <c r="R3151">
        <v>-0.96682159999999995</v>
      </c>
      <c r="S3151">
        <v>-0.84388730000000001</v>
      </c>
      <c r="T3151">
        <v>-0.15154809999999999</v>
      </c>
      <c r="U3151">
        <v>-2.9902799999999998</v>
      </c>
      <c r="V3151">
        <v>0.1435487</v>
      </c>
      <c r="W3151">
        <v>0.20887439999999999</v>
      </c>
      <c r="X3151">
        <v>0.96734960000000003</v>
      </c>
      <c r="Y3151">
        <v>0.25048399999999998</v>
      </c>
      <c r="Z3151">
        <v>3.510601E-2</v>
      </c>
      <c r="AA3151">
        <v>0.96748400000000001</v>
      </c>
      <c r="AB3151">
        <v>24</v>
      </c>
      <c r="AC3151">
        <v>-6.2349999999999799</v>
      </c>
      <c r="AD3151">
        <v>-1.1208151102499999</v>
      </c>
      <c r="AE3151">
        <v>-21.870899999999899</v>
      </c>
      <c r="AF3151">
        <v>5.7473292986191602</v>
      </c>
      <c r="AG3151">
        <v>-1.1208151102499999</v>
      </c>
      <c r="AH3151">
        <v>21.9471266617082</v>
      </c>
      <c r="AI3151">
        <v>92.828284760692895</v>
      </c>
      <c r="AJ3151">
        <v>75.325384645220595</v>
      </c>
      <c r="AK3151">
        <v>22.7148495324797</v>
      </c>
      <c r="AL3151">
        <v>77.943602585639098</v>
      </c>
      <c r="AM3151">
        <v>81.559257951767194</v>
      </c>
      <c r="AN3151">
        <v>0.99999999643360504</v>
      </c>
    </row>
    <row r="3152" spans="1:40" x14ac:dyDescent="0.25">
      <c r="A3152" t="str">
        <f>"20190303170829363"</f>
        <v>20190303170829363</v>
      </c>
      <c r="B3152" t="str">
        <f>"1551604109356095"</f>
        <v>1551604109356095</v>
      </c>
      <c r="C3152" t="s">
        <v>40</v>
      </c>
      <c r="D3152">
        <v>4.9365680000000003</v>
      </c>
      <c r="E3152">
        <v>0.54978590000000005</v>
      </c>
      <c r="F3152" t="s">
        <v>58</v>
      </c>
      <c r="G3152">
        <v>-197.52869999999999</v>
      </c>
      <c r="H3152" s="1">
        <v>-1.29910999999999E-5</v>
      </c>
      <c r="I3152">
        <v>152.5779</v>
      </c>
      <c r="J3152">
        <v>-191.1028</v>
      </c>
      <c r="K3152">
        <v>1.1208070000000001</v>
      </c>
      <c r="L3152">
        <v>174.74369999999999</v>
      </c>
      <c r="M3152">
        <v>-2.2529799999999999E-2</v>
      </c>
      <c r="N3152">
        <v>-1.3784289999999999E-2</v>
      </c>
      <c r="O3152">
        <v>-0.99965130000000002</v>
      </c>
      <c r="P3152">
        <v>-0.16523550000000001</v>
      </c>
      <c r="Q3152">
        <v>0.19538420000000001</v>
      </c>
      <c r="R3152">
        <v>-0.96670710000000004</v>
      </c>
      <c r="S3152">
        <v>-0.85739140000000003</v>
      </c>
      <c r="T3152">
        <v>-0.1493968</v>
      </c>
      <c r="U3152">
        <v>-2.987625</v>
      </c>
      <c r="V3152">
        <v>0.14371419999999999</v>
      </c>
      <c r="W3152">
        <v>0.20853070000000001</v>
      </c>
      <c r="X3152">
        <v>0.96739920000000001</v>
      </c>
      <c r="Y3152">
        <v>0.25384960000000001</v>
      </c>
      <c r="Z3152">
        <v>3.4408149999999998E-2</v>
      </c>
      <c r="AA3152">
        <v>0.96663149999999998</v>
      </c>
      <c r="AB3152">
        <v>24</v>
      </c>
      <c r="AC3152">
        <v>-6.42589999999998</v>
      </c>
      <c r="AD3152">
        <v>-1.1208199911000001</v>
      </c>
      <c r="AE3152">
        <v>-22.165799999999901</v>
      </c>
      <c r="AF3152">
        <v>5.9108886496000004</v>
      </c>
      <c r="AG3152">
        <v>-1.1208199911000001</v>
      </c>
      <c r="AH3152">
        <v>22.252475413195199</v>
      </c>
      <c r="AI3152">
        <v>92.786969893505102</v>
      </c>
      <c r="AJ3152">
        <v>75.124137932928903</v>
      </c>
      <c r="AK3152">
        <v>23.0514100240154</v>
      </c>
      <c r="AL3152">
        <v>77.963738821351697</v>
      </c>
      <c r="AM3152">
        <v>81.550093896216097</v>
      </c>
      <c r="AN3152">
        <v>1.00000001814238</v>
      </c>
    </row>
    <row r="3153" spans="1:40" x14ac:dyDescent="0.25">
      <c r="A3153" t="str">
        <f>"20190303170829386"</f>
        <v>20190303170829386</v>
      </c>
      <c r="B3153" t="str">
        <f>"1551604109376592"</f>
        <v>1551604109376592</v>
      </c>
      <c r="C3153" t="s">
        <v>40</v>
      </c>
      <c r="D3153">
        <v>4.9308750000000003</v>
      </c>
      <c r="E3153">
        <v>0.55051700000000003</v>
      </c>
      <c r="F3153" t="s">
        <v>58</v>
      </c>
      <c r="G3153">
        <v>-197.57839999999999</v>
      </c>
      <c r="H3153" s="1">
        <v>-1.2994330000000001E-5</v>
      </c>
      <c r="I3153">
        <v>152.57320000000001</v>
      </c>
      <c r="J3153">
        <v>-191.10900000000001</v>
      </c>
      <c r="K3153">
        <v>1.120803</v>
      </c>
      <c r="L3153">
        <v>174.51220000000001</v>
      </c>
      <c r="M3153">
        <v>-2.3405829999999999E-2</v>
      </c>
      <c r="N3153">
        <v>-1.3781730000000001E-2</v>
      </c>
      <c r="O3153">
        <v>-0.99963100000000005</v>
      </c>
      <c r="P3153">
        <v>-0.16601289999999999</v>
      </c>
      <c r="Q3153">
        <v>0.19473670000000001</v>
      </c>
      <c r="R3153">
        <v>-0.96670449999999997</v>
      </c>
      <c r="S3153">
        <v>-0.87181090000000006</v>
      </c>
      <c r="T3153">
        <v>-0.15089520000000001</v>
      </c>
      <c r="U3153">
        <v>-2.9848020000000002</v>
      </c>
      <c r="V3153">
        <v>0.1436395</v>
      </c>
      <c r="W3153">
        <v>0.20788380000000001</v>
      </c>
      <c r="X3153">
        <v>0.96754949999999995</v>
      </c>
      <c r="Y3153">
        <v>0.25754389999999999</v>
      </c>
      <c r="Z3153">
        <v>3.4881589999999997E-2</v>
      </c>
      <c r="AA3153">
        <v>0.96563679999999996</v>
      </c>
      <c r="AB3153">
        <v>24</v>
      </c>
      <c r="AC3153">
        <v>-6.4693999999999701</v>
      </c>
      <c r="AD3153">
        <v>-1.12081599433</v>
      </c>
      <c r="AE3153">
        <v>-21.939</v>
      </c>
      <c r="AF3153">
        <v>5.9398155193706703</v>
      </c>
      <c r="AG3153">
        <v>-1.12081599433</v>
      </c>
      <c r="AH3153">
        <v>22.031523150929399</v>
      </c>
      <c r="AI3153">
        <v>92.812075677902897</v>
      </c>
      <c r="AJ3153">
        <v>74.911504755949807</v>
      </c>
      <c r="AK3153">
        <v>22.8456921376272</v>
      </c>
      <c r="AL3153">
        <v>78.001633814671905</v>
      </c>
      <c r="AM3153">
        <v>81.5557156683074</v>
      </c>
      <c r="AN3153">
        <v>1.0000000076064699</v>
      </c>
    </row>
    <row r="3154" spans="1:40" x14ac:dyDescent="0.25">
      <c r="A3154" t="str">
        <f>"20190303170829408"</f>
        <v>20190303170829408</v>
      </c>
      <c r="B3154" t="str">
        <f>"1551604109396113"</f>
        <v>1551604109396113</v>
      </c>
      <c r="C3154" t="s">
        <v>40</v>
      </c>
      <c r="D3154">
        <v>4.9380790000000001</v>
      </c>
      <c r="E3154">
        <v>0.55110539999999997</v>
      </c>
      <c r="F3154" t="s">
        <v>58</v>
      </c>
      <c r="G3154">
        <v>-197.57910000000001</v>
      </c>
      <c r="H3154" s="1">
        <v>-1.300028E-5</v>
      </c>
      <c r="I3154">
        <v>152.5966</v>
      </c>
      <c r="J3154">
        <v>-191.1157</v>
      </c>
      <c r="K3154">
        <v>1.120798</v>
      </c>
      <c r="L3154">
        <v>174.27170000000001</v>
      </c>
      <c r="M3154">
        <v>-2.4315349999999999E-2</v>
      </c>
      <c r="N3154">
        <v>-1.3779090000000001E-2</v>
      </c>
      <c r="O3154">
        <v>-0.99960959999999999</v>
      </c>
      <c r="P3154">
        <v>-0.16645639999999901</v>
      </c>
      <c r="Q3154">
        <v>0.1942912</v>
      </c>
      <c r="R3154">
        <v>-0.96671810000000002</v>
      </c>
      <c r="S3154">
        <v>-0.88061520000000004</v>
      </c>
      <c r="T3154">
        <v>-0.1525493</v>
      </c>
      <c r="U3154">
        <v>-2.982834</v>
      </c>
      <c r="V3154">
        <v>0.1431983</v>
      </c>
      <c r="W3154">
        <v>0.20743880000000001</v>
      </c>
      <c r="X3154">
        <v>0.96771039999999997</v>
      </c>
      <c r="Y3154">
        <v>0.25945259999999998</v>
      </c>
      <c r="Z3154">
        <v>3.5414979999999999E-2</v>
      </c>
      <c r="AA3154">
        <v>0.96510629999999997</v>
      </c>
      <c r="AB3154">
        <v>24</v>
      </c>
      <c r="AC3154">
        <v>-6.4634</v>
      </c>
      <c r="AD3154">
        <v>-1.12081100028</v>
      </c>
      <c r="AE3154">
        <v>-21.6751</v>
      </c>
      <c r="AF3154">
        <v>5.91986464520705</v>
      </c>
      <c r="AG3154">
        <v>-1.12081100028</v>
      </c>
      <c r="AH3154">
        <v>21.772402058928702</v>
      </c>
      <c r="AI3154">
        <v>92.843833600280803</v>
      </c>
      <c r="AJ3154">
        <v>74.789134439602506</v>
      </c>
      <c r="AK3154">
        <v>22.590672989788601</v>
      </c>
      <c r="AL3154">
        <v>78.0276987014106</v>
      </c>
      <c r="AM3154">
        <v>81.582660395339204</v>
      </c>
      <c r="AN3154">
        <v>1.0000000135682401</v>
      </c>
    </row>
    <row r="3155" spans="1:40" x14ac:dyDescent="0.25">
      <c r="A3155" t="str">
        <f>"20190303170829433"</f>
        <v>20190303170829433</v>
      </c>
      <c r="B3155" t="str">
        <f>"1551604109426368"</f>
        <v>1551604109426368</v>
      </c>
      <c r="C3155" t="s">
        <v>40</v>
      </c>
      <c r="D3155">
        <v>4.9511699999999896</v>
      </c>
      <c r="E3155">
        <v>0.55197909999999994</v>
      </c>
      <c r="F3155" t="s">
        <v>58</v>
      </c>
      <c r="G3155">
        <v>-197.542</v>
      </c>
      <c r="H3155" s="1">
        <v>-1.3008810000000001E-5</v>
      </c>
      <c r="I3155">
        <v>152.64359999999999</v>
      </c>
      <c r="J3155">
        <v>-191.12289999999999</v>
      </c>
      <c r="K3155">
        <v>1.120798</v>
      </c>
      <c r="L3155">
        <v>174.0213</v>
      </c>
      <c r="M3155">
        <v>-2.526308E-2</v>
      </c>
      <c r="N3155">
        <v>-1.3776460000000001E-2</v>
      </c>
      <c r="O3155">
        <v>-0.99958619999999998</v>
      </c>
      <c r="P3155">
        <v>-0.16766610000000001</v>
      </c>
      <c r="Q3155">
        <v>0.19385559999999999</v>
      </c>
      <c r="R3155">
        <v>-0.96659649999999997</v>
      </c>
      <c r="S3155">
        <v>-0.88595579999999996</v>
      </c>
      <c r="T3155">
        <v>-0.15452080000000001</v>
      </c>
      <c r="U3155">
        <v>-2.9817659999999999</v>
      </c>
      <c r="V3155">
        <v>0.1434889</v>
      </c>
      <c r="W3155">
        <v>0.20700170000000001</v>
      </c>
      <c r="X3155">
        <v>0.96776090000000003</v>
      </c>
      <c r="Y3155">
        <v>0.260212</v>
      </c>
      <c r="Z3155">
        <v>3.6051270000000003E-2</v>
      </c>
      <c r="AA3155">
        <v>0.96487829999999997</v>
      </c>
      <c r="AB3155">
        <v>24</v>
      </c>
      <c r="AC3155">
        <v>-6.41910000000001</v>
      </c>
      <c r="AD3155">
        <v>-1.1208110088100001</v>
      </c>
      <c r="AE3155">
        <v>-21.377700000000001</v>
      </c>
      <c r="AF3155">
        <v>5.8621520678332599</v>
      </c>
      <c r="AG3155">
        <v>-1.1208110088100001</v>
      </c>
      <c r="AH3155">
        <v>21.4788992093562</v>
      </c>
      <c r="AI3155">
        <v>92.881878218012403</v>
      </c>
      <c r="AJ3155">
        <v>74.734278855011098</v>
      </c>
      <c r="AK3155">
        <v>22.2926928707492</v>
      </c>
      <c r="AL3155">
        <v>78.053297742131306</v>
      </c>
      <c r="AM3155">
        <v>81.566257874355998</v>
      </c>
      <c r="AN3155">
        <v>0.99999996389745405</v>
      </c>
    </row>
    <row r="3156" spans="1:40" x14ac:dyDescent="0.25">
      <c r="A3156" t="str">
        <f>"20190303170829459"</f>
        <v>20190303170829459</v>
      </c>
      <c r="B3156" t="str">
        <f>"1551604109445888"</f>
        <v>1551604109445888</v>
      </c>
      <c r="C3156" t="s">
        <v>40</v>
      </c>
      <c r="D3156">
        <v>4.9230419999999997</v>
      </c>
      <c r="E3156">
        <v>0.55248059999999999</v>
      </c>
      <c r="F3156" t="s">
        <v>58</v>
      </c>
      <c r="G3156">
        <v>-197.59700000000001</v>
      </c>
      <c r="H3156" s="1">
        <v>-1.297482E-5</v>
      </c>
      <c r="I3156">
        <v>152.48910000000001</v>
      </c>
      <c r="J3156">
        <v>-191.13149999999999</v>
      </c>
      <c r="K3156">
        <v>1.1207959999999999</v>
      </c>
      <c r="L3156">
        <v>173.73609999999999</v>
      </c>
      <c r="M3156">
        <v>-2.634245E-2</v>
      </c>
      <c r="N3156">
        <v>-1.377339E-2</v>
      </c>
      <c r="O3156">
        <v>-0.99955799999999995</v>
      </c>
      <c r="P3156">
        <v>-0.16962869999999999</v>
      </c>
      <c r="Q3156">
        <v>0.19430620000000001</v>
      </c>
      <c r="R3156">
        <v>-0.9661632</v>
      </c>
      <c r="S3156">
        <v>-0.89581299999999997</v>
      </c>
      <c r="T3156">
        <v>-0.1550859</v>
      </c>
      <c r="U3156">
        <v>-2.9794010000000002</v>
      </c>
      <c r="V3156">
        <v>0.14441409999999999</v>
      </c>
      <c r="W3156">
        <v>0.20744480000000001</v>
      </c>
      <c r="X3156">
        <v>0.96752839999999996</v>
      </c>
      <c r="Y3156">
        <v>0.26230510000000001</v>
      </c>
      <c r="Z3156">
        <v>3.623701E-2</v>
      </c>
      <c r="AA3156">
        <v>0.96430439999999995</v>
      </c>
      <c r="AB3156">
        <v>24</v>
      </c>
      <c r="AC3156">
        <v>-6.4655000000000102</v>
      </c>
      <c r="AD3156">
        <v>-1.1208089748200001</v>
      </c>
      <c r="AE3156">
        <v>-21.2469999999999</v>
      </c>
      <c r="AF3156">
        <v>5.8885074506402599</v>
      </c>
      <c r="AG3156">
        <v>-1.1208089748200001</v>
      </c>
      <c r="AH3156">
        <v>21.355568816644499</v>
      </c>
      <c r="AI3156">
        <v>92.896413874256496</v>
      </c>
      <c r="AJ3156">
        <v>74.584530541165407</v>
      </c>
      <c r="AK3156">
        <v>22.1808713137406</v>
      </c>
      <c r="AL3156">
        <v>78.027347009048498</v>
      </c>
      <c r="AM3156">
        <v>81.510657798299306</v>
      </c>
      <c r="AN3156">
        <v>0.99999999106620496</v>
      </c>
    </row>
    <row r="3157" spans="1:40" x14ac:dyDescent="0.25">
      <c r="A3157" t="str">
        <f>"20190303170829479"</f>
        <v>20190303170829479</v>
      </c>
      <c r="B3157" t="str">
        <f>"1551604109466384"</f>
        <v>1551604109466384</v>
      </c>
      <c r="C3157" t="s">
        <v>40</v>
      </c>
      <c r="D3157">
        <v>4.8908399999999999</v>
      </c>
      <c r="E3157">
        <v>0.55291769999999996</v>
      </c>
      <c r="F3157" t="s">
        <v>58</v>
      </c>
      <c r="G3157">
        <v>-197.7499</v>
      </c>
      <c r="H3157" s="1">
        <v>-1.286069E-5</v>
      </c>
      <c r="I3157">
        <v>151.98159999999999</v>
      </c>
      <c r="J3157">
        <v>-191.13759999999999</v>
      </c>
      <c r="K3157">
        <v>1.120806</v>
      </c>
      <c r="L3157">
        <v>173.5359</v>
      </c>
      <c r="M3157">
        <v>-2.7100229999999999E-2</v>
      </c>
      <c r="N3157">
        <v>-1.377128E-2</v>
      </c>
      <c r="O3157">
        <v>-0.99953780000000003</v>
      </c>
      <c r="P3157">
        <v>-0.17116339999999999</v>
      </c>
      <c r="Q3157">
        <v>0.19487380000000001</v>
      </c>
      <c r="R3157">
        <v>-0.96577789999999997</v>
      </c>
      <c r="S3157">
        <v>-0.90567019999999998</v>
      </c>
      <c r="T3157">
        <v>-0.153371799999999</v>
      </c>
      <c r="U3157">
        <v>-2.9768829999999999</v>
      </c>
      <c r="V3157">
        <v>0.14522299999999999</v>
      </c>
      <c r="W3157">
        <v>0.20800689999999999</v>
      </c>
      <c r="X3157">
        <v>0.9672866</v>
      </c>
      <c r="Y3157">
        <v>0.26472849999999998</v>
      </c>
      <c r="Z3157">
        <v>3.5688930000000001E-2</v>
      </c>
      <c r="AA3157">
        <v>0.96366229999999997</v>
      </c>
      <c r="AB3157">
        <v>24</v>
      </c>
      <c r="AC3157">
        <v>-6.6123000000000003</v>
      </c>
      <c r="AD3157">
        <v>-1.12081886068999</v>
      </c>
      <c r="AE3157">
        <v>-21.554300000000001</v>
      </c>
      <c r="AF3157">
        <v>6.0108339278298502</v>
      </c>
      <c r="AG3157">
        <v>-1.12081886068999</v>
      </c>
      <c r="AH3157">
        <v>21.672033794519599</v>
      </c>
      <c r="AI3157">
        <v>92.853030508415898</v>
      </c>
      <c r="AJ3157">
        <v>74.498411564019804</v>
      </c>
      <c r="AK3157">
        <v>22.518068483269801</v>
      </c>
      <c r="AL3157">
        <v>77.994422724461799</v>
      </c>
      <c r="AM3157">
        <v>81.461703048614893</v>
      </c>
      <c r="AN3157">
        <v>0.99999997835808396</v>
      </c>
    </row>
    <row r="3158" spans="1:40" x14ac:dyDescent="0.25">
      <c r="A3158" t="str">
        <f>"20190303170829500"</f>
        <v>20190303170829500</v>
      </c>
      <c r="B3158" t="str">
        <f>"1551604109485904"</f>
        <v>1551604109485904</v>
      </c>
      <c r="C3158" t="s">
        <v>40</v>
      </c>
      <c r="D3158">
        <v>4.8802139999999996</v>
      </c>
      <c r="E3158">
        <v>0.55339890000000003</v>
      </c>
      <c r="F3158" t="s">
        <v>58</v>
      </c>
      <c r="G3158">
        <v>-197.89189999999999</v>
      </c>
      <c r="H3158" s="1">
        <v>-1.27619899999999E-5</v>
      </c>
      <c r="I3158">
        <v>151.5393</v>
      </c>
      <c r="J3158">
        <v>-191.1448</v>
      </c>
      <c r="K3158">
        <v>1.120806</v>
      </c>
      <c r="L3158">
        <v>173.30930000000001</v>
      </c>
      <c r="M3158">
        <v>-2.7958259999999999E-2</v>
      </c>
      <c r="N3158">
        <v>-1.376896E-2</v>
      </c>
      <c r="O3158">
        <v>-0.99951440000000003</v>
      </c>
      <c r="P3158">
        <v>-0.17195439999999901</v>
      </c>
      <c r="Q3158">
        <v>0.1943839</v>
      </c>
      <c r="R3158">
        <v>-0.96573629999999999</v>
      </c>
      <c r="S3158">
        <v>-0.91349789999999997</v>
      </c>
      <c r="T3158">
        <v>-0.15158769999999999</v>
      </c>
      <c r="U3158">
        <v>-2.9749910000000002</v>
      </c>
      <c r="V3158">
        <v>0.14518059999999999</v>
      </c>
      <c r="W3158">
        <v>0.2075167</v>
      </c>
      <c r="X3158">
        <v>0.96739830000000004</v>
      </c>
      <c r="Y3158">
        <v>0.26639620000000003</v>
      </c>
      <c r="Z3158">
        <v>3.5118150000000001E-2</v>
      </c>
      <c r="AA3158">
        <v>0.96322359999999896</v>
      </c>
      <c r="AB3158">
        <v>24</v>
      </c>
      <c r="AC3158">
        <v>-6.7470999999999801</v>
      </c>
      <c r="AD3158">
        <v>-1.1208187619900001</v>
      </c>
      <c r="AE3158">
        <v>-21.77</v>
      </c>
      <c r="AF3158">
        <v>6.1209503736833604</v>
      </c>
      <c r="AG3158">
        <v>-1.1208187619900001</v>
      </c>
      <c r="AH3158">
        <v>21.897187955073399</v>
      </c>
      <c r="AI3158">
        <v>92.822156724580907</v>
      </c>
      <c r="AJ3158">
        <v>74.382656445851893</v>
      </c>
      <c r="AK3158">
        <v>22.764206740278301</v>
      </c>
      <c r="AL3158">
        <v>78.023136265338294</v>
      </c>
      <c r="AM3158">
        <v>81.465130272125407</v>
      </c>
      <c r="AN3158">
        <v>1.0000000291190601</v>
      </c>
    </row>
    <row r="3159" spans="1:40" x14ac:dyDescent="0.25">
      <c r="A3159" t="str">
        <f>"20190303170829520"</f>
        <v>20190303170829520</v>
      </c>
      <c r="B3159" t="str">
        <f>"1551604109506400"</f>
        <v>1551604109506400</v>
      </c>
      <c r="C3159" t="s">
        <v>40</v>
      </c>
      <c r="D3159">
        <v>4.8840389999999996</v>
      </c>
      <c r="E3159">
        <v>0.55381440000000004</v>
      </c>
      <c r="F3159" t="s">
        <v>58</v>
      </c>
      <c r="G3159">
        <v>-197.93</v>
      </c>
      <c r="H3159" s="1">
        <v>-1.272261E-5</v>
      </c>
      <c r="I3159">
        <v>151.36940000000001</v>
      </c>
      <c r="J3159">
        <v>-191.1515</v>
      </c>
      <c r="K3159">
        <v>1.1208</v>
      </c>
      <c r="L3159">
        <v>173.10159999999999</v>
      </c>
      <c r="M3159">
        <v>-2.8744849999999999E-2</v>
      </c>
      <c r="N3159">
        <v>-1.376689E-2</v>
      </c>
      <c r="O3159">
        <v>-0.99949200000000005</v>
      </c>
      <c r="P3159">
        <v>-0.17275979999999999</v>
      </c>
      <c r="Q3159">
        <v>0.19323380000000001</v>
      </c>
      <c r="R3159">
        <v>-0.9658234</v>
      </c>
      <c r="S3159">
        <v>-0.91952509999999998</v>
      </c>
      <c r="T3159">
        <v>-0.15189159999999999</v>
      </c>
      <c r="U3159">
        <v>-2.9732669999999999</v>
      </c>
      <c r="V3159">
        <v>0.14521719999999999</v>
      </c>
      <c r="W3159">
        <v>0.2063681</v>
      </c>
      <c r="X3159">
        <v>0.96763840000000001</v>
      </c>
      <c r="Y3159">
        <v>0.26757560000000002</v>
      </c>
      <c r="Z3159">
        <v>3.5222910000000003E-2</v>
      </c>
      <c r="AA3159">
        <v>0.96289279999999999</v>
      </c>
      <c r="AB3159">
        <v>24</v>
      </c>
      <c r="AC3159">
        <v>-6.7785000000000002</v>
      </c>
      <c r="AD3159">
        <v>-1.12081272261</v>
      </c>
      <c r="AE3159">
        <v>-21.732199999999899</v>
      </c>
      <c r="AF3159">
        <v>6.1360764127316401</v>
      </c>
      <c r="AG3159">
        <v>-1.12081272261</v>
      </c>
      <c r="AH3159">
        <v>21.865081956090101</v>
      </c>
      <c r="AI3159">
        <v>92.825471139816997</v>
      </c>
      <c r="AJ3159">
        <v>74.324096297519901</v>
      </c>
      <c r="AK3159">
        <v>22.737402310918998</v>
      </c>
      <c r="AL3159">
        <v>78.090401349321496</v>
      </c>
      <c r="AM3159">
        <v>81.465097414422601</v>
      </c>
      <c r="AN3159">
        <v>0.99999995051400303</v>
      </c>
    </row>
    <row r="3160" spans="1:40" x14ac:dyDescent="0.25">
      <c r="A3160" t="str">
        <f>"20190303170829543"</f>
        <v>20190303170829543</v>
      </c>
      <c r="B3160" t="str">
        <f>"1551604109536656"</f>
        <v>1551604109536656</v>
      </c>
      <c r="C3160" t="s">
        <v>40</v>
      </c>
      <c r="D3160">
        <v>4.8416750000000004</v>
      </c>
      <c r="E3160">
        <v>0.55450819999999901</v>
      </c>
      <c r="F3160" t="s">
        <v>58</v>
      </c>
      <c r="G3160">
        <v>-197.8655</v>
      </c>
      <c r="H3160" s="1">
        <v>-1.2761129999999999E-5</v>
      </c>
      <c r="I3160">
        <v>151.54519999999999</v>
      </c>
      <c r="J3160">
        <v>-191.15979999999999</v>
      </c>
      <c r="K3160">
        <v>1.120808</v>
      </c>
      <c r="L3160">
        <v>172.852</v>
      </c>
      <c r="M3160">
        <v>-2.9690439999999998E-2</v>
      </c>
      <c r="N3160">
        <v>-1.376431E-2</v>
      </c>
      <c r="O3160">
        <v>-0.99946449999999998</v>
      </c>
      <c r="P3160">
        <v>-0.17331589999999999</v>
      </c>
      <c r="Q3160">
        <v>0.1929081</v>
      </c>
      <c r="R3160">
        <v>-0.96578909999999996</v>
      </c>
      <c r="S3160">
        <v>-0.92552190000000001</v>
      </c>
      <c r="T3160">
        <v>-0.1545029</v>
      </c>
      <c r="U3160">
        <v>-2.971527</v>
      </c>
      <c r="V3160">
        <v>0.1448547</v>
      </c>
      <c r="W3160">
        <v>0.2060429</v>
      </c>
      <c r="X3160">
        <v>0.96776209999999996</v>
      </c>
      <c r="Y3160">
        <v>0.2685845</v>
      </c>
      <c r="Z3160">
        <v>3.6071239999999997E-2</v>
      </c>
      <c r="AA3160">
        <v>0.96258049999999995</v>
      </c>
      <c r="AB3160">
        <v>24</v>
      </c>
      <c r="AC3160">
        <v>-6.7057000000000002</v>
      </c>
      <c r="AD3160">
        <v>-1.1208207611299901</v>
      </c>
      <c r="AE3160">
        <v>-21.306799999999999</v>
      </c>
      <c r="AF3160">
        <v>6.0548302978341697</v>
      </c>
      <c r="AG3160">
        <v>-1.1208207611299901</v>
      </c>
      <c r="AH3160">
        <v>21.442531275571199</v>
      </c>
      <c r="AI3160">
        <v>92.879772159637</v>
      </c>
      <c r="AJ3160">
        <v>74.231657972127294</v>
      </c>
      <c r="AK3160">
        <v>22.309176511426799</v>
      </c>
      <c r="AL3160">
        <v>78.109444027317593</v>
      </c>
      <c r="AM3160">
        <v>81.487162440589898</v>
      </c>
      <c r="AN3160">
        <v>1.00000002147445</v>
      </c>
    </row>
    <row r="3161" spans="1:40" x14ac:dyDescent="0.25">
      <c r="A3161" t="str">
        <f>"20190303170829565"</f>
        <v>20190303170829565</v>
      </c>
      <c r="B3161" t="str">
        <f>"1551604109556176"</f>
        <v>1551604109556176</v>
      </c>
      <c r="C3161" t="s">
        <v>40</v>
      </c>
      <c r="D3161">
        <v>4.8302209999999999</v>
      </c>
      <c r="E3161">
        <v>0.5549944</v>
      </c>
      <c r="F3161" t="s">
        <v>58</v>
      </c>
      <c r="G3161">
        <v>-197.958</v>
      </c>
      <c r="H3161" s="1">
        <v>-1.268808E-5</v>
      </c>
      <c r="I3161">
        <v>151.22219999999999</v>
      </c>
      <c r="J3161">
        <v>-191.16800000000001</v>
      </c>
      <c r="K3161">
        <v>1.1208100000000001</v>
      </c>
      <c r="L3161">
        <v>172.61330000000001</v>
      </c>
      <c r="M3161">
        <v>-3.0594679999999999E-2</v>
      </c>
      <c r="N3161">
        <v>-1.3761829999999999E-2</v>
      </c>
      <c r="O3161">
        <v>-0.99943729999999997</v>
      </c>
      <c r="P3161">
        <v>-0.1740295</v>
      </c>
      <c r="Q3161">
        <v>0.1937432</v>
      </c>
      <c r="R3161">
        <v>-0.96549390000000002</v>
      </c>
      <c r="S3161">
        <v>-0.93331909999999896</v>
      </c>
      <c r="T3161">
        <v>-0.15387670000000001</v>
      </c>
      <c r="U3161">
        <v>-2.9695279999999999</v>
      </c>
      <c r="V3161">
        <v>0.1446992</v>
      </c>
      <c r="W3161">
        <v>0.20687430000000001</v>
      </c>
      <c r="X3161">
        <v>0.96760800000000002</v>
      </c>
      <c r="Y3161">
        <v>0.27020050000000001</v>
      </c>
      <c r="Z3161">
        <v>3.587423E-2</v>
      </c>
      <c r="AA3161">
        <v>0.96213550000000003</v>
      </c>
      <c r="AB3161">
        <v>24</v>
      </c>
      <c r="AC3161">
        <v>-6.7899999999999903</v>
      </c>
      <c r="AD3161">
        <v>-1.1208226880800001</v>
      </c>
      <c r="AE3161">
        <v>-21.391100000000002</v>
      </c>
      <c r="AF3161">
        <v>6.1170484712984701</v>
      </c>
      <c r="AG3161">
        <v>-1.1208226880800001</v>
      </c>
      <c r="AH3161">
        <v>21.5351308028544</v>
      </c>
      <c r="AI3161">
        <v>92.866158142808402</v>
      </c>
      <c r="AJ3161">
        <v>74.142816006596803</v>
      </c>
      <c r="AK3161">
        <v>22.415092776840801</v>
      </c>
      <c r="AL3161">
        <v>78.060759623352695</v>
      </c>
      <c r="AM3161">
        <v>81.494832695069107</v>
      </c>
      <c r="AN3161">
        <v>1.00000003807256</v>
      </c>
    </row>
    <row r="3162" spans="1:40" x14ac:dyDescent="0.25">
      <c r="A3162" t="str">
        <f>"20190303170829588"</f>
        <v>20190303170829588</v>
      </c>
      <c r="B3162" t="str">
        <f>"1551604109576672"</f>
        <v>1551604109576672</v>
      </c>
      <c r="C3162" t="s">
        <v>40</v>
      </c>
      <c r="D3162">
        <v>4.7944060000000004</v>
      </c>
      <c r="E3162">
        <v>0.55545509999999998</v>
      </c>
      <c r="F3162" t="s">
        <v>58</v>
      </c>
      <c r="G3162">
        <v>-198.18639999999999</v>
      </c>
      <c r="H3162" s="1">
        <v>-1.249297E-5</v>
      </c>
      <c r="I3162">
        <v>150.42240000000001</v>
      </c>
      <c r="J3162">
        <v>-191.17609999999999</v>
      </c>
      <c r="K3162">
        <v>1.120817</v>
      </c>
      <c r="L3162">
        <v>172.3802</v>
      </c>
      <c r="M3162">
        <v>-3.1477529999999997E-2</v>
      </c>
      <c r="N3162">
        <v>-1.375944E-2</v>
      </c>
      <c r="O3162">
        <v>-0.99940989999999996</v>
      </c>
      <c r="P3162">
        <v>-0.17451349999999999</v>
      </c>
      <c r="Q3162">
        <v>0.19425190000000001</v>
      </c>
      <c r="R3162">
        <v>-0.9653041</v>
      </c>
      <c r="S3162">
        <v>-0.93873600000000001</v>
      </c>
      <c r="T3162">
        <v>-0.14991350000000001</v>
      </c>
      <c r="U3162">
        <v>-2.9680939999999998</v>
      </c>
      <c r="V3162">
        <v>0.14433170000000001</v>
      </c>
      <c r="W3162">
        <v>0.20738100000000001</v>
      </c>
      <c r="X3162">
        <v>0.96755440000000004</v>
      </c>
      <c r="Y3162">
        <v>0.27109549999999999</v>
      </c>
      <c r="Z3162">
        <v>3.4605909999999997E-2</v>
      </c>
      <c r="AA3162">
        <v>0.96193019999999996</v>
      </c>
      <c r="AB3162">
        <v>23</v>
      </c>
      <c r="AC3162">
        <v>-7.0103</v>
      </c>
      <c r="AD3162">
        <v>-1.12082949297</v>
      </c>
      <c r="AE3162">
        <v>-21.957799999999899</v>
      </c>
      <c r="AF3162">
        <v>6.3006845499789197</v>
      </c>
      <c r="AG3162">
        <v>-1.12082949297</v>
      </c>
      <c r="AH3162">
        <v>22.115312049909999</v>
      </c>
      <c r="AI3162">
        <v>92.790479141518702</v>
      </c>
      <c r="AJ3162">
        <v>74.097670330422403</v>
      </c>
      <c r="AK3162">
        <v>23.0226391105701</v>
      </c>
      <c r="AL3162">
        <v>78.031084066285501</v>
      </c>
      <c r="AM3162">
        <v>81.515655813949607</v>
      </c>
      <c r="AN3162">
        <v>1.0000000178726201</v>
      </c>
    </row>
    <row r="3163" spans="1:40" x14ac:dyDescent="0.25">
      <c r="A3163" t="str">
        <f>"20190303170829608"</f>
        <v>20190303170829608</v>
      </c>
      <c r="B3163" t="str">
        <f>"1551604109596192"</f>
        <v>1551604109596192</v>
      </c>
      <c r="C3163" t="s">
        <v>40</v>
      </c>
      <c r="D3163">
        <v>4.7833740000000002</v>
      </c>
      <c r="E3163">
        <v>0.56412150000000005</v>
      </c>
      <c r="F3163" t="s">
        <v>58</v>
      </c>
      <c r="G3163">
        <v>-198.33590000000001</v>
      </c>
      <c r="H3163" s="1">
        <v>-1.22813899999999E-5</v>
      </c>
      <c r="I3163">
        <v>149.8674</v>
      </c>
      <c r="J3163">
        <v>-191.18379999999999</v>
      </c>
      <c r="K3163">
        <v>1.120811</v>
      </c>
      <c r="L3163">
        <v>172.16659999999999</v>
      </c>
      <c r="M3163">
        <v>-3.2286549999999997E-2</v>
      </c>
      <c r="N3163">
        <v>-1.375729E-2</v>
      </c>
      <c r="O3163">
        <v>-0.99938419999999895</v>
      </c>
      <c r="P3163">
        <v>-0.17474139999999999</v>
      </c>
      <c r="Q3163">
        <v>0.1945683</v>
      </c>
      <c r="R3163">
        <v>-0.96519920000000003</v>
      </c>
      <c r="S3163">
        <v>-0.94358830000000005</v>
      </c>
      <c r="T3163">
        <v>-0.14771429999999999</v>
      </c>
      <c r="U3163">
        <v>-2.9669650000000001</v>
      </c>
      <c r="V3163">
        <v>0.1437773</v>
      </c>
      <c r="W3163">
        <v>0.20769679999999999</v>
      </c>
      <c r="X3163">
        <v>0.96756920000000002</v>
      </c>
      <c r="Y3163">
        <v>0.27185910000000002</v>
      </c>
      <c r="Z3163">
        <v>3.3901649999999998E-2</v>
      </c>
      <c r="AA3163">
        <v>0.96173969999999998</v>
      </c>
      <c r="AB3163">
        <v>23</v>
      </c>
      <c r="AC3163">
        <v>-7.1521000000000097</v>
      </c>
      <c r="AD3163">
        <v>-1.1208232813900001</v>
      </c>
      <c r="AE3163">
        <v>-22.2991999999999</v>
      </c>
      <c r="AF3163">
        <v>6.4136465149781001</v>
      </c>
      <c r="AG3163">
        <v>-1.1208232813900001</v>
      </c>
      <c r="AH3163">
        <v>22.467044990065201</v>
      </c>
      <c r="AI3163">
        <v>92.746434474228707</v>
      </c>
      <c r="AJ3163">
        <v>74.067594222348504</v>
      </c>
      <c r="AK3163">
        <v>23.391434693767899</v>
      </c>
      <c r="AL3163">
        <v>78.012587287589596</v>
      </c>
      <c r="AM3163">
        <v>81.547901246250305</v>
      </c>
      <c r="AN3163">
        <v>1.00000001475708</v>
      </c>
    </row>
    <row r="3164" spans="1:40" x14ac:dyDescent="0.25">
      <c r="A3164" t="str">
        <f>"20190303170829632"</f>
        <v>20190303170829632</v>
      </c>
      <c r="B3164" t="str">
        <f>"1551604109626448"</f>
        <v>1551604109626448</v>
      </c>
      <c r="C3164" t="s">
        <v>40</v>
      </c>
      <c r="D3164">
        <v>4.7936370000000004</v>
      </c>
      <c r="E3164">
        <v>0.56581709999999996</v>
      </c>
      <c r="F3164" t="s">
        <v>58</v>
      </c>
      <c r="G3164">
        <v>-199.61109999999999</v>
      </c>
      <c r="H3164" s="1">
        <v>-1.181365E-5</v>
      </c>
      <c r="I3164">
        <v>147.60640000000001</v>
      </c>
      <c r="J3164">
        <v>-191.1925</v>
      </c>
      <c r="K3164">
        <v>1.120811</v>
      </c>
      <c r="L3164">
        <v>171.93020000000001</v>
      </c>
      <c r="M3164">
        <v>-3.3182370000000003E-2</v>
      </c>
      <c r="N3164">
        <v>-1.3754829999999999E-2</v>
      </c>
      <c r="O3164">
        <v>-0.99935479999999999</v>
      </c>
      <c r="P3164">
        <v>-0.17504900000000001</v>
      </c>
      <c r="Q3164">
        <v>0.1940569</v>
      </c>
      <c r="R3164">
        <v>-0.9652463</v>
      </c>
      <c r="S3164">
        <v>-1.012894</v>
      </c>
      <c r="T3164">
        <v>-0.13471359999999999</v>
      </c>
      <c r="U3164">
        <v>-2.9519350000000002</v>
      </c>
      <c r="V3164">
        <v>0.1432117</v>
      </c>
      <c r="W3164">
        <v>0.20718690000000001</v>
      </c>
      <c r="X3164">
        <v>0.96776240000000002</v>
      </c>
      <c r="Y3164">
        <v>0.29273270000000001</v>
      </c>
      <c r="Z3164">
        <v>2.9645890000000001E-2</v>
      </c>
      <c r="AA3164">
        <v>0.95573459999999999</v>
      </c>
      <c r="AB3164">
        <v>23</v>
      </c>
      <c r="AC3164">
        <v>-8.4185999999999908</v>
      </c>
      <c r="AD3164">
        <v>-1.12082281365</v>
      </c>
      <c r="AE3164">
        <v>-24.323799999999999</v>
      </c>
      <c r="AF3164">
        <v>7.5923691906629198</v>
      </c>
      <c r="AG3164">
        <v>-1.12082281365</v>
      </c>
      <c r="AH3164">
        <v>24.5432402711075</v>
      </c>
      <c r="AI3164">
        <v>92.498086508942194</v>
      </c>
      <c r="AJ3164">
        <v>72.810722220753107</v>
      </c>
      <c r="AK3164">
        <v>25.7151892217856</v>
      </c>
      <c r="AL3164">
        <v>78.042452260781502</v>
      </c>
      <c r="AM3164">
        <v>81.582329858906505</v>
      </c>
      <c r="AN3164">
        <v>1.00000003270112</v>
      </c>
    </row>
    <row r="3165" spans="1:40" x14ac:dyDescent="0.25">
      <c r="A3165" t="str">
        <f>"20190303170829655"</f>
        <v>20190303170829655</v>
      </c>
      <c r="B3165" t="str">
        <f>"1551604109645968"</f>
        <v>1551604109645968</v>
      </c>
      <c r="C3165" t="s">
        <v>40</v>
      </c>
      <c r="D3165">
        <v>4.7715329999999998</v>
      </c>
      <c r="E3165">
        <v>0.56621309999999903</v>
      </c>
      <c r="F3165" t="s">
        <v>58</v>
      </c>
      <c r="G3165">
        <v>-200.0266</v>
      </c>
      <c r="H3165" s="1">
        <v>-1.153185E-5</v>
      </c>
      <c r="I3165">
        <v>146.59450000000001</v>
      </c>
      <c r="J3165">
        <v>-191.202</v>
      </c>
      <c r="K3165">
        <v>1.1208129999999901</v>
      </c>
      <c r="L3165">
        <v>171.67830000000001</v>
      </c>
      <c r="M3165">
        <v>-3.4137340000000002E-2</v>
      </c>
      <c r="N3165">
        <v>-1.3752159999999999E-2</v>
      </c>
      <c r="O3165">
        <v>-0.99932259999999995</v>
      </c>
      <c r="P3165">
        <v>-0.1754636</v>
      </c>
      <c r="Q3165">
        <v>0.19391620000000001</v>
      </c>
      <c r="R3165">
        <v>-0.96519909999999998</v>
      </c>
      <c r="S3165">
        <v>-1.027847</v>
      </c>
      <c r="T3165">
        <v>-0.13040760000000001</v>
      </c>
      <c r="U3165">
        <v>-2.9478149999999999</v>
      </c>
      <c r="V3165">
        <v>0.1426991</v>
      </c>
      <c r="W3165">
        <v>0.20704639999999999</v>
      </c>
      <c r="X3165">
        <v>0.96786810000000001</v>
      </c>
      <c r="Y3165">
        <v>0.29657060000000002</v>
      </c>
      <c r="Z3165">
        <v>2.826331E-2</v>
      </c>
      <c r="AA3165">
        <v>0.95459260000000001</v>
      </c>
      <c r="AB3165">
        <v>23</v>
      </c>
      <c r="AC3165">
        <v>-8.8246000000000002</v>
      </c>
      <c r="AD3165">
        <v>-1.1208245318500001</v>
      </c>
      <c r="AE3165">
        <v>-25.0838</v>
      </c>
      <c r="AF3165">
        <v>7.9489576260450701</v>
      </c>
      <c r="AG3165">
        <v>-1.1208245318500001</v>
      </c>
      <c r="AH3165">
        <v>25.325458437520101</v>
      </c>
      <c r="AI3165">
        <v>92.417919732673894</v>
      </c>
      <c r="AJ3165">
        <v>72.574376321386296</v>
      </c>
      <c r="AK3165">
        <v>26.5672922979067</v>
      </c>
      <c r="AL3165">
        <v>78.050679762615999</v>
      </c>
      <c r="AM3165">
        <v>81.612932969668407</v>
      </c>
      <c r="AN3165">
        <v>0.99999995194568803</v>
      </c>
    </row>
    <row r="3166" spans="1:40" x14ac:dyDescent="0.25">
      <c r="A3166" t="str">
        <f>"20190303170829679"</f>
        <v>20190303170829679</v>
      </c>
      <c r="B3166" t="str">
        <f>"1551604109666464"</f>
        <v>1551604109666464</v>
      </c>
      <c r="C3166" t="s">
        <v>40</v>
      </c>
      <c r="D3166">
        <v>4.7324950000000001</v>
      </c>
      <c r="E3166">
        <v>0.56666989999999995</v>
      </c>
      <c r="F3166" t="s">
        <v>58</v>
      </c>
      <c r="G3166">
        <v>-200.01779999999999</v>
      </c>
      <c r="H3166" s="1">
        <v>-1.150847E-5</v>
      </c>
      <c r="I3166">
        <v>146.5027</v>
      </c>
      <c r="J3166">
        <v>-191.21129999999999</v>
      </c>
      <c r="K3166">
        <v>1.1208199999999999</v>
      </c>
      <c r="L3166">
        <v>171.43969999999999</v>
      </c>
      <c r="M3166">
        <v>-3.5042080000000003E-2</v>
      </c>
      <c r="N3166">
        <v>-1.37497E-2</v>
      </c>
      <c r="O3166">
        <v>-0.99929120000000005</v>
      </c>
      <c r="P3166">
        <v>-0.17664289999999999</v>
      </c>
      <c r="Q3166">
        <v>0.19391369999999999</v>
      </c>
      <c r="R3166">
        <v>-0.96498439999999996</v>
      </c>
      <c r="S3166">
        <v>-1.0319370000000001</v>
      </c>
      <c r="T3166">
        <v>-0.13119879999999901</v>
      </c>
      <c r="U3166">
        <v>-2.9469449999999999</v>
      </c>
      <c r="V3166">
        <v>0.14300570000000001</v>
      </c>
      <c r="W3166">
        <v>0.2070409</v>
      </c>
      <c r="X3166">
        <v>0.96782409999999996</v>
      </c>
      <c r="Y3166">
        <v>0.29697109999999999</v>
      </c>
      <c r="Z3166">
        <v>2.8519869999999999E-2</v>
      </c>
      <c r="AA3166">
        <v>0.95446050000000004</v>
      </c>
      <c r="AB3166">
        <v>23</v>
      </c>
      <c r="AC3166">
        <v>-8.8064999999999998</v>
      </c>
      <c r="AD3166">
        <v>-1.12083150847</v>
      </c>
      <c r="AE3166">
        <v>-24.936999999999902</v>
      </c>
      <c r="AF3166">
        <v>7.9129502701399197</v>
      </c>
      <c r="AG3166">
        <v>-1.12083150847</v>
      </c>
      <c r="AH3166">
        <v>25.1850720860572</v>
      </c>
      <c r="AI3166">
        <v>92.431174626109794</v>
      </c>
      <c r="AJ3166">
        <v>72.557694099381806</v>
      </c>
      <c r="AK3166">
        <v>26.422696706202899</v>
      </c>
      <c r="AL3166">
        <v>78.0510027731858</v>
      </c>
      <c r="AM3166">
        <v>81.594793194892006</v>
      </c>
      <c r="AN3166">
        <v>1.00000002652305</v>
      </c>
    </row>
    <row r="3167" spans="1:40" x14ac:dyDescent="0.25">
      <c r="A3167" t="str">
        <f>"20190303170829699"</f>
        <v>20190303170829699</v>
      </c>
      <c r="B3167" t="str">
        <f>"1551604109685984"</f>
        <v>1551604109685984</v>
      </c>
      <c r="C3167" t="s">
        <v>40</v>
      </c>
      <c r="D3167">
        <v>4.7617059999999896</v>
      </c>
      <c r="E3167">
        <v>0.56702790000000003</v>
      </c>
      <c r="F3167" t="s">
        <v>58</v>
      </c>
      <c r="G3167">
        <v>-200.07679999999999</v>
      </c>
      <c r="H3167" s="1">
        <v>-1.142297E-5</v>
      </c>
      <c r="I3167">
        <v>146.30330000000001</v>
      </c>
      <c r="J3167">
        <v>-191.21969999999999</v>
      </c>
      <c r="K3167">
        <v>1.1208209999999901</v>
      </c>
      <c r="L3167">
        <v>171.22559999999999</v>
      </c>
      <c r="M3167">
        <v>-3.5853820000000002E-2</v>
      </c>
      <c r="N3167">
        <v>-1.374744E-2</v>
      </c>
      <c r="O3167">
        <v>-0.9992626</v>
      </c>
      <c r="P3167">
        <v>-0.17767230000000001</v>
      </c>
      <c r="Q3167">
        <v>0.19422210000000001</v>
      </c>
      <c r="R3167">
        <v>-0.96473339999999996</v>
      </c>
      <c r="S3167">
        <v>-1.0387420000000001</v>
      </c>
      <c r="T3167">
        <v>-0.1313233</v>
      </c>
      <c r="U3167">
        <v>-2.9451290000000001</v>
      </c>
      <c r="V3167">
        <v>0.14325450000000001</v>
      </c>
      <c r="W3167">
        <v>0.2073459</v>
      </c>
      <c r="X3167">
        <v>0.96772190000000002</v>
      </c>
      <c r="Y3167">
        <v>0.29834060000000001</v>
      </c>
      <c r="Z3167">
        <v>2.856233E-2</v>
      </c>
      <c r="AA3167">
        <v>0.95403199999999999</v>
      </c>
      <c r="AB3167">
        <v>23</v>
      </c>
      <c r="AC3167">
        <v>-8.8571000000000009</v>
      </c>
      <c r="AD3167">
        <v>-1.12083242296999</v>
      </c>
      <c r="AE3167">
        <v>-24.9222999999999</v>
      </c>
      <c r="AF3167">
        <v>7.9434955153994702</v>
      </c>
      <c r="AG3167">
        <v>-1.12083242296999</v>
      </c>
      <c r="AH3167">
        <v>25.178648847335499</v>
      </c>
      <c r="AI3167">
        <v>92.430896442149205</v>
      </c>
      <c r="AJ3167">
        <v>72.490276522959903</v>
      </c>
      <c r="AK3167">
        <v>26.425740180759</v>
      </c>
      <c r="AL3167">
        <v>78.033138702976601</v>
      </c>
      <c r="AM3167">
        <v>81.579502889822606</v>
      </c>
      <c r="AN3167">
        <v>0.999999924878332</v>
      </c>
    </row>
    <row r="3168" spans="1:40" x14ac:dyDescent="0.25">
      <c r="A3168" t="str">
        <f>"20190303170829722"</f>
        <v>20190303170829722</v>
      </c>
      <c r="B3168" t="str">
        <f>"1551604109706481"</f>
        <v>1551604109706481</v>
      </c>
      <c r="C3168" t="s">
        <v>40</v>
      </c>
      <c r="D3168">
        <v>4.7538309999999999</v>
      </c>
      <c r="E3168">
        <v>0.56753869999999995</v>
      </c>
      <c r="F3168" t="s">
        <v>58</v>
      </c>
      <c r="G3168">
        <v>-200.1371</v>
      </c>
      <c r="H3168" s="1">
        <v>-1.133361E-5</v>
      </c>
      <c r="I3168">
        <v>146.09270000000001</v>
      </c>
      <c r="J3168">
        <v>-191.22909999999999</v>
      </c>
      <c r="K3168">
        <v>1.1208279999999999</v>
      </c>
      <c r="L3168">
        <v>170.99340000000001</v>
      </c>
      <c r="M3168">
        <v>-3.6734549999999998E-2</v>
      </c>
      <c r="N3168">
        <v>-1.374498E-2</v>
      </c>
      <c r="O3168">
        <v>-0.99923039999999996</v>
      </c>
      <c r="P3168">
        <v>-0.17862049999999999</v>
      </c>
      <c r="Q3168">
        <v>0.19460630000000001</v>
      </c>
      <c r="R3168">
        <v>-0.96448080000000003</v>
      </c>
      <c r="S3168">
        <v>-1.0444639999999901</v>
      </c>
      <c r="T3168">
        <v>-0.13127920000000001</v>
      </c>
      <c r="U3168">
        <v>-2.9437259999999998</v>
      </c>
      <c r="V3168">
        <v>0.14335580000000001</v>
      </c>
      <c r="W3168">
        <v>0.20772660000000001</v>
      </c>
      <c r="X3168">
        <v>0.96762530000000002</v>
      </c>
      <c r="Y3168">
        <v>0.2992899</v>
      </c>
      <c r="Z3168">
        <v>2.8550349999999999E-2</v>
      </c>
      <c r="AA3168">
        <v>0.953735</v>
      </c>
      <c r="AB3168">
        <v>23</v>
      </c>
      <c r="AC3168">
        <v>-8.9080000000000101</v>
      </c>
      <c r="AD3168">
        <v>-1.12083933361</v>
      </c>
      <c r="AE3168">
        <v>-24.900700000000001</v>
      </c>
      <c r="AF3168">
        <v>7.9728628174526799</v>
      </c>
      <c r="AG3168">
        <v>-1.12083933361</v>
      </c>
      <c r="AH3168">
        <v>25.165948718537901</v>
      </c>
      <c r="AI3168">
        <v>92.431210955194899</v>
      </c>
      <c r="AJ3168">
        <v>72.421197727286</v>
      </c>
      <c r="AK3168">
        <v>26.4224865828666</v>
      </c>
      <c r="AL3168">
        <v>78.010841302213294</v>
      </c>
      <c r="AM3168">
        <v>81.5728047937978</v>
      </c>
      <c r="AN3168">
        <v>0.99999997347064395</v>
      </c>
    </row>
    <row r="3169" spans="1:40" x14ac:dyDescent="0.25">
      <c r="A3169" t="str">
        <f>"20190303170829744"</f>
        <v>20190303170829744</v>
      </c>
      <c r="B3169" t="str">
        <f>"1551604109736737"</f>
        <v>1551604109736737</v>
      </c>
      <c r="C3169" t="s">
        <v>40</v>
      </c>
      <c r="D3169">
        <v>4.7405710000000001</v>
      </c>
      <c r="E3169">
        <v>0.56820079999999995</v>
      </c>
      <c r="F3169" t="s">
        <v>58</v>
      </c>
      <c r="G3169">
        <v>-200.24299999999999</v>
      </c>
      <c r="H3169" s="1">
        <v>-1.1187620000000001E-5</v>
      </c>
      <c r="I3169">
        <v>145.75980000000001</v>
      </c>
      <c r="J3169">
        <v>-191.2388</v>
      </c>
      <c r="K3169">
        <v>1.120824</v>
      </c>
      <c r="L3169">
        <v>170.7568</v>
      </c>
      <c r="M3169">
        <v>-3.7631659999999997E-2</v>
      </c>
      <c r="N3169">
        <v>-1.374235E-2</v>
      </c>
      <c r="O3169">
        <v>-0.99919749999999996</v>
      </c>
      <c r="P3169">
        <v>-0.1799907</v>
      </c>
      <c r="Q3169">
        <v>0.1947776</v>
      </c>
      <c r="R3169">
        <v>-0.96419169999999998</v>
      </c>
      <c r="S3169">
        <v>-1.05101</v>
      </c>
      <c r="T3169">
        <v>-0.13068850000000001</v>
      </c>
      <c r="U3169">
        <v>-2.9422000000000001</v>
      </c>
      <c r="V3169">
        <v>0.14386409999999999</v>
      </c>
      <c r="W3169">
        <v>0.207894</v>
      </c>
      <c r="X3169">
        <v>0.96751390000000004</v>
      </c>
      <c r="Y3169">
        <v>0.30047390000000002</v>
      </c>
      <c r="Z3169">
        <v>2.836118E-2</v>
      </c>
      <c r="AA3169">
        <v>0.95336829999999995</v>
      </c>
      <c r="AB3169">
        <v>23</v>
      </c>
      <c r="AC3169">
        <v>-9.0041999999999902</v>
      </c>
      <c r="AD3169">
        <v>-1.12083518762</v>
      </c>
      <c r="AE3169">
        <v>-24.9969999999999</v>
      </c>
      <c r="AF3169">
        <v>8.0427408528762108</v>
      </c>
      <c r="AG3169">
        <v>-1.12083518762</v>
      </c>
      <c r="AH3169">
        <v>25.273189239084299</v>
      </c>
      <c r="AI3169">
        <v>92.419907468686404</v>
      </c>
      <c r="AJ3169">
        <v>72.347258153414899</v>
      </c>
      <c r="AK3169">
        <v>26.545734991875801</v>
      </c>
      <c r="AL3169">
        <v>78.001035893803405</v>
      </c>
      <c r="AM3169">
        <v>81.542395996776804</v>
      </c>
      <c r="AN3169">
        <v>0.99999997059900902</v>
      </c>
    </row>
    <row r="3170" spans="1:40" x14ac:dyDescent="0.25">
      <c r="A3170" t="str">
        <f>"20190303170829766"</f>
        <v>20190303170829766</v>
      </c>
      <c r="B3170" t="str">
        <f>"1551604109756256"</f>
        <v>1551604109756256</v>
      </c>
      <c r="C3170" t="s">
        <v>40</v>
      </c>
      <c r="D3170">
        <v>4.7804880000000001</v>
      </c>
      <c r="E3170">
        <v>0.56863769999999902</v>
      </c>
      <c r="F3170" t="s">
        <v>58</v>
      </c>
      <c r="G3170">
        <v>-200.3871</v>
      </c>
      <c r="H3170" s="1">
        <v>-1.1016509999999999E-5</v>
      </c>
      <c r="I3170">
        <v>145.39940000000001</v>
      </c>
      <c r="J3170">
        <v>-191.24860000000001</v>
      </c>
      <c r="K3170">
        <v>1.120822</v>
      </c>
      <c r="L3170">
        <v>170.5241</v>
      </c>
      <c r="M3170">
        <v>-3.8514369999999999E-2</v>
      </c>
      <c r="N3170">
        <v>-1.37398E-2</v>
      </c>
      <c r="O3170">
        <v>-0.99916360000000004</v>
      </c>
      <c r="P3170">
        <v>-0.18167910000000001</v>
      </c>
      <c r="Q3170">
        <v>0.19390840000000001</v>
      </c>
      <c r="R3170">
        <v>-0.96404990000000002</v>
      </c>
      <c r="S3170">
        <v>-1.0605469999999999</v>
      </c>
      <c r="T3170">
        <v>-0.12993759999999999</v>
      </c>
      <c r="U3170">
        <v>-2.939667</v>
      </c>
      <c r="V3170">
        <v>0.14469749999999901</v>
      </c>
      <c r="W3170">
        <v>0.20702219999999999</v>
      </c>
      <c r="X3170">
        <v>0.96757660000000001</v>
      </c>
      <c r="Y3170">
        <v>0.30263230000000002</v>
      </c>
      <c r="Z3170">
        <v>2.8120510000000001E-2</v>
      </c>
      <c r="AA3170">
        <v>0.95269239999999999</v>
      </c>
      <c r="AB3170">
        <v>23</v>
      </c>
      <c r="AC3170">
        <v>-9.1384999999999899</v>
      </c>
      <c r="AD3170">
        <v>-1.12083301651</v>
      </c>
      <c r="AE3170">
        <v>-25.124699999999901</v>
      </c>
      <c r="AF3170">
        <v>8.1496412459411705</v>
      </c>
      <c r="AG3170">
        <v>-1.12083301651</v>
      </c>
      <c r="AH3170">
        <v>25.4133853540323</v>
      </c>
      <c r="AI3170">
        <v>92.404861693837205</v>
      </c>
      <c r="AJ3170">
        <v>72.219836188645303</v>
      </c>
      <c r="AK3170">
        <v>26.711665508556099</v>
      </c>
      <c r="AL3170">
        <v>78.052097820226507</v>
      </c>
      <c r="AM3170">
        <v>81.494659185309104</v>
      </c>
      <c r="AN3170">
        <v>1.0000000173333199</v>
      </c>
    </row>
    <row r="3171" spans="1:40" x14ac:dyDescent="0.25">
      <c r="A3171" t="str">
        <f>"20190303170829788"</f>
        <v>20190303170829788</v>
      </c>
      <c r="B3171" t="str">
        <f>"1551604109776753"</f>
        <v>1551604109776753</v>
      </c>
      <c r="C3171" t="s">
        <v>40</v>
      </c>
      <c r="D3171">
        <v>4.7931470000000003</v>
      </c>
      <c r="E3171">
        <v>0.56907759999999996</v>
      </c>
      <c r="F3171" t="s">
        <v>58</v>
      </c>
      <c r="G3171">
        <v>-200.279</v>
      </c>
      <c r="H3171" s="1">
        <v>-1.1154830000000001E-5</v>
      </c>
      <c r="I3171">
        <v>145.70330000000001</v>
      </c>
      <c r="J3171">
        <v>-191.25810000000001</v>
      </c>
      <c r="K3171">
        <v>1.120811</v>
      </c>
      <c r="L3171">
        <v>170.304</v>
      </c>
      <c r="M3171">
        <v>-3.9349620000000002E-2</v>
      </c>
      <c r="N3171">
        <v>-1.3737610000000001E-2</v>
      </c>
      <c r="O3171">
        <v>-0.9991314</v>
      </c>
      <c r="P3171">
        <v>-0.18350949999999999</v>
      </c>
      <c r="Q3171">
        <v>0.19332099999999999</v>
      </c>
      <c r="R3171">
        <v>-0.9638217</v>
      </c>
      <c r="S3171">
        <v>-1.0686040000000001</v>
      </c>
      <c r="T3171">
        <v>-0.13263329999999901</v>
      </c>
      <c r="U3171">
        <v>-2.9371640000000001</v>
      </c>
      <c r="V3171">
        <v>0.14572270000000001</v>
      </c>
      <c r="W3171">
        <v>0.20643159999999999</v>
      </c>
      <c r="X3171">
        <v>0.96754890000000005</v>
      </c>
      <c r="Y3171">
        <v>0.30439310000000003</v>
      </c>
      <c r="Z3171">
        <v>2.8991019999999999E-2</v>
      </c>
      <c r="AA3171">
        <v>0.95210519999999998</v>
      </c>
      <c r="AB3171">
        <v>23</v>
      </c>
      <c r="AC3171">
        <v>-9.0209000000000099</v>
      </c>
      <c r="AD3171">
        <v>-1.1208221548299999</v>
      </c>
      <c r="AE3171">
        <v>-24.6006999999999</v>
      </c>
      <c r="AF3171">
        <v>8.0310980311129097</v>
      </c>
      <c r="AG3171">
        <v>-1.1208221548299999</v>
      </c>
      <c r="AH3171">
        <v>24.891101544352999</v>
      </c>
      <c r="AI3171">
        <v>92.453832218334995</v>
      </c>
      <c r="AJ3171">
        <v>72.117737376814503</v>
      </c>
      <c r="AK3171">
        <v>26.1786499647976</v>
      </c>
      <c r="AL3171">
        <v>78.086683508199698</v>
      </c>
      <c r="AM3171">
        <v>81.435046832827396</v>
      </c>
      <c r="AN3171">
        <v>0.99999999233253001</v>
      </c>
    </row>
    <row r="3172" spans="1:40" x14ac:dyDescent="0.25">
      <c r="A3172" t="str">
        <f>"20190303170829811"</f>
        <v>20190303170829811</v>
      </c>
      <c r="B3172" t="str">
        <f>"1551604109796275"</f>
        <v>1551604109796275</v>
      </c>
      <c r="C3172" t="s">
        <v>40</v>
      </c>
      <c r="D3172">
        <v>4.8060049999999999</v>
      </c>
      <c r="E3172">
        <v>0.5742739</v>
      </c>
      <c r="F3172" t="s">
        <v>58</v>
      </c>
      <c r="G3172">
        <v>-200.24369999999999</v>
      </c>
      <c r="H3172" s="1">
        <v>-1.1206750000000001E-5</v>
      </c>
      <c r="I3172">
        <v>145.8253</v>
      </c>
      <c r="J3172">
        <v>-191.26830000000001</v>
      </c>
      <c r="K3172">
        <v>1.120817</v>
      </c>
      <c r="L3172">
        <v>170.07230000000001</v>
      </c>
      <c r="M3172">
        <v>-4.0228809999999997E-2</v>
      </c>
      <c r="N3172">
        <v>-1.373539E-2</v>
      </c>
      <c r="O3172">
        <v>-0.99909619999999999</v>
      </c>
      <c r="P3172">
        <v>-0.1848795</v>
      </c>
      <c r="Q3172">
        <v>0.19249769999999999</v>
      </c>
      <c r="R3172">
        <v>-0.96372429999999998</v>
      </c>
      <c r="S3172">
        <v>-1.0771790000000001</v>
      </c>
      <c r="T3172">
        <v>-0.1343617</v>
      </c>
      <c r="U3172">
        <v>-2.9344480000000002</v>
      </c>
      <c r="V3172">
        <v>0.1462397</v>
      </c>
      <c r="W3172">
        <v>0.2056075</v>
      </c>
      <c r="X3172">
        <v>0.96764640000000002</v>
      </c>
      <c r="Y3172">
        <v>0.30628430000000001</v>
      </c>
      <c r="Z3172">
        <v>2.9551620000000001E-2</v>
      </c>
      <c r="AA3172">
        <v>0.95148129999999997</v>
      </c>
      <c r="AB3172">
        <v>23</v>
      </c>
      <c r="AC3172">
        <v>-8.9753999999999792</v>
      </c>
      <c r="AD3172">
        <v>-1.1208282067499999</v>
      </c>
      <c r="AE3172">
        <v>-24.247</v>
      </c>
      <c r="AF3172">
        <v>7.9776208835914897</v>
      </c>
      <c r="AG3172">
        <v>-1.1208282067499999</v>
      </c>
      <c r="AH3172">
        <v>24.542349772368802</v>
      </c>
      <c r="AI3172">
        <v>92.486919355644801</v>
      </c>
      <c r="AJ3172">
        <v>71.992972647032502</v>
      </c>
      <c r="AK3172">
        <v>25.830710853181198</v>
      </c>
      <c r="AL3172">
        <v>78.134936471571095</v>
      </c>
      <c r="AM3172">
        <v>81.405965916901394</v>
      </c>
      <c r="AN3172">
        <v>1.0000000246726399</v>
      </c>
    </row>
    <row r="3173" spans="1:40" x14ac:dyDescent="0.25">
      <c r="A3173" t="str">
        <f>"20190303170829833"</f>
        <v>20190303170829833</v>
      </c>
      <c r="B3173" t="str">
        <f>"1551604109826528"</f>
        <v>1551604109826528</v>
      </c>
      <c r="C3173" t="s">
        <v>40</v>
      </c>
      <c r="D3173">
        <v>4.8348659999999999</v>
      </c>
      <c r="E3173">
        <v>0.57478130000000005</v>
      </c>
      <c r="F3173" t="s">
        <v>58</v>
      </c>
      <c r="G3173">
        <v>-200.97139999999999</v>
      </c>
      <c r="H3173" s="1">
        <v>-1.057443E-5</v>
      </c>
      <c r="I3173">
        <v>144.78440000000001</v>
      </c>
      <c r="J3173">
        <v>-191.27869999999999</v>
      </c>
      <c r="K3173">
        <v>1.120816</v>
      </c>
      <c r="L3173">
        <v>169.8389</v>
      </c>
      <c r="M3173">
        <v>-4.11148E-2</v>
      </c>
      <c r="N3173">
        <v>-1.373307E-2</v>
      </c>
      <c r="O3173">
        <v>-0.99906039999999996</v>
      </c>
      <c r="P3173">
        <v>-0.1858302</v>
      </c>
      <c r="Q3173">
        <v>0.1917179</v>
      </c>
      <c r="R3173">
        <v>-0.96369700000000003</v>
      </c>
      <c r="S3173">
        <v>-1.1218109999999999</v>
      </c>
      <c r="T3173">
        <v>-0.12958339999999999</v>
      </c>
      <c r="U3173">
        <v>-2.9236300000000002</v>
      </c>
      <c r="V3173">
        <v>0.14632829999999999</v>
      </c>
      <c r="W3173">
        <v>0.20482719999999999</v>
      </c>
      <c r="X3173">
        <v>0.96779850000000001</v>
      </c>
      <c r="Y3173">
        <v>0.31928959999999901</v>
      </c>
      <c r="Z3173">
        <v>2.7969000000000001E-2</v>
      </c>
      <c r="AA3173">
        <v>0.94724439999999999</v>
      </c>
      <c r="AB3173">
        <v>23</v>
      </c>
      <c r="AC3173">
        <v>-9.6927000000000003</v>
      </c>
      <c r="AD3173">
        <v>-1.1208265744299899</v>
      </c>
      <c r="AE3173">
        <v>-25.054499999999901</v>
      </c>
      <c r="AF3173">
        <v>8.6392563362689891</v>
      </c>
      <c r="AG3173">
        <v>-1.1208265744299899</v>
      </c>
      <c r="AH3173">
        <v>25.387668154332999</v>
      </c>
      <c r="AI3173">
        <v>92.393274157059594</v>
      </c>
      <c r="AJ3173">
        <v>71.206898625537306</v>
      </c>
      <c r="AK3173">
        <v>26.840765573437899</v>
      </c>
      <c r="AL3173">
        <v>78.180616847874603</v>
      </c>
      <c r="AM3173">
        <v>81.402168248219198</v>
      </c>
      <c r="AN3173">
        <v>1.0000000449214801</v>
      </c>
    </row>
    <row r="3174" spans="1:40" x14ac:dyDescent="0.25">
      <c r="A3174" t="str">
        <f>"20190303170829857"</f>
        <v>20190303170829857</v>
      </c>
      <c r="B3174" t="str">
        <f>"1551604109846049"</f>
        <v>1551604109846049</v>
      </c>
      <c r="C3174" t="s">
        <v>40</v>
      </c>
      <c r="D3174">
        <v>4.8229889999999997</v>
      </c>
      <c r="E3174">
        <v>0.57495499999999999</v>
      </c>
      <c r="F3174" t="s">
        <v>58</v>
      </c>
      <c r="G3174">
        <v>-200.72909999999999</v>
      </c>
      <c r="H3174" s="1">
        <v>-1.08543E-5</v>
      </c>
      <c r="I3174">
        <v>145.364</v>
      </c>
      <c r="J3174">
        <v>-191.2901</v>
      </c>
      <c r="K3174">
        <v>1.120811</v>
      </c>
      <c r="L3174">
        <v>169.59</v>
      </c>
      <c r="M3174">
        <v>-4.2059600000000003E-2</v>
      </c>
      <c r="N3174">
        <v>-1.3730559999999999E-2</v>
      </c>
      <c r="O3174">
        <v>-0.9990211</v>
      </c>
      <c r="P3174">
        <v>-0.18717300000000001</v>
      </c>
      <c r="Q3174">
        <v>0.19157660000000001</v>
      </c>
      <c r="R3174">
        <v>-0.96346529999999997</v>
      </c>
      <c r="S3174">
        <v>-1.1282810000000001</v>
      </c>
      <c r="T3174">
        <v>-0.1338162</v>
      </c>
      <c r="U3174">
        <v>-2.9220730000000001</v>
      </c>
      <c r="V3174">
        <v>0.1467608</v>
      </c>
      <c r="W3174">
        <v>0.204683</v>
      </c>
      <c r="X3174">
        <v>0.9677635</v>
      </c>
      <c r="Y3174">
        <v>0.32037130000000003</v>
      </c>
      <c r="Z3174">
        <v>2.9325339999999998E-2</v>
      </c>
      <c r="AA3174">
        <v>0.94683799999999996</v>
      </c>
      <c r="AB3174">
        <v>23</v>
      </c>
      <c r="AC3174">
        <v>-9.4389999999999894</v>
      </c>
      <c r="AD3174">
        <v>-1.1208218542999999</v>
      </c>
      <c r="AE3174">
        <v>-24.225999999999999</v>
      </c>
      <c r="AF3174">
        <v>8.3960114805316604</v>
      </c>
      <c r="AG3174">
        <v>-1.1208218542999999</v>
      </c>
      <c r="AH3174">
        <v>24.5559624389814</v>
      </c>
      <c r="AI3174">
        <v>92.473001539524702</v>
      </c>
      <c r="AJ3174">
        <v>71.123756740471194</v>
      </c>
      <c r="AK3174">
        <v>25.9758453513059</v>
      </c>
      <c r="AL3174">
        <v>78.189057524271206</v>
      </c>
      <c r="AM3174">
        <v>81.376830056695894</v>
      </c>
      <c r="AN3174">
        <v>1.00000002741894</v>
      </c>
    </row>
    <row r="3175" spans="1:40" x14ac:dyDescent="0.25">
      <c r="A3175" t="str">
        <f>"20190303170829879"</f>
        <v>20190303170829879</v>
      </c>
      <c r="B3175" t="str">
        <f>"1551604109866544"</f>
        <v>1551604109866544</v>
      </c>
      <c r="C3175" t="s">
        <v>40</v>
      </c>
      <c r="D3175">
        <v>4.8436700000000004</v>
      </c>
      <c r="E3175">
        <v>0.57709290000000002</v>
      </c>
      <c r="F3175" t="s">
        <v>58</v>
      </c>
      <c r="G3175">
        <v>-200.72059999999999</v>
      </c>
      <c r="H3175" s="1">
        <v>-1.083901E-5</v>
      </c>
      <c r="I3175">
        <v>145.29990000000001</v>
      </c>
      <c r="J3175">
        <v>-191.3004</v>
      </c>
      <c r="K3175">
        <v>1.1208100000000001</v>
      </c>
      <c r="L3175">
        <v>169.36920000000001</v>
      </c>
      <c r="M3175">
        <v>-4.2897490000000003E-2</v>
      </c>
      <c r="N3175">
        <v>-1.372836E-2</v>
      </c>
      <c r="O3175">
        <v>-0.99898529999999996</v>
      </c>
      <c r="P3175">
        <v>-0.18977440000000001</v>
      </c>
      <c r="Q3175">
        <v>0.19129189999999999</v>
      </c>
      <c r="R3175">
        <v>-0.96301289999999995</v>
      </c>
      <c r="S3175">
        <v>-1.1337740000000001</v>
      </c>
      <c r="T3175">
        <v>-0.13475100000000001</v>
      </c>
      <c r="U3175">
        <v>-2.9202729999999999</v>
      </c>
      <c r="V3175">
        <v>0.14856420000000001</v>
      </c>
      <c r="W3175">
        <v>0.20439180000000001</v>
      </c>
      <c r="X3175">
        <v>0.96754980000000002</v>
      </c>
      <c r="Y3175">
        <v>0.32131729999999997</v>
      </c>
      <c r="Z3175">
        <v>2.963089E-2</v>
      </c>
      <c r="AA3175">
        <v>0.94650789999999996</v>
      </c>
      <c r="AB3175">
        <v>23</v>
      </c>
      <c r="AC3175">
        <v>-9.4201999999999906</v>
      </c>
      <c r="AD3175">
        <v>-1.1208208390100001</v>
      </c>
      <c r="AE3175">
        <v>-24.069299999999998</v>
      </c>
      <c r="AF3175">
        <v>8.3631910398000908</v>
      </c>
      <c r="AG3175">
        <v>-1.1208208390100001</v>
      </c>
      <c r="AH3175">
        <v>24.405388675768101</v>
      </c>
      <c r="AI3175">
        <v>92.487655636811695</v>
      </c>
      <c r="AJ3175">
        <v>71.0845379273822</v>
      </c>
      <c r="AK3175">
        <v>25.822900691763099</v>
      </c>
      <c r="AL3175">
        <v>78.206101747386001</v>
      </c>
      <c r="AM3175">
        <v>81.270592221548199</v>
      </c>
      <c r="AN3175">
        <v>0.99999997245445904</v>
      </c>
    </row>
    <row r="3176" spans="1:40" x14ac:dyDescent="0.25">
      <c r="A3176" t="str">
        <f>"20190303170829899"</f>
        <v>20190303170829899</v>
      </c>
      <c r="B3176" t="str">
        <f>"1551604109886065"</f>
        <v>1551604109886065</v>
      </c>
      <c r="C3176" t="s">
        <v>40</v>
      </c>
      <c r="D3176">
        <v>4.8665539999999998</v>
      </c>
      <c r="E3176">
        <v>0.57692189999999999</v>
      </c>
      <c r="F3176" t="s">
        <v>58</v>
      </c>
      <c r="G3176">
        <v>-200.9691</v>
      </c>
      <c r="H3176" s="1">
        <v>-1.0649650000000001E-5</v>
      </c>
      <c r="I3176">
        <v>145.03389999999999</v>
      </c>
      <c r="J3176">
        <v>-191.31039999999999</v>
      </c>
      <c r="K3176">
        <v>1.1208070000000001</v>
      </c>
      <c r="L3176">
        <v>169.1574</v>
      </c>
      <c r="M3176">
        <v>-4.3703810000000003E-2</v>
      </c>
      <c r="N3176">
        <v>-1.3726260000000001E-2</v>
      </c>
      <c r="O3176">
        <v>-0.99895049999999996</v>
      </c>
      <c r="P3176">
        <v>-0.1922585</v>
      </c>
      <c r="Q3176">
        <v>0.19123100000000001</v>
      </c>
      <c r="R3176">
        <v>-0.9625321</v>
      </c>
      <c r="S3176">
        <v>-1.1576690000000001</v>
      </c>
      <c r="T3176">
        <v>-0.13420000000000001</v>
      </c>
      <c r="U3176">
        <v>-2.9137569999999999</v>
      </c>
      <c r="V3176">
        <v>0.15028349999999999</v>
      </c>
      <c r="W3176">
        <v>0.2043227</v>
      </c>
      <c r="X3176">
        <v>0.96729889999999996</v>
      </c>
      <c r="Y3176">
        <v>0.32798159999999998</v>
      </c>
      <c r="Z3176">
        <v>2.943523E-2</v>
      </c>
      <c r="AA3176">
        <v>0.94422539999999999</v>
      </c>
      <c r="AB3176">
        <v>23</v>
      </c>
      <c r="AC3176">
        <v>-9.6587000000000103</v>
      </c>
      <c r="AD3176">
        <v>-1.12081764965</v>
      </c>
      <c r="AE3176">
        <v>-24.1235</v>
      </c>
      <c r="AF3176">
        <v>8.5791208305775299</v>
      </c>
      <c r="AG3176">
        <v>-1.12081764965</v>
      </c>
      <c r="AH3176">
        <v>24.477069951090201</v>
      </c>
      <c r="AI3176">
        <v>92.4743871082364</v>
      </c>
      <c r="AJ3176">
        <v>70.684628437453796</v>
      </c>
      <c r="AK3176">
        <v>25.961211447464802</v>
      </c>
      <c r="AL3176">
        <v>78.210146915829498</v>
      </c>
      <c r="AM3176">
        <v>81.168897512436601</v>
      </c>
      <c r="AN3176">
        <v>1.00000002902437</v>
      </c>
    </row>
    <row r="3177" spans="1:40" x14ac:dyDescent="0.25">
      <c r="A3177" t="str">
        <f>"20190303170829923"</f>
        <v>20190303170829923</v>
      </c>
      <c r="B3177" t="str">
        <f>"1551604109916322"</f>
        <v>1551604109916322</v>
      </c>
      <c r="C3177" t="s">
        <v>40</v>
      </c>
      <c r="D3177">
        <v>4.8790399999999998</v>
      </c>
      <c r="E3177">
        <v>0.57747109999999902</v>
      </c>
      <c r="F3177" t="s">
        <v>58</v>
      </c>
      <c r="G3177">
        <v>-200.672</v>
      </c>
      <c r="H3177" s="1">
        <v>-1.0984569999999999E-5</v>
      </c>
      <c r="I3177">
        <v>145.71680000000001</v>
      </c>
      <c r="J3177">
        <v>-191.32210000000001</v>
      </c>
      <c r="K3177">
        <v>1.120797</v>
      </c>
      <c r="L3177">
        <v>168.9162</v>
      </c>
      <c r="M3177">
        <v>-4.4630040000000003E-2</v>
      </c>
      <c r="N3177">
        <v>-1.372396E-2</v>
      </c>
      <c r="O3177">
        <v>-0.99890950000000001</v>
      </c>
      <c r="P3177">
        <v>-0.1935095</v>
      </c>
      <c r="Q3177">
        <v>0.1906447</v>
      </c>
      <c r="R3177">
        <v>-0.96239770000000002</v>
      </c>
      <c r="S3177">
        <v>-1.163025</v>
      </c>
      <c r="T3177">
        <v>-0.13924429999999999</v>
      </c>
      <c r="U3177">
        <v>-2.91214</v>
      </c>
      <c r="V3177">
        <v>0.1506402</v>
      </c>
      <c r="W3177">
        <v>0.20373359999999999</v>
      </c>
      <c r="X3177">
        <v>0.96736759999999999</v>
      </c>
      <c r="Y3177">
        <v>0.32876240000000001</v>
      </c>
      <c r="Z3177">
        <v>3.1055079999999999E-2</v>
      </c>
      <c r="AA3177">
        <v>0.94390200000000002</v>
      </c>
      <c r="AB3177">
        <v>23</v>
      </c>
      <c r="AC3177">
        <v>-9.3498999999999892</v>
      </c>
      <c r="AD3177">
        <v>-1.1208079845700001</v>
      </c>
      <c r="AE3177">
        <v>-23.199400000000001</v>
      </c>
      <c r="AF3177">
        <v>8.2884519611986391</v>
      </c>
      <c r="AG3177">
        <v>-1.1208079845700001</v>
      </c>
      <c r="AH3177">
        <v>23.546326257460102</v>
      </c>
      <c r="AI3177">
        <v>92.570831761861001</v>
      </c>
      <c r="AJ3177">
        <v>70.607617299175004</v>
      </c>
      <c r="AK3177">
        <v>24.987679497586999</v>
      </c>
      <c r="AL3177">
        <v>78.244624302913493</v>
      </c>
      <c r="AM3177">
        <v>81.148886992309599</v>
      </c>
      <c r="AN3177">
        <v>0.99999996157737903</v>
      </c>
    </row>
    <row r="3178" spans="1:40" x14ac:dyDescent="0.25">
      <c r="A3178" t="str">
        <f>"20190303170829945"</f>
        <v>20190303170829945</v>
      </c>
      <c r="B3178" t="str">
        <f>"1551604109935841"</f>
        <v>1551604109935841</v>
      </c>
      <c r="C3178" t="s">
        <v>40</v>
      </c>
      <c r="D3178">
        <v>4.9525649999999999</v>
      </c>
      <c r="E3178">
        <v>0.57768589999999997</v>
      </c>
      <c r="F3178" t="s">
        <v>58</v>
      </c>
      <c r="G3178">
        <v>-200.65989999999999</v>
      </c>
      <c r="H3178" s="1">
        <v>-1.0996040000000001E-5</v>
      </c>
      <c r="I3178">
        <v>145.73740000000001</v>
      </c>
      <c r="J3178">
        <v>-191.33359999999999</v>
      </c>
      <c r="K3178">
        <v>1.1207910000000001</v>
      </c>
      <c r="L3178">
        <v>168.6824</v>
      </c>
      <c r="M3178">
        <v>-4.55447E-2</v>
      </c>
      <c r="N3178">
        <v>-1.372176E-2</v>
      </c>
      <c r="O3178">
        <v>-0.99886819999999998</v>
      </c>
      <c r="P3178">
        <v>-0.19431200000000001</v>
      </c>
      <c r="Q3178">
        <v>0.19007370000000001</v>
      </c>
      <c r="R3178">
        <v>-0.96234889999999995</v>
      </c>
      <c r="S3178">
        <v>-1.1720729999999999</v>
      </c>
      <c r="T3178">
        <v>-0.1406829</v>
      </c>
      <c r="U3178">
        <v>-2.9093930000000001</v>
      </c>
      <c r="V3178">
        <v>0.1505591</v>
      </c>
      <c r="W3178">
        <v>0.20315929999999999</v>
      </c>
      <c r="X3178">
        <v>0.96750100000000006</v>
      </c>
      <c r="Y3178">
        <v>0.33072509999999999</v>
      </c>
      <c r="Z3178">
        <v>3.1516780000000001E-2</v>
      </c>
      <c r="AA3178">
        <v>0.9432007</v>
      </c>
      <c r="AB3178">
        <v>23</v>
      </c>
      <c r="AC3178">
        <v>-9.3262999999999998</v>
      </c>
      <c r="AD3178">
        <v>-1.12080199604</v>
      </c>
      <c r="AE3178">
        <v>-22.945</v>
      </c>
      <c r="AF3178">
        <v>8.2545955729454992</v>
      </c>
      <c r="AG3178">
        <v>-1.12080199604</v>
      </c>
      <c r="AH3178">
        <v>23.2982799901277</v>
      </c>
      <c r="AI3178">
        <v>92.596282472668193</v>
      </c>
      <c r="AJ3178">
        <v>70.490731072002802</v>
      </c>
      <c r="AK3178">
        <v>24.742764511784099</v>
      </c>
      <c r="AL3178">
        <v>78.278232176165901</v>
      </c>
      <c r="AM3178">
        <v>81.154777229819004</v>
      </c>
      <c r="AN3178">
        <v>0.99999996438514904</v>
      </c>
    </row>
    <row r="3179" spans="1:40" x14ac:dyDescent="0.25">
      <c r="A3179" t="str">
        <f>"20190303170829967"</f>
        <v>20190303170829967</v>
      </c>
      <c r="B3179" t="str">
        <f>"1551604109956337"</f>
        <v>1551604109956337</v>
      </c>
      <c r="C3179" t="s">
        <v>40</v>
      </c>
      <c r="D3179">
        <v>4.9353999999999996</v>
      </c>
      <c r="E3179">
        <v>0.57789109999999999</v>
      </c>
      <c r="F3179" t="s">
        <v>58</v>
      </c>
      <c r="G3179">
        <v>-200.7176</v>
      </c>
      <c r="H3179" s="1">
        <v>-1.090493E-5</v>
      </c>
      <c r="I3179">
        <v>145.5171</v>
      </c>
      <c r="J3179">
        <v>-191.34450000000001</v>
      </c>
      <c r="K3179">
        <v>1.120776</v>
      </c>
      <c r="L3179">
        <v>168.46510000000001</v>
      </c>
      <c r="M3179">
        <v>-4.642073E-2</v>
      </c>
      <c r="N3179">
        <v>-1.371971E-2</v>
      </c>
      <c r="O3179">
        <v>-0.99882789999999999</v>
      </c>
      <c r="P3179">
        <v>-0.1952797</v>
      </c>
      <c r="Q3179">
        <v>0.19013469999999999</v>
      </c>
      <c r="R3179">
        <v>-0.96214089999999997</v>
      </c>
      <c r="S3179">
        <v>-1.1777340000000001</v>
      </c>
      <c r="T3179">
        <v>-0.14066609999999999</v>
      </c>
      <c r="U3179">
        <v>-2.9073639999999998</v>
      </c>
      <c r="V3179">
        <v>0.1506922</v>
      </c>
      <c r="W3179">
        <v>0.20321210000000001</v>
      </c>
      <c r="X3179">
        <v>0.96746920000000003</v>
      </c>
      <c r="Y3179">
        <v>0.3317039</v>
      </c>
      <c r="Z3179">
        <v>3.1518919999999999E-2</v>
      </c>
      <c r="AA3179">
        <v>0.9428569</v>
      </c>
      <c r="AB3179">
        <v>23</v>
      </c>
      <c r="AC3179">
        <v>-9.3730999999999902</v>
      </c>
      <c r="AD3179">
        <v>-1.1207869049299899</v>
      </c>
      <c r="AE3179">
        <v>-22.948</v>
      </c>
      <c r="AF3179">
        <v>8.2807022623567104</v>
      </c>
      <c r="AG3179">
        <v>-1.1207869049299899</v>
      </c>
      <c r="AH3179">
        <v>23.310749325697799</v>
      </c>
      <c r="AI3179">
        <v>92.594101067087095</v>
      </c>
      <c r="AJ3179">
        <v>70.443381300000098</v>
      </c>
      <c r="AK3179">
        <v>24.763223283118499</v>
      </c>
      <c r="AL3179">
        <v>78.275142633418795</v>
      </c>
      <c r="AM3179">
        <v>81.146795145290895</v>
      </c>
      <c r="AN3179">
        <v>0.99999997483794401</v>
      </c>
    </row>
    <row r="3180" spans="1:40" x14ac:dyDescent="0.25">
      <c r="A3180" t="str">
        <f>"20190303170829990"</f>
        <v>20190303170829990</v>
      </c>
      <c r="B3180" t="str">
        <f>"1551604109975857"</f>
        <v>1551604109975857</v>
      </c>
      <c r="C3180" t="s">
        <v>40</v>
      </c>
      <c r="D3180">
        <v>4.949846</v>
      </c>
      <c r="E3180">
        <v>0.57811409999999996</v>
      </c>
      <c r="F3180" t="s">
        <v>58</v>
      </c>
      <c r="G3180">
        <v>-200.80799999999999</v>
      </c>
      <c r="H3180" s="1">
        <v>-1.0773329999999999E-5</v>
      </c>
      <c r="I3180">
        <v>145.20949999999999</v>
      </c>
      <c r="J3180">
        <v>-191.35650000000001</v>
      </c>
      <c r="K3180">
        <v>1.1207579999999999</v>
      </c>
      <c r="L3180">
        <v>168.23240000000001</v>
      </c>
      <c r="M3180">
        <v>-4.740101E-2</v>
      </c>
      <c r="N3180">
        <v>-1.371765E-2</v>
      </c>
      <c r="O3180">
        <v>-0.9987819</v>
      </c>
      <c r="P3180">
        <v>-0.1967621</v>
      </c>
      <c r="Q3180">
        <v>0.19104370000000001</v>
      </c>
      <c r="R3180">
        <v>-0.96165849999999997</v>
      </c>
      <c r="S3180">
        <v>-1.182434</v>
      </c>
      <c r="T3180">
        <v>-0.14003879999999999</v>
      </c>
      <c r="U3180">
        <v>-2.905716</v>
      </c>
      <c r="V3180">
        <v>0.15125820000000001</v>
      </c>
      <c r="W3180">
        <v>0.2041047</v>
      </c>
      <c r="X3180">
        <v>0.96719290000000002</v>
      </c>
      <c r="Y3180">
        <v>0.33227570000000001</v>
      </c>
      <c r="Z3180">
        <v>3.1325859999999997E-2</v>
      </c>
      <c r="AA3180">
        <v>0.94266190000000005</v>
      </c>
      <c r="AB3180">
        <v>23</v>
      </c>
      <c r="AC3180">
        <v>-9.4514999999999798</v>
      </c>
      <c r="AD3180">
        <v>-1.12076877332999</v>
      </c>
      <c r="AE3180">
        <v>-23.0229</v>
      </c>
      <c r="AF3180">
        <v>8.3325641397497296</v>
      </c>
      <c r="AG3180">
        <v>-1.12076877332999</v>
      </c>
      <c r="AH3180">
        <v>23.397617996937502</v>
      </c>
      <c r="AI3180">
        <v>92.583709832622901</v>
      </c>
      <c r="AJ3180">
        <v>70.397724362312303</v>
      </c>
      <c r="AK3180">
        <v>24.862346544864302</v>
      </c>
      <c r="AL3180">
        <v>78.222905203293493</v>
      </c>
      <c r="AM3180">
        <v>81.111574246088793</v>
      </c>
      <c r="AN3180">
        <v>0.99999993871986803</v>
      </c>
    </row>
    <row r="3181" spans="1:40" x14ac:dyDescent="0.25">
      <c r="A3181" t="str">
        <f>"20190303170830011"</f>
        <v>20190303170830011</v>
      </c>
      <c r="B3181" t="str">
        <f>"1551604110006113"</f>
        <v>1551604110006113</v>
      </c>
      <c r="C3181" t="s">
        <v>40</v>
      </c>
      <c r="D3181">
        <v>4.9568430000000001</v>
      </c>
      <c r="E3181">
        <v>0.57817510000000005</v>
      </c>
      <c r="F3181" t="s">
        <v>58</v>
      </c>
      <c r="G3181">
        <v>-201.16249999999999</v>
      </c>
      <c r="H3181" s="1">
        <v>-1.0346709999999999E-5</v>
      </c>
      <c r="I3181">
        <v>144.3039</v>
      </c>
      <c r="J3181">
        <v>-191.3681</v>
      </c>
      <c r="K3181">
        <v>1.1207389999999999</v>
      </c>
      <c r="L3181">
        <v>168.01179999999999</v>
      </c>
      <c r="M3181">
        <v>-4.8383839999999997E-2</v>
      </c>
      <c r="N3181">
        <v>-1.371585E-2</v>
      </c>
      <c r="O3181">
        <v>-0.99873480000000003</v>
      </c>
      <c r="P3181">
        <v>-0.19857849999999999</v>
      </c>
      <c r="Q3181">
        <v>0.19272600000000001</v>
      </c>
      <c r="R3181">
        <v>-0.96094939999999995</v>
      </c>
      <c r="S3181">
        <v>-1.189743</v>
      </c>
      <c r="T3181">
        <v>-0.1359802</v>
      </c>
      <c r="U3181">
        <v>-2.9031980000000002</v>
      </c>
      <c r="V3181">
        <v>0.15217229999999901</v>
      </c>
      <c r="W3181">
        <v>0.20576439999999999</v>
      </c>
      <c r="X3181">
        <v>0.96669780000000005</v>
      </c>
      <c r="Y3181">
        <v>0.33368370000000003</v>
      </c>
      <c r="Z3181">
        <v>3.0032260000000002E-2</v>
      </c>
      <c r="AA3181">
        <v>0.94220660000000001</v>
      </c>
      <c r="AB3181">
        <v>23</v>
      </c>
      <c r="AC3181">
        <v>-9.7943999999999907</v>
      </c>
      <c r="AD3181">
        <v>-1.12074934671</v>
      </c>
      <c r="AE3181">
        <v>-23.707899999999899</v>
      </c>
      <c r="AF3181">
        <v>8.6192860477914692</v>
      </c>
      <c r="AG3181">
        <v>-1.12074934671</v>
      </c>
      <c r="AH3181">
        <v>24.108042614671</v>
      </c>
      <c r="AI3181">
        <v>92.506518875339495</v>
      </c>
      <c r="AJ3181">
        <v>70.326637492150198</v>
      </c>
      <c r="AK3181">
        <v>25.627053864668</v>
      </c>
      <c r="AL3181">
        <v>78.1257502526107</v>
      </c>
      <c r="AM3181">
        <v>81.054218773284703</v>
      </c>
      <c r="AN3181">
        <v>1.00000001685974</v>
      </c>
    </row>
    <row r="3182" spans="1:40" x14ac:dyDescent="0.25">
      <c r="A3182" t="str">
        <f>"20190303170830035"</f>
        <v>20190303170830035</v>
      </c>
      <c r="B3182" t="str">
        <f>"1551604110026583"</f>
        <v>1551604110026583</v>
      </c>
      <c r="C3182" t="s">
        <v>40</v>
      </c>
      <c r="D3182">
        <v>4.9577119999999999</v>
      </c>
      <c r="E3182">
        <v>0.57829010000000003</v>
      </c>
      <c r="F3182" t="s">
        <v>58</v>
      </c>
      <c r="G3182">
        <v>-201.60130000000001</v>
      </c>
      <c r="H3182" s="1">
        <v>-9.8260860000000007E-6</v>
      </c>
      <c r="I3182">
        <v>143.208</v>
      </c>
      <c r="J3182">
        <v>-191.381</v>
      </c>
      <c r="K3182">
        <v>1.1207009999999999</v>
      </c>
      <c r="L3182">
        <v>167.77209999999999</v>
      </c>
      <c r="M3182">
        <v>-4.9506550000000003E-2</v>
      </c>
      <c r="N3182">
        <v>-1.371412E-2</v>
      </c>
      <c r="O3182">
        <v>-0.99867980000000001</v>
      </c>
      <c r="P3182">
        <v>-0.20049980000000001</v>
      </c>
      <c r="Q3182">
        <v>0.19330069999999999</v>
      </c>
      <c r="R3182">
        <v>-0.96043469999999997</v>
      </c>
      <c r="S3182">
        <v>-1.1968080000000001</v>
      </c>
      <c r="T3182">
        <v>-0.13107489999999999</v>
      </c>
      <c r="U3182">
        <v>-2.9008790000000002</v>
      </c>
      <c r="V3182">
        <v>0.15304719999999999</v>
      </c>
      <c r="W3182">
        <v>0.20631820000000001</v>
      </c>
      <c r="X3182">
        <v>0.96644160000000001</v>
      </c>
      <c r="Y3182">
        <v>0.33487109999999998</v>
      </c>
      <c r="Z3182">
        <v>2.8466519999999999E-2</v>
      </c>
      <c r="AA3182">
        <v>0.9418339</v>
      </c>
      <c r="AB3182">
        <v>23</v>
      </c>
      <c r="AC3182">
        <v>-10.2203</v>
      </c>
      <c r="AD3182">
        <v>-1.1207108260859999</v>
      </c>
      <c r="AE3182">
        <v>-24.5641</v>
      </c>
      <c r="AF3182">
        <v>8.9756412949220508</v>
      </c>
      <c r="AG3182">
        <v>-1.1207108260859999</v>
      </c>
      <c r="AH3182">
        <v>24.995641395435602</v>
      </c>
      <c r="AI3182">
        <v>92.416340097909995</v>
      </c>
      <c r="AJ3182">
        <v>70.247382686397202</v>
      </c>
      <c r="AK3182">
        <v>26.5819528661841</v>
      </c>
      <c r="AL3182">
        <v>78.093323955974299</v>
      </c>
      <c r="AM3182">
        <v>81.0012788361567</v>
      </c>
      <c r="AN3182">
        <v>1.0000000056448199</v>
      </c>
    </row>
    <row r="3183" spans="1:40" x14ac:dyDescent="0.25">
      <c r="A3183" t="str">
        <f>"20190303170830058"</f>
        <v>20190303170830058</v>
      </c>
      <c r="B3183" t="str">
        <f>"1551604110046104"</f>
        <v>1551604110046104</v>
      </c>
      <c r="C3183" t="s">
        <v>40</v>
      </c>
      <c r="D3183">
        <v>4.9295200000000001</v>
      </c>
      <c r="E3183">
        <v>0.57833710000000005</v>
      </c>
      <c r="F3183" t="s">
        <v>58</v>
      </c>
      <c r="G3183">
        <v>-201.8143</v>
      </c>
      <c r="H3183" s="1">
        <v>-9.5874790000000002E-6</v>
      </c>
      <c r="I3183">
        <v>142.6465</v>
      </c>
      <c r="J3183">
        <v>-191.39400000000001</v>
      </c>
      <c r="K3183">
        <v>1.1206609999999999</v>
      </c>
      <c r="L3183">
        <v>167.53809999999999</v>
      </c>
      <c r="M3183">
        <v>-5.0664880000000002E-2</v>
      </c>
      <c r="N3183">
        <v>-1.3712469999999999E-2</v>
      </c>
      <c r="O3183">
        <v>-0.99862150000000005</v>
      </c>
      <c r="P3183">
        <v>-0.2030198</v>
      </c>
      <c r="Q3183">
        <v>0.19191030000000001</v>
      </c>
      <c r="R3183">
        <v>-0.96018400000000004</v>
      </c>
      <c r="S3183">
        <v>-1.2035370000000001</v>
      </c>
      <c r="T3183">
        <v>-0.1292797</v>
      </c>
      <c r="U3183">
        <v>-2.898361</v>
      </c>
      <c r="V3183">
        <v>0.1544692</v>
      </c>
      <c r="W3183">
        <v>0.20491029999999999</v>
      </c>
      <c r="X3183">
        <v>0.96651489999999995</v>
      </c>
      <c r="Y3183">
        <v>0.33594010000000002</v>
      </c>
      <c r="Z3183">
        <v>2.7900830000000001E-2</v>
      </c>
      <c r="AA3183">
        <v>0.94147000000000003</v>
      </c>
      <c r="AB3183">
        <v>23</v>
      </c>
      <c r="AC3183">
        <v>-10.4202999999999</v>
      </c>
      <c r="AD3183">
        <v>-1.1206705874789999</v>
      </c>
      <c r="AE3183">
        <v>-24.891599999999901</v>
      </c>
      <c r="AF3183">
        <v>9.1299195732064593</v>
      </c>
      <c r="AG3183">
        <v>-1.1206705874789999</v>
      </c>
      <c r="AH3183">
        <v>25.3439075413369</v>
      </c>
      <c r="AI3183">
        <v>92.382214931508003</v>
      </c>
      <c r="AJ3183">
        <v>70.188890579590904</v>
      </c>
      <c r="AK3183">
        <v>26.961546384484201</v>
      </c>
      <c r="AL3183">
        <v>78.175751952457802</v>
      </c>
      <c r="AM3183">
        <v>80.919733583761399</v>
      </c>
      <c r="AN3183">
        <v>1.00000000835836</v>
      </c>
    </row>
    <row r="3184" spans="1:40" x14ac:dyDescent="0.25">
      <c r="A3184" t="str">
        <f>"20190303170830080"</f>
        <v>20190303170830080</v>
      </c>
      <c r="B3184" t="str">
        <f>"1551604110066599"</f>
        <v>1551604110066599</v>
      </c>
      <c r="C3184" t="s">
        <v>40</v>
      </c>
      <c r="D3184">
        <v>4.9768280000000003</v>
      </c>
      <c r="E3184">
        <v>0.57838299999999998</v>
      </c>
      <c r="F3184" t="s">
        <v>58</v>
      </c>
      <c r="G3184">
        <v>-201.53319999999999</v>
      </c>
      <c r="H3184" s="1">
        <v>-9.8888469999999995E-6</v>
      </c>
      <c r="I3184">
        <v>143.31739999999999</v>
      </c>
      <c r="J3184">
        <v>-191.4068</v>
      </c>
      <c r="K3184">
        <v>1.1206149999999999</v>
      </c>
      <c r="L3184">
        <v>167.31370000000001</v>
      </c>
      <c r="M3184">
        <v>-5.1847549999999999E-2</v>
      </c>
      <c r="N3184">
        <v>-1.3710959999999999E-2</v>
      </c>
      <c r="O3184">
        <v>-0.99856109999999998</v>
      </c>
      <c r="P3184">
        <v>-0.2054339</v>
      </c>
      <c r="Q3184">
        <v>0.18991440000000001</v>
      </c>
      <c r="R3184">
        <v>-0.96006769999999997</v>
      </c>
      <c r="S3184">
        <v>-1.2118679999999999</v>
      </c>
      <c r="T3184">
        <v>-0.13394619999999999</v>
      </c>
      <c r="U3184">
        <v>-2.894943</v>
      </c>
      <c r="V3184">
        <v>0.15575420000000001</v>
      </c>
      <c r="W3184">
        <v>0.20289879999999999</v>
      </c>
      <c r="X3184">
        <v>0.96673299999999995</v>
      </c>
      <c r="Y3184">
        <v>0.3375051</v>
      </c>
      <c r="Z3184">
        <v>2.9408790000000001E-2</v>
      </c>
      <c r="AA3184">
        <v>0.94086420000000004</v>
      </c>
      <c r="AB3184">
        <v>23</v>
      </c>
      <c r="AC3184">
        <v>-10.126399999999901</v>
      </c>
      <c r="AD3184">
        <v>-1.1206248888469901</v>
      </c>
      <c r="AE3184">
        <v>-23.996300000000002</v>
      </c>
      <c r="AF3184">
        <v>8.8521243313786293</v>
      </c>
      <c r="AG3184">
        <v>-1.1206248888469901</v>
      </c>
      <c r="AH3184">
        <v>24.4438467159274</v>
      </c>
      <c r="AI3184">
        <v>92.4682275503082</v>
      </c>
      <c r="AJ3184">
        <v>70.092590772451601</v>
      </c>
      <c r="AK3184">
        <v>26.021482424939698</v>
      </c>
      <c r="AL3184">
        <v>78.293475544638696</v>
      </c>
      <c r="AM3184">
        <v>80.847500805052306</v>
      </c>
      <c r="AN3184">
        <v>0.99999999357403901</v>
      </c>
    </row>
    <row r="3185" spans="1:40" x14ac:dyDescent="0.25">
      <c r="A3185" t="str">
        <f>"20190303170830103"</f>
        <v>20190303170830103</v>
      </c>
      <c r="B3185" t="str">
        <f>"1551604110095879"</f>
        <v>1551604110095879</v>
      </c>
      <c r="C3185" t="s">
        <v>40</v>
      </c>
      <c r="D3185">
        <v>4.9768689999999998</v>
      </c>
      <c r="E3185">
        <v>0.58061960000000001</v>
      </c>
      <c r="F3185" t="s">
        <v>58</v>
      </c>
      <c r="G3185">
        <v>-201.13640000000001</v>
      </c>
      <c r="H3185" s="1">
        <v>-1.033781E-5</v>
      </c>
      <c r="I3185">
        <v>144.23500000000001</v>
      </c>
      <c r="J3185">
        <v>-191.4204</v>
      </c>
      <c r="K3185">
        <v>1.120557</v>
      </c>
      <c r="L3185">
        <v>167.08070000000001</v>
      </c>
      <c r="M3185">
        <v>-5.3160579999999999E-2</v>
      </c>
      <c r="N3185">
        <v>-1.3709549999999999E-2</v>
      </c>
      <c r="O3185">
        <v>-0.99849209999999999</v>
      </c>
      <c r="P3185">
        <v>-0.20818130000000001</v>
      </c>
      <c r="Q3185">
        <v>0.18976380000000001</v>
      </c>
      <c r="R3185">
        <v>-0.95950559999999996</v>
      </c>
      <c r="S3185">
        <v>-1.2190859999999999</v>
      </c>
      <c r="T3185">
        <v>-0.14041039999999999</v>
      </c>
      <c r="U3185">
        <v>-2.8916780000000002</v>
      </c>
      <c r="V3185">
        <v>0.15727650000000001</v>
      </c>
      <c r="W3185">
        <v>0.20272180000000001</v>
      </c>
      <c r="X3185">
        <v>0.96652360000000004</v>
      </c>
      <c r="Y3185">
        <v>0.33861160000000001</v>
      </c>
      <c r="Z3185">
        <v>3.1497070000000002E-2</v>
      </c>
      <c r="AA3185">
        <v>0.94039890000000004</v>
      </c>
      <c r="AB3185">
        <v>23</v>
      </c>
      <c r="AC3185">
        <v>-9.7159999999999993</v>
      </c>
      <c r="AD3185">
        <v>-1.1205673378100001</v>
      </c>
      <c r="AE3185">
        <v>-22.845699999999901</v>
      </c>
      <c r="AF3185">
        <v>8.4703971102734599</v>
      </c>
      <c r="AG3185">
        <v>-1.1205673378100001</v>
      </c>
      <c r="AH3185">
        <v>23.282511653275002</v>
      </c>
      <c r="AI3185">
        <v>92.589662361332302</v>
      </c>
      <c r="AJ3185">
        <v>70.008136460767602</v>
      </c>
      <c r="AK3185">
        <v>24.800779166171001</v>
      </c>
      <c r="AL3185">
        <v>78.303831581250407</v>
      </c>
      <c r="AM3185">
        <v>80.757615113987896</v>
      </c>
      <c r="AN3185">
        <v>0.99999994750222299</v>
      </c>
    </row>
    <row r="3186" spans="1:40" x14ac:dyDescent="0.25">
      <c r="A3186" t="str">
        <f>"20190303170830124"</f>
        <v>20190303170830124</v>
      </c>
      <c r="B3186" t="str">
        <f>"1551604110116375"</f>
        <v>1551604110116375</v>
      </c>
      <c r="C3186" t="s">
        <v>40</v>
      </c>
      <c r="D3186">
        <v>4.9462510000000002</v>
      </c>
      <c r="E3186">
        <v>0.58077449999999997</v>
      </c>
      <c r="F3186" t="s">
        <v>58</v>
      </c>
      <c r="G3186">
        <v>-200.30789999999999</v>
      </c>
      <c r="H3186" s="1">
        <v>-1.136644E-5</v>
      </c>
      <c r="I3186">
        <v>146.45769999999999</v>
      </c>
      <c r="J3186">
        <v>-191.4331</v>
      </c>
      <c r="K3186">
        <v>1.1205050000000001</v>
      </c>
      <c r="L3186">
        <v>166.86879999999999</v>
      </c>
      <c r="M3186">
        <v>-5.4438420000000001E-2</v>
      </c>
      <c r="N3186">
        <v>-1.370861E-2</v>
      </c>
      <c r="O3186">
        <v>-0.99842330000000001</v>
      </c>
      <c r="P3186">
        <v>-0.21107699999999999</v>
      </c>
      <c r="Q3186">
        <v>0.1899825</v>
      </c>
      <c r="R3186">
        <v>-0.9588295</v>
      </c>
      <c r="S3186">
        <v>-1.2444459999999999</v>
      </c>
      <c r="T3186">
        <v>-0.15690390000000001</v>
      </c>
      <c r="U3186">
        <v>-2.8876650000000001</v>
      </c>
      <c r="V3186">
        <v>0.158991299999999</v>
      </c>
      <c r="W3186">
        <v>0.20291100000000001</v>
      </c>
      <c r="X3186">
        <v>0.96620329999999999</v>
      </c>
      <c r="Y3186">
        <v>0.3447711</v>
      </c>
      <c r="Z3186">
        <v>3.6703930000000003E-2</v>
      </c>
      <c r="AA3186">
        <v>0.93796900000000005</v>
      </c>
      <c r="AB3186">
        <v>23</v>
      </c>
      <c r="AC3186">
        <v>-8.8747999999999898</v>
      </c>
      <c r="AD3186">
        <v>-1.12051636644</v>
      </c>
      <c r="AE3186">
        <v>-20.411100000000001</v>
      </c>
      <c r="AF3186">
        <v>7.73079106742638</v>
      </c>
      <c r="AG3186">
        <v>-1.12051636644</v>
      </c>
      <c r="AH3186">
        <v>20.811255333402901</v>
      </c>
      <c r="AI3186">
        <v>92.889380523665807</v>
      </c>
      <c r="AJ3186">
        <v>69.621396529421006</v>
      </c>
      <c r="AK3186">
        <v>22.229013383588299</v>
      </c>
      <c r="AL3186">
        <v>78.292761313840899</v>
      </c>
      <c r="AM3186">
        <v>80.655569421918301</v>
      </c>
      <c r="AN3186">
        <v>0.99999996216378895</v>
      </c>
    </row>
    <row r="3187" spans="1:40" x14ac:dyDescent="0.25">
      <c r="A3187" t="str">
        <f>"20190303170830147"</f>
        <v>20190303170830147</v>
      </c>
      <c r="B3187" t="str">
        <f>"1551604110135895"</f>
        <v>1551604110135895</v>
      </c>
      <c r="C3187" t="s">
        <v>40</v>
      </c>
      <c r="D3187">
        <v>4.938237</v>
      </c>
      <c r="E3187">
        <v>0.58064759999999904</v>
      </c>
      <c r="F3187" t="s">
        <v>58</v>
      </c>
      <c r="G3187">
        <v>-200.45429999999999</v>
      </c>
      <c r="H3187" s="1">
        <v>-1.119776E-5</v>
      </c>
      <c r="I3187">
        <v>146.10890000000001</v>
      </c>
      <c r="J3187">
        <v>-191.4477</v>
      </c>
      <c r="K3187">
        <v>1.120436</v>
      </c>
      <c r="L3187">
        <v>166.6336</v>
      </c>
      <c r="M3187">
        <v>-5.5954179999999999E-2</v>
      </c>
      <c r="N3187">
        <v>-1.370799E-2</v>
      </c>
      <c r="O3187">
        <v>-0.99833939999999999</v>
      </c>
      <c r="P3187">
        <v>-0.21464040000000001</v>
      </c>
      <c r="Q3187">
        <v>0.19067290000000001</v>
      </c>
      <c r="R3187">
        <v>-0.95790090000000006</v>
      </c>
      <c r="S3187">
        <v>-1.2531589999999999</v>
      </c>
      <c r="T3187">
        <v>-0.1556543</v>
      </c>
      <c r="U3187">
        <v>-2.8838200000000001</v>
      </c>
      <c r="V3187">
        <v>0.16116549999999999</v>
      </c>
      <c r="W3187">
        <v>0.20356270000000001</v>
      </c>
      <c r="X3187">
        <v>0.96570590000000001</v>
      </c>
      <c r="Y3187">
        <v>0.34619240000000001</v>
      </c>
      <c r="Z3187">
        <v>3.6323010000000003E-2</v>
      </c>
      <c r="AA3187">
        <v>0.93746010000000002</v>
      </c>
      <c r="AB3187">
        <v>23</v>
      </c>
      <c r="AC3187">
        <v>-9.0065999999999899</v>
      </c>
      <c r="AD3187">
        <v>-1.1204471977599999</v>
      </c>
      <c r="AE3187">
        <v>-20.524699999999999</v>
      </c>
      <c r="AF3187">
        <v>7.8243842276587001</v>
      </c>
      <c r="AG3187">
        <v>-1.1204471977599999</v>
      </c>
      <c r="AH3187">
        <v>20.944205436530201</v>
      </c>
      <c r="AI3187">
        <v>92.868914871732201</v>
      </c>
      <c r="AJ3187">
        <v>69.515202245658102</v>
      </c>
      <c r="AK3187">
        <v>22.386070039928502</v>
      </c>
      <c r="AL3187">
        <v>78.254626058595704</v>
      </c>
      <c r="AM3187">
        <v>80.525294847836506</v>
      </c>
      <c r="AN3187">
        <v>0.99999998825817404</v>
      </c>
    </row>
    <row r="3188" spans="1:40" x14ac:dyDescent="0.25">
      <c r="A3188" t="str">
        <f>"20190303170830169"</f>
        <v>20190303170830169</v>
      </c>
      <c r="B3188" t="str">
        <f>"1551604110156391"</f>
        <v>1551604110156391</v>
      </c>
      <c r="C3188" t="s">
        <v>40</v>
      </c>
      <c r="D3188">
        <v>4.9606700000000004</v>
      </c>
      <c r="E3188">
        <v>0.58055819999999903</v>
      </c>
      <c r="F3188" t="s">
        <v>58</v>
      </c>
      <c r="G3188">
        <v>-200.65790000000001</v>
      </c>
      <c r="H3188" s="1">
        <v>-1.096232E-5</v>
      </c>
      <c r="I3188">
        <v>145.62100000000001</v>
      </c>
      <c r="J3188">
        <v>-191.46170000000001</v>
      </c>
      <c r="K3188">
        <v>1.12036</v>
      </c>
      <c r="L3188">
        <v>166.41399999999999</v>
      </c>
      <c r="M3188">
        <v>-5.7474539999999998E-2</v>
      </c>
      <c r="N3188">
        <v>-1.3707499999999999E-2</v>
      </c>
      <c r="O3188">
        <v>-0.99825299999999995</v>
      </c>
      <c r="P3188">
        <v>-0.21795809999999999</v>
      </c>
      <c r="Q3188">
        <v>0.1899286</v>
      </c>
      <c r="R3188">
        <v>-0.95729920000000002</v>
      </c>
      <c r="S3188">
        <v>-1.2621770000000001</v>
      </c>
      <c r="T3188">
        <v>-0.1535474</v>
      </c>
      <c r="U3188">
        <v>-2.8795929999999998</v>
      </c>
      <c r="V3188">
        <v>0.1630703</v>
      </c>
      <c r="W3188">
        <v>0.20278350000000001</v>
      </c>
      <c r="X3188">
        <v>0.96555009999999997</v>
      </c>
      <c r="Y3188">
        <v>0.347742</v>
      </c>
      <c r="Z3188">
        <v>3.5671000000000001E-2</v>
      </c>
      <c r="AA3188">
        <v>0.93691150000000001</v>
      </c>
      <c r="AB3188">
        <v>23</v>
      </c>
      <c r="AC3188">
        <v>-9.1961999999999993</v>
      </c>
      <c r="AD3188">
        <v>-1.12037096232</v>
      </c>
      <c r="AE3188">
        <v>-20.792999999999999</v>
      </c>
      <c r="AF3188">
        <v>7.9664704026801303</v>
      </c>
      <c r="AG3188">
        <v>-1.12037096232</v>
      </c>
      <c r="AH3188">
        <v>21.235652692342999</v>
      </c>
      <c r="AI3188">
        <v>92.827962857043602</v>
      </c>
      <c r="AJ3188">
        <v>69.436620710335106</v>
      </c>
      <c r="AK3188">
        <v>22.708430748068</v>
      </c>
      <c r="AL3188">
        <v>78.300222464732499</v>
      </c>
      <c r="AM3188">
        <v>80.413861973662605</v>
      </c>
      <c r="AN3188">
        <v>1.0000000331121699</v>
      </c>
    </row>
    <row r="3189" spans="1:40" x14ac:dyDescent="0.25">
      <c r="A3189" t="str">
        <f>"20190303170830193"</f>
        <v>20190303170830193</v>
      </c>
      <c r="B3189" t="str">
        <f>"1551604110186648"</f>
        <v>1551604110186648</v>
      </c>
      <c r="C3189" t="s">
        <v>40</v>
      </c>
      <c r="D3189">
        <v>4.9285699999999997</v>
      </c>
      <c r="E3189">
        <v>0.58044439999999997</v>
      </c>
      <c r="F3189" t="s">
        <v>58</v>
      </c>
      <c r="G3189">
        <v>-200.64160000000001</v>
      </c>
      <c r="H3189" s="1">
        <v>-1.0980209999999999E-5</v>
      </c>
      <c r="I3189">
        <v>145.65690000000001</v>
      </c>
      <c r="J3189">
        <v>-191.47730000000001</v>
      </c>
      <c r="K3189">
        <v>1.1202749999999999</v>
      </c>
      <c r="L3189">
        <v>166.18020000000001</v>
      </c>
      <c r="M3189">
        <v>-5.9226349999999997E-2</v>
      </c>
      <c r="N3189">
        <v>-1.370738E-2</v>
      </c>
      <c r="O3189">
        <v>-0.99815069999999995</v>
      </c>
      <c r="P3189">
        <v>-0.2214912</v>
      </c>
      <c r="Q3189">
        <v>0.1885551</v>
      </c>
      <c r="R3189">
        <v>-0.95675960000000004</v>
      </c>
      <c r="S3189">
        <v>-1.271515</v>
      </c>
      <c r="T3189">
        <v>-0.155183399999999</v>
      </c>
      <c r="U3189">
        <v>-2.875076</v>
      </c>
      <c r="V3189">
        <v>0.16496479999999999</v>
      </c>
      <c r="W3189">
        <v>0.20137360000000001</v>
      </c>
      <c r="X3189">
        <v>0.96552340000000003</v>
      </c>
      <c r="Y3189">
        <v>0.34917589999999998</v>
      </c>
      <c r="Z3189">
        <v>3.6219380000000002E-2</v>
      </c>
      <c r="AA3189">
        <v>0.93635699999999999</v>
      </c>
      <c r="AB3189">
        <v>23</v>
      </c>
      <c r="AC3189">
        <v>-9.1642999999999901</v>
      </c>
      <c r="AD3189">
        <v>-1.12028598020999</v>
      </c>
      <c r="AE3189">
        <v>-20.523299999999999</v>
      </c>
      <c r="AF3189">
        <v>7.9129176980695801</v>
      </c>
      <c r="AG3189">
        <v>-1.12028598020999</v>
      </c>
      <c r="AH3189">
        <v>20.977969689860299</v>
      </c>
      <c r="AI3189">
        <v>92.860491085579</v>
      </c>
      <c r="AJ3189">
        <v>69.333458746437799</v>
      </c>
      <c r="AK3189">
        <v>22.4487086373042</v>
      </c>
      <c r="AL3189">
        <v>78.382705951468097</v>
      </c>
      <c r="AM3189">
        <v>80.304332244225193</v>
      </c>
      <c r="AN3189">
        <v>1.00000007398177</v>
      </c>
    </row>
    <row r="3190" spans="1:40" x14ac:dyDescent="0.25">
      <c r="A3190" t="str">
        <f>"20190303170830213"</f>
        <v>20190303170830213</v>
      </c>
      <c r="B3190" t="str">
        <f>"1551604110206168"</f>
        <v>1551604110206168</v>
      </c>
      <c r="C3190" t="s">
        <v>40</v>
      </c>
      <c r="D3190">
        <v>4.9667379999999897</v>
      </c>
      <c r="E3190">
        <v>0.5804996</v>
      </c>
      <c r="F3190" t="s">
        <v>58</v>
      </c>
      <c r="G3190">
        <v>-200.34639999999999</v>
      </c>
      <c r="H3190" s="1">
        <v>-1.1299910000000001E-5</v>
      </c>
      <c r="I3190">
        <v>146.29150000000001</v>
      </c>
      <c r="J3190">
        <v>-191.49180000000001</v>
      </c>
      <c r="K3190">
        <v>1.120196</v>
      </c>
      <c r="L3190">
        <v>165.9683</v>
      </c>
      <c r="M3190">
        <v>-6.0922659999999997E-2</v>
      </c>
      <c r="N3190">
        <v>-1.370758E-2</v>
      </c>
      <c r="O3190">
        <v>-0.99804850000000001</v>
      </c>
      <c r="P3190">
        <v>-0.2245627</v>
      </c>
      <c r="Q3190">
        <v>0.188442</v>
      </c>
      <c r="R3190">
        <v>-0.95606579999999997</v>
      </c>
      <c r="S3190">
        <v>-1.280319</v>
      </c>
      <c r="T3190">
        <v>-0.1617208</v>
      </c>
      <c r="U3190">
        <v>-2.8710629999999999</v>
      </c>
      <c r="V3190">
        <v>0.16646129999999901</v>
      </c>
      <c r="W3190">
        <v>0.2012246</v>
      </c>
      <c r="X3190">
        <v>0.96529750000000003</v>
      </c>
      <c r="Y3190">
        <v>0.35042790000000001</v>
      </c>
      <c r="Z3190">
        <v>3.8330959999999997E-2</v>
      </c>
      <c r="AA3190">
        <v>0.935805</v>
      </c>
      <c r="AB3190">
        <v>23</v>
      </c>
      <c r="AC3190">
        <v>-8.8545999999999694</v>
      </c>
      <c r="AD3190">
        <v>-1.1202072999099999</v>
      </c>
      <c r="AE3190">
        <v>-19.676799999999901</v>
      </c>
      <c r="AF3190">
        <v>7.6187393784016901</v>
      </c>
      <c r="AG3190">
        <v>-1.1202072999099999</v>
      </c>
      <c r="AH3190">
        <v>20.125496047161199</v>
      </c>
      <c r="AI3190">
        <v>92.979894070465804</v>
      </c>
      <c r="AJ3190">
        <v>69.265260118410694</v>
      </c>
      <c r="AK3190">
        <v>21.548448789996002</v>
      </c>
      <c r="AL3190">
        <v>78.391420367603601</v>
      </c>
      <c r="AM3190">
        <v>80.215823564887103</v>
      </c>
      <c r="AN3190">
        <v>0.99999998377454902</v>
      </c>
    </row>
    <row r="3191" spans="1:40" x14ac:dyDescent="0.25">
      <c r="A3191" t="str">
        <f>"20190303170830235"</f>
        <v>20190303170830235</v>
      </c>
      <c r="B3191" t="str">
        <f>"1551604110226194"</f>
        <v>1551604110226194</v>
      </c>
      <c r="C3191" t="s">
        <v>40</v>
      </c>
      <c r="D3191">
        <v>4.9400079999999997</v>
      </c>
      <c r="E3191">
        <v>0.58057029999999998</v>
      </c>
      <c r="F3191" t="s">
        <v>58</v>
      </c>
      <c r="G3191">
        <v>-200.29740000000001</v>
      </c>
      <c r="H3191" s="1">
        <v>-1.1345170000000001E-5</v>
      </c>
      <c r="I3191">
        <v>146.3706</v>
      </c>
      <c r="J3191">
        <v>-191.50800000000001</v>
      </c>
      <c r="K3191">
        <v>1.1201299999999901</v>
      </c>
      <c r="L3191">
        <v>165.73939999999999</v>
      </c>
      <c r="M3191">
        <v>-6.2859449999999997E-2</v>
      </c>
      <c r="N3191">
        <v>-1.3707840000000001E-2</v>
      </c>
      <c r="O3191">
        <v>-0.99792840000000005</v>
      </c>
      <c r="P3191">
        <v>-0.22774040000000001</v>
      </c>
      <c r="Q3191">
        <v>0.18907350000000001</v>
      </c>
      <c r="R3191">
        <v>-0.95518879999999995</v>
      </c>
      <c r="S3191">
        <v>-1.2884370000000001</v>
      </c>
      <c r="T3191">
        <v>-0.1639082</v>
      </c>
      <c r="U3191">
        <v>-2.8675229999999998</v>
      </c>
      <c r="V3191">
        <v>0.16784360000000001</v>
      </c>
      <c r="W3191">
        <v>0.20182059999999999</v>
      </c>
      <c r="X3191">
        <v>0.96493370000000001</v>
      </c>
      <c r="Y3191">
        <v>0.35123330000000003</v>
      </c>
      <c r="Z3191">
        <v>3.9049449999999999E-2</v>
      </c>
      <c r="AA3191">
        <v>0.93547329999999995</v>
      </c>
      <c r="AB3191">
        <v>23</v>
      </c>
      <c r="AC3191">
        <v>-8.7894000000000201</v>
      </c>
      <c r="AD3191">
        <v>-1.12014134516999</v>
      </c>
      <c r="AE3191">
        <v>-19.3688</v>
      </c>
      <c r="AF3191">
        <v>7.5334946727687697</v>
      </c>
      <c r="AG3191">
        <v>-1.12014134516999</v>
      </c>
      <c r="AH3191">
        <v>19.828045585300298</v>
      </c>
      <c r="AI3191">
        <v>93.022956112465394</v>
      </c>
      <c r="AJ3191">
        <v>69.196144758407101</v>
      </c>
      <c r="AK3191">
        <v>21.240519069706</v>
      </c>
      <c r="AL3191">
        <v>78.356557445163901</v>
      </c>
      <c r="AM3191">
        <v>80.132519152142905</v>
      </c>
      <c r="AN3191">
        <v>1.0000000370205</v>
      </c>
    </row>
    <row r="3192" spans="1:40" x14ac:dyDescent="0.25">
      <c r="A3192" t="str">
        <f>"20190303170830259"</f>
        <v>20190303170830259</v>
      </c>
      <c r="B3192" t="str">
        <f>"1551604110246690"</f>
        <v>1551604110246690</v>
      </c>
      <c r="C3192" t="s">
        <v>40</v>
      </c>
      <c r="D3192">
        <v>4.938739</v>
      </c>
      <c r="E3192">
        <v>0.58064249999999995</v>
      </c>
      <c r="F3192" t="s">
        <v>58</v>
      </c>
      <c r="G3192">
        <v>-200.4239</v>
      </c>
      <c r="H3192" s="1">
        <v>-1.1197769999999999E-5</v>
      </c>
      <c r="I3192">
        <v>146.06370000000001</v>
      </c>
      <c r="J3192">
        <v>-191.52520000000001</v>
      </c>
      <c r="K3192">
        <v>1.120079</v>
      </c>
      <c r="L3192">
        <v>165.5059</v>
      </c>
      <c r="M3192">
        <v>-6.4943239999999999E-2</v>
      </c>
      <c r="N3192">
        <v>-1.370803E-2</v>
      </c>
      <c r="O3192">
        <v>-0.99779499999999999</v>
      </c>
      <c r="P3192">
        <v>-0.2309437</v>
      </c>
      <c r="Q3192">
        <v>0.18960099999999999</v>
      </c>
      <c r="R3192">
        <v>-0.95431480000000002</v>
      </c>
      <c r="S3192">
        <v>-1.2976379999999901</v>
      </c>
      <c r="T3192">
        <v>-0.16302720000000001</v>
      </c>
      <c r="U3192">
        <v>-2.863632</v>
      </c>
      <c r="V3192">
        <v>0.16910720000000001</v>
      </c>
      <c r="W3192">
        <v>0.20231560000000001</v>
      </c>
      <c r="X3192">
        <v>0.9646093</v>
      </c>
      <c r="Y3192">
        <v>0.35225440000000002</v>
      </c>
      <c r="Z3192">
        <v>3.8785470000000002E-2</v>
      </c>
      <c r="AA3192">
        <v>0.9351003</v>
      </c>
      <c r="AB3192">
        <v>22</v>
      </c>
      <c r="AC3192">
        <v>-8.8986999999999892</v>
      </c>
      <c r="AD3192">
        <v>-1.12009019777</v>
      </c>
      <c r="AE3192">
        <v>-19.4421999999999</v>
      </c>
      <c r="AF3192">
        <v>7.5963074413128</v>
      </c>
      <c r="AG3192">
        <v>-1.12009019777</v>
      </c>
      <c r="AH3192">
        <v>19.924437321928998</v>
      </c>
      <c r="AI3192">
        <v>93.006909449992506</v>
      </c>
      <c r="AJ3192">
        <v>69.130361684826198</v>
      </c>
      <c r="AK3192">
        <v>21.352791184984699</v>
      </c>
      <c r="AL3192">
        <v>78.3275979163882</v>
      </c>
      <c r="AM3192">
        <v>80.056432543883503</v>
      </c>
      <c r="AN3192">
        <v>0.99999997437084398</v>
      </c>
    </row>
    <row r="3193" spans="1:40" x14ac:dyDescent="0.25">
      <c r="A3193" t="str">
        <f>"20190303170830279"</f>
        <v>20190303170830279</v>
      </c>
      <c r="B3193" t="str">
        <f>"1551604110266211"</f>
        <v>1551604110266211</v>
      </c>
      <c r="C3193" t="s">
        <v>40</v>
      </c>
      <c r="D3193">
        <v>4.9338280000000001</v>
      </c>
      <c r="E3193">
        <v>0.58074320000000001</v>
      </c>
      <c r="F3193" t="s">
        <v>58</v>
      </c>
      <c r="G3193">
        <v>-200.55539999999999</v>
      </c>
      <c r="H3193" s="1">
        <v>-1.1044790000000001E-5</v>
      </c>
      <c r="I3193">
        <v>145.74549999999999</v>
      </c>
      <c r="J3193">
        <v>-191.541</v>
      </c>
      <c r="K3193">
        <v>1.1200209999999999</v>
      </c>
      <c r="L3193">
        <v>165.29640000000001</v>
      </c>
      <c r="M3193">
        <v>-6.6907449999999993E-2</v>
      </c>
      <c r="N3193">
        <v>-1.370828E-2</v>
      </c>
      <c r="O3193">
        <v>-0.99766500000000002</v>
      </c>
      <c r="P3193">
        <v>-0.23497419999999999</v>
      </c>
      <c r="Q3193">
        <v>0.18921769999999999</v>
      </c>
      <c r="R3193">
        <v>-0.95340630000000004</v>
      </c>
      <c r="S3193">
        <v>-1.3067930000000001</v>
      </c>
      <c r="T3193">
        <v>-0.16209100000000001</v>
      </c>
      <c r="U3193">
        <v>-2.8595730000000001</v>
      </c>
      <c r="V3193">
        <v>0.1713095</v>
      </c>
      <c r="W3193">
        <v>0.201899</v>
      </c>
      <c r="X3193">
        <v>0.96430800000000005</v>
      </c>
      <c r="Y3193">
        <v>0.35339510000000002</v>
      </c>
      <c r="Z3193">
        <v>3.8505110000000002E-2</v>
      </c>
      <c r="AA3193">
        <v>0.9346814</v>
      </c>
      <c r="AB3193">
        <v>22</v>
      </c>
      <c r="AC3193">
        <v>-9.0143999999999895</v>
      </c>
      <c r="AD3193">
        <v>-1.1200320447899901</v>
      </c>
      <c r="AE3193">
        <v>-19.550899999999999</v>
      </c>
      <c r="AF3193">
        <v>7.66522658509657</v>
      </c>
      <c r="AG3193">
        <v>-1.1200320447899901</v>
      </c>
      <c r="AH3193">
        <v>20.0559867668827</v>
      </c>
      <c r="AI3193">
        <v>92.986138491789802</v>
      </c>
      <c r="AJ3193">
        <v>69.083571484778503</v>
      </c>
      <c r="AK3193">
        <v>21.500064548172901</v>
      </c>
      <c r="AL3193">
        <v>78.351971017778894</v>
      </c>
      <c r="AM3193">
        <v>79.926488414491104</v>
      </c>
      <c r="AN3193">
        <v>1.0000000349276199</v>
      </c>
    </row>
    <row r="3194" spans="1:40" x14ac:dyDescent="0.25">
      <c r="A3194" t="str">
        <f>"20190303170830302"</f>
        <v>20190303170830302</v>
      </c>
      <c r="B3194" t="str">
        <f>"1551604110286706"</f>
        <v>1551604110286706</v>
      </c>
      <c r="C3194" t="s">
        <v>40</v>
      </c>
      <c r="D3194">
        <v>5.118328</v>
      </c>
      <c r="E3194">
        <v>0.56021919999999903</v>
      </c>
      <c r="F3194" t="s">
        <v>58</v>
      </c>
      <c r="G3194">
        <v>-200.50120000000001</v>
      </c>
      <c r="H3194" s="1">
        <v>-1.1114870000000001E-5</v>
      </c>
      <c r="I3194">
        <v>145.90020000000001</v>
      </c>
      <c r="J3194">
        <v>-191.55869999999999</v>
      </c>
      <c r="K3194">
        <v>1.1199589999999999</v>
      </c>
      <c r="L3194">
        <v>165.0718</v>
      </c>
      <c r="M3194">
        <v>-6.9116289999999997E-2</v>
      </c>
      <c r="N3194">
        <v>-1.3708919999999999E-2</v>
      </c>
      <c r="O3194">
        <v>-0.99751440000000002</v>
      </c>
      <c r="P3194">
        <v>-0.23911250000000001</v>
      </c>
      <c r="Q3194">
        <v>0.1883669</v>
      </c>
      <c r="R3194">
        <v>-0.95254559999999999</v>
      </c>
      <c r="S3194">
        <v>-1.3185880000000001</v>
      </c>
      <c r="T3194">
        <v>-0.16482529999999901</v>
      </c>
      <c r="U3194">
        <v>-2.8543699999999999</v>
      </c>
      <c r="V3194">
        <v>0.17338199999999901</v>
      </c>
      <c r="W3194">
        <v>0.2010149</v>
      </c>
      <c r="X3194">
        <v>0.96412220000000004</v>
      </c>
      <c r="Y3194">
        <v>0.35513820000000001</v>
      </c>
      <c r="Z3194">
        <v>3.9401829999999999E-2</v>
      </c>
      <c r="AA3194">
        <v>0.93398309999999996</v>
      </c>
      <c r="AB3194">
        <v>22</v>
      </c>
      <c r="AC3194">
        <v>-8.9425000000000203</v>
      </c>
      <c r="AD3194">
        <v>-1.1199701148700001</v>
      </c>
      <c r="AE3194">
        <v>-19.171599999999899</v>
      </c>
      <c r="AF3194">
        <v>7.5746857512294001</v>
      </c>
      <c r="AG3194">
        <v>-1.1199701148700001</v>
      </c>
      <c r="AH3194">
        <v>19.688690417470902</v>
      </c>
      <c r="AI3194">
        <v>93.039006109541006</v>
      </c>
      <c r="AJ3194">
        <v>68.957133786778499</v>
      </c>
      <c r="AK3194">
        <v>21.125215446075099</v>
      </c>
      <c r="AL3194">
        <v>78.403685665752704</v>
      </c>
      <c r="AM3194">
        <v>79.805236376043197</v>
      </c>
      <c r="AN3194">
        <v>0.999999962239424</v>
      </c>
    </row>
    <row r="3195" spans="1:40" x14ac:dyDescent="0.25">
      <c r="A3195" t="str">
        <f>"20190303170830325"</f>
        <v>20190303170830325</v>
      </c>
      <c r="B3195" t="str">
        <f>"1551604110315986"</f>
        <v>1551604110315986</v>
      </c>
      <c r="C3195" t="s">
        <v>40</v>
      </c>
      <c r="D3195">
        <v>5.0181519999999997</v>
      </c>
      <c r="E3195">
        <v>0.54817450000000001</v>
      </c>
      <c r="F3195" t="s">
        <v>58</v>
      </c>
      <c r="G3195">
        <v>-198.13820000000001</v>
      </c>
      <c r="H3195" s="1">
        <v>-1.191819E-5</v>
      </c>
      <c r="I3195">
        <v>148.78049999999999</v>
      </c>
      <c r="J3195">
        <v>-191.57759999999999</v>
      </c>
      <c r="K3195">
        <v>1.1198950000000001</v>
      </c>
      <c r="L3195">
        <v>164.83799999999999</v>
      </c>
      <c r="M3195">
        <v>-7.1524690000000002E-2</v>
      </c>
      <c r="N3195">
        <v>-1.371006E-2</v>
      </c>
      <c r="O3195">
        <v>-0.99734480000000003</v>
      </c>
      <c r="P3195">
        <v>-0.2433332</v>
      </c>
      <c r="Q3195">
        <v>0.18889320000000001</v>
      </c>
      <c r="R3195">
        <v>-0.95137210000000005</v>
      </c>
      <c r="S3195">
        <v>-1.169327</v>
      </c>
      <c r="T3195">
        <v>-0.19904269999999999</v>
      </c>
      <c r="U3195">
        <v>-2.8953090000000001</v>
      </c>
      <c r="V3195">
        <v>0.1753757</v>
      </c>
      <c r="W3195">
        <v>0.2015006</v>
      </c>
      <c r="X3195">
        <v>0.96366010000000002</v>
      </c>
      <c r="Y3195">
        <v>0.3065599</v>
      </c>
      <c r="Z3195">
        <v>5.0669319999999997E-2</v>
      </c>
      <c r="AA3195">
        <v>0.95050179999999995</v>
      </c>
      <c r="AB3195">
        <v>22</v>
      </c>
      <c r="AC3195">
        <v>-6.5606000000000204</v>
      </c>
      <c r="AD3195">
        <v>-1.1199069181899901</v>
      </c>
      <c r="AE3195">
        <v>-16.057500000000001</v>
      </c>
      <c r="AF3195">
        <v>5.3727829800200197</v>
      </c>
      <c r="AG3195">
        <v>-1.1199069181899901</v>
      </c>
      <c r="AH3195">
        <v>16.4172225312888</v>
      </c>
      <c r="AI3195">
        <v>93.709399526659894</v>
      </c>
      <c r="AJ3195">
        <v>71.8785376163747</v>
      </c>
      <c r="AK3195">
        <v>17.310291277088901</v>
      </c>
      <c r="AL3195">
        <v>78.375275742113104</v>
      </c>
      <c r="AM3195">
        <v>79.685670517730003</v>
      </c>
      <c r="AN3195">
        <v>0.99999995814142895</v>
      </c>
    </row>
    <row r="3196" spans="1:40" x14ac:dyDescent="0.25">
      <c r="A3196" t="str">
        <f>"20190303170830369"</f>
        <v>20190303170830369</v>
      </c>
      <c r="B3196" t="str">
        <f>"1551604110356002"</f>
        <v>1551604110356002</v>
      </c>
      <c r="C3196" t="s">
        <v>40</v>
      </c>
      <c r="D3196">
        <v>5.0103739999999997</v>
      </c>
      <c r="E3196">
        <v>0.476545</v>
      </c>
      <c r="F3196" t="s">
        <v>58</v>
      </c>
      <c r="G3196">
        <v>-197.4297</v>
      </c>
      <c r="H3196" s="1">
        <v>-1.188625E-5</v>
      </c>
      <c r="I3196">
        <v>149.136</v>
      </c>
      <c r="J3196">
        <v>-191.61439999999999</v>
      </c>
      <c r="K3196">
        <v>1.119761</v>
      </c>
      <c r="L3196">
        <v>164.4093</v>
      </c>
      <c r="M3196">
        <v>-7.6256690000000002E-2</v>
      </c>
      <c r="N3196">
        <v>-1.3713039999999999E-2</v>
      </c>
      <c r="O3196">
        <v>-0.99699400000000005</v>
      </c>
      <c r="P3196">
        <v>-0.25255860000000002</v>
      </c>
      <c r="Q3196">
        <v>0.1905664</v>
      </c>
      <c r="R3196">
        <v>-0.94862999999999997</v>
      </c>
      <c r="S3196">
        <v>-1.0870059999999999</v>
      </c>
      <c r="T3196">
        <v>-0.20802119999999999</v>
      </c>
      <c r="U3196">
        <v>-2.9166409999999998</v>
      </c>
      <c r="V3196">
        <v>0.1802687</v>
      </c>
      <c r="W3196">
        <v>0.20308319999999999</v>
      </c>
      <c r="X3196">
        <v>0.96242419999999995</v>
      </c>
      <c r="Y3196">
        <v>0.27609620000000001</v>
      </c>
      <c r="Z3196">
        <v>5.3704590000000003E-2</v>
      </c>
      <c r="AA3196">
        <v>0.95962840000000005</v>
      </c>
      <c r="AB3196">
        <v>22</v>
      </c>
      <c r="AC3196">
        <v>-5.8152999999999997</v>
      </c>
      <c r="AD3196">
        <v>-1.11977288625</v>
      </c>
      <c r="AE3196">
        <v>-15.273300000000001</v>
      </c>
      <c r="AF3196">
        <v>4.6119120536107898</v>
      </c>
      <c r="AG3196">
        <v>-1.11977288625</v>
      </c>
      <c r="AH3196">
        <v>15.599084629297099</v>
      </c>
      <c r="AI3196">
        <v>93.937967158150499</v>
      </c>
      <c r="AJ3196">
        <v>73.529541930913894</v>
      </c>
      <c r="AK3196">
        <v>16.305062568999599</v>
      </c>
      <c r="AL3196">
        <v>78.282685228662004</v>
      </c>
      <c r="AM3196">
        <v>79.391032780034294</v>
      </c>
      <c r="AN3196">
        <v>0.99999996553378401</v>
      </c>
    </row>
    <row r="3197" spans="1:40" x14ac:dyDescent="0.25">
      <c r="A3197" t="str">
        <f>"20190303170830393"</f>
        <v>20190303170830393</v>
      </c>
      <c r="B3197" t="str">
        <f>"1551604110386259"</f>
        <v>1551604110386259</v>
      </c>
      <c r="C3197" t="s">
        <v>40</v>
      </c>
      <c r="D3197">
        <v>4.9903940000000002</v>
      </c>
      <c r="E3197">
        <v>0.47603240000000002</v>
      </c>
      <c r="F3197" t="s">
        <v>58</v>
      </c>
      <c r="G3197">
        <v>-196.34370000000001</v>
      </c>
      <c r="H3197" s="1">
        <v>-8.6989110000000008E-6</v>
      </c>
      <c r="I3197">
        <v>138.77680000000001</v>
      </c>
      <c r="J3197">
        <v>-191.63550000000001</v>
      </c>
      <c r="K3197">
        <v>1.119694</v>
      </c>
      <c r="L3197">
        <v>164.17580000000001</v>
      </c>
      <c r="M3197">
        <v>-7.9024780000000003E-2</v>
      </c>
      <c r="N3197">
        <v>-1.3715089999999999E-2</v>
      </c>
      <c r="O3197">
        <v>-0.99677839999999995</v>
      </c>
      <c r="P3197">
        <v>-0.25857960000000002</v>
      </c>
      <c r="Q3197">
        <v>0.19015989999999999</v>
      </c>
      <c r="R3197">
        <v>-0.94708820000000005</v>
      </c>
      <c r="S3197">
        <v>-0.56086729999999996</v>
      </c>
      <c r="T3197">
        <v>-0.132796</v>
      </c>
      <c r="U3197">
        <v>-3.0398100000000001</v>
      </c>
      <c r="V3197">
        <v>0.18374670000000001</v>
      </c>
      <c r="W3197">
        <v>0.20262469999999999</v>
      </c>
      <c r="X3197">
        <v>0.96186300000000002</v>
      </c>
      <c r="Y3197">
        <v>0.1030388</v>
      </c>
      <c r="Z3197">
        <v>2.9354430000000001E-2</v>
      </c>
      <c r="AA3197">
        <v>0.99424409999999996</v>
      </c>
      <c r="AB3197">
        <v>22</v>
      </c>
      <c r="AC3197">
        <v>-4.7081999999999997</v>
      </c>
      <c r="AD3197">
        <v>-1.1197026989109999</v>
      </c>
      <c r="AE3197">
        <v>-25.399000000000001</v>
      </c>
      <c r="AF3197">
        <v>2.6810965905245601</v>
      </c>
      <c r="AG3197">
        <v>-1.1197026989109999</v>
      </c>
      <c r="AH3197">
        <v>25.643471883523901</v>
      </c>
      <c r="AI3197">
        <v>92.486651467500195</v>
      </c>
      <c r="AJ3197">
        <v>84.031251924017099</v>
      </c>
      <c r="AK3197">
        <v>25.807550509545699</v>
      </c>
      <c r="AL3197">
        <v>78.309513825926302</v>
      </c>
      <c r="AM3197">
        <v>79.184969654970402</v>
      </c>
      <c r="AN3197">
        <v>1.0000000247899801</v>
      </c>
    </row>
    <row r="3198" spans="1:40" x14ac:dyDescent="0.25">
      <c r="A3198" t="str">
        <f>"20190303170830437"</f>
        <v>20190303170830437</v>
      </c>
      <c r="B3198" t="str">
        <f>"1551604110426275"</f>
        <v>1551604110426275</v>
      </c>
      <c r="C3198" t="s">
        <v>40</v>
      </c>
      <c r="D3198">
        <v>4.9350100000000001</v>
      </c>
      <c r="E3198">
        <v>0.47443229999999997</v>
      </c>
      <c r="F3198" t="s">
        <v>58</v>
      </c>
      <c r="G3198">
        <v>-196.11949999999999</v>
      </c>
      <c r="H3198" s="1">
        <v>-9.1785899999999998E-6</v>
      </c>
      <c r="I3198">
        <v>140.43430000000001</v>
      </c>
      <c r="J3198">
        <v>-191.67789999999999</v>
      </c>
      <c r="K3198">
        <v>1.11957</v>
      </c>
      <c r="L3198">
        <v>163.73150000000001</v>
      </c>
      <c r="M3198">
        <v>-8.4608680000000006E-2</v>
      </c>
      <c r="N3198">
        <v>-1.371904E-2</v>
      </c>
      <c r="O3198">
        <v>-0.99631990000000004</v>
      </c>
      <c r="P3198">
        <v>-0.26952659999999901</v>
      </c>
      <c r="Q3198">
        <v>0.18916830000000001</v>
      </c>
      <c r="R3198">
        <v>-0.94423049999999997</v>
      </c>
      <c r="S3198">
        <v>-0.57409670000000002</v>
      </c>
      <c r="T3198">
        <v>-0.14335809999999999</v>
      </c>
      <c r="U3198">
        <v>-3.0396730000000001</v>
      </c>
      <c r="V3198">
        <v>0.1895424</v>
      </c>
      <c r="W3198">
        <v>0.2015469</v>
      </c>
      <c r="X3198">
        <v>0.96096440000000005</v>
      </c>
      <c r="Y3198">
        <v>0.1016334</v>
      </c>
      <c r="Z3198">
        <v>3.2726730000000002E-2</v>
      </c>
      <c r="AA3198">
        <v>0.99428340000000004</v>
      </c>
      <c r="AB3198">
        <v>22</v>
      </c>
      <c r="AC3198">
        <v>-4.4415999999999896</v>
      </c>
      <c r="AD3198">
        <v>-1.11957917859</v>
      </c>
      <c r="AE3198">
        <v>-23.2972</v>
      </c>
      <c r="AF3198">
        <v>2.4488827443447398</v>
      </c>
      <c r="AG3198">
        <v>-1.11957917859</v>
      </c>
      <c r="AH3198">
        <v>23.537029368372401</v>
      </c>
      <c r="AI3198">
        <v>92.708719668324903</v>
      </c>
      <c r="AJ3198">
        <v>84.060099359609396</v>
      </c>
      <c r="AK3198">
        <v>23.690551612833001</v>
      </c>
      <c r="AL3198">
        <v>78.372568183860196</v>
      </c>
      <c r="AM3198">
        <v>78.842099845919705</v>
      </c>
      <c r="AN3198">
        <v>1.0000000261823601</v>
      </c>
    </row>
    <row r="3199" spans="1:40" x14ac:dyDescent="0.25">
      <c r="A3199" t="str">
        <f>"20190303170830481"</f>
        <v>20190303170830481</v>
      </c>
      <c r="B3199" t="str">
        <f>"1551604110466291"</f>
        <v>1551604110466291</v>
      </c>
      <c r="C3199" t="s">
        <v>40</v>
      </c>
      <c r="D3199">
        <v>4.9436920000000004</v>
      </c>
      <c r="E3199">
        <v>0.47363060000000001</v>
      </c>
      <c r="F3199" t="s">
        <v>58</v>
      </c>
      <c r="G3199">
        <v>-196.3409</v>
      </c>
      <c r="H3199" s="1">
        <v>-9.0620039999999999E-6</v>
      </c>
      <c r="I3199">
        <v>139.93549999999999</v>
      </c>
      <c r="J3199">
        <v>-191.7225</v>
      </c>
      <c r="K3199">
        <v>1.1194949999999999</v>
      </c>
      <c r="L3199">
        <v>163.29429999999999</v>
      </c>
      <c r="M3199">
        <v>-9.0436349999999999E-2</v>
      </c>
      <c r="N3199">
        <v>-1.3721809999999999E-2</v>
      </c>
      <c r="O3199">
        <v>-0.99580780000000002</v>
      </c>
      <c r="P3199">
        <v>-0.2808117</v>
      </c>
      <c r="Q3199">
        <v>0.189307</v>
      </c>
      <c r="R3199">
        <v>-0.94090799999999997</v>
      </c>
      <c r="S3199">
        <v>-0.59492489999999998</v>
      </c>
      <c r="T3199">
        <v>-0.1428412</v>
      </c>
      <c r="U3199">
        <v>-3.0359950000000002</v>
      </c>
      <c r="V3199">
        <v>0.19547890000000001</v>
      </c>
      <c r="W3199">
        <v>0.20160900000000001</v>
      </c>
      <c r="X3199">
        <v>0.95976130000000004</v>
      </c>
      <c r="Y3199">
        <v>0.1026108</v>
      </c>
      <c r="Z3199">
        <v>3.255624E-2</v>
      </c>
      <c r="AA3199">
        <v>0.99418870000000004</v>
      </c>
      <c r="AB3199">
        <v>22</v>
      </c>
      <c r="AC3199">
        <v>-4.6184000000000003</v>
      </c>
      <c r="AD3199">
        <v>-1.119504062004</v>
      </c>
      <c r="AE3199">
        <v>-23.358799999999999</v>
      </c>
      <c r="AF3199">
        <v>2.48130301869036</v>
      </c>
      <c r="AG3199">
        <v>-1.119504062004</v>
      </c>
      <c r="AH3199">
        <v>23.628542052223199</v>
      </c>
      <c r="AI3199">
        <v>92.697793690363099</v>
      </c>
      <c r="AJ3199">
        <v>84.005172890233993</v>
      </c>
      <c r="AK3199">
        <v>23.784830323739701</v>
      </c>
      <c r="AL3199">
        <v>78.368934897415002</v>
      </c>
      <c r="AM3199">
        <v>78.487775574204804</v>
      </c>
      <c r="AN3199">
        <v>0.99999997110194905</v>
      </c>
    </row>
    <row r="3200" spans="1:40" x14ac:dyDescent="0.25">
      <c r="A3200" t="str">
        <f>"20190303170830505"</f>
        <v>20190303170830505</v>
      </c>
      <c r="B3200" t="str">
        <f>"1551604110496546"</f>
        <v>1551604110496546</v>
      </c>
      <c r="C3200" t="s">
        <v>40</v>
      </c>
      <c r="D3200">
        <v>4.9248640000000004</v>
      </c>
      <c r="E3200">
        <v>0.47286729999999999</v>
      </c>
      <c r="F3200" t="s">
        <v>58</v>
      </c>
      <c r="G3200">
        <v>-196.6765</v>
      </c>
      <c r="H3200" s="1">
        <v>-8.8887550000000006E-6</v>
      </c>
      <c r="I3200">
        <v>139.2209</v>
      </c>
      <c r="J3200">
        <v>-191.7474</v>
      </c>
      <c r="K3200">
        <v>1.1194539999999999</v>
      </c>
      <c r="L3200">
        <v>163.06219999999999</v>
      </c>
      <c r="M3200">
        <v>-9.3671779999999996E-2</v>
      </c>
      <c r="N3200">
        <v>-1.3723549999999999E-2</v>
      </c>
      <c r="O3200">
        <v>-0.99550870000000002</v>
      </c>
      <c r="P3200">
        <v>-0.28626020000000002</v>
      </c>
      <c r="Q3200">
        <v>0.18949559999999999</v>
      </c>
      <c r="R3200">
        <v>-0.93922700000000003</v>
      </c>
      <c r="S3200">
        <v>-0.62367249999999996</v>
      </c>
      <c r="T3200">
        <v>-0.14093699999999901</v>
      </c>
      <c r="U3200">
        <v>-3.0306549999999999</v>
      </c>
      <c r="V3200">
        <v>0.19795560000000001</v>
      </c>
      <c r="W3200">
        <v>0.20175889999999999</v>
      </c>
      <c r="X3200">
        <v>0.95922200000000002</v>
      </c>
      <c r="Y3200">
        <v>0.10877299999999999</v>
      </c>
      <c r="Z3200">
        <v>3.1951630000000002E-2</v>
      </c>
      <c r="AA3200">
        <v>0.99355300000000002</v>
      </c>
      <c r="AB3200">
        <v>22</v>
      </c>
      <c r="AC3200">
        <v>-4.9291</v>
      </c>
      <c r="AD3200">
        <v>-1.119462888755</v>
      </c>
      <c r="AE3200">
        <v>-23.841299999999901</v>
      </c>
      <c r="AF3200">
        <v>2.6683145078867301</v>
      </c>
      <c r="AG3200">
        <v>-1.119462888755</v>
      </c>
      <c r="AH3200">
        <v>24.147158066741799</v>
      </c>
      <c r="AI3200">
        <v>92.638297327161595</v>
      </c>
      <c r="AJ3200">
        <v>83.694272146879896</v>
      </c>
      <c r="AK3200">
        <v>24.319916574127301</v>
      </c>
      <c r="AL3200">
        <v>78.3601659266658</v>
      </c>
      <c r="AM3200">
        <v>78.339509857541003</v>
      </c>
      <c r="AN3200">
        <v>0.99999995929228402</v>
      </c>
    </row>
    <row r="3201" spans="1:40" x14ac:dyDescent="0.25">
      <c r="A3201" t="str">
        <f>"20190303170830526"</f>
        <v>20190303170830526</v>
      </c>
      <c r="B3201" t="str">
        <f>"1551604110516066"</f>
        <v>1551604110516066</v>
      </c>
      <c r="C3201" t="s">
        <v>40</v>
      </c>
      <c r="D3201">
        <v>4.9249599999999996</v>
      </c>
      <c r="E3201">
        <v>0.47254410000000002</v>
      </c>
      <c r="F3201" t="s">
        <v>58</v>
      </c>
      <c r="G3201">
        <v>-197.0027</v>
      </c>
      <c r="H3201" s="1">
        <v>-8.5324410000000003E-6</v>
      </c>
      <c r="I3201">
        <v>137.9606</v>
      </c>
      <c r="J3201">
        <v>-191.77099999999999</v>
      </c>
      <c r="K3201">
        <v>1.119399</v>
      </c>
      <c r="L3201">
        <v>162.84870000000001</v>
      </c>
      <c r="M3201">
        <v>-9.6741069999999998E-2</v>
      </c>
      <c r="N3201">
        <v>-1.3725899999999999E-2</v>
      </c>
      <c r="O3201">
        <v>-0.99521510000000002</v>
      </c>
      <c r="P3201">
        <v>-0.29163919999999999</v>
      </c>
      <c r="Q3201">
        <v>0.1887712</v>
      </c>
      <c r="R3201">
        <v>-0.93771649999999995</v>
      </c>
      <c r="S3201">
        <v>-0.63397219999999999</v>
      </c>
      <c r="T3201">
        <v>-0.13504579999999999</v>
      </c>
      <c r="U3201">
        <v>-3.0281220000000002</v>
      </c>
      <c r="V3201">
        <v>0.20051050000000001</v>
      </c>
      <c r="W3201">
        <v>0.2009948</v>
      </c>
      <c r="X3201">
        <v>0.95885180000000003</v>
      </c>
      <c r="Y3201">
        <v>0.1091249</v>
      </c>
      <c r="Z3201">
        <v>3.00559E-2</v>
      </c>
      <c r="AA3201">
        <v>0.9935735</v>
      </c>
      <c r="AB3201">
        <v>22</v>
      </c>
      <c r="AC3201">
        <v>-5.2317000000000098</v>
      </c>
      <c r="AD3201">
        <v>-1.119407532441</v>
      </c>
      <c r="AE3201">
        <v>-24.888100000000001</v>
      </c>
      <c r="AF3201">
        <v>2.7938159748698799</v>
      </c>
      <c r="AG3201">
        <v>-1.119407532441</v>
      </c>
      <c r="AH3201">
        <v>25.228632872447101</v>
      </c>
      <c r="AI3201">
        <v>92.525161008812105</v>
      </c>
      <c r="AJ3201">
        <v>83.680819250950194</v>
      </c>
      <c r="AK3201">
        <v>25.407526395496301</v>
      </c>
      <c r="AL3201">
        <v>78.404862599366496</v>
      </c>
      <c r="AM3201">
        <v>78.188782775142997</v>
      </c>
      <c r="AN3201">
        <v>1.00000007230026</v>
      </c>
    </row>
    <row r="3202" spans="1:40" x14ac:dyDescent="0.25">
      <c r="A3202" t="str">
        <f>"20190303170830547"</f>
        <v>20190303170830547</v>
      </c>
      <c r="B3202" t="str">
        <f>"1551604110536562"</f>
        <v>1551604110536562</v>
      </c>
      <c r="C3202" t="s">
        <v>40</v>
      </c>
      <c r="D3202">
        <v>5.0485569999999997</v>
      </c>
      <c r="E3202">
        <v>0.47246450000000001</v>
      </c>
      <c r="F3202" t="s">
        <v>58</v>
      </c>
      <c r="G3202">
        <v>-197.14590000000001</v>
      </c>
      <c r="H3202" s="1">
        <v>-8.4894250000000005E-6</v>
      </c>
      <c r="I3202">
        <v>137.76179999999999</v>
      </c>
      <c r="J3202">
        <v>-191.79400000000001</v>
      </c>
      <c r="K3202">
        <v>1.119326</v>
      </c>
      <c r="L3202">
        <v>162.64760000000001</v>
      </c>
      <c r="M3202">
        <v>-9.9712469999999997E-2</v>
      </c>
      <c r="N3202">
        <v>-1.3728539999999999E-2</v>
      </c>
      <c r="O3202">
        <v>-0.99492170000000002</v>
      </c>
      <c r="P3202">
        <v>-0.29741380000000001</v>
      </c>
      <c r="Q3202">
        <v>0.1876497</v>
      </c>
      <c r="R3202">
        <v>-0.93612660000000003</v>
      </c>
      <c r="S3202">
        <v>-0.64807130000000002</v>
      </c>
      <c r="T3202">
        <v>-0.13497210000000001</v>
      </c>
      <c r="U3202">
        <v>-3.0248409999999999</v>
      </c>
      <c r="V3202">
        <v>0.20356379999999999</v>
      </c>
      <c r="W3202">
        <v>0.19982829999999999</v>
      </c>
      <c r="X3202">
        <v>0.95845210000000003</v>
      </c>
      <c r="Y3202">
        <v>0.1108041</v>
      </c>
      <c r="Z3202">
        <v>3.003898E-2</v>
      </c>
      <c r="AA3202">
        <v>0.99338820000000005</v>
      </c>
      <c r="AB3202">
        <v>22</v>
      </c>
      <c r="AC3202">
        <v>-5.3518999999999997</v>
      </c>
      <c r="AD3202">
        <v>-1.1193344894249999</v>
      </c>
      <c r="AE3202">
        <v>-24.8858</v>
      </c>
      <c r="AF3202">
        <v>2.8380766139819298</v>
      </c>
      <c r="AG3202">
        <v>-1.1193344894249999</v>
      </c>
      <c r="AH3202">
        <v>25.2466359424531</v>
      </c>
      <c r="AI3202">
        <v>92.522733346906094</v>
      </c>
      <c r="AJ3202">
        <v>83.586076298611601</v>
      </c>
      <c r="AK3202">
        <v>25.430301118484799</v>
      </c>
      <c r="AL3202">
        <v>78.473081322387301</v>
      </c>
      <c r="AM3202">
        <v>78.009236393526905</v>
      </c>
      <c r="AN3202">
        <v>0.99999999907286996</v>
      </c>
    </row>
    <row r="3203" spans="1:40" x14ac:dyDescent="0.25">
      <c r="A3203" t="str">
        <f>"20190303170830569"</f>
        <v>20190303170830569</v>
      </c>
      <c r="B3203" t="str">
        <f>"1551604110556083"</f>
        <v>1551604110556083</v>
      </c>
      <c r="C3203" t="s">
        <v>40</v>
      </c>
      <c r="D3203">
        <v>4.8556049999999997</v>
      </c>
      <c r="E3203">
        <v>0.53114600000000001</v>
      </c>
      <c r="F3203" t="s">
        <v>58</v>
      </c>
      <c r="G3203">
        <v>-197.1772</v>
      </c>
      <c r="H3203" s="1">
        <v>-8.6350499999999996E-6</v>
      </c>
      <c r="I3203">
        <v>138.203</v>
      </c>
      <c r="J3203">
        <v>-191.81989999999999</v>
      </c>
      <c r="K3203">
        <v>1.119264</v>
      </c>
      <c r="L3203">
        <v>162.42830000000001</v>
      </c>
      <c r="M3203">
        <v>-0.10303909999999999</v>
      </c>
      <c r="N3203">
        <v>-1.3731220000000001E-2</v>
      </c>
      <c r="O3203">
        <v>-0.99458270000000004</v>
      </c>
      <c r="P3203">
        <v>-0.30383529999999997</v>
      </c>
      <c r="Q3203">
        <v>0.18730640000000001</v>
      </c>
      <c r="R3203">
        <v>-0.9341313</v>
      </c>
      <c r="S3203">
        <v>-0.66529850000000001</v>
      </c>
      <c r="T3203">
        <v>-0.1383363</v>
      </c>
      <c r="U3203">
        <v>-3.0210569999999999</v>
      </c>
      <c r="V3203">
        <v>0.20696870000000001</v>
      </c>
      <c r="W3203">
        <v>0.1994321</v>
      </c>
      <c r="X3203">
        <v>0.95780520000000002</v>
      </c>
      <c r="Y3203">
        <v>0.11313529999999999</v>
      </c>
      <c r="Z3203">
        <v>3.1129830000000001E-2</v>
      </c>
      <c r="AA3203">
        <v>0.99309179999999997</v>
      </c>
      <c r="AB3203">
        <v>22</v>
      </c>
      <c r="AC3203">
        <v>-5.3573000000000004</v>
      </c>
      <c r="AD3203">
        <v>-1.11927263505</v>
      </c>
      <c r="AE3203">
        <v>-24.225300000000001</v>
      </c>
      <c r="AF3203">
        <v>2.8266386804733501</v>
      </c>
      <c r="AG3203">
        <v>-1.11927263505</v>
      </c>
      <c r="AH3203">
        <v>24.598333738923401</v>
      </c>
      <c r="AI3203">
        <v>92.588264579253703</v>
      </c>
      <c r="AJ3203">
        <v>83.444791467778899</v>
      </c>
      <c r="AK3203">
        <v>24.7854933417307</v>
      </c>
      <c r="AL3203">
        <v>78.496248278279793</v>
      </c>
      <c r="AM3203">
        <v>77.806635913395596</v>
      </c>
      <c r="AN3203">
        <v>1.0000000032185701</v>
      </c>
    </row>
    <row r="3204" spans="1:40" x14ac:dyDescent="0.25">
      <c r="A3204" t="str">
        <f>"20190303170830593"</f>
        <v>20190303170830593</v>
      </c>
      <c r="B3204" t="str">
        <f>"1551604110586338"</f>
        <v>1551604110586338</v>
      </c>
      <c r="C3204" t="s">
        <v>40</v>
      </c>
      <c r="D3204">
        <v>4.7238509999999998</v>
      </c>
      <c r="E3204">
        <v>0.55649659999999901</v>
      </c>
      <c r="F3204" t="s">
        <v>58</v>
      </c>
      <c r="G3204">
        <v>-201.18770000000001</v>
      </c>
      <c r="H3204" s="1">
        <v>-8.7359140000000005E-6</v>
      </c>
      <c r="I3204">
        <v>138.6806</v>
      </c>
      <c r="J3204">
        <v>-191.84899999999999</v>
      </c>
      <c r="K3204">
        <v>1.119211</v>
      </c>
      <c r="L3204">
        <v>162.191</v>
      </c>
      <c r="M3204">
        <v>-0.1067472</v>
      </c>
      <c r="N3204">
        <v>-1.373131E-2</v>
      </c>
      <c r="O3204">
        <v>-0.99419150000000001</v>
      </c>
      <c r="P3204">
        <v>-0.310451599999999</v>
      </c>
      <c r="Q3204">
        <v>0.1875966</v>
      </c>
      <c r="R3204">
        <v>-0.93189469999999996</v>
      </c>
      <c r="S3204">
        <v>-1.1322939999999999</v>
      </c>
      <c r="T3204">
        <v>-0.135287299999999</v>
      </c>
      <c r="U3204">
        <v>-2.8703919999999998</v>
      </c>
      <c r="V3204">
        <v>0.21023069999999999</v>
      </c>
      <c r="W3204">
        <v>0.19966809999999999</v>
      </c>
      <c r="X3204">
        <v>0.95704529999999999</v>
      </c>
      <c r="Y3204">
        <v>0.2652736</v>
      </c>
      <c r="Z3204">
        <v>3.0737980000000002E-2</v>
      </c>
      <c r="AA3204">
        <v>0.96368310000000001</v>
      </c>
      <c r="AB3204">
        <v>22</v>
      </c>
      <c r="AC3204">
        <v>-9.3386999999999798</v>
      </c>
      <c r="AD3204">
        <v>-1.1192197359139999</v>
      </c>
      <c r="AE3204">
        <v>-23.510400000000001</v>
      </c>
      <c r="AF3204">
        <v>6.7621882571676002</v>
      </c>
      <c r="AG3204">
        <v>-1.1192197359139999</v>
      </c>
      <c r="AH3204">
        <v>24.325399625706599</v>
      </c>
      <c r="AI3204">
        <v>92.538223883041994</v>
      </c>
      <c r="AJ3204">
        <v>74.4646658883279</v>
      </c>
      <c r="AK3204">
        <v>25.272611851428401</v>
      </c>
      <c r="AL3204">
        <v>78.482448920417994</v>
      </c>
      <c r="AM3204">
        <v>77.610813971024399</v>
      </c>
      <c r="AN3204">
        <v>1.0000000018160899</v>
      </c>
    </row>
    <row r="3205" spans="1:40" x14ac:dyDescent="0.25">
      <c r="A3205" t="str">
        <f>"20190303170830615"</f>
        <v>20190303170830615</v>
      </c>
      <c r="B3205" t="str">
        <f>"1551604110605858"</f>
        <v>1551604110605858</v>
      </c>
      <c r="C3205" t="s">
        <v>40</v>
      </c>
      <c r="D3205">
        <v>4.7004210000000004</v>
      </c>
      <c r="E3205">
        <v>0.56404219999999905</v>
      </c>
      <c r="F3205" t="s">
        <v>58</v>
      </c>
      <c r="G3205">
        <v>-203.17240000000001</v>
      </c>
      <c r="H3205" s="1">
        <v>-7.9748440000000007E-6</v>
      </c>
      <c r="I3205">
        <v>138.6352</v>
      </c>
      <c r="J3205">
        <v>-191.8766</v>
      </c>
      <c r="K3205">
        <v>1.1191799999999901</v>
      </c>
      <c r="L3205">
        <v>161.97239999999999</v>
      </c>
      <c r="M3205">
        <v>-0.110235</v>
      </c>
      <c r="N3205">
        <v>-1.37293E-2</v>
      </c>
      <c r="O3205">
        <v>-0.99381079999999999</v>
      </c>
      <c r="P3205">
        <v>-0.31600230000000001</v>
      </c>
      <c r="Q3205">
        <v>0.1877268</v>
      </c>
      <c r="R3205">
        <v>-0.93000079999999996</v>
      </c>
      <c r="S3205">
        <v>-1.344986</v>
      </c>
      <c r="T3205">
        <v>-0.13293969999999999</v>
      </c>
      <c r="U3205">
        <v>-2.7979280000000002</v>
      </c>
      <c r="V3205">
        <v>0.21260499999999999</v>
      </c>
      <c r="W3205">
        <v>0.1997582</v>
      </c>
      <c r="X3205">
        <v>0.95650179999999996</v>
      </c>
      <c r="Y3205">
        <v>0.3309319</v>
      </c>
      <c r="Z3205">
        <v>2.9947399999999999E-2</v>
      </c>
      <c r="AA3205">
        <v>0.94317930000000005</v>
      </c>
      <c r="AB3205">
        <v>22</v>
      </c>
      <c r="AC3205">
        <v>-11.2958</v>
      </c>
      <c r="AD3205">
        <v>-1.1191879748439999</v>
      </c>
      <c r="AE3205">
        <v>-23.337199999999999</v>
      </c>
      <c r="AF3205">
        <v>8.6380311012355104</v>
      </c>
      <c r="AG3205">
        <v>-1.1191879748439999</v>
      </c>
      <c r="AH3205">
        <v>24.394799473861799</v>
      </c>
      <c r="AI3205">
        <v>92.476326514077599</v>
      </c>
      <c r="AJ3205">
        <v>70.501294910289403</v>
      </c>
      <c r="AK3205">
        <v>25.9031736356546</v>
      </c>
      <c r="AL3205">
        <v>78.477179933169893</v>
      </c>
      <c r="AM3205">
        <v>77.468392742080098</v>
      </c>
      <c r="AN3205">
        <v>0.99999995894773896</v>
      </c>
    </row>
    <row r="3206" spans="1:40" x14ac:dyDescent="0.25">
      <c r="A3206" t="str">
        <f>"20190303170830637"</f>
        <v>20190303170830637</v>
      </c>
      <c r="B3206" t="str">
        <f>"1551604110626354"</f>
        <v>1551604110626354</v>
      </c>
      <c r="C3206" t="s">
        <v>40</v>
      </c>
      <c r="D3206">
        <v>4.6812969999999998</v>
      </c>
      <c r="E3206">
        <v>0.56862380000000001</v>
      </c>
      <c r="F3206" t="s">
        <v>58</v>
      </c>
      <c r="G3206">
        <v>-204.44239999999999</v>
      </c>
      <c r="H3206" s="1">
        <v>-7.1177999999999999E-6</v>
      </c>
      <c r="I3206">
        <v>137.4486</v>
      </c>
      <c r="J3206">
        <v>-191.90280000000001</v>
      </c>
      <c r="K3206">
        <v>1.119156</v>
      </c>
      <c r="L3206">
        <v>161.7704</v>
      </c>
      <c r="M3206">
        <v>-0.1135144</v>
      </c>
      <c r="N3206">
        <v>-1.372518E-2</v>
      </c>
      <c r="O3206">
        <v>-0.99344180000000004</v>
      </c>
      <c r="P3206">
        <v>-0.32121420000000001</v>
      </c>
      <c r="Q3206">
        <v>0.1870985</v>
      </c>
      <c r="R3206">
        <v>-0.92834059999999896</v>
      </c>
      <c r="S3206">
        <v>-1.4189149999999999</v>
      </c>
      <c r="T3206">
        <v>-0.12637689999999999</v>
      </c>
      <c r="U3206">
        <v>-2.769196</v>
      </c>
      <c r="V3206">
        <v>0.21481120000000001</v>
      </c>
      <c r="W3206">
        <v>0.19909940000000001</v>
      </c>
      <c r="X3206">
        <v>0.95614619999999995</v>
      </c>
      <c r="Y3206">
        <v>0.35173359999999998</v>
      </c>
      <c r="Z3206">
        <v>2.7811510000000001E-2</v>
      </c>
      <c r="AA3206">
        <v>0.93568689999999999</v>
      </c>
      <c r="AB3206">
        <v>22</v>
      </c>
      <c r="AC3206">
        <v>-12.539599999999901</v>
      </c>
      <c r="AD3206">
        <v>-1.1191631178000001</v>
      </c>
      <c r="AE3206">
        <v>-24.3218</v>
      </c>
      <c r="AF3206">
        <v>9.6812051913523494</v>
      </c>
      <c r="AG3206">
        <v>-1.1191631178000001</v>
      </c>
      <c r="AH3206">
        <v>25.5453911439884</v>
      </c>
      <c r="AI3206">
        <v>92.345949321292693</v>
      </c>
      <c r="AJ3206">
        <v>69.244268605201697</v>
      </c>
      <c r="AK3206">
        <v>27.3412740877354</v>
      </c>
      <c r="AL3206">
        <v>78.515700530228401</v>
      </c>
      <c r="AM3206">
        <v>77.337966090698202</v>
      </c>
      <c r="AN3206">
        <v>0.99999998925011901</v>
      </c>
    </row>
    <row r="3207" spans="1:40" x14ac:dyDescent="0.25">
      <c r="A3207" t="str">
        <f>"20190303170830661"</f>
        <v>20190303170830661</v>
      </c>
      <c r="B3207" t="str">
        <f>"1551604110645875"</f>
        <v>1551604110645875</v>
      </c>
      <c r="C3207" t="s">
        <v>40</v>
      </c>
      <c r="D3207">
        <v>4.6787650000000003</v>
      </c>
      <c r="E3207">
        <v>0.57166450000000002</v>
      </c>
      <c r="F3207" t="s">
        <v>58</v>
      </c>
      <c r="G3207">
        <v>-204.69030000000001</v>
      </c>
      <c r="H3207" s="1">
        <v>-7.1388509999999997E-6</v>
      </c>
      <c r="I3207">
        <v>137.82560000000001</v>
      </c>
      <c r="J3207">
        <v>-191.93379999999999</v>
      </c>
      <c r="K3207">
        <v>1.1191310000000001</v>
      </c>
      <c r="L3207">
        <v>161.5394</v>
      </c>
      <c r="M3207">
        <v>-0.11731900000000001</v>
      </c>
      <c r="N3207">
        <v>-1.371465E-2</v>
      </c>
      <c r="O3207">
        <v>-0.99299970000000004</v>
      </c>
      <c r="P3207">
        <v>-0.32621409999999901</v>
      </c>
      <c r="Q3207">
        <v>0.1865028</v>
      </c>
      <c r="R3207">
        <v>-0.92671530000000002</v>
      </c>
      <c r="S3207">
        <v>-1.4682919999999999</v>
      </c>
      <c r="T3207">
        <v>-0.12850549999999999</v>
      </c>
      <c r="U3207">
        <v>-2.7494049999999999</v>
      </c>
      <c r="V3207">
        <v>0.21629699999999999</v>
      </c>
      <c r="W3207">
        <v>0.19847500000000001</v>
      </c>
      <c r="X3207">
        <v>0.95594100000000004</v>
      </c>
      <c r="Y3207">
        <v>0.36400440000000001</v>
      </c>
      <c r="Z3207">
        <v>2.8512019999999999E-2</v>
      </c>
      <c r="AA3207">
        <v>0.93096069999999997</v>
      </c>
      <c r="AB3207">
        <v>22</v>
      </c>
      <c r="AC3207">
        <v>-12.756500000000001</v>
      </c>
      <c r="AD3207">
        <v>-1.11913813885099</v>
      </c>
      <c r="AE3207">
        <v>-23.7137999999999</v>
      </c>
      <c r="AF3207">
        <v>9.8690025125564294</v>
      </c>
      <c r="AG3207">
        <v>-1.11913813885099</v>
      </c>
      <c r="AH3207">
        <v>25.003538295193302</v>
      </c>
      <c r="AI3207">
        <v>92.384044638626705</v>
      </c>
      <c r="AJ3207">
        <v>68.460640373976503</v>
      </c>
      <c r="AK3207">
        <v>26.904025870599199</v>
      </c>
      <c r="AL3207">
        <v>78.552204160150396</v>
      </c>
      <c r="AM3207">
        <v>77.250590949870698</v>
      </c>
      <c r="AN3207">
        <v>0.99999995665749897</v>
      </c>
    </row>
    <row r="3208" spans="1:40" x14ac:dyDescent="0.25">
      <c r="A3208" t="str">
        <f>"20190303170830683"</f>
        <v>20190303170830683</v>
      </c>
      <c r="B3208" t="str">
        <f>"1551604110676130"</f>
        <v>1551604110676130</v>
      </c>
      <c r="C3208" t="s">
        <v>40</v>
      </c>
      <c r="D3208">
        <v>4.6502369999999997</v>
      </c>
      <c r="E3208">
        <v>0.57425109999999902</v>
      </c>
      <c r="F3208" t="s">
        <v>58</v>
      </c>
      <c r="G3208">
        <v>-204.7055</v>
      </c>
      <c r="H3208" s="1">
        <v>-7.2912849999999998E-6</v>
      </c>
      <c r="I3208">
        <v>138.3212</v>
      </c>
      <c r="J3208">
        <v>-191.9648</v>
      </c>
      <c r="K3208">
        <v>1.1191199999999999</v>
      </c>
      <c r="L3208">
        <v>161.3141</v>
      </c>
      <c r="M3208">
        <v>-0.12107080000000001</v>
      </c>
      <c r="N3208">
        <v>-1.370131E-2</v>
      </c>
      <c r="O3208">
        <v>-0.99254949999999997</v>
      </c>
      <c r="P3208">
        <v>-0.33066420000000002</v>
      </c>
      <c r="Q3208">
        <v>0.1857153</v>
      </c>
      <c r="R3208">
        <v>-0.92529539999999999</v>
      </c>
      <c r="S3208">
        <v>-1.5040739999999999</v>
      </c>
      <c r="T3208">
        <v>-0.1317961</v>
      </c>
      <c r="U3208">
        <v>-2.734299</v>
      </c>
      <c r="V3208">
        <v>0.2172636</v>
      </c>
      <c r="W3208">
        <v>0.1976627</v>
      </c>
      <c r="X3208">
        <v>0.95589020000000002</v>
      </c>
      <c r="Y3208">
        <v>0.37199019999999999</v>
      </c>
      <c r="Z3208">
        <v>2.9599629999999998E-2</v>
      </c>
      <c r="AA3208">
        <v>0.92776460000000005</v>
      </c>
      <c r="AB3208">
        <v>22</v>
      </c>
      <c r="AC3208">
        <v>-12.7407</v>
      </c>
      <c r="AD3208">
        <v>-1.1191272912850001</v>
      </c>
      <c r="AE3208">
        <v>-22.992899999999899</v>
      </c>
      <c r="AF3208">
        <v>9.8450862106201704</v>
      </c>
      <c r="AG3208">
        <v>-1.1191272912850001</v>
      </c>
      <c r="AH3208">
        <v>24.322316222503002</v>
      </c>
      <c r="AI3208">
        <v>92.442231142168396</v>
      </c>
      <c r="AJ3208">
        <v>67.963086560195194</v>
      </c>
      <c r="AK3208">
        <v>26.263153558094899</v>
      </c>
      <c r="AL3208">
        <v>78.599687251761495</v>
      </c>
      <c r="AM3208">
        <v>77.1948318512231</v>
      </c>
      <c r="AN3208">
        <v>1.0000000446561399</v>
      </c>
    </row>
    <row r="3209" spans="1:40" x14ac:dyDescent="0.25">
      <c r="A3209" t="str">
        <f>"20190303170830705"</f>
        <v>20190303170830705</v>
      </c>
      <c r="B3209" t="str">
        <f>"1551604110696627"</f>
        <v>1551604110696627</v>
      </c>
      <c r="C3209" t="s">
        <v>40</v>
      </c>
      <c r="D3209">
        <v>4.6175329999999999</v>
      </c>
      <c r="E3209">
        <v>0.57557650000000005</v>
      </c>
      <c r="F3209" t="s">
        <v>58</v>
      </c>
      <c r="G3209">
        <v>-204.7388</v>
      </c>
      <c r="H3209" s="1">
        <v>-7.3938360000000004E-6</v>
      </c>
      <c r="I3209">
        <v>138.68360000000001</v>
      </c>
      <c r="J3209">
        <v>-191.9957</v>
      </c>
      <c r="K3209">
        <v>1.119103</v>
      </c>
      <c r="L3209">
        <v>161.09630000000001</v>
      </c>
      <c r="M3209">
        <v>-0.12472709999999999</v>
      </c>
      <c r="N3209">
        <v>-1.368517E-2</v>
      </c>
      <c r="O3209">
        <v>-0.9920968</v>
      </c>
      <c r="P3209">
        <v>-0.3340458</v>
      </c>
      <c r="Q3209">
        <v>0.1852327</v>
      </c>
      <c r="R3209">
        <v>-0.92417680000000002</v>
      </c>
      <c r="S3209">
        <v>-1.5355829999999999</v>
      </c>
      <c r="T3209">
        <v>-0.1345325</v>
      </c>
      <c r="U3209">
        <v>-2.720459</v>
      </c>
      <c r="V3209">
        <v>0.21722739999999999</v>
      </c>
      <c r="W3209">
        <v>0.19716020000000001</v>
      </c>
      <c r="X3209">
        <v>0.95600220000000002</v>
      </c>
      <c r="Y3209">
        <v>0.37872329999999998</v>
      </c>
      <c r="Z3209">
        <v>3.0512190000000002E-2</v>
      </c>
      <c r="AA3209">
        <v>0.92500689999999997</v>
      </c>
      <c r="AB3209">
        <v>22</v>
      </c>
      <c r="AC3209">
        <v>-12.743099999999901</v>
      </c>
      <c r="AD3209">
        <v>-1.1191103938360001</v>
      </c>
      <c r="AE3209">
        <v>-22.412700000000001</v>
      </c>
      <c r="AF3209">
        <v>9.8293192423311702</v>
      </c>
      <c r="AG3209">
        <v>-1.1191103938360001</v>
      </c>
      <c r="AH3209">
        <v>23.782397846441</v>
      </c>
      <c r="AI3209">
        <v>92.490127147522301</v>
      </c>
      <c r="AJ3209">
        <v>67.544580648621306</v>
      </c>
      <c r="AK3209">
        <v>25.757918630348499</v>
      </c>
      <c r="AL3209">
        <v>78.629056370503903</v>
      </c>
      <c r="AM3209">
        <v>77.198345613918406</v>
      </c>
      <c r="AN3209">
        <v>1.0000000470898101</v>
      </c>
    </row>
    <row r="3210" spans="1:40" x14ac:dyDescent="0.25">
      <c r="A3210" t="str">
        <f>"20190303170830726"</f>
        <v>20190303170830726</v>
      </c>
      <c r="B3210" t="str">
        <f>"1551604110716147"</f>
        <v>1551604110716147</v>
      </c>
      <c r="C3210" t="s">
        <v>40</v>
      </c>
      <c r="D3210">
        <v>4.6296920000000004</v>
      </c>
      <c r="E3210">
        <v>0.57656470000000004</v>
      </c>
      <c r="F3210" t="s">
        <v>58</v>
      </c>
      <c r="G3210">
        <v>-204.84219999999999</v>
      </c>
      <c r="H3210" s="1">
        <v>-7.3582229999999997E-6</v>
      </c>
      <c r="I3210">
        <v>138.7021</v>
      </c>
      <c r="J3210">
        <v>-192.02510000000001</v>
      </c>
      <c r="K3210">
        <v>1.1190880000000001</v>
      </c>
      <c r="L3210">
        <v>160.89439999999999</v>
      </c>
      <c r="M3210">
        <v>-0.12813949999999999</v>
      </c>
      <c r="N3210">
        <v>-1.3661649999999999E-2</v>
      </c>
      <c r="O3210">
        <v>-0.99166200000000004</v>
      </c>
      <c r="P3210">
        <v>-0.33715109999999998</v>
      </c>
      <c r="Q3210">
        <v>0.18523410000000001</v>
      </c>
      <c r="R3210">
        <v>-0.92304799999999998</v>
      </c>
      <c r="S3210">
        <v>-1.5552520000000001</v>
      </c>
      <c r="T3210">
        <v>-0.13548370000000001</v>
      </c>
      <c r="U3210">
        <v>-2.7111209999999999</v>
      </c>
      <c r="V3210">
        <v>0.21715690000000001</v>
      </c>
      <c r="W3210">
        <v>0.197135</v>
      </c>
      <c r="X3210">
        <v>0.95602330000000002</v>
      </c>
      <c r="Y3210">
        <v>0.38195820000000003</v>
      </c>
      <c r="Z3210">
        <v>3.0859810000000001E-2</v>
      </c>
      <c r="AA3210">
        <v>0.92366429999999999</v>
      </c>
      <c r="AB3210">
        <v>22</v>
      </c>
      <c r="AC3210">
        <v>-12.8170999999999</v>
      </c>
      <c r="AD3210">
        <v>-1.1190953582230001</v>
      </c>
      <c r="AE3210">
        <v>-22.1922999999999</v>
      </c>
      <c r="AF3210">
        <v>9.8486622599297409</v>
      </c>
      <c r="AG3210">
        <v>-1.1190953582230001</v>
      </c>
      <c r="AH3210">
        <v>23.6068312285005</v>
      </c>
      <c r="AI3210">
        <v>92.505137050679195</v>
      </c>
      <c r="AJ3210">
        <v>67.354325314922406</v>
      </c>
      <c r="AK3210">
        <v>25.603339691959501</v>
      </c>
      <c r="AL3210">
        <v>78.630527880996496</v>
      </c>
      <c r="AM3210">
        <v>77.202636638942195</v>
      </c>
      <c r="AN3210">
        <v>0.99999993879274796</v>
      </c>
    </row>
    <row r="3211" spans="1:40" x14ac:dyDescent="0.25">
      <c r="A3211" t="str">
        <f>"20190303170830748"</f>
        <v>20190303170830748</v>
      </c>
      <c r="B3211" t="str">
        <f>"1551604110736643"</f>
        <v>1551604110736643</v>
      </c>
      <c r="C3211" t="s">
        <v>40</v>
      </c>
      <c r="D3211">
        <v>4.6102290000000004</v>
      </c>
      <c r="E3211">
        <v>0.57739589999999996</v>
      </c>
      <c r="F3211" t="s">
        <v>58</v>
      </c>
      <c r="G3211">
        <v>-204.9555</v>
      </c>
      <c r="H3211" s="1">
        <v>-7.2955669999999998E-6</v>
      </c>
      <c r="I3211">
        <v>138.64850000000001</v>
      </c>
      <c r="J3211">
        <v>-192.0556</v>
      </c>
      <c r="K3211">
        <v>1.1190709999999999</v>
      </c>
      <c r="L3211">
        <v>160.68979999999999</v>
      </c>
      <c r="M3211">
        <v>-0.1316165</v>
      </c>
      <c r="N3211">
        <v>-1.362729E-2</v>
      </c>
      <c r="O3211">
        <v>-0.99120739999999996</v>
      </c>
      <c r="P3211">
        <v>-0.34136830000000001</v>
      </c>
      <c r="Q3211">
        <v>0.1844008</v>
      </c>
      <c r="R3211">
        <v>-0.92166409999999999</v>
      </c>
      <c r="S3211">
        <v>-1.5713809999999999</v>
      </c>
      <c r="T3211">
        <v>-0.1359987</v>
      </c>
      <c r="U3211">
        <v>-2.7034449999999999</v>
      </c>
      <c r="V3211">
        <v>0.2181555</v>
      </c>
      <c r="W3211">
        <v>0.1962584</v>
      </c>
      <c r="X3211">
        <v>0.95597639999999995</v>
      </c>
      <c r="Y3211">
        <v>0.38397330000000002</v>
      </c>
      <c r="Z3211">
        <v>3.1074540000000001E-2</v>
      </c>
      <c r="AA3211">
        <v>0.92282120000000001</v>
      </c>
      <c r="AB3211">
        <v>22</v>
      </c>
      <c r="AC3211">
        <v>-12.899900000000001</v>
      </c>
      <c r="AD3211">
        <v>-1.119078295567</v>
      </c>
      <c r="AE3211">
        <v>-22.0412999999999</v>
      </c>
      <c r="AF3211">
        <v>9.8674456188331394</v>
      </c>
      <c r="AG3211">
        <v>-1.119078295567</v>
      </c>
      <c r="AH3211">
        <v>23.502390635510501</v>
      </c>
      <c r="AI3211">
        <v>92.513843471442399</v>
      </c>
      <c r="AJ3211">
        <v>67.224968890153306</v>
      </c>
      <c r="AK3211">
        <v>25.5143329298723</v>
      </c>
      <c r="AL3211">
        <v>78.681755143009397</v>
      </c>
      <c r="AM3211">
        <v>77.145128705824703</v>
      </c>
      <c r="AN3211">
        <v>1.00000002955388</v>
      </c>
    </row>
    <row r="3212" spans="1:40" x14ac:dyDescent="0.25">
      <c r="A3212" t="str">
        <f>"20190303170830771"</f>
        <v>20190303170830771</v>
      </c>
      <c r="B3212" t="str">
        <f>"1551604110765923"</f>
        <v>1551604110765923</v>
      </c>
      <c r="C3212" t="s">
        <v>40</v>
      </c>
      <c r="D3212">
        <v>4.5862769999999999</v>
      </c>
      <c r="E3212">
        <v>0.57845040000000003</v>
      </c>
      <c r="F3212" t="s">
        <v>58</v>
      </c>
      <c r="G3212">
        <v>-204.8228</v>
      </c>
      <c r="H3212" s="1">
        <v>-7.4735630000000004E-6</v>
      </c>
      <c r="I3212">
        <v>139.0384</v>
      </c>
      <c r="J3212">
        <v>-192.08930000000001</v>
      </c>
      <c r="K3212">
        <v>1.119049</v>
      </c>
      <c r="L3212">
        <v>160.46960000000001</v>
      </c>
      <c r="M3212">
        <v>-0.1353811</v>
      </c>
      <c r="N3212">
        <v>-1.357975E-2</v>
      </c>
      <c r="O3212">
        <v>-0.99070069999999999</v>
      </c>
      <c r="P3212">
        <v>-0.34513630000000001</v>
      </c>
      <c r="Q3212">
        <v>0.18348919999999999</v>
      </c>
      <c r="R3212">
        <v>-0.92044179999999998</v>
      </c>
      <c r="S3212">
        <v>-1.5888059999999999</v>
      </c>
      <c r="T3212">
        <v>-0.1392629</v>
      </c>
      <c r="U3212">
        <v>-2.6943969999999999</v>
      </c>
      <c r="V3212">
        <v>0.21840960000000001</v>
      </c>
      <c r="W3212">
        <v>0.19529740000000001</v>
      </c>
      <c r="X3212">
        <v>0.9561151</v>
      </c>
      <c r="Y3212">
        <v>0.38623030000000003</v>
      </c>
      <c r="Z3212">
        <v>3.2203759999999998E-2</v>
      </c>
      <c r="AA3212">
        <v>0.92183999999999999</v>
      </c>
      <c r="AB3212">
        <v>22</v>
      </c>
      <c r="AC3212">
        <v>-12.7334999999999</v>
      </c>
      <c r="AD3212">
        <v>-1.119056473563</v>
      </c>
      <c r="AE3212">
        <v>-21.4312</v>
      </c>
      <c r="AF3212">
        <v>9.6950651636383505</v>
      </c>
      <c r="AG3212">
        <v>-1.119056473563</v>
      </c>
      <c r="AH3212">
        <v>22.9117228227529</v>
      </c>
      <c r="AI3212">
        <v>92.575474484642797</v>
      </c>
      <c r="AJ3212">
        <v>67.0644126920064</v>
      </c>
      <c r="AK3212">
        <v>24.903686848032599</v>
      </c>
      <c r="AL3212">
        <v>78.737902107770907</v>
      </c>
      <c r="AM3212">
        <v>77.132458819552298</v>
      </c>
      <c r="AN3212">
        <v>0.99999995613346304</v>
      </c>
    </row>
    <row r="3213" spans="1:40" x14ac:dyDescent="0.25">
      <c r="A3213" t="str">
        <f>"20190303170830794"</f>
        <v>20190303170830794</v>
      </c>
      <c r="B3213" t="str">
        <f>"1551604110786419"</f>
        <v>1551604110786419</v>
      </c>
      <c r="C3213" t="s">
        <v>40</v>
      </c>
      <c r="D3213">
        <v>4.6109479999999996</v>
      </c>
      <c r="E3213">
        <v>0.57897049999999906</v>
      </c>
      <c r="F3213" t="s">
        <v>58</v>
      </c>
      <c r="G3213">
        <v>-204.828</v>
      </c>
      <c r="H3213" s="1">
        <v>-7.524151E-6</v>
      </c>
      <c r="I3213">
        <v>139.203</v>
      </c>
      <c r="J3213">
        <v>-192.1249</v>
      </c>
      <c r="K3213">
        <v>1.1190230000000001</v>
      </c>
      <c r="L3213">
        <v>160.24369999999999</v>
      </c>
      <c r="M3213">
        <v>-0.13927529999999999</v>
      </c>
      <c r="N3213">
        <v>-1.352306E-2</v>
      </c>
      <c r="O3213">
        <v>-0.99016150000000003</v>
      </c>
      <c r="P3213">
        <v>-0.34807870000000002</v>
      </c>
      <c r="Q3213">
        <v>0.18380450000000001</v>
      </c>
      <c r="R3213">
        <v>-0.91926989999999997</v>
      </c>
      <c r="S3213">
        <v>-1.6080319999999999</v>
      </c>
      <c r="T3213">
        <v>-0.14126069999999999</v>
      </c>
      <c r="U3213">
        <v>-2.6845249999999998</v>
      </c>
      <c r="V3213">
        <v>0.21772079999999999</v>
      </c>
      <c r="W3213">
        <v>0.19555929999999999</v>
      </c>
      <c r="X3213">
        <v>0.95621869999999998</v>
      </c>
      <c r="Y3213">
        <v>0.38894469999999998</v>
      </c>
      <c r="Z3213">
        <v>3.2928760000000001E-2</v>
      </c>
      <c r="AA3213">
        <v>0.92067239999999995</v>
      </c>
      <c r="AB3213">
        <v>22</v>
      </c>
      <c r="AC3213">
        <v>-12.703099999999999</v>
      </c>
      <c r="AD3213">
        <v>-1.1190305241509999</v>
      </c>
      <c r="AE3213">
        <v>-21.040699999999902</v>
      </c>
      <c r="AF3213">
        <v>9.6285920504440998</v>
      </c>
      <c r="AG3213">
        <v>-1.1190305241509999</v>
      </c>
      <c r="AH3213">
        <v>22.5582208644432</v>
      </c>
      <c r="AI3213">
        <v>92.612255680520207</v>
      </c>
      <c r="AJ3213">
        <v>66.885613381088305</v>
      </c>
      <c r="AK3213">
        <v>24.552705406061801</v>
      </c>
      <c r="AL3213">
        <v>78.722601749365197</v>
      </c>
      <c r="AM3213">
        <v>77.173038500259693</v>
      </c>
      <c r="AN3213">
        <v>0.99999999439941001</v>
      </c>
    </row>
    <row r="3214" spans="1:40" x14ac:dyDescent="0.25">
      <c r="A3214" t="str">
        <f>"20190303170830818"</f>
        <v>20190303170830818</v>
      </c>
      <c r="B3214" t="str">
        <f>"1551604110805939"</f>
        <v>1551604110805939</v>
      </c>
      <c r="C3214" t="s">
        <v>40</v>
      </c>
      <c r="D3214">
        <v>4.5981129999999997</v>
      </c>
      <c r="E3214">
        <v>0.57953160000000004</v>
      </c>
      <c r="F3214" t="s">
        <v>58</v>
      </c>
      <c r="G3214">
        <v>-205.27090000000001</v>
      </c>
      <c r="H3214" s="1">
        <v>-7.123268E-6</v>
      </c>
      <c r="I3214">
        <v>138.54669999999999</v>
      </c>
      <c r="J3214">
        <v>-192.1626</v>
      </c>
      <c r="K3214">
        <v>1.119005</v>
      </c>
      <c r="L3214">
        <v>160.0104</v>
      </c>
      <c r="M3214">
        <v>-0.1433247</v>
      </c>
      <c r="N3214">
        <v>-1.346033E-2</v>
      </c>
      <c r="O3214">
        <v>-0.98958420000000002</v>
      </c>
      <c r="P3214">
        <v>-0.35105019999999998</v>
      </c>
      <c r="Q3214">
        <v>0.18392919999999999</v>
      </c>
      <c r="R3214">
        <v>-0.91811430000000005</v>
      </c>
      <c r="S3214">
        <v>-1.621918</v>
      </c>
      <c r="T3214">
        <v>-0.13806370000000001</v>
      </c>
      <c r="U3214">
        <v>-2.6769259999999999</v>
      </c>
      <c r="V3214">
        <v>0.21690709999999999</v>
      </c>
      <c r="W3214">
        <v>0.19562660000000001</v>
      </c>
      <c r="X3214">
        <v>0.95638979999999996</v>
      </c>
      <c r="Y3214">
        <v>0.38984799999999997</v>
      </c>
      <c r="Z3214">
        <v>3.1975379999999998E-2</v>
      </c>
      <c r="AA3214">
        <v>0.92032400000000003</v>
      </c>
      <c r="AB3214">
        <v>22</v>
      </c>
      <c r="AC3214">
        <v>-13.1083</v>
      </c>
      <c r="AD3214">
        <v>-1.1190121232679999</v>
      </c>
      <c r="AE3214">
        <v>-21.463699999999999</v>
      </c>
      <c r="AF3214">
        <v>9.8768315249749996</v>
      </c>
      <c r="AG3214">
        <v>-1.1190121232679999</v>
      </c>
      <c r="AH3214">
        <v>23.075293856995099</v>
      </c>
      <c r="AI3214">
        <v>92.552656855018398</v>
      </c>
      <c r="AJ3214">
        <v>66.827804035202504</v>
      </c>
      <c r="AK3214">
        <v>25.1251502620668</v>
      </c>
      <c r="AL3214">
        <v>78.718669326390298</v>
      </c>
      <c r="AM3214">
        <v>77.2216115551238</v>
      </c>
      <c r="AN3214">
        <v>0.99999995310100298</v>
      </c>
    </row>
    <row r="3215" spans="1:40" x14ac:dyDescent="0.25">
      <c r="A3215" t="str">
        <f>"20190303170830837"</f>
        <v>20190303170830837</v>
      </c>
      <c r="B3215" t="str">
        <f>"1551604110826434"</f>
        <v>1551604110826434</v>
      </c>
      <c r="C3215" t="s">
        <v>40</v>
      </c>
      <c r="D3215">
        <v>4.5838559999999999</v>
      </c>
      <c r="E3215">
        <v>0.57996119999999995</v>
      </c>
      <c r="F3215" t="s">
        <v>58</v>
      </c>
      <c r="G3215">
        <v>-205.5514</v>
      </c>
      <c r="H3215" s="1">
        <v>-6.8725130000000004E-6</v>
      </c>
      <c r="I3215">
        <v>138.15180000000001</v>
      </c>
      <c r="J3215">
        <v>-192.19329999999999</v>
      </c>
      <c r="K3215">
        <v>1.118989</v>
      </c>
      <c r="L3215">
        <v>159.82480000000001</v>
      </c>
      <c r="M3215">
        <v>-0.14657719999999999</v>
      </c>
      <c r="N3215">
        <v>-1.340044E-2</v>
      </c>
      <c r="O3215">
        <v>-0.98910869999999995</v>
      </c>
      <c r="P3215">
        <v>-0.3538211</v>
      </c>
      <c r="Q3215">
        <v>0.1840733</v>
      </c>
      <c r="R3215">
        <v>-0.91702139999999999</v>
      </c>
      <c r="S3215">
        <v>-1.6352390000000001</v>
      </c>
      <c r="T3215">
        <v>-0.13667000000000001</v>
      </c>
      <c r="U3215">
        <v>-2.6696930000000001</v>
      </c>
      <c r="V3215">
        <v>0.2166595</v>
      </c>
      <c r="W3215">
        <v>0.19571079999999999</v>
      </c>
      <c r="X3215">
        <v>0.95642879999999997</v>
      </c>
      <c r="Y3215">
        <v>0.39127919999999999</v>
      </c>
      <c r="Z3215">
        <v>3.1599660000000002E-2</v>
      </c>
      <c r="AA3215">
        <v>0.91972940000000003</v>
      </c>
      <c r="AB3215">
        <v>22</v>
      </c>
      <c r="AC3215">
        <v>-13.3581</v>
      </c>
      <c r="AD3215">
        <v>-1.118995872513</v>
      </c>
      <c r="AE3215">
        <v>-21.672999999999998</v>
      </c>
      <c r="AF3215">
        <v>10.0173918957145</v>
      </c>
      <c r="AG3215">
        <v>-1.118995872513</v>
      </c>
      <c r="AH3215">
        <v>23.351928378622201</v>
      </c>
      <c r="AI3215">
        <v>92.521554905975904</v>
      </c>
      <c r="AJ3215">
        <v>66.7818807190976</v>
      </c>
      <c r="AK3215">
        <v>25.434481538952799</v>
      </c>
      <c r="AL3215">
        <v>78.713751070137505</v>
      </c>
      <c r="AM3215">
        <v>77.236223437592002</v>
      </c>
      <c r="AN3215">
        <v>1.0000000528231601</v>
      </c>
    </row>
    <row r="3216" spans="1:40" x14ac:dyDescent="0.25">
      <c r="A3216" t="str">
        <f>"20190303170830862"</f>
        <v>20190303170830862</v>
      </c>
      <c r="B3216" t="str">
        <f>"1551604110845955"</f>
        <v>1551604110845955</v>
      </c>
      <c r="C3216" t="s">
        <v>40</v>
      </c>
      <c r="D3216">
        <v>4.8772330000000004</v>
      </c>
      <c r="E3216">
        <v>0.58031080000000002</v>
      </c>
      <c r="F3216" t="s">
        <v>58</v>
      </c>
      <c r="G3216">
        <v>-205.75899999999999</v>
      </c>
      <c r="H3216" s="1">
        <v>-6.6920880000000004E-6</v>
      </c>
      <c r="I3216">
        <v>137.87549999999999</v>
      </c>
      <c r="J3216">
        <v>-192.23259999999999</v>
      </c>
      <c r="K3216">
        <v>1.1189480000000001</v>
      </c>
      <c r="L3216">
        <v>159.59289999999999</v>
      </c>
      <c r="M3216">
        <v>-0.15068529999999999</v>
      </c>
      <c r="N3216">
        <v>-1.330541E-2</v>
      </c>
      <c r="O3216">
        <v>-0.98849240000000005</v>
      </c>
      <c r="P3216">
        <v>-0.35725709999999999</v>
      </c>
      <c r="Q3216">
        <v>0.1837618</v>
      </c>
      <c r="R3216">
        <v>-0.91575059999999997</v>
      </c>
      <c r="S3216">
        <v>-1.64621</v>
      </c>
      <c r="T3216">
        <v>-0.1357911</v>
      </c>
      <c r="U3216">
        <v>-2.6635589999999998</v>
      </c>
      <c r="V3216">
        <v>0.2162694</v>
      </c>
      <c r="W3216">
        <v>0.19530210000000001</v>
      </c>
      <c r="X3216">
        <v>0.95660049999999996</v>
      </c>
      <c r="Y3216">
        <v>0.39115040000000001</v>
      </c>
      <c r="Z3216">
        <v>3.1426210000000003E-2</v>
      </c>
      <c r="AA3216">
        <v>0.91979010000000005</v>
      </c>
      <c r="AB3216">
        <v>22</v>
      </c>
      <c r="AC3216">
        <v>-13.526400000000001</v>
      </c>
      <c r="AD3216">
        <v>-1.118954692088</v>
      </c>
      <c r="AE3216">
        <v>-21.717400000000001</v>
      </c>
      <c r="AF3216">
        <v>10.0798634559986</v>
      </c>
      <c r="AG3216">
        <v>-1.118954692088</v>
      </c>
      <c r="AH3216">
        <v>23.46291455307</v>
      </c>
      <c r="AI3216">
        <v>92.508974904665394</v>
      </c>
      <c r="AJ3216">
        <v>66.751237233819396</v>
      </c>
      <c r="AK3216">
        <v>25.560987191796499</v>
      </c>
      <c r="AL3216">
        <v>78.737627347516593</v>
      </c>
      <c r="AM3216">
        <v>77.260666364025298</v>
      </c>
      <c r="AN3216">
        <v>0.99999994012050797</v>
      </c>
    </row>
    <row r="3217" spans="1:40" x14ac:dyDescent="0.25">
      <c r="A3217" t="str">
        <f>"20190303170830884"</f>
        <v>20190303170830884</v>
      </c>
      <c r="B3217" t="str">
        <f>"1551604110876211"</f>
        <v>1551604110876211</v>
      </c>
      <c r="C3217" t="s">
        <v>40</v>
      </c>
      <c r="D3217">
        <v>4.5678580000000002</v>
      </c>
      <c r="E3217">
        <v>0.58098099999999997</v>
      </c>
      <c r="F3217" t="s">
        <v>58</v>
      </c>
      <c r="G3217">
        <v>-205.7722</v>
      </c>
      <c r="H3217" s="1">
        <v>-6.7000859999999996E-6</v>
      </c>
      <c r="I3217">
        <v>137.91890000000001</v>
      </c>
      <c r="J3217">
        <v>-192.26990000000001</v>
      </c>
      <c r="K3217">
        <v>1.118908</v>
      </c>
      <c r="L3217">
        <v>159.37809999999999</v>
      </c>
      <c r="M3217">
        <v>-0.15454409999999999</v>
      </c>
      <c r="N3217">
        <v>-1.320171E-2</v>
      </c>
      <c r="O3217">
        <v>-0.98789780000000005</v>
      </c>
      <c r="P3217">
        <v>-0.36038609999999999</v>
      </c>
      <c r="Q3217">
        <v>0.1839537</v>
      </c>
      <c r="R3217">
        <v>-0.91448499999999999</v>
      </c>
      <c r="S3217">
        <v>-1.6593020000000001</v>
      </c>
      <c r="T3217">
        <v>-0.13712939999999901</v>
      </c>
      <c r="U3217">
        <v>-2.6561889999999999</v>
      </c>
      <c r="V3217">
        <v>0.21582380000000001</v>
      </c>
      <c r="W3217">
        <v>0.195383</v>
      </c>
      <c r="X3217">
        <v>0.95668470000000005</v>
      </c>
      <c r="Y3217">
        <v>0.39195649999999999</v>
      </c>
      <c r="Z3217">
        <v>3.1981519999999999E-2</v>
      </c>
      <c r="AA3217">
        <v>0.91942769999999996</v>
      </c>
      <c r="AB3217">
        <v>22</v>
      </c>
      <c r="AC3217">
        <v>-13.5022999999999</v>
      </c>
      <c r="AD3217">
        <v>-1.118914700086</v>
      </c>
      <c r="AE3217">
        <v>-21.4591999999999</v>
      </c>
      <c r="AF3217">
        <v>10.003887965463001</v>
      </c>
      <c r="AG3217">
        <v>-1.118914700086</v>
      </c>
      <c r="AH3217">
        <v>23.242954880022602</v>
      </c>
      <c r="AI3217">
        <v>92.531866098871802</v>
      </c>
      <c r="AJ3217">
        <v>66.712706056605697</v>
      </c>
      <c r="AK3217">
        <v>25.329127424496299</v>
      </c>
      <c r="AL3217">
        <v>78.732902004989896</v>
      </c>
      <c r="AM3217">
        <v>77.287142996371799</v>
      </c>
      <c r="AN3217">
        <v>1.00000002227476</v>
      </c>
    </row>
    <row r="3218" spans="1:40" x14ac:dyDescent="0.25">
      <c r="A3218" t="str">
        <f>"20190303170830907"</f>
        <v>20190303170830907</v>
      </c>
      <c r="B3218" t="str">
        <f>"1551604110896707"</f>
        <v>1551604110896707</v>
      </c>
      <c r="C3218" t="s">
        <v>40</v>
      </c>
      <c r="D3218">
        <v>4.5698470000000002</v>
      </c>
      <c r="E3218">
        <v>0.58134229999999998</v>
      </c>
      <c r="F3218" t="s">
        <v>58</v>
      </c>
      <c r="G3218">
        <v>-205.82749999999999</v>
      </c>
      <c r="H3218" s="1">
        <v>-6.6816620000000001E-6</v>
      </c>
      <c r="I3218">
        <v>137.93780000000001</v>
      </c>
      <c r="J3218">
        <v>-192.31010000000001</v>
      </c>
      <c r="K3218">
        <v>1.1188579999999999</v>
      </c>
      <c r="L3218">
        <v>159.15219999999999</v>
      </c>
      <c r="M3218">
        <v>-0.158657399999999</v>
      </c>
      <c r="N3218">
        <v>-1.308745E-2</v>
      </c>
      <c r="O3218">
        <v>-0.98724710000000004</v>
      </c>
      <c r="P3218">
        <v>-0.36389320000000003</v>
      </c>
      <c r="Q3218">
        <v>0.18541360000000001</v>
      </c>
      <c r="R3218">
        <v>-0.91280019999999995</v>
      </c>
      <c r="S3218">
        <v>-1.6746669999999999</v>
      </c>
      <c r="T3218">
        <v>-0.13821159999999999</v>
      </c>
      <c r="U3218">
        <v>-2.648361</v>
      </c>
      <c r="V3218">
        <v>0.2155823</v>
      </c>
      <c r="W3218">
        <v>0.19671279999999999</v>
      </c>
      <c r="X3218">
        <v>0.95646659999999994</v>
      </c>
      <c r="Y3218">
        <v>0.39315820000000001</v>
      </c>
      <c r="Z3218">
        <v>3.2454009999999998E-2</v>
      </c>
      <c r="AA3218">
        <v>0.91889790000000005</v>
      </c>
      <c r="AB3218">
        <v>22</v>
      </c>
      <c r="AC3218">
        <v>-13.517399999999901</v>
      </c>
      <c r="AD3218">
        <v>-1.11886468166199</v>
      </c>
      <c r="AE3218">
        <v>-21.214399999999898</v>
      </c>
      <c r="AF3218">
        <v>9.9603404081512004</v>
      </c>
      <c r="AG3218">
        <v>-1.11886468166199</v>
      </c>
      <c r="AH3218">
        <v>23.044873249961899</v>
      </c>
      <c r="AI3218">
        <v>92.551808153573305</v>
      </c>
      <c r="AJ3218">
        <v>66.625274044983996</v>
      </c>
      <c r="AK3218">
        <v>25.1301894606652</v>
      </c>
      <c r="AL3218">
        <v>78.655202061463598</v>
      </c>
      <c r="AM3218">
        <v>77.298104921043603</v>
      </c>
      <c r="AN3218">
        <v>1.00000000533634</v>
      </c>
    </row>
    <row r="3219" spans="1:40" x14ac:dyDescent="0.25">
      <c r="A3219" t="str">
        <f>"20190303170830927"</f>
        <v>20190303170830927</v>
      </c>
      <c r="B3219" t="str">
        <f>"1551604110916227"</f>
        <v>1551604110916227</v>
      </c>
      <c r="C3219" t="s">
        <v>40</v>
      </c>
      <c r="D3219">
        <v>4.566287</v>
      </c>
      <c r="E3219">
        <v>0.58170279999999996</v>
      </c>
      <c r="F3219" t="s">
        <v>58</v>
      </c>
      <c r="G3219">
        <v>-206.21209999999999</v>
      </c>
      <c r="H3219" s="1">
        <v>-6.3366769999999901E-6</v>
      </c>
      <c r="I3219">
        <v>137.39250000000001</v>
      </c>
      <c r="J3219">
        <v>-192.34530000000001</v>
      </c>
      <c r="K3219">
        <v>1.118811</v>
      </c>
      <c r="L3219">
        <v>158.95910000000001</v>
      </c>
      <c r="M3219">
        <v>-0.16223760000000001</v>
      </c>
      <c r="N3219">
        <v>-1.2988700000000001E-2</v>
      </c>
      <c r="O3219">
        <v>-0.98666640000000005</v>
      </c>
      <c r="P3219">
        <v>-0.36751460000000002</v>
      </c>
      <c r="Q3219">
        <v>0.18666440000000001</v>
      </c>
      <c r="R3219">
        <v>-0.91109289999999998</v>
      </c>
      <c r="S3219">
        <v>-1.68757599999999</v>
      </c>
      <c r="T3219">
        <v>-0.1358203</v>
      </c>
      <c r="U3219">
        <v>-2.6414339999999998</v>
      </c>
      <c r="V3219">
        <v>0.21597710000000001</v>
      </c>
      <c r="W3219">
        <v>0.19784309999999999</v>
      </c>
      <c r="X3219">
        <v>0.95614429999999995</v>
      </c>
      <c r="Y3219">
        <v>0.39412150000000001</v>
      </c>
      <c r="Z3219">
        <v>3.1785229999999998E-2</v>
      </c>
      <c r="AA3219">
        <v>0.91850849999999995</v>
      </c>
      <c r="AB3219">
        <v>22</v>
      </c>
      <c r="AC3219">
        <v>-13.8667999999999</v>
      </c>
      <c r="AD3219">
        <v>-1.118817336677</v>
      </c>
      <c r="AE3219">
        <v>-21.566599999999902</v>
      </c>
      <c r="AF3219">
        <v>10.164495626376601</v>
      </c>
      <c r="AG3219">
        <v>-1.118817336677</v>
      </c>
      <c r="AH3219">
        <v>23.486017844304399</v>
      </c>
      <c r="AI3219">
        <v>92.5033094676877</v>
      </c>
      <c r="AJ3219">
        <v>66.597558646677101</v>
      </c>
      <c r="AK3219">
        <v>25.615654544720599</v>
      </c>
      <c r="AL3219">
        <v>78.589141896648499</v>
      </c>
      <c r="AM3219">
        <v>77.271450905983599</v>
      </c>
      <c r="AN3219">
        <v>0.99999996118225398</v>
      </c>
    </row>
    <row r="3220" spans="1:40" x14ac:dyDescent="0.25">
      <c r="A3220" t="str">
        <f>"20190303170830949"</f>
        <v>20190303170830949</v>
      </c>
      <c r="B3220" t="str">
        <f>"1551604110936723"</f>
        <v>1551604110936723</v>
      </c>
      <c r="C3220" t="s">
        <v>40</v>
      </c>
      <c r="D3220">
        <v>4.5773580000000003</v>
      </c>
      <c r="E3220">
        <v>0.5820343</v>
      </c>
      <c r="F3220" t="s">
        <v>58</v>
      </c>
      <c r="G3220">
        <v>-207.03450000000001</v>
      </c>
      <c r="H3220" s="1">
        <v>-5.5980649999999999E-6</v>
      </c>
      <c r="I3220">
        <v>136.22370000000001</v>
      </c>
      <c r="J3220">
        <v>-192.38380000000001</v>
      </c>
      <c r="K3220">
        <v>1.1187579999999999</v>
      </c>
      <c r="L3220">
        <v>158.75309999999999</v>
      </c>
      <c r="M3220">
        <v>-0.16612379999999999</v>
      </c>
      <c r="N3220">
        <v>-1.2885799999999999E-2</v>
      </c>
      <c r="O3220">
        <v>-0.98602089999999998</v>
      </c>
      <c r="P3220">
        <v>-0.371917</v>
      </c>
      <c r="Q3220">
        <v>0.18636559999999999</v>
      </c>
      <c r="R3220">
        <v>-0.9093658</v>
      </c>
      <c r="S3220">
        <v>-1.7012179999999999</v>
      </c>
      <c r="T3220">
        <v>-0.1295751</v>
      </c>
      <c r="U3220">
        <v>-2.6330870000000002</v>
      </c>
      <c r="V3220">
        <v>0.2168457</v>
      </c>
      <c r="W3220">
        <v>0.19741590000000001</v>
      </c>
      <c r="X3220">
        <v>0.956036</v>
      </c>
      <c r="Y3220">
        <v>0.3952232</v>
      </c>
      <c r="Z3220">
        <v>2.9881089999999999E-2</v>
      </c>
      <c r="AA3220">
        <v>0.918099</v>
      </c>
      <c r="AB3220">
        <v>22</v>
      </c>
      <c r="AC3220">
        <v>-14.650700000000001</v>
      </c>
      <c r="AD3220">
        <v>-1.1187635980649999</v>
      </c>
      <c r="AE3220">
        <v>-22.5293999999999</v>
      </c>
      <c r="AF3220">
        <v>10.685594978207</v>
      </c>
      <c r="AG3220">
        <v>-1.1187635980649999</v>
      </c>
      <c r="AH3220">
        <v>24.6076850439485</v>
      </c>
      <c r="AI3220">
        <v>92.387962917120902</v>
      </c>
      <c r="AJ3220">
        <v>66.527676518290804</v>
      </c>
      <c r="AK3220">
        <v>26.850916841865999</v>
      </c>
      <c r="AL3220">
        <v>78.614111163582095</v>
      </c>
      <c r="AM3220">
        <v>77.220537643524494</v>
      </c>
      <c r="AN3220">
        <v>0.99999996423864901</v>
      </c>
    </row>
    <row r="3221" spans="1:40" x14ac:dyDescent="0.25">
      <c r="A3221" t="str">
        <f>"20190303170830973"</f>
        <v>20190303170830973</v>
      </c>
      <c r="B3221" t="str">
        <f>"1551604110966002"</f>
        <v>1551604110966002</v>
      </c>
      <c r="C3221" t="s">
        <v>40</v>
      </c>
      <c r="D3221">
        <v>4.5583229999999997</v>
      </c>
      <c r="E3221">
        <v>0.5824838</v>
      </c>
      <c r="F3221" t="s">
        <v>58</v>
      </c>
      <c r="G3221">
        <v>-207.14869999999999</v>
      </c>
      <c r="H3221" s="1">
        <v>-5.5358459999999996E-6</v>
      </c>
      <c r="I3221">
        <v>136.1874</v>
      </c>
      <c r="J3221">
        <v>-192.42869999999999</v>
      </c>
      <c r="K3221">
        <v>1.1186910000000001</v>
      </c>
      <c r="L3221">
        <v>158.5189</v>
      </c>
      <c r="M3221">
        <v>-0.1706443</v>
      </c>
      <c r="N3221">
        <v>-1.277088E-2</v>
      </c>
      <c r="O3221">
        <v>-0.98525010000000002</v>
      </c>
      <c r="P3221">
        <v>-0.37659399999999998</v>
      </c>
      <c r="Q3221">
        <v>0.18564349999999999</v>
      </c>
      <c r="R3221">
        <v>-0.90758689999999997</v>
      </c>
      <c r="S3221">
        <v>-1.716629</v>
      </c>
      <c r="T3221">
        <v>-0.1300724</v>
      </c>
      <c r="U3221">
        <v>-2.6235810000000002</v>
      </c>
      <c r="V3221">
        <v>0.2173813</v>
      </c>
      <c r="W3221">
        <v>0.196552</v>
      </c>
      <c r="X3221">
        <v>0.95609239999999995</v>
      </c>
      <c r="Y3221">
        <v>0.39630779999999999</v>
      </c>
      <c r="Z3221">
        <v>3.0180200000000001E-2</v>
      </c>
      <c r="AA3221">
        <v>0.91762160000000004</v>
      </c>
      <c r="AB3221">
        <v>22</v>
      </c>
      <c r="AC3221">
        <v>-14.72</v>
      </c>
      <c r="AD3221">
        <v>-1.1186965358459999</v>
      </c>
      <c r="AE3221">
        <v>-22.331499999999998</v>
      </c>
      <c r="AF3221">
        <v>10.6743347637494</v>
      </c>
      <c r="AG3221">
        <v>-1.1186965358459999</v>
      </c>
      <c r="AH3221">
        <v>24.473178348872501</v>
      </c>
      <c r="AI3221">
        <v>92.399238430099302</v>
      </c>
      <c r="AJ3221">
        <v>66.434872903081995</v>
      </c>
      <c r="AK3221">
        <v>26.7231989680058</v>
      </c>
      <c r="AL3221">
        <v>78.664598583737401</v>
      </c>
      <c r="AM3221">
        <v>77.190743818921405</v>
      </c>
      <c r="AN3221">
        <v>0.99999999781572502</v>
      </c>
    </row>
    <row r="3222" spans="1:40" x14ac:dyDescent="0.25">
      <c r="A3222" t="str">
        <f>"20190303170830995"</f>
        <v>20190303170830995</v>
      </c>
      <c r="B3222" t="str">
        <f>"1551604110986499"</f>
        <v>1551604110986499</v>
      </c>
      <c r="C3222" t="s">
        <v>40</v>
      </c>
      <c r="D3222">
        <v>4.5719659999999998</v>
      </c>
      <c r="E3222">
        <v>0.58274859999999995</v>
      </c>
      <c r="F3222" t="s">
        <v>58</v>
      </c>
      <c r="G3222">
        <v>-207.13650000000001</v>
      </c>
      <c r="H3222" s="1">
        <v>-5.5948329999999996E-6</v>
      </c>
      <c r="I3222">
        <v>136.35499999999999</v>
      </c>
      <c r="J3222">
        <v>-192.46969999999999</v>
      </c>
      <c r="K3222">
        <v>1.1186240000000001</v>
      </c>
      <c r="L3222">
        <v>158.31030000000001</v>
      </c>
      <c r="M3222">
        <v>-0.17475250000000001</v>
      </c>
      <c r="N3222">
        <v>-1.26683E-2</v>
      </c>
      <c r="O3222">
        <v>-0.98453089999999999</v>
      </c>
      <c r="P3222">
        <v>-0.38150469999999997</v>
      </c>
      <c r="Q3222">
        <v>0.18548909999999999</v>
      </c>
      <c r="R3222">
        <v>-0.90556510000000001</v>
      </c>
      <c r="S3222">
        <v>-1.733948</v>
      </c>
      <c r="T3222">
        <v>-0.13188620000000001</v>
      </c>
      <c r="U3222">
        <v>-2.6129609999999999</v>
      </c>
      <c r="V3222">
        <v>0.21859319999999999</v>
      </c>
      <c r="W3222">
        <v>0.19626160000000001</v>
      </c>
      <c r="X3222">
        <v>0.95587569999999999</v>
      </c>
      <c r="Y3222">
        <v>0.39840710000000001</v>
      </c>
      <c r="Z3222">
        <v>3.0894520000000002E-2</v>
      </c>
      <c r="AA3222">
        <v>0.91668819999999995</v>
      </c>
      <c r="AB3222">
        <v>22</v>
      </c>
      <c r="AC3222">
        <v>-14.6668</v>
      </c>
      <c r="AD3222">
        <v>-1.1186295948330001</v>
      </c>
      <c r="AE3222">
        <v>-21.955300000000001</v>
      </c>
      <c r="AF3222">
        <v>10.5850257681012</v>
      </c>
      <c r="AG3222">
        <v>-1.1186295948330001</v>
      </c>
      <c r="AH3222">
        <v>24.137346737557799</v>
      </c>
      <c r="AI3222">
        <v>92.430323060565399</v>
      </c>
      <c r="AJ3222">
        <v>66.320957878131793</v>
      </c>
      <c r="AK3222">
        <v>26.380022938028201</v>
      </c>
      <c r="AL3222">
        <v>78.681567572111902</v>
      </c>
      <c r="AM3222">
        <v>77.118884832562799</v>
      </c>
      <c r="AN3222">
        <v>0.99999997828564402</v>
      </c>
    </row>
    <row r="3223" spans="1:40" x14ac:dyDescent="0.25">
      <c r="A3223" t="str">
        <f>"20190303170831016"</f>
        <v>20190303170831016</v>
      </c>
      <c r="B3223" t="str">
        <f>"1551604111006019"</f>
        <v>1551604111006019</v>
      </c>
      <c r="C3223" t="s">
        <v>40</v>
      </c>
      <c r="D3223">
        <v>4.5906320000000003</v>
      </c>
      <c r="E3223">
        <v>0.58300030000000003</v>
      </c>
      <c r="F3223" t="s">
        <v>58</v>
      </c>
      <c r="G3223">
        <v>-207.31139999999999</v>
      </c>
      <c r="H3223" s="1">
        <v>-5.4813140000000003E-6</v>
      </c>
      <c r="I3223">
        <v>136.24260000000001</v>
      </c>
      <c r="J3223">
        <v>-192.51230000000001</v>
      </c>
      <c r="K3223">
        <v>1.1185639999999999</v>
      </c>
      <c r="L3223">
        <v>158.09880000000001</v>
      </c>
      <c r="M3223">
        <v>-0.17898559999999999</v>
      </c>
      <c r="N3223">
        <v>-1.256722E-2</v>
      </c>
      <c r="O3223">
        <v>-0.98377159999999997</v>
      </c>
      <c r="P3223">
        <v>-0.38650089999999998</v>
      </c>
      <c r="Q3223">
        <v>0.18606839999999999</v>
      </c>
      <c r="R3223">
        <v>-0.90332480000000004</v>
      </c>
      <c r="S3223">
        <v>-1.7503200000000001</v>
      </c>
      <c r="T3223">
        <v>-0.1319227</v>
      </c>
      <c r="U3223">
        <v>-2.6024929999999999</v>
      </c>
      <c r="V3223">
        <v>0.21981249999999999</v>
      </c>
      <c r="W3223">
        <v>0.1967053</v>
      </c>
      <c r="X3223">
        <v>0.95550480000000004</v>
      </c>
      <c r="Y3223">
        <v>0.40013919999999997</v>
      </c>
      <c r="Z3223">
        <v>3.1032110000000002E-2</v>
      </c>
      <c r="AA3223">
        <v>0.91592879999999999</v>
      </c>
      <c r="AB3223">
        <v>22</v>
      </c>
      <c r="AC3223">
        <v>-14.7990999999999</v>
      </c>
      <c r="AD3223">
        <v>-1.1185694813139999</v>
      </c>
      <c r="AE3223">
        <v>-21.856200000000001</v>
      </c>
      <c r="AF3223">
        <v>10.6287403866571</v>
      </c>
      <c r="AG3223">
        <v>-1.1185694813139999</v>
      </c>
      <c r="AH3223">
        <v>24.108941215843</v>
      </c>
      <c r="AI3223">
        <v>92.430967147249405</v>
      </c>
      <c r="AJ3223">
        <v>66.209092066368996</v>
      </c>
      <c r="AK3223">
        <v>26.371620474298801</v>
      </c>
      <c r="AL3223">
        <v>78.655639896728005</v>
      </c>
      <c r="AM3223">
        <v>77.044593208272701</v>
      </c>
      <c r="AN3223">
        <v>0.99999996651368905</v>
      </c>
    </row>
    <row r="3224" spans="1:40" x14ac:dyDescent="0.25">
      <c r="A3224" t="str">
        <f>"20190303170831039"</f>
        <v>20190303170831039</v>
      </c>
      <c r="B3224" t="str">
        <f>"1551604111026515"</f>
        <v>1551604111026515</v>
      </c>
      <c r="C3224" t="s">
        <v>40</v>
      </c>
      <c r="D3224">
        <v>4.5850549999999997</v>
      </c>
      <c r="E3224">
        <v>0.58325280000000002</v>
      </c>
      <c r="F3224" t="s">
        <v>58</v>
      </c>
      <c r="G3224">
        <v>-207.73099999999999</v>
      </c>
      <c r="H3224" s="1">
        <v>-5.1462479999999996E-6</v>
      </c>
      <c r="I3224">
        <v>135.77690000000001</v>
      </c>
      <c r="J3224">
        <v>-192.55529999999999</v>
      </c>
      <c r="K3224">
        <v>1.1185130000000001</v>
      </c>
      <c r="L3224">
        <v>157.8896</v>
      </c>
      <c r="M3224">
        <v>-0.18324869999999999</v>
      </c>
      <c r="N3224">
        <v>-1.246913E-2</v>
      </c>
      <c r="O3224">
        <v>-0.98298759999999996</v>
      </c>
      <c r="P3224">
        <v>-0.39069809999999999</v>
      </c>
      <c r="Q3224">
        <v>0.1864006</v>
      </c>
      <c r="R3224">
        <v>-0.90144919999999995</v>
      </c>
      <c r="S3224">
        <v>-1.767029</v>
      </c>
      <c r="T3224">
        <v>-0.1298752</v>
      </c>
      <c r="U3224">
        <v>-2.5917659999999998</v>
      </c>
      <c r="V3224">
        <v>0.22015190000000001</v>
      </c>
      <c r="W3224">
        <v>0.1969148</v>
      </c>
      <c r="X3224">
        <v>0.95538350000000005</v>
      </c>
      <c r="Y3224">
        <v>0.40197440000000001</v>
      </c>
      <c r="Z3224">
        <v>3.0488640000000001E-2</v>
      </c>
      <c r="AA3224">
        <v>0.91514320000000005</v>
      </c>
      <c r="AB3224">
        <v>22</v>
      </c>
      <c r="AC3224">
        <v>-15.175700000000001</v>
      </c>
      <c r="AD3224">
        <v>-1.1185181462479901</v>
      </c>
      <c r="AE3224">
        <v>-22.112699999999901</v>
      </c>
      <c r="AF3224">
        <v>10.8473775392376</v>
      </c>
      <c r="AG3224">
        <v>-1.1185181462479901</v>
      </c>
      <c r="AH3224">
        <v>24.476766939212499</v>
      </c>
      <c r="AI3224">
        <v>92.392329153366902</v>
      </c>
      <c r="AJ3224">
        <v>66.098498471119498</v>
      </c>
      <c r="AK3224">
        <v>26.7960594513217</v>
      </c>
      <c r="AL3224">
        <v>78.643396959359904</v>
      </c>
      <c r="AM3224">
        <v>77.023674311900606</v>
      </c>
      <c r="AN3224">
        <v>0.99999996480244902</v>
      </c>
    </row>
    <row r="3225" spans="1:40" x14ac:dyDescent="0.25">
      <c r="A3225" t="str">
        <f>"20190303170831062"</f>
        <v>20190303170831062</v>
      </c>
      <c r="B3225" t="str">
        <f>"1551604111056771"</f>
        <v>1551604111056771</v>
      </c>
      <c r="C3225" t="s">
        <v>40</v>
      </c>
      <c r="D3225">
        <v>4.6180879999999904</v>
      </c>
      <c r="E3225">
        <v>0.58353920000000004</v>
      </c>
      <c r="F3225" t="s">
        <v>58</v>
      </c>
      <c r="G3225">
        <v>-208.0882</v>
      </c>
      <c r="H3225" s="1">
        <v>-4.8287360000000002E-6</v>
      </c>
      <c r="I3225">
        <v>135.37809999999999</v>
      </c>
      <c r="J3225">
        <v>-192.60169999999999</v>
      </c>
      <c r="K3225">
        <v>1.118447</v>
      </c>
      <c r="L3225">
        <v>157.6703</v>
      </c>
      <c r="M3225">
        <v>-0.18780720000000001</v>
      </c>
      <c r="N3225">
        <v>-1.236571E-2</v>
      </c>
      <c r="O3225">
        <v>-0.98212809999999995</v>
      </c>
      <c r="P3225">
        <v>-0.39569520000000002</v>
      </c>
      <c r="Q3225">
        <v>0.186254</v>
      </c>
      <c r="R3225">
        <v>-0.89929680000000001</v>
      </c>
      <c r="S3225">
        <v>-1.7817540000000001</v>
      </c>
      <c r="T3225">
        <v>-0.1283041</v>
      </c>
      <c r="U3225">
        <v>-2.5822750000000001</v>
      </c>
      <c r="V3225">
        <v>0.22104260000000001</v>
      </c>
      <c r="W3225">
        <v>0.19663330000000001</v>
      </c>
      <c r="X3225">
        <v>0.95523579999999997</v>
      </c>
      <c r="Y3225">
        <v>0.40284409999999998</v>
      </c>
      <c r="Z3225">
        <v>3.0100410000000001E-2</v>
      </c>
      <c r="AA3225">
        <v>0.91477350000000002</v>
      </c>
      <c r="AB3225">
        <v>22</v>
      </c>
      <c r="AC3225">
        <v>-15.486499999999999</v>
      </c>
      <c r="AD3225">
        <v>-1.1184518287359999</v>
      </c>
      <c r="AE3225">
        <v>-22.292200000000001</v>
      </c>
      <c r="AF3225">
        <v>11.005248392011</v>
      </c>
      <c r="AG3225">
        <v>-1.1184518287359999</v>
      </c>
      <c r="AH3225">
        <v>24.762125499491699</v>
      </c>
      <c r="AI3225">
        <v>92.363540841688405</v>
      </c>
      <c r="AJ3225">
        <v>66.037782920448805</v>
      </c>
      <c r="AK3225">
        <v>27.1206431692842</v>
      </c>
      <c r="AL3225">
        <v>78.659847286410894</v>
      </c>
      <c r="AM3225">
        <v>76.971015888254001</v>
      </c>
      <c r="AN3225">
        <v>0.99999995964264399</v>
      </c>
    </row>
    <row r="3226" spans="1:40" x14ac:dyDescent="0.25">
      <c r="A3226" t="str">
        <f>"20190303170831086"</f>
        <v>20190303170831086</v>
      </c>
      <c r="B3226" t="str">
        <f>"1551604111076291"</f>
        <v>1551604111076291</v>
      </c>
      <c r="C3226" t="s">
        <v>40</v>
      </c>
      <c r="D3226">
        <v>4.5852500000000003</v>
      </c>
      <c r="E3226">
        <v>0.58373710000000001</v>
      </c>
      <c r="F3226" t="s">
        <v>58</v>
      </c>
      <c r="G3226">
        <v>-208.33930000000001</v>
      </c>
      <c r="H3226" s="1">
        <v>-4.6135869999999996E-6</v>
      </c>
      <c r="I3226">
        <v>135.19030000000001</v>
      </c>
      <c r="J3226">
        <v>-192.6514</v>
      </c>
      <c r="K3226">
        <v>1.1183590000000001</v>
      </c>
      <c r="L3226">
        <v>157.4402</v>
      </c>
      <c r="M3226">
        <v>-0.19269629999999999</v>
      </c>
      <c r="N3226">
        <v>-1.225562E-2</v>
      </c>
      <c r="O3226">
        <v>-0.981182</v>
      </c>
      <c r="P3226">
        <v>-0.4012983</v>
      </c>
      <c r="Q3226">
        <v>0.18488589999999999</v>
      </c>
      <c r="R3226">
        <v>-0.89709349999999999</v>
      </c>
      <c r="S3226">
        <v>-1.799606</v>
      </c>
      <c r="T3226">
        <v>-0.12789500000000001</v>
      </c>
      <c r="U3226">
        <v>-2.5705870000000002</v>
      </c>
      <c r="V3226">
        <v>0.22221450000000001</v>
      </c>
      <c r="W3226">
        <v>0.1951174</v>
      </c>
      <c r="X3226">
        <v>0.95527479999999998</v>
      </c>
      <c r="Y3226">
        <v>0.40450589999999997</v>
      </c>
      <c r="Z3226">
        <v>3.0100579999999998E-2</v>
      </c>
      <c r="AA3226">
        <v>0.91403990000000002</v>
      </c>
      <c r="AB3226">
        <v>22</v>
      </c>
      <c r="AC3226">
        <v>-15.687900000000001</v>
      </c>
      <c r="AD3226">
        <v>-1.1183636135870001</v>
      </c>
      <c r="AE3226">
        <v>-22.2499</v>
      </c>
      <c r="AF3226">
        <v>11.0873346689612</v>
      </c>
      <c r="AG3226">
        <v>-1.1183636135870001</v>
      </c>
      <c r="AH3226">
        <v>24.814191700186999</v>
      </c>
      <c r="AI3226">
        <v>92.356321684907797</v>
      </c>
      <c r="AJ3226">
        <v>65.924227214461098</v>
      </c>
      <c r="AK3226">
        <v>27.201541077067201</v>
      </c>
      <c r="AL3226">
        <v>78.748418302313297</v>
      </c>
      <c r="AM3226">
        <v>76.904831205763898</v>
      </c>
      <c r="AN3226">
        <v>1.0000000136540199</v>
      </c>
    </row>
    <row r="3227" spans="1:40" x14ac:dyDescent="0.25">
      <c r="A3227" t="str">
        <f>"20190303170831108"</f>
        <v>20190303170831108</v>
      </c>
      <c r="B3227" t="str">
        <f>"1551604111096786"</f>
        <v>1551604111096786</v>
      </c>
      <c r="C3227" t="s">
        <v>40</v>
      </c>
      <c r="D3227">
        <v>4.583507</v>
      </c>
      <c r="E3227">
        <v>0.58389899999999995</v>
      </c>
      <c r="F3227" t="s">
        <v>58</v>
      </c>
      <c r="G3227">
        <v>-208.05609999999999</v>
      </c>
      <c r="H3227" s="1">
        <v>-4.991548E-6</v>
      </c>
      <c r="I3227">
        <v>135.75530000000001</v>
      </c>
      <c r="J3227">
        <v>-192.69909999999999</v>
      </c>
      <c r="K3227">
        <v>1.1182749999999999</v>
      </c>
      <c r="L3227">
        <v>157.22559999999999</v>
      </c>
      <c r="M3227">
        <v>-0.19736570000000001</v>
      </c>
      <c r="N3227">
        <v>-1.2152349999999999E-2</v>
      </c>
      <c r="O3227">
        <v>-0.98025469999999904</v>
      </c>
      <c r="P3227">
        <v>-0.40696189999999999</v>
      </c>
      <c r="Q3227">
        <v>0.18435969999999999</v>
      </c>
      <c r="R3227">
        <v>-0.89464699999999997</v>
      </c>
      <c r="S3227">
        <v>-1.8174129999999999</v>
      </c>
      <c r="T3227">
        <v>-0.13194249999999999</v>
      </c>
      <c r="U3227">
        <v>-2.5583499999999999</v>
      </c>
      <c r="V3227">
        <v>0.22371730000000001</v>
      </c>
      <c r="W3227">
        <v>0.19444110000000001</v>
      </c>
      <c r="X3227">
        <v>0.95506190000000002</v>
      </c>
      <c r="Y3227">
        <v>0.40641640000000001</v>
      </c>
      <c r="Z3227">
        <v>3.154701E-2</v>
      </c>
      <c r="AA3227">
        <v>0.91314320000000004</v>
      </c>
      <c r="AB3227">
        <v>22</v>
      </c>
      <c r="AC3227">
        <v>-15.356999999999999</v>
      </c>
      <c r="AD3227">
        <v>-1.118279991548</v>
      </c>
      <c r="AE3227">
        <v>-21.470299999999899</v>
      </c>
      <c r="AF3227">
        <v>10.797690095491101</v>
      </c>
      <c r="AG3227">
        <v>-1.118279991548</v>
      </c>
      <c r="AH3227">
        <v>24.0359467534152</v>
      </c>
      <c r="AI3227">
        <v>92.430154017793299</v>
      </c>
      <c r="AJ3227">
        <v>65.808910497900001</v>
      </c>
      <c r="AK3227">
        <v>26.373611771442601</v>
      </c>
      <c r="AL3227">
        <v>78.787923959066802</v>
      </c>
      <c r="AM3227">
        <v>76.816516902894406</v>
      </c>
      <c r="AN3227">
        <v>1.0000000022600499</v>
      </c>
    </row>
    <row r="3228" spans="1:40" x14ac:dyDescent="0.25">
      <c r="A3228" t="str">
        <f>"20190303170831128"</f>
        <v>20190303170831128</v>
      </c>
      <c r="B3228" t="str">
        <f>"1551604111116307"</f>
        <v>1551604111116307</v>
      </c>
      <c r="C3228" t="s">
        <v>40</v>
      </c>
      <c r="D3228">
        <v>4.6151410000000004</v>
      </c>
      <c r="E3228">
        <v>0.58408439999999995</v>
      </c>
      <c r="F3228" t="s">
        <v>58</v>
      </c>
      <c r="G3228">
        <v>-208.04660000000001</v>
      </c>
      <c r="H3228" s="1">
        <v>-5.0571640000000003E-6</v>
      </c>
      <c r="I3228">
        <v>135.9358</v>
      </c>
      <c r="J3228">
        <v>-192.744</v>
      </c>
      <c r="K3228">
        <v>1.1181890000000001</v>
      </c>
      <c r="L3228">
        <v>157.02789999999999</v>
      </c>
      <c r="M3228">
        <v>-0.20177410000000001</v>
      </c>
      <c r="N3228">
        <v>-1.2052480000000001E-2</v>
      </c>
      <c r="O3228">
        <v>-0.97935830000000001</v>
      </c>
      <c r="P3228">
        <v>-0.4116609</v>
      </c>
      <c r="Q3228">
        <v>0.1844104</v>
      </c>
      <c r="R3228">
        <v>-0.89248479999999997</v>
      </c>
      <c r="S3228">
        <v>-1.835342</v>
      </c>
      <c r="T3228">
        <v>-0.13372989999999901</v>
      </c>
      <c r="U3228">
        <v>-2.545944</v>
      </c>
      <c r="V3228">
        <v>0.22448199999999999</v>
      </c>
      <c r="W3228">
        <v>0.19434799999999999</v>
      </c>
      <c r="X3228">
        <v>0.95490140000000001</v>
      </c>
      <c r="Y3228">
        <v>0.4086342</v>
      </c>
      <c r="Z3228">
        <v>3.2254680000000001E-2</v>
      </c>
      <c r="AA3228">
        <v>0.9121281</v>
      </c>
      <c r="AB3228">
        <v>22</v>
      </c>
      <c r="AC3228">
        <v>-15.302599999999901</v>
      </c>
      <c r="AD3228">
        <v>-1.1181940571640001</v>
      </c>
      <c r="AE3228">
        <v>-21.092099999999899</v>
      </c>
      <c r="AF3228">
        <v>10.7119400238455</v>
      </c>
      <c r="AG3228">
        <v>-1.1181940571640001</v>
      </c>
      <c r="AH3228">
        <v>23.702463253772301</v>
      </c>
      <c r="AI3228">
        <v>92.461624211328697</v>
      </c>
      <c r="AJ3228">
        <v>65.680189760732404</v>
      </c>
      <c r="AK3228">
        <v>26.034645788263902</v>
      </c>
      <c r="AL3228">
        <v>78.793361892254197</v>
      </c>
      <c r="AM3228">
        <v>76.7708902421722</v>
      </c>
      <c r="AN3228">
        <v>0.99999999857498001</v>
      </c>
    </row>
    <row r="3229" spans="1:40" x14ac:dyDescent="0.25">
      <c r="A3229" t="str">
        <f>"20190303170831152"</f>
        <v>20190303170831152</v>
      </c>
      <c r="B3229" t="str">
        <f>"1551604111146562"</f>
        <v>1551604111146562</v>
      </c>
      <c r="C3229" t="s">
        <v>40</v>
      </c>
      <c r="D3229">
        <v>4.6232989999999896</v>
      </c>
      <c r="E3229">
        <v>0.58432390000000001</v>
      </c>
      <c r="F3229" t="s">
        <v>58</v>
      </c>
      <c r="G3229">
        <v>-208.26240000000001</v>
      </c>
      <c r="H3229" s="1">
        <v>-4.8789059999999997E-6</v>
      </c>
      <c r="I3229">
        <v>135.76830000000001</v>
      </c>
      <c r="J3229">
        <v>-192.79220000000001</v>
      </c>
      <c r="K3229">
        <v>1.118088</v>
      </c>
      <c r="L3229">
        <v>156.82130000000001</v>
      </c>
      <c r="M3229">
        <v>-0.20650540000000001</v>
      </c>
      <c r="N3229">
        <v>-1.1942639999999999E-2</v>
      </c>
      <c r="O3229">
        <v>-0.97837260000000004</v>
      </c>
      <c r="P3229">
        <v>-0.41642170000000001</v>
      </c>
      <c r="Q3229">
        <v>0.18520110000000001</v>
      </c>
      <c r="R3229">
        <v>-0.89010879999999903</v>
      </c>
      <c r="S3229">
        <v>-1.850662</v>
      </c>
      <c r="T3229">
        <v>-0.13335129999999901</v>
      </c>
      <c r="U3229">
        <v>-2.535339</v>
      </c>
      <c r="V3229">
        <v>0.2250481</v>
      </c>
      <c r="W3229">
        <v>0.19497890000000001</v>
      </c>
      <c r="X3229">
        <v>0.95463949999999997</v>
      </c>
      <c r="Y3229">
        <v>0.4096378</v>
      </c>
      <c r="Z3229">
        <v>3.2260079999999997E-2</v>
      </c>
      <c r="AA3229">
        <v>0.91167770000000004</v>
      </c>
      <c r="AB3229">
        <v>22</v>
      </c>
      <c r="AC3229">
        <v>-15.4702</v>
      </c>
      <c r="AD3229">
        <v>-1.1180928789060001</v>
      </c>
      <c r="AE3229">
        <v>-21.053000000000001</v>
      </c>
      <c r="AF3229">
        <v>10.769106647347</v>
      </c>
      <c r="AG3229">
        <v>-1.1180928789060001</v>
      </c>
      <c r="AH3229">
        <v>23.750554266512999</v>
      </c>
      <c r="AI3229">
        <v>92.455049205347606</v>
      </c>
      <c r="AJ3229">
        <v>65.609249126522002</v>
      </c>
      <c r="AK3229">
        <v>26.101965781036</v>
      </c>
      <c r="AL3229">
        <v>78.756508972144999</v>
      </c>
      <c r="AM3229">
        <v>76.735196787835505</v>
      </c>
      <c r="AN3229">
        <v>0.999999996859534</v>
      </c>
    </row>
    <row r="3230" spans="1:40" x14ac:dyDescent="0.25">
      <c r="A3230" t="str">
        <f>"20190303170831174"</f>
        <v>20190303170831174</v>
      </c>
      <c r="B3230" t="str">
        <f>"1551604111166082"</f>
        <v>1551604111166082</v>
      </c>
      <c r="C3230" t="s">
        <v>40</v>
      </c>
      <c r="D3230">
        <v>4.5822629999999904</v>
      </c>
      <c r="E3230">
        <v>0.58445760000000002</v>
      </c>
      <c r="F3230" t="s">
        <v>58</v>
      </c>
      <c r="G3230">
        <v>-208.7484</v>
      </c>
      <c r="H3230" s="1">
        <v>-4.4014720000000002E-6</v>
      </c>
      <c r="I3230">
        <v>135.24529999999999</v>
      </c>
      <c r="J3230">
        <v>-192.84739999999999</v>
      </c>
      <c r="K3230">
        <v>1.117977</v>
      </c>
      <c r="L3230">
        <v>156.59100000000001</v>
      </c>
      <c r="M3230">
        <v>-0.21192739999999999</v>
      </c>
      <c r="N3230">
        <v>-1.182004E-2</v>
      </c>
      <c r="O3230">
        <v>-0.97721400000000003</v>
      </c>
      <c r="P3230">
        <v>-0.42191830000000002</v>
      </c>
      <c r="Q3230">
        <v>0.18519820000000001</v>
      </c>
      <c r="R3230">
        <v>-0.88751749999999996</v>
      </c>
      <c r="S3230">
        <v>-1.866776</v>
      </c>
      <c r="T3230">
        <v>-0.1308105</v>
      </c>
      <c r="U3230">
        <v>-2.5242770000000001</v>
      </c>
      <c r="V3230">
        <v>0.2257054</v>
      </c>
      <c r="W3230">
        <v>0.1947989</v>
      </c>
      <c r="X3230">
        <v>0.95452110000000001</v>
      </c>
      <c r="Y3230">
        <v>0.41026970000000001</v>
      </c>
      <c r="Z3230">
        <v>3.1571679999999998E-2</v>
      </c>
      <c r="AA3230">
        <v>0.91141749999999999</v>
      </c>
      <c r="AB3230">
        <v>22</v>
      </c>
      <c r="AC3230">
        <v>-15.901</v>
      </c>
      <c r="AD3230">
        <v>-1.117981401472</v>
      </c>
      <c r="AE3230">
        <v>-21.345700000000001</v>
      </c>
      <c r="AF3230">
        <v>10.9963105071754</v>
      </c>
      <c r="AG3230">
        <v>-1.117981401472</v>
      </c>
      <c r="AH3230">
        <v>24.188193388338199</v>
      </c>
      <c r="AI3230">
        <v>92.409364993919795</v>
      </c>
      <c r="AJ3230">
        <v>65.552752824256203</v>
      </c>
      <c r="AK3230">
        <v>26.593935898544601</v>
      </c>
      <c r="AL3230">
        <v>78.767024261979699</v>
      </c>
      <c r="AM3230">
        <v>76.696238170039805</v>
      </c>
      <c r="AN3230">
        <v>1.00000003468778</v>
      </c>
    </row>
    <row r="3231" spans="1:40" x14ac:dyDescent="0.25">
      <c r="A3231" t="str">
        <f>"20190303170831195"</f>
        <v>20190303170831195</v>
      </c>
      <c r="B3231" t="str">
        <f>"1551604111186579"</f>
        <v>1551604111186579</v>
      </c>
      <c r="C3231" t="s">
        <v>40</v>
      </c>
      <c r="D3231">
        <v>4.5879599999999998</v>
      </c>
      <c r="E3231">
        <v>0.58458949999999998</v>
      </c>
      <c r="F3231" t="s">
        <v>58</v>
      </c>
      <c r="G3231">
        <v>-208.89709999999999</v>
      </c>
      <c r="H3231" s="1">
        <v>-4.2946649999999998E-6</v>
      </c>
      <c r="I3231">
        <v>135.18780000000001</v>
      </c>
      <c r="J3231">
        <v>-192.89689999999999</v>
      </c>
      <c r="K3231">
        <v>1.1178870000000001</v>
      </c>
      <c r="L3231">
        <v>156.38939999999999</v>
      </c>
      <c r="M3231">
        <v>-0.21677550000000001</v>
      </c>
      <c r="N3231">
        <v>-1.171641E-2</v>
      </c>
      <c r="O3231">
        <v>-0.97615130000000006</v>
      </c>
      <c r="P3231">
        <v>-0.42731180000000002</v>
      </c>
      <c r="Q3231">
        <v>0.1849112</v>
      </c>
      <c r="R3231">
        <v>-0.88499329999999998</v>
      </c>
      <c r="S3231">
        <v>-1.8837429999999999</v>
      </c>
      <c r="T3231">
        <v>-0.1312171</v>
      </c>
      <c r="U3231">
        <v>-2.5120849999999999</v>
      </c>
      <c r="V3231">
        <v>0.226799</v>
      </c>
      <c r="W3231">
        <v>0.19436110000000001</v>
      </c>
      <c r="X3231">
        <v>0.95435110000000001</v>
      </c>
      <c r="Y3231">
        <v>0.41180319999999998</v>
      </c>
      <c r="Z3231">
        <v>3.1829459999999997E-2</v>
      </c>
      <c r="AA3231">
        <v>0.91071679999999999</v>
      </c>
      <c r="AB3231">
        <v>22</v>
      </c>
      <c r="AC3231">
        <v>-16.0002</v>
      </c>
      <c r="AD3231">
        <v>-1.1178912946649999</v>
      </c>
      <c r="AE3231">
        <v>-21.2015999999999</v>
      </c>
      <c r="AF3231">
        <v>11.003892588374301</v>
      </c>
      <c r="AG3231">
        <v>-1.1178912946649999</v>
      </c>
      <c r="AH3231">
        <v>24.1233466513197</v>
      </c>
      <c r="AI3231">
        <v>92.414241813805702</v>
      </c>
      <c r="AJ3231">
        <v>65.479844601780997</v>
      </c>
      <c r="AK3231">
        <v>26.538108197512901</v>
      </c>
      <c r="AL3231">
        <v>78.792597002256201</v>
      </c>
      <c r="AM3231">
        <v>76.631790633188004</v>
      </c>
      <c r="AN3231">
        <v>1.0000000228327</v>
      </c>
    </row>
    <row r="3232" spans="1:40" x14ac:dyDescent="0.25">
      <c r="A3232" t="str">
        <f>"20190303170831217"</f>
        <v>20190303170831217</v>
      </c>
      <c r="B3232" t="str">
        <f>"1551604111206099"</f>
        <v>1551604111206099</v>
      </c>
      <c r="C3232" t="s">
        <v>40</v>
      </c>
      <c r="D3232">
        <v>4.5756809999999897</v>
      </c>
      <c r="E3232">
        <v>0.58471479999999998</v>
      </c>
      <c r="F3232" t="s">
        <v>58</v>
      </c>
      <c r="G3232">
        <v>-208.94820000000001</v>
      </c>
      <c r="H3232" s="1">
        <v>-4.2980460000000002E-6</v>
      </c>
      <c r="I3232">
        <v>135.27269999999999</v>
      </c>
      <c r="J3232">
        <v>-192.94890000000001</v>
      </c>
      <c r="K3232">
        <v>1.1177999999999999</v>
      </c>
      <c r="L3232">
        <v>156.1825</v>
      </c>
      <c r="M3232">
        <v>-0.22185579999999999</v>
      </c>
      <c r="N3232">
        <v>-1.1607889999999999E-2</v>
      </c>
      <c r="O3232">
        <v>-0.97501040000000005</v>
      </c>
      <c r="P3232">
        <v>-0.43222509999999997</v>
      </c>
      <c r="Q3232">
        <v>0.18480859999999999</v>
      </c>
      <c r="R3232">
        <v>-0.88262549999999995</v>
      </c>
      <c r="S3232">
        <v>-1.900299</v>
      </c>
      <c r="T3232">
        <v>-0.13234570000000001</v>
      </c>
      <c r="U3232">
        <v>-2.4999690000000001</v>
      </c>
      <c r="V3232">
        <v>0.2271627</v>
      </c>
      <c r="W3232">
        <v>0.1941127</v>
      </c>
      <c r="X3232">
        <v>0.95431509999999997</v>
      </c>
      <c r="Y3232">
        <v>0.41299839999999999</v>
      </c>
      <c r="Z3232">
        <v>3.2325159999999999E-2</v>
      </c>
      <c r="AA3232">
        <v>0.91015789999999996</v>
      </c>
      <c r="AB3232">
        <v>22</v>
      </c>
      <c r="AC3232">
        <v>-15.9993</v>
      </c>
      <c r="AD3232">
        <v>-1.1178042980459999</v>
      </c>
      <c r="AE3232">
        <v>-20.909800000000001</v>
      </c>
      <c r="AF3232">
        <v>10.941539784881501</v>
      </c>
      <c r="AG3232">
        <v>-1.1178042980459999</v>
      </c>
      <c r="AH3232">
        <v>23.895351245694101</v>
      </c>
      <c r="AI3232">
        <v>92.435456630447106</v>
      </c>
      <c r="AJ3232">
        <v>65.397237131460997</v>
      </c>
      <c r="AK3232">
        <v>26.3050297560746</v>
      </c>
      <c r="AL3232">
        <v>78.807105010897402</v>
      </c>
      <c r="AM3232">
        <v>76.610637540883104</v>
      </c>
      <c r="AN3232">
        <v>0.99999997133029395</v>
      </c>
    </row>
    <row r="3233" spans="1:40" x14ac:dyDescent="0.25">
      <c r="A3233" t="str">
        <f>"20190303170831239"</f>
        <v>20190303170831239</v>
      </c>
      <c r="B3233" t="str">
        <f>"1551604111226595"</f>
        <v>1551604111226595</v>
      </c>
      <c r="C3233" t="s">
        <v>40</v>
      </c>
      <c r="D3233">
        <v>4.573696</v>
      </c>
      <c r="E3233">
        <v>0.58486340000000003</v>
      </c>
      <c r="F3233" t="s">
        <v>58</v>
      </c>
      <c r="G3233">
        <v>-209.1268</v>
      </c>
      <c r="H3233" s="1">
        <v>-4.156939E-6</v>
      </c>
      <c r="I3233">
        <v>135.17019999999999</v>
      </c>
      <c r="J3233">
        <v>-193.00409999999999</v>
      </c>
      <c r="K3233">
        <v>1.11772</v>
      </c>
      <c r="L3233">
        <v>155.9683</v>
      </c>
      <c r="M3233">
        <v>-0.22723789999999999</v>
      </c>
      <c r="N3233">
        <v>-1.149127E-2</v>
      </c>
      <c r="O3233">
        <v>-0.97377150000000001</v>
      </c>
      <c r="P3233">
        <v>-0.43752669999999999</v>
      </c>
      <c r="Q3233">
        <v>0.18534719999999999</v>
      </c>
      <c r="R3233">
        <v>-0.87989580000000001</v>
      </c>
      <c r="S3233">
        <v>-1.9159090000000001</v>
      </c>
      <c r="T3233">
        <v>-0.13237850000000001</v>
      </c>
      <c r="U3233">
        <v>-2.4884339999999998</v>
      </c>
      <c r="V3233">
        <v>0.22769610000000001</v>
      </c>
      <c r="W3233">
        <v>0.19449440000000001</v>
      </c>
      <c r="X3233">
        <v>0.95411029999999997</v>
      </c>
      <c r="Y3233">
        <v>0.41359180000000001</v>
      </c>
      <c r="Z3233">
        <v>3.2468039999999997E-2</v>
      </c>
      <c r="AA3233">
        <v>0.90988329999999995</v>
      </c>
      <c r="AB3233">
        <v>22</v>
      </c>
      <c r="AC3233">
        <v>-16.122699999999998</v>
      </c>
      <c r="AD3233">
        <v>-1.117724156939</v>
      </c>
      <c r="AE3233">
        <v>-20.798100000000002</v>
      </c>
      <c r="AF3233">
        <v>10.9546707988011</v>
      </c>
      <c r="AG3233">
        <v>-1.117724156939</v>
      </c>
      <c r="AH3233">
        <v>23.8747929249622</v>
      </c>
      <c r="AI3233">
        <v>92.436506105381596</v>
      </c>
      <c r="AJ3233">
        <v>65.352527260718404</v>
      </c>
      <c r="AK3233">
        <v>26.291821101075101</v>
      </c>
      <c r="AL3233">
        <v>78.784810916924201</v>
      </c>
      <c r="AM3233">
        <v>76.577557712574304</v>
      </c>
      <c r="AN3233">
        <v>1.0000000250763199</v>
      </c>
    </row>
    <row r="3234" spans="1:40" x14ac:dyDescent="0.25">
      <c r="A3234" t="str">
        <f>"20190303170831264"</f>
        <v>20190303170831264</v>
      </c>
      <c r="B3234" t="str">
        <f>"1551604111256851"</f>
        <v>1551604111256851</v>
      </c>
      <c r="C3234" t="s">
        <v>40</v>
      </c>
      <c r="D3234">
        <v>4.5716989999999997</v>
      </c>
      <c r="E3234">
        <v>0.58502600000000005</v>
      </c>
      <c r="F3234" t="s">
        <v>58</v>
      </c>
      <c r="G3234">
        <v>-209.46610000000001</v>
      </c>
      <c r="H3234" s="1">
        <v>-3.8484460000000003E-6</v>
      </c>
      <c r="I3234">
        <v>134.8698</v>
      </c>
      <c r="J3234">
        <v>-193.06540000000001</v>
      </c>
      <c r="K3234">
        <v>1.1176250000000001</v>
      </c>
      <c r="L3234">
        <v>155.73599999999999</v>
      </c>
      <c r="M3234">
        <v>-0.23320949999999999</v>
      </c>
      <c r="N3234">
        <v>-1.1360810000000001E-2</v>
      </c>
      <c r="O3234">
        <v>-0.97236009999999995</v>
      </c>
      <c r="P3234">
        <v>-0.44308530000000002</v>
      </c>
      <c r="Q3234">
        <v>0.1862365</v>
      </c>
      <c r="R3234">
        <v>-0.87692139999999996</v>
      </c>
      <c r="S3234">
        <v>-1.932175</v>
      </c>
      <c r="T3234">
        <v>-0.1311891</v>
      </c>
      <c r="U3234">
        <v>-2.4763639999999998</v>
      </c>
      <c r="V3234">
        <v>0.2279679</v>
      </c>
      <c r="W3234">
        <v>0.19520899999999999</v>
      </c>
      <c r="X3234">
        <v>0.95389939999999995</v>
      </c>
      <c r="Y3234">
        <v>0.41387940000000001</v>
      </c>
      <c r="Z3234">
        <v>3.2224059999999999E-2</v>
      </c>
      <c r="AA3234">
        <v>0.90976129999999999</v>
      </c>
      <c r="AB3234">
        <v>22</v>
      </c>
      <c r="AC3234">
        <v>-16.400700000000001</v>
      </c>
      <c r="AD3234">
        <v>-1.117628848446</v>
      </c>
      <c r="AE3234">
        <v>-20.8661999999999</v>
      </c>
      <c r="AF3234">
        <v>11.062288951904801</v>
      </c>
      <c r="AG3234">
        <v>-1.117628848446</v>
      </c>
      <c r="AH3234">
        <v>24.0731274878775</v>
      </c>
      <c r="AI3234">
        <v>92.415618641950601</v>
      </c>
      <c r="AJ3234">
        <v>65.319869146211303</v>
      </c>
      <c r="AK3234">
        <v>26.5167644735537</v>
      </c>
      <c r="AL3234">
        <v>78.743066853843899</v>
      </c>
      <c r="AM3234">
        <v>76.559252970848902</v>
      </c>
      <c r="AN3234">
        <v>0.99999999121588501</v>
      </c>
    </row>
    <row r="3235" spans="1:40" x14ac:dyDescent="0.25">
      <c r="A3235" t="str">
        <f>"20190303170831287"</f>
        <v>20190303170831287</v>
      </c>
      <c r="B3235" t="str">
        <f>"1551604111276370"</f>
        <v>1551604111276370</v>
      </c>
      <c r="C3235" t="s">
        <v>40</v>
      </c>
      <c r="D3235">
        <v>4.5733790000000001</v>
      </c>
      <c r="E3235">
        <v>0.58515030000000001</v>
      </c>
      <c r="F3235" t="s">
        <v>58</v>
      </c>
      <c r="G3235">
        <v>-209.91210000000001</v>
      </c>
      <c r="H3235" s="1">
        <v>-3.4312860000000001E-6</v>
      </c>
      <c r="I3235">
        <v>134.44470000000001</v>
      </c>
      <c r="J3235">
        <v>-193.12610000000001</v>
      </c>
      <c r="K3235">
        <v>1.117523</v>
      </c>
      <c r="L3235">
        <v>155.51220000000001</v>
      </c>
      <c r="M3235">
        <v>-0.23909710000000001</v>
      </c>
      <c r="N3235">
        <v>-1.122723E-2</v>
      </c>
      <c r="O3235">
        <v>-0.97093079999999998</v>
      </c>
      <c r="P3235">
        <v>-0.44899230000000001</v>
      </c>
      <c r="Q3235">
        <v>0.18684200000000001</v>
      </c>
      <c r="R3235">
        <v>-0.87378259999999996</v>
      </c>
      <c r="S3235">
        <v>-1.9493100000000001</v>
      </c>
      <c r="T3235">
        <v>-0.12931980000000001</v>
      </c>
      <c r="U3235">
        <v>-2.4635929999999999</v>
      </c>
      <c r="V3235">
        <v>0.22870370000000001</v>
      </c>
      <c r="W3235">
        <v>0.195628</v>
      </c>
      <c r="X3235">
        <v>0.95363739999999997</v>
      </c>
      <c r="Y3235">
        <v>0.41456379999999998</v>
      </c>
      <c r="Z3235">
        <v>3.1761280000000003E-2</v>
      </c>
      <c r="AA3235">
        <v>0.90946579999999999</v>
      </c>
      <c r="AB3235">
        <v>22</v>
      </c>
      <c r="AC3235">
        <v>-16.785999999999898</v>
      </c>
      <c r="AD3235">
        <v>-1.117526431286</v>
      </c>
      <c r="AE3235">
        <v>-21.0674999999999</v>
      </c>
      <c r="AF3235">
        <v>11.242226230803199</v>
      </c>
      <c r="AG3235">
        <v>-1.117526431286</v>
      </c>
      <c r="AH3235">
        <v>24.428065919651001</v>
      </c>
      <c r="AI3235">
        <v>92.379720782401094</v>
      </c>
      <c r="AJ3235">
        <v>65.287279761285305</v>
      </c>
      <c r="AK3235">
        <v>26.914065477441302</v>
      </c>
      <c r="AL3235">
        <v>78.718587996236195</v>
      </c>
      <c r="AM3235">
        <v>76.513883523839993</v>
      </c>
      <c r="AN3235">
        <v>0.99999999372822401</v>
      </c>
    </row>
    <row r="3236" spans="1:40" x14ac:dyDescent="0.25">
      <c r="A3236" t="str">
        <f>"20190303170831310"</f>
        <v>20190303170831310</v>
      </c>
      <c r="B3236" t="str">
        <f>"1551604111296867"</f>
        <v>1551604111296867</v>
      </c>
      <c r="C3236" t="s">
        <v>40</v>
      </c>
      <c r="D3236">
        <v>4.5745630000000004</v>
      </c>
      <c r="E3236">
        <v>0.58528979999999997</v>
      </c>
      <c r="F3236" t="s">
        <v>43</v>
      </c>
      <c r="G3236">
        <v>-210.32759999999999</v>
      </c>
      <c r="H3236" s="1">
        <v>-5.5324900000000001E-6</v>
      </c>
      <c r="I3236">
        <v>134.09270000000001</v>
      </c>
      <c r="J3236">
        <v>-193.18559999999999</v>
      </c>
      <c r="K3236">
        <v>1.117397</v>
      </c>
      <c r="L3236">
        <v>155.29859999999999</v>
      </c>
      <c r="M3236">
        <v>-0.2448535</v>
      </c>
      <c r="N3236">
        <v>-1.10892E-2</v>
      </c>
      <c r="O3236">
        <v>-0.96949669999999999</v>
      </c>
      <c r="P3236">
        <v>-0.45443260000000002</v>
      </c>
      <c r="Q3236">
        <v>0.18659319999999999</v>
      </c>
      <c r="R3236">
        <v>-0.87101919999999899</v>
      </c>
      <c r="S3236">
        <v>-1.967346</v>
      </c>
      <c r="T3236">
        <v>-0.1278126</v>
      </c>
      <c r="U3236">
        <v>-2.4497680000000002</v>
      </c>
      <c r="V3236">
        <v>0.2290239</v>
      </c>
      <c r="W3236">
        <v>0.1951908</v>
      </c>
      <c r="X3236">
        <v>0.9536502</v>
      </c>
      <c r="Y3236">
        <v>0.4157515</v>
      </c>
      <c r="Z3236">
        <v>3.142354E-2</v>
      </c>
      <c r="AA3236">
        <v>0.90893520000000005</v>
      </c>
      <c r="AB3236">
        <v>22</v>
      </c>
      <c r="AC3236">
        <v>-17.1419999999999</v>
      </c>
      <c r="AD3236">
        <v>-1.1174025324900001</v>
      </c>
      <c r="AE3236">
        <v>-21.2058999999999</v>
      </c>
      <c r="AF3236">
        <v>11.4083184617912</v>
      </c>
      <c r="AG3236">
        <v>-1.1174025324900001</v>
      </c>
      <c r="AH3236">
        <v>24.716345358398499</v>
      </c>
      <c r="AI3236">
        <v>92.350528584249503</v>
      </c>
      <c r="AJ3236">
        <v>65.223379438539496</v>
      </c>
      <c r="AK3236">
        <v>27.245110504839101</v>
      </c>
      <c r="AL3236">
        <v>78.744130755391893</v>
      </c>
      <c r="AM3236">
        <v>76.495867788323196</v>
      </c>
      <c r="AN3236">
        <v>1.00000004956794</v>
      </c>
    </row>
    <row r="3237" spans="1:40" x14ac:dyDescent="0.25">
      <c r="A3237" t="str">
        <f>"20190303170831331"</f>
        <v>20190303170831331</v>
      </c>
      <c r="B3237" t="str">
        <f>"1551604111316388"</f>
        <v>1551604111316388</v>
      </c>
      <c r="C3237" t="s">
        <v>40</v>
      </c>
      <c r="D3237">
        <v>4.5598609999999997</v>
      </c>
      <c r="E3237">
        <v>0.58540490000000001</v>
      </c>
      <c r="F3237" t="s">
        <v>43</v>
      </c>
      <c r="G3237">
        <v>-210.5351</v>
      </c>
      <c r="H3237" s="1">
        <v>-5.4500180000000004E-6</v>
      </c>
      <c r="I3237">
        <v>134.00450000000001</v>
      </c>
      <c r="J3237">
        <v>-193.24260000000001</v>
      </c>
      <c r="K3237">
        <v>1.117267</v>
      </c>
      <c r="L3237">
        <v>155.09880000000001</v>
      </c>
      <c r="M3237">
        <v>-0.2503766</v>
      </c>
      <c r="N3237">
        <v>-1.0946910000000001E-2</v>
      </c>
      <c r="O3237">
        <v>-0.96808660000000002</v>
      </c>
      <c r="P3237">
        <v>-0.45898359999999999</v>
      </c>
      <c r="Q3237">
        <v>0.18596960000000001</v>
      </c>
      <c r="R3237">
        <v>-0.86876330000000002</v>
      </c>
      <c r="S3237">
        <v>-1.9848330000000001</v>
      </c>
      <c r="T3237">
        <v>-0.12783349999999999</v>
      </c>
      <c r="U3237">
        <v>-2.436096</v>
      </c>
      <c r="V3237">
        <v>0.22858410000000001</v>
      </c>
      <c r="W3237">
        <v>0.19438159999999999</v>
      </c>
      <c r="X3237">
        <v>0.95392089999999996</v>
      </c>
      <c r="Y3237">
        <v>0.41698550000000001</v>
      </c>
      <c r="Z3237">
        <v>3.1585120000000001E-2</v>
      </c>
      <c r="AA3237">
        <v>0.90836419999999996</v>
      </c>
      <c r="AB3237">
        <v>22</v>
      </c>
      <c r="AC3237">
        <v>-17.292499999999901</v>
      </c>
      <c r="AD3237">
        <v>-1.117272450018</v>
      </c>
      <c r="AE3237">
        <v>-21.0943</v>
      </c>
      <c r="AF3237">
        <v>11.4406101355342</v>
      </c>
      <c r="AG3237">
        <v>-1.117272450018</v>
      </c>
      <c r="AH3237">
        <v>24.710770166857699</v>
      </c>
      <c r="AI3237">
        <v>92.3495233750305</v>
      </c>
      <c r="AJ3237">
        <v>65.1567731260957</v>
      </c>
      <c r="AK3237">
        <v>27.2535872912195</v>
      </c>
      <c r="AL3237">
        <v>78.791399232912596</v>
      </c>
      <c r="AM3237">
        <v>76.524538490663502</v>
      </c>
      <c r="AN3237">
        <v>0.99999999032408904</v>
      </c>
    </row>
    <row r="3238" spans="1:40" x14ac:dyDescent="0.25">
      <c r="A3238" t="str">
        <f>"20190303170831353"</f>
        <v>20190303170831353</v>
      </c>
      <c r="B3238" t="str">
        <f>"1551604111346643"</f>
        <v>1551604111346643</v>
      </c>
      <c r="C3238" t="s">
        <v>40</v>
      </c>
      <c r="D3238">
        <v>4.5491929999999998</v>
      </c>
      <c r="E3238">
        <v>0.58553559999999905</v>
      </c>
      <c r="F3238" t="s">
        <v>43</v>
      </c>
      <c r="G3238">
        <v>-210.32980000000001</v>
      </c>
      <c r="H3238" s="1">
        <v>-5.4843839999999999E-6</v>
      </c>
      <c r="I3238">
        <v>134.3578</v>
      </c>
      <c r="J3238">
        <v>-193.3074</v>
      </c>
      <c r="K3238">
        <v>1.117132</v>
      </c>
      <c r="L3238">
        <v>154.87780000000001</v>
      </c>
      <c r="M3238">
        <v>-0.25661479999999998</v>
      </c>
      <c r="N3238">
        <v>-1.0785899999999999E-2</v>
      </c>
      <c r="O3238">
        <v>-0.96645360000000002</v>
      </c>
      <c r="P3238">
        <v>-0.46459679999999998</v>
      </c>
      <c r="Q3238">
        <v>0.18525829999999999</v>
      </c>
      <c r="R3238">
        <v>-0.8659268</v>
      </c>
      <c r="S3238">
        <v>-1.9981990000000001</v>
      </c>
      <c r="T3238">
        <v>-0.1306552</v>
      </c>
      <c r="U3238">
        <v>-2.4254760000000002</v>
      </c>
      <c r="V3238">
        <v>0.22860929999999999</v>
      </c>
      <c r="W3238">
        <v>0.19345970000000001</v>
      </c>
      <c r="X3238">
        <v>0.95410229999999996</v>
      </c>
      <c r="Y3238">
        <v>0.41603709999999999</v>
      </c>
      <c r="Z3238">
        <v>3.2659019999999997E-2</v>
      </c>
      <c r="AA3238">
        <v>0.90876100000000004</v>
      </c>
      <c r="AB3238">
        <v>22</v>
      </c>
      <c r="AC3238">
        <v>-17.022400000000001</v>
      </c>
      <c r="AD3238">
        <v>-1.1171374843840001</v>
      </c>
      <c r="AE3238">
        <v>-20.52</v>
      </c>
      <c r="AF3238">
        <v>11.1666693473757</v>
      </c>
      <c r="AG3238">
        <v>-1.1171374843840001</v>
      </c>
      <c r="AH3238">
        <v>24.158819570284599</v>
      </c>
      <c r="AI3238">
        <v>92.403546746344702</v>
      </c>
      <c r="AJ3238">
        <v>65.192715477696098</v>
      </c>
      <c r="AK3238">
        <v>26.638150527057999</v>
      </c>
      <c r="AL3238">
        <v>78.845242790691003</v>
      </c>
      <c r="AM3238">
        <v>76.525575961445696</v>
      </c>
      <c r="AN3238">
        <v>1.00000003321793</v>
      </c>
    </row>
    <row r="3239" spans="1:40" x14ac:dyDescent="0.25">
      <c r="A3239" t="str">
        <f>"20190303170831375"</f>
        <v>20190303170831375</v>
      </c>
      <c r="B3239" t="str">
        <f>"1551604111366163"</f>
        <v>1551604111366163</v>
      </c>
      <c r="C3239" t="s">
        <v>40</v>
      </c>
      <c r="D3239">
        <v>4.6013210000000004</v>
      </c>
      <c r="E3239">
        <v>0.58561580000000002</v>
      </c>
      <c r="F3239" t="s">
        <v>43</v>
      </c>
      <c r="G3239">
        <v>-210.02369999999999</v>
      </c>
      <c r="H3239" s="1">
        <v>-5.541131E-6</v>
      </c>
      <c r="I3239">
        <v>134.85390000000001</v>
      </c>
      <c r="J3239">
        <v>-193.3723</v>
      </c>
      <c r="K3239">
        <v>1.1170040000000001</v>
      </c>
      <c r="L3239">
        <v>154.6618</v>
      </c>
      <c r="M3239">
        <v>-0.262847099999999</v>
      </c>
      <c r="N3239">
        <v>-1.062053E-2</v>
      </c>
      <c r="O3239">
        <v>-0.96477930000000001</v>
      </c>
      <c r="P3239">
        <v>-0.46997889999999998</v>
      </c>
      <c r="Q3239">
        <v>0.18439729999999999</v>
      </c>
      <c r="R3239">
        <v>-0.86320219999999903</v>
      </c>
      <c r="S3239">
        <v>-2.0141140000000002</v>
      </c>
      <c r="T3239">
        <v>-0.13460179999999999</v>
      </c>
      <c r="U3239">
        <v>-2.4126430000000001</v>
      </c>
      <c r="V3239">
        <v>0.2283792</v>
      </c>
      <c r="W3239">
        <v>0.1923919</v>
      </c>
      <c r="X3239">
        <v>0.95437320000000003</v>
      </c>
      <c r="Y3239">
        <v>0.41604849999999999</v>
      </c>
      <c r="Z3239">
        <v>3.4105669999999998E-2</v>
      </c>
      <c r="AA3239">
        <v>0.90870260000000003</v>
      </c>
      <c r="AB3239">
        <v>22</v>
      </c>
      <c r="AC3239">
        <v>-16.651399999999899</v>
      </c>
      <c r="AD3239">
        <v>-1.1170095411309999</v>
      </c>
      <c r="AE3239">
        <v>-19.807899999999901</v>
      </c>
      <c r="AF3239">
        <v>10.838890579150601</v>
      </c>
      <c r="AG3239">
        <v>-1.1170095411309999</v>
      </c>
      <c r="AH3239">
        <v>23.4446584974439</v>
      </c>
      <c r="AI3239">
        <v>92.476296207905506</v>
      </c>
      <c r="AJ3239">
        <v>65.188043627139393</v>
      </c>
      <c r="AK3239">
        <v>25.853070830436099</v>
      </c>
      <c r="AL3239">
        <v>78.907593711983907</v>
      </c>
      <c r="AM3239">
        <v>76.542326422444404</v>
      </c>
      <c r="AN3239">
        <v>0.999999953528244</v>
      </c>
    </row>
    <row r="3240" spans="1:40" x14ac:dyDescent="0.25">
      <c r="A3240" t="str">
        <f>"20190303170831398"</f>
        <v>20190303170831398</v>
      </c>
      <c r="B3240" t="str">
        <f>"1551604111386659"</f>
        <v>1551604111386659</v>
      </c>
      <c r="C3240" t="s">
        <v>40</v>
      </c>
      <c r="D3240">
        <v>4.5969759999999997</v>
      </c>
      <c r="E3240">
        <v>0.58568100000000001</v>
      </c>
      <c r="F3240" t="s">
        <v>58</v>
      </c>
      <c r="G3240">
        <v>-209.82669999999999</v>
      </c>
      <c r="H3240" s="1">
        <v>-3.7728320000000002E-6</v>
      </c>
      <c r="I3240">
        <v>135.209</v>
      </c>
      <c r="J3240">
        <v>-193.4384</v>
      </c>
      <c r="K3240">
        <v>1.116876</v>
      </c>
      <c r="L3240">
        <v>154.44739999999999</v>
      </c>
      <c r="M3240">
        <v>-0.26918330000000001</v>
      </c>
      <c r="N3240">
        <v>-1.043986E-2</v>
      </c>
      <c r="O3240">
        <v>-0.96303260000000002</v>
      </c>
      <c r="P3240">
        <v>-0.47531069999999997</v>
      </c>
      <c r="Q3240">
        <v>0.1840552</v>
      </c>
      <c r="R3240">
        <v>-0.86035110000000004</v>
      </c>
      <c r="S3240">
        <v>-2.0298310000000002</v>
      </c>
      <c r="T3240">
        <v>-0.137795</v>
      </c>
      <c r="U3240">
        <v>-2.3997039999999998</v>
      </c>
      <c r="V3240">
        <v>0.22803229999999999</v>
      </c>
      <c r="W3240">
        <v>0.19182759999999999</v>
      </c>
      <c r="X3240">
        <v>0.95456980000000002</v>
      </c>
      <c r="Y3240">
        <v>0.41593039999999998</v>
      </c>
      <c r="Z3240">
        <v>3.5318389999999998E-2</v>
      </c>
      <c r="AA3240">
        <v>0.90871040000000003</v>
      </c>
      <c r="AB3240">
        <v>22</v>
      </c>
      <c r="AC3240">
        <v>-16.388299999999902</v>
      </c>
      <c r="AD3240">
        <v>-1.1168797728319999</v>
      </c>
      <c r="AE3240">
        <v>-19.238399999999899</v>
      </c>
      <c r="AF3240">
        <v>10.583715899573299</v>
      </c>
      <c r="AG3240">
        <v>-1.1168797728319999</v>
      </c>
      <c r="AH3240">
        <v>22.895192035005</v>
      </c>
      <c r="AI3240">
        <v>92.535402791610906</v>
      </c>
      <c r="AJ3240">
        <v>65.190407304205095</v>
      </c>
      <c r="AK3240">
        <v>25.247817351002801</v>
      </c>
      <c r="AL3240">
        <v>78.9405402489582</v>
      </c>
      <c r="AM3240">
        <v>76.564693482710396</v>
      </c>
      <c r="AN3240">
        <v>1.0000000305185399</v>
      </c>
    </row>
    <row r="3241" spans="1:40" x14ac:dyDescent="0.25">
      <c r="A3241" t="str">
        <f>"20190303170831419"</f>
        <v>20190303170831419</v>
      </c>
      <c r="B3241" t="str">
        <f>"1551604111406179"</f>
        <v>1551604111406179</v>
      </c>
      <c r="C3241" t="s">
        <v>40</v>
      </c>
      <c r="D3241">
        <v>4.5845449999999897</v>
      </c>
      <c r="E3241">
        <v>0.58574899999999996</v>
      </c>
      <c r="F3241" t="s">
        <v>58</v>
      </c>
      <c r="G3241">
        <v>-209.93020000000001</v>
      </c>
      <c r="H3241" s="1">
        <v>-3.7157280000000002E-6</v>
      </c>
      <c r="I3241">
        <v>135.2139</v>
      </c>
      <c r="J3241">
        <v>-193.50129999999999</v>
      </c>
      <c r="K3241">
        <v>1.116741</v>
      </c>
      <c r="L3241">
        <v>154.24809999999999</v>
      </c>
      <c r="M3241">
        <v>-0.27521980000000001</v>
      </c>
      <c r="N3241">
        <v>-1.025613E-2</v>
      </c>
      <c r="O3241">
        <v>-0.96132680000000004</v>
      </c>
      <c r="P3241">
        <v>-0.48085610000000001</v>
      </c>
      <c r="Q3241">
        <v>0.18371409999999999</v>
      </c>
      <c r="R3241">
        <v>-0.85733719999999902</v>
      </c>
      <c r="S3241">
        <v>-2.0460660000000002</v>
      </c>
      <c r="T3241">
        <v>-0.13856660000000001</v>
      </c>
      <c r="U3241">
        <v>-2.386215</v>
      </c>
      <c r="V3241">
        <v>0.2282313</v>
      </c>
      <c r="W3241">
        <v>0.1912519</v>
      </c>
      <c r="X3241">
        <v>0.95463770000000003</v>
      </c>
      <c r="Y3241">
        <v>0.41631980000000002</v>
      </c>
      <c r="Z3241">
        <v>3.5748160000000001E-2</v>
      </c>
      <c r="AA3241">
        <v>0.90851519999999997</v>
      </c>
      <c r="AB3241">
        <v>22</v>
      </c>
      <c r="AC3241">
        <v>-16.428899999999999</v>
      </c>
      <c r="AD3241">
        <v>-1.1167447157279999</v>
      </c>
      <c r="AE3241">
        <v>-19.034199999999998</v>
      </c>
      <c r="AF3241">
        <v>10.534725339446601</v>
      </c>
      <c r="AG3241">
        <v>-1.1167447157279999</v>
      </c>
      <c r="AH3241">
        <v>22.775912941514299</v>
      </c>
      <c r="AI3241">
        <v>92.548093920837999</v>
      </c>
      <c r="AJ3241">
        <v>65.177664861886896</v>
      </c>
      <c r="AK3241">
        <v>25.119111589726302</v>
      </c>
      <c r="AL3241">
        <v>78.974147076494802</v>
      </c>
      <c r="AM3241">
        <v>76.554316020663293</v>
      </c>
      <c r="AN3241">
        <v>0.99999997690729403</v>
      </c>
    </row>
    <row r="3242" spans="1:40" x14ac:dyDescent="0.25">
      <c r="A3242" t="str">
        <f>"20190303170831442"</f>
        <v>20190303170831442</v>
      </c>
      <c r="B3242" t="str">
        <f>"1551604111436053"</f>
        <v>1551604111436053</v>
      </c>
      <c r="C3242" t="s">
        <v>40</v>
      </c>
      <c r="D3242">
        <v>4.594754</v>
      </c>
      <c r="E3242">
        <v>0.58583949999999996</v>
      </c>
      <c r="F3242" t="s">
        <v>58</v>
      </c>
      <c r="G3242">
        <v>-209.88669999999999</v>
      </c>
      <c r="H3242" s="1">
        <v>-3.807778E-6</v>
      </c>
      <c r="I3242">
        <v>135.3895</v>
      </c>
      <c r="J3242">
        <v>-193.57419999999999</v>
      </c>
      <c r="K3242">
        <v>1.1165670000000001</v>
      </c>
      <c r="L3242">
        <v>154.02279999999999</v>
      </c>
      <c r="M3242">
        <v>-0.2822288</v>
      </c>
      <c r="N3242">
        <v>-1.00339E-2</v>
      </c>
      <c r="O3242">
        <v>-0.95929489999999995</v>
      </c>
      <c r="P3242">
        <v>-0.48806470000000002</v>
      </c>
      <c r="Q3242">
        <v>0.18382209999999999</v>
      </c>
      <c r="R3242">
        <v>-0.85323059999999995</v>
      </c>
      <c r="S3242">
        <v>-2.0617519999999998</v>
      </c>
      <c r="T3242">
        <v>-0.140518</v>
      </c>
      <c r="U3242">
        <v>-2.3729399999999998</v>
      </c>
      <c r="V3242">
        <v>0.2293809</v>
      </c>
      <c r="W3242">
        <v>0.1910587</v>
      </c>
      <c r="X3242">
        <v>0.95440080000000005</v>
      </c>
      <c r="Y3242">
        <v>0.41560560000000002</v>
      </c>
      <c r="Z3242">
        <v>3.6584909999999998E-2</v>
      </c>
      <c r="AA3242">
        <v>0.90880879999999997</v>
      </c>
      <c r="AB3242">
        <v>22</v>
      </c>
      <c r="AC3242">
        <v>-16.3125</v>
      </c>
      <c r="AD3242">
        <v>-1.1165708077779899</v>
      </c>
      <c r="AE3242">
        <v>-18.633299999999899</v>
      </c>
      <c r="AF3242">
        <v>10.369086111603099</v>
      </c>
      <c r="AG3242">
        <v>-1.1165708077779899</v>
      </c>
      <c r="AH3242">
        <v>22.434208259579599</v>
      </c>
      <c r="AI3242">
        <v>92.586783176039503</v>
      </c>
      <c r="AJ3242">
        <v>65.1936305439731</v>
      </c>
      <c r="AK3242">
        <v>24.739813608691801</v>
      </c>
      <c r="AL3242">
        <v>78.985424342970603</v>
      </c>
      <c r="AM3242">
        <v>76.485836528019703</v>
      </c>
      <c r="AN3242">
        <v>0.99999995558556898</v>
      </c>
    </row>
    <row r="3243" spans="1:40" x14ac:dyDescent="0.25">
      <c r="A3243" t="str">
        <f>"20190303170831465"</f>
        <v>20190303170831465</v>
      </c>
      <c r="B3243" t="str">
        <f>"1551604111456550"</f>
        <v>1551604111456550</v>
      </c>
      <c r="C3243" t="s">
        <v>40</v>
      </c>
      <c r="D3243">
        <v>4.6076059999999996</v>
      </c>
      <c r="E3243">
        <v>0.58588689999999999</v>
      </c>
      <c r="F3243" t="s">
        <v>43</v>
      </c>
      <c r="G3243">
        <v>-210.0359</v>
      </c>
      <c r="H3243" s="1">
        <v>-5.437567E-6</v>
      </c>
      <c r="I3243">
        <v>135.405</v>
      </c>
      <c r="J3243">
        <v>-193.6463</v>
      </c>
      <c r="K3243">
        <v>1.1163890000000001</v>
      </c>
      <c r="L3243">
        <v>153.80590000000001</v>
      </c>
      <c r="M3243">
        <v>-0.28916029999999998</v>
      </c>
      <c r="N3243">
        <v>-9.8079320000000001E-3</v>
      </c>
      <c r="O3243">
        <v>-0.95723060000000004</v>
      </c>
      <c r="P3243">
        <v>-0.49462139999999999</v>
      </c>
      <c r="Q3243">
        <v>0.1851527</v>
      </c>
      <c r="R3243">
        <v>-0.84915750000000001</v>
      </c>
      <c r="S3243">
        <v>-2.0825040000000001</v>
      </c>
      <c r="T3243">
        <v>-0.14125309999999999</v>
      </c>
      <c r="U3243">
        <v>-2.3552550000000001</v>
      </c>
      <c r="V3243">
        <v>0.22999330000000001</v>
      </c>
      <c r="W3243">
        <v>0.19208169999999999</v>
      </c>
      <c r="X3243">
        <v>0.95404800000000001</v>
      </c>
      <c r="Y3243">
        <v>0.41689969999999998</v>
      </c>
      <c r="Z3243">
        <v>3.7042230000000002E-2</v>
      </c>
      <c r="AA3243">
        <v>0.90819740000000004</v>
      </c>
      <c r="AB3243">
        <v>22</v>
      </c>
      <c r="AC3243">
        <v>-16.389600000000002</v>
      </c>
      <c r="AD3243">
        <v>-1.1163944375670001</v>
      </c>
      <c r="AE3243">
        <v>-18.4009</v>
      </c>
      <c r="AF3243">
        <v>10.3470760988601</v>
      </c>
      <c r="AG3243">
        <v>-1.1163944375670001</v>
      </c>
      <c r="AH3243">
        <v>22.3084088556128</v>
      </c>
      <c r="AI3243">
        <v>92.599336419245404</v>
      </c>
      <c r="AJ3243">
        <v>65.117207995037305</v>
      </c>
      <c r="AK3243">
        <v>24.6165274968875</v>
      </c>
      <c r="AL3243">
        <v>78.925704528545594</v>
      </c>
      <c r="AM3243">
        <v>76.446259415880903</v>
      </c>
      <c r="AN3243">
        <v>0.99999994191188801</v>
      </c>
    </row>
    <row r="3244" spans="1:40" x14ac:dyDescent="0.25">
      <c r="A3244" t="str">
        <f>"20190303170831488"</f>
        <v>20190303170831488</v>
      </c>
      <c r="B3244" t="str">
        <f>"1551604111476069"</f>
        <v>1551604111476069</v>
      </c>
      <c r="C3244" t="s">
        <v>40</v>
      </c>
      <c r="D3244">
        <v>4.6005500000000001</v>
      </c>
      <c r="E3244">
        <v>0.58593109999999904</v>
      </c>
      <c r="F3244" t="s">
        <v>43</v>
      </c>
      <c r="G3244">
        <v>-210.77440000000001</v>
      </c>
      <c r="H3244" s="1">
        <v>-5.2044359999999998E-6</v>
      </c>
      <c r="I3244">
        <v>134.75139999999999</v>
      </c>
      <c r="J3244">
        <v>-193.72329999999999</v>
      </c>
      <c r="K3244">
        <v>1.1161890000000001</v>
      </c>
      <c r="L3244">
        <v>153.5805</v>
      </c>
      <c r="M3244">
        <v>-0.29657260000000002</v>
      </c>
      <c r="N3244">
        <v>-9.560598E-3</v>
      </c>
      <c r="O3244">
        <v>-0.95496250000000005</v>
      </c>
      <c r="P3244">
        <v>-0.50167249999999997</v>
      </c>
      <c r="Q3244">
        <v>0.18610380000000001</v>
      </c>
      <c r="R3244">
        <v>-0.84480200000000005</v>
      </c>
      <c r="S3244">
        <v>-2.1019739999999998</v>
      </c>
      <c r="T3244">
        <v>-0.13700519999999999</v>
      </c>
      <c r="U3244">
        <v>-2.3383940000000001</v>
      </c>
      <c r="V3244">
        <v>0.2306879</v>
      </c>
      <c r="W3244">
        <v>0.1926928</v>
      </c>
      <c r="X3244">
        <v>0.95375710000000002</v>
      </c>
      <c r="Y3244">
        <v>0.41732760000000002</v>
      </c>
      <c r="Z3244">
        <v>3.5895299999999998E-2</v>
      </c>
      <c r="AA3244">
        <v>0.90804689999999999</v>
      </c>
      <c r="AB3244">
        <v>22</v>
      </c>
      <c r="AC3244">
        <v>-17.051100000000002</v>
      </c>
      <c r="AD3244">
        <v>-1.11619420443599</v>
      </c>
      <c r="AE3244">
        <v>-18.8291</v>
      </c>
      <c r="AF3244">
        <v>10.6788358985456</v>
      </c>
      <c r="AG3244">
        <v>-1.11619420443599</v>
      </c>
      <c r="AH3244">
        <v>22.9946276547611</v>
      </c>
      <c r="AI3244">
        <v>92.5208519302074</v>
      </c>
      <c r="AJ3244">
        <v>65.089576414727205</v>
      </c>
      <c r="AK3244">
        <v>25.377870805707602</v>
      </c>
      <c r="AL3244">
        <v>78.890025352194101</v>
      </c>
      <c r="AM3244">
        <v>76.402850472779406</v>
      </c>
      <c r="AN3244">
        <v>1.0000000140893299</v>
      </c>
    </row>
    <row r="3245" spans="1:40" x14ac:dyDescent="0.25">
      <c r="A3245" t="str">
        <f>"20190303170831521"</f>
        <v>20190303170831521</v>
      </c>
      <c r="B3245" t="str">
        <f>"1551604111516084"</f>
        <v>1551604111516084</v>
      </c>
      <c r="C3245" t="s">
        <v>40</v>
      </c>
      <c r="D3245">
        <v>4.6240420000000002</v>
      </c>
      <c r="E3245">
        <v>0.58597030000000006</v>
      </c>
      <c r="F3245" t="s">
        <v>43</v>
      </c>
      <c r="G3245">
        <v>-211.43289999999999</v>
      </c>
      <c r="H3245" s="1">
        <v>-4.9867010000000003E-6</v>
      </c>
      <c r="I3245">
        <v>134.22389999999999</v>
      </c>
      <c r="J3245">
        <v>-193.8355</v>
      </c>
      <c r="K3245">
        <v>1.11589</v>
      </c>
      <c r="L3245">
        <v>153.26400000000001</v>
      </c>
      <c r="M3245">
        <v>-0.30740319999999999</v>
      </c>
      <c r="N3245">
        <v>-9.2020230000000001E-3</v>
      </c>
      <c r="O3245">
        <v>-0.95153500000000002</v>
      </c>
      <c r="P3245">
        <v>-0.51240490000000005</v>
      </c>
      <c r="Q3245">
        <v>0.18680939999999999</v>
      </c>
      <c r="R3245">
        <v>-0.8381788</v>
      </c>
      <c r="S3245">
        <v>-2.122665</v>
      </c>
      <c r="T3245">
        <v>-0.13378660000000001</v>
      </c>
      <c r="U3245">
        <v>-2.320068</v>
      </c>
      <c r="V3245">
        <v>0.2321887</v>
      </c>
      <c r="W3245">
        <v>0.1928945</v>
      </c>
      <c r="X3245">
        <v>0.95335199999999998</v>
      </c>
      <c r="Y3245">
        <v>0.41500930000000003</v>
      </c>
      <c r="Z3245">
        <v>3.5155239999999997E-2</v>
      </c>
      <c r="AA3245">
        <v>0.90913770000000005</v>
      </c>
      <c r="AB3245">
        <v>22</v>
      </c>
      <c r="AC3245">
        <v>-17.597399999999901</v>
      </c>
      <c r="AD3245">
        <v>-1.115894986701</v>
      </c>
      <c r="AE3245">
        <v>-19.040099999999999</v>
      </c>
      <c r="AF3245">
        <v>10.871874219876499</v>
      </c>
      <c r="AG3245">
        <v>-1.115894986701</v>
      </c>
      <c r="AH3245">
        <v>23.484307646656401</v>
      </c>
      <c r="AI3245">
        <v>92.469070559215496</v>
      </c>
      <c r="AJ3245">
        <v>65.158596239162904</v>
      </c>
      <c r="AK3245">
        <v>25.902810201153098</v>
      </c>
      <c r="AL3245">
        <v>78.878247210220707</v>
      </c>
      <c r="AM3245">
        <v>76.312110183461201</v>
      </c>
      <c r="AN3245">
        <v>0.99999995822096899</v>
      </c>
    </row>
    <row r="3246" spans="1:40" x14ac:dyDescent="0.25">
      <c r="A3246" t="str">
        <f>"20190303170831543"</f>
        <v>20190303170831543</v>
      </c>
      <c r="B3246" t="str">
        <f>"1551604111536582"</f>
        <v>1551604111536582</v>
      </c>
      <c r="C3246" t="s">
        <v>40</v>
      </c>
      <c r="D3246">
        <v>4.6550589999999996</v>
      </c>
      <c r="E3246">
        <v>0.58597200000000005</v>
      </c>
      <c r="F3246" t="s">
        <v>43</v>
      </c>
      <c r="G3246">
        <v>-211.99029999999999</v>
      </c>
      <c r="H3246" s="1">
        <v>-4.7736299999999999E-6</v>
      </c>
      <c r="I3246">
        <v>133.93989999999999</v>
      </c>
      <c r="J3246">
        <v>-193.9145</v>
      </c>
      <c r="K3246">
        <v>1.1156820000000001</v>
      </c>
      <c r="L3246">
        <v>153.048</v>
      </c>
      <c r="M3246">
        <v>-0.31503100000000001</v>
      </c>
      <c r="N3246">
        <v>-8.9581909999999904E-3</v>
      </c>
      <c r="O3246">
        <v>-0.94903930000000003</v>
      </c>
      <c r="P3246">
        <v>-0.51925270000000001</v>
      </c>
      <c r="Q3246">
        <v>0.18749930000000001</v>
      </c>
      <c r="R3246">
        <v>-0.83379919999999996</v>
      </c>
      <c r="S3246">
        <v>-2.1535030000000002</v>
      </c>
      <c r="T3246">
        <v>-0.1323664</v>
      </c>
      <c r="U3246">
        <v>-2.2922060000000002</v>
      </c>
      <c r="V3246">
        <v>0.2324801</v>
      </c>
      <c r="W3246">
        <v>0.19325100000000001</v>
      </c>
      <c r="X3246">
        <v>0.95320879999999997</v>
      </c>
      <c r="Y3246">
        <v>0.41972399999999999</v>
      </c>
      <c r="Z3246">
        <v>3.4950370000000001E-2</v>
      </c>
      <c r="AA3246">
        <v>0.90697870000000003</v>
      </c>
      <c r="AB3246">
        <v>23</v>
      </c>
      <c r="AC3246">
        <v>-18.075799999999902</v>
      </c>
      <c r="AD3246">
        <v>-1.11568677362999</v>
      </c>
      <c r="AE3246">
        <v>-19.1081</v>
      </c>
      <c r="AF3246">
        <v>11.1154469829684</v>
      </c>
      <c r="AG3246">
        <v>-1.11568677362999</v>
      </c>
      <c r="AH3246">
        <v>23.7869304059999</v>
      </c>
      <c r="AI3246">
        <v>92.433196336088699</v>
      </c>
      <c r="AJ3246">
        <v>64.953682690040694</v>
      </c>
      <c r="AK3246">
        <v>26.279573374541702</v>
      </c>
      <c r="AL3246">
        <v>78.8574298270333</v>
      </c>
      <c r="AM3246">
        <v>76.293597889875997</v>
      </c>
      <c r="AN3246">
        <v>0.99999998114722399</v>
      </c>
    </row>
    <row r="3247" spans="1:40" x14ac:dyDescent="0.25">
      <c r="A3247" t="str">
        <f>"20190303170831564"</f>
        <v>20190303170831564</v>
      </c>
      <c r="B3247" t="str">
        <f>"1551604111556101"</f>
        <v>1551604111556101</v>
      </c>
      <c r="C3247" t="s">
        <v>40</v>
      </c>
      <c r="D3247">
        <v>4.6583839999999999</v>
      </c>
      <c r="E3247">
        <v>0.58597559999999904</v>
      </c>
      <c r="F3247" t="s">
        <v>43</v>
      </c>
      <c r="G3247">
        <v>-212.6558</v>
      </c>
      <c r="H3247" s="1">
        <v>-4.5473170000000003E-6</v>
      </c>
      <c r="I3247">
        <v>133.44220000000001</v>
      </c>
      <c r="J3247">
        <v>-193.9967</v>
      </c>
      <c r="K3247">
        <v>1.1154869999999999</v>
      </c>
      <c r="L3247">
        <v>152.82929999999999</v>
      </c>
      <c r="M3247">
        <v>-0.32294590000000001</v>
      </c>
      <c r="N3247">
        <v>-8.7165000000000003E-3</v>
      </c>
      <c r="O3247">
        <v>-0.94637740000000004</v>
      </c>
      <c r="P3247">
        <v>-0.52612809999999999</v>
      </c>
      <c r="Q3247">
        <v>0.18973490000000001</v>
      </c>
      <c r="R3247">
        <v>-0.82896939999999997</v>
      </c>
      <c r="S3247">
        <v>-2.1733699999999998</v>
      </c>
      <c r="T3247">
        <v>-0.12938279999999999</v>
      </c>
      <c r="U3247">
        <v>-2.2736209999999999</v>
      </c>
      <c r="V3247">
        <v>0.2326676</v>
      </c>
      <c r="W3247">
        <v>0.19515660000000001</v>
      </c>
      <c r="X3247">
        <v>0.95277469999999997</v>
      </c>
      <c r="Y3247">
        <v>0.42001270000000002</v>
      </c>
      <c r="Z3247">
        <v>3.4199720000000003E-2</v>
      </c>
      <c r="AA3247">
        <v>0.90687359999999995</v>
      </c>
      <c r="AB3247">
        <v>23</v>
      </c>
      <c r="AC3247">
        <v>-18.659099999999899</v>
      </c>
      <c r="AD3247">
        <v>-1.115491547317</v>
      </c>
      <c r="AE3247">
        <v>-19.387099999999901</v>
      </c>
      <c r="AF3247">
        <v>11.378442594020299</v>
      </c>
      <c r="AG3247">
        <v>-1.115491547317</v>
      </c>
      <c r="AH3247">
        <v>24.332498052284102</v>
      </c>
      <c r="AI3247">
        <v>92.377986690437893</v>
      </c>
      <c r="AJ3247">
        <v>64.938114803986906</v>
      </c>
      <c r="AK3247">
        <v>26.8846375969988</v>
      </c>
      <c r="AL3247">
        <v>78.746127784346996</v>
      </c>
      <c r="AM3247">
        <v>76.276947344757801</v>
      </c>
      <c r="AN3247">
        <v>0.99999996978670402</v>
      </c>
    </row>
    <row r="3248" spans="1:40" x14ac:dyDescent="0.25">
      <c r="A3248" t="str">
        <f>"20190303170831587"</f>
        <v>20190303170831587</v>
      </c>
      <c r="B3248" t="str">
        <f>"1551604111576598"</f>
        <v>1551604111576598</v>
      </c>
      <c r="C3248" t="s">
        <v>40</v>
      </c>
      <c r="D3248">
        <v>4.6655610000000003</v>
      </c>
      <c r="E3248">
        <v>0.60432580000000002</v>
      </c>
      <c r="F3248" t="s">
        <v>43</v>
      </c>
      <c r="G3248">
        <v>-213.98480000000001</v>
      </c>
      <c r="H3248" s="1">
        <v>-4.2432719999999997E-6</v>
      </c>
      <c r="I3248">
        <v>132.29079999999999</v>
      </c>
      <c r="J3248">
        <v>-194.0779</v>
      </c>
      <c r="K3248">
        <v>1.1153040000000001</v>
      </c>
      <c r="L3248">
        <v>152.6191</v>
      </c>
      <c r="M3248">
        <v>-0.33075209999999999</v>
      </c>
      <c r="N3248">
        <v>-8.4865199999999991E-3</v>
      </c>
      <c r="O3248">
        <v>-0.94367959999999995</v>
      </c>
      <c r="P3248">
        <v>-0.53347129999999998</v>
      </c>
      <c r="Q3248">
        <v>0.19183120000000001</v>
      </c>
      <c r="R3248">
        <v>-0.82377769999999995</v>
      </c>
      <c r="S3248">
        <v>-2.194061</v>
      </c>
      <c r="T3248">
        <v>-0.1224455</v>
      </c>
      <c r="U3248">
        <v>-2.2544710000000001</v>
      </c>
      <c r="V3248">
        <v>0.23352410000000001</v>
      </c>
      <c r="W3248">
        <v>0.19692789999999999</v>
      </c>
      <c r="X3248">
        <v>0.95220059999999995</v>
      </c>
      <c r="Y3248">
        <v>0.42069859999999998</v>
      </c>
      <c r="Z3248">
        <v>3.215925E-2</v>
      </c>
      <c r="AA3248">
        <v>0.9066303</v>
      </c>
      <c r="AB3248">
        <v>23</v>
      </c>
      <c r="AC3248">
        <v>-19.9069</v>
      </c>
      <c r="AD3248">
        <v>-1.1153082432720001</v>
      </c>
      <c r="AE3248">
        <v>-20.328299999999999</v>
      </c>
      <c r="AF3248">
        <v>12.0440341137478</v>
      </c>
      <c r="AG3248">
        <v>-1.1153082432720001</v>
      </c>
      <c r="AH3248">
        <v>25.7290417283875</v>
      </c>
      <c r="AI3248">
        <v>92.248259320949899</v>
      </c>
      <c r="AJ3248">
        <v>64.915213415313701</v>
      </c>
      <c r="AK3248">
        <v>28.430375630155499</v>
      </c>
      <c r="AL3248">
        <v>78.642632292635398</v>
      </c>
      <c r="AM3248">
        <v>76.220363047173805</v>
      </c>
      <c r="AN3248">
        <v>1.0000000428597799</v>
      </c>
    </row>
    <row r="3249" spans="1:40" x14ac:dyDescent="0.25">
      <c r="A3249" t="str">
        <f>"20190303170831609"</f>
        <v>20190303170831609</v>
      </c>
      <c r="B3249" t="str">
        <f>"1551604111596117"</f>
        <v>1551604111596117</v>
      </c>
      <c r="C3249" t="s">
        <v>40</v>
      </c>
      <c r="D3249">
        <v>4.8466110000000002</v>
      </c>
      <c r="E3249">
        <v>0.61991109999999905</v>
      </c>
      <c r="F3249" t="s">
        <v>43</v>
      </c>
      <c r="G3249">
        <v>-214.20679999999999</v>
      </c>
      <c r="H3249" s="1">
        <v>-3.7060939999999998E-6</v>
      </c>
      <c r="I3249">
        <v>134.0514</v>
      </c>
      <c r="J3249">
        <v>-194.16480000000001</v>
      </c>
      <c r="K3249">
        <v>1.1151059999999999</v>
      </c>
      <c r="L3249">
        <v>152.3997</v>
      </c>
      <c r="M3249">
        <v>-0.3391015</v>
      </c>
      <c r="N3249">
        <v>-8.2491979999999993E-3</v>
      </c>
      <c r="O3249">
        <v>-0.94071369999999999</v>
      </c>
      <c r="P3249">
        <v>-0.54226490000000005</v>
      </c>
      <c r="Q3249">
        <v>0.19292999999999999</v>
      </c>
      <c r="R3249">
        <v>-0.81775730000000002</v>
      </c>
      <c r="S3249">
        <v>-2.3387910000000001</v>
      </c>
      <c r="T3249">
        <v>-0.12958819999999999</v>
      </c>
      <c r="U3249">
        <v>-2.157394</v>
      </c>
      <c r="V3249">
        <v>0.2354714</v>
      </c>
      <c r="W3249">
        <v>0.19767199999999999</v>
      </c>
      <c r="X3249">
        <v>0.95156660000000004</v>
      </c>
      <c r="Y3249">
        <v>0.4610226</v>
      </c>
      <c r="Z3249">
        <v>3.4584280000000002E-2</v>
      </c>
      <c r="AA3249">
        <v>0.88671420000000001</v>
      </c>
      <c r="AB3249">
        <v>23</v>
      </c>
      <c r="AC3249">
        <v>-20.041999999999899</v>
      </c>
      <c r="AD3249">
        <v>-1.1151097060939901</v>
      </c>
      <c r="AE3249">
        <v>-18.348299999999899</v>
      </c>
      <c r="AF3249">
        <v>12.611038113057999</v>
      </c>
      <c r="AG3249">
        <v>-1.1151097060939901</v>
      </c>
      <c r="AH3249">
        <v>24.017138125380299</v>
      </c>
      <c r="AI3249">
        <v>92.353953218266895</v>
      </c>
      <c r="AJ3249">
        <v>62.2967110856668</v>
      </c>
      <c r="AK3249">
        <v>27.149671741647701</v>
      </c>
      <c r="AL3249">
        <v>78.599143125434594</v>
      </c>
      <c r="AM3249">
        <v>76.1009943758269</v>
      </c>
      <c r="AN3249">
        <v>0.99999999701875997</v>
      </c>
    </row>
    <row r="3250" spans="1:40" x14ac:dyDescent="0.25">
      <c r="A3250" t="str">
        <f>"20190303170831634"</f>
        <v>20190303170831634</v>
      </c>
      <c r="B3250" t="str">
        <f>"1551604111626373"</f>
        <v>1551604111626373</v>
      </c>
      <c r="C3250" t="s">
        <v>40</v>
      </c>
      <c r="D3250">
        <v>4.8800829999999999</v>
      </c>
      <c r="E3250">
        <v>0.63547379999999998</v>
      </c>
      <c r="F3250" t="s">
        <v>43</v>
      </c>
      <c r="G3250">
        <v>-222.7286</v>
      </c>
      <c r="H3250">
        <v>7.9986070000000006E-2</v>
      </c>
      <c r="I3250">
        <v>128.57299999999901</v>
      </c>
      <c r="J3250">
        <v>-194.26310000000001</v>
      </c>
      <c r="K3250">
        <v>1.1148800000000001</v>
      </c>
      <c r="L3250">
        <v>152.15979999999999</v>
      </c>
      <c r="M3250">
        <v>-0.34848230000000002</v>
      </c>
      <c r="N3250">
        <v>-8.0032419999999903E-3</v>
      </c>
      <c r="O3250">
        <v>-0.93728149999999999</v>
      </c>
      <c r="P3250">
        <v>-0.55121489999999995</v>
      </c>
      <c r="Q3250">
        <v>0.19327179999999999</v>
      </c>
      <c r="R3250">
        <v>-0.81167040000000001</v>
      </c>
      <c r="S3250">
        <v>-2.464264</v>
      </c>
      <c r="T3250">
        <v>-8.9302419999999993E-2</v>
      </c>
      <c r="U3250">
        <v>-2.0555880000000002</v>
      </c>
      <c r="V3250">
        <v>0.23654359999999999</v>
      </c>
      <c r="W3250">
        <v>0.19765199999999999</v>
      </c>
      <c r="X3250">
        <v>0.95130479999999995</v>
      </c>
      <c r="Y3250">
        <v>0.49629190000000001</v>
      </c>
      <c r="Z3250">
        <v>2.1891689999999998E-2</v>
      </c>
      <c r="AA3250">
        <v>0.86787959999999997</v>
      </c>
      <c r="AB3250">
        <v>23</v>
      </c>
      <c r="AC3250">
        <v>-28.465499999999899</v>
      </c>
      <c r="AD3250">
        <v>-1.03489393</v>
      </c>
      <c r="AE3250">
        <v>-23.5868</v>
      </c>
      <c r="AF3250">
        <v>18.446733670178801</v>
      </c>
      <c r="AG3250">
        <v>-1.03489393</v>
      </c>
      <c r="AH3250">
        <v>32.003130251170099</v>
      </c>
      <c r="AI3250">
        <v>91.6048000326806</v>
      </c>
      <c r="AJ3250">
        <v>60.040677728939897</v>
      </c>
      <c r="AK3250">
        <v>36.953394085228801</v>
      </c>
      <c r="AL3250">
        <v>78.600312198697495</v>
      </c>
      <c r="AM3250">
        <v>76.036484726152295</v>
      </c>
      <c r="AN3250">
        <v>1.0000000051539999</v>
      </c>
    </row>
    <row r="3251" spans="1:40" x14ac:dyDescent="0.25">
      <c r="A3251" t="str">
        <f>"20190303170831654"</f>
        <v>20190303170831654</v>
      </c>
      <c r="B3251" t="str">
        <f>"1551604111646869"</f>
        <v>1551604111646869</v>
      </c>
      <c r="C3251" t="s">
        <v>40</v>
      </c>
      <c r="D3251">
        <v>4.8641290000000001</v>
      </c>
      <c r="E3251">
        <v>0.64049209999999901</v>
      </c>
      <c r="F3251" t="s">
        <v>93</v>
      </c>
      <c r="G3251">
        <v>-237.7287</v>
      </c>
      <c r="H3251">
        <v>0.15906310000000001</v>
      </c>
      <c r="I3251">
        <v>119.3841</v>
      </c>
      <c r="J3251">
        <v>-194.35059999999999</v>
      </c>
      <c r="K3251">
        <v>1.1146849999999999</v>
      </c>
      <c r="L3251">
        <v>151.95179999999999</v>
      </c>
      <c r="M3251">
        <v>-0.35676210000000003</v>
      </c>
      <c r="N3251">
        <v>-7.8047990000000003E-3</v>
      </c>
      <c r="O3251">
        <v>-0.93416290000000002</v>
      </c>
      <c r="P3251">
        <v>-0.55816860000000001</v>
      </c>
      <c r="Q3251">
        <v>0.1933482</v>
      </c>
      <c r="R3251">
        <v>-0.80688579999999999</v>
      </c>
      <c r="S3251">
        <v>-2.5883940000000001</v>
      </c>
      <c r="T3251">
        <v>-5.6918980000000001E-2</v>
      </c>
      <c r="U3251">
        <v>-1.951813</v>
      </c>
      <c r="V3251">
        <v>0.23638200000000001</v>
      </c>
      <c r="W3251">
        <v>0.19745099999999999</v>
      </c>
      <c r="X3251">
        <v>0.95138670000000003</v>
      </c>
      <c r="Y3251">
        <v>0.53099379999999996</v>
      </c>
      <c r="Z3251">
        <v>1.171021E-2</v>
      </c>
      <c r="AA3251">
        <v>0.84729489999999996</v>
      </c>
      <c r="AB3251">
        <v>23</v>
      </c>
      <c r="AC3251">
        <v>-43.378100000000003</v>
      </c>
      <c r="AD3251">
        <v>-0.95562190000000002</v>
      </c>
      <c r="AE3251">
        <v>-32.567699999999903</v>
      </c>
      <c r="AF3251">
        <v>28.895196456274</v>
      </c>
      <c r="AG3251">
        <v>-0.95562190000000002</v>
      </c>
      <c r="AH3251">
        <v>45.886345334734898</v>
      </c>
      <c r="AI3251">
        <v>91.009610803188593</v>
      </c>
      <c r="AJ3251">
        <v>57.800873864754898</v>
      </c>
      <c r="AK3251">
        <v>54.234696271307598</v>
      </c>
      <c r="AL3251">
        <v>78.612060115469504</v>
      </c>
      <c r="AM3251">
        <v>76.046805631886201</v>
      </c>
      <c r="AN3251">
        <v>1.0000000001309399</v>
      </c>
    </row>
    <row r="3252" spans="1:40" x14ac:dyDescent="0.25">
      <c r="A3252" t="str">
        <f>"20190303170831677"</f>
        <v>20190303170831677</v>
      </c>
      <c r="B3252" t="str">
        <f>"1551604111666389"</f>
        <v>1551604111666389</v>
      </c>
      <c r="C3252" t="s">
        <v>40</v>
      </c>
      <c r="D3252">
        <v>4.8821009999999996</v>
      </c>
      <c r="E3252">
        <v>0.64339239999999998</v>
      </c>
      <c r="F3252" t="s">
        <v>93</v>
      </c>
      <c r="G3252">
        <v>-239.48249999999999</v>
      </c>
      <c r="H3252">
        <v>0.33328930000000001</v>
      </c>
      <c r="I3252">
        <v>119.3841</v>
      </c>
      <c r="J3252">
        <v>-194.44229999999999</v>
      </c>
      <c r="K3252">
        <v>1.1145050000000001</v>
      </c>
      <c r="L3252">
        <v>151.7398</v>
      </c>
      <c r="M3252">
        <v>-0.36535210000000001</v>
      </c>
      <c r="N3252">
        <v>-7.6171260000000001E-3</v>
      </c>
      <c r="O3252">
        <v>-0.93083850000000001</v>
      </c>
      <c r="P3252">
        <v>-0.56620309999999996</v>
      </c>
      <c r="Q3252">
        <v>0.1939545</v>
      </c>
      <c r="R3252">
        <v>-0.801122</v>
      </c>
      <c r="S3252">
        <v>-2.638306</v>
      </c>
      <c r="T3252">
        <v>-4.5678139999999999E-2</v>
      </c>
      <c r="U3252">
        <v>-1.9038390000000001</v>
      </c>
      <c r="V3252">
        <v>0.23726179999999999</v>
      </c>
      <c r="W3252">
        <v>0.197773</v>
      </c>
      <c r="X3252">
        <v>0.95110079999999997</v>
      </c>
      <c r="Y3252">
        <v>0.54098889999999999</v>
      </c>
      <c r="Z3252">
        <v>8.3027980000000001E-3</v>
      </c>
      <c r="AA3252">
        <v>0.84098879999999998</v>
      </c>
      <c r="AB3252">
        <v>23</v>
      </c>
      <c r="AC3252">
        <v>-45.040199999999999</v>
      </c>
      <c r="AD3252">
        <v>-0.78121569999999896</v>
      </c>
      <c r="AE3252">
        <v>-32.355699999999999</v>
      </c>
      <c r="AF3252">
        <v>30.0988224942685</v>
      </c>
      <c r="AG3252">
        <v>-0.78121569999999896</v>
      </c>
      <c r="AH3252">
        <v>46.565562278053903</v>
      </c>
      <c r="AI3252">
        <v>90.807220891515399</v>
      </c>
      <c r="AJ3252">
        <v>57.122376727219702</v>
      </c>
      <c r="AK3252">
        <v>55.451789906032197</v>
      </c>
      <c r="AL3252">
        <v>78.593240047555</v>
      </c>
      <c r="AM3252">
        <v>75.992868940618493</v>
      </c>
      <c r="AN3252">
        <v>1.00000002651443</v>
      </c>
    </row>
    <row r="3253" spans="1:40" x14ac:dyDescent="0.25">
      <c r="A3253" t="str">
        <f>"20190303170831699"</f>
        <v>20190303170831699</v>
      </c>
      <c r="B3253" t="str">
        <f>"1551604111685909"</f>
        <v>1551604111685909</v>
      </c>
      <c r="C3253" t="s">
        <v>40</v>
      </c>
      <c r="D3253">
        <v>4.8500230000000002</v>
      </c>
      <c r="E3253">
        <v>0.64508030000000005</v>
      </c>
      <c r="F3253" t="s">
        <v>93</v>
      </c>
      <c r="G3253">
        <v>-240.9306</v>
      </c>
      <c r="H3253">
        <v>0.4597947</v>
      </c>
      <c r="I3253">
        <v>119.3841</v>
      </c>
      <c r="J3253">
        <v>-194.53890000000001</v>
      </c>
      <c r="K3253">
        <v>1.1143179999999999</v>
      </c>
      <c r="L3253">
        <v>151.5224</v>
      </c>
      <c r="M3253">
        <v>-0.37432779999999999</v>
      </c>
      <c r="N3253">
        <v>-7.4383549999999998E-3</v>
      </c>
      <c r="O3253">
        <v>-0.92726679999999995</v>
      </c>
      <c r="P3253">
        <v>-0.57494509999999999</v>
      </c>
      <c r="Q3253">
        <v>0.1945981</v>
      </c>
      <c r="R3253">
        <v>-0.79471389999999997</v>
      </c>
      <c r="S3253">
        <v>-2.6760410000000001</v>
      </c>
      <c r="T3253">
        <v>-3.76873E-2</v>
      </c>
      <c r="U3253">
        <v>-1.8625179999999999</v>
      </c>
      <c r="V3253">
        <v>0.23863960000000001</v>
      </c>
      <c r="W3253">
        <v>0.19812920000000001</v>
      </c>
      <c r="X3253">
        <v>0.95068189999999997</v>
      </c>
      <c r="Y3253">
        <v>0.54720760000000002</v>
      </c>
      <c r="Z3253">
        <v>5.9390729999999996E-3</v>
      </c>
      <c r="AA3253">
        <v>0.83697589999999999</v>
      </c>
      <c r="AB3253">
        <v>23</v>
      </c>
      <c r="AC3253">
        <v>-46.391699999999901</v>
      </c>
      <c r="AD3253">
        <v>-0.65452329999999903</v>
      </c>
      <c r="AE3253">
        <v>-32.138300000000001</v>
      </c>
      <c r="AF3253">
        <v>30.983908506571701</v>
      </c>
      <c r="AG3253">
        <v>-0.65452329999999903</v>
      </c>
      <c r="AH3253">
        <v>47.161434888780697</v>
      </c>
      <c r="AI3253">
        <v>90.664550300618401</v>
      </c>
      <c r="AJ3253">
        <v>56.696065531106797</v>
      </c>
      <c r="AK3253">
        <v>56.432543163165697</v>
      </c>
      <c r="AL3253">
        <v>78.572419638555004</v>
      </c>
      <c r="AM3253">
        <v>75.908798145425493</v>
      </c>
      <c r="AN3253">
        <v>1.0000000567842</v>
      </c>
    </row>
    <row r="3254" spans="1:40" x14ac:dyDescent="0.25">
      <c r="A3254" t="str">
        <f>"20190303170831723"</f>
        <v>20190303170831723</v>
      </c>
      <c r="B3254" t="str">
        <f>"1551604111716165"</f>
        <v>1551604111716165</v>
      </c>
      <c r="C3254" t="s">
        <v>40</v>
      </c>
      <c r="D3254">
        <v>4.8632839999999904</v>
      </c>
      <c r="E3254">
        <v>0.64658689999999996</v>
      </c>
      <c r="F3254" t="s">
        <v>80</v>
      </c>
      <c r="G3254">
        <v>-245.4195</v>
      </c>
      <c r="H3254">
        <v>0.48082999999999998</v>
      </c>
      <c r="I3254">
        <v>117.22499999999999</v>
      </c>
      <c r="J3254">
        <v>-194.65</v>
      </c>
      <c r="K3254">
        <v>1.114104</v>
      </c>
      <c r="L3254">
        <v>151.2792</v>
      </c>
      <c r="M3254">
        <v>-0.38457170000000002</v>
      </c>
      <c r="N3254">
        <v>-7.2539880000000003E-3</v>
      </c>
      <c r="O3254">
        <v>-0.92306670000000002</v>
      </c>
      <c r="P3254">
        <v>-0.58384199999999997</v>
      </c>
      <c r="Q3254">
        <v>0.1955363</v>
      </c>
      <c r="R3254">
        <v>-0.78796869999999997</v>
      </c>
      <c r="S3254">
        <v>-2.7070470000000002</v>
      </c>
      <c r="T3254">
        <v>-3.3702490000000002E-2</v>
      </c>
      <c r="U3254">
        <v>-1.8247530000000001</v>
      </c>
      <c r="V3254">
        <v>0.23899380000000001</v>
      </c>
      <c r="W3254">
        <v>0.19877549999999999</v>
      </c>
      <c r="X3254">
        <v>0.95045789999999997</v>
      </c>
      <c r="Y3254">
        <v>0.55043260000000005</v>
      </c>
      <c r="Z3254">
        <v>4.8610149999999998E-3</v>
      </c>
      <c r="AA3254">
        <v>0.83486550000000004</v>
      </c>
      <c r="AB3254">
        <v>24</v>
      </c>
      <c r="AC3254">
        <v>-50.769500000000001</v>
      </c>
      <c r="AD3254">
        <v>-0.633273999999999</v>
      </c>
      <c r="AE3254">
        <v>-34.054200000000002</v>
      </c>
      <c r="AF3254">
        <v>33.764616019441803</v>
      </c>
      <c r="AG3254">
        <v>-0.633273999999999</v>
      </c>
      <c r="AH3254">
        <v>50.954680159103297</v>
      </c>
      <c r="AI3254">
        <v>90.593567894046004</v>
      </c>
      <c r="AJ3254">
        <v>56.469947172468402</v>
      </c>
      <c r="AK3254">
        <v>61.129614435361397</v>
      </c>
      <c r="AL3254">
        <v>78.534637001207201</v>
      </c>
      <c r="AM3254">
        <v>75.885525533064495</v>
      </c>
      <c r="AN3254">
        <v>0.99999997775554905</v>
      </c>
    </row>
    <row r="3255" spans="1:40" x14ac:dyDescent="0.25">
      <c r="A3255" t="str">
        <f>"20190303170831744"</f>
        <v>20190303170831744</v>
      </c>
      <c r="B3255" t="str">
        <f>"1551604111736661"</f>
        <v>1551604111736661</v>
      </c>
      <c r="C3255" t="s">
        <v>40</v>
      </c>
      <c r="D3255">
        <v>4.8409420000000001</v>
      </c>
      <c r="E3255">
        <v>0.64699390000000001</v>
      </c>
      <c r="F3255" t="s">
        <v>80</v>
      </c>
      <c r="G3255">
        <v>-245.22489999999999</v>
      </c>
      <c r="H3255">
        <v>0.57252040000000004</v>
      </c>
      <c r="I3255">
        <v>118.2727</v>
      </c>
      <c r="J3255">
        <v>-194.7475</v>
      </c>
      <c r="K3255">
        <v>1.1139159999999999</v>
      </c>
      <c r="L3255">
        <v>151.072</v>
      </c>
      <c r="M3255">
        <v>-0.39347729999999997</v>
      </c>
      <c r="N3255">
        <v>-7.1126459999999898E-3</v>
      </c>
      <c r="O3255">
        <v>-0.91930690000000004</v>
      </c>
      <c r="P3255">
        <v>-0.59187659999999997</v>
      </c>
      <c r="Q3255">
        <v>0.1957932</v>
      </c>
      <c r="R3255">
        <v>-0.78188709999999995</v>
      </c>
      <c r="S3255">
        <v>-2.737244</v>
      </c>
      <c r="T3255">
        <v>-2.9310349999999999E-2</v>
      </c>
      <c r="U3255">
        <v>-1.78639199999999</v>
      </c>
      <c r="V3255">
        <v>0.23964440000000001</v>
      </c>
      <c r="W3255">
        <v>0.19878860000000001</v>
      </c>
      <c r="X3255">
        <v>0.95029129999999995</v>
      </c>
      <c r="Y3255">
        <v>0.55479769999999995</v>
      </c>
      <c r="Z3255">
        <v>3.6209459999999999E-3</v>
      </c>
      <c r="AA3255">
        <v>0.83197739999999998</v>
      </c>
      <c r="AB3255">
        <v>24</v>
      </c>
      <c r="AC3255">
        <v>-50.477399999999903</v>
      </c>
      <c r="AD3255">
        <v>-0.54139559999999898</v>
      </c>
      <c r="AE3255">
        <v>-32.799300000000002</v>
      </c>
      <c r="AF3255">
        <v>33.4965775554587</v>
      </c>
      <c r="AG3255">
        <v>-0.54139559999999898</v>
      </c>
      <c r="AH3255">
        <v>50.011550026436602</v>
      </c>
      <c r="AI3255">
        <v>90.5153246741814</v>
      </c>
      <c r="AJ3255">
        <v>56.186740710118301</v>
      </c>
      <c r="AK3255">
        <v>60.195256899288403</v>
      </c>
      <c r="AL3255">
        <v>78.533870824859505</v>
      </c>
      <c r="AM3255">
        <v>75.846262910923102</v>
      </c>
      <c r="AN3255">
        <v>0.99999995039850298</v>
      </c>
    </row>
    <row r="3256" spans="1:40" x14ac:dyDescent="0.25">
      <c r="A3256" t="str">
        <f>"20190303170831767"</f>
        <v>20190303170831767</v>
      </c>
      <c r="B3256" t="str">
        <f>"1551604111756181"</f>
        <v>1551604111756181</v>
      </c>
      <c r="C3256" t="s">
        <v>40</v>
      </c>
      <c r="D3256">
        <v>4.8051009999999996</v>
      </c>
      <c r="E3256">
        <v>0.6473004</v>
      </c>
      <c r="F3256" t="s">
        <v>80</v>
      </c>
      <c r="G3256">
        <v>-245.22489999999999</v>
      </c>
      <c r="H3256">
        <v>0.61494799999999905</v>
      </c>
      <c r="I3256">
        <v>118.9462</v>
      </c>
      <c r="J3256">
        <v>-194.85319999999999</v>
      </c>
      <c r="K3256">
        <v>1.1137079999999999</v>
      </c>
      <c r="L3256">
        <v>150.85329999999999</v>
      </c>
      <c r="M3256">
        <v>-0.40304469999999998</v>
      </c>
      <c r="N3256">
        <v>-6.9755659999999999E-3</v>
      </c>
      <c r="O3256">
        <v>-0.91515369999999996</v>
      </c>
      <c r="P3256">
        <v>-0.60063279999999997</v>
      </c>
      <c r="Q3256">
        <v>0.19579050000000001</v>
      </c>
      <c r="R3256">
        <v>-0.77518189999999998</v>
      </c>
      <c r="S3256">
        <v>-2.7584529999999998</v>
      </c>
      <c r="T3256">
        <v>-2.7265669999999999E-2</v>
      </c>
      <c r="U3256">
        <v>-1.755585</v>
      </c>
      <c r="V3256">
        <v>0.24050940000000001</v>
      </c>
      <c r="W3256">
        <v>0.1985325</v>
      </c>
      <c r="X3256">
        <v>0.95012629999999998</v>
      </c>
      <c r="Y3256">
        <v>0.55563709999999999</v>
      </c>
      <c r="Z3256">
        <v>3.1201369999999998E-3</v>
      </c>
      <c r="AA3256">
        <v>0.83141909999999897</v>
      </c>
      <c r="AB3256">
        <v>24</v>
      </c>
      <c r="AC3256">
        <v>-50.371699999999997</v>
      </c>
      <c r="AD3256">
        <v>-0.49875999999999998</v>
      </c>
      <c r="AE3256">
        <v>-31.9070999999999</v>
      </c>
      <c r="AF3256">
        <v>33.236343567646998</v>
      </c>
      <c r="AG3256">
        <v>-0.49875999999999998</v>
      </c>
      <c r="AH3256">
        <v>49.499688753457399</v>
      </c>
      <c r="AI3256">
        <v>90.479283005224005</v>
      </c>
      <c r="AJ3256">
        <v>56.120791413810402</v>
      </c>
      <c r="AK3256">
        <v>59.624847857025401</v>
      </c>
      <c r="AL3256">
        <v>78.548842747816806</v>
      </c>
      <c r="AM3256">
        <v>75.794871905420806</v>
      </c>
      <c r="AN3256">
        <v>0.99999995549814902</v>
      </c>
    </row>
    <row r="3257" spans="1:40" x14ac:dyDescent="0.25">
      <c r="A3257" t="str">
        <f>"20190303170831787"</f>
        <v>20190303170831787</v>
      </c>
      <c r="B3257" t="str">
        <f>"1551604111776678"</f>
        <v>1551604111776678</v>
      </c>
      <c r="C3257" t="s">
        <v>40</v>
      </c>
      <c r="D3257">
        <v>4.8061160000000003</v>
      </c>
      <c r="E3257">
        <v>0.64743130000000004</v>
      </c>
      <c r="F3257" t="s">
        <v>80</v>
      </c>
      <c r="G3257">
        <v>-245.7398</v>
      </c>
      <c r="H3257">
        <v>0.64970569999999905</v>
      </c>
      <c r="I3257">
        <v>119.3436</v>
      </c>
      <c r="J3257">
        <v>-194.9504</v>
      </c>
      <c r="K3257">
        <v>1.113515</v>
      </c>
      <c r="L3257">
        <v>150.65770000000001</v>
      </c>
      <c r="M3257">
        <v>-0.41176869999999999</v>
      </c>
      <c r="N3257">
        <v>-6.8599219999999897E-3</v>
      </c>
      <c r="O3257">
        <v>-0.91126280000000004</v>
      </c>
      <c r="P3257">
        <v>-0.60911800000000005</v>
      </c>
      <c r="Q3257">
        <v>0.19576840000000001</v>
      </c>
      <c r="R3257">
        <v>-0.76853800000000005</v>
      </c>
      <c r="S3257">
        <v>-2.7807309999999998</v>
      </c>
      <c r="T3257">
        <v>-2.5354149999999999E-2</v>
      </c>
      <c r="U3257">
        <v>-1.7218629999999999</v>
      </c>
      <c r="V3257">
        <v>0.2419578</v>
      </c>
      <c r="W3257">
        <v>0.19827500000000001</v>
      </c>
      <c r="X3257">
        <v>0.9498124</v>
      </c>
      <c r="Y3257">
        <v>0.55796800000000002</v>
      </c>
      <c r="Z3257">
        <v>2.6474739999999999E-3</v>
      </c>
      <c r="AA3257">
        <v>0.82985830000000005</v>
      </c>
      <c r="AB3257">
        <v>24</v>
      </c>
      <c r="AC3257">
        <v>-50.789400000000001</v>
      </c>
      <c r="AD3257">
        <v>-0.46380929999999998</v>
      </c>
      <c r="AE3257">
        <v>-31.3141</v>
      </c>
      <c r="AF3257">
        <v>33.387085971601998</v>
      </c>
      <c r="AG3257">
        <v>-0.46380929999999998</v>
      </c>
      <c r="AH3257">
        <v>49.447025212377497</v>
      </c>
      <c r="AI3257">
        <v>90.445395969830599</v>
      </c>
      <c r="AJ3257">
        <v>55.972416645037498</v>
      </c>
      <c r="AK3257">
        <v>59.665072958100097</v>
      </c>
      <c r="AL3257">
        <v>78.563897030288501</v>
      </c>
      <c r="AM3257">
        <v>75.708289725200999</v>
      </c>
      <c r="AN3257">
        <v>1.0000000738997901</v>
      </c>
    </row>
    <row r="3258" spans="1:40" x14ac:dyDescent="0.25">
      <c r="A3258" t="str">
        <f>"20190303170831810"</f>
        <v>20190303170831810</v>
      </c>
      <c r="B3258" t="str">
        <f>"1551604111796197"</f>
        <v>1551604111796197</v>
      </c>
      <c r="C3258" t="s">
        <v>40</v>
      </c>
      <c r="D3258">
        <v>4.8060679999999998</v>
      </c>
      <c r="E3258">
        <v>0.64740469999999894</v>
      </c>
      <c r="F3258" t="s">
        <v>80</v>
      </c>
      <c r="G3258">
        <v>-247.23560000000001</v>
      </c>
      <c r="H3258">
        <v>0.62588259999999996</v>
      </c>
      <c r="I3258">
        <v>119.0955</v>
      </c>
      <c r="J3258">
        <v>-195.06610000000001</v>
      </c>
      <c r="K3258">
        <v>1.1132979999999999</v>
      </c>
      <c r="L3258">
        <v>150.43100000000001</v>
      </c>
      <c r="M3258">
        <v>-0.42205520000000002</v>
      </c>
      <c r="N3258">
        <v>-6.728202E-3</v>
      </c>
      <c r="O3258">
        <v>-0.9065453</v>
      </c>
      <c r="P3258">
        <v>-0.6186642</v>
      </c>
      <c r="Q3258">
        <v>0.1965566</v>
      </c>
      <c r="R3258">
        <v>-0.76067130000000005</v>
      </c>
      <c r="S3258">
        <v>-2.8005369999999998</v>
      </c>
      <c r="T3258">
        <v>-2.6117319999999999E-2</v>
      </c>
      <c r="U3258">
        <v>-1.6905520000000001</v>
      </c>
      <c r="V3258">
        <v>0.24326010000000001</v>
      </c>
      <c r="W3258">
        <v>0.198797</v>
      </c>
      <c r="X3258">
        <v>0.94937039999999995</v>
      </c>
      <c r="Y3258">
        <v>0.55797450000000004</v>
      </c>
      <c r="Z3258">
        <v>3.0317109999999999E-3</v>
      </c>
      <c r="AA3258">
        <v>0.82985249999999999</v>
      </c>
      <c r="AB3258">
        <v>24</v>
      </c>
      <c r="AC3258">
        <v>-52.169499999999999</v>
      </c>
      <c r="AD3258">
        <v>-0.4874154</v>
      </c>
      <c r="AE3258">
        <v>-31.3355</v>
      </c>
      <c r="AF3258">
        <v>34.067286021845803</v>
      </c>
      <c r="AG3258">
        <v>-0.4874154</v>
      </c>
      <c r="AH3258">
        <v>50.423359782710001</v>
      </c>
      <c r="AI3258">
        <v>90.458912781825205</v>
      </c>
      <c r="AJ3258">
        <v>55.956053333737401</v>
      </c>
      <c r="AK3258">
        <v>60.8550142752676</v>
      </c>
      <c r="AL3258">
        <v>78.533379617285803</v>
      </c>
      <c r="AM3258">
        <v>75.628131122220296</v>
      </c>
      <c r="AN3258">
        <v>0.99999993992858305</v>
      </c>
    </row>
    <row r="3259" spans="1:40" x14ac:dyDescent="0.25">
      <c r="A3259" t="str">
        <f>"20190303170831833"</f>
        <v>20190303170831833</v>
      </c>
      <c r="B3259" t="str">
        <f>"1551604111826453"</f>
        <v>1551604111826453</v>
      </c>
      <c r="C3259" t="s">
        <v>40</v>
      </c>
      <c r="D3259">
        <v>4.735004</v>
      </c>
      <c r="E3259">
        <v>0.64724559999999998</v>
      </c>
      <c r="F3259" t="s">
        <v>80</v>
      </c>
      <c r="G3259">
        <v>-248.43709999999999</v>
      </c>
      <c r="H3259">
        <v>0.61059430000000003</v>
      </c>
      <c r="I3259">
        <v>119.0955</v>
      </c>
      <c r="J3259">
        <v>-195.1858</v>
      </c>
      <c r="K3259">
        <v>1.113084</v>
      </c>
      <c r="L3259">
        <v>150.2037</v>
      </c>
      <c r="M3259">
        <v>-0.43257020000000002</v>
      </c>
      <c r="N3259">
        <v>-6.5954000000000004E-3</v>
      </c>
      <c r="O3259">
        <v>-0.90157619999999905</v>
      </c>
      <c r="P3259">
        <v>-0.62766940000000004</v>
      </c>
      <c r="Q3259">
        <v>0.19769729999999999</v>
      </c>
      <c r="R3259">
        <v>-0.75295909999999999</v>
      </c>
      <c r="S3259">
        <v>-2.821075</v>
      </c>
      <c r="T3259">
        <v>-2.6570320000000001E-2</v>
      </c>
      <c r="U3259">
        <v>-1.65632599999999</v>
      </c>
      <c r="V3259">
        <v>0.24375359999999999</v>
      </c>
      <c r="W3259">
        <v>0.19968810000000001</v>
      </c>
      <c r="X3259">
        <v>0.94905680000000003</v>
      </c>
      <c r="Y3259">
        <v>0.5584481</v>
      </c>
      <c r="Z3259">
        <v>3.3195949999999998E-3</v>
      </c>
      <c r="AA3259">
        <v>0.82953279999999996</v>
      </c>
      <c r="AB3259">
        <v>24</v>
      </c>
      <c r="AC3259">
        <v>-53.251299999999901</v>
      </c>
      <c r="AD3259">
        <v>-0.50248969999999904</v>
      </c>
      <c r="AE3259">
        <v>-31.1082</v>
      </c>
      <c r="AF3259">
        <v>34.552080063134397</v>
      </c>
      <c r="AG3259">
        <v>-0.50248969999999904</v>
      </c>
      <c r="AH3259">
        <v>51.079055205887101</v>
      </c>
      <c r="AI3259">
        <v>90.466854782348193</v>
      </c>
      <c r="AJ3259">
        <v>55.923880919417101</v>
      </c>
      <c r="AK3259">
        <v>61.669835522027398</v>
      </c>
      <c r="AL3259">
        <v>78.481279224655097</v>
      </c>
      <c r="AM3259">
        <v>75.595625955652196</v>
      </c>
      <c r="AN3259">
        <v>0.99999998221040398</v>
      </c>
    </row>
    <row r="3260" spans="1:40" x14ac:dyDescent="0.25">
      <c r="A3260" t="str">
        <f>"20190303170831856"</f>
        <v>20190303170831856</v>
      </c>
      <c r="B3260" t="str">
        <f>"1551604111845973"</f>
        <v>1551604111845973</v>
      </c>
      <c r="C3260" t="s">
        <v>40</v>
      </c>
      <c r="D3260">
        <v>4.6976519999999997</v>
      </c>
      <c r="E3260">
        <v>0.64703009999999905</v>
      </c>
      <c r="F3260" t="s">
        <v>80</v>
      </c>
      <c r="G3260">
        <v>-249.6086</v>
      </c>
      <c r="H3260">
        <v>0.63651539999999995</v>
      </c>
      <c r="I3260">
        <v>119.0955</v>
      </c>
      <c r="J3260">
        <v>-195.31139999999999</v>
      </c>
      <c r="K3260">
        <v>1.1128769999999999</v>
      </c>
      <c r="L3260">
        <v>149.97200000000001</v>
      </c>
      <c r="M3260">
        <v>-0.44343959999999999</v>
      </c>
      <c r="N3260">
        <v>-6.4602779999999999E-3</v>
      </c>
      <c r="O3260">
        <v>-0.89628109999999905</v>
      </c>
      <c r="P3260">
        <v>-0.63694719999999905</v>
      </c>
      <c r="Q3260">
        <v>0.19805429999999999</v>
      </c>
      <c r="R3260">
        <v>-0.74503240000000004</v>
      </c>
      <c r="S3260">
        <v>-2.8399809999999999</v>
      </c>
      <c r="T3260">
        <v>-2.4867529999999999E-2</v>
      </c>
      <c r="U3260">
        <v>-1.623337</v>
      </c>
      <c r="V3260">
        <v>0.24416789999999999</v>
      </c>
      <c r="W3260">
        <v>0.1998026</v>
      </c>
      <c r="X3260">
        <v>0.94892619999999905</v>
      </c>
      <c r="Y3260">
        <v>0.55806239999999996</v>
      </c>
      <c r="Z3260">
        <v>2.925043E-3</v>
      </c>
      <c r="AA3260">
        <v>0.82979380000000003</v>
      </c>
      <c r="AB3260">
        <v>24</v>
      </c>
      <c r="AC3260">
        <v>-54.297199999999997</v>
      </c>
      <c r="AD3260">
        <v>-0.4763616</v>
      </c>
      <c r="AE3260">
        <v>-30.8765</v>
      </c>
      <c r="AF3260">
        <v>34.9723831987788</v>
      </c>
      <c r="AG3260">
        <v>-0.4763616</v>
      </c>
      <c r="AH3260">
        <v>51.749616349602</v>
      </c>
      <c r="AI3260">
        <v>90.436976368534602</v>
      </c>
      <c r="AJ3260">
        <v>55.949178106393902</v>
      </c>
      <c r="AK3260">
        <v>62.460525928839097</v>
      </c>
      <c r="AL3260">
        <v>78.4745839973681</v>
      </c>
      <c r="AM3260">
        <v>75.570261626299796</v>
      </c>
      <c r="AN3260">
        <v>0.99999998770180398</v>
      </c>
    </row>
    <row r="3261" spans="1:40" x14ac:dyDescent="0.25">
      <c r="A3261" t="str">
        <f>"20190303170831880"</f>
        <v>20190303170831880</v>
      </c>
      <c r="B3261" t="str">
        <f>"1551604111866469"</f>
        <v>1551604111866469</v>
      </c>
      <c r="C3261" t="s">
        <v>40</v>
      </c>
      <c r="D3261">
        <v>4.7110859999999999</v>
      </c>
      <c r="E3261">
        <v>0.64676999999999996</v>
      </c>
      <c r="F3261" t="s">
        <v>80</v>
      </c>
      <c r="G3261">
        <v>-250.4579</v>
      </c>
      <c r="H3261">
        <v>0.67628469999999996</v>
      </c>
      <c r="I3261">
        <v>119.3436</v>
      </c>
      <c r="J3261">
        <v>-195.4333</v>
      </c>
      <c r="K3261">
        <v>1.1126910000000001</v>
      </c>
      <c r="L3261">
        <v>149.7533</v>
      </c>
      <c r="M3261">
        <v>-0.45383859999999898</v>
      </c>
      <c r="N3261">
        <v>-6.3286330000000002E-3</v>
      </c>
      <c r="O3261">
        <v>-0.89106149999999995</v>
      </c>
      <c r="P3261">
        <v>-0.64639569999999902</v>
      </c>
      <c r="Q3261">
        <v>0.19880929999999999</v>
      </c>
      <c r="R3261">
        <v>-0.73664640000000003</v>
      </c>
      <c r="S3261">
        <v>-2.8593899999999999</v>
      </c>
      <c r="T3261">
        <v>-2.2636179999999999E-2</v>
      </c>
      <c r="U3261">
        <v>-1.588104</v>
      </c>
      <c r="V3261">
        <v>0.24541089999999999</v>
      </c>
      <c r="W3261">
        <v>0.2003123</v>
      </c>
      <c r="X3261">
        <v>0.94849799999999995</v>
      </c>
      <c r="Y3261">
        <v>0.55861380000000005</v>
      </c>
      <c r="Z3261">
        <v>2.3635800000000001E-3</v>
      </c>
      <c r="AA3261">
        <v>0.82942450000000001</v>
      </c>
      <c r="AB3261">
        <v>24</v>
      </c>
      <c r="AC3261">
        <v>-55.0245999999999</v>
      </c>
      <c r="AD3261">
        <v>-0.43640629999999903</v>
      </c>
      <c r="AE3261">
        <v>-30.409700000000001</v>
      </c>
      <c r="AF3261">
        <v>35.2282127984939</v>
      </c>
      <c r="AG3261">
        <v>-0.43640629999999903</v>
      </c>
      <c r="AH3261">
        <v>52.067730975006498</v>
      </c>
      <c r="AI3261">
        <v>90.397735216961607</v>
      </c>
      <c r="AJ3261">
        <v>55.918332547609801</v>
      </c>
      <c r="AK3261">
        <v>62.867050482111097</v>
      </c>
      <c r="AL3261">
        <v>78.444777827027494</v>
      </c>
      <c r="AM3261">
        <v>75.4936226001291</v>
      </c>
      <c r="AN3261">
        <v>0.99999999168704901</v>
      </c>
    </row>
    <row r="3262" spans="1:40" x14ac:dyDescent="0.25">
      <c r="A3262" t="str">
        <f>"20190303170831902"</f>
        <v>20190303170831902</v>
      </c>
      <c r="B3262" t="str">
        <f>"1551604111885989"</f>
        <v>1551604111885989</v>
      </c>
      <c r="C3262" t="s">
        <v>40</v>
      </c>
      <c r="D3262">
        <v>4.5081329999999999</v>
      </c>
      <c r="E3262">
        <v>0.64648969999999994</v>
      </c>
      <c r="F3262" t="s">
        <v>41</v>
      </c>
      <c r="G3262">
        <v>-239.77869999999999</v>
      </c>
      <c r="H3262">
        <v>0.81424229999999997</v>
      </c>
      <c r="I3262">
        <v>125.8466</v>
      </c>
      <c r="J3262">
        <v>-195.56489999999999</v>
      </c>
      <c r="K3262">
        <v>1.1124909999999999</v>
      </c>
      <c r="L3262">
        <v>149.524</v>
      </c>
      <c r="M3262">
        <v>-0.46488839999999998</v>
      </c>
      <c r="N3262">
        <v>-6.1831189999999999E-3</v>
      </c>
      <c r="O3262">
        <v>-0.88534780000000002</v>
      </c>
      <c r="P3262">
        <v>-0.65642369999999906</v>
      </c>
      <c r="Q3262">
        <v>0.1989031</v>
      </c>
      <c r="R3262">
        <v>-0.72769899999999998</v>
      </c>
      <c r="S3262">
        <v>-2.878555</v>
      </c>
      <c r="T3262">
        <v>-1.9371030000000001E-2</v>
      </c>
      <c r="U3262">
        <v>-1.5518339999999999</v>
      </c>
      <c r="V3262">
        <v>0.24669679999999999</v>
      </c>
      <c r="W3262">
        <v>0.20014180000000001</v>
      </c>
      <c r="X3262">
        <v>0.94820040000000005</v>
      </c>
      <c r="Y3262">
        <v>0.55870180000000003</v>
      </c>
      <c r="Z3262">
        <v>1.489013E-3</v>
      </c>
      <c r="AA3262">
        <v>0.82936730000000003</v>
      </c>
      <c r="AB3262">
        <v>25</v>
      </c>
      <c r="AC3262">
        <v>-44.2137999999999</v>
      </c>
      <c r="AD3262">
        <v>-0.29824869999999898</v>
      </c>
      <c r="AE3262">
        <v>-23.677399999999999</v>
      </c>
      <c r="AF3262">
        <v>28.1367822919802</v>
      </c>
      <c r="AG3262">
        <v>-0.29824869999999898</v>
      </c>
      <c r="AH3262">
        <v>41.516538491494401</v>
      </c>
      <c r="AI3262">
        <v>90.3407226843388</v>
      </c>
      <c r="AJ3262">
        <v>55.873538057336702</v>
      </c>
      <c r="AK3262">
        <v>50.153668244198101</v>
      </c>
      <c r="AL3262">
        <v>78.454749060607895</v>
      </c>
      <c r="AM3262">
        <v>75.416462456362396</v>
      </c>
      <c r="AN3262">
        <v>1.0000000248988099</v>
      </c>
    </row>
    <row r="3263" spans="1:40" x14ac:dyDescent="0.25">
      <c r="A3263" t="str">
        <f>"20190303170831925"</f>
        <v>20190303170831925</v>
      </c>
      <c r="B3263" t="str">
        <f>"1551604111916245"</f>
        <v>1551604111916245</v>
      </c>
      <c r="C3263" t="s">
        <v>40</v>
      </c>
      <c r="D3263">
        <v>4.5006550000000001</v>
      </c>
      <c r="E3263">
        <v>0.64609530000000004</v>
      </c>
      <c r="F3263" t="s">
        <v>80</v>
      </c>
      <c r="G3263">
        <v>-253.8175</v>
      </c>
      <c r="H3263">
        <v>0.76048159999999998</v>
      </c>
      <c r="I3263">
        <v>119.0955</v>
      </c>
      <c r="J3263">
        <v>-195.69800000000001</v>
      </c>
      <c r="K3263">
        <v>1.112285</v>
      </c>
      <c r="L3263">
        <v>149.29859999999999</v>
      </c>
      <c r="M3263">
        <v>-0.47590130000000003</v>
      </c>
      <c r="N3263">
        <v>-6.0324109999999997E-3</v>
      </c>
      <c r="O3263">
        <v>-0.87947809999999904</v>
      </c>
      <c r="P3263">
        <v>-0.66571179999999996</v>
      </c>
      <c r="Q3263">
        <v>0.19868359999999999</v>
      </c>
      <c r="R3263">
        <v>-0.71927220000000003</v>
      </c>
      <c r="S3263">
        <v>-2.8976139999999999</v>
      </c>
      <c r="T3263">
        <v>-1.7508269999999999E-2</v>
      </c>
      <c r="U3263">
        <v>-1.5135799999999999</v>
      </c>
      <c r="V3263">
        <v>0.24708559999999999</v>
      </c>
      <c r="W3263">
        <v>0.1996695</v>
      </c>
      <c r="X3263">
        <v>0.94819869999999995</v>
      </c>
      <c r="Y3263">
        <v>0.55919059999999998</v>
      </c>
      <c r="Z3263">
        <v>1.0617370000000001E-3</v>
      </c>
      <c r="AA3263">
        <v>0.82903850000000001</v>
      </c>
      <c r="AB3263">
        <v>25</v>
      </c>
      <c r="AC3263">
        <v>-58.119500000000002</v>
      </c>
      <c r="AD3263">
        <v>-0.35180339999999999</v>
      </c>
      <c r="AE3263">
        <v>-30.2030999999999</v>
      </c>
      <c r="AF3263">
        <v>36.740738420226002</v>
      </c>
      <c r="AG3263">
        <v>-0.35180339999999999</v>
      </c>
      <c r="AH3263">
        <v>54.221528470186001</v>
      </c>
      <c r="AI3263">
        <v>90.307749340328101</v>
      </c>
      <c r="AJ3263">
        <v>55.8782660166233</v>
      </c>
      <c r="AK3263">
        <v>65.497937180791595</v>
      </c>
      <c r="AL3263">
        <v>78.482366906159996</v>
      </c>
      <c r="AM3263">
        <v>75.394435498480604</v>
      </c>
      <c r="AN3263">
        <v>0.99999998881964902</v>
      </c>
    </row>
    <row r="3264" spans="1:40" x14ac:dyDescent="0.25">
      <c r="A3264" t="str">
        <f>"20190303170831947"</f>
        <v>20190303170831947</v>
      </c>
      <c r="B3264" t="str">
        <f>"1551604111936723"</f>
        <v>1551604111936723</v>
      </c>
      <c r="C3264" t="s">
        <v>40</v>
      </c>
      <c r="D3264">
        <v>4.464016</v>
      </c>
      <c r="E3264">
        <v>0.64577689999999999</v>
      </c>
      <c r="F3264" t="s">
        <v>80</v>
      </c>
      <c r="G3264">
        <v>-255.24889999999999</v>
      </c>
      <c r="H3264">
        <v>0.77667989999999998</v>
      </c>
      <c r="I3264">
        <v>119.0955</v>
      </c>
      <c r="J3264">
        <v>-195.82589999999999</v>
      </c>
      <c r="K3264">
        <v>1.112085</v>
      </c>
      <c r="L3264">
        <v>149.08799999999999</v>
      </c>
      <c r="M3264">
        <v>-0.48632189999999997</v>
      </c>
      <c r="N3264">
        <v>-5.8873550000000004E-3</v>
      </c>
      <c r="O3264">
        <v>-0.87375999999999998</v>
      </c>
      <c r="P3264">
        <v>-0.67362709999999903</v>
      </c>
      <c r="Q3264">
        <v>0.1991579</v>
      </c>
      <c r="R3264">
        <v>-0.71173229999999998</v>
      </c>
      <c r="S3264">
        <v>-2.9143829999999999</v>
      </c>
      <c r="T3264">
        <v>-1.6422989999999998E-2</v>
      </c>
      <c r="U3264">
        <v>-1.478119</v>
      </c>
      <c r="V3264">
        <v>0.24645600000000001</v>
      </c>
      <c r="W3264">
        <v>0.1999185</v>
      </c>
      <c r="X3264">
        <v>0.94831010000000004</v>
      </c>
      <c r="Y3264">
        <v>0.55928140000000004</v>
      </c>
      <c r="Z3264">
        <v>8.7002869999999895E-4</v>
      </c>
      <c r="AA3264">
        <v>0.82897739999999998</v>
      </c>
      <c r="AB3264">
        <v>25</v>
      </c>
      <c r="AC3264">
        <v>-59.423000000000002</v>
      </c>
      <c r="AD3264">
        <v>-0.33540510000000001</v>
      </c>
      <c r="AE3264">
        <v>-29.9925</v>
      </c>
      <c r="AF3264">
        <v>37.3351264636118</v>
      </c>
      <c r="AG3264">
        <v>-0.33540510000000001</v>
      </c>
      <c r="AH3264">
        <v>55.104503741551497</v>
      </c>
      <c r="AI3264">
        <v>90.288712951894993</v>
      </c>
      <c r="AJ3264">
        <v>55.881059267309503</v>
      </c>
      <c r="AK3264">
        <v>66.562230260393605</v>
      </c>
      <c r="AL3264">
        <v>78.467806895559505</v>
      </c>
      <c r="AM3264">
        <v>75.431705073546794</v>
      </c>
      <c r="AN3264">
        <v>1.00000000617013</v>
      </c>
    </row>
    <row r="3265" spans="1:40" x14ac:dyDescent="0.25">
      <c r="A3265" t="str">
        <f>"20190303170831968"</f>
        <v>20190303170831968</v>
      </c>
      <c r="B3265" t="str">
        <f>"1551604111956243"</f>
        <v>1551604111956243</v>
      </c>
      <c r="C3265" t="s">
        <v>40</v>
      </c>
      <c r="D3265">
        <v>4.4570259999999999</v>
      </c>
      <c r="E3265">
        <v>0.64539650000000004</v>
      </c>
      <c r="F3265" t="s">
        <v>80</v>
      </c>
      <c r="G3265">
        <v>-256.18869999999998</v>
      </c>
      <c r="H3265">
        <v>0.84449569999999996</v>
      </c>
      <c r="I3265">
        <v>119.2859</v>
      </c>
      <c r="J3265">
        <v>-195.95609999999999</v>
      </c>
      <c r="K3265">
        <v>1.1118809999999999</v>
      </c>
      <c r="L3265">
        <v>148.8792</v>
      </c>
      <c r="M3265">
        <v>-0.49677189999999999</v>
      </c>
      <c r="N3265">
        <v>-5.7412840000000001E-3</v>
      </c>
      <c r="O3265">
        <v>-0.86786229999999998</v>
      </c>
      <c r="P3265">
        <v>-0.68220909999999901</v>
      </c>
      <c r="Q3265">
        <v>0.20016419999999999</v>
      </c>
      <c r="R3265">
        <v>-0.70322499999999999</v>
      </c>
      <c r="S3265">
        <v>-2.929306</v>
      </c>
      <c r="T3265">
        <v>-1.2984280000000001E-2</v>
      </c>
      <c r="U3265">
        <v>-1.4462429999999999</v>
      </c>
      <c r="V3265">
        <v>0.24682299999999999</v>
      </c>
      <c r="W3265">
        <v>0.20067289999999999</v>
      </c>
      <c r="X3265">
        <v>0.94805530000000005</v>
      </c>
      <c r="Y3265">
        <v>0.55826229999999999</v>
      </c>
      <c r="Z3265" s="1">
        <v>-6.0642310000000001E-5</v>
      </c>
      <c r="AA3265">
        <v>0.82966450000000003</v>
      </c>
      <c r="AB3265">
        <v>25</v>
      </c>
      <c r="AC3265">
        <v>-60.232599999999898</v>
      </c>
      <c r="AD3265">
        <v>-0.26738529999999899</v>
      </c>
      <c r="AE3265">
        <v>-29.593299999999999</v>
      </c>
      <c r="AF3265">
        <v>37.572500922450303</v>
      </c>
      <c r="AG3265">
        <v>-0.26738529999999899</v>
      </c>
      <c r="AH3265">
        <v>55.604799214545601</v>
      </c>
      <c r="AI3265">
        <v>90.228285646694601</v>
      </c>
      <c r="AJ3265">
        <v>55.952866634892203</v>
      </c>
      <c r="AK3265">
        <v>67.109299028943298</v>
      </c>
      <c r="AL3265">
        <v>78.423689197492294</v>
      </c>
      <c r="AM3265">
        <v>75.407182627933096</v>
      </c>
      <c r="AN3265">
        <v>1.00000002899074</v>
      </c>
    </row>
    <row r="3266" spans="1:40" x14ac:dyDescent="0.25">
      <c r="A3266" t="str">
        <f>"20190303170831992"</f>
        <v>20190303170831992</v>
      </c>
      <c r="B3266" t="str">
        <f>"1551604111976739"</f>
        <v>1551604111976739</v>
      </c>
      <c r="C3266" t="s">
        <v>40</v>
      </c>
      <c r="D3266">
        <v>4.4577679999999997</v>
      </c>
      <c r="E3266">
        <v>0.64497539999999998</v>
      </c>
      <c r="F3266" t="s">
        <v>94</v>
      </c>
      <c r="G3266">
        <v>-259.25740000000002</v>
      </c>
      <c r="H3266">
        <v>0.89183189999999901</v>
      </c>
      <c r="I3266">
        <v>118.5153</v>
      </c>
      <c r="J3266">
        <v>-196.095</v>
      </c>
      <c r="K3266">
        <v>1.11165</v>
      </c>
      <c r="L3266">
        <v>148.66299999999899</v>
      </c>
      <c r="M3266">
        <v>-0.5077315</v>
      </c>
      <c r="N3266">
        <v>-5.58436E-3</v>
      </c>
      <c r="O3266">
        <v>-0.86149739999999997</v>
      </c>
      <c r="P3266">
        <v>-0.69155900000000003</v>
      </c>
      <c r="Q3266">
        <v>0.20099420000000001</v>
      </c>
      <c r="R3266">
        <v>-0.69379239999999998</v>
      </c>
      <c r="S3266">
        <v>-2.9445649999999999</v>
      </c>
      <c r="T3266">
        <v>-1.023626E-2</v>
      </c>
      <c r="U3266">
        <v>-1.4124300000000001</v>
      </c>
      <c r="V3266">
        <v>0.247723</v>
      </c>
      <c r="W3266">
        <v>0.20122319999999999</v>
      </c>
      <c r="X3266">
        <v>0.94770379999999999</v>
      </c>
      <c r="Y3266">
        <v>0.55716659999999996</v>
      </c>
      <c r="Z3266">
        <v>-7.6315529999999995E-4</v>
      </c>
      <c r="AA3266">
        <v>0.83040029999999998</v>
      </c>
      <c r="AB3266">
        <v>25</v>
      </c>
      <c r="AC3266">
        <v>-63.162399999999998</v>
      </c>
      <c r="AD3266">
        <v>-0.21981809999999999</v>
      </c>
      <c r="AE3266">
        <v>-30.147699999999901</v>
      </c>
      <c r="AF3266">
        <v>39.107525931001497</v>
      </c>
      <c r="AG3266">
        <v>-0.21981809999999999</v>
      </c>
      <c r="AH3266">
        <v>58.042031029606498</v>
      </c>
      <c r="AI3266">
        <v>90.179954632115198</v>
      </c>
      <c r="AJ3266">
        <v>56.0287212802642</v>
      </c>
      <c r="AK3266">
        <v>69.988029479925004</v>
      </c>
      <c r="AL3266">
        <v>78.391502173928998</v>
      </c>
      <c r="AM3266">
        <v>75.351057793313899</v>
      </c>
      <c r="AN3266">
        <v>0.99999997674083896</v>
      </c>
    </row>
    <row r="3267" spans="1:40" x14ac:dyDescent="0.25">
      <c r="A3267" t="str">
        <f>"20190303170832012"</f>
        <v>20190303170832012</v>
      </c>
      <c r="B3267" t="str">
        <f>"1551604112006019"</f>
        <v>1551604112006019</v>
      </c>
      <c r="C3267" t="s">
        <v>40</v>
      </c>
      <c r="D3267">
        <v>4.4567030000000001</v>
      </c>
      <c r="E3267">
        <v>0.6335672</v>
      </c>
      <c r="F3267" t="s">
        <v>94</v>
      </c>
      <c r="G3267">
        <v>-259.96870000000001</v>
      </c>
      <c r="H3267">
        <v>0.9078484</v>
      </c>
      <c r="I3267">
        <v>118.9901</v>
      </c>
      <c r="J3267">
        <v>-196.24019999999999</v>
      </c>
      <c r="K3267">
        <v>1.111424</v>
      </c>
      <c r="L3267">
        <v>148.4435</v>
      </c>
      <c r="M3267">
        <v>-0.51898770000000005</v>
      </c>
      <c r="N3267">
        <v>-5.4195090000000003E-3</v>
      </c>
      <c r="O3267">
        <v>-0.85476459999999999</v>
      </c>
      <c r="P3267">
        <v>-0.70108990000000004</v>
      </c>
      <c r="Q3267">
        <v>0.20066139999999999</v>
      </c>
      <c r="R3267">
        <v>-0.68425729999999996</v>
      </c>
      <c r="S3267">
        <v>-2.960861</v>
      </c>
      <c r="T3267">
        <v>-9.4468590000000002E-3</v>
      </c>
      <c r="U3267">
        <v>-1.3754879999999901</v>
      </c>
      <c r="V3267">
        <v>0.2484345</v>
      </c>
      <c r="W3267">
        <v>0.2006066</v>
      </c>
      <c r="X3267">
        <v>0.9476483</v>
      </c>
      <c r="Y3267">
        <v>0.55654040000000005</v>
      </c>
      <c r="Z3267">
        <v>-8.4756920000000002E-4</v>
      </c>
      <c r="AA3267">
        <v>0.83082009999999995</v>
      </c>
      <c r="AB3267">
        <v>25</v>
      </c>
      <c r="AC3267">
        <v>-63.728499999999997</v>
      </c>
      <c r="AD3267">
        <v>-0.2035756</v>
      </c>
      <c r="AE3267">
        <v>-29.453399999999998</v>
      </c>
      <c r="AF3267">
        <v>39.187157030210003</v>
      </c>
      <c r="AG3267">
        <v>-0.2035756</v>
      </c>
      <c r="AH3267">
        <v>58.250393326527899</v>
      </c>
      <c r="AI3267">
        <v>90.166141877419406</v>
      </c>
      <c r="AJ3267">
        <v>56.069844504221201</v>
      </c>
      <c r="AK3267">
        <v>70.205292121252995</v>
      </c>
      <c r="AL3267">
        <v>78.427566471499006</v>
      </c>
      <c r="AM3267">
        <v>75.309977733216996</v>
      </c>
      <c r="AN3267">
        <v>1.0000000046233499</v>
      </c>
    </row>
    <row r="3268" spans="1:40" x14ac:dyDescent="0.25">
      <c r="A3268" t="str">
        <f>"20190303170832038"</f>
        <v>20190303170832038</v>
      </c>
      <c r="B3268" t="str">
        <f>"1551604112026515"</f>
        <v>1551604112026515</v>
      </c>
      <c r="C3268" t="s">
        <v>40</v>
      </c>
      <c r="D3268">
        <v>4.4196929999999996</v>
      </c>
      <c r="E3268">
        <v>0.63249080000000002</v>
      </c>
      <c r="F3268" t="s">
        <v>94</v>
      </c>
      <c r="G3268">
        <v>-259.25740000000002</v>
      </c>
      <c r="H3268">
        <v>0.52630900000000003</v>
      </c>
      <c r="I3268">
        <v>118.16459999999999</v>
      </c>
      <c r="J3268">
        <v>-196.4068</v>
      </c>
      <c r="K3268">
        <v>1.111181</v>
      </c>
      <c r="L3268">
        <v>148.19909999999999</v>
      </c>
      <c r="M3268">
        <v>-0.531636199999999</v>
      </c>
      <c r="N3268">
        <v>-5.2362340000000002E-3</v>
      </c>
      <c r="O3268">
        <v>-0.84695679999999995</v>
      </c>
      <c r="P3268">
        <v>-0.7113891</v>
      </c>
      <c r="Q3268">
        <v>0.20076640000000001</v>
      </c>
      <c r="R3268">
        <v>-0.67351219999999901</v>
      </c>
      <c r="S3268">
        <v>-2.9182739999999998</v>
      </c>
      <c r="T3268">
        <v>-2.709568E-2</v>
      </c>
      <c r="U3268">
        <v>-1.402191</v>
      </c>
      <c r="V3268">
        <v>0.2488369</v>
      </c>
      <c r="W3268">
        <v>0.20040949999999999</v>
      </c>
      <c r="X3268">
        <v>0.94758450000000005</v>
      </c>
      <c r="Y3268">
        <v>0.53314319999999904</v>
      </c>
      <c r="Z3268">
        <v>4.7420650000000002E-3</v>
      </c>
      <c r="AA3268">
        <v>0.84601179999999998</v>
      </c>
      <c r="AB3268">
        <v>26</v>
      </c>
      <c r="AC3268">
        <v>-62.8506</v>
      </c>
      <c r="AD3268">
        <v>-0.58487199999999995</v>
      </c>
      <c r="AE3268">
        <v>-30.034499999999898</v>
      </c>
      <c r="AF3268">
        <v>37.262194191790698</v>
      </c>
      <c r="AG3268">
        <v>-0.58487199999999995</v>
      </c>
      <c r="AH3268">
        <v>58.848227810619498</v>
      </c>
      <c r="AI3268">
        <v>90.481095652609199</v>
      </c>
      <c r="AJ3268">
        <v>57.658359273632598</v>
      </c>
      <c r="AK3268">
        <v>69.655775838717602</v>
      </c>
      <c r="AL3268">
        <v>78.439094416031907</v>
      </c>
      <c r="AM3268">
        <v>75.2862675470559</v>
      </c>
      <c r="AN3268">
        <v>1.00000007756605</v>
      </c>
    </row>
    <row r="3269" spans="1:40" x14ac:dyDescent="0.25">
      <c r="A3269" t="str">
        <f>"20190303170832058"</f>
        <v>20190303170832058</v>
      </c>
      <c r="B3269" t="str">
        <f>"1551604112046035"</f>
        <v>1551604112046035</v>
      </c>
      <c r="C3269" t="s">
        <v>40</v>
      </c>
      <c r="D3269">
        <v>4.3821969999999997</v>
      </c>
      <c r="E3269">
        <v>0.63155410000000001</v>
      </c>
      <c r="F3269" t="s">
        <v>94</v>
      </c>
      <c r="G3269">
        <v>-259.25740000000002</v>
      </c>
      <c r="H3269">
        <v>0.44181369999999998</v>
      </c>
      <c r="I3269">
        <v>118.98520000000001</v>
      </c>
      <c r="J3269">
        <v>-196.5472</v>
      </c>
      <c r="K3269">
        <v>1.110992</v>
      </c>
      <c r="L3269">
        <v>147.99870000000001</v>
      </c>
      <c r="M3269">
        <v>-0.54207620000000001</v>
      </c>
      <c r="N3269">
        <v>-5.0882619999999996E-3</v>
      </c>
      <c r="O3269">
        <v>-0.84031409999999995</v>
      </c>
      <c r="P3269">
        <v>-0.71986410000000001</v>
      </c>
      <c r="Q3269">
        <v>0.2008383</v>
      </c>
      <c r="R3269">
        <v>-0.66442480000000004</v>
      </c>
      <c r="S3269">
        <v>-2.9345400000000001</v>
      </c>
      <c r="T3269">
        <v>-3.1253099999999999E-2</v>
      </c>
      <c r="U3269">
        <v>-1.3640139999999901</v>
      </c>
      <c r="V3269">
        <v>0.24920220000000001</v>
      </c>
      <c r="W3269">
        <v>0.20023940000000001</v>
      </c>
      <c r="X3269">
        <v>0.94752440000000004</v>
      </c>
      <c r="Y3269">
        <v>0.53350390000000003</v>
      </c>
      <c r="Z3269">
        <v>6.1500670000000004E-3</v>
      </c>
      <c r="AA3269">
        <v>0.84577519999999995</v>
      </c>
      <c r="AB3269">
        <v>26</v>
      </c>
      <c r="AC3269">
        <v>-62.7102</v>
      </c>
      <c r="AD3269">
        <v>-0.6691783</v>
      </c>
      <c r="AE3269">
        <v>-29.013500000000001</v>
      </c>
      <c r="AF3269">
        <v>36.965743660098802</v>
      </c>
      <c r="AG3269">
        <v>-0.6691783</v>
      </c>
      <c r="AH3269">
        <v>58.369432828637102</v>
      </c>
      <c r="AI3269">
        <v>90.554925138765597</v>
      </c>
      <c r="AJ3269">
        <v>57.653652096727697</v>
      </c>
      <c r="AK3269">
        <v>69.093448985255506</v>
      </c>
      <c r="AL3269">
        <v>78.449041410059394</v>
      </c>
      <c r="AM3269">
        <v>75.264712603047698</v>
      </c>
      <c r="AN3269">
        <v>1.0000000211962701</v>
      </c>
    </row>
    <row r="3270" spans="1:40" x14ac:dyDescent="0.25">
      <c r="A3270" t="str">
        <f>"20190303170832081"</f>
        <v>20190303170832081</v>
      </c>
      <c r="B3270" t="str">
        <f>"1551604112066531"</f>
        <v>1551604112066531</v>
      </c>
      <c r="C3270" t="s">
        <v>40</v>
      </c>
      <c r="D3270">
        <v>4.4650460000000001</v>
      </c>
      <c r="E3270">
        <v>0.63105089999999997</v>
      </c>
      <c r="F3270" t="s">
        <v>94</v>
      </c>
      <c r="G3270">
        <v>-260.68090000000001</v>
      </c>
      <c r="H3270">
        <v>0.42712090000000003</v>
      </c>
      <c r="I3270">
        <v>118.98990000000001</v>
      </c>
      <c r="J3270">
        <v>-196.6977</v>
      </c>
      <c r="K3270">
        <v>1.1107959999999999</v>
      </c>
      <c r="L3270">
        <v>147.78980000000001</v>
      </c>
      <c r="M3270">
        <v>-0.55303970000000002</v>
      </c>
      <c r="N3270">
        <v>-4.9370389999999998E-3</v>
      </c>
      <c r="O3270">
        <v>-0.8331404</v>
      </c>
      <c r="P3270">
        <v>-0.7285876</v>
      </c>
      <c r="Q3270">
        <v>0.20077510000000001</v>
      </c>
      <c r="R3270">
        <v>-0.65486650000000002</v>
      </c>
      <c r="S3270">
        <v>-2.9462130000000002</v>
      </c>
      <c r="T3270">
        <v>-3.1415699999999998E-2</v>
      </c>
      <c r="U3270">
        <v>-1.3326260000000001</v>
      </c>
      <c r="V3270">
        <v>0.24938150000000001</v>
      </c>
      <c r="W3270">
        <v>0.19993340000000001</v>
      </c>
      <c r="X3270">
        <v>0.94754179999999999</v>
      </c>
      <c r="Y3270">
        <v>0.53115159999999995</v>
      </c>
      <c r="Z3270">
        <v>6.3108969999999898E-3</v>
      </c>
      <c r="AA3270">
        <v>0.84725329999999999</v>
      </c>
      <c r="AB3270">
        <v>26</v>
      </c>
      <c r="AC3270">
        <v>-63.983199999999997</v>
      </c>
      <c r="AD3270">
        <v>-0.68367509999999898</v>
      </c>
      <c r="AE3270">
        <v>-28.799900000000001</v>
      </c>
      <c r="AF3270">
        <v>37.376403936458203</v>
      </c>
      <c r="AG3270">
        <v>-0.68367509999999898</v>
      </c>
      <c r="AH3270">
        <v>59.3746904063836</v>
      </c>
      <c r="AI3270">
        <v>90.558306172199707</v>
      </c>
      <c r="AJ3270">
        <v>57.809559985191399</v>
      </c>
      <c r="AK3270">
        <v>70.162788169495897</v>
      </c>
      <c r="AL3270">
        <v>78.466935290256103</v>
      </c>
      <c r="AM3270">
        <v>75.254831410326204</v>
      </c>
      <c r="AN3270">
        <v>0.99999997986252398</v>
      </c>
    </row>
    <row r="3271" spans="1:40" x14ac:dyDescent="0.25">
      <c r="A3271" t="str">
        <f>"20190303170832105"</f>
        <v>20190303170832105</v>
      </c>
      <c r="B3271" t="str">
        <f>"1551604112096787"</f>
        <v>1551604112096787</v>
      </c>
      <c r="C3271" t="s">
        <v>40</v>
      </c>
      <c r="D3271">
        <v>4.4330590000000001</v>
      </c>
      <c r="E3271">
        <v>0.63037540000000003</v>
      </c>
      <c r="F3271" t="s">
        <v>94</v>
      </c>
      <c r="G3271">
        <v>-265.71289999999999</v>
      </c>
      <c r="H3271">
        <v>0.26447110000000001</v>
      </c>
      <c r="I3271">
        <v>117.5288</v>
      </c>
      <c r="J3271">
        <v>-196.8783</v>
      </c>
      <c r="K3271">
        <v>1.1105719999999999</v>
      </c>
      <c r="L3271">
        <v>147.5461</v>
      </c>
      <c r="M3271">
        <v>-0.56590469999999904</v>
      </c>
      <c r="N3271">
        <v>-4.7651380000000004E-3</v>
      </c>
      <c r="O3271">
        <v>-0.824457</v>
      </c>
      <c r="P3271">
        <v>-0.73905120000000002</v>
      </c>
      <c r="Q3271">
        <v>0.20017789999999999</v>
      </c>
      <c r="R3271">
        <v>-0.64322060000000003</v>
      </c>
      <c r="S3271">
        <v>-2.9607389999999998</v>
      </c>
      <c r="T3271">
        <v>-3.6307220000000001E-2</v>
      </c>
      <c r="U3271">
        <v>-1.298187</v>
      </c>
      <c r="V3271">
        <v>0.2499207</v>
      </c>
      <c r="W3271">
        <v>0.1990489</v>
      </c>
      <c r="X3271">
        <v>0.94758600000000004</v>
      </c>
      <c r="Y3271">
        <v>0.52777669999999999</v>
      </c>
      <c r="Z3271">
        <v>7.9136090000000003E-3</v>
      </c>
      <c r="AA3271">
        <v>0.8493463</v>
      </c>
      <c r="AB3271">
        <v>26</v>
      </c>
      <c r="AC3271">
        <v>-68.834599999999995</v>
      </c>
      <c r="AD3271">
        <v>-0.84610089999999905</v>
      </c>
      <c r="AE3271">
        <v>-30.017299999999899</v>
      </c>
      <c r="AF3271">
        <v>39.759637145186304</v>
      </c>
      <c r="AG3271">
        <v>-0.84610089999999905</v>
      </c>
      <c r="AH3271">
        <v>63.694428403596099</v>
      </c>
      <c r="AI3271">
        <v>90.645611459846705</v>
      </c>
      <c r="AJ3271">
        <v>58.026570325059602</v>
      </c>
      <c r="AK3271">
        <v>75.0901114815439</v>
      </c>
      <c r="AL3271">
        <v>78.518653469775799</v>
      </c>
      <c r="AM3271">
        <v>75.225002620131903</v>
      </c>
      <c r="AN3271">
        <v>1.0000000241378399</v>
      </c>
    </row>
    <row r="3272" spans="1:40" x14ac:dyDescent="0.25">
      <c r="A3272" t="str">
        <f>"20190303170832127"</f>
        <v>20190303170832127</v>
      </c>
      <c r="B3272" t="str">
        <f>"1551604112116307"</f>
        <v>1551604112116307</v>
      </c>
      <c r="C3272" t="s">
        <v>40</v>
      </c>
      <c r="D3272">
        <v>4.4537100000000001</v>
      </c>
      <c r="E3272">
        <v>0.62251749999999995</v>
      </c>
      <c r="F3272" t="s">
        <v>46</v>
      </c>
      <c r="G3272">
        <v>-272.93</v>
      </c>
      <c r="H3272">
        <v>-0.05</v>
      </c>
      <c r="I3272">
        <v>115.45959999999999</v>
      </c>
      <c r="J3272">
        <v>-197.0283</v>
      </c>
      <c r="K3272">
        <v>1.1103959999999999</v>
      </c>
      <c r="L3272">
        <v>147.34970000000001</v>
      </c>
      <c r="M3272">
        <v>-0.57633760000000001</v>
      </c>
      <c r="N3272">
        <v>-4.6344799999999998E-3</v>
      </c>
      <c r="O3272">
        <v>-0.8171988</v>
      </c>
      <c r="P3272">
        <v>-0.74719840000000004</v>
      </c>
      <c r="Q3272">
        <v>0.19945089999999999</v>
      </c>
      <c r="R3272">
        <v>-0.63396699999999995</v>
      </c>
      <c r="S3272">
        <v>-2.9780579999999999</v>
      </c>
      <c r="T3272">
        <v>-4.544604E-2</v>
      </c>
      <c r="U3272">
        <v>-1.256454</v>
      </c>
      <c r="V3272">
        <v>0.24989030000000001</v>
      </c>
      <c r="W3272">
        <v>0.19810910000000001</v>
      </c>
      <c r="X3272">
        <v>0.94779089999999999</v>
      </c>
      <c r="Y3272">
        <v>0.52882150000000006</v>
      </c>
      <c r="Z3272">
        <v>1.0783940000000001E-2</v>
      </c>
      <c r="AA3272">
        <v>0.84866450000000004</v>
      </c>
      <c r="AB3272">
        <v>26</v>
      </c>
      <c r="AC3272">
        <v>-75.901700000000005</v>
      </c>
      <c r="AD3272">
        <v>-1.160396</v>
      </c>
      <c r="AE3272">
        <v>-31.8901</v>
      </c>
      <c r="AF3272">
        <v>43.6391054801867</v>
      </c>
      <c r="AG3272">
        <v>-1.160396</v>
      </c>
      <c r="AH3272">
        <v>69.7924263678849</v>
      </c>
      <c r="AI3272">
        <v>90.807670242725095</v>
      </c>
      <c r="AJ3272">
        <v>57.983496672130897</v>
      </c>
      <c r="AK3272">
        <v>82.320719289279296</v>
      </c>
      <c r="AL3272">
        <v>78.573593728440699</v>
      </c>
      <c r="AM3272">
        <v>75.229775370831604</v>
      </c>
      <c r="AN3272">
        <v>0.999999983829854</v>
      </c>
    </row>
    <row r="3273" spans="1:40" x14ac:dyDescent="0.25">
      <c r="A3273" t="str">
        <f>"20190303170832150"</f>
        <v>20190303170832150</v>
      </c>
      <c r="B3273" t="str">
        <f>"1551604112136804"</f>
        <v>1551604112136804</v>
      </c>
      <c r="C3273" t="s">
        <v>40</v>
      </c>
      <c r="D3273">
        <v>4.4853930000000002</v>
      </c>
      <c r="E3273">
        <v>0.62109840000000005</v>
      </c>
      <c r="F3273" t="s">
        <v>43</v>
      </c>
      <c r="G3273">
        <v>-247.2209</v>
      </c>
      <c r="H3273">
        <v>7.9986340000000003E-2</v>
      </c>
      <c r="I3273">
        <v>125.81059999999999</v>
      </c>
      <c r="J3273">
        <v>-197.20169999999999</v>
      </c>
      <c r="K3273">
        <v>1.110195</v>
      </c>
      <c r="L3273">
        <v>147.12860000000001</v>
      </c>
      <c r="M3273">
        <v>-0.58812900000000001</v>
      </c>
      <c r="N3273">
        <v>-4.4994199999999996E-3</v>
      </c>
      <c r="O3273">
        <v>-0.80875459999999999</v>
      </c>
      <c r="P3273">
        <v>-0.75656849999999998</v>
      </c>
      <c r="Q3273">
        <v>0.19984099999999999</v>
      </c>
      <c r="R3273">
        <v>-0.62263000000000002</v>
      </c>
      <c r="S3273">
        <v>-2.9552</v>
      </c>
      <c r="T3273">
        <v>-6.066763E-2</v>
      </c>
      <c r="U3273">
        <v>-1.2681579999999999</v>
      </c>
      <c r="V3273">
        <v>0.25044060000000001</v>
      </c>
      <c r="W3273">
        <v>0.19825400000000001</v>
      </c>
      <c r="X3273">
        <v>0.9476154</v>
      </c>
      <c r="Y3273">
        <v>0.51114229999999905</v>
      </c>
      <c r="Z3273">
        <v>1.5394100000000001E-2</v>
      </c>
      <c r="AA3273">
        <v>0.85935819999999996</v>
      </c>
      <c r="AB3273">
        <v>26</v>
      </c>
      <c r="AC3273">
        <v>-50.019199999999998</v>
      </c>
      <c r="AD3273">
        <v>-1.03020866</v>
      </c>
      <c r="AE3273">
        <v>-21.318000000000001</v>
      </c>
      <c r="AF3273">
        <v>27.905788995635699</v>
      </c>
      <c r="AG3273">
        <v>-1.03020866</v>
      </c>
      <c r="AH3273">
        <v>46.642501175427903</v>
      </c>
      <c r="AI3273">
        <v>91.085854831405101</v>
      </c>
      <c r="AJ3273">
        <v>59.108296349691798</v>
      </c>
      <c r="AK3273">
        <v>54.362830180665497</v>
      </c>
      <c r="AL3273">
        <v>78.565124269872399</v>
      </c>
      <c r="AM3273">
        <v>75.196054479766502</v>
      </c>
      <c r="AN3273">
        <v>1.00000004448075</v>
      </c>
    </row>
    <row r="3274" spans="1:40" x14ac:dyDescent="0.25">
      <c r="A3274" t="str">
        <f>"20190303170832170"</f>
        <v>20190303170832170</v>
      </c>
      <c r="B3274" t="str">
        <f>"1551604112166084"</f>
        <v>1551604112166084</v>
      </c>
      <c r="C3274" t="s">
        <v>40</v>
      </c>
      <c r="D3274">
        <v>4.4734540000000003</v>
      </c>
      <c r="E3274">
        <v>0.61912939999999905</v>
      </c>
      <c r="F3274" t="s">
        <v>43</v>
      </c>
      <c r="G3274">
        <v>-245.56970000000001</v>
      </c>
      <c r="H3274">
        <v>7.9986790000000002E-2</v>
      </c>
      <c r="I3274">
        <v>127.04340000000001</v>
      </c>
      <c r="J3274">
        <v>-197.36099999999999</v>
      </c>
      <c r="K3274">
        <v>1.110015</v>
      </c>
      <c r="L3274">
        <v>146.9314</v>
      </c>
      <c r="M3274">
        <v>-0.59869719999999904</v>
      </c>
      <c r="N3274">
        <v>-4.3934789999999996E-3</v>
      </c>
      <c r="O3274">
        <v>-0.80096350000000005</v>
      </c>
      <c r="P3274">
        <v>-0.76477220000000001</v>
      </c>
      <c r="Q3274">
        <v>0.20153460000000001</v>
      </c>
      <c r="R3274">
        <v>-0.61197029999999997</v>
      </c>
      <c r="S3274">
        <v>-2.9677730000000002</v>
      </c>
      <c r="T3274">
        <v>-6.3211799999999999E-2</v>
      </c>
      <c r="U3274">
        <v>-1.232391</v>
      </c>
      <c r="V3274">
        <v>0.251031</v>
      </c>
      <c r="W3274">
        <v>0.1997391</v>
      </c>
      <c r="X3274">
        <v>0.94714710000000002</v>
      </c>
      <c r="Y3274">
        <v>0.50995900000000005</v>
      </c>
      <c r="Z3274">
        <v>1.6184179999999999E-2</v>
      </c>
      <c r="AA3274">
        <v>0.86004639999999999</v>
      </c>
      <c r="AB3274">
        <v>27</v>
      </c>
      <c r="AC3274">
        <v>-48.2087</v>
      </c>
      <c r="AD3274">
        <v>-1.03002821</v>
      </c>
      <c r="AE3274">
        <v>-19.887999999999899</v>
      </c>
      <c r="AF3274">
        <v>26.696360058282099</v>
      </c>
      <c r="AG3274">
        <v>-1.03002821</v>
      </c>
      <c r="AH3274">
        <v>44.774937008773897</v>
      </c>
      <c r="AI3274">
        <v>91.1319603507837</v>
      </c>
      <c r="AJ3274">
        <v>59.195146728390803</v>
      </c>
      <c r="AK3274">
        <v>52.139731324724998</v>
      </c>
      <c r="AL3274">
        <v>78.478296686332698</v>
      </c>
      <c r="AM3274">
        <v>75.155680542043598</v>
      </c>
      <c r="AN3274">
        <v>0.99999995003410802</v>
      </c>
    </row>
    <row r="3275" spans="1:40" x14ac:dyDescent="0.25">
      <c r="A3275" t="str">
        <f>"20190303170832192"</f>
        <v>20190303170832192</v>
      </c>
      <c r="B3275" t="str">
        <f>"1551604112186580"</f>
        <v>1551604112186580</v>
      </c>
      <c r="C3275" t="s">
        <v>40</v>
      </c>
      <c r="D3275">
        <v>4.492057</v>
      </c>
      <c r="E3275">
        <v>0.61857059999999997</v>
      </c>
      <c r="F3275" t="s">
        <v>43</v>
      </c>
      <c r="G3275">
        <v>-250.30699999999999</v>
      </c>
      <c r="H3275">
        <v>7.9986920000000003E-2</v>
      </c>
      <c r="I3275">
        <v>125.48990000000001</v>
      </c>
      <c r="J3275">
        <v>-197.53440000000001</v>
      </c>
      <c r="K3275">
        <v>1.109831</v>
      </c>
      <c r="L3275">
        <v>146.72290000000001</v>
      </c>
      <c r="M3275">
        <v>-0.60990889999999998</v>
      </c>
      <c r="N3275">
        <v>-4.2939709999999997E-3</v>
      </c>
      <c r="O3275">
        <v>-0.79246000000000005</v>
      </c>
      <c r="P3275">
        <v>-0.77349319999999999</v>
      </c>
      <c r="Q3275">
        <v>0.20186009999999999</v>
      </c>
      <c r="R3275">
        <v>-0.60080080000000002</v>
      </c>
      <c r="S3275">
        <v>-2.9741819999999999</v>
      </c>
      <c r="T3275">
        <v>-5.7860729999999999E-2</v>
      </c>
      <c r="U3275">
        <v>-1.204453</v>
      </c>
      <c r="V3275">
        <v>0.25147219999999998</v>
      </c>
      <c r="W3275">
        <v>0.19986429999999999</v>
      </c>
      <c r="X3275">
        <v>0.9470037</v>
      </c>
      <c r="Y3275">
        <v>0.50545129999999905</v>
      </c>
      <c r="Z3275">
        <v>1.457984E-2</v>
      </c>
      <c r="AA3275">
        <v>0.86273199999999906</v>
      </c>
      <c r="AB3275">
        <v>27</v>
      </c>
      <c r="AC3275">
        <v>-52.772599999999997</v>
      </c>
      <c r="AD3275">
        <v>-1.0298440799999999</v>
      </c>
      <c r="AE3275">
        <v>-21.233000000000001</v>
      </c>
      <c r="AF3275">
        <v>28.860783265138799</v>
      </c>
      <c r="AG3275">
        <v>-1.0298440799999999</v>
      </c>
      <c r="AH3275">
        <v>48.997170059419197</v>
      </c>
      <c r="AI3275">
        <v>91.037525922018204</v>
      </c>
      <c r="AJ3275">
        <v>59.500655955098502</v>
      </c>
      <c r="AK3275">
        <v>56.8746697866288</v>
      </c>
      <c r="AL3275">
        <v>78.470976298716707</v>
      </c>
      <c r="AM3275">
        <v>75.128593860509696</v>
      </c>
      <c r="AN3275">
        <v>1.0000000068005099</v>
      </c>
    </row>
    <row r="3276" spans="1:40" x14ac:dyDescent="0.25">
      <c r="A3276" t="str">
        <f>"20190303170832215"</f>
        <v>20190303170832215</v>
      </c>
      <c r="B3276" t="str">
        <f>"1551604112206099"</f>
        <v>1551604112206099</v>
      </c>
      <c r="C3276" t="s">
        <v>40</v>
      </c>
      <c r="D3276">
        <v>4.5044279999999999</v>
      </c>
      <c r="E3276">
        <v>0.61226950000000002</v>
      </c>
      <c r="F3276" t="s">
        <v>43</v>
      </c>
      <c r="G3276">
        <v>-250.0789</v>
      </c>
      <c r="H3276">
        <v>7.9986950000000001E-2</v>
      </c>
      <c r="I3276">
        <v>126.21769999999999</v>
      </c>
      <c r="J3276">
        <v>-197.72800000000001</v>
      </c>
      <c r="K3276">
        <v>1.1096490000000001</v>
      </c>
      <c r="L3276">
        <v>146.49680000000001</v>
      </c>
      <c r="M3276">
        <v>-0.62208869999999905</v>
      </c>
      <c r="N3276">
        <v>-4.1998440000000003E-3</v>
      </c>
      <c r="O3276">
        <v>-0.78293559999999995</v>
      </c>
      <c r="P3276">
        <v>-0.78270059999999997</v>
      </c>
      <c r="Q3276">
        <v>0.20121410000000001</v>
      </c>
      <c r="R3276">
        <v>-0.58897639999999996</v>
      </c>
      <c r="S3276">
        <v>-2.9880369999999998</v>
      </c>
      <c r="T3276">
        <v>-5.8563949999999997E-2</v>
      </c>
      <c r="U3276">
        <v>-1.166061</v>
      </c>
      <c r="V3276">
        <v>0.25141380000000002</v>
      </c>
      <c r="W3276">
        <v>0.1990325</v>
      </c>
      <c r="X3276">
        <v>0.94719430000000004</v>
      </c>
      <c r="Y3276">
        <v>0.5030753</v>
      </c>
      <c r="Z3276">
        <v>1.477558E-2</v>
      </c>
      <c r="AA3276">
        <v>0.86411629999999995</v>
      </c>
      <c r="AB3276">
        <v>27</v>
      </c>
      <c r="AC3276">
        <v>-52.350900000000003</v>
      </c>
      <c r="AD3276">
        <v>-1.02966204999999</v>
      </c>
      <c r="AE3276">
        <v>-20.2791</v>
      </c>
      <c r="AF3276">
        <v>28.362692063389702</v>
      </c>
      <c r="AG3276">
        <v>-1.02966204999999</v>
      </c>
      <c r="AH3276">
        <v>48.428266415999602</v>
      </c>
      <c r="AI3276">
        <v>91.051069210013196</v>
      </c>
      <c r="AJ3276">
        <v>59.644029946295802</v>
      </c>
      <c r="AK3276">
        <v>56.131982800172999</v>
      </c>
      <c r="AL3276">
        <v>78.519611308204901</v>
      </c>
      <c r="AM3276">
        <v>75.134753870306298</v>
      </c>
      <c r="AN3276">
        <v>0.99999993841958801</v>
      </c>
    </row>
    <row r="3277" spans="1:40" x14ac:dyDescent="0.25">
      <c r="A3277" t="str">
        <f>"20190303170832237"</f>
        <v>20190303170832237</v>
      </c>
      <c r="B3277" t="str">
        <f>"1551604112226596"</f>
        <v>1551604112226596</v>
      </c>
      <c r="C3277" t="s">
        <v>40</v>
      </c>
      <c r="D3277">
        <v>4.7190649999999996</v>
      </c>
      <c r="E3277">
        <v>0.6371483</v>
      </c>
      <c r="F3277" t="s">
        <v>43</v>
      </c>
      <c r="G3277">
        <v>-240.9906</v>
      </c>
      <c r="H3277">
        <v>5.1245289999999999E-2</v>
      </c>
      <c r="I3277">
        <v>129.61500000000001</v>
      </c>
      <c r="J3277">
        <v>-197.9014</v>
      </c>
      <c r="K3277">
        <v>1.1094949999999999</v>
      </c>
      <c r="L3277">
        <v>146.2998</v>
      </c>
      <c r="M3277">
        <v>-0.63271429999999995</v>
      </c>
      <c r="N3277">
        <v>-4.1291590000000003E-3</v>
      </c>
      <c r="O3277">
        <v>-0.77437449999999997</v>
      </c>
      <c r="P3277">
        <v>-0.79060739999999996</v>
      </c>
      <c r="Q3277">
        <v>0.20062269999999999</v>
      </c>
      <c r="R3277">
        <v>-0.57852440000000005</v>
      </c>
      <c r="S3277">
        <v>-2.977341</v>
      </c>
      <c r="T3277">
        <v>-7.2839500000000001E-2</v>
      </c>
      <c r="U3277">
        <v>-1.1618040000000001</v>
      </c>
      <c r="V3277">
        <v>0.25124099999999999</v>
      </c>
      <c r="W3277">
        <v>0.19829649999999999</v>
      </c>
      <c r="X3277">
        <v>0.94739450000000003</v>
      </c>
      <c r="Y3277">
        <v>0.4911741</v>
      </c>
      <c r="Z3277">
        <v>1.891932E-2</v>
      </c>
      <c r="AA3277">
        <v>0.87085599999999996</v>
      </c>
      <c r="AB3277">
        <v>27</v>
      </c>
      <c r="AC3277">
        <v>-43.089199999999998</v>
      </c>
      <c r="AD3277">
        <v>-1.0582497099999999</v>
      </c>
      <c r="AE3277">
        <v>-16.6847999999999</v>
      </c>
      <c r="AF3277">
        <v>22.798698694753</v>
      </c>
      <c r="AG3277">
        <v>-1.0582497099999999</v>
      </c>
      <c r="AH3277">
        <v>40.1627068511362</v>
      </c>
      <c r="AI3277">
        <v>91.312675314175394</v>
      </c>
      <c r="AJ3277">
        <v>60.4182243240285</v>
      </c>
      <c r="AK3277">
        <v>46.194627135990103</v>
      </c>
      <c r="AL3277">
        <v>78.562638667624995</v>
      </c>
      <c r="AM3277">
        <v>75.1475194688134</v>
      </c>
      <c r="AN3277">
        <v>0.99999994031174799</v>
      </c>
    </row>
    <row r="3278" spans="1:40" x14ac:dyDescent="0.25">
      <c r="A3278" t="str">
        <f>"20190303170832260"</f>
        <v>20190303170832260</v>
      </c>
      <c r="B3278" t="str">
        <f>"1551604112246115"</f>
        <v>1551604112246115</v>
      </c>
      <c r="C3278" t="s">
        <v>40</v>
      </c>
      <c r="D3278">
        <v>4.7496299999999998</v>
      </c>
      <c r="E3278">
        <v>0.65365139999999999</v>
      </c>
      <c r="F3278" t="s">
        <v>43</v>
      </c>
      <c r="G3278">
        <v>-255.0626</v>
      </c>
      <c r="H3278">
        <v>7.9986860000000007E-2</v>
      </c>
      <c r="I3278">
        <v>128.69739999999999</v>
      </c>
      <c r="J3278">
        <v>-198.09800000000001</v>
      </c>
      <c r="K3278">
        <v>1.1093249999999999</v>
      </c>
      <c r="L3278">
        <v>146.08279999999999</v>
      </c>
      <c r="M3278">
        <v>-0.64443450000000002</v>
      </c>
      <c r="N3278">
        <v>-4.0640549999999996E-3</v>
      </c>
      <c r="O3278">
        <v>-0.76464880000000002</v>
      </c>
      <c r="P3278">
        <v>-0.79935310000000004</v>
      </c>
      <c r="Q3278">
        <v>0.2010161</v>
      </c>
      <c r="R3278">
        <v>-0.56623950000000001</v>
      </c>
      <c r="S3278">
        <v>-3.1083219999999998</v>
      </c>
      <c r="T3278">
        <v>-5.5982829999999997E-2</v>
      </c>
      <c r="U3278">
        <v>-0.95718380000000003</v>
      </c>
      <c r="V3278">
        <v>0.25145509999999999</v>
      </c>
      <c r="W3278">
        <v>0.19853390000000001</v>
      </c>
      <c r="X3278">
        <v>0.94728800000000002</v>
      </c>
      <c r="Y3278">
        <v>0.54099719999999996</v>
      </c>
      <c r="Z3278">
        <v>1.408236E-2</v>
      </c>
      <c r="AA3278">
        <v>0.84090640000000005</v>
      </c>
      <c r="AB3278">
        <v>27</v>
      </c>
      <c r="AC3278">
        <v>-56.964599999999997</v>
      </c>
      <c r="AD3278">
        <v>-1.0293381399999999</v>
      </c>
      <c r="AE3278">
        <v>-17.385400000000001</v>
      </c>
      <c r="AF3278">
        <v>32.344765360416403</v>
      </c>
      <c r="AG3278">
        <v>-1.0293381399999999</v>
      </c>
      <c r="AH3278">
        <v>49.989156975734502</v>
      </c>
      <c r="AI3278">
        <v>90.990428690033099</v>
      </c>
      <c r="AJ3278">
        <v>57.095694049006397</v>
      </c>
      <c r="AK3278">
        <v>59.549636425183003</v>
      </c>
      <c r="AL3278">
        <v>78.548761024762399</v>
      </c>
      <c r="AM3278">
        <v>75.1338255717029</v>
      </c>
      <c r="AN3278">
        <v>0.99999996585460904</v>
      </c>
    </row>
    <row r="3279" spans="1:40" x14ac:dyDescent="0.25">
      <c r="A3279" t="str">
        <f>"20190303170832281"</f>
        <v>20190303170832281</v>
      </c>
      <c r="B3279" t="str">
        <f>"1551604112276372"</f>
        <v>1551604112276372</v>
      </c>
      <c r="C3279" t="s">
        <v>40</v>
      </c>
      <c r="D3279">
        <v>4.7561239999999998</v>
      </c>
      <c r="E3279">
        <v>0.66441989999999995</v>
      </c>
      <c r="F3279" t="s">
        <v>54</v>
      </c>
      <c r="G3279">
        <v>-327.98590000000002</v>
      </c>
      <c r="H3279">
        <v>0.21558430000000001</v>
      </c>
      <c r="I3279">
        <v>113.69459999999999</v>
      </c>
      <c r="J3279">
        <v>-198.28120000000001</v>
      </c>
      <c r="K3279">
        <v>1.1091869999999999</v>
      </c>
      <c r="L3279">
        <v>145.88640000000001</v>
      </c>
      <c r="M3279">
        <v>-0.65505419999999903</v>
      </c>
      <c r="N3279">
        <v>-4.0156819999999996E-3</v>
      </c>
      <c r="O3279">
        <v>-0.75557129999999995</v>
      </c>
      <c r="P3279">
        <v>-0.8070138</v>
      </c>
      <c r="Q3279">
        <v>0.2025903</v>
      </c>
      <c r="R3279">
        <v>-0.55469469999999899</v>
      </c>
      <c r="S3279">
        <v>-3.1943359999999998</v>
      </c>
      <c r="T3279">
        <v>-2.1979450000000001E-2</v>
      </c>
      <c r="U3279">
        <v>-0.79652400000000001</v>
      </c>
      <c r="V3279">
        <v>0.25163849999999999</v>
      </c>
      <c r="W3279">
        <v>0.19997870000000001</v>
      </c>
      <c r="X3279">
        <v>0.94693539999999998</v>
      </c>
      <c r="Y3279">
        <v>0.57462080000000004</v>
      </c>
      <c r="Z3279">
        <v>4.2234919999999997E-3</v>
      </c>
      <c r="AA3279">
        <v>0.81840880000000005</v>
      </c>
      <c r="AB3279">
        <v>27</v>
      </c>
      <c r="AC3279">
        <v>-129.7047</v>
      </c>
      <c r="AD3279">
        <v>-0.89360269999999997</v>
      </c>
      <c r="AE3279">
        <v>-32.191800000000001</v>
      </c>
      <c r="AF3279">
        <v>76.910951751603307</v>
      </c>
      <c r="AG3279">
        <v>-0.89360269999999997</v>
      </c>
      <c r="AH3279">
        <v>109.28279711612601</v>
      </c>
      <c r="AI3279">
        <v>90.383128030888898</v>
      </c>
      <c r="AJ3279">
        <v>54.862916766683597</v>
      </c>
      <c r="AK3279">
        <v>133.636906469161</v>
      </c>
      <c r="AL3279">
        <v>78.464286921283602</v>
      </c>
      <c r="AM3279">
        <v>75.118169815575897</v>
      </c>
      <c r="AN3279">
        <v>1.00000003345454</v>
      </c>
    </row>
    <row r="3280" spans="1:40" x14ac:dyDescent="0.25">
      <c r="A3280" t="str">
        <f>"20190303170832306"</f>
        <v>20190303170832306</v>
      </c>
      <c r="B3280" t="str">
        <f>"1551604112296867"</f>
        <v>1551604112296867</v>
      </c>
      <c r="C3280" t="s">
        <v>40</v>
      </c>
      <c r="D3280">
        <v>4.7962089999999904</v>
      </c>
      <c r="E3280">
        <v>0.6664641</v>
      </c>
      <c r="F3280" t="s">
        <v>54</v>
      </c>
      <c r="G3280">
        <v>-332.4479</v>
      </c>
      <c r="H3280">
        <v>1.3979600000000001</v>
      </c>
      <c r="I3280">
        <v>117.9079</v>
      </c>
      <c r="J3280">
        <v>-198.5008</v>
      </c>
      <c r="K3280">
        <v>1.1090279999999999</v>
      </c>
      <c r="L3280">
        <v>145.6574</v>
      </c>
      <c r="M3280">
        <v>-0.66742809999999997</v>
      </c>
      <c r="N3280">
        <v>-3.9703129999999996E-3</v>
      </c>
      <c r="O3280">
        <v>-0.74466369999999904</v>
      </c>
      <c r="P3280">
        <v>-0.81565219999999905</v>
      </c>
      <c r="Q3280">
        <v>0.2034734</v>
      </c>
      <c r="R3280">
        <v>-0.54158149999999905</v>
      </c>
      <c r="S3280">
        <v>-3.2498320000000001</v>
      </c>
      <c r="T3280">
        <v>6.9950819999999997E-3</v>
      </c>
      <c r="U3280">
        <v>-0.67770390000000003</v>
      </c>
      <c r="V3280">
        <v>0.25125059999999999</v>
      </c>
      <c r="W3280">
        <v>0.20074069999999999</v>
      </c>
      <c r="X3280">
        <v>0.94687710000000003</v>
      </c>
      <c r="Y3280">
        <v>0.59272259999999999</v>
      </c>
      <c r="Z3280">
        <v>-4.1173729999999997E-3</v>
      </c>
      <c r="AA3280">
        <v>0.80539620000000001</v>
      </c>
      <c r="AB3280">
        <v>28</v>
      </c>
      <c r="AC3280">
        <v>-133.94710000000001</v>
      </c>
      <c r="AD3280">
        <v>0.28893200000000002</v>
      </c>
      <c r="AE3280">
        <v>-27.749500000000001</v>
      </c>
      <c r="AF3280">
        <v>81.225022483659899</v>
      </c>
      <c r="AG3280">
        <v>0.28893200000000002</v>
      </c>
      <c r="AH3280">
        <v>110.064477052794</v>
      </c>
      <c r="AI3280">
        <v>89.8789789033234</v>
      </c>
      <c r="AJ3280">
        <v>53.573537700832297</v>
      </c>
      <c r="AK3280">
        <v>136.79099702859301</v>
      </c>
      <c r="AL3280">
        <v>78.419723133297396</v>
      </c>
      <c r="AM3280">
        <v>75.139219968094395</v>
      </c>
      <c r="AN3280">
        <v>0.99999996757062903</v>
      </c>
    </row>
    <row r="3281" spans="1:40" x14ac:dyDescent="0.25">
      <c r="A3281" t="str">
        <f>"20190303170832328"</f>
        <v>20190303170832328</v>
      </c>
      <c r="B3281" t="str">
        <f>"1551604112316387"</f>
        <v>1551604112316387</v>
      </c>
      <c r="C3281" t="s">
        <v>40</v>
      </c>
      <c r="D3281">
        <v>4.7937909999999997</v>
      </c>
      <c r="E3281">
        <v>0.66821709999999901</v>
      </c>
      <c r="F3281" t="s">
        <v>54</v>
      </c>
      <c r="G3281">
        <v>-341.08030000000002</v>
      </c>
      <c r="H3281">
        <v>1.7783799999999901</v>
      </c>
      <c r="I3281">
        <v>119.0004</v>
      </c>
      <c r="J3281">
        <v>-198.69309999999999</v>
      </c>
      <c r="K3281">
        <v>1.1088990000000001</v>
      </c>
      <c r="L3281">
        <v>145.46299999999999</v>
      </c>
      <c r="M3281">
        <v>-0.67793630000000005</v>
      </c>
      <c r="N3281">
        <v>-3.94057E-3</v>
      </c>
      <c r="O3281">
        <v>-0.73511000000000004</v>
      </c>
      <c r="P3281">
        <v>-0.82258889999999996</v>
      </c>
      <c r="Q3281">
        <v>0.20307159999999999</v>
      </c>
      <c r="R3281">
        <v>-0.5311399</v>
      </c>
      <c r="S3281">
        <v>-3.268478</v>
      </c>
      <c r="T3281">
        <v>1.5344500000000001E-2</v>
      </c>
      <c r="U3281">
        <v>-0.61108399999999996</v>
      </c>
      <c r="V3281">
        <v>0.2499934</v>
      </c>
      <c r="W3281">
        <v>0.20027310000000001</v>
      </c>
      <c r="X3281">
        <v>0.94730879999999995</v>
      </c>
      <c r="Y3281">
        <v>0.59797699999999998</v>
      </c>
      <c r="Z3281">
        <v>-6.4407479999999996E-3</v>
      </c>
      <c r="AA3281">
        <v>0.80148739999999996</v>
      </c>
      <c r="AB3281">
        <v>28</v>
      </c>
      <c r="AC3281">
        <v>-142.38720000000001</v>
      </c>
      <c r="AD3281">
        <v>0.66948099999999899</v>
      </c>
      <c r="AE3281">
        <v>-26.462599999999899</v>
      </c>
      <c r="AF3281">
        <v>86.729123283161599</v>
      </c>
      <c r="AG3281">
        <v>0.66948099999999899</v>
      </c>
      <c r="AH3281">
        <v>115.980803222981</v>
      </c>
      <c r="AI3281">
        <v>89.735136283442799</v>
      </c>
      <c r="AJ3281">
        <v>53.211278696186</v>
      </c>
      <c r="AK3281">
        <v>144.82380932195801</v>
      </c>
      <c r="AL3281">
        <v>78.4470702392954</v>
      </c>
      <c r="AM3281">
        <v>75.216757513928997</v>
      </c>
      <c r="AN3281">
        <v>0.99999998859230399</v>
      </c>
    </row>
    <row r="3282" spans="1:40" x14ac:dyDescent="0.25">
      <c r="A3282" t="str">
        <f>"20190303170832351"</f>
        <v>20190303170832351</v>
      </c>
      <c r="B3282" t="str">
        <f>"1551604112335908"</f>
        <v>1551604112335908</v>
      </c>
      <c r="C3282" t="s">
        <v>40</v>
      </c>
      <c r="D3282">
        <v>4.8122629999999997</v>
      </c>
      <c r="E3282">
        <v>0.66783059999999905</v>
      </c>
      <c r="F3282" t="s">
        <v>54</v>
      </c>
      <c r="G3282">
        <v>-355.05169999999998</v>
      </c>
      <c r="H3282">
        <v>2.0548160000000002</v>
      </c>
      <c r="I3282">
        <v>119.0004</v>
      </c>
      <c r="J3282">
        <v>-198.9109</v>
      </c>
      <c r="K3282">
        <v>1.1087499999999999</v>
      </c>
      <c r="L3282">
        <v>145.24940000000001</v>
      </c>
      <c r="M3282">
        <v>-0.68948369999999903</v>
      </c>
      <c r="N3282">
        <v>-3.9162069999999997E-3</v>
      </c>
      <c r="O3282">
        <v>-0.72429069999999995</v>
      </c>
      <c r="P3282">
        <v>-0.83061189999999996</v>
      </c>
      <c r="Q3282">
        <v>0.20316100000000001</v>
      </c>
      <c r="R3282">
        <v>-0.51846809999999999</v>
      </c>
      <c r="S3282">
        <v>-3.283325</v>
      </c>
      <c r="T3282">
        <v>1.9863249999999999E-2</v>
      </c>
      <c r="U3282">
        <v>-0.55567929999999999</v>
      </c>
      <c r="V3282">
        <v>0.24957299999999999</v>
      </c>
      <c r="W3282">
        <v>0.20027400000000001</v>
      </c>
      <c r="X3282">
        <v>0.94741949999999997</v>
      </c>
      <c r="Y3282">
        <v>0.59904860000000004</v>
      </c>
      <c r="Z3282">
        <v>-7.626631E-3</v>
      </c>
      <c r="AA3282">
        <v>0.80067630000000001</v>
      </c>
      <c r="AB3282">
        <v>28</v>
      </c>
      <c r="AC3282">
        <v>-156.14079999999899</v>
      </c>
      <c r="AD3282">
        <v>0.94606599999999996</v>
      </c>
      <c r="AE3282">
        <v>-26.248999999999999</v>
      </c>
      <c r="AF3282">
        <v>94.9904026310722</v>
      </c>
      <c r="AG3282">
        <v>0.94606599999999996</v>
      </c>
      <c r="AH3282">
        <v>126.66488403554</v>
      </c>
      <c r="AI3282">
        <v>89.657637451764501</v>
      </c>
      <c r="AJ3282">
        <v>53.132493801467902</v>
      </c>
      <c r="AK3282">
        <v>158.32897549288401</v>
      </c>
      <c r="AL3282">
        <v>78.447018129124402</v>
      </c>
      <c r="AM3282">
        <v>75.242180813823595</v>
      </c>
      <c r="AN3282">
        <v>1.00000003319262</v>
      </c>
    </row>
    <row r="3283" spans="1:40" x14ac:dyDescent="0.25">
      <c r="A3283" t="str">
        <f>"20190303170832371"</f>
        <v>20190303170832371</v>
      </c>
      <c r="B3283" t="str">
        <f>"1551604112356404"</f>
        <v>1551604112356404</v>
      </c>
      <c r="C3283" t="s">
        <v>40</v>
      </c>
      <c r="D3283">
        <v>4.8188279999999999</v>
      </c>
      <c r="E3283">
        <v>0.66730319999999899</v>
      </c>
      <c r="F3283" t="s">
        <v>54</v>
      </c>
      <c r="G3283">
        <v>-368.61149999999998</v>
      </c>
      <c r="H3283">
        <v>2.0874130000000002</v>
      </c>
      <c r="I3283">
        <v>119.0748</v>
      </c>
      <c r="J3283">
        <v>-199.09909999999999</v>
      </c>
      <c r="K3283">
        <v>1.1086290000000001</v>
      </c>
      <c r="L3283">
        <v>145.07</v>
      </c>
      <c r="M3283">
        <v>-0.69917510000000005</v>
      </c>
      <c r="N3283">
        <v>-3.8994659999999999E-3</v>
      </c>
      <c r="O3283">
        <v>-0.71493980000000001</v>
      </c>
      <c r="P3283">
        <v>-0.83748529999999999</v>
      </c>
      <c r="Q3283">
        <v>0.20357549999999999</v>
      </c>
      <c r="R3283">
        <v>-0.50712479999999904</v>
      </c>
      <c r="S3283">
        <v>-3.290375</v>
      </c>
      <c r="T3283">
        <v>1.8975849999999999E-2</v>
      </c>
      <c r="U3283">
        <v>-0.50750729999999999</v>
      </c>
      <c r="V3283">
        <v>0.24968850000000001</v>
      </c>
      <c r="W3283">
        <v>0.2006066</v>
      </c>
      <c r="X3283">
        <v>0.94731869999999996</v>
      </c>
      <c r="Y3283">
        <v>0.59997389999999995</v>
      </c>
      <c r="Z3283">
        <v>-7.2822679999999997E-3</v>
      </c>
      <c r="AA3283">
        <v>0.79998649999999905</v>
      </c>
      <c r="AB3283">
        <v>28</v>
      </c>
      <c r="AC3283">
        <v>-169.51240000000001</v>
      </c>
      <c r="AD3283">
        <v>0.97878399999999999</v>
      </c>
      <c r="AE3283">
        <v>-25.995200000000001</v>
      </c>
      <c r="AF3283">
        <v>103.013395319683</v>
      </c>
      <c r="AG3283">
        <v>0.97878399999999999</v>
      </c>
      <c r="AH3283">
        <v>137.10043259920701</v>
      </c>
      <c r="AI3283">
        <v>89.672983320219899</v>
      </c>
      <c r="AJ3283">
        <v>53.079833459454797</v>
      </c>
      <c r="AK3283">
        <v>171.49124249447101</v>
      </c>
      <c r="AL3283">
        <v>78.427566853499201</v>
      </c>
      <c r="AM3283">
        <v>75.234146953144105</v>
      </c>
      <c r="AN3283">
        <v>1.00000003718274</v>
      </c>
    </row>
    <row r="3284" spans="1:40" x14ac:dyDescent="0.25">
      <c r="A3284" t="str">
        <f>"20190303170832394"</f>
        <v>20190303170832394</v>
      </c>
      <c r="B3284" t="str">
        <f>"1551604112386659"</f>
        <v>1551604112386659</v>
      </c>
      <c r="C3284" t="s">
        <v>40</v>
      </c>
      <c r="D3284">
        <v>4.8687959999999997</v>
      </c>
      <c r="E3284">
        <v>0.66601940000000004</v>
      </c>
      <c r="F3284" t="s">
        <v>95</v>
      </c>
      <c r="G3284">
        <v>-378.56920000000002</v>
      </c>
      <c r="H3284">
        <v>2.0459529999999999</v>
      </c>
      <c r="I3284">
        <v>119.6194</v>
      </c>
      <c r="J3284">
        <v>-199.32339999999999</v>
      </c>
      <c r="K3284">
        <v>1.1084959999999999</v>
      </c>
      <c r="L3284">
        <v>144.86240000000001</v>
      </c>
      <c r="M3284">
        <v>-0.71038380000000001</v>
      </c>
      <c r="N3284">
        <v>-3.8838000000000002E-3</v>
      </c>
      <c r="O3284">
        <v>-0.70380369999999903</v>
      </c>
      <c r="P3284">
        <v>-0.84522749999999902</v>
      </c>
      <c r="Q3284">
        <v>0.20413210000000001</v>
      </c>
      <c r="R3284">
        <v>-0.49388310000000002</v>
      </c>
      <c r="S3284">
        <v>-3.2950439999999999</v>
      </c>
      <c r="T3284">
        <v>1.7209169999999999E-2</v>
      </c>
      <c r="U3284">
        <v>-0.46726990000000002</v>
      </c>
      <c r="V3284">
        <v>0.2496062</v>
      </c>
      <c r="W3284">
        <v>0.20108029999999999</v>
      </c>
      <c r="X3284">
        <v>0.94723990000000002</v>
      </c>
      <c r="Y3284">
        <v>0.59706499999999996</v>
      </c>
      <c r="Z3284">
        <v>-6.6756940000000002E-3</v>
      </c>
      <c r="AA3284">
        <v>0.80216509999999996</v>
      </c>
      <c r="AB3284">
        <v>28</v>
      </c>
      <c r="AC3284">
        <v>-179.2458</v>
      </c>
      <c r="AD3284">
        <v>0.93745699999999998</v>
      </c>
      <c r="AE3284">
        <v>-25.242999999999999</v>
      </c>
      <c r="AF3284">
        <v>108.219559381181</v>
      </c>
      <c r="AG3284">
        <v>0.93745699999999998</v>
      </c>
      <c r="AH3284">
        <v>145.09664108255399</v>
      </c>
      <c r="AI3284">
        <v>89.703265338932397</v>
      </c>
      <c r="AJ3284">
        <v>53.282778794952897</v>
      </c>
      <c r="AK3284">
        <v>181.012118687461</v>
      </c>
      <c r="AL3284">
        <v>78.399860684983906</v>
      </c>
      <c r="AM3284">
        <v>75.237627039879001</v>
      </c>
      <c r="AN3284">
        <v>0.99999998513926902</v>
      </c>
    </row>
    <row r="3285" spans="1:40" x14ac:dyDescent="0.25">
      <c r="A3285" t="str">
        <f>"20190303170832416"</f>
        <v>20190303170832416</v>
      </c>
      <c r="B3285" t="str">
        <f>"1551604112406180"</f>
        <v>1551604112406180</v>
      </c>
      <c r="C3285" t="s">
        <v>40</v>
      </c>
      <c r="D3285">
        <v>4.9084250000000003</v>
      </c>
      <c r="E3285">
        <v>0.66518259999999996</v>
      </c>
      <c r="F3285" t="s">
        <v>95</v>
      </c>
      <c r="G3285">
        <v>-395.37720000000002</v>
      </c>
      <c r="H3285">
        <v>2.026141</v>
      </c>
      <c r="I3285">
        <v>119.6194</v>
      </c>
      <c r="J3285">
        <v>-199.53989999999999</v>
      </c>
      <c r="K3285">
        <v>1.108379</v>
      </c>
      <c r="L3285">
        <v>144.6679</v>
      </c>
      <c r="M3285">
        <v>-0.72086939999999999</v>
      </c>
      <c r="N3285">
        <v>-3.8730219999999998E-3</v>
      </c>
      <c r="O3285">
        <v>-0.69306029999999996</v>
      </c>
      <c r="P3285">
        <v>-0.85202900000000004</v>
      </c>
      <c r="Q3285">
        <v>0.20429259999999999</v>
      </c>
      <c r="R3285">
        <v>-0.4819871</v>
      </c>
      <c r="S3285">
        <v>-3.2975310000000002</v>
      </c>
      <c r="T3285">
        <v>1.5434379999999999E-2</v>
      </c>
      <c r="U3285">
        <v>-0.4245758</v>
      </c>
      <c r="V3285">
        <v>0.2486941</v>
      </c>
      <c r="W3285">
        <v>0.20119190000000001</v>
      </c>
      <c r="X3285">
        <v>0.94745610000000002</v>
      </c>
      <c r="Y3285">
        <v>0.59530859999999997</v>
      </c>
      <c r="Z3285">
        <v>-6.0846049999999999E-3</v>
      </c>
      <c r="AA3285">
        <v>0.80347409999999997</v>
      </c>
      <c r="AB3285">
        <v>29</v>
      </c>
      <c r="AC3285">
        <v>-195.8373</v>
      </c>
      <c r="AD3285">
        <v>0.91776199999999997</v>
      </c>
      <c r="AE3285">
        <v>-25.048500000000001</v>
      </c>
      <c r="AF3285">
        <v>117.668684671036</v>
      </c>
      <c r="AG3285">
        <v>0.91776199999999997</v>
      </c>
      <c r="AH3285">
        <v>158.53097978549999</v>
      </c>
      <c r="AI3285">
        <v>89.733657880811293</v>
      </c>
      <c r="AJ3285">
        <v>53.415566089762201</v>
      </c>
      <c r="AK3285">
        <v>197.43057815609799</v>
      </c>
      <c r="AL3285">
        <v>78.393333232822599</v>
      </c>
      <c r="AM3285">
        <v>75.292438719338193</v>
      </c>
      <c r="AN3285">
        <v>0.99999999871381495</v>
      </c>
    </row>
    <row r="3286" spans="1:40" x14ac:dyDescent="0.25">
      <c r="A3286" t="str">
        <f>"20190303170832439"</f>
        <v>20190303170832439</v>
      </c>
      <c r="B3286" t="str">
        <f>"1551604112426676"</f>
        <v>1551604112426676</v>
      </c>
      <c r="C3286" t="s">
        <v>40</v>
      </c>
      <c r="D3286">
        <v>4.8250279999999997</v>
      </c>
      <c r="E3286">
        <v>0.66442409999999996</v>
      </c>
      <c r="F3286" t="s">
        <v>76</v>
      </c>
      <c r="G3286">
        <v>-440.75</v>
      </c>
      <c r="H3286">
        <v>2.0714329999999999</v>
      </c>
      <c r="I3286">
        <v>116.6001</v>
      </c>
      <c r="J3286">
        <v>-199.76070000000001</v>
      </c>
      <c r="K3286">
        <v>1.1082540000000001</v>
      </c>
      <c r="L3286">
        <v>144.4752</v>
      </c>
      <c r="M3286">
        <v>-0.73123689999999997</v>
      </c>
      <c r="N3286">
        <v>-3.8665510000000002E-3</v>
      </c>
      <c r="O3286">
        <v>-0.68211279999999996</v>
      </c>
      <c r="P3286">
        <v>-0.85884240000000001</v>
      </c>
      <c r="Q3286">
        <v>0.204739</v>
      </c>
      <c r="R3286">
        <v>-0.46954430000000003</v>
      </c>
      <c r="S3286">
        <v>-3.300583</v>
      </c>
      <c r="T3286">
        <v>1.3178230000000001E-2</v>
      </c>
      <c r="U3286">
        <v>-0.38406370000000001</v>
      </c>
      <c r="V3286">
        <v>0.24818019999999999</v>
      </c>
      <c r="W3286">
        <v>0.20158380000000001</v>
      </c>
      <c r="X3286">
        <v>0.94750760000000001</v>
      </c>
      <c r="Y3286">
        <v>0.59300659999999905</v>
      </c>
      <c r="Z3286">
        <v>-5.3664860000000002E-3</v>
      </c>
      <c r="AA3286">
        <v>0.8051798</v>
      </c>
      <c r="AB3286">
        <v>29</v>
      </c>
      <c r="AC3286">
        <v>-240.98929999999999</v>
      </c>
      <c r="AD3286">
        <v>0.96317900000000001</v>
      </c>
      <c r="AE3286">
        <v>-27.8751</v>
      </c>
      <c r="AF3286">
        <v>143.99737475227201</v>
      </c>
      <c r="AG3286">
        <v>0.96317900000000001</v>
      </c>
      <c r="AH3286">
        <v>195.232591017104</v>
      </c>
      <c r="AI3286">
        <v>89.772516238561494</v>
      </c>
      <c r="AJ3286">
        <v>53.5886899855116</v>
      </c>
      <c r="AK3286">
        <v>242.59418015398501</v>
      </c>
      <c r="AL3286">
        <v>78.370409900813698</v>
      </c>
      <c r="AM3286">
        <v>75.322280008141007</v>
      </c>
      <c r="AN3286">
        <v>1.00000004607611</v>
      </c>
    </row>
    <row r="3287" spans="1:40" x14ac:dyDescent="0.25">
      <c r="A3287" t="str">
        <f>"20190303170832461"</f>
        <v>20190303170832461</v>
      </c>
      <c r="B3287" t="str">
        <f>"1551604112456932"</f>
        <v>1551604112456932</v>
      </c>
      <c r="C3287" t="s">
        <v>40</v>
      </c>
      <c r="D3287">
        <v>4.8621369999999997</v>
      </c>
      <c r="E3287">
        <v>0.66346070000000001</v>
      </c>
      <c r="F3287" t="s">
        <v>76</v>
      </c>
      <c r="G3287">
        <v>-440.20710000000003</v>
      </c>
      <c r="H3287">
        <v>1.9276759999999999</v>
      </c>
      <c r="I3287">
        <v>119.6271</v>
      </c>
      <c r="J3287">
        <v>-199.99529999999999</v>
      </c>
      <c r="K3287">
        <v>1.1081289999999999</v>
      </c>
      <c r="L3287">
        <v>144.2765</v>
      </c>
      <c r="M3287">
        <v>-0.74190739999999999</v>
      </c>
      <c r="N3287">
        <v>-3.8629570000000002E-3</v>
      </c>
      <c r="O3287">
        <v>-0.67049139999999996</v>
      </c>
      <c r="P3287">
        <v>-0.8662164</v>
      </c>
      <c r="Q3287">
        <v>0.20435719999999999</v>
      </c>
      <c r="R3287">
        <v>-0.45596880000000001</v>
      </c>
      <c r="S3287">
        <v>-3.3037570000000001</v>
      </c>
      <c r="T3287">
        <v>1.125932E-2</v>
      </c>
      <c r="U3287">
        <v>-0.34141539999999998</v>
      </c>
      <c r="V3287">
        <v>0.248248</v>
      </c>
      <c r="W3287">
        <v>0.2011317</v>
      </c>
      <c r="X3287">
        <v>0.94758589999999998</v>
      </c>
      <c r="Y3287">
        <v>0.590663099999999</v>
      </c>
      <c r="Z3287">
        <v>-4.7483059999999999E-3</v>
      </c>
      <c r="AA3287">
        <v>0.80690430000000002</v>
      </c>
      <c r="AB3287">
        <v>29</v>
      </c>
      <c r="AC3287">
        <v>-240.21180000000001</v>
      </c>
      <c r="AD3287">
        <v>0.81954699999999903</v>
      </c>
      <c r="AE3287">
        <v>-24.6494</v>
      </c>
      <c r="AF3287">
        <v>142.771778085856</v>
      </c>
      <c r="AG3287">
        <v>0.81954699999999903</v>
      </c>
      <c r="AH3287">
        <v>194.741310128186</v>
      </c>
      <c r="AI3287">
        <v>89.805539717756105</v>
      </c>
      <c r="AJ3287">
        <v>53.753532020012102</v>
      </c>
      <c r="AK3287">
        <v>241.471799897057</v>
      </c>
      <c r="AL3287">
        <v>78.396854834610807</v>
      </c>
      <c r="AM3287">
        <v>75.319604178589998</v>
      </c>
      <c r="AN3287">
        <v>1.00000003406384</v>
      </c>
    </row>
    <row r="3288" spans="1:40" x14ac:dyDescent="0.25">
      <c r="A3288" t="str">
        <f>"20190303170832485"</f>
        <v>20190303170832485</v>
      </c>
      <c r="B3288" t="str">
        <f>"1551604112476452"</f>
        <v>1551604112476452</v>
      </c>
      <c r="C3288" t="s">
        <v>40</v>
      </c>
      <c r="D3288">
        <v>4.6685249999999998</v>
      </c>
      <c r="E3288">
        <v>0.64570909999999904</v>
      </c>
      <c r="F3288" t="s">
        <v>76</v>
      </c>
      <c r="G3288">
        <v>-471.81779999999998</v>
      </c>
      <c r="H3288">
        <v>1.4531959999999999</v>
      </c>
      <c r="I3288">
        <v>119.8177</v>
      </c>
      <c r="J3288">
        <v>-200.24109999999999</v>
      </c>
      <c r="K3288">
        <v>1.108006</v>
      </c>
      <c r="L3288">
        <v>144.0745</v>
      </c>
      <c r="M3288">
        <v>-0.75272289999999997</v>
      </c>
      <c r="N3288">
        <v>-3.8607709999999998E-3</v>
      </c>
      <c r="O3288">
        <v>-0.65832630000000003</v>
      </c>
      <c r="P3288">
        <v>-0.87368169999999901</v>
      </c>
      <c r="Q3288">
        <v>0.20360980000000001</v>
      </c>
      <c r="R3288">
        <v>-0.44184089999999998</v>
      </c>
      <c r="S3288">
        <v>-3.305771</v>
      </c>
      <c r="T3288">
        <v>4.1968819999999999E-3</v>
      </c>
      <c r="U3288">
        <v>-0.29745480000000002</v>
      </c>
      <c r="V3288">
        <v>0.2483609</v>
      </c>
      <c r="W3288">
        <v>0.20031360000000001</v>
      </c>
      <c r="X3288">
        <v>0.9477295</v>
      </c>
      <c r="Y3288">
        <v>0.58821590000000001</v>
      </c>
      <c r="Z3288">
        <v>-2.7384979999999998E-3</v>
      </c>
      <c r="AA3288">
        <v>0.80869930000000001</v>
      </c>
      <c r="AB3288">
        <v>29</v>
      </c>
      <c r="AC3288">
        <v>-271.57670000000002</v>
      </c>
      <c r="AD3288">
        <v>0.345189999999999</v>
      </c>
      <c r="AE3288">
        <v>-24.256799999999998</v>
      </c>
      <c r="AF3288">
        <v>160.528359319072</v>
      </c>
      <c r="AG3288">
        <v>0.345189999999999</v>
      </c>
      <c r="AH3288">
        <v>220.39215927922001</v>
      </c>
      <c r="AI3288">
        <v>89.927462377580397</v>
      </c>
      <c r="AJ3288">
        <v>53.931303688810303</v>
      </c>
      <c r="AK3288">
        <v>272.65761895382002</v>
      </c>
      <c r="AL3288">
        <v>78.4447011970978</v>
      </c>
      <c r="AM3288">
        <v>75.3153454564073</v>
      </c>
      <c r="AN3288">
        <v>0.99999994008200799</v>
      </c>
    </row>
    <row r="3289" spans="1:40" x14ac:dyDescent="0.25">
      <c r="A3289" t="str">
        <f>"20190303170832506"</f>
        <v>20190303170832506</v>
      </c>
      <c r="B3289" t="str">
        <f>"1551604112495972"</f>
        <v>1551604112495972</v>
      </c>
      <c r="C3289" t="s">
        <v>40</v>
      </c>
      <c r="D3289">
        <v>4.663894</v>
      </c>
      <c r="E3289">
        <v>0.64504980000000001</v>
      </c>
      <c r="F3289" t="s">
        <v>43</v>
      </c>
      <c r="G3289">
        <v>-326.05399999999997</v>
      </c>
      <c r="H3289">
        <v>1.396668E-2</v>
      </c>
      <c r="I3289">
        <v>129.6164</v>
      </c>
      <c r="J3289">
        <v>-200.46119999999999</v>
      </c>
      <c r="K3289">
        <v>1.107899</v>
      </c>
      <c r="L3289">
        <v>143.89930000000001</v>
      </c>
      <c r="M3289">
        <v>-0.76209280000000001</v>
      </c>
      <c r="N3289">
        <v>-3.860806E-3</v>
      </c>
      <c r="O3289">
        <v>-0.64745640000000004</v>
      </c>
      <c r="P3289">
        <v>-0.88000210000000001</v>
      </c>
      <c r="Q3289">
        <v>0.2031473</v>
      </c>
      <c r="R3289">
        <v>-0.4293341</v>
      </c>
      <c r="S3289">
        <v>-3.2513890000000001</v>
      </c>
      <c r="T3289">
        <v>-2.8273340000000001E-2</v>
      </c>
      <c r="U3289">
        <v>-0.37364199999999997</v>
      </c>
      <c r="V3289">
        <v>0.24838180000000001</v>
      </c>
      <c r="W3289">
        <v>0.19979369999999999</v>
      </c>
      <c r="X3289">
        <v>0.94783379999999995</v>
      </c>
      <c r="Y3289">
        <v>0.55618939999999994</v>
      </c>
      <c r="Z3289">
        <v>5.9870929999999998E-3</v>
      </c>
      <c r="AA3289">
        <v>0.8310341</v>
      </c>
      <c r="AB3289">
        <v>29</v>
      </c>
      <c r="AC3289">
        <v>-125.5928</v>
      </c>
      <c r="AD3289">
        <v>-1.09393232</v>
      </c>
      <c r="AE3289">
        <v>-14.2829</v>
      </c>
      <c r="AF3289">
        <v>70.426212402561504</v>
      </c>
      <c r="AG3289">
        <v>-1.09393232</v>
      </c>
      <c r="AH3289">
        <v>104.953838157067</v>
      </c>
      <c r="AI3289">
        <v>90.495883479864204</v>
      </c>
      <c r="AJ3289">
        <v>56.1375654925872</v>
      </c>
      <c r="AK3289">
        <v>126.397611627717</v>
      </c>
      <c r="AL3289">
        <v>78.475104295479198</v>
      </c>
      <c r="AM3289">
        <v>75.315709322363801</v>
      </c>
      <c r="AN3289">
        <v>0.99999997677668395</v>
      </c>
    </row>
    <row r="3290" spans="1:40" x14ac:dyDescent="0.25">
      <c r="A3290" t="str">
        <f>"20190303170832530"</f>
        <v>20190303170832530</v>
      </c>
      <c r="B3290" t="str">
        <f>"1551604112516467"</f>
        <v>1551604112516467</v>
      </c>
      <c r="C3290" t="s">
        <v>40</v>
      </c>
      <c r="D3290">
        <v>4.6419139999999999</v>
      </c>
      <c r="E3290">
        <v>0.64424619999999999</v>
      </c>
      <c r="F3290" t="s">
        <v>58</v>
      </c>
      <c r="G3290">
        <v>-429.96629999999999</v>
      </c>
      <c r="H3290">
        <v>5.8577570000000002E-2</v>
      </c>
      <c r="I3290">
        <v>120.68219999999999</v>
      </c>
      <c r="J3290">
        <v>-200.71100000000001</v>
      </c>
      <c r="K3290">
        <v>1.107774</v>
      </c>
      <c r="L3290">
        <v>143.70609999999999</v>
      </c>
      <c r="M3290">
        <v>-0.77239019999999903</v>
      </c>
      <c r="N3290">
        <v>-3.863717E-3</v>
      </c>
      <c r="O3290">
        <v>-0.63513660000000005</v>
      </c>
      <c r="P3290">
        <v>-0.88654809999999995</v>
      </c>
      <c r="Q3290">
        <v>0.20445679999999999</v>
      </c>
      <c r="R3290">
        <v>-0.4150064</v>
      </c>
      <c r="S3290">
        <v>-3.2520289999999998</v>
      </c>
      <c r="T3290">
        <v>-1.4868620000000001E-2</v>
      </c>
      <c r="U3290">
        <v>-0.32897949999999998</v>
      </c>
      <c r="V3290">
        <v>0.24843299999999999</v>
      </c>
      <c r="W3290">
        <v>0.201041</v>
      </c>
      <c r="X3290">
        <v>0.94755659999999997</v>
      </c>
      <c r="Y3290">
        <v>0.55416699999999997</v>
      </c>
      <c r="Z3290">
        <v>2.4002899999999998E-3</v>
      </c>
      <c r="AA3290">
        <v>0.83240210000000003</v>
      </c>
      <c r="AB3290">
        <v>29</v>
      </c>
      <c r="AC3290">
        <v>-229.25530000000001</v>
      </c>
      <c r="AD3290">
        <v>-1.0491964300000001</v>
      </c>
      <c r="AE3290">
        <v>-23.023900000000001</v>
      </c>
      <c r="AF3290">
        <v>127.823297475103</v>
      </c>
      <c r="AG3290">
        <v>-1.0491964300000001</v>
      </c>
      <c r="AH3290">
        <v>191.695319750039</v>
      </c>
      <c r="AI3290">
        <v>90.2609076897309</v>
      </c>
      <c r="AJ3290">
        <v>56.3044663849725</v>
      </c>
      <c r="AK3290">
        <v>230.40614532739201</v>
      </c>
      <c r="AL3290">
        <v>78.402159227768294</v>
      </c>
      <c r="AM3290">
        <v>75.308702465108794</v>
      </c>
      <c r="AN3290">
        <v>0.99999997468677904</v>
      </c>
    </row>
    <row r="3291" spans="1:40" x14ac:dyDescent="0.25">
      <c r="A3291" t="str">
        <f>"20190303170832563"</f>
        <v>20190303170832563</v>
      </c>
      <c r="B3291" t="str">
        <f>"1551604112556485"</f>
        <v>1551604112556485</v>
      </c>
      <c r="C3291" t="s">
        <v>40</v>
      </c>
      <c r="D3291">
        <v>4.616358</v>
      </c>
      <c r="E3291">
        <v>0.64243019999999995</v>
      </c>
      <c r="F3291" t="s">
        <v>49</v>
      </c>
      <c r="G3291">
        <v>-1048.963</v>
      </c>
      <c r="H3291">
        <v>-0.1</v>
      </c>
      <c r="I3291">
        <v>70.478390000000005</v>
      </c>
      <c r="J3291">
        <v>-201.0735</v>
      </c>
      <c r="K3291">
        <v>1.107612</v>
      </c>
      <c r="L3291">
        <v>143.4374</v>
      </c>
      <c r="M3291">
        <v>-0.78669699999999998</v>
      </c>
      <c r="N3291">
        <v>-3.8745530000000002E-3</v>
      </c>
      <c r="O3291">
        <v>-0.61732719999999996</v>
      </c>
      <c r="P3291">
        <v>-0.89557359999999897</v>
      </c>
      <c r="Q3291">
        <v>0.20596439999999999</v>
      </c>
      <c r="R3291">
        <v>-0.39436890000000002</v>
      </c>
      <c r="S3291">
        <v>-3.2535099999999999</v>
      </c>
      <c r="T3291">
        <v>-4.6324729999999998E-3</v>
      </c>
      <c r="U3291">
        <v>-0.28086850000000002</v>
      </c>
      <c r="V3291">
        <v>0.24863170000000001</v>
      </c>
      <c r="W3291">
        <v>0.20246359999999999</v>
      </c>
      <c r="X3291">
        <v>0.94720159999999998</v>
      </c>
      <c r="Y3291">
        <v>0.54737769999999997</v>
      </c>
      <c r="Z3291">
        <v>-2.75281E-4</v>
      </c>
      <c r="AA3291">
        <v>0.83688560000000001</v>
      </c>
      <c r="AB3291">
        <v>30</v>
      </c>
      <c r="AC3291">
        <v>-847.8895</v>
      </c>
      <c r="AD3291">
        <v>-1.2076119999999999</v>
      </c>
      <c r="AE3291">
        <v>-72.959009999999907</v>
      </c>
      <c r="AF3291">
        <v>466.03116379976001</v>
      </c>
      <c r="AG3291">
        <v>-1.2076119999999999</v>
      </c>
      <c r="AH3291">
        <v>712.07559926822</v>
      </c>
      <c r="AI3291">
        <v>90.0813035474457</v>
      </c>
      <c r="AJ3291">
        <v>56.796510071387601</v>
      </c>
      <c r="AK3291">
        <v>851.02183463909796</v>
      </c>
      <c r="AL3291">
        <v>78.318939855438302</v>
      </c>
      <c r="AM3291">
        <v>75.292189567254397</v>
      </c>
      <c r="AN3291">
        <v>1.0000000513062</v>
      </c>
    </row>
    <row r="3292" spans="1:40" x14ac:dyDescent="0.25">
      <c r="A3292" t="str">
        <f>"20190303170832583"</f>
        <v>20190303170832583</v>
      </c>
      <c r="B3292" t="str">
        <f>"1551604112576004"</f>
        <v>1551604112576004</v>
      </c>
      <c r="C3292" t="s">
        <v>40</v>
      </c>
      <c r="D3292">
        <v>4.5877869999999996</v>
      </c>
      <c r="E3292">
        <v>0.63272640000000002</v>
      </c>
      <c r="F3292" t="s">
        <v>41</v>
      </c>
      <c r="G3292">
        <v>-460.74009999999998</v>
      </c>
      <c r="H3292">
        <v>0.86460049999999899</v>
      </c>
      <c r="I3292">
        <v>125.83929999999999</v>
      </c>
      <c r="J3292">
        <v>-201.3074</v>
      </c>
      <c r="K3292">
        <v>1.1075090000000001</v>
      </c>
      <c r="L3292">
        <v>143.27019999999999</v>
      </c>
      <c r="M3292">
        <v>-0.79556249999999995</v>
      </c>
      <c r="N3292">
        <v>-3.8845049999999999E-3</v>
      </c>
      <c r="O3292">
        <v>-0.60585929999999999</v>
      </c>
      <c r="P3292">
        <v>-0.90125630000000001</v>
      </c>
      <c r="Q3292">
        <v>0.20523830000000001</v>
      </c>
      <c r="R3292">
        <v>-0.3815945</v>
      </c>
      <c r="S3292">
        <v>-3.2534179999999999</v>
      </c>
      <c r="T3292">
        <v>-3.0443670000000001E-3</v>
      </c>
      <c r="U3292">
        <v>-0.2204895</v>
      </c>
      <c r="V3292">
        <v>0.24849640000000001</v>
      </c>
      <c r="W3292">
        <v>0.2016954</v>
      </c>
      <c r="X3292">
        <v>0.94740089999999999</v>
      </c>
      <c r="Y3292">
        <v>0.5506799</v>
      </c>
      <c r="Z3292">
        <v>-6.3734149999999999E-4</v>
      </c>
      <c r="AA3292">
        <v>0.83471629999999997</v>
      </c>
      <c r="AB3292">
        <v>30</v>
      </c>
      <c r="AC3292">
        <v>-259.43269999999899</v>
      </c>
      <c r="AD3292">
        <v>-0.2429085</v>
      </c>
      <c r="AE3292">
        <v>-17.430899999999902</v>
      </c>
      <c r="AF3292">
        <v>143.31328031950201</v>
      </c>
      <c r="AG3292">
        <v>-0.2429085</v>
      </c>
      <c r="AH3292">
        <v>216.95701827606101</v>
      </c>
      <c r="AI3292">
        <v>90.053525757284504</v>
      </c>
      <c r="AJ3292">
        <v>56.552816580336</v>
      </c>
      <c r="AK3292">
        <v>260.01750537168601</v>
      </c>
      <c r="AL3292">
        <v>78.363880822833295</v>
      </c>
      <c r="AM3292">
        <v>75.302805019629503</v>
      </c>
      <c r="AN3292">
        <v>0.99999998025746395</v>
      </c>
    </row>
    <row r="3293" spans="1:40" x14ac:dyDescent="0.25">
      <c r="A3293" t="str">
        <f>"20190303170832606"</f>
        <v>20190303170832606</v>
      </c>
      <c r="B3293" t="str">
        <f>"1551604112596499"</f>
        <v>1551604112596499</v>
      </c>
      <c r="C3293" t="s">
        <v>40</v>
      </c>
      <c r="D3293">
        <v>4.5780349999999999</v>
      </c>
      <c r="E3293">
        <v>0.63107579999999996</v>
      </c>
      <c r="F3293" t="s">
        <v>58</v>
      </c>
      <c r="G3293">
        <v>-428.12189999999998</v>
      </c>
      <c r="H3293" s="1">
        <v>-5.6209800000000003E-6</v>
      </c>
      <c r="I3293">
        <v>125.97</v>
      </c>
      <c r="J3293">
        <v>-201.56630000000001</v>
      </c>
      <c r="K3293">
        <v>1.107397</v>
      </c>
      <c r="L3293">
        <v>143.09059999999999</v>
      </c>
      <c r="M3293">
        <v>-0.80505519999999997</v>
      </c>
      <c r="N3293">
        <v>-3.8980709999999999E-3</v>
      </c>
      <c r="O3293">
        <v>-0.59318709999999997</v>
      </c>
      <c r="P3293">
        <v>-0.90725199999999995</v>
      </c>
      <c r="Q3293">
        <v>0.20437150000000001</v>
      </c>
      <c r="R3293">
        <v>-0.36759560000000002</v>
      </c>
      <c r="S3293">
        <v>-3.2280120000000001</v>
      </c>
      <c r="T3293">
        <v>-1.5762089999999999E-2</v>
      </c>
      <c r="U3293">
        <v>-0.24621580000000001</v>
      </c>
      <c r="V3293">
        <v>0.24830459999999999</v>
      </c>
      <c r="W3293">
        <v>0.2007874</v>
      </c>
      <c r="X3293">
        <v>0.94764409999999999</v>
      </c>
      <c r="Y3293">
        <v>0.53023520000000002</v>
      </c>
      <c r="Z3293">
        <v>2.6010209999999998E-3</v>
      </c>
      <c r="AA3293">
        <v>0.84784660000000001</v>
      </c>
      <c r="AB3293">
        <v>30</v>
      </c>
      <c r="AC3293">
        <v>-226.5556</v>
      </c>
      <c r="AD3293">
        <v>-1.1074026209800001</v>
      </c>
      <c r="AE3293">
        <v>-17.1205999999999</v>
      </c>
      <c r="AF3293">
        <v>120.604882086294</v>
      </c>
      <c r="AG3293">
        <v>-1.1074026209800001</v>
      </c>
      <c r="AH3293">
        <v>192.54237107436899</v>
      </c>
      <c r="AI3293">
        <v>90.279269638872094</v>
      </c>
      <c r="AJ3293">
        <v>57.937753070672599</v>
      </c>
      <c r="AK3293">
        <v>227.198874518678</v>
      </c>
      <c r="AL3293">
        <v>78.4169927460878</v>
      </c>
      <c r="AM3293">
        <v>75.317264539034994</v>
      </c>
      <c r="AN3293">
        <v>1.00000004732236</v>
      </c>
    </row>
    <row r="3294" spans="1:40" x14ac:dyDescent="0.25">
      <c r="A3294" t="str">
        <f>"20190303170832628"</f>
        <v>20190303170832628</v>
      </c>
      <c r="B3294" t="str">
        <f>"1551604112616020"</f>
        <v>1551604112616020</v>
      </c>
      <c r="C3294" t="s">
        <v>40</v>
      </c>
      <c r="D3294">
        <v>4.5338760000000002</v>
      </c>
      <c r="E3294">
        <v>0.6300268</v>
      </c>
      <c r="F3294" t="s">
        <v>43</v>
      </c>
      <c r="G3294">
        <v>-362.846</v>
      </c>
      <c r="H3294" s="1">
        <v>-4.2805459999999999E-6</v>
      </c>
      <c r="I3294">
        <v>132.6866</v>
      </c>
      <c r="J3294">
        <v>-201.8289</v>
      </c>
      <c r="K3294">
        <v>1.1072869999999999</v>
      </c>
      <c r="L3294">
        <v>142.9143</v>
      </c>
      <c r="M3294">
        <v>-0.81435080000000004</v>
      </c>
      <c r="N3294">
        <v>-3.9142919999999998E-3</v>
      </c>
      <c r="O3294">
        <v>-0.58036009999999905</v>
      </c>
      <c r="P3294">
        <v>-0.91305610000000004</v>
      </c>
      <c r="Q3294">
        <v>0.2045351</v>
      </c>
      <c r="R3294">
        <v>-0.35283789999999998</v>
      </c>
      <c r="S3294">
        <v>-3.2273100000000001</v>
      </c>
      <c r="T3294">
        <v>-2.2159809999999999E-2</v>
      </c>
      <c r="U3294">
        <v>-0.20819090000000001</v>
      </c>
      <c r="V3294">
        <v>0.2486911</v>
      </c>
      <c r="W3294">
        <v>0.20089480000000001</v>
      </c>
      <c r="X3294">
        <v>0.94751989999999997</v>
      </c>
      <c r="Y3294">
        <v>0.52671630000000003</v>
      </c>
      <c r="Z3294">
        <v>4.201158E-3</v>
      </c>
      <c r="AA3294">
        <v>0.85003069999999903</v>
      </c>
      <c r="AB3294">
        <v>30</v>
      </c>
      <c r="AC3294">
        <v>-161.0171</v>
      </c>
      <c r="AD3294">
        <v>-1.107291280546</v>
      </c>
      <c r="AE3294">
        <v>-10.2277</v>
      </c>
      <c r="AF3294">
        <v>85.115590914718993</v>
      </c>
      <c r="AG3294">
        <v>-1.107291280546</v>
      </c>
      <c r="AH3294">
        <v>137.054720853455</v>
      </c>
      <c r="AI3294">
        <v>90.393234655955496</v>
      </c>
      <c r="AJ3294">
        <v>58.158328383871797</v>
      </c>
      <c r="AK3294">
        <v>161.33780220072401</v>
      </c>
      <c r="AL3294">
        <v>78.410710305096103</v>
      </c>
      <c r="AM3294">
        <v>75.293555820585695</v>
      </c>
      <c r="AN3294">
        <v>0.99999997239112903</v>
      </c>
    </row>
    <row r="3295" spans="1:40" x14ac:dyDescent="0.25">
      <c r="A3295" t="str">
        <f>"20190303170832650"</f>
        <v>20190303170832650</v>
      </c>
      <c r="B3295" t="str">
        <f>"1551604112636516"</f>
        <v>1551604112636516</v>
      </c>
      <c r="C3295" t="s">
        <v>40</v>
      </c>
      <c r="D3295">
        <v>4.5432560000000004</v>
      </c>
      <c r="E3295">
        <v>0.63051919999999995</v>
      </c>
      <c r="F3295" t="s">
        <v>43</v>
      </c>
      <c r="G3295">
        <v>-365.32549999999998</v>
      </c>
      <c r="H3295" s="1">
        <v>-2.9006269999999999E-6</v>
      </c>
      <c r="I3295">
        <v>134.64089999999999</v>
      </c>
      <c r="J3295">
        <v>-202.07409999999999</v>
      </c>
      <c r="K3295">
        <v>1.1071820000000001</v>
      </c>
      <c r="L3295">
        <v>142.75530000000001</v>
      </c>
      <c r="M3295">
        <v>-0.82272389999999995</v>
      </c>
      <c r="N3295">
        <v>-3.9340779999999997E-3</v>
      </c>
      <c r="O3295">
        <v>-0.56842740000000003</v>
      </c>
      <c r="P3295">
        <v>-0.91798630000000003</v>
      </c>
      <c r="Q3295">
        <v>0.20633399999999999</v>
      </c>
      <c r="R3295">
        <v>-0.33871469999999998</v>
      </c>
      <c r="S3295">
        <v>-3.2274319999999999</v>
      </c>
      <c r="T3295">
        <v>-2.1857979999999999E-2</v>
      </c>
      <c r="U3295">
        <v>-0.16331479999999901</v>
      </c>
      <c r="V3295">
        <v>0.2493631</v>
      </c>
      <c r="W3295">
        <v>0.20263690000000001</v>
      </c>
      <c r="X3295">
        <v>0.94697220000000004</v>
      </c>
      <c r="Y3295">
        <v>0.52610749999999995</v>
      </c>
      <c r="Z3295">
        <v>4.1109639999999999E-3</v>
      </c>
      <c r="AA3295">
        <v>0.8504081</v>
      </c>
      <c r="AB3295">
        <v>30</v>
      </c>
      <c r="AC3295">
        <v>-163.25139999999999</v>
      </c>
      <c r="AD3295">
        <v>-1.10718490062699</v>
      </c>
      <c r="AE3295">
        <v>-8.1144000000000105</v>
      </c>
      <c r="AF3295">
        <v>86.117381674162502</v>
      </c>
      <c r="AG3295">
        <v>-1.10718490062699</v>
      </c>
      <c r="AH3295">
        <v>138.91799060894601</v>
      </c>
      <c r="AI3295">
        <v>90.388117600742603</v>
      </c>
      <c r="AJ3295">
        <v>58.204594596361297</v>
      </c>
      <c r="AK3295">
        <v>163.44918904554001</v>
      </c>
      <c r="AL3295">
        <v>78.308799813096897</v>
      </c>
      <c r="AM3295">
        <v>75.247390110776095</v>
      </c>
      <c r="AN3295">
        <v>1.00000000822803</v>
      </c>
    </row>
    <row r="3296" spans="1:40" x14ac:dyDescent="0.25">
      <c r="A3296" t="str">
        <f>"20190303170832672"</f>
        <v>20190303170832672</v>
      </c>
      <c r="B3296" t="str">
        <f>"1551604112656036"</f>
        <v>1551604112656036</v>
      </c>
      <c r="C3296" t="s">
        <v>40</v>
      </c>
      <c r="D3296">
        <v>4.6966150000000004</v>
      </c>
      <c r="E3296">
        <v>0.64720480000000002</v>
      </c>
      <c r="F3296" t="s">
        <v>58</v>
      </c>
      <c r="G3296">
        <v>-417.8261</v>
      </c>
      <c r="H3296" s="1">
        <v>-8.1863050000000002E-6</v>
      </c>
      <c r="I3296">
        <v>135.3535</v>
      </c>
      <c r="J3296">
        <v>-202.34139999999999</v>
      </c>
      <c r="K3296">
        <v>1.107078</v>
      </c>
      <c r="L3296">
        <v>142.58750000000001</v>
      </c>
      <c r="M3296">
        <v>-0.83153619999999995</v>
      </c>
      <c r="N3296">
        <v>-3.9628060000000001E-3</v>
      </c>
      <c r="O3296">
        <v>-0.55545639999999996</v>
      </c>
      <c r="P3296">
        <v>-0.92287589999999997</v>
      </c>
      <c r="Q3296">
        <v>0.20699010000000001</v>
      </c>
      <c r="R3296">
        <v>-0.32473879999999999</v>
      </c>
      <c r="S3296">
        <v>-3.2308500000000002</v>
      </c>
      <c r="T3296">
        <v>-1.6579989999999999E-2</v>
      </c>
      <c r="U3296">
        <v>-0.1108398</v>
      </c>
      <c r="V3296">
        <v>0.24887860000000001</v>
      </c>
      <c r="W3296">
        <v>0.20327609999999999</v>
      </c>
      <c r="X3296">
        <v>0.94696270000000005</v>
      </c>
      <c r="Y3296">
        <v>0.52661199999999997</v>
      </c>
      <c r="Z3296">
        <v>2.799499E-3</v>
      </c>
      <c r="AA3296">
        <v>0.850101199999999</v>
      </c>
      <c r="AB3296">
        <v>31</v>
      </c>
      <c r="AC3296">
        <v>-215.4847</v>
      </c>
      <c r="AD3296">
        <v>-1.1070861863050001</v>
      </c>
      <c r="AE3296">
        <v>-7.234</v>
      </c>
      <c r="AF3296">
        <v>113.67492012641399</v>
      </c>
      <c r="AG3296">
        <v>-1.1070861863050001</v>
      </c>
      <c r="AH3296">
        <v>183.198111457615</v>
      </c>
      <c r="AI3296">
        <v>90.294205421111201</v>
      </c>
      <c r="AJ3296">
        <v>58.180287356205902</v>
      </c>
      <c r="AK3296">
        <v>215.60324938925999</v>
      </c>
      <c r="AL3296">
        <v>78.271398344324496</v>
      </c>
      <c r="AM3296">
        <v>75.274665662936897</v>
      </c>
      <c r="AN3296">
        <v>1.00000004278022</v>
      </c>
    </row>
    <row r="3297" spans="1:40" x14ac:dyDescent="0.25">
      <c r="A3297" t="str">
        <f>"20190303170832696"</f>
        <v>20190303170832696</v>
      </c>
      <c r="B3297" t="str">
        <f>"1551604112686291"</f>
        <v>1551604112686291</v>
      </c>
      <c r="C3297" t="s">
        <v>40</v>
      </c>
      <c r="D3297">
        <v>4.6607629999999904</v>
      </c>
      <c r="E3297">
        <v>0.64558990000000005</v>
      </c>
      <c r="F3297" t="s">
        <v>75</v>
      </c>
      <c r="G3297">
        <v>-550.16330000000005</v>
      </c>
      <c r="H3297">
        <v>4.3220070000000002</v>
      </c>
      <c r="I3297">
        <v>149.90020000000001</v>
      </c>
      <c r="J3297">
        <v>-202.62690000000001</v>
      </c>
      <c r="K3297">
        <v>1.1069719999999901</v>
      </c>
      <c r="L3297">
        <v>142.4144</v>
      </c>
      <c r="M3297">
        <v>-0.84059869999999903</v>
      </c>
      <c r="N3297">
        <v>-3.9999329999999998E-3</v>
      </c>
      <c r="O3297">
        <v>-0.54164389999999996</v>
      </c>
      <c r="P3297">
        <v>-0.9277145</v>
      </c>
      <c r="Q3297">
        <v>0.20737810000000001</v>
      </c>
      <c r="R3297">
        <v>-0.31038759999999999</v>
      </c>
      <c r="S3297">
        <v>-3.2681119999999999</v>
      </c>
      <c r="T3297">
        <v>3.0207629999999999E-2</v>
      </c>
      <c r="U3297">
        <v>6.871033E-2</v>
      </c>
      <c r="V3297">
        <v>0.24793750000000001</v>
      </c>
      <c r="W3297">
        <v>0.20366780000000001</v>
      </c>
      <c r="X3297">
        <v>0.94712540000000001</v>
      </c>
      <c r="Y3297">
        <v>0.55913780000000002</v>
      </c>
      <c r="Z3297">
        <v>-8.5185209999999994E-3</v>
      </c>
      <c r="AA3297">
        <v>0.82903099999999996</v>
      </c>
      <c r="AB3297">
        <v>31</v>
      </c>
      <c r="AC3297">
        <v>-347.53640000000001</v>
      </c>
      <c r="AD3297">
        <v>3.2150349999999999</v>
      </c>
      <c r="AE3297">
        <v>7.48580000000001</v>
      </c>
      <c r="AF3297">
        <v>194.518413917434</v>
      </c>
      <c r="AG3297">
        <v>3.2150349999999999</v>
      </c>
      <c r="AH3297">
        <v>288.06163042963698</v>
      </c>
      <c r="AI3297">
        <v>89.470053437542404</v>
      </c>
      <c r="AJ3297">
        <v>55.970155289843298</v>
      </c>
      <c r="AK3297">
        <v>347.60214718667498</v>
      </c>
      <c r="AL3297">
        <v>78.248476158155</v>
      </c>
      <c r="AM3297">
        <v>75.330352429998399</v>
      </c>
      <c r="AN3297">
        <v>1.00000004999412</v>
      </c>
    </row>
    <row r="3298" spans="1:40" x14ac:dyDescent="0.25">
      <c r="A3298" t="str">
        <f>"20190303170832720"</f>
        <v>20190303170832720</v>
      </c>
      <c r="B3298" t="str">
        <f>"1551604112706788"</f>
        <v>1551604112706788</v>
      </c>
      <c r="C3298" t="s">
        <v>40</v>
      </c>
      <c r="D3298">
        <v>4.6555039999999996</v>
      </c>
      <c r="E3298">
        <v>0.64581809999999995</v>
      </c>
      <c r="F3298" t="s">
        <v>75</v>
      </c>
      <c r="G3298">
        <v>-511.06009999999998</v>
      </c>
      <c r="H3298">
        <v>4.1818200000000001</v>
      </c>
      <c r="I3298">
        <v>152.59020000000001</v>
      </c>
      <c r="J3298">
        <v>-202.917</v>
      </c>
      <c r="K3298">
        <v>1.1068629999999999</v>
      </c>
      <c r="L3298">
        <v>142.2448</v>
      </c>
      <c r="M3298">
        <v>-0.84945419999999905</v>
      </c>
      <c r="N3298">
        <v>-4.0437279999999999E-3</v>
      </c>
      <c r="O3298">
        <v>-0.52764679999999997</v>
      </c>
      <c r="P3298">
        <v>-0.93253319999999995</v>
      </c>
      <c r="Q3298">
        <v>0.20834759999999999</v>
      </c>
      <c r="R3298">
        <v>-0.29491220000000001</v>
      </c>
      <c r="S3298">
        <v>-3.2624819999999999</v>
      </c>
      <c r="T3298">
        <v>3.2524940000000002E-2</v>
      </c>
      <c r="U3298">
        <v>0.1076355</v>
      </c>
      <c r="V3298">
        <v>0.24797449999999999</v>
      </c>
      <c r="W3298">
        <v>0.2046163</v>
      </c>
      <c r="X3298">
        <v>0.94691119999999995</v>
      </c>
      <c r="Y3298">
        <v>0.555307199999999</v>
      </c>
      <c r="Z3298">
        <v>-8.9155209999999992E-3</v>
      </c>
      <c r="AA3298">
        <v>0.83159749999999999</v>
      </c>
      <c r="AB3298">
        <v>31</v>
      </c>
      <c r="AC3298">
        <v>-308.1431</v>
      </c>
      <c r="AD3298">
        <v>3.0749569999999999</v>
      </c>
      <c r="AE3298">
        <v>10.3454</v>
      </c>
      <c r="AF3298">
        <v>171.363025718838</v>
      </c>
      <c r="AG3298">
        <v>3.0749569999999999</v>
      </c>
      <c r="AH3298">
        <v>256.27134622368101</v>
      </c>
      <c r="AI3298">
        <v>89.428530044810103</v>
      </c>
      <c r="AJ3298">
        <v>56.230222114524402</v>
      </c>
      <c r="AK3298">
        <v>308.30138637275797</v>
      </c>
      <c r="AL3298">
        <v>78.192961478144397</v>
      </c>
      <c r="AM3298">
        <v>75.32508206272</v>
      </c>
      <c r="AN3298">
        <v>1.00000000178068</v>
      </c>
    </row>
    <row r="3299" spans="1:40" x14ac:dyDescent="0.25">
      <c r="A3299" t="str">
        <f>"20190303170832743"</f>
        <v>20190303170832743</v>
      </c>
      <c r="B3299" t="str">
        <f>"1551604112736067"</f>
        <v>1551604112736067</v>
      </c>
      <c r="C3299" t="s">
        <v>40</v>
      </c>
      <c r="D3299">
        <v>4.5087289999999998</v>
      </c>
      <c r="E3299">
        <v>0.64383440000000003</v>
      </c>
      <c r="F3299" t="s">
        <v>75</v>
      </c>
      <c r="G3299">
        <v>-511.9264</v>
      </c>
      <c r="H3299">
        <v>3.6503209999999999</v>
      </c>
      <c r="I3299">
        <v>157.52869999999999</v>
      </c>
      <c r="J3299">
        <v>-203.21019999999999</v>
      </c>
      <c r="K3299">
        <v>1.1067560000000001</v>
      </c>
      <c r="L3299">
        <v>142.0795</v>
      </c>
      <c r="M3299">
        <v>-0.85805619999999905</v>
      </c>
      <c r="N3299">
        <v>-4.0947229999999998E-3</v>
      </c>
      <c r="O3299">
        <v>-0.51353959999999998</v>
      </c>
      <c r="P3299">
        <v>-0.93747879999999995</v>
      </c>
      <c r="Q3299">
        <v>0.2077668</v>
      </c>
      <c r="R3299">
        <v>-0.279225099999999</v>
      </c>
      <c r="S3299">
        <v>-3.2620849999999999</v>
      </c>
      <c r="T3299">
        <v>2.6850700000000002E-2</v>
      </c>
      <c r="U3299">
        <v>0.1613464</v>
      </c>
      <c r="V3299">
        <v>0.24831619999999999</v>
      </c>
      <c r="W3299">
        <v>0.20401369999999999</v>
      </c>
      <c r="X3299">
        <v>0.94695169999999995</v>
      </c>
      <c r="Y3299">
        <v>0.55525800000000003</v>
      </c>
      <c r="Z3299">
        <v>-7.3978369999999896E-3</v>
      </c>
      <c r="AA3299">
        <v>0.83164530000000003</v>
      </c>
      <c r="AB3299">
        <v>31</v>
      </c>
      <c r="AC3299">
        <v>-308.71620000000001</v>
      </c>
      <c r="AD3299">
        <v>2.5435650000000001</v>
      </c>
      <c r="AE3299">
        <v>15.4491999999999</v>
      </c>
      <c r="AF3299">
        <v>171.78407254097601</v>
      </c>
      <c r="AG3299">
        <v>2.5435650000000001</v>
      </c>
      <c r="AH3299">
        <v>256.94681203054103</v>
      </c>
      <c r="AI3299">
        <v>89.528499100428306</v>
      </c>
      <c r="AJ3299">
        <v>56.234940941462902</v>
      </c>
      <c r="AK3299">
        <v>309.09205993414099</v>
      </c>
      <c r="AL3299">
        <v>78.228232198873101</v>
      </c>
      <c r="AM3299">
        <v>75.306336351025195</v>
      </c>
      <c r="AN3299">
        <v>1.0000000235515001</v>
      </c>
    </row>
    <row r="3300" spans="1:40" x14ac:dyDescent="0.25">
      <c r="A3300" t="str">
        <f>"20190303170832763"</f>
        <v>20190303170832763</v>
      </c>
      <c r="B3300" t="str">
        <f>"1551604112756564"</f>
        <v>1551604112756564</v>
      </c>
      <c r="C3300" t="s">
        <v>40</v>
      </c>
      <c r="D3300">
        <v>4.4955400000000001</v>
      </c>
      <c r="E3300">
        <v>0.64300500000000005</v>
      </c>
      <c r="F3300" t="s">
        <v>75</v>
      </c>
      <c r="G3300">
        <v>-511.92649999999998</v>
      </c>
      <c r="H3300">
        <v>3.9785539999999999</v>
      </c>
      <c r="I3300">
        <v>161.08709999999999</v>
      </c>
      <c r="J3300">
        <v>-203.471</v>
      </c>
      <c r="K3300">
        <v>1.106668</v>
      </c>
      <c r="L3300">
        <v>141.9376</v>
      </c>
      <c r="M3300">
        <v>-0.86541780000000001</v>
      </c>
      <c r="N3300">
        <v>-4.1508300000000003E-3</v>
      </c>
      <c r="O3300">
        <v>-0.50103370000000003</v>
      </c>
      <c r="P3300">
        <v>-0.94137539999999997</v>
      </c>
      <c r="Q3300">
        <v>0.20747570000000001</v>
      </c>
      <c r="R3300">
        <v>-0.26601979999999997</v>
      </c>
      <c r="S3300">
        <v>-3.2529910000000002</v>
      </c>
      <c r="T3300">
        <v>3.0261039999999999E-2</v>
      </c>
      <c r="U3300">
        <v>0.20028689999999999</v>
      </c>
      <c r="V3300">
        <v>0.24795410000000001</v>
      </c>
      <c r="W3300">
        <v>0.203735</v>
      </c>
      <c r="X3300">
        <v>0.94710649999999996</v>
      </c>
      <c r="Y3300">
        <v>0.55321679999999995</v>
      </c>
      <c r="Z3300">
        <v>-8.0725369999999994E-3</v>
      </c>
      <c r="AA3300">
        <v>0.83299829999999997</v>
      </c>
      <c r="AB3300">
        <v>31</v>
      </c>
      <c r="AC3300">
        <v>-308.45549999999997</v>
      </c>
      <c r="AD3300">
        <v>2.8718859999999999</v>
      </c>
      <c r="AE3300">
        <v>19.1494999999999</v>
      </c>
      <c r="AF3300">
        <v>171.105620107671</v>
      </c>
      <c r="AG3300">
        <v>2.8718859999999999</v>
      </c>
      <c r="AH3300">
        <v>257.32833554835003</v>
      </c>
      <c r="AI3300">
        <v>89.467539988422999</v>
      </c>
      <c r="AJ3300">
        <v>56.378830090480598</v>
      </c>
      <c r="AK3300">
        <v>309.03600637743102</v>
      </c>
      <c r="AL3300">
        <v>78.244542281670903</v>
      </c>
      <c r="AM3300">
        <v>75.329132500448097</v>
      </c>
      <c r="AN3300">
        <v>0.99999995413702802</v>
      </c>
    </row>
    <row r="3301" spans="1:40" x14ac:dyDescent="0.25">
      <c r="A3301" t="str">
        <f>"20190303170832785"</f>
        <v>20190303170832785</v>
      </c>
      <c r="B3301" t="str">
        <f>"1551604112776084"</f>
        <v>1551604112776084</v>
      </c>
      <c r="C3301" t="s">
        <v>40</v>
      </c>
      <c r="D3301">
        <v>4.5179729999999996</v>
      </c>
      <c r="E3301">
        <v>0.63016949999999905</v>
      </c>
      <c r="F3301" t="s">
        <v>77</v>
      </c>
      <c r="G3301">
        <v>-459.58620000000002</v>
      </c>
      <c r="H3301">
        <v>3.5706859999999998</v>
      </c>
      <c r="I3301">
        <v>160.92410000000001</v>
      </c>
      <c r="J3301">
        <v>-203.75229999999999</v>
      </c>
      <c r="K3301">
        <v>1.1065750000000001</v>
      </c>
      <c r="L3301">
        <v>141.78989999999999</v>
      </c>
      <c r="M3301">
        <v>-0.87305859999999902</v>
      </c>
      <c r="N3301">
        <v>-4.2308429999999998E-3</v>
      </c>
      <c r="O3301">
        <v>-0.4875969</v>
      </c>
      <c r="P3301">
        <v>-0.94508559999999997</v>
      </c>
      <c r="Q3301">
        <v>0.20719670000000001</v>
      </c>
      <c r="R3301">
        <v>-0.2527509</v>
      </c>
      <c r="S3301">
        <v>-3.2480159999999998</v>
      </c>
      <c r="T3301">
        <v>3.1248330000000001E-2</v>
      </c>
      <c r="U3301">
        <v>0.24078369999999999</v>
      </c>
      <c r="V3301">
        <v>0.2467085</v>
      </c>
      <c r="W3301">
        <v>0.20351559999999999</v>
      </c>
      <c r="X3301">
        <v>0.94747899999999996</v>
      </c>
      <c r="Y3301">
        <v>0.55075220000000003</v>
      </c>
      <c r="Z3301">
        <v>-8.1466530000000002E-3</v>
      </c>
      <c r="AA3301">
        <v>0.83462899999999995</v>
      </c>
      <c r="AB3301">
        <v>31</v>
      </c>
      <c r="AC3301">
        <v>-255.8339</v>
      </c>
      <c r="AD3301">
        <v>2.4641109999999999</v>
      </c>
      <c r="AE3301">
        <v>19.1342</v>
      </c>
      <c r="AF3301">
        <v>141.437315467639</v>
      </c>
      <c r="AG3301">
        <v>2.4641109999999999</v>
      </c>
      <c r="AH3301">
        <v>214.01038709920601</v>
      </c>
      <c r="AI3301">
        <v>89.449648406611402</v>
      </c>
      <c r="AJ3301">
        <v>56.539684566003302</v>
      </c>
      <c r="AK3301">
        <v>256.53660915367402</v>
      </c>
      <c r="AL3301">
        <v>78.257383355353099</v>
      </c>
      <c r="AM3301">
        <v>75.405170029159606</v>
      </c>
      <c r="AN3301">
        <v>1.0000000694283</v>
      </c>
    </row>
    <row r="3302" spans="1:40" x14ac:dyDescent="0.25">
      <c r="A3302" t="str">
        <f>"20190303170832808"</f>
        <v>20190303170832808</v>
      </c>
      <c r="B3302" t="str">
        <f>"1551604112796580"</f>
        <v>1551604112796580</v>
      </c>
      <c r="C3302" t="s">
        <v>40</v>
      </c>
      <c r="D3302">
        <v>4.5485790000000001</v>
      </c>
      <c r="E3302">
        <v>0.63028059999999997</v>
      </c>
      <c r="F3302" t="s">
        <v>75</v>
      </c>
      <c r="G3302">
        <v>-511.92669999999998</v>
      </c>
      <c r="H3302">
        <v>4.6536860000000004</v>
      </c>
      <c r="I3302">
        <v>159.90049999999999</v>
      </c>
      <c r="J3302">
        <v>-204.0421</v>
      </c>
      <c r="K3302">
        <v>1.1064719999999999</v>
      </c>
      <c r="L3302">
        <v>141.64320000000001</v>
      </c>
      <c r="M3302">
        <v>-0.88061520000000004</v>
      </c>
      <c r="N3302">
        <v>-4.3388560000000003E-3</v>
      </c>
      <c r="O3302">
        <v>-0.47381220000000002</v>
      </c>
      <c r="P3302">
        <v>-0.94862500000000005</v>
      </c>
      <c r="Q3302">
        <v>0.20779449999999999</v>
      </c>
      <c r="R3302">
        <v>-0.23860480000000001</v>
      </c>
      <c r="S3302">
        <v>-3.2167659999999998</v>
      </c>
      <c r="T3302">
        <v>3.702569E-2</v>
      </c>
      <c r="U3302">
        <v>0.18904109999999999</v>
      </c>
      <c r="V3302">
        <v>0.2459778</v>
      </c>
      <c r="W3302">
        <v>0.2041808</v>
      </c>
      <c r="X3302">
        <v>0.94752579999999997</v>
      </c>
      <c r="Y3302">
        <v>0.52458329999999997</v>
      </c>
      <c r="Z3302">
        <v>-9.2842240000000006E-3</v>
      </c>
      <c r="AA3302">
        <v>0.85130849999999902</v>
      </c>
      <c r="AB3302">
        <v>32</v>
      </c>
      <c r="AC3302">
        <v>-307.88459999999998</v>
      </c>
      <c r="AD3302">
        <v>3.5472139999999999</v>
      </c>
      <c r="AE3302">
        <v>18.257299999999901</v>
      </c>
      <c r="AF3302">
        <v>161.93724346030501</v>
      </c>
      <c r="AG3302">
        <v>3.5472139999999999</v>
      </c>
      <c r="AH3302">
        <v>262.445088806831</v>
      </c>
      <c r="AI3302">
        <v>89.340980735851801</v>
      </c>
      <c r="AJ3302">
        <v>58.324050629985898</v>
      </c>
      <c r="AK3302">
        <v>308.405055382542</v>
      </c>
      <c r="AL3302">
        <v>78.218452042816494</v>
      </c>
      <c r="AM3302">
        <v>75.447247229421194</v>
      </c>
      <c r="AN3302">
        <v>1.0000000094235599</v>
      </c>
    </row>
    <row r="3303" spans="1:40" x14ac:dyDescent="0.25">
      <c r="A3303" t="str">
        <f>"20190303170832833"</f>
        <v>20190303170832833</v>
      </c>
      <c r="B3303" t="str">
        <f>"1551604112826836"</f>
        <v>1551604112826836</v>
      </c>
      <c r="C3303" t="s">
        <v>40</v>
      </c>
      <c r="D3303">
        <v>4.506888</v>
      </c>
      <c r="E3303">
        <v>0.62794039999999995</v>
      </c>
      <c r="F3303" t="s">
        <v>77</v>
      </c>
      <c r="G3303">
        <v>-469.14339999999999</v>
      </c>
      <c r="H3303">
        <v>3.1156079999999999</v>
      </c>
      <c r="I3303">
        <v>161.09100000000001</v>
      </c>
      <c r="J3303">
        <v>-204.36340000000001</v>
      </c>
      <c r="K3303">
        <v>1.1063700000000001</v>
      </c>
      <c r="L3303">
        <v>141.48750000000001</v>
      </c>
      <c r="M3303">
        <v>-0.88862569999999996</v>
      </c>
      <c r="N3303">
        <v>-4.487474E-3</v>
      </c>
      <c r="O3303">
        <v>-0.45861109999999999</v>
      </c>
      <c r="P3303">
        <v>-0.95235380000000003</v>
      </c>
      <c r="Q3303">
        <v>0.2077833</v>
      </c>
      <c r="R3303">
        <v>-0.2232674</v>
      </c>
      <c r="S3303">
        <v>-3.2164920000000001</v>
      </c>
      <c r="T3303">
        <v>2.4376990000000001E-2</v>
      </c>
      <c r="U3303">
        <v>0.2359619</v>
      </c>
      <c r="V3303">
        <v>0.24504600000000001</v>
      </c>
      <c r="W3303">
        <v>0.2042765</v>
      </c>
      <c r="X3303">
        <v>0.94774659999999999</v>
      </c>
      <c r="Y3303">
        <v>0.52236300000000002</v>
      </c>
      <c r="Z3303">
        <v>-6.2936829999999996E-3</v>
      </c>
      <c r="AA3303">
        <v>0.85270000000000001</v>
      </c>
      <c r="AB3303">
        <v>32</v>
      </c>
      <c r="AC3303">
        <v>-264.77999999999997</v>
      </c>
      <c r="AD3303">
        <v>2.0092379999999999</v>
      </c>
      <c r="AE3303">
        <v>19.6035</v>
      </c>
      <c r="AF3303">
        <v>138.844673598035</v>
      </c>
      <c r="AG3303">
        <v>2.0092379999999999</v>
      </c>
      <c r="AH3303">
        <v>226.28925923375101</v>
      </c>
      <c r="AI3303">
        <v>89.566390905886806</v>
      </c>
      <c r="AJ3303">
        <v>58.467901836385003</v>
      </c>
      <c r="AK3303">
        <v>265.49709841812802</v>
      </c>
      <c r="AL3303">
        <v>78.212850956703804</v>
      </c>
      <c r="AM3303">
        <v>75.503282997656697</v>
      </c>
      <c r="AN3303">
        <v>1.0000000241899001</v>
      </c>
    </row>
    <row r="3304" spans="1:40" x14ac:dyDescent="0.25">
      <c r="A3304" t="str">
        <f>"20190303170832853"</f>
        <v>20190303170832853</v>
      </c>
      <c r="B3304" t="str">
        <f>"1551604112836597"</f>
        <v>1551604112836597</v>
      </c>
      <c r="C3304" t="s">
        <v>40</v>
      </c>
      <c r="D3304">
        <v>4.5162309999999897</v>
      </c>
      <c r="E3304">
        <v>0.62794039999999995</v>
      </c>
      <c r="F3304" t="s">
        <v>77</v>
      </c>
      <c r="G3304">
        <v>-459.2912</v>
      </c>
      <c r="H3304">
        <v>2.5189029999999999</v>
      </c>
      <c r="I3304">
        <v>162.7921</v>
      </c>
      <c r="J3304">
        <v>-204.63140000000001</v>
      </c>
      <c r="K3304">
        <v>1.106293</v>
      </c>
      <c r="L3304">
        <v>141.36259999999999</v>
      </c>
      <c r="M3304">
        <v>-0.89504059999999896</v>
      </c>
      <c r="N3304">
        <v>-4.6266780000000004E-3</v>
      </c>
      <c r="O3304">
        <v>-0.44596089999999999</v>
      </c>
      <c r="P3304">
        <v>-0.95513369999999997</v>
      </c>
      <c r="Q3304">
        <v>0.20721429999999999</v>
      </c>
      <c r="R3304">
        <v>-0.211618</v>
      </c>
      <c r="S3304">
        <v>-3.2091059999999998</v>
      </c>
      <c r="T3304">
        <v>1.7781379999999999E-2</v>
      </c>
      <c r="U3304">
        <v>0.2681885</v>
      </c>
      <c r="V3304">
        <v>0.24326529999999999</v>
      </c>
      <c r="W3304">
        <v>0.2038461</v>
      </c>
      <c r="X3304">
        <v>0.94829779999999997</v>
      </c>
      <c r="Y3304">
        <v>0.51893279999999997</v>
      </c>
      <c r="Z3304">
        <v>-4.7498269999999999E-3</v>
      </c>
      <c r="AA3304">
        <v>0.85480179999999995</v>
      </c>
      <c r="AB3304">
        <v>32</v>
      </c>
      <c r="AC3304">
        <v>-254.65979999999999</v>
      </c>
      <c r="AD3304">
        <v>1.4126099999999999</v>
      </c>
      <c r="AE3304">
        <v>21.429500000000001</v>
      </c>
      <c r="AF3304">
        <v>132.74593746097599</v>
      </c>
      <c r="AG3304">
        <v>1.4126099999999999</v>
      </c>
      <c r="AH3304">
        <v>218.369783950916</v>
      </c>
      <c r="AI3304">
        <v>89.683290472041307</v>
      </c>
      <c r="AJ3304">
        <v>58.7047840173704</v>
      </c>
      <c r="AK3304">
        <v>255.555946755647</v>
      </c>
      <c r="AL3304">
        <v>78.238040558016493</v>
      </c>
      <c r="AM3304">
        <v>75.6122550340841</v>
      </c>
      <c r="AN3304">
        <v>0.99999997807706897</v>
      </c>
    </row>
    <row r="3305" spans="1:40" x14ac:dyDescent="0.25">
      <c r="A3305" t="str">
        <f>"20190303170832876"</f>
        <v>20190303170832876</v>
      </c>
      <c r="B3305" t="str">
        <f>"1551604112866853"</f>
        <v>1551604112866853</v>
      </c>
      <c r="C3305" t="s">
        <v>40</v>
      </c>
      <c r="D3305">
        <v>4.5161749999999996</v>
      </c>
      <c r="E3305">
        <v>0.61614849999999999</v>
      </c>
      <c r="F3305" t="s">
        <v>82</v>
      </c>
      <c r="G3305">
        <v>-445.53949999999998</v>
      </c>
      <c r="H3305">
        <v>2.4744039999999998</v>
      </c>
      <c r="I3305">
        <v>164.58189999999999</v>
      </c>
      <c r="J3305">
        <v>-204.94820000000001</v>
      </c>
      <c r="K3305">
        <v>1.106206</v>
      </c>
      <c r="L3305">
        <v>141.221</v>
      </c>
      <c r="M3305">
        <v>-0.90231980000000001</v>
      </c>
      <c r="N3305">
        <v>-4.8019320000000001E-3</v>
      </c>
      <c r="O3305">
        <v>-0.43104039999999999</v>
      </c>
      <c r="P3305">
        <v>-0.9582773</v>
      </c>
      <c r="Q3305">
        <v>0.20590839999999999</v>
      </c>
      <c r="R3305">
        <v>-0.19825860000000001</v>
      </c>
      <c r="S3305">
        <v>-3.2054140000000002</v>
      </c>
      <c r="T3305">
        <v>1.820397E-2</v>
      </c>
      <c r="U3305">
        <v>0.30894470000000002</v>
      </c>
      <c r="V3305">
        <v>0.24089869999999999</v>
      </c>
      <c r="W3305">
        <v>0.20272879999999999</v>
      </c>
      <c r="X3305">
        <v>0.94914109999999996</v>
      </c>
      <c r="Y3305">
        <v>0.5155999</v>
      </c>
      <c r="Z3305">
        <v>-4.7196410000000001E-3</v>
      </c>
      <c r="AA3305">
        <v>0.85681649999999998</v>
      </c>
      <c r="AB3305">
        <v>32</v>
      </c>
      <c r="AC3305">
        <v>-240.59129999999999</v>
      </c>
      <c r="AD3305">
        <v>1.368198</v>
      </c>
      <c r="AE3305">
        <v>23.360899999999901</v>
      </c>
      <c r="AF3305">
        <v>124.781019620373</v>
      </c>
      <c r="AG3305">
        <v>1.368198</v>
      </c>
      <c r="AH3305">
        <v>207.01656618584599</v>
      </c>
      <c r="AI3305">
        <v>89.675687813713694</v>
      </c>
      <c r="AJ3305">
        <v>58.9201663332083</v>
      </c>
      <c r="AK3305">
        <v>241.718914234377</v>
      </c>
      <c r="AL3305">
        <v>78.303422496791697</v>
      </c>
      <c r="AM3305">
        <v>75.758644448034204</v>
      </c>
      <c r="AN3305">
        <v>0.99999998886016905</v>
      </c>
    </row>
    <row r="3306" spans="1:40" x14ac:dyDescent="0.25">
      <c r="A3306" t="str">
        <f>"20190303170832898"</f>
        <v>20190303170832898</v>
      </c>
      <c r="B3306" t="str">
        <f>"1551604112886372"</f>
        <v>1551604112886372</v>
      </c>
      <c r="C3306" t="s">
        <v>40</v>
      </c>
      <c r="D3306">
        <v>4.518815</v>
      </c>
      <c r="E3306">
        <v>0.61463619999999997</v>
      </c>
      <c r="F3306" t="s">
        <v>77</v>
      </c>
      <c r="G3306">
        <v>-459.875</v>
      </c>
      <c r="H3306">
        <v>2.083914</v>
      </c>
      <c r="I3306">
        <v>162.3271</v>
      </c>
      <c r="J3306">
        <v>-205.23320000000001</v>
      </c>
      <c r="K3306">
        <v>1.1061219999999901</v>
      </c>
      <c r="L3306">
        <v>141.09880000000001</v>
      </c>
      <c r="M3306">
        <v>-0.90860430000000003</v>
      </c>
      <c r="N3306">
        <v>-4.9672429999999997E-3</v>
      </c>
      <c r="O3306">
        <v>-0.41762890000000003</v>
      </c>
      <c r="P3306">
        <v>-0.96084170000000002</v>
      </c>
      <c r="Q3306">
        <v>0.20581389999999999</v>
      </c>
      <c r="R3306">
        <v>-0.1855377</v>
      </c>
      <c r="S3306">
        <v>-3.1825100000000002</v>
      </c>
      <c r="T3306">
        <v>1.220572E-2</v>
      </c>
      <c r="U3306">
        <v>0.26348880000000002</v>
      </c>
      <c r="V3306">
        <v>0.23947560000000001</v>
      </c>
      <c r="W3306">
        <v>0.20279</v>
      </c>
      <c r="X3306">
        <v>0.94948809999999995</v>
      </c>
      <c r="Y3306">
        <v>0.49116520000000002</v>
      </c>
      <c r="Z3306">
        <v>-3.397574E-3</v>
      </c>
      <c r="AA3306">
        <v>0.87105980000000005</v>
      </c>
      <c r="AB3306">
        <v>32</v>
      </c>
      <c r="AC3306">
        <v>-254.64179999999999</v>
      </c>
      <c r="AD3306">
        <v>0.97779199999999999</v>
      </c>
      <c r="AE3306">
        <v>21.228299999999901</v>
      </c>
      <c r="AF3306">
        <v>125.633588088068</v>
      </c>
      <c r="AG3306">
        <v>0.97779199999999999</v>
      </c>
      <c r="AH3306">
        <v>222.50253135606101</v>
      </c>
      <c r="AI3306">
        <v>89.780749925120702</v>
      </c>
      <c r="AJ3306">
        <v>60.549236535909102</v>
      </c>
      <c r="AK3306">
        <v>255.52324941760699</v>
      </c>
      <c r="AL3306">
        <v>78.299841742131207</v>
      </c>
      <c r="AM3306">
        <v>75.844348042417593</v>
      </c>
      <c r="AN3306">
        <v>0.99999999956848395</v>
      </c>
    </row>
    <row r="3307" spans="1:40" x14ac:dyDescent="0.25">
      <c r="A3307" t="str">
        <f>"20190303170832922"</f>
        <v>20190303170832922</v>
      </c>
      <c r="B3307" t="str">
        <f>"1551604112916628"</f>
        <v>1551604112916628</v>
      </c>
      <c r="C3307" t="s">
        <v>40</v>
      </c>
      <c r="D3307">
        <v>4.5670449999999896</v>
      </c>
      <c r="E3307">
        <v>0.61268959999999995</v>
      </c>
      <c r="F3307" t="s">
        <v>82</v>
      </c>
      <c r="G3307">
        <v>-448.08730000000003</v>
      </c>
      <c r="H3307">
        <v>1.92259</v>
      </c>
      <c r="I3307">
        <v>163.60919999999999</v>
      </c>
      <c r="J3307">
        <v>-205.56129999999999</v>
      </c>
      <c r="K3307">
        <v>1.1060449999999999</v>
      </c>
      <c r="L3307">
        <v>140.9641</v>
      </c>
      <c r="M3307">
        <v>-0.91553989999999996</v>
      </c>
      <c r="N3307">
        <v>-5.1697760000000001E-3</v>
      </c>
      <c r="O3307">
        <v>-0.4021943</v>
      </c>
      <c r="P3307">
        <v>-0.96356240000000004</v>
      </c>
      <c r="Q3307">
        <v>0.20655380000000001</v>
      </c>
      <c r="R3307">
        <v>-0.16995080000000001</v>
      </c>
      <c r="S3307">
        <v>-3.1768339999999999</v>
      </c>
      <c r="T3307">
        <v>1.068091E-2</v>
      </c>
      <c r="U3307">
        <v>0.29446409999999901</v>
      </c>
      <c r="V3307">
        <v>0.2388014</v>
      </c>
      <c r="W3307">
        <v>0.20369200000000001</v>
      </c>
      <c r="X3307">
        <v>0.9494648</v>
      </c>
      <c r="Y3307">
        <v>0.48497109999999899</v>
      </c>
      <c r="Z3307">
        <v>-2.9941210000000002E-3</v>
      </c>
      <c r="AA3307">
        <v>0.874525</v>
      </c>
      <c r="AB3307">
        <v>32</v>
      </c>
      <c r="AC3307">
        <v>-242.52600000000001</v>
      </c>
      <c r="AD3307">
        <v>0.81654499999999997</v>
      </c>
      <c r="AE3307">
        <v>22.6450999999999</v>
      </c>
      <c r="AF3307">
        <v>118.27530168393</v>
      </c>
      <c r="AG3307">
        <v>0.81654499999999997</v>
      </c>
      <c r="AH3307">
        <v>212.93492144922701</v>
      </c>
      <c r="AI3307">
        <v>89.807928576263294</v>
      </c>
      <c r="AJ3307">
        <v>60.9498943167359</v>
      </c>
      <c r="AK3307">
        <v>243.57954451626301</v>
      </c>
      <c r="AL3307">
        <v>78.247058994218193</v>
      </c>
      <c r="AM3307">
        <v>75.882272498148595</v>
      </c>
      <c r="AN3307">
        <v>0.99999997297249898</v>
      </c>
    </row>
    <row r="3308" spans="1:40" x14ac:dyDescent="0.25">
      <c r="A3308" t="str">
        <f>"20190303170832944"</f>
        <v>20190303170832944</v>
      </c>
      <c r="B3308" t="str">
        <f>"1551604112936148"</f>
        <v>1551604112936148</v>
      </c>
      <c r="C3308" t="s">
        <v>40</v>
      </c>
      <c r="D3308">
        <v>4.5586390000000003</v>
      </c>
      <c r="E3308">
        <v>0.60045249999999994</v>
      </c>
      <c r="F3308" t="s">
        <v>82</v>
      </c>
      <c r="G3308">
        <v>-445.65</v>
      </c>
      <c r="H3308">
        <v>1.63578</v>
      </c>
      <c r="I3308">
        <v>165.81569999999999</v>
      </c>
      <c r="J3308">
        <v>-205.87219999999999</v>
      </c>
      <c r="K3308">
        <v>1.1059870000000001</v>
      </c>
      <c r="L3308">
        <v>140.84229999999999</v>
      </c>
      <c r="M3308">
        <v>-0.92182019999999998</v>
      </c>
      <c r="N3308">
        <v>-5.381711E-3</v>
      </c>
      <c r="O3308">
        <v>-0.38758100000000001</v>
      </c>
      <c r="P3308">
        <v>-0.96567780000000003</v>
      </c>
      <c r="Q3308">
        <v>0.20756839999999999</v>
      </c>
      <c r="R3308">
        <v>-0.15614690000000001</v>
      </c>
      <c r="S3308">
        <v>-3.1698300000000001</v>
      </c>
      <c r="T3308">
        <v>6.9944859999999899E-3</v>
      </c>
      <c r="U3308">
        <v>0.3281097</v>
      </c>
      <c r="V3308">
        <v>0.2372822</v>
      </c>
      <c r="W3308">
        <v>0.20491029999999999</v>
      </c>
      <c r="X3308">
        <v>0.94958350000000002</v>
      </c>
      <c r="Y3308">
        <v>0.48042950000000001</v>
      </c>
      <c r="Z3308">
        <v>-2.184606E-3</v>
      </c>
      <c r="AA3308">
        <v>0.87703069999999905</v>
      </c>
      <c r="AB3308">
        <v>32</v>
      </c>
      <c r="AC3308">
        <v>-239.77780000000001</v>
      </c>
      <c r="AD3308">
        <v>0.52979299999999996</v>
      </c>
      <c r="AE3308">
        <v>24.973400000000002</v>
      </c>
      <c r="AF3308">
        <v>115.95539571784001</v>
      </c>
      <c r="AG3308">
        <v>0.52979299999999996</v>
      </c>
      <c r="AH3308">
        <v>211.35479395353201</v>
      </c>
      <c r="AI3308">
        <v>89.874084726510901</v>
      </c>
      <c r="AJ3308">
        <v>61.249544686293099</v>
      </c>
      <c r="AK3308">
        <v>241.07422799595099</v>
      </c>
      <c r="AL3308">
        <v>78.175751234186507</v>
      </c>
      <c r="AM3308">
        <v>75.970212148649296</v>
      </c>
      <c r="AN3308">
        <v>0.999999948477588</v>
      </c>
    </row>
    <row r="3309" spans="1:40" x14ac:dyDescent="0.25">
      <c r="A3309" t="str">
        <f>"20190303170832967"</f>
        <v>20190303170832967</v>
      </c>
      <c r="B3309" t="str">
        <f>"1551604112956644"</f>
        <v>1551604112956644</v>
      </c>
      <c r="C3309" t="s">
        <v>40</v>
      </c>
      <c r="D3309">
        <v>4.7278890000000002</v>
      </c>
      <c r="E3309">
        <v>0.59883319999999995</v>
      </c>
      <c r="F3309" t="s">
        <v>83</v>
      </c>
      <c r="G3309">
        <v>-440.27769999999998</v>
      </c>
      <c r="H3309">
        <v>0.28892679999999998</v>
      </c>
      <c r="I3309">
        <v>161.28890000000001</v>
      </c>
      <c r="J3309">
        <v>-206.18430000000001</v>
      </c>
      <c r="K3309">
        <v>1.105923</v>
      </c>
      <c r="L3309">
        <v>140.72559999999999</v>
      </c>
      <c r="M3309">
        <v>-0.92784239999999996</v>
      </c>
      <c r="N3309">
        <v>-5.6258640000000004E-3</v>
      </c>
      <c r="O3309">
        <v>-0.37292989999999998</v>
      </c>
      <c r="P3309">
        <v>-0.96745919999999996</v>
      </c>
      <c r="Q3309">
        <v>0.2075921</v>
      </c>
      <c r="R3309">
        <v>-0.14466609999999999</v>
      </c>
      <c r="S3309">
        <v>-3.153473</v>
      </c>
      <c r="T3309">
        <v>-1.099145E-2</v>
      </c>
      <c r="U3309">
        <v>0.27507019999999999</v>
      </c>
      <c r="V3309">
        <v>0.23356560000000001</v>
      </c>
      <c r="W3309">
        <v>0.20524590000000001</v>
      </c>
      <c r="X3309">
        <v>0.9504321</v>
      </c>
      <c r="Y3309">
        <v>0.4521461</v>
      </c>
      <c r="Z3309">
        <v>1.214346E-3</v>
      </c>
      <c r="AA3309">
        <v>0.89194300000000004</v>
      </c>
      <c r="AB3309">
        <v>32</v>
      </c>
      <c r="AC3309">
        <v>-234.0934</v>
      </c>
      <c r="AD3309">
        <v>-0.81699619999999995</v>
      </c>
      <c r="AE3309">
        <v>20.563300000000002</v>
      </c>
      <c r="AF3309">
        <v>106.380333952144</v>
      </c>
      <c r="AG3309">
        <v>-0.81699619999999995</v>
      </c>
      <c r="AH3309">
        <v>209.53390856208</v>
      </c>
      <c r="AI3309">
        <v>90.199199325854906</v>
      </c>
      <c r="AJ3309">
        <v>63.083101799654798</v>
      </c>
      <c r="AK3309">
        <v>234.993407932781</v>
      </c>
      <c r="AL3309">
        <v>78.156105497846298</v>
      </c>
      <c r="AM3309">
        <v>76.193343423998897</v>
      </c>
      <c r="AN3309">
        <v>0.99999997284028896</v>
      </c>
    </row>
    <row r="3310" spans="1:40" x14ac:dyDescent="0.25">
      <c r="A3310" t="str">
        <f>"20190303170832987"</f>
        <v>20190303170832987</v>
      </c>
      <c r="B3310" t="str">
        <f>"1551604112976164"</f>
        <v>1551604112976164</v>
      </c>
      <c r="C3310" t="s">
        <v>40</v>
      </c>
      <c r="D3310">
        <v>4.668647</v>
      </c>
      <c r="E3310">
        <v>0.58184259999999999</v>
      </c>
      <c r="F3310" t="s">
        <v>43</v>
      </c>
      <c r="G3310">
        <v>-429.95780000000002</v>
      </c>
      <c r="H3310">
        <v>3.8648990000000001E-2</v>
      </c>
      <c r="I3310">
        <v>162.08709999999999</v>
      </c>
      <c r="J3310">
        <v>-206.48060000000001</v>
      </c>
      <c r="K3310">
        <v>1.1058709999999901</v>
      </c>
      <c r="L3310">
        <v>140.62</v>
      </c>
      <c r="M3310">
        <v>-0.93330590000000002</v>
      </c>
      <c r="N3310">
        <v>-5.9027269999999904E-3</v>
      </c>
      <c r="O3310">
        <v>-0.35903420000000003</v>
      </c>
      <c r="P3310">
        <v>-0.96917319999999996</v>
      </c>
      <c r="Q3310">
        <v>0.20667579999999999</v>
      </c>
      <c r="R3310">
        <v>-0.13412199999999999</v>
      </c>
      <c r="S3310">
        <v>-3.1490939999999998</v>
      </c>
      <c r="T3310">
        <v>-1.501942E-2</v>
      </c>
      <c r="U3310">
        <v>0.30061339999999998</v>
      </c>
      <c r="V3310">
        <v>0.2298114</v>
      </c>
      <c r="W3310">
        <v>0.2046779</v>
      </c>
      <c r="X3310">
        <v>0.95146920000000001</v>
      </c>
      <c r="Y3310">
        <v>0.44609650000000001</v>
      </c>
      <c r="Z3310">
        <v>1.925426E-3</v>
      </c>
      <c r="AA3310">
        <v>0.89498279999999997</v>
      </c>
      <c r="AB3310">
        <v>33</v>
      </c>
      <c r="AC3310">
        <v>-223.47720000000001</v>
      </c>
      <c r="AD3310">
        <v>-1.0672220099999901</v>
      </c>
      <c r="AE3310">
        <v>21.467099999999899</v>
      </c>
      <c r="AF3310">
        <v>100.27079471340799</v>
      </c>
      <c r="AG3310">
        <v>-1.0672220099999901</v>
      </c>
      <c r="AH3310">
        <v>200.86409629738199</v>
      </c>
      <c r="AI3310">
        <v>90.272368077842003</v>
      </c>
      <c r="AJ3310">
        <v>63.471758219897602</v>
      </c>
      <c r="AK3310">
        <v>224.50335502312799</v>
      </c>
      <c r="AL3310">
        <v>78.189355490010001</v>
      </c>
      <c r="AM3310">
        <v>76.421234155318004</v>
      </c>
      <c r="AN3310">
        <v>0.99999998043350402</v>
      </c>
    </row>
    <row r="3311" spans="1:40" x14ac:dyDescent="0.25">
      <c r="A3311" t="str">
        <f>"20190303170833011"</f>
        <v>20190303170833011</v>
      </c>
      <c r="B3311" t="str">
        <f>"1551604112996659"</f>
        <v>1551604112996659</v>
      </c>
      <c r="C3311" t="s">
        <v>40</v>
      </c>
      <c r="D3311">
        <v>4.6048929999999997</v>
      </c>
      <c r="E3311">
        <v>0.5702931</v>
      </c>
      <c r="F3311" t="s">
        <v>43</v>
      </c>
      <c r="G3311">
        <v>-325.10219999999998</v>
      </c>
      <c r="H3311" s="1">
        <v>-4.0706819999999998E-6</v>
      </c>
      <c r="I3311">
        <v>148.24709999999999</v>
      </c>
      <c r="J3311">
        <v>-206.81360000000001</v>
      </c>
      <c r="K3311">
        <v>1.1058269999999999</v>
      </c>
      <c r="L3311">
        <v>140.50749999999999</v>
      </c>
      <c r="M3311">
        <v>-0.93915249999999995</v>
      </c>
      <c r="N3311">
        <v>-6.2854470000000004E-3</v>
      </c>
      <c r="O3311">
        <v>-0.34344340000000001</v>
      </c>
      <c r="P3311">
        <v>-0.97107909999999997</v>
      </c>
      <c r="Q3311">
        <v>0.20624439999999999</v>
      </c>
      <c r="R3311">
        <v>-0.12028800000000001</v>
      </c>
      <c r="S3311">
        <v>-3.1294559999999998</v>
      </c>
      <c r="T3311">
        <v>-2.9175039999999999E-2</v>
      </c>
      <c r="U3311">
        <v>0.2012177</v>
      </c>
      <c r="V3311">
        <v>0.22761290000000001</v>
      </c>
      <c r="W3311">
        <v>0.2046354</v>
      </c>
      <c r="X3311">
        <v>0.95200669999999998</v>
      </c>
      <c r="Y3311">
        <v>0.40297470000000002</v>
      </c>
      <c r="Z3311">
        <v>4.1170060000000003E-3</v>
      </c>
      <c r="AA3311">
        <v>0.91520190000000001</v>
      </c>
      <c r="AB3311">
        <v>33</v>
      </c>
      <c r="AC3311">
        <v>-118.28859999999899</v>
      </c>
      <c r="AD3311">
        <v>-1.105831070682</v>
      </c>
      <c r="AE3311">
        <v>7.7395999999999896</v>
      </c>
      <c r="AF3311">
        <v>47.890875080054201</v>
      </c>
      <c r="AG3311">
        <v>-1.105831070682</v>
      </c>
      <c r="AH3311">
        <v>108.425610335792</v>
      </c>
      <c r="AI3311">
        <v>90.534522616199595</v>
      </c>
      <c r="AJ3311">
        <v>66.169269463229995</v>
      </c>
      <c r="AK3311">
        <v>118.536373130694</v>
      </c>
      <c r="AL3311">
        <v>78.191843666468202</v>
      </c>
      <c r="AM3311">
        <v>76.553711998978201</v>
      </c>
      <c r="AN3311">
        <v>1.0000000180122299</v>
      </c>
    </row>
    <row r="3312" spans="1:40" x14ac:dyDescent="0.25">
      <c r="A3312" t="str">
        <f>"20190303170833034"</f>
        <v>20190303170833034</v>
      </c>
      <c r="B3312" t="str">
        <f>"1551604113026916"</f>
        <v>1551604113026916</v>
      </c>
      <c r="C3312" t="s">
        <v>40</v>
      </c>
      <c r="D3312">
        <v>4.5977119999999996</v>
      </c>
      <c r="E3312">
        <v>0.52438750000000001</v>
      </c>
      <c r="F3312" t="s">
        <v>43</v>
      </c>
      <c r="G3312">
        <v>-323.72710000000001</v>
      </c>
      <c r="H3312" s="1">
        <v>-4.1928830000000003E-6</v>
      </c>
      <c r="I3312">
        <v>146.2979</v>
      </c>
      <c r="J3312">
        <v>-207.148</v>
      </c>
      <c r="K3312">
        <v>1.1058049999999999</v>
      </c>
      <c r="L3312">
        <v>140.40090000000001</v>
      </c>
      <c r="M3312">
        <v>-0.94473240000000003</v>
      </c>
      <c r="N3312">
        <v>-6.7474220000000003E-3</v>
      </c>
      <c r="O3312">
        <v>-0.32777339999999999</v>
      </c>
      <c r="P3312">
        <v>-0.97233130000000001</v>
      </c>
      <c r="Q3312">
        <v>0.20780319999999999</v>
      </c>
      <c r="R3312">
        <v>-0.1067245</v>
      </c>
      <c r="S3312">
        <v>-3.114716</v>
      </c>
      <c r="T3312">
        <v>-2.9460670000000001E-2</v>
      </c>
      <c r="U3312">
        <v>0.1542664</v>
      </c>
      <c r="V3312">
        <v>0.22506889999999999</v>
      </c>
      <c r="W3312">
        <v>0.2066704</v>
      </c>
      <c r="X3312">
        <v>0.95217189999999996</v>
      </c>
      <c r="Y3312">
        <v>0.37408520000000001</v>
      </c>
      <c r="Z3312">
        <v>3.8542939999999999E-3</v>
      </c>
      <c r="AA3312">
        <v>0.9273863</v>
      </c>
      <c r="AB3312">
        <v>33</v>
      </c>
      <c r="AC3312">
        <v>-116.5791</v>
      </c>
      <c r="AD3312">
        <v>-1.1058091928829901</v>
      </c>
      <c r="AE3312">
        <v>5.8969999999999896</v>
      </c>
      <c r="AF3312">
        <v>43.7796774464233</v>
      </c>
      <c r="AG3312">
        <v>-1.1058091928829901</v>
      </c>
      <c r="AH3312">
        <v>108.195913553789</v>
      </c>
      <c r="AI3312">
        <v>90.542816703789796</v>
      </c>
      <c r="AJ3312">
        <v>67.970100996557406</v>
      </c>
      <c r="AK3312">
        <v>116.722914121534</v>
      </c>
      <c r="AL3312">
        <v>78.072699766494296</v>
      </c>
      <c r="AM3312">
        <v>76.700854798411498</v>
      </c>
      <c r="AN3312">
        <v>0.999999995566489</v>
      </c>
    </row>
    <row r="3313" spans="1:40" x14ac:dyDescent="0.25">
      <c r="A3313" t="str">
        <f>"20190303170833053"</f>
        <v>20190303170833053</v>
      </c>
      <c r="B3313" t="str">
        <f>"1551604113046436"</f>
        <v>1551604113046436</v>
      </c>
      <c r="C3313" t="s">
        <v>40</v>
      </c>
      <c r="D3313">
        <v>4.8459370000000002</v>
      </c>
      <c r="E3313">
        <v>0.52330299999999996</v>
      </c>
      <c r="F3313" t="s">
        <v>43</v>
      </c>
      <c r="G3313">
        <v>-357.63729999999998</v>
      </c>
      <c r="H3313" s="1">
        <v>-2.7426630000000001E-6</v>
      </c>
      <c r="I3313">
        <v>132.27789999999999</v>
      </c>
      <c r="J3313">
        <v>-207.41659999999999</v>
      </c>
      <c r="K3313">
        <v>1.1057999999999999</v>
      </c>
      <c r="L3313">
        <v>140.31950000000001</v>
      </c>
      <c r="M3313">
        <v>-0.94901849999999999</v>
      </c>
      <c r="N3313">
        <v>-7.1523369999999999E-3</v>
      </c>
      <c r="O3313">
        <v>-0.31513989999999997</v>
      </c>
      <c r="P3313">
        <v>-0.97312580000000004</v>
      </c>
      <c r="Q3313">
        <v>0.20838709999999999</v>
      </c>
      <c r="R3313">
        <v>-9.7986180000000006E-2</v>
      </c>
      <c r="S3313">
        <v>-3.072006</v>
      </c>
      <c r="T3313">
        <v>-2.2573349999999999E-2</v>
      </c>
      <c r="U3313">
        <v>-0.165817299999999</v>
      </c>
      <c r="V3313">
        <v>0.2209458</v>
      </c>
      <c r="W3313">
        <v>0.20774709999999999</v>
      </c>
      <c r="X3313">
        <v>0.95290300000000006</v>
      </c>
      <c r="Y3313">
        <v>0.26352419999999999</v>
      </c>
      <c r="Z3313">
        <v>1.9027989999999999E-3</v>
      </c>
      <c r="AA3313">
        <v>0.96465089999999998</v>
      </c>
      <c r="AB3313">
        <v>33</v>
      </c>
      <c r="AC3313">
        <v>-150.22069999999999</v>
      </c>
      <c r="AD3313">
        <v>-1.1058027426629999</v>
      </c>
      <c r="AE3313">
        <v>-8.0416000000000096</v>
      </c>
      <c r="AF3313">
        <v>39.707770962889803</v>
      </c>
      <c r="AG3313">
        <v>-1.1058027426629999</v>
      </c>
      <c r="AH3313">
        <v>145.09229325844501</v>
      </c>
      <c r="AI3313">
        <v>90.4211771244575</v>
      </c>
      <c r="AJ3313">
        <v>74.694485112896501</v>
      </c>
      <c r="AK3313">
        <v>150.43172350784801</v>
      </c>
      <c r="AL3313">
        <v>78.009641058362305</v>
      </c>
      <c r="AM3313">
        <v>76.945735030585993</v>
      </c>
      <c r="AN3313">
        <v>1.00000001575252</v>
      </c>
    </row>
    <row r="3314" spans="1:40" x14ac:dyDescent="0.25">
      <c r="A3314" t="str">
        <f>"20190303170833076"</f>
        <v>20190303170833076</v>
      </c>
      <c r="B3314" t="str">
        <f>"1551604113066932"</f>
        <v>1551604113066932</v>
      </c>
      <c r="C3314" t="s">
        <v>40</v>
      </c>
      <c r="D3314">
        <v>4.7313470000000004</v>
      </c>
      <c r="E3314">
        <v>0.52133229999999997</v>
      </c>
      <c r="F3314" t="s">
        <v>58</v>
      </c>
      <c r="G3314">
        <v>-409.2629</v>
      </c>
      <c r="H3314" s="1">
        <v>-6.3837420000000003E-6</v>
      </c>
      <c r="I3314">
        <v>130.79750000000001</v>
      </c>
      <c r="J3314">
        <v>-207.75620000000001</v>
      </c>
      <c r="K3314">
        <v>1.105785</v>
      </c>
      <c r="L3314">
        <v>140.2226</v>
      </c>
      <c r="M3314">
        <v>-0.95419069999999995</v>
      </c>
      <c r="N3314">
        <v>-7.7156050000000004E-3</v>
      </c>
      <c r="O3314">
        <v>-0.29909960000000002</v>
      </c>
      <c r="P3314">
        <v>-0.97421709999999995</v>
      </c>
      <c r="Q3314">
        <v>0.20831069999999999</v>
      </c>
      <c r="R3314">
        <v>-8.6647699999999994E-2</v>
      </c>
      <c r="S3314">
        <v>-3.0718540000000001</v>
      </c>
      <c r="T3314">
        <v>-1.6829009999999998E-2</v>
      </c>
      <c r="U3314">
        <v>-0.14491270000000001</v>
      </c>
      <c r="V3314">
        <v>0.2160397</v>
      </c>
      <c r="W3314">
        <v>0.20834040000000001</v>
      </c>
      <c r="X3314">
        <v>0.95389780000000002</v>
      </c>
      <c r="Y3314">
        <v>0.25380190000000002</v>
      </c>
      <c r="Z3314">
        <v>9.5255359999999996E-4</v>
      </c>
      <c r="AA3314">
        <v>0.9672558</v>
      </c>
      <c r="AB3314">
        <v>33</v>
      </c>
      <c r="AC3314">
        <v>-201.5067</v>
      </c>
      <c r="AD3314">
        <v>-1.1057913837419999</v>
      </c>
      <c r="AE3314">
        <v>-9.4250999999999792</v>
      </c>
      <c r="AF3314">
        <v>51.277216335558101</v>
      </c>
      <c r="AG3314">
        <v>-1.1057913837419999</v>
      </c>
      <c r="AH3314">
        <v>195.09480849276699</v>
      </c>
      <c r="AI3314">
        <v>90.314080159550699</v>
      </c>
      <c r="AJ3314">
        <v>75.273885773687297</v>
      </c>
      <c r="AK3314">
        <v>201.72396979669401</v>
      </c>
      <c r="AL3314">
        <v>77.9748861564767</v>
      </c>
      <c r="AM3314">
        <v>77.238877491633801</v>
      </c>
      <c r="AN3314">
        <v>0.99999994354654298</v>
      </c>
    </row>
    <row r="3315" spans="1:40" x14ac:dyDescent="0.25">
      <c r="A3315" t="str">
        <f>"20190303170833099"</f>
        <v>20190303170833099</v>
      </c>
      <c r="B3315" t="str">
        <f>"1551604113086452"</f>
        <v>1551604113086452</v>
      </c>
      <c r="C3315" t="s">
        <v>40</v>
      </c>
      <c r="D3315">
        <v>4.5300820000000002</v>
      </c>
      <c r="E3315">
        <v>0.51944319999999999</v>
      </c>
      <c r="F3315" t="s">
        <v>58</v>
      </c>
      <c r="G3315">
        <v>-418.17950000000002</v>
      </c>
      <c r="H3315" s="1">
        <v>-6.6984439999999996E-6</v>
      </c>
      <c r="I3315">
        <v>131.7509</v>
      </c>
      <c r="J3315">
        <v>-208.0874</v>
      </c>
      <c r="K3315">
        <v>1.105799</v>
      </c>
      <c r="L3315">
        <v>140.13390000000001</v>
      </c>
      <c r="M3315">
        <v>-0.95897160000000004</v>
      </c>
      <c r="N3315">
        <v>-8.3131860000000002E-3</v>
      </c>
      <c r="O3315">
        <v>-0.28338049999999998</v>
      </c>
      <c r="P3315">
        <v>-0.97543939999999996</v>
      </c>
      <c r="Q3315">
        <v>0.20729400000000001</v>
      </c>
      <c r="R3315">
        <v>-7.4480229999999994E-2</v>
      </c>
      <c r="S3315">
        <v>-3.0718540000000001</v>
      </c>
      <c r="T3315">
        <v>-1.614285E-2</v>
      </c>
      <c r="U3315">
        <v>-0.1236725</v>
      </c>
      <c r="V3315">
        <v>0.2123485</v>
      </c>
      <c r="W3315">
        <v>0.20799570000000001</v>
      </c>
      <c r="X3315">
        <v>0.95480149999999997</v>
      </c>
      <c r="Y3315">
        <v>0.24457280000000001</v>
      </c>
      <c r="Z3315">
        <v>7.4738339999999895E-4</v>
      </c>
      <c r="AA3315">
        <v>0.96963069999999896</v>
      </c>
      <c r="AB3315">
        <v>33</v>
      </c>
      <c r="AC3315">
        <v>-210.09209999999999</v>
      </c>
      <c r="AD3315">
        <v>-1.1058056984439999</v>
      </c>
      <c r="AE3315">
        <v>-8.3830000000000098</v>
      </c>
      <c r="AF3315">
        <v>51.497296795829499</v>
      </c>
      <c r="AG3315">
        <v>-1.1058056984439999</v>
      </c>
      <c r="AH3315">
        <v>203.84932691355701</v>
      </c>
      <c r="AI3315">
        <v>90.301338269133893</v>
      </c>
      <c r="AJ3315">
        <v>75.822326752072698</v>
      </c>
      <c r="AK3315">
        <v>210.25637318909199</v>
      </c>
      <c r="AL3315">
        <v>77.995079056445306</v>
      </c>
      <c r="AM3315">
        <v>77.461449116192099</v>
      </c>
      <c r="AN3315">
        <v>1.00000000053649</v>
      </c>
    </row>
    <row r="3316" spans="1:40" x14ac:dyDescent="0.25">
      <c r="A3316" t="str">
        <f>"20190303170833125"</f>
        <v>20190303170833125</v>
      </c>
      <c r="B3316" t="str">
        <f>"1551604113116708"</f>
        <v>1551604113116708</v>
      </c>
      <c r="C3316" t="s">
        <v>40</v>
      </c>
      <c r="D3316">
        <v>4.8918879999999998</v>
      </c>
      <c r="E3316">
        <v>0.51775760000000004</v>
      </c>
      <c r="F3316" t="s">
        <v>58</v>
      </c>
      <c r="G3316">
        <v>-408.83640000000003</v>
      </c>
      <c r="H3316" s="1">
        <v>-7.2893669999999998E-6</v>
      </c>
      <c r="I3316">
        <v>133.46260000000001</v>
      </c>
      <c r="J3316">
        <v>-208.46530000000001</v>
      </c>
      <c r="K3316">
        <v>1.10585</v>
      </c>
      <c r="L3316">
        <v>140.03960000000001</v>
      </c>
      <c r="M3316">
        <v>-0.96410790000000002</v>
      </c>
      <c r="N3316">
        <v>-9.0311209999999996E-3</v>
      </c>
      <c r="O3316">
        <v>-0.26535730000000002</v>
      </c>
      <c r="P3316">
        <v>-0.97656350000000003</v>
      </c>
      <c r="Q3316">
        <v>0.2068257</v>
      </c>
      <c r="R3316">
        <v>-5.9555339999999998E-2</v>
      </c>
      <c r="S3316">
        <v>-3.0713200000000001</v>
      </c>
      <c r="T3316">
        <v>-1.6918059999999999E-2</v>
      </c>
      <c r="U3316">
        <v>-0.102066</v>
      </c>
      <c r="V3316">
        <v>0.20910819999999999</v>
      </c>
      <c r="W3316">
        <v>0.2083092</v>
      </c>
      <c r="X3316">
        <v>0.95544810000000002</v>
      </c>
      <c r="Y3316">
        <v>0.23318800000000001</v>
      </c>
      <c r="Z3316">
        <v>7.2132339999999998E-4</v>
      </c>
      <c r="AA3316">
        <v>0.97243139999999995</v>
      </c>
      <c r="AB3316">
        <v>33</v>
      </c>
      <c r="AC3316">
        <v>-200.37110000000001</v>
      </c>
      <c r="AD3316">
        <v>-1.105857289367</v>
      </c>
      <c r="AE3316">
        <v>-6.5769999999999902</v>
      </c>
      <c r="AF3316">
        <v>46.829479024356999</v>
      </c>
      <c r="AG3316">
        <v>-1.105857289367</v>
      </c>
      <c r="AH3316">
        <v>194.926624167797</v>
      </c>
      <c r="AI3316">
        <v>90.316054232790407</v>
      </c>
      <c r="AJ3316">
        <v>76.491180091481496</v>
      </c>
      <c r="AK3316">
        <v>200.47596323622099</v>
      </c>
      <c r="AL3316">
        <v>77.976714781603604</v>
      </c>
      <c r="AM3316">
        <v>77.654965159444302</v>
      </c>
      <c r="AN3316">
        <v>1.0000000169527401</v>
      </c>
    </row>
    <row r="3317" spans="1:40" x14ac:dyDescent="0.25">
      <c r="A3317" t="str">
        <f>"20190303170833147"</f>
        <v>20190303170833147</v>
      </c>
      <c r="B3317" t="str">
        <f>"1551604113136228"</f>
        <v>1551604113136228</v>
      </c>
      <c r="C3317" t="s">
        <v>40</v>
      </c>
      <c r="D3317">
        <v>4.8349060000000001</v>
      </c>
      <c r="E3317">
        <v>0.51700279999999998</v>
      </c>
      <c r="F3317" t="s">
        <v>58</v>
      </c>
      <c r="G3317">
        <v>-409.0598</v>
      </c>
      <c r="H3317" s="1">
        <v>-8.3059770000000002E-6</v>
      </c>
      <c r="I3317">
        <v>135.47030000000001</v>
      </c>
      <c r="J3317">
        <v>-208.78270000000001</v>
      </c>
      <c r="K3317">
        <v>1.105917</v>
      </c>
      <c r="L3317">
        <v>139.96629999999999</v>
      </c>
      <c r="M3317">
        <v>-0.9681514</v>
      </c>
      <c r="N3317">
        <v>-9.6412549999999996E-3</v>
      </c>
      <c r="O3317">
        <v>-0.25018020000000002</v>
      </c>
      <c r="P3317">
        <v>-0.97748990000000002</v>
      </c>
      <c r="Q3317">
        <v>0.2054782</v>
      </c>
      <c r="R3317">
        <v>-4.7877629999999997E-2</v>
      </c>
      <c r="S3317">
        <v>-3.0713200000000001</v>
      </c>
      <c r="T3317">
        <v>-1.6931890000000002E-2</v>
      </c>
      <c r="U3317">
        <v>-6.9961549999999997E-2</v>
      </c>
      <c r="V3317">
        <v>0.20556479999999999</v>
      </c>
      <c r="W3317">
        <v>0.20767289999999999</v>
      </c>
      <c r="X3317">
        <v>0.95635510000000001</v>
      </c>
      <c r="Y3317">
        <v>0.22806650000000001</v>
      </c>
      <c r="Z3317">
        <v>6.6207789999999896E-4</v>
      </c>
      <c r="AA3317">
        <v>0.97364530000000005</v>
      </c>
      <c r="AB3317">
        <v>33</v>
      </c>
      <c r="AC3317">
        <v>-200.27709999999999</v>
      </c>
      <c r="AD3317">
        <v>-1.105925305977</v>
      </c>
      <c r="AE3317">
        <v>-4.49599999999998</v>
      </c>
      <c r="AF3317">
        <v>45.753283383735301</v>
      </c>
      <c r="AG3317">
        <v>-1.105925305977</v>
      </c>
      <c r="AH3317">
        <v>195.02646443566101</v>
      </c>
      <c r="AI3317">
        <v>90.316312644521304</v>
      </c>
      <c r="AJ3317">
        <v>76.797148791667794</v>
      </c>
      <c r="AK3317">
        <v>200.324506342706</v>
      </c>
      <c r="AL3317">
        <v>78.0139869866954</v>
      </c>
      <c r="AM3317">
        <v>77.869071598267695</v>
      </c>
      <c r="AN3317">
        <v>0.99999999884473001</v>
      </c>
    </row>
    <row r="3318" spans="1:40" x14ac:dyDescent="0.25">
      <c r="A3318" t="str">
        <f>"20190303170833190"</f>
        <v>20190303170833190</v>
      </c>
      <c r="B3318" t="str">
        <f>"1551604113177220"</f>
        <v>1551604113177220</v>
      </c>
      <c r="C3318" t="s">
        <v>40</v>
      </c>
      <c r="D3318">
        <v>4.8937039999999996</v>
      </c>
      <c r="E3318">
        <v>0.51495859999999904</v>
      </c>
      <c r="F3318" t="s">
        <v>43</v>
      </c>
      <c r="G3318">
        <v>-363.529</v>
      </c>
      <c r="H3318" s="1">
        <v>-3.048878E-6</v>
      </c>
      <c r="I3318">
        <v>137.97839999999999</v>
      </c>
      <c r="J3318">
        <v>-209.40950000000001</v>
      </c>
      <c r="K3318">
        <v>1.106136</v>
      </c>
      <c r="L3318">
        <v>139.83680000000001</v>
      </c>
      <c r="M3318">
        <v>-0.97537169999999895</v>
      </c>
      <c r="N3318">
        <v>-1.079537E-2</v>
      </c>
      <c r="O3318">
        <v>-0.2203041</v>
      </c>
      <c r="P3318">
        <v>-0.97863690000000003</v>
      </c>
      <c r="Q3318">
        <v>0.2044163</v>
      </c>
      <c r="R3318">
        <v>-2.200154E-2</v>
      </c>
      <c r="S3318">
        <v>-3.0717620000000001</v>
      </c>
      <c r="T3318">
        <v>-2.1952869999999999E-2</v>
      </c>
      <c r="U3318">
        <v>-3.9459229999999998E-2</v>
      </c>
      <c r="V3318">
        <v>0.2014638</v>
      </c>
      <c r="W3318">
        <v>0.20791589999999999</v>
      </c>
      <c r="X3318">
        <v>0.95717470000000004</v>
      </c>
      <c r="Y3318">
        <v>0.207755</v>
      </c>
      <c r="Z3318">
        <v>1.033974E-3</v>
      </c>
      <c r="AA3318">
        <v>0.9781803</v>
      </c>
      <c r="AB3318">
        <v>33</v>
      </c>
      <c r="AC3318">
        <v>-154.11949999999999</v>
      </c>
      <c r="AD3318">
        <v>-1.1061390488779901</v>
      </c>
      <c r="AE3318">
        <v>-1.85840000000001</v>
      </c>
      <c r="AF3318">
        <v>32.140738325000697</v>
      </c>
      <c r="AG3318">
        <v>-1.1061390488779901</v>
      </c>
      <c r="AH3318">
        <v>150.73420306148799</v>
      </c>
      <c r="AI3318">
        <v>90.4112047332071</v>
      </c>
      <c r="AJ3318">
        <v>77.963202634656</v>
      </c>
      <c r="AK3318">
        <v>154.126735436308</v>
      </c>
      <c r="AL3318">
        <v>77.999753994777905</v>
      </c>
      <c r="AM3318">
        <v>78.114016664002094</v>
      </c>
      <c r="AN3318">
        <v>1.00000004525166</v>
      </c>
    </row>
    <row r="3319" spans="1:40" x14ac:dyDescent="0.25">
      <c r="A3319" t="str">
        <f>"20190303170833214"</f>
        <v>20190303170833214</v>
      </c>
      <c r="B3319" t="str">
        <f>"1551604113206501"</f>
        <v>1551604113206501</v>
      </c>
      <c r="C3319" t="s">
        <v>40</v>
      </c>
      <c r="D3319">
        <v>4.8361150000000004</v>
      </c>
      <c r="E3319">
        <v>0.50332710000000003</v>
      </c>
      <c r="F3319" t="s">
        <v>43</v>
      </c>
      <c r="G3319">
        <v>-358.15710000000001</v>
      </c>
      <c r="H3319" s="1">
        <v>-1.1727549999999901E-6</v>
      </c>
      <c r="I3319">
        <v>141.1191</v>
      </c>
      <c r="J3319">
        <v>-209.75</v>
      </c>
      <c r="K3319">
        <v>1.106295</v>
      </c>
      <c r="L3319">
        <v>139.77500000000001</v>
      </c>
      <c r="M3319">
        <v>-0.97886249999999997</v>
      </c>
      <c r="N3319">
        <v>-1.135686E-2</v>
      </c>
      <c r="O3319">
        <v>-0.2042041</v>
      </c>
      <c r="P3319">
        <v>-0.97890100000000002</v>
      </c>
      <c r="Q3319">
        <v>0.2042166</v>
      </c>
      <c r="R3319">
        <v>-6.9527390000000003E-3</v>
      </c>
      <c r="S3319">
        <v>-3.0708470000000001</v>
      </c>
      <c r="T3319">
        <v>-2.2835850000000001E-2</v>
      </c>
      <c r="U3319">
        <v>2.6474000000000001E-2</v>
      </c>
      <c r="V3319">
        <v>0.20037940000000001</v>
      </c>
      <c r="W3319">
        <v>0.20834040000000001</v>
      </c>
      <c r="X3319">
        <v>0.95730999999999999</v>
      </c>
      <c r="Y3319">
        <v>0.2126325</v>
      </c>
      <c r="Z3319">
        <v>1.1778260000000001E-3</v>
      </c>
      <c r="AA3319">
        <v>0.97713150000000004</v>
      </c>
      <c r="AB3319">
        <v>33</v>
      </c>
      <c r="AC3319">
        <v>-148.40710000000001</v>
      </c>
      <c r="AD3319">
        <v>-1.106296172755</v>
      </c>
      <c r="AE3319">
        <v>1.3440999999999901</v>
      </c>
      <c r="AF3319">
        <v>31.621308391438401</v>
      </c>
      <c r="AG3319">
        <v>-1.106296172755</v>
      </c>
      <c r="AH3319">
        <v>144.99696276953401</v>
      </c>
      <c r="AI3319">
        <v>90.427107933807093</v>
      </c>
      <c r="AJ3319">
        <v>77.697413114412797</v>
      </c>
      <c r="AK3319">
        <v>148.40906390109001</v>
      </c>
      <c r="AL3319">
        <v>77.974887225764107</v>
      </c>
      <c r="AM3319">
        <v>78.177812659528996</v>
      </c>
      <c r="AN3319">
        <v>1.00000003115825</v>
      </c>
    </row>
    <row r="3320" spans="1:40" x14ac:dyDescent="0.25">
      <c r="A3320" t="str">
        <f>"20190303170833232"</f>
        <v>20190303170833232</v>
      </c>
      <c r="B3320" t="str">
        <f>"1551604113226996"</f>
        <v>1551604113226996</v>
      </c>
      <c r="C3320" t="s">
        <v>40</v>
      </c>
      <c r="D3320">
        <v>4.8380789999999996</v>
      </c>
      <c r="E3320">
        <v>0.5016621</v>
      </c>
      <c r="F3320" t="s">
        <v>43</v>
      </c>
      <c r="G3320">
        <v>-330.0806</v>
      </c>
      <c r="H3320" s="1">
        <v>-4.7975560000000001E-6</v>
      </c>
      <c r="I3320">
        <v>138.89410000000001</v>
      </c>
      <c r="J3320">
        <v>-210.0333</v>
      </c>
      <c r="K3320">
        <v>1.1064179999999999</v>
      </c>
      <c r="L3320">
        <v>139.72749999999999</v>
      </c>
      <c r="M3320">
        <v>-0.98154269999999999</v>
      </c>
      <c r="N3320">
        <v>-1.1784330000000001E-2</v>
      </c>
      <c r="O3320">
        <v>-0.19087950000000001</v>
      </c>
      <c r="P3320">
        <v>-0.97906210000000005</v>
      </c>
      <c r="Q3320">
        <v>0.20352229999999999</v>
      </c>
      <c r="R3320">
        <v>4.0231859999999998E-3</v>
      </c>
      <c r="S3320">
        <v>-3.070389</v>
      </c>
      <c r="T3320">
        <v>-2.8228639999999999E-2</v>
      </c>
      <c r="U3320">
        <v>-2.2476200000000002E-2</v>
      </c>
      <c r="V3320">
        <v>0.19806889999999999</v>
      </c>
      <c r="W3320">
        <v>0.20818320000000001</v>
      </c>
      <c r="X3320">
        <v>0.95782489999999998</v>
      </c>
      <c r="Y3320">
        <v>0.18368399999999999</v>
      </c>
      <c r="Z3320">
        <v>1.41287799999999E-3</v>
      </c>
      <c r="AA3320">
        <v>0.98298439999999998</v>
      </c>
      <c r="AB3320">
        <v>33</v>
      </c>
      <c r="AC3320">
        <v>-120.04730000000001</v>
      </c>
      <c r="AD3320">
        <v>-1.1064227975559999</v>
      </c>
      <c r="AE3320">
        <v>-0.83339999999998304</v>
      </c>
      <c r="AF3320">
        <v>22.096209301502299</v>
      </c>
      <c r="AG3320">
        <v>-1.1064227975559999</v>
      </c>
      <c r="AH3320">
        <v>117.988805809921</v>
      </c>
      <c r="AI3320">
        <v>90.528086999268396</v>
      </c>
      <c r="AJ3320">
        <v>79.392866656735407</v>
      </c>
      <c r="AK3320">
        <v>120.04509541565599</v>
      </c>
      <c r="AL3320">
        <v>77.984096107627295</v>
      </c>
      <c r="AM3320">
        <v>78.316468734965497</v>
      </c>
      <c r="AN3320">
        <v>1.0000000364847199</v>
      </c>
    </row>
    <row r="3321" spans="1:40" x14ac:dyDescent="0.25">
      <c r="A3321" t="str">
        <f>"20190303170833256"</f>
        <v>20190303170833256</v>
      </c>
      <c r="B3321" t="str">
        <f>"1551604113246516"</f>
        <v>1551604113246516</v>
      </c>
      <c r="C3321" t="s">
        <v>40</v>
      </c>
      <c r="D3321">
        <v>4.7749230000000003</v>
      </c>
      <c r="E3321">
        <v>0.50051749999999995</v>
      </c>
      <c r="F3321" t="s">
        <v>58</v>
      </c>
      <c r="G3321">
        <v>-312.94639999999998</v>
      </c>
      <c r="H3321" s="1">
        <v>-8.3690400000000001E-6</v>
      </c>
      <c r="I3321">
        <v>139.64519999999999</v>
      </c>
      <c r="J3321">
        <v>-210.38570000000001</v>
      </c>
      <c r="K3321">
        <v>1.106611</v>
      </c>
      <c r="L3321">
        <v>139.67410000000001</v>
      </c>
      <c r="M3321">
        <v>-0.98457209999999995</v>
      </c>
      <c r="N3321">
        <v>-1.2268609999999999E-2</v>
      </c>
      <c r="O3321">
        <v>-0.17454909999999901</v>
      </c>
      <c r="P3321">
        <v>-0.97925320000000005</v>
      </c>
      <c r="Q3321">
        <v>0.20200360000000001</v>
      </c>
      <c r="R3321">
        <v>1.605475E-2</v>
      </c>
      <c r="S3321">
        <v>-3.0710449999999998</v>
      </c>
      <c r="T3321">
        <v>-3.3017039999999998E-2</v>
      </c>
      <c r="U3321">
        <v>-2.4566649999999998E-3</v>
      </c>
      <c r="V3321">
        <v>0.19385920000000001</v>
      </c>
      <c r="W3321">
        <v>0.20735809999999999</v>
      </c>
      <c r="X3321">
        <v>0.95886459999999996</v>
      </c>
      <c r="Y3321">
        <v>0.17375299999999999</v>
      </c>
      <c r="Z3321">
        <v>1.7193079999999999E-3</v>
      </c>
      <c r="AA3321">
        <v>0.98478779999999999</v>
      </c>
      <c r="AB3321">
        <v>33</v>
      </c>
      <c r="AC3321">
        <v>-102.560699999999</v>
      </c>
      <c r="AD3321">
        <v>-1.1066193690399999</v>
      </c>
      <c r="AE3321">
        <v>-2.8900000000021402E-2</v>
      </c>
      <c r="AF3321">
        <v>17.872687133062598</v>
      </c>
      <c r="AG3321">
        <v>-1.1066193690399999</v>
      </c>
      <c r="AH3321">
        <v>100.97928643605201</v>
      </c>
      <c r="AI3321">
        <v>90.618263499479795</v>
      </c>
      <c r="AJ3321">
        <v>79.962961624133598</v>
      </c>
      <c r="AK3321">
        <v>102.554735828817</v>
      </c>
      <c r="AL3321">
        <v>78.032425637088807</v>
      </c>
      <c r="AM3321">
        <v>78.570249464169294</v>
      </c>
      <c r="AN3321">
        <v>1.0000000460967</v>
      </c>
    </row>
    <row r="3322" spans="1:40" x14ac:dyDescent="0.25">
      <c r="A3322" t="str">
        <f>"20190303170833278"</f>
        <v>20190303170833278</v>
      </c>
      <c r="B3322" t="str">
        <f>"1551604113267013"</f>
        <v>1551604113267013</v>
      </c>
      <c r="C3322" t="s">
        <v>40</v>
      </c>
      <c r="D3322">
        <v>4.7736530000000004</v>
      </c>
      <c r="E3322">
        <v>0.4992299</v>
      </c>
      <c r="F3322" t="s">
        <v>58</v>
      </c>
      <c r="G3322">
        <v>-292.1952</v>
      </c>
      <c r="H3322" s="1">
        <v>-8.9353799999999995E-6</v>
      </c>
      <c r="I3322">
        <v>140.38650000000001</v>
      </c>
      <c r="J3322">
        <v>-210.71090000000001</v>
      </c>
      <c r="K3322">
        <v>1.1068340000000001</v>
      </c>
      <c r="L3322">
        <v>139.62979999999999</v>
      </c>
      <c r="M3322">
        <v>-0.98707370000000005</v>
      </c>
      <c r="N3322">
        <v>-1.2669390000000001E-2</v>
      </c>
      <c r="O3322">
        <v>-0.15976580000000001</v>
      </c>
      <c r="P3322">
        <v>-0.97901309999999997</v>
      </c>
      <c r="Q3322">
        <v>0.20182520000000001</v>
      </c>
      <c r="R3322">
        <v>2.8284989999999999E-2</v>
      </c>
      <c r="S3322">
        <v>-3.0716709999999998</v>
      </c>
      <c r="T3322">
        <v>-4.1549799999999998E-2</v>
      </c>
      <c r="U3322">
        <v>2.674866E-2</v>
      </c>
      <c r="V3322">
        <v>0.19136410000000001</v>
      </c>
      <c r="W3322">
        <v>0.20774529999999999</v>
      </c>
      <c r="X3322">
        <v>0.95928190000000002</v>
      </c>
      <c r="Y3322">
        <v>0.16833890000000001</v>
      </c>
      <c r="Z3322">
        <v>2.3290049999999999E-3</v>
      </c>
      <c r="AA3322">
        <v>0.9857264</v>
      </c>
      <c r="AB3322">
        <v>33</v>
      </c>
      <c r="AC3322">
        <v>-81.484299999999905</v>
      </c>
      <c r="AD3322">
        <v>-1.10684293537999</v>
      </c>
      <c r="AE3322">
        <v>0.75670000000002302</v>
      </c>
      <c r="AF3322">
        <v>13.763887776356199</v>
      </c>
      <c r="AG3322">
        <v>-1.10684293537999</v>
      </c>
      <c r="AH3322">
        <v>80.301741014776894</v>
      </c>
      <c r="AI3322">
        <v>90.778340030685001</v>
      </c>
      <c r="AJ3322">
        <v>80.273894348363001</v>
      </c>
      <c r="AK3322">
        <v>81.4803001835906</v>
      </c>
      <c r="AL3322">
        <v>78.009746859736694</v>
      </c>
      <c r="AM3322">
        <v>78.718342229596104</v>
      </c>
      <c r="AN3322">
        <v>1.00000004605425</v>
      </c>
    </row>
    <row r="3323" spans="1:40" x14ac:dyDescent="0.25">
      <c r="A3323" t="str">
        <f>"20190303170833302"</f>
        <v>20190303170833302</v>
      </c>
      <c r="B3323" t="str">
        <f>"1551604113296293"</f>
        <v>1551604113296293</v>
      </c>
      <c r="C3323" t="s">
        <v>40</v>
      </c>
      <c r="D3323">
        <v>4.7641460000000002</v>
      </c>
      <c r="E3323">
        <v>0.49201810000000001</v>
      </c>
      <c r="F3323" t="s">
        <v>58</v>
      </c>
      <c r="G3323">
        <v>-292.80029999999999</v>
      </c>
      <c r="H3323" s="1">
        <v>-9.0667329999999994E-6</v>
      </c>
      <c r="I3323">
        <v>141.08619999999999</v>
      </c>
      <c r="J3323">
        <v>-211.06309999999999</v>
      </c>
      <c r="K3323">
        <v>1.107146</v>
      </c>
      <c r="L3323">
        <v>139.58699999999999</v>
      </c>
      <c r="M3323">
        <v>-0.98947200000000002</v>
      </c>
      <c r="N3323">
        <v>-1.30542E-2</v>
      </c>
      <c r="O3323">
        <v>-0.14413480000000001</v>
      </c>
      <c r="P3323">
        <v>-0.97846219999999995</v>
      </c>
      <c r="Q3323">
        <v>0.20193820000000001</v>
      </c>
      <c r="R3323">
        <v>4.2810719999999997E-2</v>
      </c>
      <c r="S3323">
        <v>-3.0712739999999998</v>
      </c>
      <c r="T3323">
        <v>-4.1411160000000002E-2</v>
      </c>
      <c r="U3323">
        <v>5.4489139999999998E-2</v>
      </c>
      <c r="V3323">
        <v>0.1902981</v>
      </c>
      <c r="W3323">
        <v>0.2083894</v>
      </c>
      <c r="X3323">
        <v>0.95935420000000005</v>
      </c>
      <c r="Y3323">
        <v>0.16164919999999999</v>
      </c>
      <c r="Z3323">
        <v>2.1978499999999999E-3</v>
      </c>
      <c r="AA3323">
        <v>0.98684590000000005</v>
      </c>
      <c r="AB3323">
        <v>33</v>
      </c>
      <c r="AC3323">
        <v>-81.737200000000001</v>
      </c>
      <c r="AD3323">
        <v>-1.1071550667329999</v>
      </c>
      <c r="AE3323">
        <v>1.4991999999999699</v>
      </c>
      <c r="AF3323">
        <v>13.263288491925101</v>
      </c>
      <c r="AG3323">
        <v>-1.1071550667329999</v>
      </c>
      <c r="AH3323">
        <v>80.652661037885593</v>
      </c>
      <c r="AI3323">
        <v>90.776052990135298</v>
      </c>
      <c r="AJ3323">
        <v>80.661323880674303</v>
      </c>
      <c r="AK3323">
        <v>81.743454456328806</v>
      </c>
      <c r="AL3323">
        <v>77.972016286873298</v>
      </c>
      <c r="AM3323">
        <v>78.780412463839696</v>
      </c>
      <c r="AN3323">
        <v>0.99999999497680503</v>
      </c>
    </row>
    <row r="3324" spans="1:40" x14ac:dyDescent="0.25">
      <c r="A3324" t="str">
        <f>"20190303170833323"</f>
        <v>20190303170833323</v>
      </c>
      <c r="B3324" t="str">
        <f>"1551604113316788"</f>
        <v>1551604113316788</v>
      </c>
      <c r="C3324" t="s">
        <v>40</v>
      </c>
      <c r="D3324">
        <v>4.7673370000000004</v>
      </c>
      <c r="E3324">
        <v>0.49117369999999999</v>
      </c>
      <c r="F3324" t="s">
        <v>58</v>
      </c>
      <c r="G3324">
        <v>-293.60750000000002</v>
      </c>
      <c r="H3324" s="1">
        <v>-8.8805449999999904E-6</v>
      </c>
      <c r="I3324">
        <v>140.649</v>
      </c>
      <c r="J3324">
        <v>-211.37809999999999</v>
      </c>
      <c r="K3324">
        <v>1.1074820000000001</v>
      </c>
      <c r="L3324">
        <v>139.5532</v>
      </c>
      <c r="M3324">
        <v>-0.9913516</v>
      </c>
      <c r="N3324">
        <v>-1.336037E-2</v>
      </c>
      <c r="O3324">
        <v>-0.1305518</v>
      </c>
      <c r="P3324">
        <v>-0.97785730000000004</v>
      </c>
      <c r="Q3324">
        <v>0.20194999999999999</v>
      </c>
      <c r="R3324">
        <v>5.487641E-2</v>
      </c>
      <c r="S3324">
        <v>-3.0728149999999999</v>
      </c>
      <c r="T3324">
        <v>-4.1215179999999997E-2</v>
      </c>
      <c r="U3324">
        <v>3.9535519999999998E-2</v>
      </c>
      <c r="V3324">
        <v>0.18882779999999999</v>
      </c>
      <c r="W3324">
        <v>0.20888080000000001</v>
      </c>
      <c r="X3324">
        <v>0.95953790000000005</v>
      </c>
      <c r="Y3324">
        <v>0.14328199999999999</v>
      </c>
      <c r="Z3324">
        <v>1.918061E-3</v>
      </c>
      <c r="AA3324">
        <v>0.98968009999999995</v>
      </c>
      <c r="AB3324">
        <v>33</v>
      </c>
      <c r="AC3324">
        <v>-82.229399999999998</v>
      </c>
      <c r="AD3324">
        <v>-1.1074908805449999</v>
      </c>
      <c r="AE3324">
        <v>1.0957999999999899</v>
      </c>
      <c r="AF3324">
        <v>11.8204291078621</v>
      </c>
      <c r="AG3324">
        <v>-1.1074908805449999</v>
      </c>
      <c r="AH3324">
        <v>81.367684327310599</v>
      </c>
      <c r="AI3324">
        <v>90.771701965462796</v>
      </c>
      <c r="AJ3324">
        <v>81.734361637610704</v>
      </c>
      <c r="AK3324">
        <v>82.229247431393603</v>
      </c>
      <c r="AL3324">
        <v>77.943228327319503</v>
      </c>
      <c r="AM3324">
        <v>78.867002473047606</v>
      </c>
      <c r="AN3324">
        <v>1.00000005409894</v>
      </c>
    </row>
    <row r="3325" spans="1:40" x14ac:dyDescent="0.25">
      <c r="A3325" t="str">
        <f>"20190303170833346"</f>
        <v>20190303170833346</v>
      </c>
      <c r="B3325" t="str">
        <f>"1551604113336308"</f>
        <v>1551604113336308</v>
      </c>
      <c r="C3325" t="s">
        <v>40</v>
      </c>
      <c r="D3325">
        <v>4.7089349999999897</v>
      </c>
      <c r="E3325">
        <v>0.49040309999999998</v>
      </c>
      <c r="F3325" t="s">
        <v>58</v>
      </c>
      <c r="G3325">
        <v>-291.70819999999998</v>
      </c>
      <c r="H3325" s="1">
        <v>-9.2316600000000006E-6</v>
      </c>
      <c r="I3325">
        <v>141.34780000000001</v>
      </c>
      <c r="J3325">
        <v>-211.70590000000001</v>
      </c>
      <c r="K3325">
        <v>1.107883</v>
      </c>
      <c r="L3325">
        <v>139.5222</v>
      </c>
      <c r="M3325">
        <v>-0.99305399999999999</v>
      </c>
      <c r="N3325">
        <v>-1.364634E-2</v>
      </c>
      <c r="O3325">
        <v>-0.116866</v>
      </c>
      <c r="P3325">
        <v>-0.9774562</v>
      </c>
      <c r="Q3325">
        <v>0.20066819999999999</v>
      </c>
      <c r="R3325">
        <v>6.5664810000000004E-2</v>
      </c>
      <c r="S3325">
        <v>-3.072845</v>
      </c>
      <c r="T3325">
        <v>-4.2364600000000002E-2</v>
      </c>
      <c r="U3325">
        <v>6.8649290000000002E-2</v>
      </c>
      <c r="V3325">
        <v>0.1859923</v>
      </c>
      <c r="W3325">
        <v>0.20813139999999999</v>
      </c>
      <c r="X3325">
        <v>0.96025430000000001</v>
      </c>
      <c r="Y3325">
        <v>0.1390036</v>
      </c>
      <c r="Z3325">
        <v>1.918531E-3</v>
      </c>
      <c r="AA3325">
        <v>0.99029</v>
      </c>
      <c r="AB3325">
        <v>33</v>
      </c>
      <c r="AC3325">
        <v>-80.002299999999906</v>
      </c>
      <c r="AD3325">
        <v>-1.1078922316599999</v>
      </c>
      <c r="AE3325">
        <v>1.8255999999999999</v>
      </c>
      <c r="AF3325">
        <v>11.161367589441801</v>
      </c>
      <c r="AG3325">
        <v>-1.1078922316599999</v>
      </c>
      <c r="AH3325">
        <v>79.225441301433193</v>
      </c>
      <c r="AI3325">
        <v>90.793341388403803</v>
      </c>
      <c r="AJ3325">
        <v>81.980882556079493</v>
      </c>
      <c r="AK3325">
        <v>80.015461637551397</v>
      </c>
      <c r="AL3325">
        <v>77.987130880269106</v>
      </c>
      <c r="AM3325">
        <v>79.038079645403997</v>
      </c>
      <c r="AN3325">
        <v>1.0000000679968599</v>
      </c>
    </row>
    <row r="3326" spans="1:40" x14ac:dyDescent="0.25">
      <c r="A3326" t="str">
        <f>"20190303170833391"</f>
        <v>20190303170833391</v>
      </c>
      <c r="B3326" t="str">
        <f>"1551604113386084"</f>
        <v>1551604113386084</v>
      </c>
      <c r="C3326" t="s">
        <v>40</v>
      </c>
      <c r="D3326">
        <v>4.6669559999999999</v>
      </c>
      <c r="E3326">
        <v>0.48302129999999999</v>
      </c>
      <c r="F3326" t="s">
        <v>58</v>
      </c>
      <c r="G3326">
        <v>-284.03129999999999</v>
      </c>
      <c r="H3326" s="1">
        <v>-6.114767E-6</v>
      </c>
      <c r="I3326">
        <v>141.80889999999999</v>
      </c>
      <c r="J3326">
        <v>-212.3699</v>
      </c>
      <c r="K3326">
        <v>1.1087670000000001</v>
      </c>
      <c r="L3326">
        <v>139.47219999999999</v>
      </c>
      <c r="M3326">
        <v>-0.99577660000000001</v>
      </c>
      <c r="N3326">
        <v>-1.411287E-2</v>
      </c>
      <c r="O3326">
        <v>-9.0718030000000005E-2</v>
      </c>
      <c r="P3326">
        <v>-0.97565109999999999</v>
      </c>
      <c r="Q3326">
        <v>0.20116410000000001</v>
      </c>
      <c r="R3326">
        <v>8.7393310000000002E-2</v>
      </c>
      <c r="S3326">
        <v>-3.072327</v>
      </c>
      <c r="T3326">
        <v>-4.7062279999999998E-2</v>
      </c>
      <c r="U3326">
        <v>9.713745E-2</v>
      </c>
      <c r="V3326">
        <v>0.1816952</v>
      </c>
      <c r="W3326">
        <v>0.20957149999999999</v>
      </c>
      <c r="X3326">
        <v>0.96076360000000005</v>
      </c>
      <c r="Y3326">
        <v>0.122125</v>
      </c>
      <c r="Z3326">
        <v>1.9045679999999999E-3</v>
      </c>
      <c r="AA3326">
        <v>0.99251290000000003</v>
      </c>
      <c r="AB3326">
        <v>33</v>
      </c>
      <c r="AC3326">
        <v>-71.661399999999901</v>
      </c>
      <c r="AD3326">
        <v>-1.1087731147669999</v>
      </c>
      <c r="AE3326">
        <v>2.3367</v>
      </c>
      <c r="AF3326">
        <v>8.8265808125857301</v>
      </c>
      <c r="AG3326">
        <v>-1.1087731147669999</v>
      </c>
      <c r="AH3326">
        <v>71.136840062446296</v>
      </c>
      <c r="AI3326">
        <v>90.886172940273696</v>
      </c>
      <c r="AJ3326">
        <v>82.926952786743797</v>
      </c>
      <c r="AK3326">
        <v>71.690919374291695</v>
      </c>
      <c r="AL3326">
        <v>77.902758094383302</v>
      </c>
      <c r="AM3326">
        <v>79.290958315669698</v>
      </c>
      <c r="AN3326">
        <v>1.0000000272001199</v>
      </c>
    </row>
    <row r="3327" spans="1:40" x14ac:dyDescent="0.25">
      <c r="A3327" t="str">
        <f>"20190303170833414"</f>
        <v>20190303170833414</v>
      </c>
      <c r="B3327" t="str">
        <f>"1551604113406581"</f>
        <v>1551604113406581</v>
      </c>
      <c r="C3327" t="s">
        <v>40</v>
      </c>
      <c r="D3327">
        <v>4.7217070000000003</v>
      </c>
      <c r="E3327">
        <v>0.48220030000000003</v>
      </c>
      <c r="F3327" t="s">
        <v>58</v>
      </c>
      <c r="G3327">
        <v>-286.77859999999998</v>
      </c>
      <c r="H3327" s="1">
        <v>-7.7137739999999994E-6</v>
      </c>
      <c r="I3327">
        <v>141.9778</v>
      </c>
      <c r="J3327">
        <v>-212.70320000000001</v>
      </c>
      <c r="K3327">
        <v>1.109186</v>
      </c>
      <c r="L3327">
        <v>139.45330000000001</v>
      </c>
      <c r="M3327">
        <v>-0.9968224</v>
      </c>
      <c r="N3327">
        <v>-1.429338E-2</v>
      </c>
      <c r="O3327">
        <v>-7.8363089999999996E-2</v>
      </c>
      <c r="P3327">
        <v>-0.97485440000000001</v>
      </c>
      <c r="Q3327">
        <v>0.19982739999999999</v>
      </c>
      <c r="R3327">
        <v>9.8632269999999994E-2</v>
      </c>
      <c r="S3327">
        <v>-3.075043</v>
      </c>
      <c r="T3327">
        <v>-4.5821670000000002E-2</v>
      </c>
      <c r="U3327">
        <v>0.1035461</v>
      </c>
      <c r="V3327">
        <v>0.18063709999999999</v>
      </c>
      <c r="W3327">
        <v>0.2086151</v>
      </c>
      <c r="X3327">
        <v>0.9611712</v>
      </c>
      <c r="Y3327">
        <v>0.11185290000000001</v>
      </c>
      <c r="Z3327">
        <v>1.6793050000000001E-3</v>
      </c>
      <c r="AA3327">
        <v>0.99372329999999998</v>
      </c>
      <c r="AB3327">
        <v>32</v>
      </c>
      <c r="AC3327">
        <v>-74.075399999999902</v>
      </c>
      <c r="AD3327">
        <v>-1.109193713774</v>
      </c>
      <c r="AE3327">
        <v>2.5244999999999802</v>
      </c>
      <c r="AF3327">
        <v>8.3202422848855608</v>
      </c>
      <c r="AG3327">
        <v>-1.109193713774</v>
      </c>
      <c r="AH3327">
        <v>73.633224557267596</v>
      </c>
      <c r="AI3327">
        <v>90.857568431860003</v>
      </c>
      <c r="AJ3327">
        <v>83.553164780111203</v>
      </c>
      <c r="AK3327">
        <v>74.110110653505799</v>
      </c>
      <c r="AL3327">
        <v>77.958794686589599</v>
      </c>
      <c r="AM3327">
        <v>79.356304513635607</v>
      </c>
      <c r="AN3327">
        <v>1.0000000487769201</v>
      </c>
    </row>
    <row r="3328" spans="1:40" x14ac:dyDescent="0.25">
      <c r="A3328" t="str">
        <f>"20190303170833435"</f>
        <v>20190303170833435</v>
      </c>
      <c r="B3328" t="str">
        <f>"1551604113427077"</f>
        <v>1551604113427077</v>
      </c>
      <c r="C3328" t="s">
        <v>40</v>
      </c>
      <c r="D3328">
        <v>4.6258489999999997</v>
      </c>
      <c r="E3328">
        <v>0.48080459999999903</v>
      </c>
      <c r="F3328" t="s">
        <v>58</v>
      </c>
      <c r="G3328">
        <v>-287.05880000000002</v>
      </c>
      <c r="H3328" s="1">
        <v>-8.0629909999999993E-6</v>
      </c>
      <c r="I3328">
        <v>142.5179</v>
      </c>
      <c r="J3328">
        <v>-213.02350000000001</v>
      </c>
      <c r="K3328">
        <v>1.1095569999999999</v>
      </c>
      <c r="L3328">
        <v>139.43870000000001</v>
      </c>
      <c r="M3328">
        <v>-0.99765619999999999</v>
      </c>
      <c r="N3328">
        <v>-1.444381E-2</v>
      </c>
      <c r="O3328">
        <v>-6.6885330000000007E-2</v>
      </c>
      <c r="P3328">
        <v>-0.97434219999999905</v>
      </c>
      <c r="Q3328">
        <v>0.19748019999999999</v>
      </c>
      <c r="R3328">
        <v>0.1079764</v>
      </c>
      <c r="S3328">
        <v>-3.0739589999999999</v>
      </c>
      <c r="T3328">
        <v>-4.5855519999999997E-2</v>
      </c>
      <c r="U3328">
        <v>0.12669369999999999</v>
      </c>
      <c r="V3328">
        <v>0.17858350000000001</v>
      </c>
      <c r="W3328">
        <v>0.20662659999999999</v>
      </c>
      <c r="X3328">
        <v>0.96198410000000001</v>
      </c>
      <c r="Y3328">
        <v>0.10789990000000001</v>
      </c>
      <c r="Z3328">
        <v>1.6152429999999999E-3</v>
      </c>
      <c r="AA3328">
        <v>0.9941605</v>
      </c>
      <c r="AB3328">
        <v>32</v>
      </c>
      <c r="AC3328">
        <v>-74.035300000000007</v>
      </c>
      <c r="AD3328">
        <v>-1.1095650629910001</v>
      </c>
      <c r="AE3328">
        <v>3.0791999999999802</v>
      </c>
      <c r="AF3328">
        <v>8.0228959918158793</v>
      </c>
      <c r="AG3328">
        <v>-1.1095650629910001</v>
      </c>
      <c r="AH3328">
        <v>73.646987835685096</v>
      </c>
      <c r="AI3328">
        <v>90.858076806302904</v>
      </c>
      <c r="AJ3328">
        <v>83.782874886245096</v>
      </c>
      <c r="AK3328">
        <v>74.091003583391</v>
      </c>
      <c r="AL3328">
        <v>78.075264901481802</v>
      </c>
      <c r="AM3328">
        <v>79.483285665772797</v>
      </c>
      <c r="AN3328">
        <v>1.0000000134763001</v>
      </c>
    </row>
    <row r="3329" spans="1:40" x14ac:dyDescent="0.25">
      <c r="A3329" t="str">
        <f>"20190303170833480"</f>
        <v>20190303170833480</v>
      </c>
      <c r="B3329" t="str">
        <f>"1551604113476852"</f>
        <v>1551604113476852</v>
      </c>
      <c r="C3329" t="s">
        <v>40</v>
      </c>
      <c r="D3329">
        <v>4.7206650000000003</v>
      </c>
      <c r="E3329">
        <v>0.5070268</v>
      </c>
      <c r="F3329" t="s">
        <v>58</v>
      </c>
      <c r="G3329">
        <v>-282.03160000000003</v>
      </c>
      <c r="H3329" s="1">
        <v>-5.5082409999999997E-6</v>
      </c>
      <c r="I3329">
        <v>142.67500000000001</v>
      </c>
      <c r="J3329">
        <v>-213.68520000000001</v>
      </c>
      <c r="K3329">
        <v>1.1103909999999999</v>
      </c>
      <c r="L3329">
        <v>139.41919999999999</v>
      </c>
      <c r="M3329">
        <v>-0.99889289999999997</v>
      </c>
      <c r="N3329">
        <v>-1.4673429999999999E-2</v>
      </c>
      <c r="O3329">
        <v>-4.469331E-2</v>
      </c>
      <c r="P3329">
        <v>-0.97330779999999995</v>
      </c>
      <c r="Q3329">
        <v>0.19297529999999999</v>
      </c>
      <c r="R3329">
        <v>0.1242268</v>
      </c>
      <c r="S3329">
        <v>-3.0730439999999999</v>
      </c>
      <c r="T3329">
        <v>-4.9410580000000003E-2</v>
      </c>
      <c r="U3329">
        <v>0.14411930000000001</v>
      </c>
      <c r="V3329">
        <v>0.17277960000000001</v>
      </c>
      <c r="W3329">
        <v>0.20284650000000001</v>
      </c>
      <c r="X3329">
        <v>0.96384669999999895</v>
      </c>
      <c r="Y3329">
        <v>9.1426019999999997E-2</v>
      </c>
      <c r="Z3329">
        <v>1.4685200000000001E-3</v>
      </c>
      <c r="AA3329">
        <v>0.9958108</v>
      </c>
      <c r="AB3329">
        <v>32</v>
      </c>
      <c r="AC3329">
        <v>-68.346400000000003</v>
      </c>
      <c r="AD3329">
        <v>-1.1103965082409999</v>
      </c>
      <c r="AE3329">
        <v>3.2558000000000198</v>
      </c>
      <c r="AF3329">
        <v>6.3058412900967102</v>
      </c>
      <c r="AG3329">
        <v>-1.1103965082409999</v>
      </c>
      <c r="AH3329">
        <v>68.114624018659597</v>
      </c>
      <c r="AI3329">
        <v>90.929970321138995</v>
      </c>
      <c r="AJ3329">
        <v>84.710809810399098</v>
      </c>
      <c r="AK3329">
        <v>68.414900569866802</v>
      </c>
      <c r="AL3329">
        <v>78.296535552838094</v>
      </c>
      <c r="AM3329">
        <v>79.837074462015593</v>
      </c>
      <c r="AN3329">
        <v>0.99999997691964904</v>
      </c>
    </row>
    <row r="3330" spans="1:40" x14ac:dyDescent="0.25">
      <c r="A3330" t="str">
        <f>"20190303170833502"</f>
        <v>20190303170833502</v>
      </c>
      <c r="B3330" t="str">
        <f>"1551604113496372"</f>
        <v>1551604113496372</v>
      </c>
      <c r="C3330" t="s">
        <v>40</v>
      </c>
      <c r="D3330">
        <v>4.5352290000000002</v>
      </c>
      <c r="E3330">
        <v>0.51506819999999998</v>
      </c>
      <c r="F3330" t="s">
        <v>46</v>
      </c>
      <c r="G3330">
        <v>-384.58690000000001</v>
      </c>
      <c r="H3330">
        <v>-0.05</v>
      </c>
      <c r="I3330">
        <v>162.28919999999999</v>
      </c>
      <c r="J3330">
        <v>-214.00110000000001</v>
      </c>
      <c r="K3330">
        <v>1.1108209999999901</v>
      </c>
      <c r="L3330">
        <v>139.41460000000001</v>
      </c>
      <c r="M3330">
        <v>-0.99928649999999997</v>
      </c>
      <c r="N3330">
        <v>-1.4742979999999999E-2</v>
      </c>
      <c r="O3330">
        <v>-3.4772110000000002E-2</v>
      </c>
      <c r="P3330">
        <v>-0.97207699999999997</v>
      </c>
      <c r="Q3330">
        <v>0.19385830000000001</v>
      </c>
      <c r="R3330">
        <v>0.13223199999999999</v>
      </c>
      <c r="S3330">
        <v>-3.0345460000000002</v>
      </c>
      <c r="T3330">
        <v>-2.0604009999999999E-2</v>
      </c>
      <c r="U3330">
        <v>0.4060822</v>
      </c>
      <c r="V3330">
        <v>0.17094970000000001</v>
      </c>
      <c r="W3330">
        <v>0.20401040000000001</v>
      </c>
      <c r="X3330">
        <v>0.96392739999999999</v>
      </c>
      <c r="Y3330">
        <v>0.16701260000000001</v>
      </c>
      <c r="Z3330">
        <v>1.5261389999999999E-3</v>
      </c>
      <c r="AA3330">
        <v>0.98595359999999999</v>
      </c>
      <c r="AB3330">
        <v>32</v>
      </c>
      <c r="AC3330">
        <v>-170.58580000000001</v>
      </c>
      <c r="AD3330">
        <v>-1.1608210000000001</v>
      </c>
      <c r="AE3330">
        <v>22.874599999999901</v>
      </c>
      <c r="AF3330">
        <v>28.791727320130299</v>
      </c>
      <c r="AG3330">
        <v>-1.1608210000000001</v>
      </c>
      <c r="AH3330">
        <v>169.67941565733099</v>
      </c>
      <c r="AI3330">
        <v>90.386445522536604</v>
      </c>
      <c r="AJ3330">
        <v>80.369603275692697</v>
      </c>
      <c r="AK3330">
        <v>172.10873064805301</v>
      </c>
      <c r="AL3330">
        <v>78.228425507726399</v>
      </c>
      <c r="AM3330">
        <v>79.943325485741198</v>
      </c>
      <c r="AN3330">
        <v>1.0000000378545</v>
      </c>
    </row>
    <row r="3331" spans="1:40" x14ac:dyDescent="0.25">
      <c r="A3331" t="str">
        <f>"20190303170833524"</f>
        <v>20190303170833524</v>
      </c>
      <c r="B3331" t="str">
        <f>"1551604113516868"</f>
        <v>1551604113516868</v>
      </c>
      <c r="C3331" t="s">
        <v>40</v>
      </c>
      <c r="D3331">
        <v>4.4737910000000003</v>
      </c>
      <c r="E3331">
        <v>0.51829989999999904</v>
      </c>
      <c r="F3331" t="s">
        <v>46</v>
      </c>
      <c r="G3331">
        <v>-345.48719999999997</v>
      </c>
      <c r="H3331">
        <v>-0.05</v>
      </c>
      <c r="I3331">
        <v>160.86930000000001</v>
      </c>
      <c r="J3331">
        <v>-214.32159999999999</v>
      </c>
      <c r="K3331">
        <v>1.111275</v>
      </c>
      <c r="L3331">
        <v>139.4128</v>
      </c>
      <c r="M3331">
        <v>-0.99957479999999999</v>
      </c>
      <c r="N3331">
        <v>-1.479777E-2</v>
      </c>
      <c r="O3331">
        <v>-2.513046E-2</v>
      </c>
      <c r="P3331">
        <v>-0.97096110000000002</v>
      </c>
      <c r="Q3331">
        <v>0.194471</v>
      </c>
      <c r="R3331">
        <v>0.13934160000000001</v>
      </c>
      <c r="S3331">
        <v>-3.0243380000000002</v>
      </c>
      <c r="T3331">
        <v>-2.670026E-2</v>
      </c>
      <c r="U3331">
        <v>0.49348449999999999</v>
      </c>
      <c r="V3331">
        <v>0.16849600000000001</v>
      </c>
      <c r="W3331">
        <v>0.2049108</v>
      </c>
      <c r="X3331">
        <v>0.96416840000000004</v>
      </c>
      <c r="Y3331">
        <v>0.185776</v>
      </c>
      <c r="Z3331">
        <v>2.0495679999999999E-3</v>
      </c>
      <c r="AA3331">
        <v>0.98258999999999996</v>
      </c>
      <c r="AB3331">
        <v>32</v>
      </c>
      <c r="AC3331">
        <v>-131.16559999999899</v>
      </c>
      <c r="AD3331">
        <v>-1.1612750000000001</v>
      </c>
      <c r="AE3331">
        <v>21.456499999999998</v>
      </c>
      <c r="AF3331">
        <v>24.744445430719299</v>
      </c>
      <c r="AG3331">
        <v>-1.1612750000000001</v>
      </c>
      <c r="AH3331">
        <v>130.5749272468</v>
      </c>
      <c r="AI3331">
        <v>90.500639942847201</v>
      </c>
      <c r="AJ3331">
        <v>79.269474777264605</v>
      </c>
      <c r="AK3331">
        <v>132.90390424967401</v>
      </c>
      <c r="AL3331">
        <v>78.175722832326997</v>
      </c>
      <c r="AM3331">
        <v>80.087216754097</v>
      </c>
      <c r="AN3331">
        <v>1.0000000207655999</v>
      </c>
    </row>
    <row r="3332" spans="1:40" x14ac:dyDescent="0.25">
      <c r="A3332" t="str">
        <f>"20190303170833552"</f>
        <v>20190303170833552</v>
      </c>
      <c r="B3332" t="str">
        <f>"1551604113547125"</f>
        <v>1551604113547125</v>
      </c>
      <c r="C3332" t="s">
        <v>40</v>
      </c>
      <c r="D3332">
        <v>4.5654949999999896</v>
      </c>
      <c r="E3332">
        <v>0.52061769999999996</v>
      </c>
      <c r="F3332" t="s">
        <v>46</v>
      </c>
      <c r="G3332">
        <v>-343.30459999999999</v>
      </c>
      <c r="H3332">
        <v>-0.05</v>
      </c>
      <c r="I3332">
        <v>162.50630000000001</v>
      </c>
      <c r="J3332">
        <v>-214.6824</v>
      </c>
      <c r="K3332">
        <v>1.1118220000000001</v>
      </c>
      <c r="L3332">
        <v>139.41399999999999</v>
      </c>
      <c r="M3332">
        <v>-0.99978040000000001</v>
      </c>
      <c r="N3332">
        <v>-1.484366E-2</v>
      </c>
      <c r="O3332">
        <v>-1.4798769999999999E-2</v>
      </c>
      <c r="P3332">
        <v>-0.97014140000000004</v>
      </c>
      <c r="Q3332">
        <v>0.1934255</v>
      </c>
      <c r="R3332">
        <v>0.1463294</v>
      </c>
      <c r="S3332">
        <v>-3.0176240000000001</v>
      </c>
      <c r="T3332">
        <v>-2.7168629999999999E-2</v>
      </c>
      <c r="U3332">
        <v>0.54028319999999996</v>
      </c>
      <c r="V3332">
        <v>0.1651927</v>
      </c>
      <c r="W3332">
        <v>0.2041953</v>
      </c>
      <c r="X3332">
        <v>0.96489159999999996</v>
      </c>
      <c r="Y3332">
        <v>0.19076899999999999</v>
      </c>
      <c r="Z3332">
        <v>2.1935040000000002E-3</v>
      </c>
      <c r="AA3332">
        <v>0.98163250000000002</v>
      </c>
      <c r="AB3332">
        <v>32</v>
      </c>
      <c r="AC3332">
        <v>-128.62219999999999</v>
      </c>
      <c r="AD3332">
        <v>-1.1618219999999999</v>
      </c>
      <c r="AE3332">
        <v>23.092300000000002</v>
      </c>
      <c r="AF3332">
        <v>24.9914551387985</v>
      </c>
      <c r="AG3332">
        <v>-1.1618219999999999</v>
      </c>
      <c r="AH3332">
        <v>128.25619860853001</v>
      </c>
      <c r="AI3332">
        <v>90.509425030431899</v>
      </c>
      <c r="AJ3332">
        <v>78.973754501011101</v>
      </c>
      <c r="AK3332">
        <v>130.67354415422</v>
      </c>
      <c r="AL3332">
        <v>78.217604148318401</v>
      </c>
      <c r="AM3332">
        <v>80.284956273571296</v>
      </c>
      <c r="AN3332">
        <v>1.00000007421296</v>
      </c>
    </row>
    <row r="3333" spans="1:40" x14ac:dyDescent="0.25">
      <c r="A3333" t="str">
        <f>"20190303170833577"</f>
        <v>20190303170833577</v>
      </c>
      <c r="B3333" t="str">
        <f>"1551604113566644"</f>
        <v>1551604113566644</v>
      </c>
      <c r="C3333" t="s">
        <v>40</v>
      </c>
      <c r="D3333">
        <v>4.4138479999999998</v>
      </c>
      <c r="E3333">
        <v>0.52103140000000003</v>
      </c>
      <c r="F3333" t="s">
        <v>46</v>
      </c>
      <c r="G3333">
        <v>-331.2423</v>
      </c>
      <c r="H3333">
        <v>-0.05</v>
      </c>
      <c r="I3333">
        <v>161.8897</v>
      </c>
      <c r="J3333">
        <v>-215.0789</v>
      </c>
      <c r="K3333">
        <v>1.112411</v>
      </c>
      <c r="L3333">
        <v>139.4194</v>
      </c>
      <c r="M3333">
        <v>-0.99988069999999896</v>
      </c>
      <c r="N3333">
        <v>-1.486931E-2</v>
      </c>
      <c r="O3333">
        <v>-4.1528379999999998E-3</v>
      </c>
      <c r="P3333">
        <v>-0.96962939999999997</v>
      </c>
      <c r="Q3333">
        <v>0.1916099</v>
      </c>
      <c r="R3333">
        <v>0.1520021</v>
      </c>
      <c r="S3333">
        <v>-3.0107569999999999</v>
      </c>
      <c r="T3333">
        <v>-3.0009979999999999E-2</v>
      </c>
      <c r="U3333">
        <v>0.58055109999999999</v>
      </c>
      <c r="V3333">
        <v>0.1602372</v>
      </c>
      <c r="W3333">
        <v>0.20274</v>
      </c>
      <c r="X3333">
        <v>0.96603340000000004</v>
      </c>
      <c r="Y3333">
        <v>0.1933906</v>
      </c>
      <c r="Z3333">
        <v>2.3859179999999999E-3</v>
      </c>
      <c r="AA3333">
        <v>0.98111890000000002</v>
      </c>
      <c r="AB3333">
        <v>32</v>
      </c>
      <c r="AC3333">
        <v>-116.1634</v>
      </c>
      <c r="AD3333">
        <v>-1.1624110000000001</v>
      </c>
      <c r="AE3333">
        <v>22.470300000000002</v>
      </c>
      <c r="AF3333">
        <v>22.950352155014301</v>
      </c>
      <c r="AG3333">
        <v>-1.1624110000000001</v>
      </c>
      <c r="AH3333">
        <v>116.05787009141901</v>
      </c>
      <c r="AI3333">
        <v>90.562942590396702</v>
      </c>
      <c r="AJ3333">
        <v>78.814121752096696</v>
      </c>
      <c r="AK3333">
        <v>118.31102684673399</v>
      </c>
      <c r="AL3333">
        <v>78.302767294471806</v>
      </c>
      <c r="AM3333">
        <v>80.582023920936606</v>
      </c>
      <c r="AN3333">
        <v>0.99999999888970004</v>
      </c>
    </row>
    <row r="3334" spans="1:40" x14ac:dyDescent="0.25">
      <c r="A3334" t="str">
        <f>"20190303170833614"</f>
        <v>20190303170833614</v>
      </c>
      <c r="B3334" t="str">
        <f>"1551604113606660"</f>
        <v>1551604113606660</v>
      </c>
      <c r="C3334" t="s">
        <v>40</v>
      </c>
      <c r="D3334">
        <v>4.6083920000000003</v>
      </c>
      <c r="E3334">
        <v>0.52135120000000001</v>
      </c>
      <c r="F3334" t="s">
        <v>58</v>
      </c>
      <c r="G3334">
        <v>-309.95780000000002</v>
      </c>
      <c r="H3334">
        <v>4.6205259999999998E-3</v>
      </c>
      <c r="I3334">
        <v>158.46700000000001</v>
      </c>
      <c r="J3334">
        <v>-215.61930000000001</v>
      </c>
      <c r="K3334">
        <v>1.113151</v>
      </c>
      <c r="L3334">
        <v>139.4325</v>
      </c>
      <c r="M3334">
        <v>-0.99984410000000001</v>
      </c>
      <c r="N3334">
        <v>-1.488724E-2</v>
      </c>
      <c r="O3334">
        <v>9.5101660000000005E-3</v>
      </c>
      <c r="P3334">
        <v>-0.96806170000000002</v>
      </c>
      <c r="Q3334">
        <v>0.19423609999999999</v>
      </c>
      <c r="R3334">
        <v>0.15852169999999999</v>
      </c>
      <c r="S3334">
        <v>-3.0062869999999999</v>
      </c>
      <c r="T3334">
        <v>-3.5100939999999997E-2</v>
      </c>
      <c r="U3334">
        <v>0.60353089999999998</v>
      </c>
      <c r="V3334">
        <v>0.15323410000000001</v>
      </c>
      <c r="W3334">
        <v>0.20578160000000001</v>
      </c>
      <c r="X3334">
        <v>0.96652640000000001</v>
      </c>
      <c r="Y3334">
        <v>0.18746640000000001</v>
      </c>
      <c r="Z3334">
        <v>2.5232800000000001E-3</v>
      </c>
      <c r="AA3334">
        <v>0.98226780000000002</v>
      </c>
      <c r="AB3334">
        <v>32</v>
      </c>
      <c r="AC3334">
        <v>-94.338499999999996</v>
      </c>
      <c r="AD3334">
        <v>-1.1085304739999999</v>
      </c>
      <c r="AE3334">
        <v>19.034500000000001</v>
      </c>
      <c r="AF3334">
        <v>18.1339590063176</v>
      </c>
      <c r="AG3334">
        <v>-1.1085304739999999</v>
      </c>
      <c r="AH3334">
        <v>94.502736006182502</v>
      </c>
      <c r="AI3334">
        <v>90.660016461522105</v>
      </c>
      <c r="AJ3334">
        <v>79.137653239681399</v>
      </c>
      <c r="AK3334">
        <v>96.233239692472196</v>
      </c>
      <c r="AL3334">
        <v>78.124743241331998</v>
      </c>
      <c r="AM3334">
        <v>80.991247321295702</v>
      </c>
      <c r="AN3334">
        <v>1.00000001909916</v>
      </c>
    </row>
    <row r="3335" spans="1:40" x14ac:dyDescent="0.25">
      <c r="A3335" t="str">
        <f>"20190303170833636"</f>
        <v>20190303170833636</v>
      </c>
      <c r="B3335" t="str">
        <f>"1551604113626181"</f>
        <v>1551604113626181</v>
      </c>
      <c r="C3335" t="s">
        <v>40</v>
      </c>
      <c r="D3335">
        <v>4.4574740000000004</v>
      </c>
      <c r="E3335">
        <v>0.52111730000000001</v>
      </c>
      <c r="F3335" t="s">
        <v>86</v>
      </c>
      <c r="G3335">
        <v>-320.29349999999999</v>
      </c>
      <c r="H3335">
        <v>0.23448630000000001</v>
      </c>
      <c r="I3335">
        <v>161.2405</v>
      </c>
      <c r="J3335">
        <v>-215.94579999999999</v>
      </c>
      <c r="K3335">
        <v>1.1135600000000001</v>
      </c>
      <c r="L3335">
        <v>139.4436</v>
      </c>
      <c r="M3335">
        <v>-0.99974050000000003</v>
      </c>
      <c r="N3335">
        <v>-1.488836E-2</v>
      </c>
      <c r="O3335">
        <v>1.7243850000000002E-2</v>
      </c>
      <c r="P3335">
        <v>-0.96730389999999999</v>
      </c>
      <c r="Q3335">
        <v>0.19484180000000001</v>
      </c>
      <c r="R3335">
        <v>0.16235759999999999</v>
      </c>
      <c r="S3335">
        <v>-3.001633</v>
      </c>
      <c r="T3335">
        <v>-2.5196550000000002E-2</v>
      </c>
      <c r="U3335">
        <v>0.62536619999999998</v>
      </c>
      <c r="V3335">
        <v>0.14940100000000001</v>
      </c>
      <c r="W3335">
        <v>0.20660139999999999</v>
      </c>
      <c r="X3335">
        <v>0.96695149999999996</v>
      </c>
      <c r="Y3335">
        <v>0.18703110000000001</v>
      </c>
      <c r="Z3335">
        <v>2.29488E-3</v>
      </c>
      <c r="AA3335">
        <v>0.98235130000000004</v>
      </c>
      <c r="AB3335">
        <v>32</v>
      </c>
      <c r="AC3335">
        <v>-104.3477</v>
      </c>
      <c r="AD3335">
        <v>-0.87907369999999996</v>
      </c>
      <c r="AE3335">
        <v>21.796899999999901</v>
      </c>
      <c r="AF3335">
        <v>19.992743316781301</v>
      </c>
      <c r="AG3335">
        <v>-0.87907369999999996</v>
      </c>
      <c r="AH3335">
        <v>104.70096549731601</v>
      </c>
      <c r="AI3335">
        <v>90.472509607985501</v>
      </c>
      <c r="AJ3335">
        <v>79.189457975039403</v>
      </c>
      <c r="AK3335">
        <v>106.596316690451</v>
      </c>
      <c r="AL3335">
        <v>78.076740437672996</v>
      </c>
      <c r="AM3335">
        <v>81.216840183905504</v>
      </c>
      <c r="AN3335">
        <v>1.0000000003175999</v>
      </c>
    </row>
    <row r="3336" spans="1:40" x14ac:dyDescent="0.25">
      <c r="A3336" t="str">
        <f>"20190303170833659"</f>
        <v>20190303170833659</v>
      </c>
      <c r="B3336" t="str">
        <f>"1551604113646677"</f>
        <v>1551604113646677</v>
      </c>
      <c r="C3336" t="s">
        <v>40</v>
      </c>
      <c r="D3336">
        <v>4.4500120000000001</v>
      </c>
      <c r="E3336">
        <v>0.52100789999999997</v>
      </c>
      <c r="F3336" t="s">
        <v>86</v>
      </c>
      <c r="G3336">
        <v>-320.29349999999999</v>
      </c>
      <c r="H3336">
        <v>0.38122070000000002</v>
      </c>
      <c r="I3336">
        <v>161.5223</v>
      </c>
      <c r="J3336">
        <v>-216.2705</v>
      </c>
      <c r="K3336">
        <v>1.113947</v>
      </c>
      <c r="L3336">
        <v>139.45679999999999</v>
      </c>
      <c r="M3336">
        <v>-0.99958689999999994</v>
      </c>
      <c r="N3336">
        <v>-1.488186E-2</v>
      </c>
      <c r="O3336">
        <v>2.459182E-2</v>
      </c>
      <c r="P3336">
        <v>-0.96711590000000003</v>
      </c>
      <c r="Q3336">
        <v>0.19393389999999999</v>
      </c>
      <c r="R3336">
        <v>0.1645499</v>
      </c>
      <c r="S3336">
        <v>-2.9991460000000001</v>
      </c>
      <c r="T3336">
        <v>-2.104878E-2</v>
      </c>
      <c r="U3336">
        <v>0.63458249999999905</v>
      </c>
      <c r="V3336">
        <v>0.14426710000000001</v>
      </c>
      <c r="W3336">
        <v>0.20591690000000001</v>
      </c>
      <c r="X3336">
        <v>0.96787670000000003</v>
      </c>
      <c r="Y3336">
        <v>0.1828671</v>
      </c>
      <c r="Z3336">
        <v>2.2020770000000002E-3</v>
      </c>
      <c r="AA3336">
        <v>0.98313519999999999</v>
      </c>
      <c r="AB3336">
        <v>32</v>
      </c>
      <c r="AC3336">
        <v>-104.023</v>
      </c>
      <c r="AD3336">
        <v>-0.73272629999999905</v>
      </c>
      <c r="AE3336">
        <v>22.0655</v>
      </c>
      <c r="AF3336">
        <v>19.499501580496499</v>
      </c>
      <c r="AG3336">
        <v>-0.73272629999999905</v>
      </c>
      <c r="AH3336">
        <v>104.52926173167999</v>
      </c>
      <c r="AI3336">
        <v>90.394813123238393</v>
      </c>
      <c r="AJ3336">
        <v>79.433165082717196</v>
      </c>
      <c r="AK3336">
        <v>106.33500838335701</v>
      </c>
      <c r="AL3336">
        <v>78.116821672820507</v>
      </c>
      <c r="AM3336">
        <v>81.522180973885099</v>
      </c>
      <c r="AN3336">
        <v>1.00000003612545</v>
      </c>
    </row>
    <row r="3337" spans="1:40" x14ac:dyDescent="0.25">
      <c r="A3337" t="str">
        <f>"20190303170833681"</f>
        <v>20190303170833681</v>
      </c>
      <c r="B3337" t="str">
        <f>"1551604113676933"</f>
        <v>1551604113676933</v>
      </c>
      <c r="C3337" t="s">
        <v>40</v>
      </c>
      <c r="D3337">
        <v>4.6052239999999998</v>
      </c>
      <c r="E3337">
        <v>0.52046409999999999</v>
      </c>
      <c r="F3337" t="s">
        <v>86</v>
      </c>
      <c r="G3337">
        <v>-320.29349999999999</v>
      </c>
      <c r="H3337">
        <v>0.30504330000000002</v>
      </c>
      <c r="I3337">
        <v>161.68279999999999</v>
      </c>
      <c r="J3337">
        <v>-216.59229999999999</v>
      </c>
      <c r="K3337">
        <v>1.1143459999999901</v>
      </c>
      <c r="L3337">
        <v>139.47200000000001</v>
      </c>
      <c r="M3337">
        <v>-0.99939319999999998</v>
      </c>
      <c r="N3337">
        <v>-1.486882E-2</v>
      </c>
      <c r="O3337">
        <v>3.1495740000000001E-2</v>
      </c>
      <c r="P3337">
        <v>-0.96722940000000002</v>
      </c>
      <c r="Q3337">
        <v>0.19292599999999999</v>
      </c>
      <c r="R3337">
        <v>0.16506609999999999</v>
      </c>
      <c r="S3337">
        <v>-2.9977109999999998</v>
      </c>
      <c r="T3337">
        <v>-2.331078E-2</v>
      </c>
      <c r="U3337">
        <v>0.64050289999999999</v>
      </c>
      <c r="V3337">
        <v>0.13786670000000001</v>
      </c>
      <c r="W3337">
        <v>0.2051451</v>
      </c>
      <c r="X3337">
        <v>0.96897279999999997</v>
      </c>
      <c r="Y3337">
        <v>0.1780253</v>
      </c>
      <c r="Z3337">
        <v>2.2444750000000001E-3</v>
      </c>
      <c r="AA3337">
        <v>0.98402330000000005</v>
      </c>
      <c r="AB3337">
        <v>32</v>
      </c>
      <c r="AC3337">
        <v>-103.7012</v>
      </c>
      <c r="AD3337">
        <v>-0.80930269999999904</v>
      </c>
      <c r="AE3337">
        <v>22.2107999999999</v>
      </c>
      <c r="AF3337">
        <v>18.932168571570202</v>
      </c>
      <c r="AG3337">
        <v>-0.80930269999999904</v>
      </c>
      <c r="AH3337">
        <v>104.34328768039001</v>
      </c>
      <c r="AI3337">
        <v>90.437247305503107</v>
      </c>
      <c r="AJ3337">
        <v>79.716064667521493</v>
      </c>
      <c r="AK3337">
        <v>106.05000547682801</v>
      </c>
      <c r="AL3337">
        <v>78.162006962814402</v>
      </c>
      <c r="AM3337">
        <v>81.902234306560104</v>
      </c>
      <c r="AN3337">
        <v>1.00000001308137</v>
      </c>
    </row>
    <row r="3338" spans="1:40" x14ac:dyDescent="0.25">
      <c r="A3338" t="str">
        <f>"20190303170833703"</f>
        <v>20190303170833703</v>
      </c>
      <c r="B3338" t="str">
        <f>"1551604113696453"</f>
        <v>1551604113696453</v>
      </c>
      <c r="C3338" t="s">
        <v>40</v>
      </c>
      <c r="D3338">
        <v>4.4520119999999999</v>
      </c>
      <c r="E3338">
        <v>0.52003650000000001</v>
      </c>
      <c r="F3338" t="s">
        <v>86</v>
      </c>
      <c r="G3338">
        <v>-320.29349999999999</v>
      </c>
      <c r="H3338">
        <v>0.2506584</v>
      </c>
      <c r="I3338">
        <v>161.58170000000001</v>
      </c>
      <c r="J3338">
        <v>-216.89789999999999</v>
      </c>
      <c r="K3338">
        <v>1.1147339999999999</v>
      </c>
      <c r="L3338">
        <v>139.4881</v>
      </c>
      <c r="M3338">
        <v>-0.99917920000000005</v>
      </c>
      <c r="N3338">
        <v>-1.485042E-2</v>
      </c>
      <c r="O3338">
        <v>3.7687600000000002E-2</v>
      </c>
      <c r="P3338">
        <v>-0.96685980000000005</v>
      </c>
      <c r="Q3338">
        <v>0.19433539999999999</v>
      </c>
      <c r="R3338">
        <v>0.165577799999999</v>
      </c>
      <c r="S3338">
        <v>-2.9975740000000002</v>
      </c>
      <c r="T3338">
        <v>-2.4965640000000001E-2</v>
      </c>
      <c r="U3338">
        <v>0.63909910000000003</v>
      </c>
      <c r="V3338">
        <v>0.13220129999999999</v>
      </c>
      <c r="W3338">
        <v>0.20675350000000001</v>
      </c>
      <c r="X3338">
        <v>0.96942039999999996</v>
      </c>
      <c r="Y3338">
        <v>0.1714918</v>
      </c>
      <c r="Z3338">
        <v>2.2379710000000001E-3</v>
      </c>
      <c r="AA3338">
        <v>0.98518300000000003</v>
      </c>
      <c r="AB3338">
        <v>32</v>
      </c>
      <c r="AC3338">
        <v>-103.3956</v>
      </c>
      <c r="AD3338">
        <v>-0.86407559999999894</v>
      </c>
      <c r="AE3338">
        <v>22.093599999999999</v>
      </c>
      <c r="AF3338">
        <v>18.179524537734199</v>
      </c>
      <c r="AG3338">
        <v>-0.86407559999999894</v>
      </c>
      <c r="AH3338">
        <v>104.147919058444</v>
      </c>
      <c r="AI3338">
        <v>90.468270240284696</v>
      </c>
      <c r="AJ3338">
        <v>80.098503612429496</v>
      </c>
      <c r="AK3338">
        <v>105.726206700443</v>
      </c>
      <c r="AL3338">
        <v>78.067834074148706</v>
      </c>
      <c r="AM3338">
        <v>82.234392470871001</v>
      </c>
      <c r="AN3338">
        <v>1.0000000527100401</v>
      </c>
    </row>
    <row r="3339" spans="1:40" x14ac:dyDescent="0.25">
      <c r="A3339" t="str">
        <f>"20190303170833725"</f>
        <v>20190303170833725</v>
      </c>
      <c r="B3339" t="str">
        <f>"1551604113716949"</f>
        <v>1551604113716949</v>
      </c>
      <c r="C3339" t="s">
        <v>40</v>
      </c>
      <c r="D3339">
        <v>4.470879</v>
      </c>
      <c r="E3339">
        <v>0.51965439999999996</v>
      </c>
      <c r="F3339" t="s">
        <v>86</v>
      </c>
      <c r="G3339">
        <v>-320.29349999999999</v>
      </c>
      <c r="H3339">
        <v>0.45606960000000002</v>
      </c>
      <c r="I3339">
        <v>161.4658</v>
      </c>
      <c r="J3339">
        <v>-217.22</v>
      </c>
      <c r="K3339">
        <v>1.1151629999999999</v>
      </c>
      <c r="L3339">
        <v>139.5067</v>
      </c>
      <c r="M3339">
        <v>-0.99892910000000001</v>
      </c>
      <c r="N3339">
        <v>-1.482669E-2</v>
      </c>
      <c r="O3339">
        <v>4.3828939999999997E-2</v>
      </c>
      <c r="P3339">
        <v>-0.96627030000000003</v>
      </c>
      <c r="Q3339">
        <v>0.19517370000000001</v>
      </c>
      <c r="R3339">
        <v>0.1680152</v>
      </c>
      <c r="S3339">
        <v>-2.9975740000000002</v>
      </c>
      <c r="T3339">
        <v>-1.9095540000000001E-2</v>
      </c>
      <c r="U3339">
        <v>0.63716130000000004</v>
      </c>
      <c r="V3339">
        <v>0.12848769999999901</v>
      </c>
      <c r="W3339">
        <v>0.2077551</v>
      </c>
      <c r="X3339">
        <v>0.9697055</v>
      </c>
      <c r="Y3339">
        <v>0.16482869999999999</v>
      </c>
      <c r="Z3339">
        <v>2.1226230000000001E-3</v>
      </c>
      <c r="AA3339">
        <v>0.98631999999999997</v>
      </c>
      <c r="AB3339">
        <v>32</v>
      </c>
      <c r="AC3339">
        <v>-103.0735</v>
      </c>
      <c r="AD3339">
        <v>-0.65909339999999905</v>
      </c>
      <c r="AE3339">
        <v>21.959099999999999</v>
      </c>
      <c r="AF3339">
        <v>17.419213914575302</v>
      </c>
      <c r="AG3339">
        <v>-0.65909339999999905</v>
      </c>
      <c r="AH3339">
        <v>103.93291444200101</v>
      </c>
      <c r="AI3339">
        <v>90.358339984818201</v>
      </c>
      <c r="AJ3339">
        <v>80.485624110356397</v>
      </c>
      <c r="AK3339">
        <v>105.38460097148899</v>
      </c>
      <c r="AL3339">
        <v>78.0091724430699</v>
      </c>
      <c r="AM3339">
        <v>82.452174279516498</v>
      </c>
      <c r="AN3339">
        <v>1.0000000136787699</v>
      </c>
    </row>
    <row r="3340" spans="1:40" x14ac:dyDescent="0.25">
      <c r="A3340" t="str">
        <f>"20190303170833749"</f>
        <v>20190303170833749</v>
      </c>
      <c r="B3340" t="str">
        <f>"1551604113736469"</f>
        <v>1551604113736469</v>
      </c>
      <c r="C3340" t="s">
        <v>40</v>
      </c>
      <c r="D3340">
        <v>4.500178</v>
      </c>
      <c r="E3340">
        <v>0.51929550000000002</v>
      </c>
      <c r="F3340" t="s">
        <v>86</v>
      </c>
      <c r="G3340">
        <v>-334.79230000000001</v>
      </c>
      <c r="H3340">
        <v>0.48952479999999998</v>
      </c>
      <c r="I3340">
        <v>164.61850000000001</v>
      </c>
      <c r="J3340">
        <v>-217.55019999999999</v>
      </c>
      <c r="K3340">
        <v>1.115613</v>
      </c>
      <c r="L3340">
        <v>139.5274</v>
      </c>
      <c r="M3340">
        <v>-0.99865440000000005</v>
      </c>
      <c r="N3340">
        <v>-1.479989E-2</v>
      </c>
      <c r="O3340">
        <v>4.9705779999999998E-2</v>
      </c>
      <c r="P3340">
        <v>-0.96603209999999995</v>
      </c>
      <c r="Q3340">
        <v>0.19427800000000001</v>
      </c>
      <c r="R3340">
        <v>0.1704061</v>
      </c>
      <c r="S3340">
        <v>-2.996658</v>
      </c>
      <c r="T3340">
        <v>-1.5946149999999999E-2</v>
      </c>
      <c r="U3340">
        <v>0.64004519999999998</v>
      </c>
      <c r="V3340">
        <v>0.12493650000000001</v>
      </c>
      <c r="W3340">
        <v>0.20701849999999999</v>
      </c>
      <c r="X3340">
        <v>0.97032680000000004</v>
      </c>
      <c r="Y3340">
        <v>0.15999569999999999</v>
      </c>
      <c r="Z3340">
        <v>2.085768E-3</v>
      </c>
      <c r="AA3340">
        <v>0.98711550000000003</v>
      </c>
      <c r="AB3340">
        <v>32</v>
      </c>
      <c r="AC3340">
        <v>-117.24209999999999</v>
      </c>
      <c r="AD3340">
        <v>-0.62608819999999998</v>
      </c>
      <c r="AE3340">
        <v>25.091100000000001</v>
      </c>
      <c r="AF3340">
        <v>19.2313063393993</v>
      </c>
      <c r="AG3340">
        <v>-0.62608819999999998</v>
      </c>
      <c r="AH3340">
        <v>118.341227927112</v>
      </c>
      <c r="AI3340">
        <v>90.299197520667406</v>
      </c>
      <c r="AJ3340">
        <v>80.769709602288899</v>
      </c>
      <c r="AK3340">
        <v>119.89529330732999</v>
      </c>
      <c r="AL3340">
        <v>78.0523136147077</v>
      </c>
      <c r="AM3340">
        <v>82.663126349108396</v>
      </c>
      <c r="AN3340">
        <v>0.99999994358636801</v>
      </c>
    </row>
    <row r="3341" spans="1:40" x14ac:dyDescent="0.25">
      <c r="A3341" t="str">
        <f>"20190303170833794"</f>
        <v>20190303170833794</v>
      </c>
      <c r="B3341" t="str">
        <f>"1551604113786244"</f>
        <v>1551604113786244</v>
      </c>
      <c r="C3341" t="s">
        <v>40</v>
      </c>
      <c r="D3341">
        <v>4.719125</v>
      </c>
      <c r="E3341">
        <v>0.51858309999999996</v>
      </c>
      <c r="F3341" t="s">
        <v>86</v>
      </c>
      <c r="G3341">
        <v>-320.29349999999999</v>
      </c>
      <c r="H3341">
        <v>0.49913869999999999</v>
      </c>
      <c r="I3341">
        <v>161.61760000000001</v>
      </c>
      <c r="J3341">
        <v>-218.18389999999999</v>
      </c>
      <c r="K3341">
        <v>1.1164240000000001</v>
      </c>
      <c r="L3341">
        <v>139.57130000000001</v>
      </c>
      <c r="M3341">
        <v>-0.99810929999999998</v>
      </c>
      <c r="N3341">
        <v>-1.4743289999999999E-2</v>
      </c>
      <c r="O3341">
        <v>5.9668640000000002E-2</v>
      </c>
      <c r="P3341">
        <v>-0.96663299999999996</v>
      </c>
      <c r="Q3341">
        <v>0.1909265</v>
      </c>
      <c r="R3341">
        <v>0.17078599999999999</v>
      </c>
      <c r="S3341">
        <v>-2.9954990000000001</v>
      </c>
      <c r="T3341">
        <v>-1.797342E-2</v>
      </c>
      <c r="U3341">
        <v>0.64404300000000003</v>
      </c>
      <c r="V3341">
        <v>0.11513039999999899</v>
      </c>
      <c r="W3341">
        <v>0.20398289999999999</v>
      </c>
      <c r="X3341">
        <v>0.97218099999999996</v>
      </c>
      <c r="Y3341">
        <v>0.15147629999999901</v>
      </c>
      <c r="Z3341">
        <v>2.0970239999999998E-3</v>
      </c>
      <c r="AA3341">
        <v>0.98845859999999997</v>
      </c>
      <c r="AB3341">
        <v>32</v>
      </c>
      <c r="AC3341">
        <v>-102.1096</v>
      </c>
      <c r="AD3341">
        <v>-0.61728530000000004</v>
      </c>
      <c r="AE3341">
        <v>22.046299999999999</v>
      </c>
      <c r="AF3341">
        <v>15.913050972341599</v>
      </c>
      <c r="AG3341">
        <v>-0.61728530000000004</v>
      </c>
      <c r="AH3341">
        <v>103.239636391418</v>
      </c>
      <c r="AI3341">
        <v>90.338577694930606</v>
      </c>
      <c r="AJ3341">
        <v>81.237557792019203</v>
      </c>
      <c r="AK3341">
        <v>104.460656491438</v>
      </c>
      <c r="AL3341">
        <v>78.230034112188093</v>
      </c>
      <c r="AM3341">
        <v>83.246210766696606</v>
      </c>
      <c r="AN3341">
        <v>0.99999996462878404</v>
      </c>
    </row>
    <row r="3342" spans="1:40" x14ac:dyDescent="0.25">
      <c r="A3342" t="str">
        <f>"20190303170833816"</f>
        <v>20190303170833816</v>
      </c>
      <c r="B3342" t="str">
        <f>"1551604113806741"</f>
        <v>1551604113806741</v>
      </c>
      <c r="C3342" t="s">
        <v>40</v>
      </c>
      <c r="D3342">
        <v>4.8367380000000004</v>
      </c>
      <c r="E3342">
        <v>0.51828669999999999</v>
      </c>
      <c r="F3342" t="s">
        <v>86</v>
      </c>
      <c r="G3342">
        <v>-320.29349999999999</v>
      </c>
      <c r="H3342">
        <v>0.23018820000000001</v>
      </c>
      <c r="I3342">
        <v>161.4658</v>
      </c>
      <c r="J3342">
        <v>-218.51</v>
      </c>
      <c r="K3342">
        <v>1.1167910000000001</v>
      </c>
      <c r="L3342">
        <v>139.5958</v>
      </c>
      <c r="M3342">
        <v>-0.99782570000000004</v>
      </c>
      <c r="N3342">
        <v>-1.471394E-2</v>
      </c>
      <c r="O3342">
        <v>6.4244609999999994E-2</v>
      </c>
      <c r="P3342">
        <v>-0.9663524</v>
      </c>
      <c r="Q3342">
        <v>0.1921639</v>
      </c>
      <c r="R3342">
        <v>0.17098569999999999</v>
      </c>
      <c r="S3342">
        <v>-2.9952390000000002</v>
      </c>
      <c r="T3342">
        <v>-2.5996450000000001E-2</v>
      </c>
      <c r="U3342">
        <v>0.64224239999999999</v>
      </c>
      <c r="V3342">
        <v>0.1107176</v>
      </c>
      <c r="W3342">
        <v>0.2053364</v>
      </c>
      <c r="X3342">
        <v>0.97240870000000001</v>
      </c>
      <c r="Y3342">
        <v>0.1463853</v>
      </c>
      <c r="Z3342">
        <v>2.1040249999999998E-3</v>
      </c>
      <c r="AA3342">
        <v>0.98922540000000003</v>
      </c>
      <c r="AB3342">
        <v>32</v>
      </c>
      <c r="AC3342">
        <v>-101.7835</v>
      </c>
      <c r="AD3342">
        <v>-0.88660280000000002</v>
      </c>
      <c r="AE3342">
        <v>21.87</v>
      </c>
      <c r="AF3342">
        <v>15.2839530087806</v>
      </c>
      <c r="AG3342">
        <v>-0.88660280000000002</v>
      </c>
      <c r="AH3342">
        <v>102.970901688984</v>
      </c>
      <c r="AI3342">
        <v>90.487971651191799</v>
      </c>
      <c r="AJ3342">
        <v>81.557239286549901</v>
      </c>
      <c r="AK3342">
        <v>104.102794769122</v>
      </c>
      <c r="AL3342">
        <v>78.150808336147705</v>
      </c>
      <c r="AM3342">
        <v>83.504326266860602</v>
      </c>
      <c r="AN3342">
        <v>1.0000000519751999</v>
      </c>
    </row>
    <row r="3343" spans="1:40" x14ac:dyDescent="0.25">
      <c r="A3343" t="str">
        <f>"20190303170833859"</f>
        <v>20190303170833859</v>
      </c>
      <c r="B3343" t="str">
        <f>"1551604113846757"</f>
        <v>1551604113846757</v>
      </c>
      <c r="C3343" t="s">
        <v>40</v>
      </c>
      <c r="D3343">
        <v>4.7162860000000002</v>
      </c>
      <c r="E3343">
        <v>0.51776540000000004</v>
      </c>
      <c r="F3343" t="s">
        <v>86</v>
      </c>
      <c r="G3343">
        <v>-320.29349999999999</v>
      </c>
      <c r="H3343">
        <v>0.38234879999999999</v>
      </c>
      <c r="I3343">
        <v>161.3724</v>
      </c>
      <c r="J3343">
        <v>-219.11429999999999</v>
      </c>
      <c r="K3343">
        <v>1.1174029999999999</v>
      </c>
      <c r="L3343">
        <v>139.64410000000001</v>
      </c>
      <c r="M3343">
        <v>-0.99731000000000003</v>
      </c>
      <c r="N3343">
        <v>-1.462873E-2</v>
      </c>
      <c r="O3343">
        <v>7.1824979999999997E-2</v>
      </c>
      <c r="P3343">
        <v>-0.96584840000000005</v>
      </c>
      <c r="Q3343">
        <v>0.1950876</v>
      </c>
      <c r="R3343">
        <v>0.17052220000000001</v>
      </c>
      <c r="S3343">
        <v>-2.9953460000000001</v>
      </c>
      <c r="T3343">
        <v>-2.16136E-2</v>
      </c>
      <c r="U3343">
        <v>0.64085389999999998</v>
      </c>
      <c r="V3343">
        <v>0.1026189</v>
      </c>
      <c r="W3343">
        <v>0.2084057</v>
      </c>
      <c r="X3343">
        <v>0.97264399999999995</v>
      </c>
      <c r="Y3343">
        <v>0.13842270000000001</v>
      </c>
      <c r="Z3343">
        <v>2.0482709999999999E-3</v>
      </c>
      <c r="AA3343">
        <v>0.99037109999999995</v>
      </c>
      <c r="AB3343">
        <v>32</v>
      </c>
      <c r="AC3343">
        <v>-101.17919999999999</v>
      </c>
      <c r="AD3343">
        <v>-0.73505419999999999</v>
      </c>
      <c r="AE3343">
        <v>21.728299999999901</v>
      </c>
      <c r="AF3343">
        <v>14.403471048975</v>
      </c>
      <c r="AG3343">
        <v>-0.73505419999999999</v>
      </c>
      <c r="AH3343">
        <v>102.473455234464</v>
      </c>
      <c r="AI3343">
        <v>90.406981862811506</v>
      </c>
      <c r="AJ3343">
        <v>81.999031644396595</v>
      </c>
      <c r="AK3343">
        <v>103.483376977297</v>
      </c>
      <c r="AL3343">
        <v>77.9710610048744</v>
      </c>
      <c r="AM3343">
        <v>83.977284186516002</v>
      </c>
      <c r="AN3343">
        <v>0.99999996258284896</v>
      </c>
    </row>
    <row r="3344" spans="1:40" x14ac:dyDescent="0.25">
      <c r="A3344" t="str">
        <f>"20190303170833880"</f>
        <v>20190303170833880</v>
      </c>
      <c r="B3344" t="str">
        <f>"1551604113877013"</f>
        <v>1551604113877013</v>
      </c>
      <c r="C3344" t="s">
        <v>40</v>
      </c>
      <c r="D3344">
        <v>4.83779</v>
      </c>
      <c r="E3344">
        <v>0.51749319999999999</v>
      </c>
      <c r="F3344" t="s">
        <v>83</v>
      </c>
      <c r="G3344">
        <v>-340.83949999999999</v>
      </c>
      <c r="H3344">
        <v>0.57990359999999996</v>
      </c>
      <c r="I3344">
        <v>165.3691</v>
      </c>
      <c r="J3344">
        <v>-219.42619999999999</v>
      </c>
      <c r="K3344">
        <v>1.11774</v>
      </c>
      <c r="L3344">
        <v>139.6704</v>
      </c>
      <c r="M3344">
        <v>-0.99706289999999997</v>
      </c>
      <c r="N3344">
        <v>-1.455479E-2</v>
      </c>
      <c r="O3344">
        <v>7.5190190000000004E-2</v>
      </c>
      <c r="P3344">
        <v>-0.9663486</v>
      </c>
      <c r="Q3344">
        <v>0.1940982</v>
      </c>
      <c r="R3344">
        <v>0.16880880000000001</v>
      </c>
      <c r="S3344">
        <v>-2.9969329999999998</v>
      </c>
      <c r="T3344">
        <v>-1.3233180000000001E-2</v>
      </c>
      <c r="U3344">
        <v>0.63336179999999997</v>
      </c>
      <c r="V3344">
        <v>9.7403649999999994E-2</v>
      </c>
      <c r="W3344">
        <v>0.20747940000000001</v>
      </c>
      <c r="X3344">
        <v>0.97337810000000002</v>
      </c>
      <c r="Y3344">
        <v>0.13260920000000001</v>
      </c>
      <c r="Z3344">
        <v>2.0231759999999998E-3</v>
      </c>
      <c r="AA3344">
        <v>0.9911664</v>
      </c>
      <c r="AB3344">
        <v>32</v>
      </c>
      <c r="AC3344">
        <v>-121.41330000000001</v>
      </c>
      <c r="AD3344">
        <v>-0.53783639999999999</v>
      </c>
      <c r="AE3344">
        <v>25.698699999999999</v>
      </c>
      <c r="AF3344">
        <v>16.495570166675599</v>
      </c>
      <c r="AG3344">
        <v>-0.53783639999999999</v>
      </c>
      <c r="AH3344">
        <v>122.999716437755</v>
      </c>
      <c r="AI3344">
        <v>90.248310545380903</v>
      </c>
      <c r="AJ3344">
        <v>82.361602872312304</v>
      </c>
      <c r="AK3344">
        <v>124.10206826191499</v>
      </c>
      <c r="AL3344">
        <v>78.025321188192805</v>
      </c>
      <c r="AM3344">
        <v>84.285569731725303</v>
      </c>
      <c r="AN3344">
        <v>1.00000004900864</v>
      </c>
    </row>
    <row r="3345" spans="1:40" x14ac:dyDescent="0.25">
      <c r="A3345" t="str">
        <f>"20190303170833904"</f>
        <v>20190303170833904</v>
      </c>
      <c r="B3345" t="str">
        <f>"1551604113896533"</f>
        <v>1551604113896533</v>
      </c>
      <c r="C3345" t="s">
        <v>40</v>
      </c>
      <c r="D3345">
        <v>4.7850409999999997</v>
      </c>
      <c r="E3345">
        <v>0.51741280000000001</v>
      </c>
      <c r="F3345" t="s">
        <v>86</v>
      </c>
      <c r="G3345">
        <v>-337.08839999999998</v>
      </c>
      <c r="H3345">
        <v>0.49340869999999998</v>
      </c>
      <c r="I3345">
        <v>164.26509999999999</v>
      </c>
      <c r="J3345">
        <v>-219.74959999999999</v>
      </c>
      <c r="K3345">
        <v>1.118112</v>
      </c>
      <c r="L3345">
        <v>139.69829999999999</v>
      </c>
      <c r="M3345">
        <v>-0.99682709999999997</v>
      </c>
      <c r="N3345">
        <v>-1.4456180000000001E-2</v>
      </c>
      <c r="O3345">
        <v>7.8273480000000006E-2</v>
      </c>
      <c r="P3345">
        <v>-0.96689230000000004</v>
      </c>
      <c r="Q3345">
        <v>0.193302</v>
      </c>
      <c r="R3345">
        <v>0.16659479999999999</v>
      </c>
      <c r="S3345">
        <v>-2.9981990000000001</v>
      </c>
      <c r="T3345">
        <v>-1.590884E-2</v>
      </c>
      <c r="U3345">
        <v>0.62670899999999996</v>
      </c>
      <c r="V3345">
        <v>9.1933580000000001E-2</v>
      </c>
      <c r="W3345">
        <v>0.20672740000000001</v>
      </c>
      <c r="X3345">
        <v>0.97406979999999999</v>
      </c>
      <c r="Y3345">
        <v>0.1273493</v>
      </c>
      <c r="Z3345">
        <v>1.9776099999999999E-3</v>
      </c>
      <c r="AA3345">
        <v>0.99185599999999996</v>
      </c>
      <c r="AB3345">
        <v>32</v>
      </c>
      <c r="AC3345">
        <v>-117.33880000000001</v>
      </c>
      <c r="AD3345">
        <v>-0.62470329999999996</v>
      </c>
      <c r="AE3345">
        <v>24.566800000000001</v>
      </c>
      <c r="AF3345">
        <v>15.305519695996599</v>
      </c>
      <c r="AG3345">
        <v>-0.62470329999999996</v>
      </c>
      <c r="AH3345">
        <v>118.89862168199799</v>
      </c>
      <c r="AI3345">
        <v>90.298570485023006</v>
      </c>
      <c r="AJ3345">
        <v>82.664797941243904</v>
      </c>
      <c r="AK3345">
        <v>119.881322253538</v>
      </c>
      <c r="AL3345">
        <v>78.069361733125902</v>
      </c>
      <c r="AM3345">
        <v>84.608344349304403</v>
      </c>
      <c r="AN3345">
        <v>0.99999998815720803</v>
      </c>
    </row>
    <row r="3346" spans="1:40" x14ac:dyDescent="0.25">
      <c r="A3346" t="str">
        <f>"20190303170833925"</f>
        <v>20190303170833925</v>
      </c>
      <c r="B3346" t="str">
        <f>"1551604113916053"</f>
        <v>1551604113916053</v>
      </c>
      <c r="C3346" t="s">
        <v>40</v>
      </c>
      <c r="D3346">
        <v>4.8366429999999996</v>
      </c>
      <c r="E3346">
        <v>0.49643809999999999</v>
      </c>
      <c r="F3346" t="s">
        <v>86</v>
      </c>
      <c r="G3346">
        <v>-320.29349999999999</v>
      </c>
      <c r="H3346">
        <v>0.51008390000000003</v>
      </c>
      <c r="I3346">
        <v>160.48320000000001</v>
      </c>
      <c r="J3346">
        <v>-220.0609</v>
      </c>
      <c r="K3346">
        <v>1.118512</v>
      </c>
      <c r="L3346">
        <v>139.72559999999999</v>
      </c>
      <c r="M3346">
        <v>-0.99663109999999999</v>
      </c>
      <c r="N3346">
        <v>-1.432903E-2</v>
      </c>
      <c r="O3346">
        <v>8.0755480000000004E-2</v>
      </c>
      <c r="P3346">
        <v>-0.96688569999999996</v>
      </c>
      <c r="Q3346">
        <v>0.194076</v>
      </c>
      <c r="R3346">
        <v>0.1657315</v>
      </c>
      <c r="S3346">
        <v>-2.9994960000000002</v>
      </c>
      <c r="T3346">
        <v>-1.8139120000000002E-2</v>
      </c>
      <c r="U3346">
        <v>0.62007139999999905</v>
      </c>
      <c r="V3346">
        <v>8.8430670000000003E-2</v>
      </c>
      <c r="W3346">
        <v>0.20749519999999999</v>
      </c>
      <c r="X3346">
        <v>0.97423079999999995</v>
      </c>
      <c r="Y3346">
        <v>0.122687</v>
      </c>
      <c r="Z3346">
        <v>1.9219650000000001E-3</v>
      </c>
      <c r="AA3346">
        <v>0.99244359999999998</v>
      </c>
      <c r="AB3346">
        <v>32</v>
      </c>
      <c r="AC3346">
        <v>-100.23260000000001</v>
      </c>
      <c r="AD3346">
        <v>-0.60842810000000003</v>
      </c>
      <c r="AE3346">
        <v>20.7576</v>
      </c>
      <c r="AF3346">
        <v>12.5941840588131</v>
      </c>
      <c r="AG3346">
        <v>-0.60842810000000003</v>
      </c>
      <c r="AH3346">
        <v>101.578040235785</v>
      </c>
      <c r="AI3346">
        <v>90.340576190776801</v>
      </c>
      <c r="AJ3346">
        <v>82.932234229956293</v>
      </c>
      <c r="AK3346">
        <v>102.35761776733</v>
      </c>
      <c r="AL3346">
        <v>78.0243945305712</v>
      </c>
      <c r="AM3346">
        <v>84.8134903405047</v>
      </c>
      <c r="AN3346">
        <v>0.99999994654416302</v>
      </c>
    </row>
    <row r="3347" spans="1:40" x14ac:dyDescent="0.25">
      <c r="A3347" t="str">
        <f>"20190303170833949"</f>
        <v>20190303170833949</v>
      </c>
      <c r="B3347" t="str">
        <f>"1551604113936548"</f>
        <v>1551604113936548</v>
      </c>
      <c r="C3347" t="s">
        <v>40</v>
      </c>
      <c r="D3347">
        <v>4.78207</v>
      </c>
      <c r="E3347">
        <v>0.4945445</v>
      </c>
      <c r="F3347" t="s">
        <v>83</v>
      </c>
      <c r="G3347">
        <v>-361.70209999999997</v>
      </c>
      <c r="H3347">
        <v>0.32235570000000002</v>
      </c>
      <c r="I3347">
        <v>160.77250000000001</v>
      </c>
      <c r="J3347">
        <v>-220.38409999999999</v>
      </c>
      <c r="K3347">
        <v>1.118984</v>
      </c>
      <c r="L3347">
        <v>139.7542</v>
      </c>
      <c r="M3347">
        <v>-0.99646729999999994</v>
      </c>
      <c r="N3347">
        <v>-1.4166059999999999E-2</v>
      </c>
      <c r="O3347">
        <v>8.2780580000000006E-2</v>
      </c>
      <c r="P3347">
        <v>-0.96643630000000003</v>
      </c>
      <c r="Q3347">
        <v>0.19589480000000001</v>
      </c>
      <c r="R3347">
        <v>0.16621240000000001</v>
      </c>
      <c r="S3347">
        <v>-3.029007</v>
      </c>
      <c r="T3347">
        <v>-1.702559E-2</v>
      </c>
      <c r="U3347">
        <v>0.4500885</v>
      </c>
      <c r="V3347">
        <v>8.6724309999999999E-2</v>
      </c>
      <c r="W3347">
        <v>0.20926420000000001</v>
      </c>
      <c r="X3347">
        <v>0.97400589999999998</v>
      </c>
      <c r="Y3347">
        <v>6.4584059999999999E-2</v>
      </c>
      <c r="Z3347">
        <v>1.348007E-3</v>
      </c>
      <c r="AA3347">
        <v>0.99791129999999995</v>
      </c>
      <c r="AB3347">
        <v>32</v>
      </c>
      <c r="AC3347">
        <v>-141.31799999999899</v>
      </c>
      <c r="AD3347">
        <v>-0.79662829999999996</v>
      </c>
      <c r="AE3347">
        <v>21.0183</v>
      </c>
      <c r="AF3347">
        <v>9.2463012558236404</v>
      </c>
      <c r="AG3347">
        <v>-0.79662829999999996</v>
      </c>
      <c r="AH3347">
        <v>142.56851965938</v>
      </c>
      <c r="AI3347">
        <v>90.319476394887801</v>
      </c>
      <c r="AJ3347">
        <v>86.2892710700186</v>
      </c>
      <c r="AK3347">
        <v>142.870261081265</v>
      </c>
      <c r="AL3347">
        <v>77.920764661043705</v>
      </c>
      <c r="AM3347">
        <v>84.911870693636203</v>
      </c>
      <c r="AN3347">
        <v>1.00000005229071</v>
      </c>
    </row>
    <row r="3348" spans="1:40" x14ac:dyDescent="0.25">
      <c r="A3348" t="str">
        <f>"20190303170833995"</f>
        <v>20190303170833995</v>
      </c>
      <c r="B3348" t="str">
        <f>"1551604113986325"</f>
        <v>1551604113986325</v>
      </c>
      <c r="C3348" t="s">
        <v>40</v>
      </c>
      <c r="D3348">
        <v>4.7769570000000003</v>
      </c>
      <c r="E3348">
        <v>0.49406099999999997</v>
      </c>
      <c r="F3348" t="s">
        <v>83</v>
      </c>
      <c r="G3348">
        <v>-368.59710000000001</v>
      </c>
      <c r="H3348">
        <v>0.50997150000000002</v>
      </c>
      <c r="I3348">
        <v>160.9203</v>
      </c>
      <c r="J3348">
        <v>-221.0198</v>
      </c>
      <c r="K3348">
        <v>1.1199330000000001</v>
      </c>
      <c r="L3348">
        <v>139.81030000000001</v>
      </c>
      <c r="M3348">
        <v>-0.99629449999999997</v>
      </c>
      <c r="N3348">
        <v>-1.379449E-2</v>
      </c>
      <c r="O3348">
        <v>8.489468E-2</v>
      </c>
      <c r="P3348">
        <v>-0.9669546</v>
      </c>
      <c r="Q3348">
        <v>0.19389819999999999</v>
      </c>
      <c r="R3348">
        <v>0.16553609999999999</v>
      </c>
      <c r="S3348">
        <v>-3.0322420000000001</v>
      </c>
      <c r="T3348">
        <v>-1.245928E-2</v>
      </c>
      <c r="U3348">
        <v>0.4330292</v>
      </c>
      <c r="V3348">
        <v>8.3422819999999995E-2</v>
      </c>
      <c r="W3348">
        <v>0.20713090000000001</v>
      </c>
      <c r="X3348">
        <v>0.97474989999999995</v>
      </c>
      <c r="Y3348">
        <v>5.6815289999999997E-2</v>
      </c>
      <c r="Z3348">
        <v>1.3318479999999901E-3</v>
      </c>
      <c r="AA3348">
        <v>0.99838380000000004</v>
      </c>
      <c r="AB3348">
        <v>32</v>
      </c>
      <c r="AC3348">
        <v>-147.57730000000001</v>
      </c>
      <c r="AD3348">
        <v>-0.60996149999999905</v>
      </c>
      <c r="AE3348">
        <v>21.1099999999999</v>
      </c>
      <c r="AF3348">
        <v>8.5039154914397503</v>
      </c>
      <c r="AG3348">
        <v>-0.60996149999999905</v>
      </c>
      <c r="AH3348">
        <v>148.83423970721901</v>
      </c>
      <c r="AI3348">
        <v>90.234429375997607</v>
      </c>
      <c r="AJ3348">
        <v>86.729856728291793</v>
      </c>
      <c r="AK3348">
        <v>149.07823295485801</v>
      </c>
      <c r="AL3348">
        <v>78.045731234793706</v>
      </c>
      <c r="AM3348">
        <v>85.108328243757001</v>
      </c>
      <c r="AN3348">
        <v>0.99999997209078495</v>
      </c>
    </row>
    <row r="3349" spans="1:40" x14ac:dyDescent="0.25">
      <c r="A3349" t="str">
        <f>"20190303170834016"</f>
        <v>20190303170834016</v>
      </c>
      <c r="B3349" t="str">
        <f>"1551604114006821"</f>
        <v>1551604114006821</v>
      </c>
      <c r="C3349" t="s">
        <v>40</v>
      </c>
      <c r="D3349">
        <v>4.7140870000000001</v>
      </c>
      <c r="E3349">
        <v>0.49408980000000002</v>
      </c>
      <c r="F3349" t="s">
        <v>46</v>
      </c>
      <c r="G3349">
        <v>-367.28989999999999</v>
      </c>
      <c r="H3349">
        <v>-0.05</v>
      </c>
      <c r="I3349">
        <v>160.36099999999999</v>
      </c>
      <c r="J3349">
        <v>-221.32660000000001</v>
      </c>
      <c r="K3349">
        <v>1.1202909999999999</v>
      </c>
      <c r="L3349">
        <v>139.83690000000001</v>
      </c>
      <c r="M3349">
        <v>-0.99626859999999995</v>
      </c>
      <c r="N3349">
        <v>-1.3614579999999999E-2</v>
      </c>
      <c r="O3349">
        <v>8.5228399999999996E-2</v>
      </c>
      <c r="P3349">
        <v>-0.9671111</v>
      </c>
      <c r="Q3349">
        <v>0.19333510000000001</v>
      </c>
      <c r="R3349">
        <v>0.16528119999999999</v>
      </c>
      <c r="S3349">
        <v>-3.0344090000000001</v>
      </c>
      <c r="T3349">
        <v>-2.4270529999999998E-2</v>
      </c>
      <c r="U3349">
        <v>0.4263306</v>
      </c>
      <c r="V3349">
        <v>8.2627950000000006E-2</v>
      </c>
      <c r="W3349">
        <v>0.2064754</v>
      </c>
      <c r="X3349">
        <v>0.97495670000000001</v>
      </c>
      <c r="Y3349">
        <v>5.4215329999999999E-2</v>
      </c>
      <c r="Z3349">
        <v>1.067466E-3</v>
      </c>
      <c r="AA3349">
        <v>0.99852870000000005</v>
      </c>
      <c r="AB3349">
        <v>31</v>
      </c>
      <c r="AC3349">
        <v>-145.96329999999901</v>
      </c>
      <c r="AD3349">
        <v>-1.170291</v>
      </c>
      <c r="AE3349">
        <v>20.524099999999901</v>
      </c>
      <c r="AF3349">
        <v>8.00753384612986</v>
      </c>
      <c r="AG3349">
        <v>-1.170291</v>
      </c>
      <c r="AH3349">
        <v>147.17222606978501</v>
      </c>
      <c r="AI3349">
        <v>90.454924813654998</v>
      </c>
      <c r="AJ3349">
        <v>86.8856490699701</v>
      </c>
      <c r="AK3349">
        <v>147.39455317499801</v>
      </c>
      <c r="AL3349">
        <v>78.084119006957593</v>
      </c>
      <c r="AM3349">
        <v>85.155737007492803</v>
      </c>
      <c r="AN3349">
        <v>1.0000000179006201</v>
      </c>
    </row>
    <row r="3350" spans="1:40" x14ac:dyDescent="0.25">
      <c r="A3350" t="str">
        <f>"20190303170834038"</f>
        <v>20190303170834038</v>
      </c>
      <c r="B3350" t="str">
        <f>"1551604114026341"</f>
        <v>1551604114026341</v>
      </c>
      <c r="C3350" t="s">
        <v>40</v>
      </c>
      <c r="D3350">
        <v>4.8409940000000002</v>
      </c>
      <c r="E3350">
        <v>0.49418600000000001</v>
      </c>
      <c r="F3350" t="s">
        <v>46</v>
      </c>
      <c r="G3350">
        <v>-353.8297</v>
      </c>
      <c r="H3350">
        <v>-0.05</v>
      </c>
      <c r="I3350">
        <v>158.3963</v>
      </c>
      <c r="J3350">
        <v>-221.6386</v>
      </c>
      <c r="K3350">
        <v>1.120601</v>
      </c>
      <c r="L3350">
        <v>139.8638</v>
      </c>
      <c r="M3350">
        <v>-0.99627500000000002</v>
      </c>
      <c r="N3350">
        <v>-1.3432700000000001E-2</v>
      </c>
      <c r="O3350">
        <v>8.5181380000000001E-2</v>
      </c>
      <c r="P3350">
        <v>-0.96716060000000004</v>
      </c>
      <c r="Q3350">
        <v>0.19323399999999999</v>
      </c>
      <c r="R3350">
        <v>0.1651096</v>
      </c>
      <c r="S3350">
        <v>-3.0347140000000001</v>
      </c>
      <c r="T3350">
        <v>-2.680314E-2</v>
      </c>
      <c r="U3350">
        <v>0.4250641</v>
      </c>
      <c r="V3350">
        <v>8.2332719999999998E-2</v>
      </c>
      <c r="W3350">
        <v>0.20626410000000001</v>
      </c>
      <c r="X3350">
        <v>0.97502639999999996</v>
      </c>
      <c r="Y3350">
        <v>5.3839110000000003E-2</v>
      </c>
      <c r="Z3350">
        <v>9.9458269999999995E-4</v>
      </c>
      <c r="AA3350">
        <v>0.99854909999999997</v>
      </c>
      <c r="AB3350">
        <v>31</v>
      </c>
      <c r="AC3350">
        <v>-132.19110000000001</v>
      </c>
      <c r="AD3350">
        <v>-1.170601</v>
      </c>
      <c r="AE3350">
        <v>18.532499999999999</v>
      </c>
      <c r="AF3350">
        <v>7.2033414406406502</v>
      </c>
      <c r="AG3350">
        <v>-1.170601</v>
      </c>
      <c r="AH3350">
        <v>133.27907581563201</v>
      </c>
      <c r="AI3350">
        <v>90.502487236946195</v>
      </c>
      <c r="AJ3350">
        <v>86.906341832199104</v>
      </c>
      <c r="AK3350">
        <v>133.47872671283901</v>
      </c>
      <c r="AL3350">
        <v>78.096491947598395</v>
      </c>
      <c r="AM3350">
        <v>85.173307080685007</v>
      </c>
      <c r="AN3350">
        <v>1.0000000182141799</v>
      </c>
    </row>
    <row r="3351" spans="1:40" x14ac:dyDescent="0.25">
      <c r="A3351" t="str">
        <f>"20190303170834063"</f>
        <v>20190303170834063</v>
      </c>
      <c r="B3351" t="str">
        <f>"1551604114056597"</f>
        <v>1551604114056597</v>
      </c>
      <c r="C3351" t="s">
        <v>40</v>
      </c>
      <c r="D3351">
        <v>4.8998980000000003</v>
      </c>
      <c r="E3351">
        <v>0.49460860000000001</v>
      </c>
      <c r="F3351" t="s">
        <v>46</v>
      </c>
      <c r="G3351">
        <v>-352.62139999999999</v>
      </c>
      <c r="H3351">
        <v>-0.05</v>
      </c>
      <c r="I3351">
        <v>158.0746</v>
      </c>
      <c r="J3351">
        <v>-221.98140000000001</v>
      </c>
      <c r="K3351">
        <v>1.1209579999999999</v>
      </c>
      <c r="L3351">
        <v>139.89279999999999</v>
      </c>
      <c r="M3351">
        <v>-0.99632730000000003</v>
      </c>
      <c r="N3351">
        <v>-1.3223240000000001E-2</v>
      </c>
      <c r="O3351">
        <v>8.4598999999999994E-2</v>
      </c>
      <c r="P3351">
        <v>-0.96721679999999999</v>
      </c>
      <c r="Q3351">
        <v>0.19294140000000001</v>
      </c>
      <c r="R3351">
        <v>0.16512170000000001</v>
      </c>
      <c r="S3351">
        <v>-3.0352480000000002</v>
      </c>
      <c r="T3351">
        <v>-2.7126190000000001E-2</v>
      </c>
      <c r="U3351">
        <v>0.42199710000000001</v>
      </c>
      <c r="V3351">
        <v>8.2727099999999998E-2</v>
      </c>
      <c r="W3351">
        <v>0.20584089999999999</v>
      </c>
      <c r="X3351">
        <v>0.97508249999999996</v>
      </c>
      <c r="Y3351">
        <v>5.3409030000000003E-2</v>
      </c>
      <c r="Z3351">
        <v>9.5772420000000004E-4</v>
      </c>
      <c r="AA3351">
        <v>0.99857220000000002</v>
      </c>
      <c r="AB3351">
        <v>32</v>
      </c>
      <c r="AC3351">
        <v>-130.63999999999999</v>
      </c>
      <c r="AD3351">
        <v>-1.1709579999999999</v>
      </c>
      <c r="AE3351">
        <v>18.181799999999999</v>
      </c>
      <c r="AF3351">
        <v>7.0630714939460102</v>
      </c>
      <c r="AG3351">
        <v>-1.1709579999999999</v>
      </c>
      <c r="AH3351">
        <v>131.699500800853</v>
      </c>
      <c r="AI3351">
        <v>90.508680100758298</v>
      </c>
      <c r="AJ3351">
        <v>86.930156389173703</v>
      </c>
      <c r="AK3351">
        <v>131.893959803928</v>
      </c>
      <c r="AL3351">
        <v>78.121271831932901</v>
      </c>
      <c r="AM3351">
        <v>85.150574554850905</v>
      </c>
      <c r="AN3351">
        <v>1.00000006549673</v>
      </c>
    </row>
    <row r="3352" spans="1:40" x14ac:dyDescent="0.25">
      <c r="A3352" t="str">
        <f>"20190303170834083"</f>
        <v>20190303170834083</v>
      </c>
      <c r="B3352" t="str">
        <f>"1551604114076117"</f>
        <v>1551604114076117</v>
      </c>
      <c r="C3352" t="s">
        <v>40</v>
      </c>
      <c r="D3352">
        <v>4.896808</v>
      </c>
      <c r="E3352">
        <v>0.49481520000000001</v>
      </c>
      <c r="F3352" t="s">
        <v>46</v>
      </c>
      <c r="G3352">
        <v>-347.41770000000002</v>
      </c>
      <c r="H3352">
        <v>-0.05</v>
      </c>
      <c r="I3352">
        <v>157.4315</v>
      </c>
      <c r="J3352">
        <v>-222.27850000000001</v>
      </c>
      <c r="K3352">
        <v>1.1212799999999901</v>
      </c>
      <c r="L3352">
        <v>139.91749999999999</v>
      </c>
      <c r="M3352">
        <v>-0.99640759999999995</v>
      </c>
      <c r="N3352">
        <v>-1.303607E-2</v>
      </c>
      <c r="O3352">
        <v>8.3678580000000002E-2</v>
      </c>
      <c r="P3352">
        <v>-0.96785379999999999</v>
      </c>
      <c r="Q3352">
        <v>0.19209409999999999</v>
      </c>
      <c r="R3352">
        <v>0.16235479999999899</v>
      </c>
      <c r="S3352">
        <v>-3.0349119999999998</v>
      </c>
      <c r="T3352">
        <v>-2.8331160000000001E-2</v>
      </c>
      <c r="U3352">
        <v>0.42434690000000003</v>
      </c>
      <c r="V3352">
        <v>8.0648490000000003E-2</v>
      </c>
      <c r="W3352">
        <v>0.20488329999999999</v>
      </c>
      <c r="X3352">
        <v>0.97545820000000005</v>
      </c>
      <c r="Y3352">
        <v>5.5104430000000003E-2</v>
      </c>
      <c r="Z3352">
        <v>9.2952810000000003E-4</v>
      </c>
      <c r="AA3352">
        <v>0.99848009999999998</v>
      </c>
      <c r="AB3352">
        <v>32</v>
      </c>
      <c r="AC3352">
        <v>-125.1392</v>
      </c>
      <c r="AD3352">
        <v>-1.1712800000000001</v>
      </c>
      <c r="AE3352">
        <v>17.513999999999999</v>
      </c>
      <c r="AF3352">
        <v>6.9796050478534699</v>
      </c>
      <c r="AG3352">
        <v>-1.1712800000000001</v>
      </c>
      <c r="AH3352">
        <v>126.15506825305</v>
      </c>
      <c r="AI3352">
        <v>90.531132114124304</v>
      </c>
      <c r="AJ3352">
        <v>86.833304897818493</v>
      </c>
      <c r="AK3352">
        <v>126.35342507979</v>
      </c>
      <c r="AL3352">
        <v>78.177332644078405</v>
      </c>
      <c r="AM3352">
        <v>85.273675057495893</v>
      </c>
      <c r="AN3352">
        <v>1.0000000227526999</v>
      </c>
    </row>
    <row r="3353" spans="1:40" x14ac:dyDescent="0.25">
      <c r="A3353" t="str">
        <f>"20190303170834105"</f>
        <v>20190303170834105</v>
      </c>
      <c r="B3353" t="str">
        <f>"1551604114096613"</f>
        <v>1551604114096613</v>
      </c>
      <c r="C3353" t="s">
        <v>40</v>
      </c>
      <c r="D3353">
        <v>4.8350809999999997</v>
      </c>
      <c r="E3353">
        <v>0.49497419999999998</v>
      </c>
      <c r="F3353" t="s">
        <v>43</v>
      </c>
      <c r="G3353">
        <v>-320.22770000000003</v>
      </c>
      <c r="H3353">
        <v>7.9985600000000004E-2</v>
      </c>
      <c r="I3353">
        <v>153.39089999999999</v>
      </c>
      <c r="J3353">
        <v>-222.57599999999999</v>
      </c>
      <c r="K3353">
        <v>1.121607</v>
      </c>
      <c r="L3353">
        <v>139.94149999999999</v>
      </c>
      <c r="M3353">
        <v>-0.9965136</v>
      </c>
      <c r="N3353">
        <v>-1.284326E-2</v>
      </c>
      <c r="O3353">
        <v>8.2435800000000004E-2</v>
      </c>
      <c r="P3353">
        <v>-0.96848599999999996</v>
      </c>
      <c r="Q3353">
        <v>0.1911428</v>
      </c>
      <c r="R3353">
        <v>0.15968499999999999</v>
      </c>
      <c r="S3353">
        <v>-3.0359799999999999</v>
      </c>
      <c r="T3353">
        <v>-3.2275440000000002E-2</v>
      </c>
      <c r="U3353">
        <v>0.41761779999999998</v>
      </c>
      <c r="V3353">
        <v>7.8982700000000003E-2</v>
      </c>
      <c r="W3353">
        <v>0.20381440000000001</v>
      </c>
      <c r="X3353">
        <v>0.97581830000000003</v>
      </c>
      <c r="Y3353">
        <v>5.4129049999999998E-2</v>
      </c>
      <c r="Z3353">
        <v>8.2159319999999998E-4</v>
      </c>
      <c r="AA3353">
        <v>0.99853360000000002</v>
      </c>
      <c r="AB3353">
        <v>32</v>
      </c>
      <c r="AC3353">
        <v>-97.651700000000005</v>
      </c>
      <c r="AD3353">
        <v>-1.0416213999999999</v>
      </c>
      <c r="AE3353">
        <v>13.449399999999899</v>
      </c>
      <c r="AF3353">
        <v>5.3523579485103099</v>
      </c>
      <c r="AG3353">
        <v>-1.0416213999999999</v>
      </c>
      <c r="AH3353">
        <v>98.417089729128307</v>
      </c>
      <c r="AI3353">
        <v>90.605486604105295</v>
      </c>
      <c r="AJ3353">
        <v>86.887067916644696</v>
      </c>
      <c r="AK3353">
        <v>98.568028597011207</v>
      </c>
      <c r="AL3353">
        <v>78.239895633336502</v>
      </c>
      <c r="AM3353">
        <v>85.372569157593702</v>
      </c>
      <c r="AN3353">
        <v>0.99999996558076898</v>
      </c>
    </row>
    <row r="3354" spans="1:40" x14ac:dyDescent="0.25">
      <c r="A3354" t="str">
        <f>"20190303170834126"</f>
        <v>20190303170834126</v>
      </c>
      <c r="B3354" t="str">
        <f>"1551604114116133"</f>
        <v>1551604114116133</v>
      </c>
      <c r="C3354" t="s">
        <v>40</v>
      </c>
      <c r="D3354">
        <v>4.9545110000000001</v>
      </c>
      <c r="E3354">
        <v>0.49507640000000003</v>
      </c>
      <c r="F3354" t="s">
        <v>58</v>
      </c>
      <c r="G3354">
        <v>-310.98739999999998</v>
      </c>
      <c r="H3354">
        <v>7.9984760000000002E-2</v>
      </c>
      <c r="I3354">
        <v>151.9314</v>
      </c>
      <c r="J3354">
        <v>-222.88239999999999</v>
      </c>
      <c r="K3354">
        <v>1.1219079999999999</v>
      </c>
      <c r="L3354">
        <v>139.96539999999999</v>
      </c>
      <c r="M3354">
        <v>-0.99664379999999997</v>
      </c>
      <c r="N3354">
        <v>-1.263937E-2</v>
      </c>
      <c r="O3354">
        <v>8.0878989999999998E-2</v>
      </c>
      <c r="P3354">
        <v>-0.96878220000000004</v>
      </c>
      <c r="Q3354">
        <v>0.19169</v>
      </c>
      <c r="R3354">
        <v>0.157213299999999</v>
      </c>
      <c r="S3354">
        <v>-3.0367890000000002</v>
      </c>
      <c r="T3354">
        <v>-3.5778049999999999E-2</v>
      </c>
      <c r="U3354">
        <v>0.4118347</v>
      </c>
      <c r="V3354">
        <v>7.7858289999999997E-2</v>
      </c>
      <c r="W3354">
        <v>0.20422370000000001</v>
      </c>
      <c r="X3354">
        <v>0.97582310000000005</v>
      </c>
      <c r="Y3354">
        <v>5.3785350000000003E-2</v>
      </c>
      <c r="Z3354">
        <v>7.3032659999999999E-4</v>
      </c>
      <c r="AA3354">
        <v>0.99855229999999995</v>
      </c>
      <c r="AB3354">
        <v>32</v>
      </c>
      <c r="AC3354">
        <v>-88.104999999999905</v>
      </c>
      <c r="AD3354">
        <v>-1.04192323999999</v>
      </c>
      <c r="AE3354">
        <v>11.965999999999999</v>
      </c>
      <c r="AF3354">
        <v>4.7997205866799897</v>
      </c>
      <c r="AG3354">
        <v>-1.04192323999999</v>
      </c>
      <c r="AH3354">
        <v>88.772000666628202</v>
      </c>
      <c r="AI3354">
        <v>90.671473065040303</v>
      </c>
      <c r="AJ3354">
        <v>86.905147764733499</v>
      </c>
      <c r="AK3354">
        <v>88.907766950385707</v>
      </c>
      <c r="AL3354">
        <v>78.215940767240994</v>
      </c>
      <c r="AM3354">
        <v>85.438188282256405</v>
      </c>
      <c r="AN3354">
        <v>0.99999997772851101</v>
      </c>
    </row>
    <row r="3355" spans="1:40" x14ac:dyDescent="0.25">
      <c r="A3355" t="str">
        <f>"20190303170834152"</f>
        <v>20190303170834152</v>
      </c>
      <c r="B3355" t="str">
        <f>"1551604114146388"</f>
        <v>1551604114146388</v>
      </c>
      <c r="C3355" t="s">
        <v>40</v>
      </c>
      <c r="D3355">
        <v>4.9578730000000002</v>
      </c>
      <c r="E3355">
        <v>0.49538110000000002</v>
      </c>
      <c r="F3355" t="s">
        <v>58</v>
      </c>
      <c r="G3355">
        <v>-314.52600000000001</v>
      </c>
      <c r="H3355">
        <v>7.9984550000000001E-2</v>
      </c>
      <c r="I3355">
        <v>152.18530000000001</v>
      </c>
      <c r="J3355">
        <v>-223.2251</v>
      </c>
      <c r="K3355">
        <v>1.1221890000000001</v>
      </c>
      <c r="L3355">
        <v>139.9913</v>
      </c>
      <c r="M3355">
        <v>-0.99680840000000004</v>
      </c>
      <c r="N3355">
        <v>-1.2398370000000001E-2</v>
      </c>
      <c r="O3355">
        <v>7.8862249999999995E-2</v>
      </c>
      <c r="P3355">
        <v>-0.96906619999999999</v>
      </c>
      <c r="Q3355">
        <v>0.1930983</v>
      </c>
      <c r="R3355">
        <v>0.153699799999999</v>
      </c>
      <c r="S3355">
        <v>-3.0377809999999998</v>
      </c>
      <c r="T3355">
        <v>-3.4537430000000001E-2</v>
      </c>
      <c r="U3355">
        <v>0.40505980000000003</v>
      </c>
      <c r="V3355">
        <v>7.6164019999999999E-2</v>
      </c>
      <c r="W3355">
        <v>0.20544519999999999</v>
      </c>
      <c r="X3355">
        <v>0.97570040000000002</v>
      </c>
      <c r="Y3355">
        <v>5.3575659999999997E-2</v>
      </c>
      <c r="Z3355">
        <v>7.2160690000000005E-4</v>
      </c>
      <c r="AA3355">
        <v>0.99856350000000005</v>
      </c>
      <c r="AB3355">
        <v>32</v>
      </c>
      <c r="AC3355">
        <v>-91.300899999999999</v>
      </c>
      <c r="AD3355">
        <v>-1.0422044499999901</v>
      </c>
      <c r="AE3355">
        <v>12.194000000000001</v>
      </c>
      <c r="AF3355">
        <v>4.9546339110620501</v>
      </c>
      <c r="AG3355">
        <v>-1.0422044499999901</v>
      </c>
      <c r="AH3355">
        <v>91.966448319354299</v>
      </c>
      <c r="AI3355">
        <v>90.648333196013894</v>
      </c>
      <c r="AJ3355">
        <v>86.916207528910206</v>
      </c>
      <c r="AK3355">
        <v>92.1057121126845</v>
      </c>
      <c r="AL3355">
        <v>78.144437883002794</v>
      </c>
      <c r="AM3355">
        <v>85.536493166156703</v>
      </c>
      <c r="AN3355">
        <v>0.99999997935287999</v>
      </c>
    </row>
    <row r="3356" spans="1:40" x14ac:dyDescent="0.25">
      <c r="A3356" t="str">
        <f>"20190303170834194"</f>
        <v>20190303170834194</v>
      </c>
      <c r="B3356" t="str">
        <f>"1551604114186405"</f>
        <v>1551604114186405</v>
      </c>
      <c r="C3356" t="s">
        <v>40</v>
      </c>
      <c r="D3356">
        <v>4.7640419999999999</v>
      </c>
      <c r="E3356">
        <v>0.4956216</v>
      </c>
      <c r="F3356" t="s">
        <v>43</v>
      </c>
      <c r="G3356">
        <v>-326.95100000000002</v>
      </c>
      <c r="H3356">
        <v>7.9986130000000003E-2</v>
      </c>
      <c r="I3356">
        <v>153.49260000000001</v>
      </c>
      <c r="J3356">
        <v>-223.82380000000001</v>
      </c>
      <c r="K3356">
        <v>1.1224430000000001</v>
      </c>
      <c r="L3356">
        <v>140.0342</v>
      </c>
      <c r="M3356">
        <v>-0.99712089999999998</v>
      </c>
      <c r="N3356">
        <v>-1.195392E-2</v>
      </c>
      <c r="O3356">
        <v>7.4882160000000003E-2</v>
      </c>
      <c r="P3356">
        <v>-0.97060919999999895</v>
      </c>
      <c r="Q3356">
        <v>0.19405159999999999</v>
      </c>
      <c r="R3356">
        <v>0.14234569999999999</v>
      </c>
      <c r="S3356">
        <v>-3.0391080000000001</v>
      </c>
      <c r="T3356">
        <v>-3.0535940000000001E-2</v>
      </c>
      <c r="U3356">
        <v>0.39558409999999999</v>
      </c>
      <c r="V3356">
        <v>6.8485939999999995E-2</v>
      </c>
      <c r="W3356">
        <v>0.20599390000000001</v>
      </c>
      <c r="X3356">
        <v>0.97615379999999996</v>
      </c>
      <c r="Y3356">
        <v>5.4446359999999999E-2</v>
      </c>
      <c r="Z3356">
        <v>7.4454740000000005E-4</v>
      </c>
      <c r="AA3356">
        <v>0.99851639999999997</v>
      </c>
      <c r="AB3356">
        <v>32</v>
      </c>
      <c r="AC3356">
        <v>-103.12719999999899</v>
      </c>
      <c r="AD3356">
        <v>-1.0424568700000001</v>
      </c>
      <c r="AE3356">
        <v>13.458399999999999</v>
      </c>
      <c r="AF3356">
        <v>5.69709822466164</v>
      </c>
      <c r="AG3356">
        <v>-1.0424568700000001</v>
      </c>
      <c r="AH3356">
        <v>103.835051293239</v>
      </c>
      <c r="AI3356">
        <v>90.574340561838298</v>
      </c>
      <c r="AJ3356">
        <v>86.859512059260794</v>
      </c>
      <c r="AK3356">
        <v>103.99644956236099</v>
      </c>
      <c r="AL3356">
        <v>78.112313121748898</v>
      </c>
      <c r="AM3356">
        <v>85.986763564706294</v>
      </c>
      <c r="AN3356">
        <v>1.00000002603466</v>
      </c>
    </row>
    <row r="3357" spans="1:40" x14ac:dyDescent="0.25">
      <c r="A3357" t="str">
        <f>"20190303170834216"</f>
        <v>20190303170834216</v>
      </c>
      <c r="B3357" t="str">
        <f>"1551604114206901"</f>
        <v>1551604114206901</v>
      </c>
      <c r="C3357" t="s">
        <v>40</v>
      </c>
      <c r="D3357">
        <v>4.9603769999999896</v>
      </c>
      <c r="E3357">
        <v>0.49581710000000001</v>
      </c>
      <c r="F3357" t="s">
        <v>43</v>
      </c>
      <c r="G3357">
        <v>-335.68180000000001</v>
      </c>
      <c r="H3357">
        <v>7.9985550000000002E-2</v>
      </c>
      <c r="I3357">
        <v>153.44409999999999</v>
      </c>
      <c r="J3357">
        <v>-224.15029999999999</v>
      </c>
      <c r="K3357">
        <v>1.1225069999999999</v>
      </c>
      <c r="L3357">
        <v>140.0565</v>
      </c>
      <c r="M3357">
        <v>-0.99729279999999998</v>
      </c>
      <c r="N3357">
        <v>-1.17146E-2</v>
      </c>
      <c r="O3357">
        <v>7.2596129999999995E-2</v>
      </c>
      <c r="P3357">
        <v>-0.97111049999999999</v>
      </c>
      <c r="Q3357">
        <v>0.1953135</v>
      </c>
      <c r="R3357">
        <v>0.137103799999999</v>
      </c>
      <c r="S3357">
        <v>-3.043015</v>
      </c>
      <c r="T3357">
        <v>-2.8359289999999999E-2</v>
      </c>
      <c r="U3357">
        <v>0.3648071</v>
      </c>
      <c r="V3357">
        <v>6.5422980000000006E-2</v>
      </c>
      <c r="W3357">
        <v>0.20702219999999999</v>
      </c>
      <c r="X3357">
        <v>0.97614630000000002</v>
      </c>
      <c r="Y3357">
        <v>4.6627780000000001E-2</v>
      </c>
      <c r="Z3357">
        <v>6.665703E-4</v>
      </c>
      <c r="AA3357">
        <v>0.99891209999999997</v>
      </c>
      <c r="AB3357">
        <v>32</v>
      </c>
      <c r="AC3357">
        <v>-111.53149999999999</v>
      </c>
      <c r="AD3357">
        <v>-1.04252145</v>
      </c>
      <c r="AE3357">
        <v>13.3875999999999</v>
      </c>
      <c r="AF3357">
        <v>5.2545088807224802</v>
      </c>
      <c r="AG3357">
        <v>-1.04252145</v>
      </c>
      <c r="AH3357">
        <v>112.19946542336599</v>
      </c>
      <c r="AI3357">
        <v>90.531775889712407</v>
      </c>
      <c r="AJ3357">
        <v>87.318691561707496</v>
      </c>
      <c r="AK3357">
        <v>112.32727520883</v>
      </c>
      <c r="AL3357">
        <v>78.052097347032699</v>
      </c>
      <c r="AM3357">
        <v>86.165674002105206</v>
      </c>
      <c r="AN3357">
        <v>0.99999997830430498</v>
      </c>
    </row>
    <row r="3358" spans="1:40" x14ac:dyDescent="0.25">
      <c r="A3358" t="str">
        <f>"20190303170834239"</f>
        <v>20190303170834239</v>
      </c>
      <c r="B3358" t="str">
        <f>"1551604114226421"</f>
        <v>1551604114226421</v>
      </c>
      <c r="C3358" t="s">
        <v>40</v>
      </c>
      <c r="D3358">
        <v>4.952528</v>
      </c>
      <c r="E3358">
        <v>0.4960541</v>
      </c>
      <c r="F3358" t="s">
        <v>46</v>
      </c>
      <c r="G3358">
        <v>-365.85509999999999</v>
      </c>
      <c r="H3358">
        <v>-0.05</v>
      </c>
      <c r="I3358">
        <v>156.46639999999999</v>
      </c>
      <c r="J3358">
        <v>-224.45410000000001</v>
      </c>
      <c r="K3358">
        <v>1.1225369999999999</v>
      </c>
      <c r="L3358">
        <v>140.07650000000001</v>
      </c>
      <c r="M3358">
        <v>-0.99744849999999996</v>
      </c>
      <c r="N3358">
        <v>-1.1488480000000001E-2</v>
      </c>
      <c r="O3358">
        <v>7.0459469999999996E-2</v>
      </c>
      <c r="P3358">
        <v>-0.97157320000000003</v>
      </c>
      <c r="Q3358">
        <v>0.19658439999999999</v>
      </c>
      <c r="R3358">
        <v>0.13190940000000001</v>
      </c>
      <c r="S3358">
        <v>-3.04454</v>
      </c>
      <c r="T3358">
        <v>-2.5191430000000001E-2</v>
      </c>
      <c r="U3358">
        <v>0.35256959999999998</v>
      </c>
      <c r="V3358">
        <v>6.2277840000000001E-2</v>
      </c>
      <c r="W3358">
        <v>0.20806659999999999</v>
      </c>
      <c r="X3358">
        <v>0.97613000000000005</v>
      </c>
      <c r="Y3358">
        <v>4.4749560000000001E-2</v>
      </c>
      <c r="Z3358">
        <v>6.7048119999999997E-4</v>
      </c>
      <c r="AA3358">
        <v>0.99899800000000005</v>
      </c>
      <c r="AB3358">
        <v>32</v>
      </c>
      <c r="AC3358">
        <v>-141.40099999999899</v>
      </c>
      <c r="AD3358">
        <v>-1.1725369999999999</v>
      </c>
      <c r="AE3358">
        <v>16.389899999999901</v>
      </c>
      <c r="AF3358">
        <v>6.38502973033932</v>
      </c>
      <c r="AG3358">
        <v>-1.1725369999999999</v>
      </c>
      <c r="AH3358">
        <v>142.19477350502501</v>
      </c>
      <c r="AI3358">
        <v>90.471974282124194</v>
      </c>
      <c r="AJ3358">
        <v>87.428951403624893</v>
      </c>
      <c r="AK3358">
        <v>142.342885525828</v>
      </c>
      <c r="AL3358">
        <v>77.990926017026595</v>
      </c>
      <c r="AM3358">
        <v>86.3494333701301</v>
      </c>
      <c r="AN3358">
        <v>1.00000000814531</v>
      </c>
    </row>
    <row r="3359" spans="1:40" x14ac:dyDescent="0.25">
      <c r="A3359" t="str">
        <f>"20190303170834261"</f>
        <v>20190303170834261</v>
      </c>
      <c r="B3359" t="str">
        <f>"1551604114256677"</f>
        <v>1551604114256677</v>
      </c>
      <c r="C3359" t="s">
        <v>40</v>
      </c>
      <c r="D3359">
        <v>4.836055</v>
      </c>
      <c r="E3359">
        <v>0.49624410000000002</v>
      </c>
      <c r="F3359" t="s">
        <v>46</v>
      </c>
      <c r="G3359">
        <v>-389.14170000000001</v>
      </c>
      <c r="H3359">
        <v>-0.05</v>
      </c>
      <c r="I3359">
        <v>158.4256</v>
      </c>
      <c r="J3359">
        <v>-224.78059999999999</v>
      </c>
      <c r="K3359">
        <v>1.1225369999999999</v>
      </c>
      <c r="L3359">
        <v>140.09739999999999</v>
      </c>
      <c r="M3359">
        <v>-0.99760950000000004</v>
      </c>
      <c r="N3359">
        <v>-1.122006E-2</v>
      </c>
      <c r="O3359">
        <v>6.8187479999999995E-2</v>
      </c>
      <c r="P3359">
        <v>-0.97201439999999995</v>
      </c>
      <c r="Q3359">
        <v>0.1983105</v>
      </c>
      <c r="R3359">
        <v>0.12594130000000001</v>
      </c>
      <c r="S3359">
        <v>-3.0460820000000002</v>
      </c>
      <c r="T3359">
        <v>-2.1687390000000001E-2</v>
      </c>
      <c r="U3359">
        <v>0.33938600000000002</v>
      </c>
      <c r="V3359">
        <v>5.8499339999999997E-2</v>
      </c>
      <c r="W3359">
        <v>0.20951880000000001</v>
      </c>
      <c r="X3359">
        <v>0.97605310000000001</v>
      </c>
      <c r="Y3359">
        <v>4.2699689999999998E-2</v>
      </c>
      <c r="Z3359">
        <v>6.7251009999999903E-4</v>
      </c>
      <c r="AA3359">
        <v>0.99908779999999997</v>
      </c>
      <c r="AB3359">
        <v>32</v>
      </c>
      <c r="AC3359">
        <v>-164.36109999999999</v>
      </c>
      <c r="AD3359">
        <v>-1.1725369999999999</v>
      </c>
      <c r="AE3359">
        <v>18.328199999999999</v>
      </c>
      <c r="AF3359">
        <v>7.0771064902223104</v>
      </c>
      <c r="AG3359">
        <v>-1.1725369999999999</v>
      </c>
      <c r="AH3359">
        <v>165.220032663897</v>
      </c>
      <c r="AI3359">
        <v>90.406238568266204</v>
      </c>
      <c r="AJ3359">
        <v>87.547267095647797</v>
      </c>
      <c r="AK3359">
        <v>165.37569190406899</v>
      </c>
      <c r="AL3359">
        <v>77.905845525518103</v>
      </c>
      <c r="AM3359">
        <v>86.570104064133602</v>
      </c>
      <c r="AN3359">
        <v>0.99999997717674205</v>
      </c>
    </row>
    <row r="3360" spans="1:40" x14ac:dyDescent="0.25">
      <c r="A3360" t="str">
        <f>"20190303170834284"</f>
        <v>20190303170834284</v>
      </c>
      <c r="B3360" t="str">
        <f>"1551604114276198"</f>
        <v>1551604114276198</v>
      </c>
      <c r="C3360" t="s">
        <v>40</v>
      </c>
      <c r="D3360">
        <v>4.8924729999999998</v>
      </c>
      <c r="E3360">
        <v>0.47219539999999999</v>
      </c>
      <c r="F3360" t="s">
        <v>43</v>
      </c>
      <c r="G3360">
        <v>-429.95780000000002</v>
      </c>
      <c r="H3360">
        <v>4.4214679999999999E-2</v>
      </c>
      <c r="I3360">
        <v>161.7415</v>
      </c>
      <c r="J3360">
        <v>-225.0984</v>
      </c>
      <c r="K3360">
        <v>1.1225229999999999</v>
      </c>
      <c r="L3360">
        <v>140.11699999999999</v>
      </c>
      <c r="M3360">
        <v>-0.99775829999999999</v>
      </c>
      <c r="N3360">
        <v>-1.093626E-2</v>
      </c>
      <c r="O3360">
        <v>6.6021410000000003E-2</v>
      </c>
      <c r="P3360">
        <v>-0.97226710000000005</v>
      </c>
      <c r="Q3360">
        <v>0.20046240000000001</v>
      </c>
      <c r="R3360">
        <v>0.1204634</v>
      </c>
      <c r="S3360">
        <v>-3.0480040000000002</v>
      </c>
      <c r="T3360">
        <v>-1.601899E-2</v>
      </c>
      <c r="U3360">
        <v>0.32153320000000002</v>
      </c>
      <c r="V3360">
        <v>5.512363E-2</v>
      </c>
      <c r="W3360">
        <v>0.21137919999999999</v>
      </c>
      <c r="X3360">
        <v>0.97584839999999995</v>
      </c>
      <c r="Y3360">
        <v>3.9017120000000002E-2</v>
      </c>
      <c r="Z3360">
        <v>6.917472E-4</v>
      </c>
      <c r="AA3360">
        <v>0.99923830000000002</v>
      </c>
      <c r="AB3360">
        <v>32</v>
      </c>
      <c r="AC3360">
        <v>-204.85939999999999</v>
      </c>
      <c r="AD3360">
        <v>-1.0783083200000001</v>
      </c>
      <c r="AE3360">
        <v>21.624499999999902</v>
      </c>
      <c r="AF3360">
        <v>8.0511785901410402</v>
      </c>
      <c r="AG3360">
        <v>-1.0783083200000001</v>
      </c>
      <c r="AH3360">
        <v>205.83451093009299</v>
      </c>
      <c r="AI3360">
        <v>90.299924162826997</v>
      </c>
      <c r="AJ3360">
        <v>87.760028143386805</v>
      </c>
      <c r="AK3360">
        <v>205.99473322236599</v>
      </c>
      <c r="AL3360">
        <v>77.796810123959304</v>
      </c>
      <c r="AM3360">
        <v>86.766917425681498</v>
      </c>
      <c r="AN3360">
        <v>0.999999940279786</v>
      </c>
    </row>
    <row r="3361" spans="1:40" x14ac:dyDescent="0.25">
      <c r="A3361" t="str">
        <f>"20190303170834306"</f>
        <v>20190303170834306</v>
      </c>
      <c r="B3361" t="str">
        <f>"1551604114296693"</f>
        <v>1551604114296693</v>
      </c>
      <c r="C3361" t="s">
        <v>40</v>
      </c>
      <c r="D3361">
        <v>4.9197749999999996</v>
      </c>
      <c r="E3361">
        <v>0.46377249999999998</v>
      </c>
      <c r="F3361" t="s">
        <v>43</v>
      </c>
      <c r="G3361">
        <v>-369.51870000000002</v>
      </c>
      <c r="H3361" s="1">
        <v>-1.71935999999999E-6</v>
      </c>
      <c r="I3361">
        <v>145.36850000000001</v>
      </c>
      <c r="J3361">
        <v>-225.4171</v>
      </c>
      <c r="K3361">
        <v>1.12249</v>
      </c>
      <c r="L3361">
        <v>140.1361</v>
      </c>
      <c r="M3361">
        <v>-0.99790020000000001</v>
      </c>
      <c r="N3361">
        <v>-1.0632630000000001E-2</v>
      </c>
      <c r="O3361">
        <v>6.3892779999999996E-2</v>
      </c>
      <c r="P3361">
        <v>-0.97243769999999996</v>
      </c>
      <c r="Q3361">
        <v>0.20299629999999999</v>
      </c>
      <c r="R3361">
        <v>0.1147074</v>
      </c>
      <c r="S3361">
        <v>-3.0766450000000001</v>
      </c>
      <c r="T3361">
        <v>-2.391362E-2</v>
      </c>
      <c r="U3361">
        <v>0.1118774</v>
      </c>
      <c r="V3361">
        <v>5.1442170000000002E-2</v>
      </c>
      <c r="W3361">
        <v>0.21359900000000001</v>
      </c>
      <c r="X3361">
        <v>0.97556609999999999</v>
      </c>
      <c r="Y3361">
        <v>-2.758677E-2</v>
      </c>
      <c r="Z3361" s="1">
        <v>-7.0245760000000001E-5</v>
      </c>
      <c r="AA3361">
        <v>0.99961940000000005</v>
      </c>
      <c r="AB3361">
        <v>32</v>
      </c>
      <c r="AC3361">
        <v>-144.10159999999999</v>
      </c>
      <c r="AD3361">
        <v>-1.1224917193599999</v>
      </c>
      <c r="AE3361">
        <v>5.2324000000000099</v>
      </c>
      <c r="AF3361">
        <v>-3.9856223155891501</v>
      </c>
      <c r="AG3361">
        <v>-1.1224917193599999</v>
      </c>
      <c r="AH3361">
        <v>144.13273119176</v>
      </c>
      <c r="AI3361">
        <v>90.446034455869096</v>
      </c>
      <c r="AJ3361">
        <v>91.583964701461596</v>
      </c>
      <c r="AK3361">
        <v>144.19219595282701</v>
      </c>
      <c r="AL3361">
        <v>77.6666535928249</v>
      </c>
      <c r="AM3361">
        <v>86.981555634404799</v>
      </c>
      <c r="AN3361">
        <v>1.0000000225622501</v>
      </c>
    </row>
    <row r="3362" spans="1:40" x14ac:dyDescent="0.25">
      <c r="A3362" t="str">
        <f>"20190303170834352"</f>
        <v>20190303170834352</v>
      </c>
      <c r="B3362" t="str">
        <f>"1551604114346469"</f>
        <v>1551604114346469</v>
      </c>
      <c r="C3362" t="s">
        <v>40</v>
      </c>
      <c r="D3362">
        <v>4.867013</v>
      </c>
      <c r="E3362">
        <v>0.4586905</v>
      </c>
      <c r="F3362" t="s">
        <v>49</v>
      </c>
      <c r="G3362">
        <v>-838.86940000000004</v>
      </c>
      <c r="H3362">
        <v>-0.1</v>
      </c>
      <c r="I3362">
        <v>145.2637</v>
      </c>
      <c r="J3362">
        <v>-226.0582</v>
      </c>
      <c r="K3362">
        <v>1.122395</v>
      </c>
      <c r="L3362">
        <v>140.17240000000001</v>
      </c>
      <c r="M3362">
        <v>-0.99816660000000001</v>
      </c>
      <c r="N3362">
        <v>-9.9827999999999896E-3</v>
      </c>
      <c r="O3362">
        <v>5.9700679999999999E-2</v>
      </c>
      <c r="P3362">
        <v>-0.97361149999999996</v>
      </c>
      <c r="Q3362">
        <v>0.20264799999999999</v>
      </c>
      <c r="R3362">
        <v>0.1049506</v>
      </c>
      <c r="S3362">
        <v>-3.0832980000000001</v>
      </c>
      <c r="T3362">
        <v>-6.144404E-3</v>
      </c>
      <c r="U3362">
        <v>2.5772090000000001E-2</v>
      </c>
      <c r="V3362">
        <v>4.5742190000000002E-2</v>
      </c>
      <c r="W3362">
        <v>0.21259690000000001</v>
      </c>
      <c r="X3362">
        <v>0.97606870000000001</v>
      </c>
      <c r="Y3362">
        <v>-5.1355629999999999E-2</v>
      </c>
      <c r="Z3362">
        <v>1.6986219999999999E-4</v>
      </c>
      <c r="AA3362">
        <v>0.99868040000000002</v>
      </c>
      <c r="AB3362">
        <v>32</v>
      </c>
      <c r="AC3362">
        <v>-612.81119999999999</v>
      </c>
      <c r="AD3362">
        <v>-1.2223949999999999</v>
      </c>
      <c r="AE3362">
        <v>5.0912999999999897</v>
      </c>
      <c r="AF3362">
        <v>-31.504718135202999</v>
      </c>
      <c r="AG3362">
        <v>-1.2223949999999999</v>
      </c>
      <c r="AH3362">
        <v>612.019568670083</v>
      </c>
      <c r="AI3362">
        <v>90.114286166951899</v>
      </c>
      <c r="AJ3362">
        <v>92.9467938696543</v>
      </c>
      <c r="AK3362">
        <v>612.83113004271297</v>
      </c>
      <c r="AL3362">
        <v>77.725418574910805</v>
      </c>
      <c r="AM3362">
        <v>87.316870906817201</v>
      </c>
      <c r="AN3362">
        <v>0.99999994847764595</v>
      </c>
    </row>
    <row r="3363" spans="1:40" x14ac:dyDescent="0.25">
      <c r="A3363" t="str">
        <f>"20190303170834375"</f>
        <v>20190303170834375</v>
      </c>
      <c r="B3363" t="str">
        <f>"1551604114366967"</f>
        <v>1551604114366967</v>
      </c>
      <c r="C3363" t="s">
        <v>40</v>
      </c>
      <c r="D3363">
        <v>4.8718180000000002</v>
      </c>
      <c r="E3363">
        <v>0.45879619999999999</v>
      </c>
      <c r="F3363" t="s">
        <v>49</v>
      </c>
      <c r="G3363">
        <v>-846.26329999999996</v>
      </c>
      <c r="H3363">
        <v>-0.1</v>
      </c>
      <c r="I3363">
        <v>130.95259999999999</v>
      </c>
      <c r="J3363">
        <v>-226.3997</v>
      </c>
      <c r="K3363">
        <v>1.1223479999999999</v>
      </c>
      <c r="L3363">
        <v>140.19059999999999</v>
      </c>
      <c r="M3363">
        <v>-0.99829889999999999</v>
      </c>
      <c r="N3363">
        <v>-9.6474600000000001E-3</v>
      </c>
      <c r="O3363">
        <v>5.7499799999999997E-2</v>
      </c>
      <c r="P3363">
        <v>-0.97405870000000006</v>
      </c>
      <c r="Q3363">
        <v>0.20297090000000001</v>
      </c>
      <c r="R3363">
        <v>0.1000625</v>
      </c>
      <c r="S3363">
        <v>-3.0875400000000002</v>
      </c>
      <c r="T3363">
        <v>-6.0853959999999999E-3</v>
      </c>
      <c r="U3363">
        <v>-4.5898439999999999E-2</v>
      </c>
      <c r="V3363">
        <v>4.2990769999999998E-2</v>
      </c>
      <c r="W3363">
        <v>0.21258150000000001</v>
      </c>
      <c r="X3363">
        <v>0.97619719999999999</v>
      </c>
      <c r="Y3363">
        <v>-7.2333069999999999E-2</v>
      </c>
      <c r="Z3363" s="1">
        <v>2.137048E-5</v>
      </c>
      <c r="AA3363">
        <v>0.99738059999999995</v>
      </c>
      <c r="AB3363">
        <v>32</v>
      </c>
      <c r="AC3363">
        <v>-619.863599999999</v>
      </c>
      <c r="AD3363">
        <v>-1.222348</v>
      </c>
      <c r="AE3363">
        <v>-9.2379999999999995</v>
      </c>
      <c r="AF3363">
        <v>-44.866231950223899</v>
      </c>
      <c r="AG3363">
        <v>-1.222348</v>
      </c>
      <c r="AH3363">
        <v>618.30433948639597</v>
      </c>
      <c r="AI3363">
        <v>90.112972896928298</v>
      </c>
      <c r="AJ3363">
        <v>94.150299311598204</v>
      </c>
      <c r="AK3363">
        <v>619.931229356735</v>
      </c>
      <c r="AL3363">
        <v>77.726322672724606</v>
      </c>
      <c r="AM3363">
        <v>87.478379234922699</v>
      </c>
      <c r="AN3363">
        <v>1.0000000368676401</v>
      </c>
    </row>
    <row r="3364" spans="1:40" x14ac:dyDescent="0.25">
      <c r="A3364" t="str">
        <f>"20190303170834418"</f>
        <v>20190303170834418</v>
      </c>
      <c r="B3364" t="str">
        <f>"1551604114406982"</f>
        <v>1551604114406982</v>
      </c>
      <c r="C3364" t="s">
        <v>40</v>
      </c>
      <c r="D3364">
        <v>4.8427680000000004</v>
      </c>
      <c r="E3364">
        <v>0.45929059999999999</v>
      </c>
      <c r="F3364" t="s">
        <v>49</v>
      </c>
      <c r="G3364">
        <v>-721.91179999999997</v>
      </c>
      <c r="H3364">
        <v>-0.1</v>
      </c>
      <c r="I3364">
        <v>130.5498</v>
      </c>
      <c r="J3364">
        <v>-227.02199999999999</v>
      </c>
      <c r="K3364">
        <v>1.1222939999999999</v>
      </c>
      <c r="L3364">
        <v>140.22200000000001</v>
      </c>
      <c r="M3364">
        <v>-0.99852600000000002</v>
      </c>
      <c r="N3364">
        <v>-9.0697169999999997E-3</v>
      </c>
      <c r="O3364">
        <v>5.3516179999999997E-2</v>
      </c>
      <c r="P3364">
        <v>-0.9746302</v>
      </c>
      <c r="Q3364">
        <v>0.2039279</v>
      </c>
      <c r="R3364">
        <v>9.2248479999999994E-2</v>
      </c>
      <c r="S3364">
        <v>-3.0876619999999999</v>
      </c>
      <c r="T3364">
        <v>-7.6167580000000004E-3</v>
      </c>
      <c r="U3364">
        <v>-6.0073849999999998E-2</v>
      </c>
      <c r="V3364">
        <v>3.9050170000000002E-2</v>
      </c>
      <c r="W3364">
        <v>0.21295929999999999</v>
      </c>
      <c r="X3364">
        <v>0.97628040000000005</v>
      </c>
      <c r="Y3364">
        <v>-7.2930590000000003E-2</v>
      </c>
      <c r="Z3364" s="1">
        <v>-6.7235040000000005E-5</v>
      </c>
      <c r="AA3364">
        <v>0.99733700000000003</v>
      </c>
      <c r="AB3364">
        <v>32</v>
      </c>
      <c r="AC3364">
        <v>-494.88979999999901</v>
      </c>
      <c r="AD3364">
        <v>-1.222294</v>
      </c>
      <c r="AE3364">
        <v>-9.6722000000000001</v>
      </c>
      <c r="AF3364">
        <v>-36.143813547785001</v>
      </c>
      <c r="AG3364">
        <v>-1.222294</v>
      </c>
      <c r="AH3364">
        <v>493.659905563726</v>
      </c>
      <c r="AI3364">
        <v>90.141484428942107</v>
      </c>
      <c r="AJ3364">
        <v>94.187497129359201</v>
      </c>
      <c r="AK3364">
        <v>494.98279931891199</v>
      </c>
      <c r="AL3364">
        <v>77.704168590650696</v>
      </c>
      <c r="AM3364">
        <v>87.709451246772602</v>
      </c>
      <c r="AN3364">
        <v>0.99999999932883898</v>
      </c>
    </row>
    <row r="3365" spans="1:40" x14ac:dyDescent="0.25">
      <c r="A3365" t="str">
        <f>"20190303170834442"</f>
        <v>20190303170834442</v>
      </c>
      <c r="B3365" t="str">
        <f>"1551604114436261"</f>
        <v>1551604114436261</v>
      </c>
      <c r="C3365" t="s">
        <v>40</v>
      </c>
      <c r="D3365">
        <v>4.8636629999999998</v>
      </c>
      <c r="E3365">
        <v>0.45976450000000002</v>
      </c>
      <c r="F3365" t="s">
        <v>49</v>
      </c>
      <c r="G3365">
        <v>-762.72170000000006</v>
      </c>
      <c r="H3365">
        <v>-0.1</v>
      </c>
      <c r="I3365">
        <v>126.0043</v>
      </c>
      <c r="J3365">
        <v>-227.3629</v>
      </c>
      <c r="K3365">
        <v>1.122269</v>
      </c>
      <c r="L3365">
        <v>140.23820000000001</v>
      </c>
      <c r="M3365">
        <v>-0.9986429</v>
      </c>
      <c r="N3365">
        <v>-8.7607869999999904E-3</v>
      </c>
      <c r="O3365">
        <v>5.1339830000000003E-2</v>
      </c>
      <c r="P3365">
        <v>-0.97502149999999999</v>
      </c>
      <c r="Q3365">
        <v>0.2037476</v>
      </c>
      <c r="R3365">
        <v>8.8432919999999998E-2</v>
      </c>
      <c r="S3365">
        <v>-3.0873409999999999</v>
      </c>
      <c r="T3365">
        <v>-7.0443149999999998E-3</v>
      </c>
      <c r="U3365">
        <v>-8.1939699999999893E-2</v>
      </c>
      <c r="V3365">
        <v>3.734788E-2</v>
      </c>
      <c r="W3365">
        <v>0.21247250000000001</v>
      </c>
      <c r="X3365">
        <v>0.97645309999999996</v>
      </c>
      <c r="Y3365">
        <v>-7.7817869999999997E-2</v>
      </c>
      <c r="Z3365" s="1">
        <v>-9.7024779999999998E-5</v>
      </c>
      <c r="AA3365">
        <v>0.99696759999999995</v>
      </c>
      <c r="AB3365">
        <v>32</v>
      </c>
      <c r="AC3365">
        <v>-535.35879999999997</v>
      </c>
      <c r="AD3365">
        <v>-1.222269</v>
      </c>
      <c r="AE3365">
        <v>-14.2339</v>
      </c>
      <c r="AF3365">
        <v>-41.701192522947601</v>
      </c>
      <c r="AG3365">
        <v>-1.222269</v>
      </c>
      <c r="AH3365">
        <v>533.91916179244004</v>
      </c>
      <c r="AI3365">
        <v>90.130765309057907</v>
      </c>
      <c r="AJ3365">
        <v>94.465959980604097</v>
      </c>
      <c r="AK3365">
        <v>535.54659435803103</v>
      </c>
      <c r="AL3365">
        <v>77.732713982531706</v>
      </c>
      <c r="AM3365">
        <v>87.809589315526495</v>
      </c>
      <c r="AN3365">
        <v>1.00000004194817</v>
      </c>
    </row>
    <row r="3366" spans="1:40" x14ac:dyDescent="0.25">
      <c r="A3366" t="str">
        <f>"20190303170834464"</f>
        <v>20190303170834464</v>
      </c>
      <c r="B3366" t="str">
        <f>"1551604114456758"</f>
        <v>1551604114456758</v>
      </c>
      <c r="C3366" t="s">
        <v>40</v>
      </c>
      <c r="D3366">
        <v>4.8298940000000004</v>
      </c>
      <c r="E3366">
        <v>0.46015929999999999</v>
      </c>
      <c r="F3366" t="s">
        <v>49</v>
      </c>
      <c r="G3366">
        <v>-606.90199999999902</v>
      </c>
      <c r="H3366">
        <v>-0.1</v>
      </c>
      <c r="I3366">
        <v>129.1756</v>
      </c>
      <c r="J3366">
        <v>-227.6995</v>
      </c>
      <c r="K3366">
        <v>1.1222369999999999</v>
      </c>
      <c r="L3366">
        <v>140.2535</v>
      </c>
      <c r="M3366">
        <v>-0.99875340000000001</v>
      </c>
      <c r="N3366">
        <v>-8.4715999999999993E-3</v>
      </c>
      <c r="O3366">
        <v>4.9193180000000003E-2</v>
      </c>
      <c r="P3366">
        <v>-0.97542329999999999</v>
      </c>
      <c r="Q3366">
        <v>0.20304</v>
      </c>
      <c r="R3366">
        <v>8.5581729999999995E-2</v>
      </c>
      <c r="S3366">
        <v>-3.087097</v>
      </c>
      <c r="T3366">
        <v>-9.9416969999999993E-3</v>
      </c>
      <c r="U3366">
        <v>-8.9981080000000005E-2</v>
      </c>
      <c r="V3366">
        <v>3.6581860000000001E-2</v>
      </c>
      <c r="W3366">
        <v>0.21148120000000001</v>
      </c>
      <c r="X3366">
        <v>0.97669720000000004</v>
      </c>
      <c r="Y3366">
        <v>-7.8271740000000006E-2</v>
      </c>
      <c r="Z3366">
        <v>-1.9928010000000001E-4</v>
      </c>
      <c r="AA3366">
        <v>0.99693200000000004</v>
      </c>
      <c r="AB3366">
        <v>33</v>
      </c>
      <c r="AC3366">
        <v>-379.20249999999902</v>
      </c>
      <c r="AD3366">
        <v>-1.222237</v>
      </c>
      <c r="AE3366">
        <v>-11.0779</v>
      </c>
      <c r="AF3366">
        <v>-29.719023760715402</v>
      </c>
      <c r="AG3366">
        <v>-1.222237</v>
      </c>
      <c r="AH3366">
        <v>378.19445768191702</v>
      </c>
      <c r="AI3366">
        <v>90.184596996109903</v>
      </c>
      <c r="AJ3366">
        <v>94.493145350538697</v>
      </c>
      <c r="AK3366">
        <v>379.36230974873303</v>
      </c>
      <c r="AL3366">
        <v>77.790831215794299</v>
      </c>
      <c r="AM3366">
        <v>87.855008809472807</v>
      </c>
      <c r="AN3366">
        <v>0.99999997546116903</v>
      </c>
    </row>
    <row r="3367" spans="1:40" x14ac:dyDescent="0.25">
      <c r="A3367" t="str">
        <f>"20190303170834506"</f>
        <v>20190303170834506</v>
      </c>
      <c r="B3367" t="str">
        <f>"1551604114496773"</f>
        <v>1551604114496773</v>
      </c>
      <c r="C3367" t="s">
        <v>40</v>
      </c>
      <c r="D3367">
        <v>4.8332680000000003</v>
      </c>
      <c r="E3367">
        <v>0.46092490000000003</v>
      </c>
      <c r="F3367" t="s">
        <v>59</v>
      </c>
      <c r="G3367">
        <v>-473.745</v>
      </c>
      <c r="H3367" s="1">
        <v>-5.3788930000000003E-6</v>
      </c>
      <c r="I3367">
        <v>132.67269999999999</v>
      </c>
      <c r="J3367">
        <v>-228.30959999999999</v>
      </c>
      <c r="K3367">
        <v>1.1221939999999999</v>
      </c>
      <c r="L3367">
        <v>140.27940000000001</v>
      </c>
      <c r="M3367">
        <v>-0.99894150000000004</v>
      </c>
      <c r="N3367">
        <v>-7.9807819999999901E-3</v>
      </c>
      <c r="O3367">
        <v>4.5301969999999997E-2</v>
      </c>
      <c r="P3367">
        <v>-0.97581099999999998</v>
      </c>
      <c r="Q3367">
        <v>0.2029881</v>
      </c>
      <c r="R3367">
        <v>8.1173289999999995E-2</v>
      </c>
      <c r="S3367">
        <v>-3.0868679999999999</v>
      </c>
      <c r="T3367">
        <v>-1.407957E-2</v>
      </c>
      <c r="U3367">
        <v>-9.5108029999999996E-2</v>
      </c>
      <c r="V3367">
        <v>3.596502E-2</v>
      </c>
      <c r="W3367">
        <v>0.210949</v>
      </c>
      <c r="X3367">
        <v>0.97683520000000001</v>
      </c>
      <c r="Y3367">
        <v>-7.6043780000000005E-2</v>
      </c>
      <c r="Z3367">
        <v>-3.2197010000000002E-4</v>
      </c>
      <c r="AA3367">
        <v>0.9971044</v>
      </c>
      <c r="AB3367">
        <v>33</v>
      </c>
      <c r="AC3367">
        <v>-245.43539999999999</v>
      </c>
      <c r="AD3367">
        <v>-1.122199378893</v>
      </c>
      <c r="AE3367">
        <v>-7.6067000000000098</v>
      </c>
      <c r="AF3367">
        <v>-18.7175598508767</v>
      </c>
      <c r="AG3367">
        <v>-1.122199378893</v>
      </c>
      <c r="AH3367">
        <v>244.83368197062001</v>
      </c>
      <c r="AI3367">
        <v>90.261850266788798</v>
      </c>
      <c r="AJ3367">
        <v>94.371764298964393</v>
      </c>
      <c r="AK3367">
        <v>245.550683577765</v>
      </c>
      <c r="AL3367">
        <v>77.822027964514405</v>
      </c>
      <c r="AM3367">
        <v>87.891442174224693</v>
      </c>
      <c r="AN3367">
        <v>0.99999998561182002</v>
      </c>
    </row>
    <row r="3368" spans="1:40" x14ac:dyDescent="0.25">
      <c r="A3368" t="str">
        <f>"20190303170834528"</f>
        <v>20190303170834528</v>
      </c>
      <c r="B3368" t="str">
        <f>"1551604114516294"</f>
        <v>1551604114516294</v>
      </c>
      <c r="C3368" t="s">
        <v>40</v>
      </c>
      <c r="D3368">
        <v>4.8258590000000003</v>
      </c>
      <c r="E3368">
        <v>0.46135429999999999</v>
      </c>
      <c r="F3368" t="s">
        <v>43</v>
      </c>
      <c r="G3368">
        <v>-441.05799999999999</v>
      </c>
      <c r="H3368" s="1">
        <v>-3.9498909999999996E-6</v>
      </c>
      <c r="I3368">
        <v>133.1626</v>
      </c>
      <c r="J3368">
        <v>-228.63730000000001</v>
      </c>
      <c r="K3368">
        <v>1.1221859999999999</v>
      </c>
      <c r="L3368">
        <v>140.29230000000001</v>
      </c>
      <c r="M3368">
        <v>-0.99903600000000004</v>
      </c>
      <c r="N3368">
        <v>-7.7397619999999999E-3</v>
      </c>
      <c r="O3368">
        <v>4.3213729999999999E-2</v>
      </c>
      <c r="P3368">
        <v>-0.97595379999999998</v>
      </c>
      <c r="Q3368">
        <v>0.2034408</v>
      </c>
      <c r="R3368">
        <v>7.8268980000000002E-2</v>
      </c>
      <c r="S3368">
        <v>-3.0863339999999999</v>
      </c>
      <c r="T3368">
        <v>-1.6279700000000001E-2</v>
      </c>
      <c r="U3368">
        <v>-0.103241</v>
      </c>
      <c r="V3368">
        <v>3.5096080000000002E-2</v>
      </c>
      <c r="W3368">
        <v>0.21116289999999999</v>
      </c>
      <c r="X3368">
        <v>0.97682060000000004</v>
      </c>
      <c r="Y3368">
        <v>-7.6589190000000001E-2</v>
      </c>
      <c r="Z3368">
        <v>-3.9189139999999998E-4</v>
      </c>
      <c r="AA3368">
        <v>0.99706269999999997</v>
      </c>
      <c r="AB3368">
        <v>33</v>
      </c>
      <c r="AC3368">
        <v>-212.42070000000001</v>
      </c>
      <c r="AD3368">
        <v>-1.122189949891</v>
      </c>
      <c r="AE3368">
        <v>-7.1297000000000104</v>
      </c>
      <c r="AF3368">
        <v>-16.302349472013201</v>
      </c>
      <c r="AG3368">
        <v>-1.122189949891</v>
      </c>
      <c r="AH3368">
        <v>211.908237916838</v>
      </c>
      <c r="AI3368">
        <v>90.302521157916601</v>
      </c>
      <c r="AJ3368">
        <v>94.399166540291603</v>
      </c>
      <c r="AK3368">
        <v>212.53735484759099</v>
      </c>
      <c r="AL3368">
        <v>77.809490080555904</v>
      </c>
      <c r="AM3368">
        <v>87.942311342445095</v>
      </c>
      <c r="AN3368">
        <v>0.99999999487606805</v>
      </c>
    </row>
    <row r="3369" spans="1:40" x14ac:dyDescent="0.25">
      <c r="A3369" t="str">
        <f>"20190303170834574"</f>
        <v>20190303170834574</v>
      </c>
      <c r="B3369" t="str">
        <f>"1551604114566071"</f>
        <v>1551604114566071</v>
      </c>
      <c r="C3369" t="s">
        <v>40</v>
      </c>
      <c r="D3369">
        <v>4.7939109999999996</v>
      </c>
      <c r="E3369">
        <v>0.46213100000000001</v>
      </c>
      <c r="F3369" t="s">
        <v>43</v>
      </c>
      <c r="G3369">
        <v>-460.13670000000002</v>
      </c>
      <c r="H3369" s="1">
        <v>-5.1217529999999996E-6</v>
      </c>
      <c r="I3369">
        <v>132.04470000000001</v>
      </c>
      <c r="J3369">
        <v>-229.31360000000001</v>
      </c>
      <c r="K3369">
        <v>1.122139</v>
      </c>
      <c r="L3369">
        <v>140.3168</v>
      </c>
      <c r="M3369">
        <v>-0.99921450000000001</v>
      </c>
      <c r="N3369">
        <v>-7.2659859999999899E-3</v>
      </c>
      <c r="O3369">
        <v>3.8958100000000002E-2</v>
      </c>
      <c r="P3369">
        <v>-0.9758329</v>
      </c>
      <c r="Q3369">
        <v>0.20535619999999999</v>
      </c>
      <c r="R3369">
        <v>7.4693159999999995E-2</v>
      </c>
      <c r="S3369">
        <v>-3.0858460000000001</v>
      </c>
      <c r="T3369">
        <v>-1.4958620000000001E-2</v>
      </c>
      <c r="U3369">
        <v>-0.1099396</v>
      </c>
      <c r="V3369">
        <v>3.5687070000000001E-2</v>
      </c>
      <c r="W3369">
        <v>0.21261550000000001</v>
      </c>
      <c r="X3369">
        <v>0.97648409999999997</v>
      </c>
      <c r="Y3369">
        <v>-7.4509560000000002E-2</v>
      </c>
      <c r="Z3369">
        <v>-3.5711670000000001E-4</v>
      </c>
      <c r="AA3369">
        <v>0.9972202</v>
      </c>
      <c r="AB3369">
        <v>33</v>
      </c>
      <c r="AC3369">
        <v>-230.82310000000001</v>
      </c>
      <c r="AD3369">
        <v>-1.1221441217529999</v>
      </c>
      <c r="AE3369">
        <v>-8.2720999999999894</v>
      </c>
      <c r="AF3369">
        <v>-17.258078652629301</v>
      </c>
      <c r="AG3369">
        <v>-1.1221441217529999</v>
      </c>
      <c r="AH3369">
        <v>230.32015006842701</v>
      </c>
      <c r="AI3369">
        <v>90.278368524909098</v>
      </c>
      <c r="AJ3369">
        <v>94.285211991574997</v>
      </c>
      <c r="AK3369">
        <v>230.96855200168099</v>
      </c>
      <c r="AL3369">
        <v>77.7243293006199</v>
      </c>
      <c r="AM3369">
        <v>87.906971672283106</v>
      </c>
      <c r="AN3369">
        <v>1.0000000576791199</v>
      </c>
    </row>
    <row r="3370" spans="1:40" x14ac:dyDescent="0.25">
      <c r="A3370" t="str">
        <f>"20190303170834617"</f>
        <v>20190303170834617</v>
      </c>
      <c r="B3370" t="str">
        <f>"1551604114607061"</f>
        <v>1551604114607061</v>
      </c>
      <c r="C3370" t="s">
        <v>40</v>
      </c>
      <c r="D3370">
        <v>4.7780420000000001</v>
      </c>
      <c r="E3370">
        <v>0.47034039999999999</v>
      </c>
      <c r="F3370" t="s">
        <v>49</v>
      </c>
      <c r="G3370">
        <v>-603.41199999999901</v>
      </c>
      <c r="H3370">
        <v>-0.1</v>
      </c>
      <c r="I3370">
        <v>126.4162</v>
      </c>
      <c r="J3370">
        <v>-229.9632</v>
      </c>
      <c r="K3370">
        <v>1.1220509999999999</v>
      </c>
      <c r="L3370">
        <v>140.33789999999999</v>
      </c>
      <c r="M3370">
        <v>-0.99936340000000001</v>
      </c>
      <c r="N3370">
        <v>-6.8456410000000004E-3</v>
      </c>
      <c r="O3370">
        <v>3.5018029999999999E-2</v>
      </c>
      <c r="P3370">
        <v>-0.97592979999999996</v>
      </c>
      <c r="Q3370">
        <v>0.20504500000000001</v>
      </c>
      <c r="R3370">
        <v>7.4282550000000003E-2</v>
      </c>
      <c r="S3370">
        <v>-3.0852050000000002</v>
      </c>
      <c r="T3370">
        <v>-1.0079029999999999E-2</v>
      </c>
      <c r="U3370">
        <v>-0.1146393</v>
      </c>
      <c r="V3370">
        <v>3.9150539999999998E-2</v>
      </c>
      <c r="W3370">
        <v>0.21190490000000001</v>
      </c>
      <c r="X3370">
        <v>0.97650579999999998</v>
      </c>
      <c r="Y3370">
        <v>-7.2102639999999996E-2</v>
      </c>
      <c r="Z3370">
        <v>-2.3934109999999999E-4</v>
      </c>
      <c r="AA3370">
        <v>0.99739719999999998</v>
      </c>
      <c r="AB3370">
        <v>33</v>
      </c>
      <c r="AC3370">
        <v>-373.44879999999898</v>
      </c>
      <c r="AD3370">
        <v>-1.222051</v>
      </c>
      <c r="AE3370">
        <v>-13.9216999999999</v>
      </c>
      <c r="AF3370">
        <v>-26.990618089766599</v>
      </c>
      <c r="AG3370">
        <v>-1.222051</v>
      </c>
      <c r="AH3370">
        <v>372.72823842321998</v>
      </c>
      <c r="AI3370">
        <v>90.187362395298507</v>
      </c>
      <c r="AJ3370">
        <v>94.141768074339794</v>
      </c>
      <c r="AK3370">
        <v>373.70620357654099</v>
      </c>
      <c r="AL3370">
        <v>77.765992527319</v>
      </c>
      <c r="AM3370">
        <v>87.704099684063195</v>
      </c>
      <c r="AN3370">
        <v>1.0000000144299701</v>
      </c>
    </row>
    <row r="3371" spans="1:40" x14ac:dyDescent="0.25">
      <c r="A3371" t="str">
        <f>"20190303170834661"</f>
        <v>20190303170834661</v>
      </c>
      <c r="B3371" t="str">
        <f>"1551604114656837"</f>
        <v>1551604114656837</v>
      </c>
      <c r="C3371" t="s">
        <v>40</v>
      </c>
      <c r="D3371">
        <v>4.7181889999999997</v>
      </c>
      <c r="E3371">
        <v>0.47071370000000001</v>
      </c>
      <c r="F3371" t="s">
        <v>43</v>
      </c>
      <c r="G3371">
        <v>-353.25670000000002</v>
      </c>
      <c r="H3371" s="1">
        <v>-3.113166E-6</v>
      </c>
      <c r="I3371">
        <v>138.27459999999999</v>
      </c>
      <c r="J3371">
        <v>-230.61330000000001</v>
      </c>
      <c r="K3371">
        <v>1.121915</v>
      </c>
      <c r="L3371">
        <v>140.35679999999999</v>
      </c>
      <c r="M3371">
        <v>-0.99948780000000004</v>
      </c>
      <c r="N3371">
        <v>-6.4323929999999998E-3</v>
      </c>
      <c r="O3371">
        <v>3.1350780000000002E-2</v>
      </c>
      <c r="P3371">
        <v>-0.97604480000000005</v>
      </c>
      <c r="Q3371">
        <v>0.2054127</v>
      </c>
      <c r="R3371">
        <v>7.1709549999999997E-2</v>
      </c>
      <c r="S3371">
        <v>-3.0838320000000001</v>
      </c>
      <c r="T3371">
        <v>-2.8064970000000002E-2</v>
      </c>
      <c r="U3371">
        <v>-5.160522E-2</v>
      </c>
      <c r="V3371">
        <v>4.0208439999999998E-2</v>
      </c>
      <c r="W3371">
        <v>0.21186440000000001</v>
      </c>
      <c r="X3371">
        <v>0.9764716</v>
      </c>
      <c r="Y3371">
        <v>-4.806709E-2</v>
      </c>
      <c r="Z3371">
        <v>-4.5692520000000002E-4</v>
      </c>
      <c r="AA3371">
        <v>0.99884399999999995</v>
      </c>
      <c r="AB3371">
        <v>33</v>
      </c>
      <c r="AC3371">
        <v>-122.6434</v>
      </c>
      <c r="AD3371">
        <v>-1.1219181131659901</v>
      </c>
      <c r="AE3371">
        <v>-2.0821999999999998</v>
      </c>
      <c r="AF3371">
        <v>-5.92572629082688</v>
      </c>
      <c r="AG3371">
        <v>-1.1219181131659901</v>
      </c>
      <c r="AH3371">
        <v>122.507582637515</v>
      </c>
      <c r="AI3371">
        <v>90.524084417252496</v>
      </c>
      <c r="AJ3371">
        <v>92.7692546179196</v>
      </c>
      <c r="AK3371">
        <v>122.655944560441</v>
      </c>
      <c r="AL3371">
        <v>77.768366913799298</v>
      </c>
      <c r="AM3371">
        <v>87.6420479946363</v>
      </c>
      <c r="AN3371">
        <v>1.00000001412057</v>
      </c>
    </row>
    <row r="3372" spans="1:40" x14ac:dyDescent="0.25">
      <c r="A3372" t="str">
        <f>"20190303170834684"</f>
        <v>20190303170834684</v>
      </c>
      <c r="B3372" t="str">
        <f>"1551604114676357"</f>
        <v>1551604114676357</v>
      </c>
      <c r="C3372" t="s">
        <v>40</v>
      </c>
      <c r="D3372">
        <v>4.7664920000000004</v>
      </c>
      <c r="E3372">
        <v>0.47083059999999899</v>
      </c>
      <c r="F3372" t="s">
        <v>43</v>
      </c>
      <c r="G3372">
        <v>-360.30779999999999</v>
      </c>
      <c r="H3372" s="1">
        <v>-4.4328729999999998E-6</v>
      </c>
      <c r="I3372">
        <v>137.9666</v>
      </c>
      <c r="J3372">
        <v>-230.96350000000001</v>
      </c>
      <c r="K3372">
        <v>1.1218129999999999</v>
      </c>
      <c r="L3372">
        <v>140.36609999999999</v>
      </c>
      <c r="M3372">
        <v>-0.9995444</v>
      </c>
      <c r="N3372">
        <v>-6.2087760000000001E-3</v>
      </c>
      <c r="O3372">
        <v>2.9540159999999999E-2</v>
      </c>
      <c r="P3372">
        <v>-0.9757863</v>
      </c>
      <c r="Q3372">
        <v>0.20739250000000001</v>
      </c>
      <c r="R3372">
        <v>6.9496420000000003E-2</v>
      </c>
      <c r="S3372">
        <v>-3.0834199999999998</v>
      </c>
      <c r="T3372">
        <v>-2.6673079999999998E-2</v>
      </c>
      <c r="U3372">
        <v>-5.6823730000000003E-2</v>
      </c>
      <c r="V3372">
        <v>3.9805529999999999E-2</v>
      </c>
      <c r="W3372">
        <v>0.21361479999999999</v>
      </c>
      <c r="X3372">
        <v>0.97610660000000005</v>
      </c>
      <c r="Y3372">
        <v>-4.795017E-2</v>
      </c>
      <c r="Z3372">
        <v>-4.2834820000000001E-4</v>
      </c>
      <c r="AA3372">
        <v>0.9988496</v>
      </c>
      <c r="AB3372">
        <v>34</v>
      </c>
      <c r="AC3372">
        <v>-129.34429999999901</v>
      </c>
      <c r="AD3372">
        <v>-1.121817432873</v>
      </c>
      <c r="AE3372">
        <v>-2.3994999999999802</v>
      </c>
      <c r="AF3372">
        <v>-6.2189097858925004</v>
      </c>
      <c r="AG3372">
        <v>-1.121817432873</v>
      </c>
      <c r="AH3372">
        <v>129.207252269295</v>
      </c>
      <c r="AI3372">
        <v>90.496872056509304</v>
      </c>
      <c r="AJ3372">
        <v>92.755592344335895</v>
      </c>
      <c r="AK3372">
        <v>129.361691981278</v>
      </c>
      <c r="AL3372">
        <v>77.665725756979299</v>
      </c>
      <c r="AM3372">
        <v>87.664777732076402</v>
      </c>
      <c r="AN3372">
        <v>0.99999992878058797</v>
      </c>
    </row>
    <row r="3373" spans="1:40" x14ac:dyDescent="0.25">
      <c r="A3373" t="str">
        <f>"20190303170834707"</f>
        <v>20190303170834707</v>
      </c>
      <c r="B3373" t="str">
        <f>"1551604114696853"</f>
        <v>1551604114696853</v>
      </c>
      <c r="C3373" t="s">
        <v>40</v>
      </c>
      <c r="D3373">
        <v>4.7798449999999999</v>
      </c>
      <c r="E3373">
        <v>0.47062409999999999</v>
      </c>
      <c r="F3373" t="s">
        <v>43</v>
      </c>
      <c r="G3373">
        <v>-391.86610000000002</v>
      </c>
      <c r="H3373" s="1">
        <v>-3.9204870000000003E-6</v>
      </c>
      <c r="I3373">
        <v>137.0864</v>
      </c>
      <c r="J3373">
        <v>-231.32159999999999</v>
      </c>
      <c r="K3373">
        <v>1.1216870000000001</v>
      </c>
      <c r="L3373">
        <v>140.37520000000001</v>
      </c>
      <c r="M3373">
        <v>-0.99959439999999999</v>
      </c>
      <c r="N3373">
        <v>-5.9780719999999897E-3</v>
      </c>
      <c r="O3373">
        <v>2.7843909999999999E-2</v>
      </c>
      <c r="P3373">
        <v>-0.97567150000000002</v>
      </c>
      <c r="Q3373">
        <v>0.20859030000000001</v>
      </c>
      <c r="R3373">
        <v>6.7491490000000001E-2</v>
      </c>
      <c r="S3373">
        <v>-3.0835270000000001</v>
      </c>
      <c r="T3373">
        <v>-2.1498440000000001E-2</v>
      </c>
      <c r="U3373">
        <v>-6.2850950000000003E-2</v>
      </c>
      <c r="V3373">
        <v>3.9509030000000001E-2</v>
      </c>
      <c r="W3373">
        <v>0.21457519999999999</v>
      </c>
      <c r="X3373">
        <v>0.975908</v>
      </c>
      <c r="Y3373">
        <v>-4.8207119999999999E-2</v>
      </c>
      <c r="Z3373">
        <v>-3.3980350000000002E-4</v>
      </c>
      <c r="AA3373">
        <v>0.99883730000000004</v>
      </c>
      <c r="AB3373">
        <v>34</v>
      </c>
      <c r="AC3373">
        <v>-160.5445</v>
      </c>
      <c r="AD3373">
        <v>-1.121690920487</v>
      </c>
      <c r="AE3373">
        <v>-3.2888000000000002</v>
      </c>
      <c r="AF3373">
        <v>-7.7574128306457899</v>
      </c>
      <c r="AG3373">
        <v>-1.121690920487</v>
      </c>
      <c r="AH3373">
        <v>160.382851436773</v>
      </c>
      <c r="AI3373">
        <v>90.400242705354799</v>
      </c>
      <c r="AJ3373">
        <v>92.769129559362895</v>
      </c>
      <c r="AK3373">
        <v>160.57426530841201</v>
      </c>
      <c r="AL3373">
        <v>77.609392974413595</v>
      </c>
      <c r="AM3373">
        <v>87.681681918169005</v>
      </c>
      <c r="AN3373">
        <v>0.99999995218528903</v>
      </c>
    </row>
    <row r="3374" spans="1:40" x14ac:dyDescent="0.25">
      <c r="A3374" t="str">
        <f>"20190303170834731"</f>
        <v>20190303170834731</v>
      </c>
      <c r="B3374" t="str">
        <f>"1551604114726134"</f>
        <v>1551604114726134</v>
      </c>
      <c r="C3374" t="s">
        <v>40</v>
      </c>
      <c r="D3374">
        <v>4.7653059999999998</v>
      </c>
      <c r="E3374">
        <v>0.47117809999999999</v>
      </c>
      <c r="F3374" t="s">
        <v>58</v>
      </c>
      <c r="G3374">
        <v>-439.81169999999997</v>
      </c>
      <c r="H3374" s="1">
        <v>-5.309565E-6</v>
      </c>
      <c r="I3374">
        <v>135.55969999999999</v>
      </c>
      <c r="J3374">
        <v>-231.68729999999999</v>
      </c>
      <c r="K3374">
        <v>1.1215250000000001</v>
      </c>
      <c r="L3374">
        <v>140.38390000000001</v>
      </c>
      <c r="M3374">
        <v>-0.9996372</v>
      </c>
      <c r="N3374">
        <v>-5.7352119999999999E-3</v>
      </c>
      <c r="O3374">
        <v>2.632495E-2</v>
      </c>
      <c r="P3374">
        <v>-0.9757595</v>
      </c>
      <c r="Q3374">
        <v>0.2086983</v>
      </c>
      <c r="R3374">
        <v>6.5870890000000001E-2</v>
      </c>
      <c r="S3374">
        <v>-3.0832670000000002</v>
      </c>
      <c r="T3374">
        <v>-1.6588209999999999E-2</v>
      </c>
      <c r="U3374">
        <v>-7.1212769999999995E-2</v>
      </c>
      <c r="V3374">
        <v>3.9436850000000002E-2</v>
      </c>
      <c r="W3374">
        <v>0.2144337</v>
      </c>
      <c r="X3374">
        <v>0.97594210000000003</v>
      </c>
      <c r="Y3374">
        <v>-4.9399249999999999E-2</v>
      </c>
      <c r="Z3374">
        <v>-2.651938E-4</v>
      </c>
      <c r="AA3374">
        <v>0.99877910000000003</v>
      </c>
      <c r="AB3374">
        <v>34</v>
      </c>
      <c r="AC3374">
        <v>-208.12440000000001</v>
      </c>
      <c r="AD3374">
        <v>-1.121530309565</v>
      </c>
      <c r="AE3374">
        <v>-4.82420000000001</v>
      </c>
      <c r="AF3374">
        <v>-10.3011824546202</v>
      </c>
      <c r="AG3374">
        <v>-1.121530309565</v>
      </c>
      <c r="AH3374">
        <v>207.919236411833</v>
      </c>
      <c r="AI3374">
        <v>90.308675679327806</v>
      </c>
      <c r="AJ3374">
        <v>92.836351657207004</v>
      </c>
      <c r="AK3374">
        <v>208.17728276706501</v>
      </c>
      <c r="AL3374">
        <v>77.617694514745196</v>
      </c>
      <c r="AM3374">
        <v>87.685993468470301</v>
      </c>
      <c r="AN3374">
        <v>1.0000000296930101</v>
      </c>
    </row>
    <row r="3375" spans="1:40" x14ac:dyDescent="0.25">
      <c r="A3375" t="str">
        <f>"20190303170834752"</f>
        <v>20190303170834752</v>
      </c>
      <c r="B3375" t="str">
        <f>"1551604114746629"</f>
        <v>1551604114746629</v>
      </c>
      <c r="C3375" t="s">
        <v>40</v>
      </c>
      <c r="D3375">
        <v>4.7631550000000002</v>
      </c>
      <c r="E3375">
        <v>0.47129860000000001</v>
      </c>
      <c r="F3375" t="s">
        <v>58</v>
      </c>
      <c r="G3375">
        <v>-403.71339999999998</v>
      </c>
      <c r="H3375" s="1">
        <v>-5.4837620000000001E-6</v>
      </c>
      <c r="I3375">
        <v>136.3416</v>
      </c>
      <c r="J3375">
        <v>-232.00210000000001</v>
      </c>
      <c r="K3375">
        <v>1.121375</v>
      </c>
      <c r="L3375">
        <v>140.3912</v>
      </c>
      <c r="M3375">
        <v>-0.99966750000000004</v>
      </c>
      <c r="N3375">
        <v>-5.5272009999999998E-3</v>
      </c>
      <c r="O3375">
        <v>2.518569E-2</v>
      </c>
      <c r="P3375">
        <v>-0.97589809999999999</v>
      </c>
      <c r="Q3375">
        <v>0.20871819999999999</v>
      </c>
      <c r="R3375">
        <v>6.3715499999999994E-2</v>
      </c>
      <c r="S3375">
        <v>-3.083755</v>
      </c>
      <c r="T3375">
        <v>-2.0104650000000002E-2</v>
      </c>
      <c r="U3375">
        <v>-7.2463990000000006E-2</v>
      </c>
      <c r="V3375">
        <v>3.8455429999999999E-2</v>
      </c>
      <c r="W3375">
        <v>0.2142357</v>
      </c>
      <c r="X3375">
        <v>0.97602469999999997</v>
      </c>
      <c r="Y3375">
        <v>-4.8661879999999998E-2</v>
      </c>
      <c r="Z3375">
        <v>-3.1809189999999998E-4</v>
      </c>
      <c r="AA3375">
        <v>0.99881520000000001</v>
      </c>
      <c r="AB3375">
        <v>34</v>
      </c>
      <c r="AC3375">
        <v>-171.711299999999</v>
      </c>
      <c r="AD3375">
        <v>-1.1213804837620001</v>
      </c>
      <c r="AE3375">
        <v>-4.0495999999999901</v>
      </c>
      <c r="AF3375">
        <v>-8.3726921763269608</v>
      </c>
      <c r="AG3375">
        <v>-1.1213804837620001</v>
      </c>
      <c r="AH3375">
        <v>171.54752404504501</v>
      </c>
      <c r="AI3375">
        <v>90.374083323258503</v>
      </c>
      <c r="AJ3375">
        <v>92.794208521754896</v>
      </c>
      <c r="AK3375">
        <v>171.755385576273</v>
      </c>
      <c r="AL3375">
        <v>77.629308436103798</v>
      </c>
      <c r="AM3375">
        <v>87.743709996979604</v>
      </c>
      <c r="AN3375">
        <v>0.99999998513053201</v>
      </c>
    </row>
    <row r="3376" spans="1:40" x14ac:dyDescent="0.25">
      <c r="A3376" t="str">
        <f>"20190303170834796"</f>
        <v>20190303170834796</v>
      </c>
      <c r="B3376" t="str">
        <f>"1551604114786646"</f>
        <v>1551604114786646</v>
      </c>
      <c r="C3376" t="s">
        <v>40</v>
      </c>
      <c r="D3376">
        <v>4.7341410000000002</v>
      </c>
      <c r="E3376">
        <v>0.47163640000000001</v>
      </c>
      <c r="F3376" t="s">
        <v>43</v>
      </c>
      <c r="G3376">
        <v>-392.62909999999999</v>
      </c>
      <c r="H3376" s="1">
        <v>-3.7266349999999999E-6</v>
      </c>
      <c r="I3376">
        <v>136.33369999999999</v>
      </c>
      <c r="J3376">
        <v>-232.6867</v>
      </c>
      <c r="K3376">
        <v>1.1210789999999999</v>
      </c>
      <c r="L3376">
        <v>140.40629999999999</v>
      </c>
      <c r="M3376">
        <v>-0.99971869999999996</v>
      </c>
      <c r="N3376">
        <v>-5.1100579999999998E-3</v>
      </c>
      <c r="O3376">
        <v>2.31665E-2</v>
      </c>
      <c r="P3376">
        <v>-0.97536219999999996</v>
      </c>
      <c r="Q3376">
        <v>0.2126255</v>
      </c>
      <c r="R3376">
        <v>5.8815430000000002E-2</v>
      </c>
      <c r="S3376">
        <v>-3.0837859999999999</v>
      </c>
      <c r="T3376">
        <v>-2.1528720000000001E-2</v>
      </c>
      <c r="U3376">
        <v>-7.7896119999999999E-2</v>
      </c>
      <c r="V3376">
        <v>3.566014E-2</v>
      </c>
      <c r="W3376">
        <v>0.21770200000000001</v>
      </c>
      <c r="X3376">
        <v>0.9753636</v>
      </c>
      <c r="Y3376">
        <v>-4.8402399999999998E-2</v>
      </c>
      <c r="Z3376">
        <v>-3.359603E-4</v>
      </c>
      <c r="AA3376">
        <v>0.99882789999999999</v>
      </c>
      <c r="AB3376">
        <v>34</v>
      </c>
      <c r="AC3376">
        <v>-159.94239999999999</v>
      </c>
      <c r="AD3376">
        <v>-1.1210827266349901</v>
      </c>
      <c r="AE3376">
        <v>-4.0725999999999898</v>
      </c>
      <c r="AF3376">
        <v>-7.7764786301276203</v>
      </c>
      <c r="AG3376">
        <v>-1.1210827266349901</v>
      </c>
      <c r="AH3376">
        <v>159.79727876527599</v>
      </c>
      <c r="AI3376">
        <v>90.401485768480399</v>
      </c>
      <c r="AJ3376">
        <v>92.786081062350306</v>
      </c>
      <c r="AK3376">
        <v>159.9903145417</v>
      </c>
      <c r="AL3376">
        <v>77.425903577057994</v>
      </c>
      <c r="AM3376">
        <v>87.906149174150002</v>
      </c>
      <c r="AN3376">
        <v>0.999999979296889</v>
      </c>
    </row>
    <row r="3377" spans="1:40" x14ac:dyDescent="0.25">
      <c r="A3377" t="str">
        <f>"20190303170834821"</f>
        <v>20190303170834821</v>
      </c>
      <c r="B3377" t="str">
        <f>"1551604114816902"</f>
        <v>1551604114816902</v>
      </c>
      <c r="C3377" t="s">
        <v>40</v>
      </c>
      <c r="D3377">
        <v>4.7949630000000001</v>
      </c>
      <c r="E3377">
        <v>0.47172419999999998</v>
      </c>
      <c r="F3377" t="s">
        <v>59</v>
      </c>
      <c r="G3377">
        <v>-499.9314</v>
      </c>
      <c r="H3377">
        <v>7.7428319999999995E-2</v>
      </c>
      <c r="I3377">
        <v>132.63759999999999</v>
      </c>
      <c r="J3377">
        <v>-233.07679999999999</v>
      </c>
      <c r="K3377">
        <v>1.1209359999999999</v>
      </c>
      <c r="L3377">
        <v>140.4145</v>
      </c>
      <c r="M3377">
        <v>-0.99974019999999997</v>
      </c>
      <c r="N3377">
        <v>-4.892932E-3</v>
      </c>
      <c r="O3377">
        <v>2.2260410000000001E-2</v>
      </c>
      <c r="P3377">
        <v>-0.97511340000000002</v>
      </c>
      <c r="Q3377">
        <v>0.2140446</v>
      </c>
      <c r="R3377">
        <v>5.7781529999999998E-2</v>
      </c>
      <c r="S3377">
        <v>-3.0838169999999998</v>
      </c>
      <c r="T3377">
        <v>-1.2043E-2</v>
      </c>
      <c r="U3377">
        <v>-8.9645390000000005E-2</v>
      </c>
      <c r="V3377">
        <v>3.5577030000000003E-2</v>
      </c>
      <c r="W3377">
        <v>0.21889739999999999</v>
      </c>
      <c r="X3377">
        <v>0.9750991</v>
      </c>
      <c r="Y3377">
        <v>-5.1300529999999997E-2</v>
      </c>
      <c r="Z3377">
        <v>-2.037024E-4</v>
      </c>
      <c r="AA3377">
        <v>0.99868319999999999</v>
      </c>
      <c r="AB3377">
        <v>35</v>
      </c>
      <c r="AC3377">
        <v>-266.8546</v>
      </c>
      <c r="AD3377">
        <v>-1.04350768</v>
      </c>
      <c r="AE3377">
        <v>-7.7769000000000101</v>
      </c>
      <c r="AF3377">
        <v>-13.715127455448499</v>
      </c>
      <c r="AG3377">
        <v>-1.04350768</v>
      </c>
      <c r="AH3377">
        <v>266.61128113229398</v>
      </c>
      <c r="AI3377">
        <v>90.223956497099095</v>
      </c>
      <c r="AJ3377">
        <v>92.944837282641402</v>
      </c>
      <c r="AK3377">
        <v>266.96585709861898</v>
      </c>
      <c r="AL3377">
        <v>77.355720077855693</v>
      </c>
      <c r="AM3377">
        <v>87.910458660786801</v>
      </c>
      <c r="AN3377">
        <v>1.0000000258055901</v>
      </c>
    </row>
    <row r="3378" spans="1:40" x14ac:dyDescent="0.25">
      <c r="A3378" t="str">
        <f>"20190303170834862"</f>
        <v>20190303170834862</v>
      </c>
      <c r="B3378" t="str">
        <f>"1551604114856918"</f>
        <v>1551604114856918</v>
      </c>
      <c r="C3378" t="s">
        <v>40</v>
      </c>
      <c r="D3378">
        <v>4.7950169999999996</v>
      </c>
      <c r="E3378">
        <v>0.47177859999999999</v>
      </c>
      <c r="F3378" t="s">
        <v>49</v>
      </c>
      <c r="G3378">
        <v>-725.67610000000002</v>
      </c>
      <c r="H3378">
        <v>-0.1</v>
      </c>
      <c r="I3378">
        <v>125.47799999999999</v>
      </c>
      <c r="J3378">
        <v>-233.71850000000001</v>
      </c>
      <c r="K3378">
        <v>1.1207009999999999</v>
      </c>
      <c r="L3378">
        <v>140.42750000000001</v>
      </c>
      <c r="M3378">
        <v>-0.99976719999999997</v>
      </c>
      <c r="N3378">
        <v>-4.5709670000000004E-3</v>
      </c>
      <c r="O3378">
        <v>2.108602E-2</v>
      </c>
      <c r="P3378">
        <v>-0.97591070000000002</v>
      </c>
      <c r="Q3378">
        <v>0.2109134</v>
      </c>
      <c r="R3378">
        <v>5.5805210000000001E-2</v>
      </c>
      <c r="S3378">
        <v>-3.0837859999999999</v>
      </c>
      <c r="T3378">
        <v>-7.6433419999999896E-3</v>
      </c>
      <c r="U3378">
        <v>-9.3505859999999996E-2</v>
      </c>
      <c r="V3378">
        <v>3.4828669999999999E-2</v>
      </c>
      <c r="W3378">
        <v>0.21543909999999999</v>
      </c>
      <c r="X3378">
        <v>0.97589599999999999</v>
      </c>
      <c r="Y3378">
        <v>-5.1377159999999998E-2</v>
      </c>
      <c r="Z3378">
        <v>-1.369981E-4</v>
      </c>
      <c r="AA3378">
        <v>0.99867930000000005</v>
      </c>
      <c r="AB3378">
        <v>35</v>
      </c>
      <c r="AC3378">
        <v>-491.95760000000001</v>
      </c>
      <c r="AD3378">
        <v>-1.220701</v>
      </c>
      <c r="AE3378">
        <v>-14.9495</v>
      </c>
      <c r="AF3378">
        <v>-25.319556718605401</v>
      </c>
      <c r="AG3378">
        <v>-1.220701</v>
      </c>
      <c r="AH3378">
        <v>491.52996612741498</v>
      </c>
      <c r="AI3378">
        <v>90.142103774808504</v>
      </c>
      <c r="AJ3378">
        <v>92.948798142305506</v>
      </c>
      <c r="AK3378">
        <v>492.18317491008997</v>
      </c>
      <c r="AL3378">
        <v>77.5587106799955</v>
      </c>
      <c r="AM3378">
        <v>87.956043259912306</v>
      </c>
      <c r="AN3378">
        <v>1.0000000224393799</v>
      </c>
    </row>
    <row r="3379" spans="1:40" x14ac:dyDescent="0.25">
      <c r="A3379" t="str">
        <f>"20190303170834886"</f>
        <v>20190303170834886</v>
      </c>
      <c r="B3379" t="str">
        <f>"1551604114876438"</f>
        <v>1551604114876438</v>
      </c>
      <c r="C3379" t="s">
        <v>40</v>
      </c>
      <c r="D3379">
        <v>4.7891659999999998</v>
      </c>
      <c r="E3379">
        <v>0.47196480000000002</v>
      </c>
      <c r="F3379" t="s">
        <v>58</v>
      </c>
      <c r="G3379">
        <v>-425.9735</v>
      </c>
      <c r="H3379" s="1">
        <v>-8.5129350000000002E-6</v>
      </c>
      <c r="I3379">
        <v>134.297</v>
      </c>
      <c r="J3379">
        <v>-234.10169999999999</v>
      </c>
      <c r="K3379">
        <v>1.120582</v>
      </c>
      <c r="L3379">
        <v>140.43510000000001</v>
      </c>
      <c r="M3379">
        <v>-0.99977950000000004</v>
      </c>
      <c r="N3379">
        <v>-4.3997280000000003E-3</v>
      </c>
      <c r="O3379">
        <v>2.053806E-2</v>
      </c>
      <c r="P3379">
        <v>-0.97582080000000004</v>
      </c>
      <c r="Q3379">
        <v>0.21154339999999999</v>
      </c>
      <c r="R3379">
        <v>5.4983240000000003E-2</v>
      </c>
      <c r="S3379">
        <v>-3.083542</v>
      </c>
      <c r="T3379">
        <v>-1.7974850000000001E-2</v>
      </c>
      <c r="U3379">
        <v>-9.8327639999999994E-2</v>
      </c>
      <c r="V3379">
        <v>3.4592610000000003E-2</v>
      </c>
      <c r="W3379">
        <v>0.2158931</v>
      </c>
      <c r="X3379">
        <v>0.975804</v>
      </c>
      <c r="Y3379">
        <v>-5.2391199999999902E-2</v>
      </c>
      <c r="Z3379">
        <v>-2.9730449999999998E-4</v>
      </c>
      <c r="AA3379">
        <v>0.99862660000000003</v>
      </c>
      <c r="AB3379">
        <v>35</v>
      </c>
      <c r="AC3379">
        <v>-191.87180000000001</v>
      </c>
      <c r="AD3379">
        <v>-1.120590512935</v>
      </c>
      <c r="AE3379">
        <v>-6.1380999999999997</v>
      </c>
      <c r="AF3379">
        <v>-10.0771741563177</v>
      </c>
      <c r="AG3379">
        <v>-1.120590512935</v>
      </c>
      <c r="AH3379">
        <v>191.69873017324801</v>
      </c>
      <c r="AI3379">
        <v>90.334461531461201</v>
      </c>
      <c r="AJ3379">
        <v>93.009141428948396</v>
      </c>
      <c r="AK3379">
        <v>191.966685422523</v>
      </c>
      <c r="AL3379">
        <v>77.5320707463178</v>
      </c>
      <c r="AM3379">
        <v>87.969693813740406</v>
      </c>
      <c r="AN3379">
        <v>0.99999996285510995</v>
      </c>
    </row>
    <row r="3380" spans="1:40" x14ac:dyDescent="0.25">
      <c r="A3380" t="str">
        <f>"20190303170834908"</f>
        <v>20190303170834908</v>
      </c>
      <c r="B3380" t="str">
        <f>"1551604114896934"</f>
        <v>1551604114896934</v>
      </c>
      <c r="C3380" t="s">
        <v>40</v>
      </c>
      <c r="D3380">
        <v>4.7918240000000001</v>
      </c>
      <c r="E3380">
        <v>0.47204800000000002</v>
      </c>
      <c r="F3380" t="s">
        <v>58</v>
      </c>
      <c r="G3380">
        <v>-436.55520000000001</v>
      </c>
      <c r="H3380" s="1">
        <v>-6.3190239999999998E-6</v>
      </c>
      <c r="I3380">
        <v>133.90729999999999</v>
      </c>
      <c r="J3380">
        <v>-234.44540000000001</v>
      </c>
      <c r="K3380">
        <v>1.1204940000000001</v>
      </c>
      <c r="L3380">
        <v>140.4418</v>
      </c>
      <c r="M3380">
        <v>-0.99978860000000003</v>
      </c>
      <c r="N3380">
        <v>-4.2625199999999997E-3</v>
      </c>
      <c r="O3380">
        <v>2.0116499999999999E-2</v>
      </c>
      <c r="P3380">
        <v>-0.97539169999999997</v>
      </c>
      <c r="Q3380">
        <v>0.2132164</v>
      </c>
      <c r="R3380">
        <v>5.6124090000000001E-2</v>
      </c>
      <c r="S3380">
        <v>-3.0836329999999998</v>
      </c>
      <c r="T3380">
        <v>-1.7068030000000001E-2</v>
      </c>
      <c r="U3380">
        <v>-9.9426269999999997E-2</v>
      </c>
      <c r="V3380">
        <v>3.6190479999999997E-2</v>
      </c>
      <c r="W3380">
        <v>0.21742649999999999</v>
      </c>
      <c r="X3380">
        <v>0.97540559999999998</v>
      </c>
      <c r="Y3380">
        <v>-5.2324759999999998E-2</v>
      </c>
      <c r="Z3380">
        <v>-2.8191650000000001E-4</v>
      </c>
      <c r="AA3380">
        <v>0.99863009999999997</v>
      </c>
      <c r="AB3380">
        <v>35</v>
      </c>
      <c r="AC3380">
        <v>-202.10980000000001</v>
      </c>
      <c r="AD3380">
        <v>-1.1205003190239999</v>
      </c>
      <c r="AE3380">
        <v>-6.5345000000000004</v>
      </c>
      <c r="AF3380">
        <v>-10.598630801852</v>
      </c>
      <c r="AG3380">
        <v>-1.1205003190239999</v>
      </c>
      <c r="AH3380">
        <v>201.93124831271101</v>
      </c>
      <c r="AI3380">
        <v>90.317489424599302</v>
      </c>
      <c r="AJ3380">
        <v>93.004488467015605</v>
      </c>
      <c r="AK3380">
        <v>202.21230313947001</v>
      </c>
      <c r="AL3380">
        <v>77.442076976785103</v>
      </c>
      <c r="AM3380">
        <v>87.875129037110298</v>
      </c>
      <c r="AN3380">
        <v>1.00000005912811</v>
      </c>
    </row>
    <row r="3381" spans="1:40" x14ac:dyDescent="0.25">
      <c r="A3381" t="str">
        <f>"20190303170834931"</f>
        <v>20190303170834931</v>
      </c>
      <c r="B3381" t="str">
        <f>"1551604114926214"</f>
        <v>1551604114926214</v>
      </c>
      <c r="C3381" t="s">
        <v>40</v>
      </c>
      <c r="D3381">
        <v>4.7893559999999997</v>
      </c>
      <c r="E3381">
        <v>0.47232940000000001</v>
      </c>
      <c r="F3381" t="s">
        <v>59</v>
      </c>
      <c r="G3381">
        <v>-499.82</v>
      </c>
      <c r="H3381">
        <v>4.360108E-2</v>
      </c>
      <c r="I3381">
        <v>132.1645</v>
      </c>
      <c r="J3381">
        <v>-234.7997</v>
      </c>
      <c r="K3381">
        <v>1.1204209999999999</v>
      </c>
      <c r="L3381">
        <v>140.4485</v>
      </c>
      <c r="M3381">
        <v>-0.99979680000000004</v>
      </c>
      <c r="N3381">
        <v>-4.1358000000000002E-3</v>
      </c>
      <c r="O3381">
        <v>1.972871E-2</v>
      </c>
      <c r="P3381">
        <v>-0.97531690000000004</v>
      </c>
      <c r="Q3381">
        <v>0.21350949999999999</v>
      </c>
      <c r="R3381">
        <v>5.6309249999999998E-2</v>
      </c>
      <c r="S3381">
        <v>-3.0839539999999999</v>
      </c>
      <c r="T3381">
        <v>-1.251471E-2</v>
      </c>
      <c r="U3381">
        <v>-9.6191410000000005E-2</v>
      </c>
      <c r="V3381">
        <v>3.6787800000000002E-2</v>
      </c>
      <c r="W3381">
        <v>0.2175908</v>
      </c>
      <c r="X3381">
        <v>0.97534659999999995</v>
      </c>
      <c r="Y3381">
        <v>-5.0888139999999998E-2</v>
      </c>
      <c r="Z3381">
        <v>-2.069548E-4</v>
      </c>
      <c r="AA3381">
        <v>0.99870429999999999</v>
      </c>
      <c r="AB3381">
        <v>35</v>
      </c>
      <c r="AC3381">
        <v>-265.02030000000002</v>
      </c>
      <c r="AD3381">
        <v>-1.0768199199999999</v>
      </c>
      <c r="AE3381">
        <v>-8.28399999999999</v>
      </c>
      <c r="AF3381">
        <v>-13.5107182666812</v>
      </c>
      <c r="AG3381">
        <v>-1.0768199199999999</v>
      </c>
      <c r="AH3381">
        <v>264.800916794297</v>
      </c>
      <c r="AI3381">
        <v>90.232690838502606</v>
      </c>
      <c r="AJ3381">
        <v>92.920822393298394</v>
      </c>
      <c r="AK3381">
        <v>265.14755247658201</v>
      </c>
      <c r="AL3381">
        <v>77.432432184115299</v>
      </c>
      <c r="AM3381">
        <v>87.839960684670899</v>
      </c>
      <c r="AN3381">
        <v>1.0000000443025101</v>
      </c>
    </row>
    <row r="3382" spans="1:40" x14ac:dyDescent="0.25">
      <c r="A3382" t="str">
        <f>"20190303170834954"</f>
        <v>20190303170834954</v>
      </c>
      <c r="B3382" t="str">
        <f>"1551604114946710"</f>
        <v>1551604114946710</v>
      </c>
      <c r="C3382" t="s">
        <v>40</v>
      </c>
      <c r="D3382">
        <v>4.8081069999999997</v>
      </c>
      <c r="E3382">
        <v>0.47255340000000001</v>
      </c>
      <c r="F3382" t="s">
        <v>59</v>
      </c>
      <c r="G3382">
        <v>-494.14150000000001</v>
      </c>
      <c r="H3382" s="1">
        <v>-9.0074240000000002E-6</v>
      </c>
      <c r="I3382">
        <v>132.5539</v>
      </c>
      <c r="J3382">
        <v>-235.1832</v>
      </c>
      <c r="K3382">
        <v>1.1203399999999999</v>
      </c>
      <c r="L3382">
        <v>140.45570000000001</v>
      </c>
      <c r="M3382">
        <v>-0.9998049</v>
      </c>
      <c r="N3382">
        <v>-4.0152130000000001E-3</v>
      </c>
      <c r="O3382">
        <v>1.9343699999999998E-2</v>
      </c>
      <c r="P3382">
        <v>-0.97570509999999999</v>
      </c>
      <c r="Q3382">
        <v>0.21171309999999999</v>
      </c>
      <c r="R3382">
        <v>5.636774E-2</v>
      </c>
      <c r="S3382">
        <v>-3.0842290000000001</v>
      </c>
      <c r="T3382">
        <v>-1.332474E-2</v>
      </c>
      <c r="U3382">
        <v>-9.3887330000000005E-2</v>
      </c>
      <c r="V3382">
        <v>3.7243150000000003E-2</v>
      </c>
      <c r="W3382">
        <v>0.21567420000000001</v>
      </c>
      <c r="X3382">
        <v>0.97575489999999998</v>
      </c>
      <c r="Y3382">
        <v>-4.9755319999999999E-2</v>
      </c>
      <c r="Z3382">
        <v>-2.132701E-4</v>
      </c>
      <c r="AA3382">
        <v>0.99876140000000002</v>
      </c>
      <c r="AB3382">
        <v>36</v>
      </c>
      <c r="AC3382">
        <v>-258.95830000000001</v>
      </c>
      <c r="AD3382">
        <v>-1.1203490074239999</v>
      </c>
      <c r="AE3382">
        <v>-7.9017999999999997</v>
      </c>
      <c r="AF3382">
        <v>-12.9093317899507</v>
      </c>
      <c r="AG3382">
        <v>-1.1203490074239999</v>
      </c>
      <c r="AH3382">
        <v>258.752156399679</v>
      </c>
      <c r="AI3382">
        <v>90.247770418818206</v>
      </c>
      <c r="AJ3382">
        <v>92.856159613074894</v>
      </c>
      <c r="AK3382">
        <v>259.07640662678199</v>
      </c>
      <c r="AL3382">
        <v>77.5449161057943</v>
      </c>
      <c r="AM3382">
        <v>87.814164214227404</v>
      </c>
      <c r="AN3382">
        <v>1.00000001882078</v>
      </c>
    </row>
    <row r="3383" spans="1:40" x14ac:dyDescent="0.25">
      <c r="A3383" t="str">
        <f>"20190303170834976"</f>
        <v>20190303170834976</v>
      </c>
      <c r="B3383" t="str">
        <f>"1551604114966230"</f>
        <v>1551604114966230</v>
      </c>
      <c r="C3383" t="s">
        <v>40</v>
      </c>
      <c r="D3383">
        <v>4.8290100000000002</v>
      </c>
      <c r="E3383">
        <v>0.47272140000000001</v>
      </c>
      <c r="F3383" t="s">
        <v>58</v>
      </c>
      <c r="G3383">
        <v>-400.31830000000002</v>
      </c>
      <c r="H3383" s="1">
        <v>-3.3990439999999999E-6</v>
      </c>
      <c r="I3383">
        <v>135.55430000000001</v>
      </c>
      <c r="J3383">
        <v>-235.54079999999999</v>
      </c>
      <c r="K3383">
        <v>1.1202829999999999</v>
      </c>
      <c r="L3383">
        <v>140.4623</v>
      </c>
      <c r="M3383">
        <v>-0.99981169999999997</v>
      </c>
      <c r="N3383">
        <v>-3.9163150000000001E-3</v>
      </c>
      <c r="O3383">
        <v>1.900406E-2</v>
      </c>
      <c r="P3383">
        <v>-0.97605379999999997</v>
      </c>
      <c r="Q3383">
        <v>0.21021509999999999</v>
      </c>
      <c r="R3383">
        <v>5.5933030000000002E-2</v>
      </c>
      <c r="S3383">
        <v>-3.084549</v>
      </c>
      <c r="T3383">
        <v>-2.092683E-2</v>
      </c>
      <c r="U3383">
        <v>-9.1552729999999999E-2</v>
      </c>
      <c r="V3383">
        <v>3.7153150000000003E-2</v>
      </c>
      <c r="W3383">
        <v>0.21407780000000001</v>
      </c>
      <c r="X3383">
        <v>0.97610980000000003</v>
      </c>
      <c r="Y3383">
        <v>-4.8656659999999997E-2</v>
      </c>
      <c r="Z3383">
        <v>-3.1481260000000002E-4</v>
      </c>
      <c r="AA3383">
        <v>0.99881549999999997</v>
      </c>
      <c r="AB3383">
        <v>36</v>
      </c>
      <c r="AC3383">
        <v>-164.7775</v>
      </c>
      <c r="AD3383">
        <v>-1.120286399044</v>
      </c>
      <c r="AE3383">
        <v>-4.9079999999999799</v>
      </c>
      <c r="AF3383">
        <v>-8.0382080344118592</v>
      </c>
      <c r="AG3383">
        <v>-1.120286399044</v>
      </c>
      <c r="AH3383">
        <v>164.646865358821</v>
      </c>
      <c r="AI3383">
        <v>90.389380853407602</v>
      </c>
      <c r="AJ3383">
        <v>92.795012272997795</v>
      </c>
      <c r="AK3383">
        <v>164.84677158654301</v>
      </c>
      <c r="AL3383">
        <v>77.638570525449794</v>
      </c>
      <c r="AM3383">
        <v>87.820233350395995</v>
      </c>
      <c r="AN3383">
        <v>1.0000000013318999</v>
      </c>
    </row>
    <row r="3384" spans="1:40" x14ac:dyDescent="0.25">
      <c r="A3384" t="str">
        <f>"20190303170834999"</f>
        <v>20190303170834999</v>
      </c>
      <c r="B3384" t="str">
        <f>"1551604114986726"</f>
        <v>1551604114986726</v>
      </c>
      <c r="C3384" t="s">
        <v>40</v>
      </c>
      <c r="D3384">
        <v>4.823906</v>
      </c>
      <c r="E3384">
        <v>0.47284589999999999</v>
      </c>
      <c r="F3384" t="s">
        <v>43</v>
      </c>
      <c r="G3384">
        <v>-364.01650000000001</v>
      </c>
      <c r="H3384" s="1">
        <v>-3.0739770000000001E-6</v>
      </c>
      <c r="I3384">
        <v>136.65790000000001</v>
      </c>
      <c r="J3384">
        <v>-235.90770000000001</v>
      </c>
      <c r="K3384">
        <v>1.1202490000000001</v>
      </c>
      <c r="L3384">
        <v>140.46899999999999</v>
      </c>
      <c r="M3384">
        <v>-0.9998186</v>
      </c>
      <c r="N3384">
        <v>-3.82621E-3</v>
      </c>
      <c r="O3384">
        <v>1.8666479999999999E-2</v>
      </c>
      <c r="P3384">
        <v>-0.97601199999999999</v>
      </c>
      <c r="Q3384">
        <v>0.21046580000000001</v>
      </c>
      <c r="R3384">
        <v>5.572332E-2</v>
      </c>
      <c r="S3384">
        <v>-3.084625</v>
      </c>
      <c r="T3384">
        <v>-2.689743E-2</v>
      </c>
      <c r="U3384">
        <v>-9.1339110000000001E-2</v>
      </c>
      <c r="V3384">
        <v>3.7287840000000003E-2</v>
      </c>
      <c r="W3384">
        <v>0.21423800000000001</v>
      </c>
      <c r="X3384">
        <v>0.97606950000000003</v>
      </c>
      <c r="Y3384">
        <v>-4.8248539999999999E-2</v>
      </c>
      <c r="Z3384">
        <v>-3.9396750000000001E-4</v>
      </c>
      <c r="AA3384">
        <v>0.99883529999999998</v>
      </c>
      <c r="AB3384">
        <v>36</v>
      </c>
      <c r="AC3384">
        <v>-128.1088</v>
      </c>
      <c r="AD3384">
        <v>-1.1202520739769899</v>
      </c>
      <c r="AE3384">
        <v>-3.8110999999999802</v>
      </c>
      <c r="AF3384">
        <v>-6.2013196777978701</v>
      </c>
      <c r="AG3384">
        <v>-1.1202520739769899</v>
      </c>
      <c r="AH3384">
        <v>128.005558914803</v>
      </c>
      <c r="AI3384">
        <v>90.500828982389393</v>
      </c>
      <c r="AJ3384">
        <v>92.773566006991501</v>
      </c>
      <c r="AK3384">
        <v>128.160580692921</v>
      </c>
      <c r="AL3384">
        <v>77.629173537351093</v>
      </c>
      <c r="AM3384">
        <v>87.812248547138395</v>
      </c>
      <c r="AN3384">
        <v>0.99999998624305697</v>
      </c>
    </row>
    <row r="3385" spans="1:40" x14ac:dyDescent="0.25">
      <c r="A3385" t="str">
        <f>"20190303170835042"</f>
        <v>20190303170835042</v>
      </c>
      <c r="B3385" t="str">
        <f>"1551604115036502"</f>
        <v>1551604115036502</v>
      </c>
      <c r="C3385" t="s">
        <v>40</v>
      </c>
      <c r="D3385">
        <v>4.5655089999999996</v>
      </c>
      <c r="E3385">
        <v>0.49803950000000002</v>
      </c>
      <c r="F3385" t="s">
        <v>43</v>
      </c>
      <c r="G3385">
        <v>-362.43450000000001</v>
      </c>
      <c r="H3385" s="1">
        <v>-3.7343040000000001E-6</v>
      </c>
      <c r="I3385">
        <v>136.76130000000001</v>
      </c>
      <c r="J3385">
        <v>-236.60759999999999</v>
      </c>
      <c r="K3385">
        <v>1.120206</v>
      </c>
      <c r="L3385">
        <v>140.48140000000001</v>
      </c>
      <c r="M3385">
        <v>-0.99983069999999996</v>
      </c>
      <c r="N3385">
        <v>-3.6801070000000002E-3</v>
      </c>
      <c r="O3385">
        <v>1.803432E-2</v>
      </c>
      <c r="P3385">
        <v>-0.97522640000000005</v>
      </c>
      <c r="Q3385">
        <v>0.21400169999999999</v>
      </c>
      <c r="R3385">
        <v>5.600753E-2</v>
      </c>
      <c r="S3385">
        <v>-3.0847929999999999</v>
      </c>
      <c r="T3385">
        <v>-2.7312400000000001E-2</v>
      </c>
      <c r="U3385">
        <v>-9.0393070000000006E-2</v>
      </c>
      <c r="V3385">
        <v>3.821886E-2</v>
      </c>
      <c r="W3385">
        <v>0.21762609999999999</v>
      </c>
      <c r="X3385">
        <v>0.97528360000000003</v>
      </c>
      <c r="Y3385">
        <v>-4.730931E-2</v>
      </c>
      <c r="Z3385">
        <v>-3.897482E-4</v>
      </c>
      <c r="AA3385">
        <v>0.9988802</v>
      </c>
      <c r="AB3385">
        <v>36</v>
      </c>
      <c r="AC3385">
        <v>-125.82689999999999</v>
      </c>
      <c r="AD3385">
        <v>-1.1202097343040001</v>
      </c>
      <c r="AE3385">
        <v>-3.7201</v>
      </c>
      <c r="AF3385">
        <v>-5.98823848439865</v>
      </c>
      <c r="AG3385">
        <v>-1.1202097343040001</v>
      </c>
      <c r="AH3385">
        <v>125.729389825392</v>
      </c>
      <c r="AI3385">
        <v>90.509896084267098</v>
      </c>
      <c r="AJ3385">
        <v>92.726822360276998</v>
      </c>
      <c r="AK3385">
        <v>125.87689754621501</v>
      </c>
      <c r="AL3385">
        <v>77.430358787550901</v>
      </c>
      <c r="AM3385">
        <v>87.755873786486902</v>
      </c>
      <c r="AN3385">
        <v>0.99999995054493296</v>
      </c>
    </row>
    <row r="3386" spans="1:40" x14ac:dyDescent="0.25">
      <c r="A3386" t="str">
        <f>"20190303170835063"</f>
        <v>20190303170835063</v>
      </c>
      <c r="B3386" t="str">
        <f>"1551604115056998"</f>
        <v>1551604115056998</v>
      </c>
      <c r="C3386" t="s">
        <v>40</v>
      </c>
      <c r="D3386">
        <v>4.7157920000000004</v>
      </c>
      <c r="E3386">
        <v>0.50961540000000005</v>
      </c>
      <c r="F3386" t="s">
        <v>58</v>
      </c>
      <c r="G3386">
        <v>-422.44690000000003</v>
      </c>
      <c r="H3386" s="1">
        <v>-1.2911079999999999E-5</v>
      </c>
      <c r="I3386">
        <v>147.22219999999999</v>
      </c>
      <c r="J3386">
        <v>-236.96520000000001</v>
      </c>
      <c r="K3386">
        <v>1.12018</v>
      </c>
      <c r="L3386">
        <v>140.48750000000001</v>
      </c>
      <c r="M3386">
        <v>-0.99983670000000002</v>
      </c>
      <c r="N3386">
        <v>-3.6179440000000001E-3</v>
      </c>
      <c r="O3386">
        <v>1.7712729999999999E-2</v>
      </c>
      <c r="P3386">
        <v>-0.97533789999999998</v>
      </c>
      <c r="Q3386">
        <v>0.2136092</v>
      </c>
      <c r="R3386">
        <v>5.5563269999999998E-2</v>
      </c>
      <c r="S3386">
        <v>-3.073868</v>
      </c>
      <c r="T3386">
        <v>-1.8528940000000001E-2</v>
      </c>
      <c r="U3386">
        <v>0.111496</v>
      </c>
      <c r="V3386">
        <v>3.809357E-2</v>
      </c>
      <c r="W3386">
        <v>0.21717239999999999</v>
      </c>
      <c r="X3386">
        <v>0.97538970000000003</v>
      </c>
      <c r="Y3386">
        <v>1.854099E-2</v>
      </c>
      <c r="Z3386" s="1">
        <v>4.67631E-5</v>
      </c>
      <c r="AA3386">
        <v>0.9998281</v>
      </c>
      <c r="AB3386">
        <v>36</v>
      </c>
      <c r="AC3386">
        <v>-185.48169999999999</v>
      </c>
      <c r="AD3386">
        <v>-1.12019291108</v>
      </c>
      <c r="AE3386">
        <v>6.7346999999999699</v>
      </c>
      <c r="AF3386">
        <v>3.4481094755184398</v>
      </c>
      <c r="AG3386">
        <v>-1.12019291108</v>
      </c>
      <c r="AH3386">
        <v>185.565132050252</v>
      </c>
      <c r="AI3386">
        <v>90.345811029337597</v>
      </c>
      <c r="AJ3386">
        <v>88.935471417506506</v>
      </c>
      <c r="AK3386">
        <v>185.60054559171101</v>
      </c>
      <c r="AL3386">
        <v>77.456991723888393</v>
      </c>
      <c r="AM3386">
        <v>87.763466113993999</v>
      </c>
      <c r="AN3386">
        <v>1.0000000191315901</v>
      </c>
    </row>
    <row r="3387" spans="1:40" x14ac:dyDescent="0.25">
      <c r="A3387" t="str">
        <f>"20190303170835087"</f>
        <v>20190303170835087</v>
      </c>
      <c r="B3387" t="str">
        <f>"1551604115076518"</f>
        <v>1551604115076518</v>
      </c>
      <c r="C3387" t="s">
        <v>40</v>
      </c>
      <c r="D3387">
        <v>4.7012929999999997</v>
      </c>
      <c r="E3387">
        <v>0.51388529999999999</v>
      </c>
      <c r="F3387" t="s">
        <v>43</v>
      </c>
      <c r="G3387">
        <v>-394.34269999999998</v>
      </c>
      <c r="H3387">
        <v>7.9986719999999997E-2</v>
      </c>
      <c r="I3387">
        <v>150.91159999999999</v>
      </c>
      <c r="J3387">
        <v>-237.345</v>
      </c>
      <c r="K3387">
        <v>1.120158</v>
      </c>
      <c r="L3387">
        <v>140.494</v>
      </c>
      <c r="M3387">
        <v>-0.99984280000000003</v>
      </c>
      <c r="N3387">
        <v>-3.5617489999999999E-3</v>
      </c>
      <c r="O3387">
        <v>1.7371500000000002E-2</v>
      </c>
      <c r="P3387">
        <v>-0.97558630000000002</v>
      </c>
      <c r="Q3387">
        <v>0.21270159999999999</v>
      </c>
      <c r="R3387">
        <v>5.4677110000000001E-2</v>
      </c>
      <c r="S3387">
        <v>-3.0687410000000002</v>
      </c>
      <c r="T3387">
        <v>-2.0282979999999999E-2</v>
      </c>
      <c r="U3387">
        <v>0.20326230000000001</v>
      </c>
      <c r="V3387">
        <v>3.7542539999999999E-2</v>
      </c>
      <c r="W3387">
        <v>0.21620919999999999</v>
      </c>
      <c r="X3387">
        <v>0.97562499999999996</v>
      </c>
      <c r="Y3387">
        <v>4.874643E-2</v>
      </c>
      <c r="Z3387">
        <v>1.949721E-4</v>
      </c>
      <c r="AA3387">
        <v>0.99881120000000001</v>
      </c>
      <c r="AB3387">
        <v>37</v>
      </c>
      <c r="AC3387">
        <v>-156.99769999999901</v>
      </c>
      <c r="AD3387">
        <v>-1.04017128</v>
      </c>
      <c r="AE3387">
        <v>10.417599999999901</v>
      </c>
      <c r="AF3387">
        <v>7.68838926229731</v>
      </c>
      <c r="AG3387">
        <v>-1.04017128</v>
      </c>
      <c r="AH3387">
        <v>157.14811196722999</v>
      </c>
      <c r="AI3387">
        <v>90.378785069763595</v>
      </c>
      <c r="AJ3387">
        <v>87.199067276879006</v>
      </c>
      <c r="AK3387">
        <v>157.33951309383599</v>
      </c>
      <c r="AL3387">
        <v>77.513521931543096</v>
      </c>
      <c r="AM3387">
        <v>87.796316899372002</v>
      </c>
      <c r="AN3387">
        <v>1.0000000005496399</v>
      </c>
    </row>
    <row r="3388" spans="1:40" x14ac:dyDescent="0.25">
      <c r="A3388" t="str">
        <f>"20190303170835111"</f>
        <v>20190303170835111</v>
      </c>
      <c r="B3388" t="str">
        <f>"1551604115106774"</f>
        <v>1551604115106774</v>
      </c>
      <c r="C3388" t="s">
        <v>40</v>
      </c>
      <c r="D3388">
        <v>4.6801490000000001</v>
      </c>
      <c r="E3388">
        <v>0.51851459999999905</v>
      </c>
      <c r="F3388" t="s">
        <v>43</v>
      </c>
      <c r="G3388">
        <v>-359.7534</v>
      </c>
      <c r="H3388">
        <v>7.9986769999999999E-2</v>
      </c>
      <c r="I3388">
        <v>149.8732</v>
      </c>
      <c r="J3388">
        <v>-237.7458</v>
      </c>
      <c r="K3388">
        <v>1.120139</v>
      </c>
      <c r="L3388">
        <v>140.50059999999999</v>
      </c>
      <c r="M3388">
        <v>-0.99984910000000005</v>
      </c>
      <c r="N3388">
        <v>-3.5144569999999999E-3</v>
      </c>
      <c r="O3388">
        <v>1.7011990000000001E-2</v>
      </c>
      <c r="P3388">
        <v>-0.97564099999999998</v>
      </c>
      <c r="Q3388">
        <v>0.21277579999999999</v>
      </c>
      <c r="R3388">
        <v>5.3394990000000003E-2</v>
      </c>
      <c r="S3388">
        <v>-3.0675659999999998</v>
      </c>
      <c r="T3388">
        <v>-2.6066780000000001E-2</v>
      </c>
      <c r="U3388">
        <v>0.23504639999999999</v>
      </c>
      <c r="V3388">
        <v>3.6614729999999998E-2</v>
      </c>
      <c r="W3388">
        <v>0.2162357</v>
      </c>
      <c r="X3388">
        <v>0.97565440000000003</v>
      </c>
      <c r="Y3388">
        <v>5.9422910000000002E-2</v>
      </c>
      <c r="Z3388">
        <v>2.7207039999999999E-4</v>
      </c>
      <c r="AA3388">
        <v>0.99823280000000003</v>
      </c>
      <c r="AB3388">
        <v>37</v>
      </c>
      <c r="AC3388">
        <v>-122.0076</v>
      </c>
      <c r="AD3388">
        <v>-1.0401522299999999</v>
      </c>
      <c r="AE3388">
        <v>9.3726000000000003</v>
      </c>
      <c r="AF3388">
        <v>7.2951116207311903</v>
      </c>
      <c r="AG3388">
        <v>-1.0401522299999999</v>
      </c>
      <c r="AH3388">
        <v>122.140565890842</v>
      </c>
      <c r="AI3388">
        <v>90.4870526260178</v>
      </c>
      <c r="AJ3388">
        <v>86.581945228076293</v>
      </c>
      <c r="AK3388">
        <v>122.36265119044999</v>
      </c>
      <c r="AL3388">
        <v>77.511966954925896</v>
      </c>
      <c r="AM3388">
        <v>87.850790748204503</v>
      </c>
      <c r="AN3388">
        <v>1.0000000123234101</v>
      </c>
    </row>
    <row r="3389" spans="1:40" x14ac:dyDescent="0.25">
      <c r="A3389" t="str">
        <f>"20190303170835132"</f>
        <v>20190303170835132</v>
      </c>
      <c r="B3389" t="str">
        <f>"1551604115126294"</f>
        <v>1551604115126294</v>
      </c>
      <c r="C3389" t="s">
        <v>40</v>
      </c>
      <c r="D3389">
        <v>4.6950029999999998</v>
      </c>
      <c r="E3389">
        <v>0.51940429999999904</v>
      </c>
      <c r="F3389" t="s">
        <v>43</v>
      </c>
      <c r="G3389">
        <v>-325.63630000000001</v>
      </c>
      <c r="H3389" s="1">
        <v>-3.8695069999999999E-6</v>
      </c>
      <c r="I3389">
        <v>148.1377</v>
      </c>
      <c r="J3389">
        <v>-238.0934</v>
      </c>
      <c r="K3389">
        <v>1.120133</v>
      </c>
      <c r="L3389">
        <v>140.50630000000001</v>
      </c>
      <c r="M3389">
        <v>-0.99985449999999998</v>
      </c>
      <c r="N3389">
        <v>-3.4881999999999999E-3</v>
      </c>
      <c r="O3389">
        <v>1.670081E-2</v>
      </c>
      <c r="P3389">
        <v>-0.97545729999999997</v>
      </c>
      <c r="Q3389">
        <v>0.21378649999999999</v>
      </c>
      <c r="R3389">
        <v>5.2712219999999997E-2</v>
      </c>
      <c r="S3389">
        <v>-3.068848</v>
      </c>
      <c r="T3389">
        <v>-3.9111729999999997E-2</v>
      </c>
      <c r="U3389">
        <v>0.26666260000000003</v>
      </c>
      <c r="V3389">
        <v>3.624049E-2</v>
      </c>
      <c r="W3389">
        <v>0.21721979999999999</v>
      </c>
      <c r="X3389">
        <v>0.97544969999999998</v>
      </c>
      <c r="Y3389">
        <v>6.9910440000000004E-2</v>
      </c>
      <c r="Z3389">
        <v>4.1257110000000001E-4</v>
      </c>
      <c r="AA3389">
        <v>0.99755320000000003</v>
      </c>
      <c r="AB3389">
        <v>37</v>
      </c>
      <c r="AC3389">
        <v>-87.542900000000003</v>
      </c>
      <c r="AD3389">
        <v>-1.120136869507</v>
      </c>
      <c r="AE3389">
        <v>7.6313999999999798</v>
      </c>
      <c r="AF3389">
        <v>6.1672874019667399</v>
      </c>
      <c r="AG3389">
        <v>-1.120136869507</v>
      </c>
      <c r="AH3389">
        <v>87.643900932912302</v>
      </c>
      <c r="AI3389">
        <v>90.730425498880805</v>
      </c>
      <c r="AJ3389">
        <v>85.974870685258495</v>
      </c>
      <c r="AK3389">
        <v>87.867761501264198</v>
      </c>
      <c r="AL3389">
        <v>77.454208808046801</v>
      </c>
      <c r="AM3389">
        <v>87.8722915798798</v>
      </c>
      <c r="AN3389">
        <v>0.99999996592878404</v>
      </c>
    </row>
    <row r="3390" spans="1:40" x14ac:dyDescent="0.25">
      <c r="A3390" t="str">
        <f>"20190303170835178"</f>
        <v>20190303170835178</v>
      </c>
      <c r="B3390" t="str">
        <f>"1551604115166930"</f>
        <v>1551604115166930</v>
      </c>
      <c r="C3390" t="s">
        <v>40</v>
      </c>
      <c r="D3390">
        <v>4.694458</v>
      </c>
      <c r="E3390">
        <v>0.52133770000000001</v>
      </c>
      <c r="F3390" t="s">
        <v>43</v>
      </c>
      <c r="G3390">
        <v>-333.73140000000001</v>
      </c>
      <c r="H3390" s="1">
        <v>-4.935056E-6</v>
      </c>
      <c r="I3390">
        <v>148.95590000000001</v>
      </c>
      <c r="J3390">
        <v>-238.86750000000001</v>
      </c>
      <c r="K3390">
        <v>1.1201179999999999</v>
      </c>
      <c r="L3390">
        <v>140.51849999999999</v>
      </c>
      <c r="M3390">
        <v>-0.99986569999999997</v>
      </c>
      <c r="N3390">
        <v>-3.482405E-3</v>
      </c>
      <c r="O3390">
        <v>1.6011999999999998E-2</v>
      </c>
      <c r="P3390">
        <v>-0.97530510000000004</v>
      </c>
      <c r="Q3390">
        <v>0.21498999999999999</v>
      </c>
      <c r="R3390">
        <v>5.058936E-2</v>
      </c>
      <c r="S3390">
        <v>-3.068695</v>
      </c>
      <c r="T3390">
        <v>-3.5941359999999999E-2</v>
      </c>
      <c r="U3390">
        <v>0.27111819999999998</v>
      </c>
      <c r="V3390">
        <v>3.4794190000000003E-2</v>
      </c>
      <c r="W3390">
        <v>0.21841540000000001</v>
      </c>
      <c r="X3390">
        <v>0.97523539999999997</v>
      </c>
      <c r="Y3390">
        <v>7.2039779999999998E-2</v>
      </c>
      <c r="Z3390">
        <v>4.1526109999999997E-4</v>
      </c>
      <c r="AA3390">
        <v>0.99740169999999995</v>
      </c>
      <c r="AB3390">
        <v>37</v>
      </c>
      <c r="AC3390">
        <v>-94.863900000000001</v>
      </c>
      <c r="AD3390">
        <v>-1.120122935056</v>
      </c>
      <c r="AE3390">
        <v>8.4374000000000198</v>
      </c>
      <c r="AF3390">
        <v>6.9163915541896097</v>
      </c>
      <c r="AG3390">
        <v>-1.120122935056</v>
      </c>
      <c r="AH3390">
        <v>94.973701305312801</v>
      </c>
      <c r="AI3390">
        <v>90.673932435286204</v>
      </c>
      <c r="AJ3390">
        <v>85.834828798742393</v>
      </c>
      <c r="AK3390">
        <v>95.231796618310696</v>
      </c>
      <c r="AL3390">
        <v>77.384021203488103</v>
      </c>
      <c r="AM3390">
        <v>87.956683057344804</v>
      </c>
      <c r="AN3390">
        <v>1.00000000401403</v>
      </c>
    </row>
    <row r="3391" spans="1:40" x14ac:dyDescent="0.25">
      <c r="A3391" t="str">
        <f>"20190303170835199"</f>
        <v>20190303170835199</v>
      </c>
      <c r="B3391" t="str">
        <f>"1551604115186451"</f>
        <v>1551604115186451</v>
      </c>
      <c r="C3391" t="s">
        <v>40</v>
      </c>
      <c r="D3391">
        <v>4.6766509999999997</v>
      </c>
      <c r="E3391">
        <v>0.52220739999999999</v>
      </c>
      <c r="F3391" t="s">
        <v>43</v>
      </c>
      <c r="G3391">
        <v>-328.09</v>
      </c>
      <c r="H3391" s="1">
        <v>-3.1267909999999998E-6</v>
      </c>
      <c r="I3391">
        <v>148.65799999999999</v>
      </c>
      <c r="J3391">
        <v>-239.21899999999999</v>
      </c>
      <c r="K3391">
        <v>1.120115</v>
      </c>
      <c r="L3391">
        <v>140.5239</v>
      </c>
      <c r="M3391">
        <v>-0.99987079999999995</v>
      </c>
      <c r="N3391">
        <v>-3.50644E-3</v>
      </c>
      <c r="O3391">
        <v>1.5700039999999998E-2</v>
      </c>
      <c r="P3391">
        <v>-0.97546390000000005</v>
      </c>
      <c r="Q3391">
        <v>0.2143881</v>
      </c>
      <c r="R3391">
        <v>5.0083309999999999E-2</v>
      </c>
      <c r="S3391">
        <v>-3.0699160000000001</v>
      </c>
      <c r="T3391">
        <v>-3.8540480000000002E-2</v>
      </c>
      <c r="U3391">
        <v>0.28005980000000003</v>
      </c>
      <c r="V3391">
        <v>3.4590889999999999E-2</v>
      </c>
      <c r="W3391">
        <v>0.21783649999999999</v>
      </c>
      <c r="X3391">
        <v>0.97537209999999996</v>
      </c>
      <c r="Y3391">
        <v>7.5196659999999999E-2</v>
      </c>
      <c r="Z3391">
        <v>4.6144129999999998E-4</v>
      </c>
      <c r="AA3391">
        <v>0.99716859999999996</v>
      </c>
      <c r="AB3391">
        <v>38</v>
      </c>
      <c r="AC3391">
        <v>-88.870999999999896</v>
      </c>
      <c r="AD3391">
        <v>-1.1201181267910001</v>
      </c>
      <c r="AE3391">
        <v>8.1340999999999894</v>
      </c>
      <c r="AF3391">
        <v>6.7367495907224297</v>
      </c>
      <c r="AG3391">
        <v>-1.1201181267910001</v>
      </c>
      <c r="AH3391">
        <v>88.973735969511594</v>
      </c>
      <c r="AI3391">
        <v>90.719217892250001</v>
      </c>
      <c r="AJ3391">
        <v>85.6700454553187</v>
      </c>
      <c r="AK3391">
        <v>89.235442241513098</v>
      </c>
      <c r="AL3391">
        <v>77.418008087531206</v>
      </c>
      <c r="AM3391">
        <v>87.968896446319704</v>
      </c>
      <c r="AN3391">
        <v>1.0000000019308199</v>
      </c>
    </row>
    <row r="3392" spans="1:40" x14ac:dyDescent="0.25">
      <c r="A3392" t="str">
        <f>"20190303170835221"</f>
        <v>20190303170835221</v>
      </c>
      <c r="B3392" t="str">
        <f>"1551604115206946"</f>
        <v>1551604115206946</v>
      </c>
      <c r="C3392" t="s">
        <v>40</v>
      </c>
      <c r="D3392">
        <v>4.70296</v>
      </c>
      <c r="E3392">
        <v>0.52284449999999905</v>
      </c>
      <c r="F3392" t="s">
        <v>58</v>
      </c>
      <c r="G3392">
        <v>-316.87790000000001</v>
      </c>
      <c r="H3392" s="1">
        <v>-8.9004879999999994E-6</v>
      </c>
      <c r="I3392">
        <v>147.75219999999999</v>
      </c>
      <c r="J3392">
        <v>-239.59229999999999</v>
      </c>
      <c r="K3392">
        <v>1.1201179999999999</v>
      </c>
      <c r="L3392">
        <v>140.52950000000001</v>
      </c>
      <c r="M3392">
        <v>-0.99987550000000003</v>
      </c>
      <c r="N3392">
        <v>-3.5542149999999999E-3</v>
      </c>
      <c r="O3392">
        <v>1.5369900000000001E-2</v>
      </c>
      <c r="P3392">
        <v>-0.97560910000000001</v>
      </c>
      <c r="Q3392">
        <v>0.21378539999999999</v>
      </c>
      <c r="R3392">
        <v>4.9827299999999998E-2</v>
      </c>
      <c r="S3392">
        <v>-3.070541</v>
      </c>
      <c r="T3392">
        <v>-4.4288399999999999E-2</v>
      </c>
      <c r="U3392">
        <v>0.28579710000000003</v>
      </c>
      <c r="V3392">
        <v>3.465509E-2</v>
      </c>
      <c r="W3392">
        <v>0.21728120000000001</v>
      </c>
      <c r="X3392">
        <v>0.97549370000000002</v>
      </c>
      <c r="Y3392">
        <v>7.7352690000000002E-2</v>
      </c>
      <c r="Z3392">
        <v>5.2775689999999997E-4</v>
      </c>
      <c r="AA3392">
        <v>0.99700370000000005</v>
      </c>
      <c r="AB3392">
        <v>38</v>
      </c>
      <c r="AC3392">
        <v>-77.285600000000002</v>
      </c>
      <c r="AD3392">
        <v>-1.1201269004879999</v>
      </c>
      <c r="AE3392">
        <v>7.2226999999999704</v>
      </c>
      <c r="AF3392">
        <v>6.0327110572742804</v>
      </c>
      <c r="AG3392">
        <v>-1.1201269004879999</v>
      </c>
      <c r="AH3392">
        <v>77.371371805116894</v>
      </c>
      <c r="AI3392">
        <v>90.826919565022806</v>
      </c>
      <c r="AJ3392">
        <v>85.541620026035503</v>
      </c>
      <c r="AK3392">
        <v>77.614286455390399</v>
      </c>
      <c r="AL3392">
        <v>77.450605545855694</v>
      </c>
      <c r="AM3392">
        <v>87.965383368069993</v>
      </c>
      <c r="AN3392">
        <v>1.00000002693801</v>
      </c>
    </row>
    <row r="3393" spans="1:40" x14ac:dyDescent="0.25">
      <c r="A3393" t="str">
        <f>"20190303170835242"</f>
        <v>20190303170835242</v>
      </c>
      <c r="B3393" t="str">
        <f>"1551604115236985"</f>
        <v>1551604115236985</v>
      </c>
      <c r="C3393" t="s">
        <v>40</v>
      </c>
      <c r="D3393">
        <v>4.8295279999999998</v>
      </c>
      <c r="E3393">
        <v>0.52328240000000004</v>
      </c>
      <c r="F3393" t="s">
        <v>58</v>
      </c>
      <c r="G3393">
        <v>-308.65809999999999</v>
      </c>
      <c r="H3393" s="1">
        <v>-1.1508319999999999E-5</v>
      </c>
      <c r="I3393">
        <v>147.0401</v>
      </c>
      <c r="J3393">
        <v>-239.96129999999999</v>
      </c>
      <c r="K3393">
        <v>1.120126</v>
      </c>
      <c r="L3393">
        <v>140.53489999999999</v>
      </c>
      <c r="M3393">
        <v>-0.9998804</v>
      </c>
      <c r="N3393">
        <v>-3.6313209999999999E-3</v>
      </c>
      <c r="O3393">
        <v>1.504398E-2</v>
      </c>
      <c r="P3393">
        <v>-0.97551350000000003</v>
      </c>
      <c r="Q3393">
        <v>0.21423149999999999</v>
      </c>
      <c r="R3393">
        <v>4.9784000000000002E-2</v>
      </c>
      <c r="S3393">
        <v>-3.0711360000000001</v>
      </c>
      <c r="T3393">
        <v>-4.9808619999999998E-2</v>
      </c>
      <c r="U3393">
        <v>0.28950500000000001</v>
      </c>
      <c r="V3393">
        <v>3.4930210000000003E-2</v>
      </c>
      <c r="W3393">
        <v>0.21780250000000001</v>
      </c>
      <c r="X3393">
        <v>0.9753676</v>
      </c>
      <c r="Y3393">
        <v>7.885064E-2</v>
      </c>
      <c r="Z3393">
        <v>5.9258539999999999E-4</v>
      </c>
      <c r="AA3393">
        <v>0.9968863</v>
      </c>
      <c r="AB3393">
        <v>38</v>
      </c>
      <c r="AC3393">
        <v>-68.696799999999996</v>
      </c>
      <c r="AD3393">
        <v>-1.12013750832</v>
      </c>
      <c r="AE3393">
        <v>6.5052000000000003</v>
      </c>
      <c r="AF3393">
        <v>5.4695426187395597</v>
      </c>
      <c r="AG3393">
        <v>-1.12013750832</v>
      </c>
      <c r="AH3393">
        <v>68.768769338069404</v>
      </c>
      <c r="AI3393">
        <v>90.9302404952617</v>
      </c>
      <c r="AJ3393">
        <v>85.452537468756304</v>
      </c>
      <c r="AK3393">
        <v>68.995030551253095</v>
      </c>
      <c r="AL3393">
        <v>77.420004068420397</v>
      </c>
      <c r="AM3393">
        <v>87.948979776302295</v>
      </c>
      <c r="AN3393">
        <v>1.0000000018533199</v>
      </c>
    </row>
    <row r="3394" spans="1:40" x14ac:dyDescent="0.25">
      <c r="A3394" t="str">
        <f>"20190303170835266"</f>
        <v>20190303170835266</v>
      </c>
      <c r="B3394" t="str">
        <f>"1551604115256488"</f>
        <v>1551604115256488</v>
      </c>
      <c r="C3394" t="s">
        <v>40</v>
      </c>
      <c r="D3394">
        <v>4.83249</v>
      </c>
      <c r="E3394">
        <v>0.52332699999999999</v>
      </c>
      <c r="F3394" t="s">
        <v>58</v>
      </c>
      <c r="G3394">
        <v>-311.05579999999998</v>
      </c>
      <c r="H3394" s="1">
        <v>-1.129E-5</v>
      </c>
      <c r="I3394">
        <v>147.31559999999999</v>
      </c>
      <c r="J3394">
        <v>-240.3587</v>
      </c>
      <c r="K3394">
        <v>1.1201509999999999</v>
      </c>
      <c r="L3394">
        <v>140.54060000000001</v>
      </c>
      <c r="M3394">
        <v>-0.99988509999999997</v>
      </c>
      <c r="N3394">
        <v>-3.746639E-3</v>
      </c>
      <c r="O3394">
        <v>1.469348E-2</v>
      </c>
      <c r="P3394">
        <v>-0.9754912</v>
      </c>
      <c r="Q3394">
        <v>0.2144836</v>
      </c>
      <c r="R3394">
        <v>4.9132589999999997E-2</v>
      </c>
      <c r="S3394">
        <v>-3.0709689999999998</v>
      </c>
      <c r="T3394">
        <v>-4.8385020000000001E-2</v>
      </c>
      <c r="U3394">
        <v>0.2928925</v>
      </c>
      <c r="V3394">
        <v>3.462022E-2</v>
      </c>
      <c r="W3394">
        <v>0.2181669</v>
      </c>
      <c r="X3394">
        <v>0.97529719999999998</v>
      </c>
      <c r="Y3394">
        <v>8.0295130000000006E-2</v>
      </c>
      <c r="Z3394">
        <v>6.0586530000000002E-4</v>
      </c>
      <c r="AA3394">
        <v>0.99677099999999996</v>
      </c>
      <c r="AB3394">
        <v>38</v>
      </c>
      <c r="AC3394">
        <v>-70.697099999999907</v>
      </c>
      <c r="AD3394">
        <v>-1.1201622899999999</v>
      </c>
      <c r="AE3394">
        <v>6.7749999999999702</v>
      </c>
      <c r="AF3394">
        <v>5.7340485281401996</v>
      </c>
      <c r="AG3394">
        <v>-1.1201622899999999</v>
      </c>
      <c r="AH3394">
        <v>70.771411388261996</v>
      </c>
      <c r="AI3394">
        <v>90.903834417898807</v>
      </c>
      <c r="AJ3394">
        <v>85.367893758045497</v>
      </c>
      <c r="AK3394">
        <v>71.0121591416965</v>
      </c>
      <c r="AL3394">
        <v>77.398610905661201</v>
      </c>
      <c r="AM3394">
        <v>87.967019711305298</v>
      </c>
      <c r="AN3394">
        <v>0.99999999210814905</v>
      </c>
    </row>
    <row r="3395" spans="1:40" x14ac:dyDescent="0.25">
      <c r="A3395" t="str">
        <f>"20190303170835287"</f>
        <v>20190303170835287</v>
      </c>
      <c r="B3395" t="str">
        <f>"1551604115276985"</f>
        <v>1551604115276985</v>
      </c>
      <c r="C3395" t="s">
        <v>40</v>
      </c>
      <c r="D3395">
        <v>4.6824820000000003</v>
      </c>
      <c r="E3395">
        <v>0.52381449999999996</v>
      </c>
      <c r="F3395" t="s">
        <v>58</v>
      </c>
      <c r="G3395">
        <v>-313.2885</v>
      </c>
      <c r="H3395" s="1">
        <v>-1.03414899999999E-5</v>
      </c>
      <c r="I3395">
        <v>147.4555</v>
      </c>
      <c r="J3395">
        <v>-240.7319</v>
      </c>
      <c r="K3395">
        <v>1.1201779999999999</v>
      </c>
      <c r="L3395">
        <v>140.54589999999999</v>
      </c>
      <c r="M3395">
        <v>-0.99988929999999998</v>
      </c>
      <c r="N3395">
        <v>-3.8866339999999999E-3</v>
      </c>
      <c r="O3395">
        <v>1.4364119999999999E-2</v>
      </c>
      <c r="P3395">
        <v>-0.97555080000000005</v>
      </c>
      <c r="Q3395">
        <v>0.2144392</v>
      </c>
      <c r="R3395">
        <v>4.813125E-2</v>
      </c>
      <c r="S3395">
        <v>-3.071075</v>
      </c>
      <c r="T3395">
        <v>-4.7170040000000003E-2</v>
      </c>
      <c r="U3395">
        <v>0.29118349999999998</v>
      </c>
      <c r="V3395">
        <v>3.393823E-2</v>
      </c>
      <c r="W3395">
        <v>0.2182586</v>
      </c>
      <c r="X3395">
        <v>0.97530070000000002</v>
      </c>
      <c r="Y3395">
        <v>8.0070859999999994E-2</v>
      </c>
      <c r="Z3395">
        <v>6.0511019999999905E-4</v>
      </c>
      <c r="AA3395">
        <v>0.99678900000000004</v>
      </c>
      <c r="AB3395">
        <v>38</v>
      </c>
      <c r="AC3395">
        <v>-72.556600000000003</v>
      </c>
      <c r="AD3395">
        <v>-1.12018834148999</v>
      </c>
      <c r="AE3395">
        <v>6.90960000000001</v>
      </c>
      <c r="AF3395">
        <v>5.8652821061323799</v>
      </c>
      <c r="AG3395">
        <v>-1.12018834148999</v>
      </c>
      <c r="AH3395">
        <v>72.631208764813493</v>
      </c>
      <c r="AI3395">
        <v>90.8807339245744</v>
      </c>
      <c r="AJ3395">
        <v>85.383138201480605</v>
      </c>
      <c r="AK3395">
        <v>72.876257057719698</v>
      </c>
      <c r="AL3395">
        <v>77.393227724377994</v>
      </c>
      <c r="AM3395">
        <v>88.007042286075801</v>
      </c>
      <c r="AN3395">
        <v>1.00000003767499</v>
      </c>
    </row>
    <row r="3396" spans="1:40" x14ac:dyDescent="0.25">
      <c r="A3396" t="str">
        <f>"20190303170835312"</f>
        <v>20190303170835312</v>
      </c>
      <c r="B3396" t="str">
        <f>"1551604115306264"</f>
        <v>1551604115306264</v>
      </c>
      <c r="C3396" t="s">
        <v>40</v>
      </c>
      <c r="D3396">
        <v>4.7396390000000004</v>
      </c>
      <c r="E3396">
        <v>0.52448680000000003</v>
      </c>
      <c r="F3396" t="s">
        <v>58</v>
      </c>
      <c r="G3396">
        <v>-311.40159999999997</v>
      </c>
      <c r="H3396" s="1">
        <v>-1.1120370000000001E-5</v>
      </c>
      <c r="I3396">
        <v>147.26089999999999</v>
      </c>
      <c r="J3396">
        <v>-241.13939999999999</v>
      </c>
      <c r="K3396">
        <v>1.120214</v>
      </c>
      <c r="L3396">
        <v>140.5515</v>
      </c>
      <c r="M3396">
        <v>-0.9998937</v>
      </c>
      <c r="N3396">
        <v>-4.073821E-3</v>
      </c>
      <c r="O3396">
        <v>1.400125E-2</v>
      </c>
      <c r="P3396">
        <v>-0.97562680000000002</v>
      </c>
      <c r="Q3396">
        <v>0.2141894</v>
      </c>
      <c r="R3396">
        <v>4.7698619999999997E-2</v>
      </c>
      <c r="S3396">
        <v>-3.0714869999999999</v>
      </c>
      <c r="T3396">
        <v>-4.8686269999999997E-2</v>
      </c>
      <c r="U3396">
        <v>0.29185489999999997</v>
      </c>
      <c r="V3396">
        <v>3.3856850000000001E-2</v>
      </c>
      <c r="W3396">
        <v>0.218192</v>
      </c>
      <c r="X3396">
        <v>0.97531840000000003</v>
      </c>
      <c r="Y3396">
        <v>8.0635090000000006E-2</v>
      </c>
      <c r="Z3396">
        <v>6.3776739999999897E-4</v>
      </c>
      <c r="AA3396">
        <v>0.9967435</v>
      </c>
      <c r="AB3396">
        <v>38</v>
      </c>
      <c r="AC3396">
        <v>-70.262199999999893</v>
      </c>
      <c r="AD3396">
        <v>-1.12022512037</v>
      </c>
      <c r="AE3396">
        <v>6.70939999999998</v>
      </c>
      <c r="AF3396">
        <v>5.72353380048982</v>
      </c>
      <c r="AG3396">
        <v>-1.12022512037</v>
      </c>
      <c r="AH3396">
        <v>70.331537004389403</v>
      </c>
      <c r="AI3396">
        <v>90.909511119982398</v>
      </c>
      <c r="AJ3396">
        <v>85.347559827946796</v>
      </c>
      <c r="AK3396">
        <v>70.572932777981194</v>
      </c>
      <c r="AL3396">
        <v>77.3971374869774</v>
      </c>
      <c r="AM3396">
        <v>88.0118533836214</v>
      </c>
      <c r="AN3396">
        <v>1.00000000826724</v>
      </c>
    </row>
    <row r="3397" spans="1:40" x14ac:dyDescent="0.25">
      <c r="A3397" t="str">
        <f>"20190303170835333"</f>
        <v>20190303170835333</v>
      </c>
      <c r="B3397" t="str">
        <f>"1551604115326760"</f>
        <v>1551604115326760</v>
      </c>
      <c r="C3397" t="s">
        <v>40</v>
      </c>
      <c r="D3397">
        <v>4.7299089999999904</v>
      </c>
      <c r="E3397">
        <v>0.52490519999999996</v>
      </c>
      <c r="F3397" t="s">
        <v>58</v>
      </c>
      <c r="G3397">
        <v>-308.12200000000001</v>
      </c>
      <c r="H3397" s="1">
        <v>-1.141747E-5</v>
      </c>
      <c r="I3397">
        <v>146.99350000000001</v>
      </c>
      <c r="J3397">
        <v>-241.5111</v>
      </c>
      <c r="K3397">
        <v>1.120241</v>
      </c>
      <c r="L3397">
        <v>140.5564</v>
      </c>
      <c r="M3397">
        <v>-0.99989760000000005</v>
      </c>
      <c r="N3397">
        <v>-4.268277E-3</v>
      </c>
      <c r="O3397">
        <v>1.3664559999999999E-2</v>
      </c>
      <c r="P3397">
        <v>-0.97564890000000004</v>
      </c>
      <c r="Q3397">
        <v>0.2140233</v>
      </c>
      <c r="R3397">
        <v>4.7994660000000001E-2</v>
      </c>
      <c r="S3397">
        <v>-3.0717620000000001</v>
      </c>
      <c r="T3397">
        <v>-5.137253E-2</v>
      </c>
      <c r="U3397">
        <v>0.2954254</v>
      </c>
      <c r="V3397">
        <v>3.4478340000000003E-2</v>
      </c>
      <c r="W3397">
        <v>0.21821670000000001</v>
      </c>
      <c r="X3397">
        <v>0.97529109999999997</v>
      </c>
      <c r="Y3397">
        <v>8.210874E-2</v>
      </c>
      <c r="Z3397">
        <v>6.9087619999999995E-4</v>
      </c>
      <c r="AA3397">
        <v>0.99662320000000004</v>
      </c>
      <c r="AB3397">
        <v>38</v>
      </c>
      <c r="AC3397">
        <v>-66.610900000000001</v>
      </c>
      <c r="AD3397">
        <v>-1.1202524174699999</v>
      </c>
      <c r="AE3397">
        <v>6.4371000000000098</v>
      </c>
      <c r="AF3397">
        <v>5.5247339704474303</v>
      </c>
      <c r="AG3397">
        <v>-1.1202524174699999</v>
      </c>
      <c r="AH3397">
        <v>66.673958135359598</v>
      </c>
      <c r="AI3397">
        <v>90.959303082442204</v>
      </c>
      <c r="AJ3397">
        <v>85.263181548658196</v>
      </c>
      <c r="AK3397">
        <v>66.911840090964105</v>
      </c>
      <c r="AL3397">
        <v>77.395687319778304</v>
      </c>
      <c r="AM3397">
        <v>87.975331635762799</v>
      </c>
      <c r="AN3397">
        <v>1.0000000069136199</v>
      </c>
    </row>
    <row r="3398" spans="1:40" x14ac:dyDescent="0.25">
      <c r="A3398" t="str">
        <f>"20190303170835356"</f>
        <v>20190303170835356</v>
      </c>
      <c r="B3398" t="str">
        <f>"1551604115346281"</f>
        <v>1551604115346281</v>
      </c>
      <c r="C3398" t="s">
        <v>40</v>
      </c>
      <c r="D3398">
        <v>4.699084</v>
      </c>
      <c r="E3398">
        <v>0.52490079999999995</v>
      </c>
      <c r="F3398" t="s">
        <v>58</v>
      </c>
      <c r="G3398">
        <v>-306.71469999999999</v>
      </c>
      <c r="H3398" s="1">
        <v>-1.117378E-5</v>
      </c>
      <c r="I3398">
        <v>146.9152</v>
      </c>
      <c r="J3398">
        <v>-241.89869999999999</v>
      </c>
      <c r="K3398">
        <v>1.1202730000000001</v>
      </c>
      <c r="L3398">
        <v>140.56139999999999</v>
      </c>
      <c r="M3398">
        <v>-0.9999015</v>
      </c>
      <c r="N3398">
        <v>-4.4805460000000002E-3</v>
      </c>
      <c r="O3398">
        <v>1.3307279999999999E-2</v>
      </c>
      <c r="P3398">
        <v>-0.9757285</v>
      </c>
      <c r="Q3398">
        <v>0.21368719999999999</v>
      </c>
      <c r="R3398">
        <v>4.7876889999999998E-2</v>
      </c>
      <c r="S3398">
        <v>-3.071701</v>
      </c>
      <c r="T3398">
        <v>-5.2774429999999997E-2</v>
      </c>
      <c r="U3398">
        <v>0.29956050000000001</v>
      </c>
      <c r="V3398">
        <v>3.4704720000000001E-2</v>
      </c>
      <c r="W3398">
        <v>0.2180887</v>
      </c>
      <c r="X3398">
        <v>0.9753117</v>
      </c>
      <c r="Y3398">
        <v>8.3794649999999998E-2</v>
      </c>
      <c r="Z3398">
        <v>7.3772099999999999E-4</v>
      </c>
      <c r="AA3398">
        <v>0.9964828</v>
      </c>
      <c r="AB3398">
        <v>38</v>
      </c>
      <c r="AC3398">
        <v>-64.816000000000003</v>
      </c>
      <c r="AD3398">
        <v>-1.12028417377999</v>
      </c>
      <c r="AE3398">
        <v>6.3537999999999997</v>
      </c>
      <c r="AF3398">
        <v>5.4890799465167897</v>
      </c>
      <c r="AG3398">
        <v>-1.12028417377999</v>
      </c>
      <c r="AH3398">
        <v>64.875616930868304</v>
      </c>
      <c r="AI3398">
        <v>90.9857743556298</v>
      </c>
      <c r="AJ3398">
        <v>85.163763215459795</v>
      </c>
      <c r="AK3398">
        <v>65.117053891051</v>
      </c>
      <c r="AL3398">
        <v>77.403202158220097</v>
      </c>
      <c r="AM3398">
        <v>87.962092125191703</v>
      </c>
      <c r="AN3398">
        <v>1.0000000054074201</v>
      </c>
    </row>
    <row r="3399" spans="1:40" x14ac:dyDescent="0.25">
      <c r="A3399" t="str">
        <f>"20190303170835379"</f>
        <v>20190303170835379</v>
      </c>
      <c r="B3399" t="str">
        <f>"1551604115366776"</f>
        <v>1551604115366776</v>
      </c>
      <c r="C3399" t="s">
        <v>40</v>
      </c>
      <c r="D3399">
        <v>4.7324659999999996</v>
      </c>
      <c r="E3399">
        <v>0.52516099999999999</v>
      </c>
      <c r="F3399" t="s">
        <v>58</v>
      </c>
      <c r="G3399">
        <v>-306.49310000000003</v>
      </c>
      <c r="H3399" s="1">
        <v>-1.1117829999999999E-5</v>
      </c>
      <c r="I3399">
        <v>146.85210000000001</v>
      </c>
      <c r="J3399">
        <v>-242.2962</v>
      </c>
      <c r="K3399">
        <v>1.120304</v>
      </c>
      <c r="L3399">
        <v>140.56639999999999</v>
      </c>
      <c r="M3399">
        <v>-0.99990540000000006</v>
      </c>
      <c r="N3399">
        <v>-4.7075440000000001E-3</v>
      </c>
      <c r="O3399">
        <v>1.293216E-2</v>
      </c>
      <c r="P3399">
        <v>-0.97586899999999999</v>
      </c>
      <c r="Q3399">
        <v>0.2132973</v>
      </c>
      <c r="R3399">
        <v>4.6736409999999999E-2</v>
      </c>
      <c r="S3399">
        <v>-3.0715789999999998</v>
      </c>
      <c r="T3399">
        <v>-5.3271409999999998E-2</v>
      </c>
      <c r="U3399">
        <v>0.29913329999999999</v>
      </c>
      <c r="V3399">
        <v>3.3924269999999999E-2</v>
      </c>
      <c r="W3399">
        <v>0.21792069999999999</v>
      </c>
      <c r="X3399">
        <v>0.97537669999999999</v>
      </c>
      <c r="Y3399">
        <v>8.403447E-2</v>
      </c>
      <c r="Z3399">
        <v>7.6227139999999896E-4</v>
      </c>
      <c r="AA3399">
        <v>0.99646259999999998</v>
      </c>
      <c r="AB3399">
        <v>39</v>
      </c>
      <c r="AC3399">
        <v>-64.196899999999999</v>
      </c>
      <c r="AD3399">
        <v>-1.1203151178299999</v>
      </c>
      <c r="AE3399">
        <v>6.2857000000000101</v>
      </c>
      <c r="AF3399">
        <v>5.4533156472972202</v>
      </c>
      <c r="AG3399">
        <v>-1.1203151178299999</v>
      </c>
      <c r="AH3399">
        <v>64.253437775652401</v>
      </c>
      <c r="AI3399">
        <v>90.995323392576296</v>
      </c>
      <c r="AJ3399">
        <v>85.148820292408004</v>
      </c>
      <c r="AK3399">
        <v>64.494170461383007</v>
      </c>
      <c r="AL3399">
        <v>77.413064970326701</v>
      </c>
      <c r="AM3399">
        <v>88.008016499359499</v>
      </c>
      <c r="AN3399">
        <v>0.99999999724320598</v>
      </c>
    </row>
    <row r="3400" spans="1:40" x14ac:dyDescent="0.25">
      <c r="A3400" t="str">
        <f>"20190303170835423"</f>
        <v>20190303170835423</v>
      </c>
      <c r="B3400" t="str">
        <f>"1551604115416552"</f>
        <v>1551604115416552</v>
      </c>
      <c r="C3400" t="s">
        <v>40</v>
      </c>
      <c r="D3400">
        <v>4.8348360000000001</v>
      </c>
      <c r="E3400">
        <v>0.52548019999999995</v>
      </c>
      <c r="F3400" t="s">
        <v>58</v>
      </c>
      <c r="G3400">
        <v>-305.18740000000003</v>
      </c>
      <c r="H3400" s="1">
        <v>-1.0836289999999999E-5</v>
      </c>
      <c r="I3400">
        <v>146.6627</v>
      </c>
      <c r="J3400">
        <v>-243.06489999999999</v>
      </c>
      <c r="K3400">
        <v>1.1203799999999999</v>
      </c>
      <c r="L3400">
        <v>140.57550000000001</v>
      </c>
      <c r="M3400">
        <v>-0.99991220000000003</v>
      </c>
      <c r="N3400">
        <v>-5.2280159999999899E-3</v>
      </c>
      <c r="O3400">
        <v>1.2171700000000001E-2</v>
      </c>
      <c r="P3400">
        <v>-0.97620770000000001</v>
      </c>
      <c r="Q3400">
        <v>0.21199560000000001</v>
      </c>
      <c r="R3400">
        <v>4.5568079999999997E-2</v>
      </c>
      <c r="S3400">
        <v>-3.0718990000000002</v>
      </c>
      <c r="T3400">
        <v>-5.4721359999999997E-2</v>
      </c>
      <c r="U3400">
        <v>0.29777530000000002</v>
      </c>
      <c r="V3400">
        <v>3.348313E-2</v>
      </c>
      <c r="W3400">
        <v>0.2171295</v>
      </c>
      <c r="X3400">
        <v>0.9755684</v>
      </c>
      <c r="Y3400">
        <v>8.4344539999999996E-2</v>
      </c>
      <c r="Z3400">
        <v>8.1766939999999995E-4</v>
      </c>
      <c r="AA3400">
        <v>0.99643630000000005</v>
      </c>
      <c r="AB3400">
        <v>39</v>
      </c>
      <c r="AC3400">
        <v>-62.122500000000002</v>
      </c>
      <c r="AD3400">
        <v>-1.1203908362899999</v>
      </c>
      <c r="AE3400">
        <v>6.0871999999999904</v>
      </c>
      <c r="AF3400">
        <v>5.3288854208685796</v>
      </c>
      <c r="AG3400">
        <v>-1.1203908362899999</v>
      </c>
      <c r="AH3400">
        <v>62.1719603337542</v>
      </c>
      <c r="AI3400">
        <v>91.028635488616501</v>
      </c>
      <c r="AJ3400">
        <v>85.101035396806793</v>
      </c>
      <c r="AK3400">
        <v>62.409974741195803</v>
      </c>
      <c r="AL3400">
        <v>77.459509828185205</v>
      </c>
      <c r="AM3400">
        <v>88.034285168925607</v>
      </c>
      <c r="AN3400">
        <v>1.0000000214217</v>
      </c>
    </row>
    <row r="3401" spans="1:40" x14ac:dyDescent="0.25">
      <c r="A3401" t="str">
        <f>"20190303170835446"</f>
        <v>20190303170835446</v>
      </c>
      <c r="B3401" t="str">
        <f>"1551604115437049"</f>
        <v>1551604115437049</v>
      </c>
      <c r="C3401" t="s">
        <v>40</v>
      </c>
      <c r="D3401">
        <v>4.7860610000000001</v>
      </c>
      <c r="E3401">
        <v>0.52552519999999903</v>
      </c>
      <c r="F3401" t="s">
        <v>58</v>
      </c>
      <c r="G3401">
        <v>-301.41320000000002</v>
      </c>
      <c r="H3401" s="1">
        <v>-1.004765E-5</v>
      </c>
      <c r="I3401">
        <v>146.21100000000001</v>
      </c>
      <c r="J3401">
        <v>-243.47300000000001</v>
      </c>
      <c r="K3401">
        <v>1.120431</v>
      </c>
      <c r="L3401">
        <v>140.58019999999999</v>
      </c>
      <c r="M3401">
        <v>-0.99991580000000002</v>
      </c>
      <c r="N3401">
        <v>-5.5504380000000004E-3</v>
      </c>
      <c r="O3401">
        <v>1.174833E-2</v>
      </c>
      <c r="P3401">
        <v>-0.97649149999999996</v>
      </c>
      <c r="Q3401">
        <v>0.21088860000000001</v>
      </c>
      <c r="R3401">
        <v>4.4618860000000003E-2</v>
      </c>
      <c r="S3401">
        <v>-3.0720670000000001</v>
      </c>
      <c r="T3401">
        <v>-5.898917E-2</v>
      </c>
      <c r="U3401">
        <v>0.2967072</v>
      </c>
      <c r="V3401">
        <v>3.2937580000000001E-2</v>
      </c>
      <c r="W3401">
        <v>0.21633910000000001</v>
      </c>
      <c r="X3401">
        <v>0.97576249999999998</v>
      </c>
      <c r="Y3401">
        <v>8.4415379999999998E-2</v>
      </c>
      <c r="Z3401">
        <v>8.8340679999999896E-4</v>
      </c>
      <c r="AA3401">
        <v>0.99643029999999999</v>
      </c>
      <c r="AB3401">
        <v>39</v>
      </c>
      <c r="AC3401">
        <v>-57.940199999999997</v>
      </c>
      <c r="AD3401">
        <v>-1.12044104765</v>
      </c>
      <c r="AE3401">
        <v>5.6308000000000202</v>
      </c>
      <c r="AF3401">
        <v>4.94786749491315</v>
      </c>
      <c r="AG3401">
        <v>-1.12044104765</v>
      </c>
      <c r="AH3401">
        <v>57.9808753828042</v>
      </c>
      <c r="AI3401">
        <v>91.103056152358803</v>
      </c>
      <c r="AJ3401">
        <v>85.1224130402573</v>
      </c>
      <c r="AK3401">
        <v>58.202394203715997</v>
      </c>
      <c r="AL3401">
        <v>77.505898445549505</v>
      </c>
      <c r="AM3401">
        <v>88.066672958634399</v>
      </c>
      <c r="AN3401">
        <v>0.99999997338565705</v>
      </c>
    </row>
    <row r="3402" spans="1:40" x14ac:dyDescent="0.25">
      <c r="A3402" t="str">
        <f>"20190303170835466"</f>
        <v>20190303170835466</v>
      </c>
      <c r="B3402" t="str">
        <f>"1551604115456568"</f>
        <v>1551604115456568</v>
      </c>
      <c r="C3402" t="s">
        <v>40</v>
      </c>
      <c r="D3402">
        <v>4.6704990000000004</v>
      </c>
      <c r="E3402">
        <v>0.52559129999999998</v>
      </c>
      <c r="F3402" t="s">
        <v>58</v>
      </c>
      <c r="G3402">
        <v>-298.8553</v>
      </c>
      <c r="H3402" s="1">
        <v>-9.8004830000000006E-6</v>
      </c>
      <c r="I3402">
        <v>145.8854</v>
      </c>
      <c r="J3402">
        <v>-243.82669999999999</v>
      </c>
      <c r="K3402">
        <v>1.1204809999999901</v>
      </c>
      <c r="L3402">
        <v>140.584</v>
      </c>
      <c r="M3402">
        <v>-0.99991819999999998</v>
      </c>
      <c r="N3402">
        <v>-5.8578889999999998E-3</v>
      </c>
      <c r="O3402">
        <v>1.1372760000000001E-2</v>
      </c>
      <c r="P3402">
        <v>-0.97679749999999999</v>
      </c>
      <c r="Q3402">
        <v>0.20967359999999999</v>
      </c>
      <c r="R3402">
        <v>4.3631969999999999E-2</v>
      </c>
      <c r="S3402">
        <v>-3.0722049999999999</v>
      </c>
      <c r="T3402">
        <v>-6.2153939999999998E-2</v>
      </c>
      <c r="U3402">
        <v>0.29429630000000001</v>
      </c>
      <c r="V3402">
        <v>3.2309240000000003E-2</v>
      </c>
      <c r="W3402">
        <v>0.21542649999999999</v>
      </c>
      <c r="X3402">
        <v>0.9759854</v>
      </c>
      <c r="Y3402">
        <v>8.4008529999999998E-2</v>
      </c>
      <c r="Z3402">
        <v>9.3139109999999998E-4</v>
      </c>
      <c r="AA3402">
        <v>0.99646460000000003</v>
      </c>
      <c r="AB3402">
        <v>39</v>
      </c>
      <c r="AC3402">
        <v>-55.028599999999997</v>
      </c>
      <c r="AD3402">
        <v>-1.1204908004830001</v>
      </c>
      <c r="AE3402">
        <v>5.3014000000000001</v>
      </c>
      <c r="AF3402">
        <v>4.6732995784708997</v>
      </c>
      <c r="AG3402">
        <v>-1.1204908004830001</v>
      </c>
      <c r="AH3402">
        <v>55.0627140460956</v>
      </c>
      <c r="AI3402">
        <v>91.161596338813098</v>
      </c>
      <c r="AJ3402">
        <v>85.1488009403473</v>
      </c>
      <c r="AK3402">
        <v>55.272033676229</v>
      </c>
      <c r="AL3402">
        <v>77.559449460797893</v>
      </c>
      <c r="AM3402">
        <v>88.103960054373402</v>
      </c>
      <c r="AN3402">
        <v>0.99999998245239297</v>
      </c>
    </row>
    <row r="3403" spans="1:40" x14ac:dyDescent="0.25">
      <c r="A3403" t="str">
        <f>"20190303170835489"</f>
        <v>20190303170835489</v>
      </c>
      <c r="B3403" t="str">
        <f>"1551604115477066"</f>
        <v>1551604115477066</v>
      </c>
      <c r="C3403" t="s">
        <v>40</v>
      </c>
      <c r="D3403">
        <v>4.6287440000000002</v>
      </c>
      <c r="E3403">
        <v>0.52584709999999901</v>
      </c>
      <c r="F3403" t="s">
        <v>58</v>
      </c>
      <c r="G3403">
        <v>-296.69560000000001</v>
      </c>
      <c r="H3403" s="1">
        <v>-9.920524E-6</v>
      </c>
      <c r="I3403">
        <v>145.62119999999999</v>
      </c>
      <c r="J3403">
        <v>-244.22710000000001</v>
      </c>
      <c r="K3403">
        <v>1.120536</v>
      </c>
      <c r="L3403">
        <v>140.5882</v>
      </c>
      <c r="M3403">
        <v>-0.9999207</v>
      </c>
      <c r="N3403">
        <v>-6.23282E-3</v>
      </c>
      <c r="O3403">
        <v>1.093998E-2</v>
      </c>
      <c r="P3403">
        <v>-0.97682329999999995</v>
      </c>
      <c r="Q3403">
        <v>0.209617</v>
      </c>
      <c r="R3403">
        <v>4.3329699999999999E-2</v>
      </c>
      <c r="S3403">
        <v>-3.072174</v>
      </c>
      <c r="T3403">
        <v>-6.5110920000000003E-2</v>
      </c>
      <c r="U3403">
        <v>0.29270940000000001</v>
      </c>
      <c r="V3403">
        <v>3.2423540000000001E-2</v>
      </c>
      <c r="W3403">
        <v>0.2157366</v>
      </c>
      <c r="X3403">
        <v>0.97591309999999998</v>
      </c>
      <c r="Y3403">
        <v>8.3928509999999998E-2</v>
      </c>
      <c r="Z3403">
        <v>9.8622079999999995E-4</v>
      </c>
      <c r="AA3403">
        <v>0.99647129999999995</v>
      </c>
      <c r="AB3403">
        <v>39</v>
      </c>
      <c r="AC3403">
        <v>-52.468499999999999</v>
      </c>
      <c r="AD3403">
        <v>-1.120545920524</v>
      </c>
      <c r="AE3403">
        <v>5.0329999999999799</v>
      </c>
      <c r="AF3403">
        <v>4.4566691255434501</v>
      </c>
      <c r="AG3403">
        <v>-1.120545920524</v>
      </c>
      <c r="AH3403">
        <v>52.496696435322001</v>
      </c>
      <c r="AI3403">
        <v>91.2184156505365</v>
      </c>
      <c r="AJ3403">
        <v>85.147551125076305</v>
      </c>
      <c r="AK3403">
        <v>52.6974445251088</v>
      </c>
      <c r="AL3403">
        <v>77.541254068478196</v>
      </c>
      <c r="AM3403">
        <v>88.097116519057096</v>
      </c>
      <c r="AN3403">
        <v>0.99999997263865004</v>
      </c>
    </row>
    <row r="3404" spans="1:40" x14ac:dyDescent="0.25">
      <c r="A3404" t="str">
        <f>"20190303170835510"</f>
        <v>20190303170835510</v>
      </c>
      <c r="B3404" t="str">
        <f>"1551604115496585"</f>
        <v>1551604115496585</v>
      </c>
      <c r="C3404" t="s">
        <v>40</v>
      </c>
      <c r="D3404">
        <v>4.5996100000000002</v>
      </c>
      <c r="E3404">
        <v>0.52612109999999901</v>
      </c>
      <c r="F3404" t="s">
        <v>58</v>
      </c>
      <c r="G3404">
        <v>-297.23219999999998</v>
      </c>
      <c r="H3404" s="1">
        <v>-9.885183E-6</v>
      </c>
      <c r="I3404">
        <v>145.666</v>
      </c>
      <c r="J3404">
        <v>-244.59219999999999</v>
      </c>
      <c r="K3404">
        <v>1.120593</v>
      </c>
      <c r="L3404">
        <v>140.59190000000001</v>
      </c>
      <c r="M3404">
        <v>-0.9999228</v>
      </c>
      <c r="N3404">
        <v>-6.5838900000000002E-3</v>
      </c>
      <c r="O3404">
        <v>1.0540020000000001E-2</v>
      </c>
      <c r="P3404">
        <v>-0.9767441</v>
      </c>
      <c r="Q3404">
        <v>0.20988979999999999</v>
      </c>
      <c r="R3404">
        <v>4.378365E-2</v>
      </c>
      <c r="S3404">
        <v>-3.0720670000000001</v>
      </c>
      <c r="T3404">
        <v>-6.4944509999999997E-2</v>
      </c>
      <c r="U3404">
        <v>0.29429630000000001</v>
      </c>
      <c r="V3404">
        <v>3.3263910000000001E-2</v>
      </c>
      <c r="W3404">
        <v>0.2163535</v>
      </c>
      <c r="X3404">
        <v>0.97574819999999995</v>
      </c>
      <c r="Y3404">
        <v>8.4839819999999996E-2</v>
      </c>
      <c r="Z3404">
        <v>1.0215790000000001E-3</v>
      </c>
      <c r="AA3404">
        <v>0.99639409999999895</v>
      </c>
      <c r="AB3404">
        <v>39</v>
      </c>
      <c r="AC3404">
        <v>-52.639999999999901</v>
      </c>
      <c r="AD3404">
        <v>-1.1206028851830001</v>
      </c>
      <c r="AE3404">
        <v>5.0740999999999801</v>
      </c>
      <c r="AF3404">
        <v>4.5169513162003696</v>
      </c>
      <c r="AG3404">
        <v>-1.1206028851830001</v>
      </c>
      <c r="AH3404">
        <v>52.6669102044428</v>
      </c>
      <c r="AI3404">
        <v>91.214451260840306</v>
      </c>
      <c r="AJ3404">
        <v>85.098051371599198</v>
      </c>
      <c r="AK3404">
        <v>52.872129052101201</v>
      </c>
      <c r="AL3404">
        <v>77.505052913191406</v>
      </c>
      <c r="AM3404">
        <v>88.047504627105099</v>
      </c>
      <c r="AN3404">
        <v>0.99999993723698699</v>
      </c>
    </row>
    <row r="3405" spans="1:40" x14ac:dyDescent="0.25">
      <c r="A3405" t="str">
        <f>"20190303170835555"</f>
        <v>20190303170835555</v>
      </c>
      <c r="B3405" t="str">
        <f>"1551604115546360"</f>
        <v>1551604115546360</v>
      </c>
      <c r="C3405" t="s">
        <v>40</v>
      </c>
      <c r="D3405">
        <v>4.6061740000000002</v>
      </c>
      <c r="E3405">
        <v>0.5359448</v>
      </c>
      <c r="F3405" t="s">
        <v>58</v>
      </c>
      <c r="G3405">
        <v>-298.18360000000001</v>
      </c>
      <c r="H3405" s="1">
        <v>-9.8272710000000006E-6</v>
      </c>
      <c r="I3405">
        <v>145.76329999999999</v>
      </c>
      <c r="J3405">
        <v>-245.3698</v>
      </c>
      <c r="K3405">
        <v>1.1206799999999999</v>
      </c>
      <c r="L3405">
        <v>140.5992</v>
      </c>
      <c r="M3405">
        <v>-0.99992669999999995</v>
      </c>
      <c r="N3405">
        <v>-7.289111E-3</v>
      </c>
      <c r="O3405">
        <v>9.6781130000000003E-3</v>
      </c>
      <c r="P3405">
        <v>-0.97717370000000003</v>
      </c>
      <c r="Q3405">
        <v>0.207896</v>
      </c>
      <c r="R3405">
        <v>4.3717260000000001E-2</v>
      </c>
      <c r="S3405">
        <v>-3.0719449999999999</v>
      </c>
      <c r="T3405">
        <v>-6.4234730000000004E-2</v>
      </c>
      <c r="U3405">
        <v>0.29643249999999999</v>
      </c>
      <c r="V3405">
        <v>3.40308E-2</v>
      </c>
      <c r="W3405">
        <v>0.2150521</v>
      </c>
      <c r="X3405">
        <v>0.97600949999999997</v>
      </c>
      <c r="Y3405">
        <v>8.6388010000000001E-2</v>
      </c>
      <c r="Z3405">
        <v>1.085159E-3</v>
      </c>
      <c r="AA3405">
        <v>0.99626099999999995</v>
      </c>
      <c r="AB3405">
        <v>39</v>
      </c>
      <c r="AC3405">
        <v>-52.813800000000001</v>
      </c>
      <c r="AD3405">
        <v>-1.120689827271</v>
      </c>
      <c r="AE3405">
        <v>5.1640999999999897</v>
      </c>
      <c r="AF3405">
        <v>4.6506324561647396</v>
      </c>
      <c r="AG3405">
        <v>-1.120689827271</v>
      </c>
      <c r="AH3405">
        <v>52.837740348352497</v>
      </c>
      <c r="AI3405">
        <v>91.210384767744699</v>
      </c>
      <c r="AJ3405">
        <v>84.969945819054601</v>
      </c>
      <c r="AK3405">
        <v>53.053851255598701</v>
      </c>
      <c r="AL3405">
        <v>77.5814163705748</v>
      </c>
      <c r="AM3405">
        <v>88.003060790987107</v>
      </c>
      <c r="AN3405">
        <v>1.0000000225766399</v>
      </c>
    </row>
    <row r="3406" spans="1:40" x14ac:dyDescent="0.25">
      <c r="A3406" t="str">
        <f>"20190303170835581"</f>
        <v>20190303170835581</v>
      </c>
      <c r="B3406" t="str">
        <f>"1551604115566858"</f>
        <v>1551604115566858</v>
      </c>
      <c r="C3406" t="s">
        <v>40</v>
      </c>
      <c r="D3406">
        <v>4.6319160000000004</v>
      </c>
      <c r="E3406">
        <v>0.53571679999999999</v>
      </c>
      <c r="F3406" t="s">
        <v>58</v>
      </c>
      <c r="G3406">
        <v>-295.8963</v>
      </c>
      <c r="H3406" s="1">
        <v>-1.031025E-5</v>
      </c>
      <c r="I3406">
        <v>146.78579999999999</v>
      </c>
      <c r="J3406">
        <v>-245.8091</v>
      </c>
      <c r="K3406">
        <v>1.120714</v>
      </c>
      <c r="L3406">
        <v>140.60299999999901</v>
      </c>
      <c r="M3406">
        <v>-0.99992859999999995</v>
      </c>
      <c r="N3406">
        <v>-7.6492030000000003E-3</v>
      </c>
      <c r="O3406">
        <v>9.188959E-3</v>
      </c>
      <c r="P3406">
        <v>-0.97722430000000005</v>
      </c>
      <c r="Q3406">
        <v>0.20780770000000001</v>
      </c>
      <c r="R3406">
        <v>4.3000860000000002E-2</v>
      </c>
      <c r="S3406">
        <v>-3.0677340000000002</v>
      </c>
      <c r="T3406">
        <v>-6.8043110000000004E-2</v>
      </c>
      <c r="U3406">
        <v>0.3756256</v>
      </c>
      <c r="V3406">
        <v>3.3789680000000002E-2</v>
      </c>
      <c r="W3406">
        <v>0.2153157</v>
      </c>
      <c r="X3406">
        <v>0.97595969999999999</v>
      </c>
      <c r="Y3406">
        <v>0.1123743</v>
      </c>
      <c r="Z3406">
        <v>1.5399529999999999E-3</v>
      </c>
      <c r="AA3406">
        <v>0.99366469999999996</v>
      </c>
      <c r="AB3406">
        <v>39</v>
      </c>
      <c r="AC3406">
        <v>-50.087200000000003</v>
      </c>
      <c r="AD3406">
        <v>-1.12072431025</v>
      </c>
      <c r="AE3406">
        <v>6.1828000000000101</v>
      </c>
      <c r="AF3406">
        <v>5.7194557610665804</v>
      </c>
      <c r="AG3406">
        <v>-1.12072431025</v>
      </c>
      <c r="AH3406">
        <v>50.117185241279998</v>
      </c>
      <c r="AI3406">
        <v>91.272780445040596</v>
      </c>
      <c r="AJ3406">
        <v>83.489477542517506</v>
      </c>
      <c r="AK3406">
        <v>50.454934879466002</v>
      </c>
      <c r="AL3406">
        <v>77.565950169667502</v>
      </c>
      <c r="AM3406">
        <v>88.0170973674647</v>
      </c>
      <c r="AN3406">
        <v>0.99999996458254004</v>
      </c>
    </row>
    <row r="3407" spans="1:40" x14ac:dyDescent="0.25">
      <c r="A3407" t="str">
        <f>"20190303170835602"</f>
        <v>20190303170835602</v>
      </c>
      <c r="B3407" t="str">
        <f>"1551604115597112"</f>
        <v>1551604115597112</v>
      </c>
      <c r="C3407" t="s">
        <v>40</v>
      </c>
      <c r="D3407">
        <v>4.6109479999999996</v>
      </c>
      <c r="E3407">
        <v>0.53556559999999998</v>
      </c>
      <c r="F3407" t="s">
        <v>58</v>
      </c>
      <c r="G3407">
        <v>-295.74130000000002</v>
      </c>
      <c r="H3407" s="1">
        <v>-1.028869E-5</v>
      </c>
      <c r="I3407">
        <v>146.6516</v>
      </c>
      <c r="J3407">
        <v>-246.20529999999999</v>
      </c>
      <c r="K3407">
        <v>1.1207389999999999</v>
      </c>
      <c r="L3407">
        <v>140.6063</v>
      </c>
      <c r="M3407">
        <v>-0.99993019999999999</v>
      </c>
      <c r="N3407">
        <v>-7.9397129999999993E-3</v>
      </c>
      <c r="O3407">
        <v>8.7470389999999999E-3</v>
      </c>
      <c r="P3407">
        <v>-0.97716069999999999</v>
      </c>
      <c r="Q3407">
        <v>0.2081392</v>
      </c>
      <c r="R3407">
        <v>4.2838370000000001E-2</v>
      </c>
      <c r="S3407">
        <v>-3.0682070000000001</v>
      </c>
      <c r="T3407">
        <v>-6.8865659999999995E-2</v>
      </c>
      <c r="U3407">
        <v>0.37167359999999999</v>
      </c>
      <c r="V3407">
        <v>3.4057379999999998E-2</v>
      </c>
      <c r="W3407">
        <v>0.21593080000000001</v>
      </c>
      <c r="X3407">
        <v>0.97581450000000003</v>
      </c>
      <c r="Y3407">
        <v>0.1115328</v>
      </c>
      <c r="Z3407">
        <v>1.5650639999999999E-3</v>
      </c>
      <c r="AA3407">
        <v>0.99375950000000002</v>
      </c>
      <c r="AB3407">
        <v>39</v>
      </c>
      <c r="AC3407">
        <v>-49.536000000000001</v>
      </c>
      <c r="AD3407">
        <v>-1.1207492886899999</v>
      </c>
      <c r="AE3407">
        <v>6.0452999999999903</v>
      </c>
      <c r="AF3407">
        <v>5.6089327117966103</v>
      </c>
      <c r="AG3407">
        <v>-1.1207492886899999</v>
      </c>
      <c r="AH3407">
        <v>49.5619870800219</v>
      </c>
      <c r="AI3407">
        <v>91.287199536058907</v>
      </c>
      <c r="AJ3407">
        <v>83.543304696100506</v>
      </c>
      <c r="AK3407">
        <v>49.890948762814901</v>
      </c>
      <c r="AL3407">
        <v>77.529858693881906</v>
      </c>
      <c r="AM3407">
        <v>88.001103289631999</v>
      </c>
      <c r="AN3407">
        <v>0.999999976965676</v>
      </c>
    </row>
    <row r="3408" spans="1:40" x14ac:dyDescent="0.25">
      <c r="A3408" t="str">
        <f>"20190303170835643"</f>
        <v>20190303170835643</v>
      </c>
      <c r="B3408" t="str">
        <f>"1551604115637129"</f>
        <v>1551604115637129</v>
      </c>
      <c r="C3408" t="s">
        <v>40</v>
      </c>
      <c r="D3408">
        <v>4.6084990000000001</v>
      </c>
      <c r="E3408">
        <v>0.53585680000000002</v>
      </c>
      <c r="F3408" t="s">
        <v>58</v>
      </c>
      <c r="G3408">
        <v>-298.96409999999997</v>
      </c>
      <c r="H3408" s="1">
        <v>-1.0073089999999999E-5</v>
      </c>
      <c r="I3408">
        <v>146.9554</v>
      </c>
      <c r="J3408">
        <v>-246.9375</v>
      </c>
      <c r="K3408">
        <v>1.1207560000000001</v>
      </c>
      <c r="L3408">
        <v>140.61179999999999</v>
      </c>
      <c r="M3408">
        <v>-0.99993379999999998</v>
      </c>
      <c r="N3408">
        <v>-8.3496179999999996E-3</v>
      </c>
      <c r="O3408">
        <v>7.9287130000000004E-3</v>
      </c>
      <c r="P3408">
        <v>-0.97728190000000004</v>
      </c>
      <c r="Q3408">
        <v>0.20802280000000001</v>
      </c>
      <c r="R3408">
        <v>4.0581119999999998E-2</v>
      </c>
      <c r="S3408">
        <v>-3.0678100000000001</v>
      </c>
      <c r="T3408">
        <v>-6.516922E-2</v>
      </c>
      <c r="U3408">
        <v>0.36918640000000003</v>
      </c>
      <c r="V3408">
        <v>3.2597349999999997E-2</v>
      </c>
      <c r="W3408">
        <v>0.2162134</v>
      </c>
      <c r="X3408">
        <v>0.97580180000000005</v>
      </c>
      <c r="Y3408">
        <v>0.11157</v>
      </c>
      <c r="Z3408">
        <v>1.54636799999999E-3</v>
      </c>
      <c r="AA3408">
        <v>0.99375539999999996</v>
      </c>
      <c r="AB3408">
        <v>39</v>
      </c>
      <c r="AC3408">
        <v>-52.026599999999902</v>
      </c>
      <c r="AD3408">
        <v>-1.12076607308999</v>
      </c>
      <c r="AE3408">
        <v>6.3436000000000003</v>
      </c>
      <c r="AF3408">
        <v>5.9281715100831702</v>
      </c>
      <c r="AG3408">
        <v>-1.12076607308999</v>
      </c>
      <c r="AH3408">
        <v>52.051461458620899</v>
      </c>
      <c r="AI3408">
        <v>91.225575065606506</v>
      </c>
      <c r="AJ3408">
        <v>83.502546475614807</v>
      </c>
      <c r="AK3408">
        <v>52.399942500176898</v>
      </c>
      <c r="AL3408">
        <v>77.513275290295496</v>
      </c>
      <c r="AM3408">
        <v>88.086705416254503</v>
      </c>
      <c r="AN3408">
        <v>0.99999998722491101</v>
      </c>
    </row>
    <row r="3409" spans="1:40" x14ac:dyDescent="0.25">
      <c r="A3409" t="str">
        <f>"20190303170835667"</f>
        <v>20190303170835667</v>
      </c>
      <c r="B3409" t="str">
        <f>"1551604115656649"</f>
        <v>1551604115656649</v>
      </c>
      <c r="C3409" t="s">
        <v>40</v>
      </c>
      <c r="D3409">
        <v>4.6075290000000004</v>
      </c>
      <c r="E3409">
        <v>0.53601160000000003</v>
      </c>
      <c r="F3409" t="s">
        <v>58</v>
      </c>
      <c r="G3409">
        <v>-301.8682</v>
      </c>
      <c r="H3409" s="1">
        <v>-1.037728E-5</v>
      </c>
      <c r="I3409">
        <v>147.15479999999999</v>
      </c>
      <c r="J3409">
        <v>-247.34219999999999</v>
      </c>
      <c r="K3409">
        <v>1.1207530000000001</v>
      </c>
      <c r="L3409">
        <v>140.6146</v>
      </c>
      <c r="M3409">
        <v>-0.99993600000000005</v>
      </c>
      <c r="N3409">
        <v>-8.5105179999999999E-3</v>
      </c>
      <c r="O3409">
        <v>7.4765539999999998E-3</v>
      </c>
      <c r="P3409">
        <v>-0.97739279999999995</v>
      </c>
      <c r="Q3409">
        <v>0.2077301</v>
      </c>
      <c r="R3409">
        <v>3.939339E-2</v>
      </c>
      <c r="S3409">
        <v>-3.067917</v>
      </c>
      <c r="T3409">
        <v>-6.2595609999999996E-2</v>
      </c>
      <c r="U3409">
        <v>0.3654327</v>
      </c>
      <c r="V3409">
        <v>3.1850509999999999E-2</v>
      </c>
      <c r="W3409">
        <v>0.21607789999999999</v>
      </c>
      <c r="X3409">
        <v>0.97585650000000002</v>
      </c>
      <c r="Y3409">
        <v>0.11081870000000001</v>
      </c>
      <c r="Z3409">
        <v>1.511171E-3</v>
      </c>
      <c r="AA3409">
        <v>0.99383949999999999</v>
      </c>
      <c r="AB3409">
        <v>39</v>
      </c>
      <c r="AC3409">
        <v>-54.526000000000003</v>
      </c>
      <c r="AD3409">
        <v>-1.1207633772799901</v>
      </c>
      <c r="AE3409">
        <v>6.5401999999999898</v>
      </c>
      <c r="AF3409">
        <v>6.12978284406128</v>
      </c>
      <c r="AG3409">
        <v>-1.1207633772799901</v>
      </c>
      <c r="AH3409">
        <v>54.550655375298298</v>
      </c>
      <c r="AI3409">
        <v>91.169638263831004</v>
      </c>
      <c r="AJ3409">
        <v>83.588645802349006</v>
      </c>
      <c r="AK3409">
        <v>54.905412758103999</v>
      </c>
      <c r="AL3409">
        <v>77.521227138337593</v>
      </c>
      <c r="AM3409">
        <v>88.130614279050207</v>
      </c>
      <c r="AN3409">
        <v>1.00000001122396</v>
      </c>
    </row>
    <row r="3410" spans="1:40" x14ac:dyDescent="0.25">
      <c r="A3410" t="str">
        <f>"20190303170835691"</f>
        <v>20190303170835691</v>
      </c>
      <c r="B3410" t="str">
        <f>"1551604115686905"</f>
        <v>1551604115686905</v>
      </c>
      <c r="C3410" t="s">
        <v>40</v>
      </c>
      <c r="D3410">
        <v>4.5661659999999999</v>
      </c>
      <c r="E3410">
        <v>0.53624890000000003</v>
      </c>
      <c r="F3410" t="s">
        <v>58</v>
      </c>
      <c r="G3410">
        <v>-300.92110000000002</v>
      </c>
      <c r="H3410" s="1">
        <v>-1.0158039999999999E-5</v>
      </c>
      <c r="I3410">
        <v>146.9606</v>
      </c>
      <c r="J3410">
        <v>-247.7627</v>
      </c>
      <c r="K3410">
        <v>1.1207510000000001</v>
      </c>
      <c r="L3410">
        <v>140.6174</v>
      </c>
      <c r="M3410">
        <v>-0.9999382</v>
      </c>
      <c r="N3410">
        <v>-8.6257179999999992E-3</v>
      </c>
      <c r="O3410">
        <v>7.0060139999999996E-3</v>
      </c>
      <c r="P3410">
        <v>-0.97726449999999998</v>
      </c>
      <c r="Q3410">
        <v>0.2084579</v>
      </c>
      <c r="R3410">
        <v>3.8723979999999998E-2</v>
      </c>
      <c r="S3410">
        <v>-3.0683590000000001</v>
      </c>
      <c r="T3410">
        <v>-6.4183950000000003E-2</v>
      </c>
      <c r="U3410">
        <v>0.36341859999999998</v>
      </c>
      <c r="V3410">
        <v>3.1640990000000001E-2</v>
      </c>
      <c r="W3410">
        <v>0.21691630000000001</v>
      </c>
      <c r="X3410">
        <v>0.97567729999999997</v>
      </c>
      <c r="Y3410">
        <v>0.11062470000000001</v>
      </c>
      <c r="Z3410">
        <v>1.545938E-3</v>
      </c>
      <c r="AA3410">
        <v>0.99386099999999999</v>
      </c>
      <c r="AB3410">
        <v>39</v>
      </c>
      <c r="AC3410">
        <v>-53.1584</v>
      </c>
      <c r="AD3410">
        <v>-1.1207611580399901</v>
      </c>
      <c r="AE3410">
        <v>6.3431999999999897</v>
      </c>
      <c r="AF3410">
        <v>5.9679863486806504</v>
      </c>
      <c r="AG3410">
        <v>-1.1207611580399901</v>
      </c>
      <c r="AH3410">
        <v>53.178231027106101</v>
      </c>
      <c r="AI3410">
        <v>91.199832170693497</v>
      </c>
      <c r="AJ3410">
        <v>83.596709987133906</v>
      </c>
      <c r="AK3410">
        <v>53.523800517187503</v>
      </c>
      <c r="AL3410">
        <v>77.472023433710504</v>
      </c>
      <c r="AM3410">
        <v>88.142562040959305</v>
      </c>
      <c r="AN3410">
        <v>1.0000000135945799</v>
      </c>
    </row>
    <row r="3411" spans="1:40" x14ac:dyDescent="0.25">
      <c r="A3411" t="str">
        <f>"20190303170835711"</f>
        <v>20190303170835711</v>
      </c>
      <c r="B3411" t="str">
        <f>"1551604115696664"</f>
        <v>1551604115696664</v>
      </c>
      <c r="C3411" t="s">
        <v>40</v>
      </c>
      <c r="D3411">
        <v>4.6848460000000003</v>
      </c>
      <c r="E3411">
        <v>0.53624890000000003</v>
      </c>
      <c r="F3411" t="s">
        <v>58</v>
      </c>
      <c r="G3411">
        <v>-305.14859999999999</v>
      </c>
      <c r="H3411" s="1">
        <v>-1.1024640000000001E-5</v>
      </c>
      <c r="I3411">
        <v>147.40309999999999</v>
      </c>
      <c r="J3411">
        <v>-248.1233</v>
      </c>
      <c r="K3411">
        <v>1.1207389999999999</v>
      </c>
      <c r="L3411">
        <v>140.61949999999999</v>
      </c>
      <c r="M3411">
        <v>-0.99994050000000001</v>
      </c>
      <c r="N3411">
        <v>-8.6859740000000008E-3</v>
      </c>
      <c r="O3411">
        <v>6.6024949999999999E-3</v>
      </c>
      <c r="P3411">
        <v>-0.97717220000000005</v>
      </c>
      <c r="Q3411">
        <v>0.20899529999999999</v>
      </c>
      <c r="R3411">
        <v>3.8152279999999997E-2</v>
      </c>
      <c r="S3411">
        <v>-3.0682070000000001</v>
      </c>
      <c r="T3411">
        <v>-5.9922929999999999E-2</v>
      </c>
      <c r="U3411">
        <v>0.36280820000000003</v>
      </c>
      <c r="V3411">
        <v>3.1463390000000001E-2</v>
      </c>
      <c r="W3411">
        <v>0.21751119999999999</v>
      </c>
      <c r="X3411">
        <v>0.97555060000000005</v>
      </c>
      <c r="Y3411">
        <v>0.1108401</v>
      </c>
      <c r="Z3411">
        <v>1.490311E-3</v>
      </c>
      <c r="AA3411">
        <v>0.99383710000000003</v>
      </c>
      <c r="AB3411">
        <v>40</v>
      </c>
      <c r="AC3411">
        <v>-57.025299999999902</v>
      </c>
      <c r="AD3411">
        <v>-1.12075002464</v>
      </c>
      <c r="AE3411">
        <v>6.7835999999999999</v>
      </c>
      <c r="AF3411">
        <v>6.40448938003449</v>
      </c>
      <c r="AG3411">
        <v>-1.12075002464</v>
      </c>
      <c r="AH3411">
        <v>57.047119630067399</v>
      </c>
      <c r="AI3411">
        <v>91.118465832176398</v>
      </c>
      <c r="AJ3411">
        <v>83.594416119084798</v>
      </c>
      <c r="AK3411">
        <v>57.416438612334098</v>
      </c>
      <c r="AL3411">
        <v>77.437104533971095</v>
      </c>
      <c r="AM3411">
        <v>88.152740830800397</v>
      </c>
      <c r="AN3411">
        <v>1.0000000200980399</v>
      </c>
    </row>
    <row r="3412" spans="1:40" x14ac:dyDescent="0.25">
      <c r="A3412" t="str">
        <f>"20190303170835734"</f>
        <v>20190303170835734</v>
      </c>
      <c r="B3412" t="str">
        <f>"1551604115726920"</f>
        <v>1551604115726920</v>
      </c>
      <c r="C3412" t="s">
        <v>40</v>
      </c>
      <c r="D3412">
        <v>4.638998</v>
      </c>
      <c r="E3412">
        <v>0.56533690000000003</v>
      </c>
      <c r="F3412" t="s">
        <v>58</v>
      </c>
      <c r="G3412">
        <v>-307.36180000000002</v>
      </c>
      <c r="H3412" s="1">
        <v>-1.1469160000000001E-5</v>
      </c>
      <c r="I3412">
        <v>147.6001</v>
      </c>
      <c r="J3412">
        <v>-248.52680000000001</v>
      </c>
      <c r="K3412">
        <v>1.1207320000000001</v>
      </c>
      <c r="L3412">
        <v>140.62180000000001</v>
      </c>
      <c r="M3412">
        <v>-0.99994300000000003</v>
      </c>
      <c r="N3412">
        <v>-8.7258240000000001E-3</v>
      </c>
      <c r="O3412">
        <v>6.151091E-3</v>
      </c>
      <c r="P3412">
        <v>-0.97704959999999996</v>
      </c>
      <c r="Q3412">
        <v>0.2096867</v>
      </c>
      <c r="R3412">
        <v>3.7492640000000001E-2</v>
      </c>
      <c r="S3412">
        <v>-3.06839</v>
      </c>
      <c r="T3412">
        <v>-5.8051819999999997E-2</v>
      </c>
      <c r="U3412">
        <v>0.36157230000000001</v>
      </c>
      <c r="V3412">
        <v>3.1244729999999998E-2</v>
      </c>
      <c r="W3412">
        <v>0.21823999999999999</v>
      </c>
      <c r="X3412">
        <v>0.97539480000000001</v>
      </c>
      <c r="Y3412">
        <v>0.1108884</v>
      </c>
      <c r="Z3412">
        <v>1.468334E-3</v>
      </c>
      <c r="AA3412">
        <v>0.99383180000000004</v>
      </c>
      <c r="AB3412">
        <v>40</v>
      </c>
      <c r="AC3412">
        <v>-58.835000000000001</v>
      </c>
      <c r="AD3412">
        <v>-1.12074346916</v>
      </c>
      <c r="AE3412">
        <v>6.9782999999999902</v>
      </c>
      <c r="AF3412">
        <v>6.6138881203573403</v>
      </c>
      <c r="AG3412">
        <v>-1.12074346916</v>
      </c>
      <c r="AH3412">
        <v>58.855752443549797</v>
      </c>
      <c r="AI3412">
        <v>91.084084485194495</v>
      </c>
      <c r="AJ3412">
        <v>83.588311844268603</v>
      </c>
      <c r="AK3412">
        <v>59.236805937598298</v>
      </c>
      <c r="AL3412">
        <v>77.3943189265581</v>
      </c>
      <c r="AM3412">
        <v>88.165277046322899</v>
      </c>
      <c r="AN3412">
        <v>0.99999997330990598</v>
      </c>
    </row>
    <row r="3413" spans="1:40" x14ac:dyDescent="0.25">
      <c r="A3413" t="str">
        <f>"20190303170835756"</f>
        <v>20190303170835756</v>
      </c>
      <c r="B3413" t="str">
        <f>"1551604115746441"</f>
        <v>1551604115746441</v>
      </c>
      <c r="C3413" t="s">
        <v>40</v>
      </c>
      <c r="D3413">
        <v>4.6154199999999896</v>
      </c>
      <c r="E3413">
        <v>0.56635380000000002</v>
      </c>
      <c r="F3413" t="s">
        <v>46</v>
      </c>
      <c r="G3413">
        <v>-353.05799999999999</v>
      </c>
      <c r="H3413">
        <v>-0.05</v>
      </c>
      <c r="I3413">
        <v>160.9323</v>
      </c>
      <c r="J3413">
        <v>-248.92420000000001</v>
      </c>
      <c r="K3413">
        <v>1.1207199999999999</v>
      </c>
      <c r="L3413">
        <v>140.62389999999999</v>
      </c>
      <c r="M3413">
        <v>-0.99994559999999999</v>
      </c>
      <c r="N3413">
        <v>-8.7419869999999997E-3</v>
      </c>
      <c r="O3413">
        <v>5.7068930000000002E-3</v>
      </c>
      <c r="P3413">
        <v>-0.977051</v>
      </c>
      <c r="Q3413">
        <v>0.20987230000000001</v>
      </c>
      <c r="R3413">
        <v>3.6400549999999997E-2</v>
      </c>
      <c r="S3413">
        <v>-3.0550380000000001</v>
      </c>
      <c r="T3413">
        <v>-3.4215929999999999E-2</v>
      </c>
      <c r="U3413">
        <v>0.59359740000000005</v>
      </c>
      <c r="V3413">
        <v>3.0585709999999999E-2</v>
      </c>
      <c r="W3413">
        <v>0.21844050000000001</v>
      </c>
      <c r="X3413">
        <v>0.97537079999999998</v>
      </c>
      <c r="Y3413">
        <v>0.18510850000000001</v>
      </c>
      <c r="Z3413">
        <v>1.829743E-3</v>
      </c>
      <c r="AA3413">
        <v>0.98271640000000005</v>
      </c>
      <c r="AB3413">
        <v>40</v>
      </c>
      <c r="AC3413">
        <v>-104.13379999999999</v>
      </c>
      <c r="AD3413">
        <v>-1.17072</v>
      </c>
      <c r="AE3413">
        <v>20.308399999999999</v>
      </c>
      <c r="AF3413">
        <v>19.711366065383899</v>
      </c>
      <c r="AG3413">
        <v>-1.17072</v>
      </c>
      <c r="AH3413">
        <v>104.235314508919</v>
      </c>
      <c r="AI3413">
        <v>90.632285881872207</v>
      </c>
      <c r="AJ3413">
        <v>79.291562220224094</v>
      </c>
      <c r="AK3413">
        <v>106.089157449078</v>
      </c>
      <c r="AL3413">
        <v>77.382547026781594</v>
      </c>
      <c r="AM3413">
        <v>88.203905600917906</v>
      </c>
      <c r="AN3413">
        <v>0.99999996759454601</v>
      </c>
    </row>
    <row r="3414" spans="1:40" x14ac:dyDescent="0.25">
      <c r="A3414" t="str">
        <f>"20190303170835780"</f>
        <v>20190303170835780</v>
      </c>
      <c r="B3414" t="str">
        <f>"1551604115766938"</f>
        <v>1551604115766938</v>
      </c>
      <c r="C3414" t="s">
        <v>40</v>
      </c>
      <c r="D3414">
        <v>4.6389769999999997</v>
      </c>
      <c r="E3414">
        <v>0.56690099999999999</v>
      </c>
      <c r="F3414" t="s">
        <v>46</v>
      </c>
      <c r="G3414">
        <v>-361.46409999999997</v>
      </c>
      <c r="H3414">
        <v>-0.05</v>
      </c>
      <c r="I3414">
        <v>162.685</v>
      </c>
      <c r="J3414">
        <v>-249.3468</v>
      </c>
      <c r="K3414">
        <v>1.1207199999999999</v>
      </c>
      <c r="L3414">
        <v>140.6259</v>
      </c>
      <c r="M3414">
        <v>-0.99994819999999995</v>
      </c>
      <c r="N3414">
        <v>-8.739485E-3</v>
      </c>
      <c r="O3414">
        <v>5.2348280000000004E-3</v>
      </c>
      <c r="P3414">
        <v>-0.97701360000000004</v>
      </c>
      <c r="Q3414">
        <v>0.2101375</v>
      </c>
      <c r="R3414">
        <v>3.5873589999999997E-2</v>
      </c>
      <c r="S3414">
        <v>-3.0549620000000002</v>
      </c>
      <c r="T3414">
        <v>-3.1779889999999998E-2</v>
      </c>
      <c r="U3414">
        <v>0.59886169999999905</v>
      </c>
      <c r="V3414">
        <v>3.0519460000000002E-2</v>
      </c>
      <c r="W3414">
        <v>0.21870339999999999</v>
      </c>
      <c r="X3414">
        <v>0.97531400000000001</v>
      </c>
      <c r="Y3414">
        <v>0.18720980000000001</v>
      </c>
      <c r="Z3414">
        <v>1.7817569999999999E-3</v>
      </c>
      <c r="AA3414">
        <v>0.98231829999999998</v>
      </c>
      <c r="AB3414">
        <v>40</v>
      </c>
      <c r="AC3414">
        <v>-112.11729999999901</v>
      </c>
      <c r="AD3414">
        <v>-1.17072</v>
      </c>
      <c r="AE3414">
        <v>22.059100000000001</v>
      </c>
      <c r="AF3414">
        <v>21.469606915173198</v>
      </c>
      <c r="AG3414">
        <v>-1.17072</v>
      </c>
      <c r="AH3414">
        <v>112.219463962018</v>
      </c>
      <c r="AI3414">
        <v>90.587064929693199</v>
      </c>
      <c r="AJ3414">
        <v>79.169164134484703</v>
      </c>
      <c r="AK3414">
        <v>114.26076622504</v>
      </c>
      <c r="AL3414">
        <v>77.367111229931595</v>
      </c>
      <c r="AM3414">
        <v>88.207689175028705</v>
      </c>
      <c r="AN3414">
        <v>1.0000000066031201</v>
      </c>
    </row>
    <row r="3415" spans="1:40" x14ac:dyDescent="0.25">
      <c r="A3415" t="str">
        <f>"20190303170835824"</f>
        <v>20190303170835824</v>
      </c>
      <c r="B3415" t="str">
        <f>"1551604115816713"</f>
        <v>1551604115816713</v>
      </c>
      <c r="C3415" t="s">
        <v>40</v>
      </c>
      <c r="D3415">
        <v>4.6442009999999998</v>
      </c>
      <c r="E3415">
        <v>0.56791689999999995</v>
      </c>
      <c r="F3415" t="s">
        <v>83</v>
      </c>
      <c r="G3415">
        <v>-348.41250000000002</v>
      </c>
      <c r="H3415">
        <v>0.15715889999999999</v>
      </c>
      <c r="I3415">
        <v>160.13419999999999</v>
      </c>
      <c r="J3415">
        <v>-250.13</v>
      </c>
      <c r="K3415">
        <v>1.120706</v>
      </c>
      <c r="L3415">
        <v>140.62909999999999</v>
      </c>
      <c r="M3415">
        <v>-0.99995270000000003</v>
      </c>
      <c r="N3415">
        <v>-8.7019219999999904E-3</v>
      </c>
      <c r="O3415">
        <v>4.3609469999999996E-3</v>
      </c>
      <c r="P3415">
        <v>-0.97677890000000001</v>
      </c>
      <c r="Q3415">
        <v>0.21146319999999999</v>
      </c>
      <c r="R3415">
        <v>3.4446570000000003E-2</v>
      </c>
      <c r="S3415">
        <v>-3.0548860000000002</v>
      </c>
      <c r="T3415">
        <v>-2.971292E-2</v>
      </c>
      <c r="U3415">
        <v>0.60157780000000005</v>
      </c>
      <c r="V3415">
        <v>2.9944189999999999E-2</v>
      </c>
      <c r="W3415">
        <v>0.2199893</v>
      </c>
      <c r="X3415">
        <v>0.97504259999999998</v>
      </c>
      <c r="Y3415">
        <v>0.18891520000000001</v>
      </c>
      <c r="Z3415">
        <v>1.7353869999999999E-3</v>
      </c>
      <c r="AA3415">
        <v>0.98199190000000003</v>
      </c>
      <c r="AB3415">
        <v>40</v>
      </c>
      <c r="AC3415">
        <v>-98.282499999999999</v>
      </c>
      <c r="AD3415">
        <v>-0.96354709999999999</v>
      </c>
      <c r="AE3415">
        <v>19.505099999999999</v>
      </c>
      <c r="AF3415">
        <v>19.074529655529801</v>
      </c>
      <c r="AG3415">
        <v>-0.96354709999999999</v>
      </c>
      <c r="AH3415">
        <v>98.357533835410294</v>
      </c>
      <c r="AI3415">
        <v>90.551007721545304</v>
      </c>
      <c r="AJ3415">
        <v>79.024833729209007</v>
      </c>
      <c r="AK3415">
        <v>100.19466336475899</v>
      </c>
      <c r="AL3415">
        <v>77.291595586230997</v>
      </c>
      <c r="AM3415">
        <v>88.240962357336002</v>
      </c>
      <c r="AN3415">
        <v>1.0000000092220001</v>
      </c>
    </row>
    <row r="3416" spans="1:40" x14ac:dyDescent="0.25">
      <c r="A3416" t="str">
        <f>"20190303170835845"</f>
        <v>20190303170835845</v>
      </c>
      <c r="B3416" t="str">
        <f>"1551604115836233"</f>
        <v>1551604115836233</v>
      </c>
      <c r="C3416" t="s">
        <v>40</v>
      </c>
      <c r="D3416">
        <v>4.6673900000000001</v>
      </c>
      <c r="E3416">
        <v>0.5683819</v>
      </c>
      <c r="F3416" t="s">
        <v>83</v>
      </c>
      <c r="G3416">
        <v>-348.60550000000001</v>
      </c>
      <c r="H3416">
        <v>0.29361579999999998</v>
      </c>
      <c r="I3416">
        <v>160.15010000000001</v>
      </c>
      <c r="J3416">
        <v>-250.51779999999999</v>
      </c>
      <c r="K3416">
        <v>1.1207069999999999</v>
      </c>
      <c r="L3416">
        <v>140.63050000000001</v>
      </c>
      <c r="M3416">
        <v>-0.99995480000000003</v>
      </c>
      <c r="N3416">
        <v>-8.6719269999999994E-3</v>
      </c>
      <c r="O3416">
        <v>3.9287080000000004E-3</v>
      </c>
      <c r="P3416">
        <v>-0.976854</v>
      </c>
      <c r="Q3416">
        <v>0.21138560000000001</v>
      </c>
      <c r="R3416">
        <v>3.2752499999999997E-2</v>
      </c>
      <c r="S3416">
        <v>-3.0554960000000002</v>
      </c>
      <c r="T3416">
        <v>-2.5662540000000001E-2</v>
      </c>
      <c r="U3416">
        <v>0.60569759999999995</v>
      </c>
      <c r="V3416">
        <v>2.8671309999999998E-2</v>
      </c>
      <c r="W3416">
        <v>0.21988179999999999</v>
      </c>
      <c r="X3416">
        <v>0.97510509999999995</v>
      </c>
      <c r="Y3416">
        <v>0.19057969999999999</v>
      </c>
      <c r="Z3416">
        <v>1.6280209999999999E-3</v>
      </c>
      <c r="AA3416">
        <v>0.98167040000000005</v>
      </c>
      <c r="AB3416">
        <v>40</v>
      </c>
      <c r="AC3416">
        <v>-98.087699999999998</v>
      </c>
      <c r="AD3416">
        <v>-0.82709119999999903</v>
      </c>
      <c r="AE3416">
        <v>19.519600000000001</v>
      </c>
      <c r="AF3416">
        <v>19.132768427014401</v>
      </c>
      <c r="AG3416">
        <v>-0.82709119999999903</v>
      </c>
      <c r="AH3416">
        <v>98.156919411765003</v>
      </c>
      <c r="AI3416">
        <v>90.473857557544207</v>
      </c>
      <c r="AJ3416">
        <v>78.970194616101097</v>
      </c>
      <c r="AK3416">
        <v>100.007638387988</v>
      </c>
      <c r="AL3416">
        <v>77.297909401836904</v>
      </c>
      <c r="AM3416">
        <v>88.315800125035096</v>
      </c>
      <c r="AN3416">
        <v>1.0000000030171801</v>
      </c>
    </row>
    <row r="3417" spans="1:40" x14ac:dyDescent="0.25">
      <c r="A3417" t="str">
        <f>"20190303170835867"</f>
        <v>20190303170835867</v>
      </c>
      <c r="B3417" t="str">
        <f>"1551604115856729"</f>
        <v>1551604115856729</v>
      </c>
      <c r="C3417" t="s">
        <v>40</v>
      </c>
      <c r="D3417">
        <v>4.674518</v>
      </c>
      <c r="E3417">
        <v>0.56876979999999999</v>
      </c>
      <c r="F3417" t="s">
        <v>83</v>
      </c>
      <c r="G3417">
        <v>-349.20319999999998</v>
      </c>
      <c r="H3417">
        <v>0.27459810000000001</v>
      </c>
      <c r="I3417">
        <v>160.14830000000001</v>
      </c>
      <c r="J3417">
        <v>-250.90379999999999</v>
      </c>
      <c r="K3417">
        <v>1.1207009999999999</v>
      </c>
      <c r="L3417">
        <v>140.6317</v>
      </c>
      <c r="M3417">
        <v>-0.99995670000000003</v>
      </c>
      <c r="N3417">
        <v>-8.6345780000000004E-3</v>
      </c>
      <c r="O3417">
        <v>3.5003289999999999E-3</v>
      </c>
      <c r="P3417">
        <v>-0.97687829999999998</v>
      </c>
      <c r="Q3417">
        <v>0.21148330000000001</v>
      </c>
      <c r="R3417">
        <v>3.1363130000000003E-2</v>
      </c>
      <c r="S3417">
        <v>-3.0564879999999999</v>
      </c>
      <c r="T3417">
        <v>-2.6205300000000001E-2</v>
      </c>
      <c r="U3417">
        <v>0.60450740000000003</v>
      </c>
      <c r="V3417">
        <v>2.7699660000000001E-2</v>
      </c>
      <c r="W3417">
        <v>0.21994179999999999</v>
      </c>
      <c r="X3417">
        <v>0.97511970000000003</v>
      </c>
      <c r="Y3417">
        <v>0.1905713</v>
      </c>
      <c r="Z3417">
        <v>1.640002E-3</v>
      </c>
      <c r="AA3417">
        <v>0.98167199999999999</v>
      </c>
      <c r="AB3417">
        <v>40</v>
      </c>
      <c r="AC3417">
        <v>-98.299400000000006</v>
      </c>
      <c r="AD3417">
        <v>-0.84610289999999999</v>
      </c>
      <c r="AE3417">
        <v>19.5166</v>
      </c>
      <c r="AF3417">
        <v>19.171020930295398</v>
      </c>
      <c r="AG3417">
        <v>-0.84610289999999999</v>
      </c>
      <c r="AH3417">
        <v>98.360103930617896</v>
      </c>
      <c r="AI3417">
        <v>90.483749177338495</v>
      </c>
      <c r="AJ3417">
        <v>78.970953495496602</v>
      </c>
      <c r="AK3417">
        <v>100.214539757807</v>
      </c>
      <c r="AL3417">
        <v>77.294385966639496</v>
      </c>
      <c r="AM3417">
        <v>88.372869571260395</v>
      </c>
      <c r="AN3417">
        <v>1.00000004793972</v>
      </c>
    </row>
    <row r="3418" spans="1:40" x14ac:dyDescent="0.25">
      <c r="A3418" t="str">
        <f>"20190303170835890"</f>
        <v>20190303170835890</v>
      </c>
      <c r="B3418" t="str">
        <f>"1551604115876249"</f>
        <v>1551604115876249</v>
      </c>
      <c r="C3418" t="s">
        <v>40</v>
      </c>
      <c r="D3418">
        <v>4.6967879999999997</v>
      </c>
      <c r="E3418">
        <v>0.56893039999999995</v>
      </c>
      <c r="F3418" t="s">
        <v>83</v>
      </c>
      <c r="G3418">
        <v>-349.75760000000002</v>
      </c>
      <c r="H3418">
        <v>0.29948750000000002</v>
      </c>
      <c r="I3418">
        <v>160.1507</v>
      </c>
      <c r="J3418">
        <v>-251.3186</v>
      </c>
      <c r="K3418">
        <v>1.1206860000000001</v>
      </c>
      <c r="L3418">
        <v>140.6328</v>
      </c>
      <c r="M3418">
        <v>-0.99995869999999998</v>
      </c>
      <c r="N3418">
        <v>-8.5847579999999996E-3</v>
      </c>
      <c r="O3418">
        <v>3.0441320000000002E-3</v>
      </c>
      <c r="P3418">
        <v>-0.97686850000000003</v>
      </c>
      <c r="Q3418">
        <v>0.21177660000000001</v>
      </c>
      <c r="R3418">
        <v>2.9651940000000002E-2</v>
      </c>
      <c r="S3418">
        <v>-3.0571139999999999</v>
      </c>
      <c r="T3418">
        <v>-2.539611E-2</v>
      </c>
      <c r="U3418">
        <v>0.60363769999999894</v>
      </c>
      <c r="V3418">
        <v>2.643411E-2</v>
      </c>
      <c r="W3418">
        <v>0.22018509999999999</v>
      </c>
      <c r="X3418">
        <v>0.97509990000000002</v>
      </c>
      <c r="Y3418">
        <v>0.19071270000000001</v>
      </c>
      <c r="Z3418">
        <v>1.611882E-3</v>
      </c>
      <c r="AA3418">
        <v>0.98164459999999998</v>
      </c>
      <c r="AB3418">
        <v>40</v>
      </c>
      <c r="AC3418">
        <v>-98.438999999999993</v>
      </c>
      <c r="AD3418">
        <v>-0.82119850000000005</v>
      </c>
      <c r="AE3418">
        <v>19.517900000000001</v>
      </c>
      <c r="AF3418">
        <v>19.216850500532701</v>
      </c>
      <c r="AG3418">
        <v>-0.82119850000000005</v>
      </c>
      <c r="AH3418">
        <v>98.491366117808496</v>
      </c>
      <c r="AI3418">
        <v>90.468867224280402</v>
      </c>
      <c r="AJ3418">
        <v>78.959607349183202</v>
      </c>
      <c r="AK3418">
        <v>100.35193525731501</v>
      </c>
      <c r="AL3418">
        <v>77.280095321729206</v>
      </c>
      <c r="AM3418">
        <v>88.447141588494702</v>
      </c>
      <c r="AN3418">
        <v>1.00000002770675</v>
      </c>
    </row>
    <row r="3419" spans="1:40" x14ac:dyDescent="0.25">
      <c r="A3419" t="str">
        <f>"20190303170835912"</f>
        <v>20190303170835912</v>
      </c>
      <c r="B3419" t="str">
        <f>"1551604115906505"</f>
        <v>1551604115906505</v>
      </c>
      <c r="C3419" t="s">
        <v>40</v>
      </c>
      <c r="D3419">
        <v>4.6843389999999996</v>
      </c>
      <c r="E3419">
        <v>0.57367460000000003</v>
      </c>
      <c r="F3419" t="s">
        <v>83</v>
      </c>
      <c r="G3419">
        <v>-350.91739999999999</v>
      </c>
      <c r="H3419">
        <v>0.29662280000000002</v>
      </c>
      <c r="I3419">
        <v>160.15039999999999</v>
      </c>
      <c r="J3419">
        <v>-251.7089</v>
      </c>
      <c r="K3419">
        <v>1.1206849999999999</v>
      </c>
      <c r="L3419">
        <v>140.6336</v>
      </c>
      <c r="M3419">
        <v>-0.99996030000000002</v>
      </c>
      <c r="N3419">
        <v>-8.5302840000000008E-3</v>
      </c>
      <c r="O3419">
        <v>2.6233929999999999E-3</v>
      </c>
      <c r="P3419">
        <v>-0.97689700000000002</v>
      </c>
      <c r="Q3419">
        <v>0.2118303</v>
      </c>
      <c r="R3419">
        <v>2.8290300000000001E-2</v>
      </c>
      <c r="S3419">
        <v>-3.0583339999999999</v>
      </c>
      <c r="T3419">
        <v>-2.5303719999999998E-2</v>
      </c>
      <c r="U3419">
        <v>0.59931950000000001</v>
      </c>
      <c r="V3419">
        <v>2.54851E-2</v>
      </c>
      <c r="W3419">
        <v>0.22018470000000001</v>
      </c>
      <c r="X3419">
        <v>0.97512529999999997</v>
      </c>
      <c r="Y3419">
        <v>0.189717</v>
      </c>
      <c r="Z3419">
        <v>1.5949289999999999E-3</v>
      </c>
      <c r="AA3419">
        <v>0.98183750000000003</v>
      </c>
      <c r="AB3419">
        <v>40</v>
      </c>
      <c r="AC3419">
        <v>-99.208500000000001</v>
      </c>
      <c r="AD3419">
        <v>-0.82406219999999997</v>
      </c>
      <c r="AE3419">
        <v>19.5167999999999</v>
      </c>
      <c r="AF3419">
        <v>19.255181488201099</v>
      </c>
      <c r="AG3419">
        <v>-0.82406219999999997</v>
      </c>
      <c r="AH3419">
        <v>99.252767813492</v>
      </c>
      <c r="AI3419">
        <v>90.466990180366807</v>
      </c>
      <c r="AJ3419">
        <v>79.020917859338397</v>
      </c>
      <c r="AK3419">
        <v>101.106641776354</v>
      </c>
      <c r="AL3419">
        <v>77.280119383910005</v>
      </c>
      <c r="AM3419">
        <v>88.502903835500604</v>
      </c>
      <c r="AN3419">
        <v>1.0000000715680899</v>
      </c>
    </row>
    <row r="3420" spans="1:40" x14ac:dyDescent="0.25">
      <c r="A3420" t="str">
        <f>"20190303170835934"</f>
        <v>20190303170835934</v>
      </c>
      <c r="B3420" t="str">
        <f>"1551604115927001"</f>
        <v>1551604115927001</v>
      </c>
      <c r="C3420" t="s">
        <v>40</v>
      </c>
      <c r="D3420">
        <v>4.7025430000000004</v>
      </c>
      <c r="E3420">
        <v>0.5740615</v>
      </c>
      <c r="F3420" t="s">
        <v>83</v>
      </c>
      <c r="G3420">
        <v>-346.01799999999997</v>
      </c>
      <c r="H3420">
        <v>0.16643139999999901</v>
      </c>
      <c r="I3420">
        <v>160.1397</v>
      </c>
      <c r="J3420">
        <v>-252.11179999999999</v>
      </c>
      <c r="K3420">
        <v>1.1206739999999999</v>
      </c>
      <c r="L3420">
        <v>140.6343</v>
      </c>
      <c r="M3420">
        <v>-0.99996180000000001</v>
      </c>
      <c r="N3420">
        <v>-8.4728040000000004E-3</v>
      </c>
      <c r="O3420">
        <v>2.1972049999999998E-3</v>
      </c>
      <c r="P3420">
        <v>-0.9769776</v>
      </c>
      <c r="Q3420">
        <v>0.21167</v>
      </c>
      <c r="R3420">
        <v>2.666458E-2</v>
      </c>
      <c r="S3420">
        <v>-3.059326</v>
      </c>
      <c r="T3420">
        <v>-3.095496E-2</v>
      </c>
      <c r="U3420">
        <v>0.63276669999999902</v>
      </c>
      <c r="V3420">
        <v>2.427872E-2</v>
      </c>
      <c r="W3420">
        <v>0.219967</v>
      </c>
      <c r="X3420">
        <v>0.97520510000000005</v>
      </c>
      <c r="Y3420">
        <v>0.20037440000000001</v>
      </c>
      <c r="Z3420">
        <v>1.857313E-3</v>
      </c>
      <c r="AA3420">
        <v>0.97971759999999997</v>
      </c>
      <c r="AB3420">
        <v>40</v>
      </c>
      <c r="AC3420">
        <v>-93.906199999999998</v>
      </c>
      <c r="AD3420">
        <v>-0.95424260000000005</v>
      </c>
      <c r="AE3420">
        <v>19.505400000000002</v>
      </c>
      <c r="AF3420">
        <v>19.297104165635101</v>
      </c>
      <c r="AG3420">
        <v>-0.95424260000000005</v>
      </c>
      <c r="AH3420">
        <v>93.939533269631397</v>
      </c>
      <c r="AI3420">
        <v>90.570090329103195</v>
      </c>
      <c r="AJ3420">
        <v>78.391755493879998</v>
      </c>
      <c r="AK3420">
        <v>95.905811706252706</v>
      </c>
      <c r="AL3420">
        <v>77.292904757898199</v>
      </c>
      <c r="AM3420">
        <v>88.573858058389405</v>
      </c>
      <c r="AN3420">
        <v>0.99999996219992304</v>
      </c>
    </row>
    <row r="3421" spans="1:40" x14ac:dyDescent="0.25">
      <c r="A3421" t="str">
        <f>"20190303170835957"</f>
        <v>20190303170835957</v>
      </c>
      <c r="B3421" t="str">
        <f>"1551604115946521"</f>
        <v>1551604115946521</v>
      </c>
      <c r="C3421" t="s">
        <v>40</v>
      </c>
      <c r="D3421">
        <v>4.6678940000000004</v>
      </c>
      <c r="E3421">
        <v>0.57440800000000003</v>
      </c>
      <c r="F3421" t="s">
        <v>83</v>
      </c>
      <c r="G3421">
        <v>-346.64600000000002</v>
      </c>
      <c r="H3421">
        <v>0.23821539999999999</v>
      </c>
      <c r="I3421">
        <v>160.14490000000001</v>
      </c>
      <c r="J3421">
        <v>-252.51660000000001</v>
      </c>
      <c r="K3421">
        <v>1.1206609999999999</v>
      </c>
      <c r="L3421">
        <v>140.63489999999999</v>
      </c>
      <c r="M3421">
        <v>-0.99996320000000005</v>
      </c>
      <c r="N3421">
        <v>-8.4173330000000008E-3</v>
      </c>
      <c r="O3421">
        <v>1.78176299999999E-3</v>
      </c>
      <c r="P3421">
        <v>-0.97700889999999996</v>
      </c>
      <c r="Q3421">
        <v>0.21167859999999999</v>
      </c>
      <c r="R3421">
        <v>2.5419029999999999E-2</v>
      </c>
      <c r="S3421">
        <v>-3.059647</v>
      </c>
      <c r="T3421">
        <v>-2.8560760000000001E-2</v>
      </c>
      <c r="U3421">
        <v>0.63146969999999902</v>
      </c>
      <c r="V3421">
        <v>2.3443080000000002E-2</v>
      </c>
      <c r="W3421">
        <v>0.21992039999999999</v>
      </c>
      <c r="X3421">
        <v>0.97523610000000005</v>
      </c>
      <c r="Y3421">
        <v>0.20036499999999999</v>
      </c>
      <c r="Z3421">
        <v>1.775895E-3</v>
      </c>
      <c r="AA3421">
        <v>0.97971969999999997</v>
      </c>
      <c r="AB3421">
        <v>40</v>
      </c>
      <c r="AC3421">
        <v>-94.129399999999904</v>
      </c>
      <c r="AD3421">
        <v>-0.88244560000000005</v>
      </c>
      <c r="AE3421">
        <v>19.510000000000002</v>
      </c>
      <c r="AF3421">
        <v>19.340617064460801</v>
      </c>
      <c r="AG3421">
        <v>-0.88244560000000005</v>
      </c>
      <c r="AH3421">
        <v>94.156079741504897</v>
      </c>
      <c r="AI3421">
        <v>90.525988027467903</v>
      </c>
      <c r="AJ3421">
        <v>78.392321965522299</v>
      </c>
      <c r="AK3421">
        <v>96.1259878022572</v>
      </c>
      <c r="AL3421">
        <v>77.295642323380093</v>
      </c>
      <c r="AM3421">
        <v>88.622968412547294</v>
      </c>
      <c r="AN3421">
        <v>1.0000000055396201</v>
      </c>
    </row>
    <row r="3422" spans="1:40" x14ac:dyDescent="0.25">
      <c r="A3422" t="str">
        <f>"20190303170835981"</f>
        <v>20190303170835981</v>
      </c>
      <c r="B3422" t="str">
        <f>"1551604115967017"</f>
        <v>1551604115967017</v>
      </c>
      <c r="C3422" t="s">
        <v>40</v>
      </c>
      <c r="D3422">
        <v>4.6677460000000002</v>
      </c>
      <c r="E3422">
        <v>0.57495220000000002</v>
      </c>
      <c r="F3422" t="s">
        <v>83</v>
      </c>
      <c r="G3422">
        <v>-347.2056</v>
      </c>
      <c r="H3422">
        <v>0.26489259999999998</v>
      </c>
      <c r="I3422">
        <v>160.1474</v>
      </c>
      <c r="J3422">
        <v>-252.95419999999999</v>
      </c>
      <c r="K3422">
        <v>1.1206419999999999</v>
      </c>
      <c r="L3422">
        <v>140.6353</v>
      </c>
      <c r="M3422">
        <v>-0.99996430000000003</v>
      </c>
      <c r="N3422">
        <v>-8.3592110000000001E-3</v>
      </c>
      <c r="O3422">
        <v>1.352792E-3</v>
      </c>
      <c r="P3422">
        <v>-0.97689899999999996</v>
      </c>
      <c r="Q3422">
        <v>0.21230650000000001</v>
      </c>
      <c r="R3422">
        <v>2.438005E-2</v>
      </c>
      <c r="S3422">
        <v>-3.0601959999999999</v>
      </c>
      <c r="T3422">
        <v>-2.7656670000000001E-2</v>
      </c>
      <c r="U3422">
        <v>0.63061519999999904</v>
      </c>
      <c r="V3422">
        <v>2.2829160000000001E-2</v>
      </c>
      <c r="W3422">
        <v>0.2204893</v>
      </c>
      <c r="X3422">
        <v>0.97512220000000005</v>
      </c>
      <c r="Y3422">
        <v>0.20048879999999999</v>
      </c>
      <c r="Z3422">
        <v>1.7423439999999901E-3</v>
      </c>
      <c r="AA3422">
        <v>0.97969439999999997</v>
      </c>
      <c r="AB3422">
        <v>40</v>
      </c>
      <c r="AC3422">
        <v>-94.251400000000004</v>
      </c>
      <c r="AD3422">
        <v>-0.85574939999999899</v>
      </c>
      <c r="AE3422">
        <v>19.5121</v>
      </c>
      <c r="AF3422">
        <v>19.383042973413101</v>
      </c>
      <c r="AG3422">
        <v>-0.85574939999999899</v>
      </c>
      <c r="AH3422">
        <v>94.270258581559702</v>
      </c>
      <c r="AI3422">
        <v>90.509438438968502</v>
      </c>
      <c r="AJ3422">
        <v>78.381258148585601</v>
      </c>
      <c r="AK3422">
        <v>96.246123636118</v>
      </c>
      <c r="AL3422">
        <v>77.262226490925499</v>
      </c>
      <c r="AM3422">
        <v>88.6588597602954</v>
      </c>
      <c r="AN3422">
        <v>1.0000000034468099</v>
      </c>
    </row>
    <row r="3423" spans="1:40" x14ac:dyDescent="0.25">
      <c r="A3423" t="str">
        <f>"20190303170836004"</f>
        <v>20190303170836004</v>
      </c>
      <c r="B3423" t="str">
        <f>"1551604115996297"</f>
        <v>1551604115996297</v>
      </c>
      <c r="C3423" t="s">
        <v>40</v>
      </c>
      <c r="D3423">
        <v>4.7835669999999997</v>
      </c>
      <c r="E3423">
        <v>0.57530829999999999</v>
      </c>
      <c r="F3423" t="s">
        <v>83</v>
      </c>
      <c r="G3423">
        <v>-347.5591</v>
      </c>
      <c r="H3423">
        <v>0.29341699999999998</v>
      </c>
      <c r="I3423">
        <v>160.15010000000001</v>
      </c>
      <c r="J3423">
        <v>-253.35499999999999</v>
      </c>
      <c r="K3423">
        <v>1.1206179999999999</v>
      </c>
      <c r="L3423">
        <v>140.63560000000001</v>
      </c>
      <c r="M3423">
        <v>-0.99996499999999999</v>
      </c>
      <c r="N3423">
        <v>-8.3071389999999998E-3</v>
      </c>
      <c r="O3423">
        <v>9.8336590000000002E-4</v>
      </c>
      <c r="P3423">
        <v>-0.97681059999999997</v>
      </c>
      <c r="Q3423">
        <v>0.21277940000000001</v>
      </c>
      <c r="R3423">
        <v>2.3787099999999999E-2</v>
      </c>
      <c r="S3423">
        <v>-3.0609739999999999</v>
      </c>
      <c r="T3423">
        <v>-2.676475E-2</v>
      </c>
      <c r="U3423">
        <v>0.63140869999999905</v>
      </c>
      <c r="V3423">
        <v>2.260471E-2</v>
      </c>
      <c r="W3423">
        <v>0.2209093</v>
      </c>
      <c r="X3423">
        <v>0.97503240000000002</v>
      </c>
      <c r="Y3423">
        <v>0.2010459</v>
      </c>
      <c r="Z3423">
        <v>1.7131640000000001E-3</v>
      </c>
      <c r="AA3423">
        <v>0.97958029999999996</v>
      </c>
      <c r="AB3423">
        <v>40</v>
      </c>
      <c r="AC3423">
        <v>-94.204099999999997</v>
      </c>
      <c r="AD3423">
        <v>-0.82720099999999996</v>
      </c>
      <c r="AE3423">
        <v>19.514500000000002</v>
      </c>
      <c r="AF3423">
        <v>19.4204144684021</v>
      </c>
      <c r="AG3423">
        <v>-0.82720099999999996</v>
      </c>
      <c r="AH3423">
        <v>94.216279366673405</v>
      </c>
      <c r="AI3423">
        <v>90.492676130148496</v>
      </c>
      <c r="AJ3423">
        <v>78.352980390844394</v>
      </c>
      <c r="AK3423">
        <v>96.200540836930699</v>
      </c>
      <c r="AL3423">
        <v>77.237554311348404</v>
      </c>
      <c r="AM3423">
        <v>88.671918475335303</v>
      </c>
      <c r="AN3423">
        <v>1.00000003639521</v>
      </c>
    </row>
    <row r="3424" spans="1:40" x14ac:dyDescent="0.25">
      <c r="A3424" t="str">
        <f>"20190303170836025"</f>
        <v>20190303170836025</v>
      </c>
      <c r="B3424" t="str">
        <f>"1551604116016794"</f>
        <v>1551604116016794</v>
      </c>
      <c r="C3424" t="s">
        <v>40</v>
      </c>
      <c r="D3424">
        <v>4.4855400000000003</v>
      </c>
      <c r="E3424">
        <v>0.52740369999999903</v>
      </c>
      <c r="F3424" t="s">
        <v>83</v>
      </c>
      <c r="G3424">
        <v>-350.8972</v>
      </c>
      <c r="H3424">
        <v>0.35327570000000003</v>
      </c>
      <c r="I3424">
        <v>160.80969999999999</v>
      </c>
      <c r="J3424">
        <v>-253.76679999999999</v>
      </c>
      <c r="K3424">
        <v>1.1205989999999999</v>
      </c>
      <c r="L3424">
        <v>140.63570000000001</v>
      </c>
      <c r="M3424">
        <v>-0.99996580000000002</v>
      </c>
      <c r="N3424">
        <v>-8.2551869999999902E-3</v>
      </c>
      <c r="O3424">
        <v>6.3264739999999999E-4</v>
      </c>
      <c r="P3424">
        <v>-0.97700730000000002</v>
      </c>
      <c r="Q3424">
        <v>0.21202480000000001</v>
      </c>
      <c r="R3424">
        <v>2.2419729999999999E-2</v>
      </c>
      <c r="S3424">
        <v>-3.0610499999999998</v>
      </c>
      <c r="T3424">
        <v>-2.408016E-2</v>
      </c>
      <c r="U3424">
        <v>0.63310239999999995</v>
      </c>
      <c r="V3424">
        <v>2.1591619999999999E-2</v>
      </c>
      <c r="W3424">
        <v>0.22010370000000001</v>
      </c>
      <c r="X3424">
        <v>0.97523749999999998</v>
      </c>
      <c r="Y3424">
        <v>0.20190649999999999</v>
      </c>
      <c r="Z3424">
        <v>1.628233E-3</v>
      </c>
      <c r="AA3424">
        <v>0.97940340000000004</v>
      </c>
      <c r="AB3424">
        <v>41</v>
      </c>
      <c r="AC3424">
        <v>-97.130399999999995</v>
      </c>
      <c r="AD3424">
        <v>-0.76732329999999904</v>
      </c>
      <c r="AE3424">
        <v>20.1739999999999</v>
      </c>
      <c r="AF3424">
        <v>20.111341357892499</v>
      </c>
      <c r="AG3424">
        <v>-0.76732329999999904</v>
      </c>
      <c r="AH3424">
        <v>97.137332496429195</v>
      </c>
      <c r="AI3424">
        <v>90.443192084817298</v>
      </c>
      <c r="AJ3424">
        <v>78.302733591179106</v>
      </c>
      <c r="AK3424">
        <v>99.200384075779795</v>
      </c>
      <c r="AL3424">
        <v>77.284876252658094</v>
      </c>
      <c r="AM3424">
        <v>88.731686767872503</v>
      </c>
      <c r="AN3424">
        <v>1.00000000910708</v>
      </c>
    </row>
    <row r="3425" spans="1:40" x14ac:dyDescent="0.25">
      <c r="A3425" t="str">
        <f>"20190303170836069"</f>
        <v>20190303170836069</v>
      </c>
      <c r="B3425" t="str">
        <f>"1551604116056809"</f>
        <v>1551604116056809</v>
      </c>
      <c r="C3425" t="s">
        <v>40</v>
      </c>
      <c r="D3425">
        <v>4.7759419999999997</v>
      </c>
      <c r="E3425">
        <v>0.43919350000000001</v>
      </c>
      <c r="F3425" t="s">
        <v>75</v>
      </c>
      <c r="G3425">
        <v>-511.92520000000002</v>
      </c>
      <c r="H3425">
        <v>0.13483390000000001</v>
      </c>
      <c r="I3425">
        <v>161.48310000000001</v>
      </c>
      <c r="J3425">
        <v>-254.55500000000001</v>
      </c>
      <c r="K3425">
        <v>1.120541</v>
      </c>
      <c r="L3425">
        <v>140.63570000000001</v>
      </c>
      <c r="M3425">
        <v>-0.99996669999999999</v>
      </c>
      <c r="N3425">
        <v>-8.167934E-3</v>
      </c>
      <c r="O3425" s="1">
        <v>7.2383770000000001E-5</v>
      </c>
      <c r="P3425">
        <v>-0.97687729999999995</v>
      </c>
      <c r="Q3425">
        <v>0.21281839999999999</v>
      </c>
      <c r="R3425">
        <v>2.0464880000000001E-2</v>
      </c>
      <c r="S3425">
        <v>-3.0674739999999998</v>
      </c>
      <c r="T3425">
        <v>-1.1712429999999999E-2</v>
      </c>
      <c r="U3425">
        <v>0.24771119999999999</v>
      </c>
      <c r="V3425">
        <v>2.0213809999999999E-2</v>
      </c>
      <c r="W3425">
        <v>0.220807</v>
      </c>
      <c r="X3425">
        <v>0.97510799999999997</v>
      </c>
      <c r="Y3425">
        <v>8.0418100000000006E-2</v>
      </c>
      <c r="Z3425">
        <v>4.82561E-4</v>
      </c>
      <c r="AA3425">
        <v>0.99676109999999896</v>
      </c>
      <c r="AB3425">
        <v>41</v>
      </c>
      <c r="AC3425">
        <v>-257.37020000000001</v>
      </c>
      <c r="AD3425">
        <v>-0.98570709999999995</v>
      </c>
      <c r="AE3425">
        <v>20.8474</v>
      </c>
      <c r="AF3425">
        <v>20.828466373386501</v>
      </c>
      <c r="AG3425">
        <v>-0.98570709999999995</v>
      </c>
      <c r="AH3425">
        <v>257.36795785185598</v>
      </c>
      <c r="AI3425">
        <v>90.218723965149294</v>
      </c>
      <c r="AJ3425">
        <v>85.373207768490204</v>
      </c>
      <c r="AK3425">
        <v>258.21127465466901</v>
      </c>
      <c r="AL3425">
        <v>77.243563220249797</v>
      </c>
      <c r="AM3425">
        <v>88.812439087877493</v>
      </c>
      <c r="AN3425">
        <v>0.99999997051385703</v>
      </c>
    </row>
    <row r="3426" spans="1:40" x14ac:dyDescent="0.25">
      <c r="A3426" t="str">
        <f>"20190303170836090"</f>
        <v>20190303170836090</v>
      </c>
      <c r="B3426" t="str">
        <f>"1551604116087065"</f>
        <v>1551604116087065</v>
      </c>
      <c r="C3426" t="s">
        <v>40</v>
      </c>
      <c r="D3426">
        <v>4.7532719999999999</v>
      </c>
      <c r="E3426">
        <v>0.43122779999999999</v>
      </c>
      <c r="F3426" t="s">
        <v>95</v>
      </c>
      <c r="G3426">
        <v>-394.74590000000001</v>
      </c>
      <c r="H3426">
        <v>2.0235319999999999</v>
      </c>
      <c r="I3426">
        <v>119.6194</v>
      </c>
      <c r="J3426">
        <v>-254.9392</v>
      </c>
      <c r="K3426">
        <v>1.120509</v>
      </c>
      <c r="L3426">
        <v>140.63550000000001</v>
      </c>
      <c r="M3426">
        <v>-0.99996689999999999</v>
      </c>
      <c r="N3426">
        <v>-8.1335550000000006E-3</v>
      </c>
      <c r="O3426">
        <v>-1.3886249999999999E-4</v>
      </c>
      <c r="P3426">
        <v>-0.97680239999999996</v>
      </c>
      <c r="Q3426">
        <v>0.213203</v>
      </c>
      <c r="R3426">
        <v>2.0031839999999999E-2</v>
      </c>
      <c r="S3426">
        <v>-3.076355</v>
      </c>
      <c r="T3426">
        <v>1.9815329999999999E-2</v>
      </c>
      <c r="U3426">
        <v>-0.46118160000000002</v>
      </c>
      <c r="V3426">
        <v>2.0005220000000001E-2</v>
      </c>
      <c r="W3426">
        <v>0.22115570000000001</v>
      </c>
      <c r="X3426">
        <v>0.97503329999999999</v>
      </c>
      <c r="Y3426">
        <v>-0.14811859999999999</v>
      </c>
      <c r="Z3426">
        <v>-1.3336000000000001E-4</v>
      </c>
      <c r="AA3426">
        <v>0.9889696</v>
      </c>
      <c r="AB3426">
        <v>41</v>
      </c>
      <c r="AC3426">
        <v>-139.80670000000001</v>
      </c>
      <c r="AD3426">
        <v>0.90302300000000002</v>
      </c>
      <c r="AE3426">
        <v>-21.016100000000002</v>
      </c>
      <c r="AF3426">
        <v>-20.995828662541101</v>
      </c>
      <c r="AG3426">
        <v>0.90302300000000002</v>
      </c>
      <c r="AH3426">
        <v>139.803913398719</v>
      </c>
      <c r="AI3426">
        <v>89.634023633074705</v>
      </c>
      <c r="AJ3426">
        <v>98.540882482234196</v>
      </c>
      <c r="AK3426">
        <v>141.37458920669499</v>
      </c>
      <c r="AL3426">
        <v>77.223078048749201</v>
      </c>
      <c r="AM3426">
        <v>88.824600272184</v>
      </c>
      <c r="AN3426">
        <v>0.99999999428931396</v>
      </c>
    </row>
    <row r="3427" spans="1:40" x14ac:dyDescent="0.25">
      <c r="A3427" t="str">
        <f>"20190303170836113"</f>
        <v>20190303170836113</v>
      </c>
      <c r="B3427" t="str">
        <f>"1551604116106585"</f>
        <v>1551604116106585</v>
      </c>
      <c r="C3427" t="s">
        <v>40</v>
      </c>
      <c r="D3427">
        <v>4.7606999999999999</v>
      </c>
      <c r="E3427">
        <v>0.42940719999999999</v>
      </c>
      <c r="F3427" t="s">
        <v>95</v>
      </c>
      <c r="G3427">
        <v>-378.00209999999998</v>
      </c>
      <c r="H3427">
        <v>2.3153220000000001</v>
      </c>
      <c r="I3427">
        <v>119.6193</v>
      </c>
      <c r="J3427">
        <v>-255.36850000000001</v>
      </c>
      <c r="K3427">
        <v>1.1204620000000001</v>
      </c>
      <c r="L3427">
        <v>140.6353</v>
      </c>
      <c r="M3427">
        <v>-0.9999673</v>
      </c>
      <c r="N3427">
        <v>-8.1013530000000004E-3</v>
      </c>
      <c r="O3427">
        <v>-3.1980499999999999E-4</v>
      </c>
      <c r="P3427">
        <v>-0.97680149999999999</v>
      </c>
      <c r="Q3427">
        <v>0.21329799999999999</v>
      </c>
      <c r="R3427">
        <v>1.9066090000000001E-2</v>
      </c>
      <c r="S3427">
        <v>-3.0754999999999999</v>
      </c>
      <c r="T3427">
        <v>2.9860020000000001E-2</v>
      </c>
      <c r="U3427">
        <v>-0.52522279999999999</v>
      </c>
      <c r="V3427">
        <v>1.9239969999999999E-2</v>
      </c>
      <c r="W3427">
        <v>0.22121660000000001</v>
      </c>
      <c r="X3427">
        <v>0.97503490000000004</v>
      </c>
      <c r="Y3427">
        <v>-0.1680229</v>
      </c>
      <c r="Z3427">
        <v>1.1862010000000001E-4</v>
      </c>
      <c r="AA3427">
        <v>0.98578310000000002</v>
      </c>
      <c r="AB3427">
        <v>41</v>
      </c>
      <c r="AC3427">
        <v>-122.63359999999901</v>
      </c>
      <c r="AD3427">
        <v>1.19486</v>
      </c>
      <c r="AE3427">
        <v>-21.015999999999998</v>
      </c>
      <c r="AF3427">
        <v>-20.9748444209892</v>
      </c>
      <c r="AG3427">
        <v>1.19486</v>
      </c>
      <c r="AH3427">
        <v>122.62900562505401</v>
      </c>
      <c r="AI3427">
        <v>89.449735561569696</v>
      </c>
      <c r="AJ3427">
        <v>99.706121427594795</v>
      </c>
      <c r="AK3427">
        <v>124.415613206277</v>
      </c>
      <c r="AL3427">
        <v>77.219500299371205</v>
      </c>
      <c r="AM3427">
        <v>88.869552224309501</v>
      </c>
      <c r="AN3427">
        <v>1.0000000083895799</v>
      </c>
    </row>
    <row r="3428" spans="1:40" x14ac:dyDescent="0.25">
      <c r="A3428" t="str">
        <f>"20190303170836135"</f>
        <v>20190303170836135</v>
      </c>
      <c r="B3428" t="str">
        <f>"1551604116127081"</f>
        <v>1551604116127081</v>
      </c>
      <c r="C3428" t="s">
        <v>40</v>
      </c>
      <c r="D3428">
        <v>4.7225039999999998</v>
      </c>
      <c r="E3428">
        <v>0.4284384</v>
      </c>
      <c r="F3428" t="s">
        <v>95</v>
      </c>
      <c r="G3428">
        <v>-371.35239999999999</v>
      </c>
      <c r="H3428">
        <v>2.2495340000000001</v>
      </c>
      <c r="I3428">
        <v>120.1717</v>
      </c>
      <c r="J3428">
        <v>-255.78100000000001</v>
      </c>
      <c r="K3428">
        <v>1.120422</v>
      </c>
      <c r="L3428">
        <v>140.63509999999999</v>
      </c>
      <c r="M3428">
        <v>-0.9999673</v>
      </c>
      <c r="N3428">
        <v>-8.0757769999999993E-3</v>
      </c>
      <c r="O3428">
        <v>-4.4703929999999998E-4</v>
      </c>
      <c r="P3428">
        <v>-0.97678180000000003</v>
      </c>
      <c r="Q3428">
        <v>0.2134557</v>
      </c>
      <c r="R3428">
        <v>1.8268309999999999E-2</v>
      </c>
      <c r="S3428">
        <v>-3.0752869999999999</v>
      </c>
      <c r="T3428">
        <v>2.9937149999999999E-2</v>
      </c>
      <c r="U3428">
        <v>-0.54258729999999999</v>
      </c>
      <c r="V3428">
        <v>1.8588799999999999E-2</v>
      </c>
      <c r="W3428">
        <v>0.22134690000000001</v>
      </c>
      <c r="X3428">
        <v>0.97501800000000005</v>
      </c>
      <c r="Y3428">
        <v>-0.17330960000000001</v>
      </c>
      <c r="Z3428">
        <v>1.2399629999999999E-4</v>
      </c>
      <c r="AA3428">
        <v>0.98486739999999995</v>
      </c>
      <c r="AB3428">
        <v>41</v>
      </c>
      <c r="AC3428">
        <v>-115.5714</v>
      </c>
      <c r="AD3428">
        <v>1.1291119999999999</v>
      </c>
      <c r="AE3428">
        <v>-20.4634</v>
      </c>
      <c r="AF3428">
        <v>-20.4098424244062</v>
      </c>
      <c r="AG3428">
        <v>1.1291119999999999</v>
      </c>
      <c r="AH3428">
        <v>115.56984094406501</v>
      </c>
      <c r="AI3428">
        <v>89.448770091384006</v>
      </c>
      <c r="AJ3428">
        <v>100.01527070255</v>
      </c>
      <c r="AK3428">
        <v>117.363642997029</v>
      </c>
      <c r="AL3428">
        <v>77.211845382710905</v>
      </c>
      <c r="AM3428">
        <v>88.9077834741326</v>
      </c>
      <c r="AN3428">
        <v>1.0000000469745201</v>
      </c>
    </row>
    <row r="3429" spans="1:40" x14ac:dyDescent="0.25">
      <c r="A3429" t="str">
        <f>"20190303170836157"</f>
        <v>20190303170836157</v>
      </c>
      <c r="B3429" t="str">
        <f>"1551604116146601"</f>
        <v>1551604116146601</v>
      </c>
      <c r="C3429" t="s">
        <v>40</v>
      </c>
      <c r="D3429">
        <v>4.7538769999999904</v>
      </c>
      <c r="E3429">
        <v>0.4280427</v>
      </c>
      <c r="F3429" t="s">
        <v>95</v>
      </c>
      <c r="G3429">
        <v>-371.35239999999999</v>
      </c>
      <c r="H3429">
        <v>2.238467</v>
      </c>
      <c r="I3429">
        <v>119.8887</v>
      </c>
      <c r="J3429">
        <v>-256.18459999999999</v>
      </c>
      <c r="K3429">
        <v>1.1203860000000001</v>
      </c>
      <c r="L3429">
        <v>140.63489999999999</v>
      </c>
      <c r="M3429">
        <v>-0.99996750000000001</v>
      </c>
      <c r="N3429">
        <v>-8.0556450000000002E-3</v>
      </c>
      <c r="O3429">
        <v>-5.3357290000000004E-4</v>
      </c>
      <c r="P3429">
        <v>-0.97653619999999997</v>
      </c>
      <c r="Q3429">
        <v>0.21457000000000001</v>
      </c>
      <c r="R3429">
        <v>1.8358329999999999E-2</v>
      </c>
      <c r="S3429">
        <v>-3.0751040000000001</v>
      </c>
      <c r="T3429">
        <v>2.9748799999999999E-2</v>
      </c>
      <c r="U3429">
        <v>-0.55201719999999999</v>
      </c>
      <c r="V3429">
        <v>1.878376E-2</v>
      </c>
      <c r="W3429">
        <v>0.2224381</v>
      </c>
      <c r="X3429">
        <v>0.97476580000000002</v>
      </c>
      <c r="Y3429">
        <v>-0.17616109999999999</v>
      </c>
      <c r="Z3429">
        <v>1.207524E-4</v>
      </c>
      <c r="AA3429">
        <v>0.98436140000000005</v>
      </c>
      <c r="AB3429">
        <v>41</v>
      </c>
      <c r="AC3429">
        <v>-115.1678</v>
      </c>
      <c r="AD3429">
        <v>1.1180810000000001</v>
      </c>
      <c r="AE3429">
        <v>-20.746199999999899</v>
      </c>
      <c r="AF3429">
        <v>-20.682856537259099</v>
      </c>
      <c r="AG3429">
        <v>1.1180810000000001</v>
      </c>
      <c r="AH3429">
        <v>115.168340045398</v>
      </c>
      <c r="AI3429">
        <v>89.452534523712202</v>
      </c>
      <c r="AJ3429">
        <v>100.181109304351</v>
      </c>
      <c r="AK3429">
        <v>117.016140803206</v>
      </c>
      <c r="AL3429">
        <v>77.147724549745206</v>
      </c>
      <c r="AM3429">
        <v>88.896045606535907</v>
      </c>
      <c r="AN3429">
        <v>0.99999995141049203</v>
      </c>
    </row>
    <row r="3430" spans="1:40" x14ac:dyDescent="0.25">
      <c r="A3430" t="str">
        <f>"20190303170836180"</f>
        <v>20190303170836180</v>
      </c>
      <c r="B3430" t="str">
        <f>"1551604116167097"</f>
        <v>1551604116167097</v>
      </c>
      <c r="C3430" t="s">
        <v>40</v>
      </c>
      <c r="D3430">
        <v>4.7489990000000004</v>
      </c>
      <c r="E3430">
        <v>0.42770350000000001</v>
      </c>
      <c r="F3430" t="s">
        <v>95</v>
      </c>
      <c r="G3430">
        <v>-371.35239999999999</v>
      </c>
      <c r="H3430">
        <v>2.3546130000000001</v>
      </c>
      <c r="I3430">
        <v>119.82729999999999</v>
      </c>
      <c r="J3430">
        <v>-256.59750000000003</v>
      </c>
      <c r="K3430">
        <v>1.120357</v>
      </c>
      <c r="L3430">
        <v>140.63460000000001</v>
      </c>
      <c r="M3430">
        <v>-0.99996759999999996</v>
      </c>
      <c r="N3430">
        <v>-8.0395420000000002E-3</v>
      </c>
      <c r="O3430">
        <v>-5.9132779999999995E-4</v>
      </c>
      <c r="P3430">
        <v>-0.97636529999999999</v>
      </c>
      <c r="Q3430">
        <v>0.21524080000000001</v>
      </c>
      <c r="R3430">
        <v>1.9561680000000001E-2</v>
      </c>
      <c r="S3430">
        <v>-3.0752869999999999</v>
      </c>
      <c r="T3430">
        <v>3.2957199999999902E-2</v>
      </c>
      <c r="U3430">
        <v>-0.55561830000000001</v>
      </c>
      <c r="V3430">
        <v>2.0061679999999998E-2</v>
      </c>
      <c r="W3430">
        <v>0.22309029999999999</v>
      </c>
      <c r="X3430">
        <v>0.97459130000000005</v>
      </c>
      <c r="Y3430">
        <v>-0.17720929999999999</v>
      </c>
      <c r="Z3430">
        <v>2.1282730000000001E-4</v>
      </c>
      <c r="AA3430">
        <v>0.98417319999999997</v>
      </c>
      <c r="AB3430">
        <v>41</v>
      </c>
      <c r="AC3430">
        <v>-114.754899999999</v>
      </c>
      <c r="AD3430">
        <v>1.234256</v>
      </c>
      <c r="AE3430">
        <v>-20.807300000000001</v>
      </c>
      <c r="AF3430">
        <v>-20.7371138478677</v>
      </c>
      <c r="AG3430">
        <v>1.234256</v>
      </c>
      <c r="AH3430">
        <v>114.754331737835</v>
      </c>
      <c r="AI3430">
        <v>89.393592156302404</v>
      </c>
      <c r="AJ3430">
        <v>100.243303787107</v>
      </c>
      <c r="AK3430">
        <v>116.619500647233</v>
      </c>
      <c r="AL3430">
        <v>77.109393401669095</v>
      </c>
      <c r="AM3430">
        <v>88.820749494693402</v>
      </c>
      <c r="AN3430">
        <v>0.99999997749710001</v>
      </c>
    </row>
    <row r="3431" spans="1:40" x14ac:dyDescent="0.25">
      <c r="A3431" t="str">
        <f>"20190303170836226"</f>
        <v>20190303170836226</v>
      </c>
      <c r="B3431" t="str">
        <f>"1551604116216874"</f>
        <v>1551604116216874</v>
      </c>
      <c r="C3431" t="s">
        <v>40</v>
      </c>
      <c r="D3431">
        <v>4.7937260000000004</v>
      </c>
      <c r="E3431">
        <v>0.42669629999999997</v>
      </c>
      <c r="F3431" t="s">
        <v>95</v>
      </c>
      <c r="G3431">
        <v>-371.35239999999999</v>
      </c>
      <c r="H3431">
        <v>2.4034149999999999</v>
      </c>
      <c r="I3431">
        <v>119.9019</v>
      </c>
      <c r="J3431">
        <v>-257.4511</v>
      </c>
      <c r="K3431">
        <v>1.1203000000000001</v>
      </c>
      <c r="L3431">
        <v>140.63409999999999</v>
      </c>
      <c r="M3431">
        <v>-0.99996770000000001</v>
      </c>
      <c r="N3431">
        <v>-8.0185810000000003E-3</v>
      </c>
      <c r="O3431">
        <v>-6.4553539999999995E-4</v>
      </c>
      <c r="P3431">
        <v>-0.97646670000000002</v>
      </c>
      <c r="Q3431">
        <v>0.21459880000000001</v>
      </c>
      <c r="R3431">
        <v>2.1459539999999999E-2</v>
      </c>
      <c r="S3431">
        <v>-3.0761720000000001</v>
      </c>
      <c r="T3431">
        <v>3.4394260000000003E-2</v>
      </c>
      <c r="U3431">
        <v>-0.55577089999999996</v>
      </c>
      <c r="V3431">
        <v>2.204184E-2</v>
      </c>
      <c r="W3431">
        <v>0.2224265</v>
      </c>
      <c r="X3431">
        <v>0.97470029999999996</v>
      </c>
      <c r="Y3431">
        <v>-0.17715320000000001</v>
      </c>
      <c r="Z3431">
        <v>2.5410789999999998E-4</v>
      </c>
      <c r="AA3431">
        <v>0.98418329999999998</v>
      </c>
      <c r="AB3431">
        <v>41</v>
      </c>
      <c r="AC3431">
        <v>-113.90130000000001</v>
      </c>
      <c r="AD3431">
        <v>1.283115</v>
      </c>
      <c r="AE3431">
        <v>-20.732199999999899</v>
      </c>
      <c r="AF3431">
        <v>-20.6561287250153</v>
      </c>
      <c r="AG3431">
        <v>1.283115</v>
      </c>
      <c r="AH3431">
        <v>113.900669194765</v>
      </c>
      <c r="AI3431">
        <v>89.364936119983199</v>
      </c>
      <c r="AJ3431">
        <v>100.27899591979001</v>
      </c>
      <c r="AK3431">
        <v>115.765644649105</v>
      </c>
      <c r="AL3431">
        <v>77.148407321700304</v>
      </c>
      <c r="AM3431">
        <v>88.704535957140294</v>
      </c>
      <c r="AN3431">
        <v>1.00000003271646</v>
      </c>
    </row>
    <row r="3432" spans="1:40" x14ac:dyDescent="0.25">
      <c r="A3432" t="str">
        <f>"20190303170836248"</f>
        <v>20190303170836248</v>
      </c>
      <c r="B3432" t="str">
        <f>"1551604116236393"</f>
        <v>1551604116236393</v>
      </c>
      <c r="C3432" t="s">
        <v>40</v>
      </c>
      <c r="D3432">
        <v>4.7707860000000002</v>
      </c>
      <c r="E3432">
        <v>0.42635519999999999</v>
      </c>
      <c r="F3432" t="s">
        <v>95</v>
      </c>
      <c r="G3432">
        <v>-371.35239999999999</v>
      </c>
      <c r="H3432">
        <v>2.285787</v>
      </c>
      <c r="I3432">
        <v>119.99420000000001</v>
      </c>
      <c r="J3432">
        <v>-257.84559999999999</v>
      </c>
      <c r="K3432">
        <v>1.120269</v>
      </c>
      <c r="L3432">
        <v>140.63380000000001</v>
      </c>
      <c r="M3432">
        <v>-0.99996779999999996</v>
      </c>
      <c r="N3432">
        <v>-8.0137379999999994E-3</v>
      </c>
      <c r="O3432">
        <v>-6.4817559999999995E-4</v>
      </c>
      <c r="P3432">
        <v>-0.97656379999999998</v>
      </c>
      <c r="Q3432">
        <v>0.21408569999999999</v>
      </c>
      <c r="R3432">
        <v>2.215019E-2</v>
      </c>
      <c r="S3432">
        <v>-3.0776370000000002</v>
      </c>
      <c r="T3432">
        <v>3.1491760000000001E-2</v>
      </c>
      <c r="U3432">
        <v>-0.55769349999999995</v>
      </c>
      <c r="V3432">
        <v>2.2746019999999999E-2</v>
      </c>
      <c r="W3432">
        <v>0.22190860000000001</v>
      </c>
      <c r="X3432">
        <v>0.9748021</v>
      </c>
      <c r="Y3432">
        <v>-0.17766499999999999</v>
      </c>
      <c r="Z3432">
        <v>1.7223299999999999E-4</v>
      </c>
      <c r="AA3432">
        <v>0.98409100000000005</v>
      </c>
      <c r="AB3432">
        <v>41</v>
      </c>
      <c r="AC3432">
        <v>-113.5068</v>
      </c>
      <c r="AD3432">
        <v>1.1655180000000001</v>
      </c>
      <c r="AE3432">
        <v>-20.639600000000002</v>
      </c>
      <c r="AF3432">
        <v>-20.563922163654802</v>
      </c>
      <c r="AG3432">
        <v>1.1655180000000001</v>
      </c>
      <c r="AH3432">
        <v>113.508569681365</v>
      </c>
      <c r="AI3432">
        <v>89.421123906164993</v>
      </c>
      <c r="AJ3432">
        <v>100.26868479975801</v>
      </c>
      <c r="AK3432">
        <v>115.362163286194</v>
      </c>
      <c r="AL3432">
        <v>77.178840595938695</v>
      </c>
      <c r="AM3432">
        <v>88.663303562039403</v>
      </c>
      <c r="AN3432">
        <v>0.99999997117210404</v>
      </c>
    </row>
    <row r="3433" spans="1:40" x14ac:dyDescent="0.25">
      <c r="A3433" t="str">
        <f>"20190303170836272"</f>
        <v>20190303170836272</v>
      </c>
      <c r="B3433" t="str">
        <f>"1551604116266649"</f>
        <v>1551604116266649</v>
      </c>
      <c r="C3433" t="s">
        <v>40</v>
      </c>
      <c r="D3433">
        <v>4.7895669999999999</v>
      </c>
      <c r="E3433">
        <v>0.42583080000000001</v>
      </c>
      <c r="F3433" t="s">
        <v>95</v>
      </c>
      <c r="G3433">
        <v>-371.35239999999999</v>
      </c>
      <c r="H3433">
        <v>2.1996319999999998</v>
      </c>
      <c r="I3433">
        <v>120.0504</v>
      </c>
      <c r="J3433">
        <v>-258.28879999999998</v>
      </c>
      <c r="K3433">
        <v>1.120242</v>
      </c>
      <c r="L3433">
        <v>140.6335</v>
      </c>
      <c r="M3433">
        <v>-0.99996790000000002</v>
      </c>
      <c r="N3433">
        <v>-8.0043300000000005E-3</v>
      </c>
      <c r="O3433">
        <v>-6.2809550000000002E-4</v>
      </c>
      <c r="P3433">
        <v>-0.97656370000000003</v>
      </c>
      <c r="Q3433">
        <v>0.21397479999999999</v>
      </c>
      <c r="R3433">
        <v>2.3208079999999999E-2</v>
      </c>
      <c r="S3433">
        <v>-3.0782470000000002</v>
      </c>
      <c r="T3433">
        <v>2.927184E-2</v>
      </c>
      <c r="U3433">
        <v>-0.55821229999999999</v>
      </c>
      <c r="V3433">
        <v>2.3798159999999999E-2</v>
      </c>
      <c r="W3433">
        <v>0.22178719999999999</v>
      </c>
      <c r="X3433">
        <v>0.97480460000000002</v>
      </c>
      <c r="Y3433">
        <v>-0.17781179999999999</v>
      </c>
      <c r="Z3433">
        <v>1.10259E-4</v>
      </c>
      <c r="AA3433">
        <v>0.98406450000000001</v>
      </c>
      <c r="AB3433">
        <v>41</v>
      </c>
      <c r="AC3433">
        <v>-113.06359999999999</v>
      </c>
      <c r="AD3433">
        <v>1.0793899999999901</v>
      </c>
      <c r="AE3433">
        <v>-20.583100000000002</v>
      </c>
      <c r="AF3433">
        <v>-20.510269585601598</v>
      </c>
      <c r="AG3433">
        <v>1.0793899999999901</v>
      </c>
      <c r="AH3433">
        <v>113.066531895406</v>
      </c>
      <c r="AI3433">
        <v>89.461824668712495</v>
      </c>
      <c r="AJ3433">
        <v>100.28165177464101</v>
      </c>
      <c r="AK3433">
        <v>114.916825905091</v>
      </c>
      <c r="AL3433">
        <v>77.185973932467306</v>
      </c>
      <c r="AM3433">
        <v>88.601500923483201</v>
      </c>
      <c r="AN3433">
        <v>0.99999996134219205</v>
      </c>
    </row>
    <row r="3434" spans="1:40" x14ac:dyDescent="0.25">
      <c r="A3434" t="str">
        <f>"20190303170836291"</f>
        <v>20190303170836291</v>
      </c>
      <c r="B3434" t="str">
        <f>"1551604116276409"</f>
        <v>1551604116276409</v>
      </c>
      <c r="C3434" t="s">
        <v>40</v>
      </c>
      <c r="D3434">
        <v>4.7784550000000001</v>
      </c>
      <c r="E3434">
        <v>0.4256952</v>
      </c>
      <c r="F3434" t="s">
        <v>95</v>
      </c>
      <c r="G3434">
        <v>-371.35239999999999</v>
      </c>
      <c r="H3434">
        <v>2.185025</v>
      </c>
      <c r="I3434">
        <v>120.07689999999999</v>
      </c>
      <c r="J3434">
        <v>-258.65010000000001</v>
      </c>
      <c r="K3434">
        <v>1.120215</v>
      </c>
      <c r="L3434">
        <v>140.63329999999999</v>
      </c>
      <c r="M3434">
        <v>-0.99996799999999997</v>
      </c>
      <c r="N3434">
        <v>-7.9930850000000005E-3</v>
      </c>
      <c r="O3434">
        <v>-5.9228630000000002E-4</v>
      </c>
      <c r="P3434">
        <v>-0.97650289999999995</v>
      </c>
      <c r="Q3434">
        <v>0.2142491</v>
      </c>
      <c r="R3434">
        <v>2.322948E-2</v>
      </c>
      <c r="S3434">
        <v>-3.0789490000000002</v>
      </c>
      <c r="T3434">
        <v>2.8996230000000001E-2</v>
      </c>
      <c r="U3434">
        <v>-0.55979919999999905</v>
      </c>
      <c r="V3434">
        <v>2.3797619999999998E-2</v>
      </c>
      <c r="W3434">
        <v>0.22204850000000001</v>
      </c>
      <c r="X3434">
        <v>0.97474519999999998</v>
      </c>
      <c r="Y3434">
        <v>-0.1782987</v>
      </c>
      <c r="Z3434">
        <v>1.041131E-4</v>
      </c>
      <c r="AA3434">
        <v>0.98397639999999997</v>
      </c>
      <c r="AB3434">
        <v>42</v>
      </c>
      <c r="AC3434">
        <v>-112.702299999999</v>
      </c>
      <c r="AD3434">
        <v>1.06481</v>
      </c>
      <c r="AE3434">
        <v>-20.5564</v>
      </c>
      <c r="AF3434">
        <v>-20.487872285322702</v>
      </c>
      <c r="AG3434">
        <v>1.06481</v>
      </c>
      <c r="AH3434">
        <v>112.704719282814</v>
      </c>
      <c r="AI3434">
        <v>89.467425382927402</v>
      </c>
      <c r="AJ3434">
        <v>100.30292978684</v>
      </c>
      <c r="AK3434">
        <v>114.556712940507</v>
      </c>
      <c r="AL3434">
        <v>77.170620640265497</v>
      </c>
      <c r="AM3434">
        <v>88.601447456626303</v>
      </c>
      <c r="AN3434">
        <v>1.0000000339964701</v>
      </c>
    </row>
    <row r="3435" spans="1:40" x14ac:dyDescent="0.25">
      <c r="A3435" t="str">
        <f>"20190303170836313"</f>
        <v>20190303170836313</v>
      </c>
      <c r="B3435" t="str">
        <f>"1551604116306666"</f>
        <v>1551604116306666</v>
      </c>
      <c r="C3435" t="s">
        <v>40</v>
      </c>
      <c r="D3435">
        <v>4.7527589999999904</v>
      </c>
      <c r="E3435">
        <v>0.4251992</v>
      </c>
      <c r="F3435" t="s">
        <v>95</v>
      </c>
      <c r="G3435">
        <v>-371.35239999999999</v>
      </c>
      <c r="H3435">
        <v>2.2193369999999999</v>
      </c>
      <c r="I3435">
        <v>120.10380000000001</v>
      </c>
      <c r="J3435">
        <v>-259.07089999999999</v>
      </c>
      <c r="K3435">
        <v>1.120179</v>
      </c>
      <c r="L3435">
        <v>140.63310000000001</v>
      </c>
      <c r="M3435">
        <v>-0.99996810000000003</v>
      </c>
      <c r="N3435">
        <v>-7.9790429999999999E-3</v>
      </c>
      <c r="O3435">
        <v>-5.305501E-4</v>
      </c>
      <c r="P3435">
        <v>-0.97651299999999996</v>
      </c>
      <c r="Q3435">
        <v>0.21421789999999999</v>
      </c>
      <c r="R3435">
        <v>2.3097949999999999E-2</v>
      </c>
      <c r="S3435">
        <v>-3.0789490000000002</v>
      </c>
      <c r="T3435">
        <v>3.0027269999999998E-2</v>
      </c>
      <c r="U3435">
        <v>-0.56085209999999996</v>
      </c>
      <c r="V3435">
        <v>2.3621949999999999E-2</v>
      </c>
      <c r="W3435">
        <v>0.22200249999999999</v>
      </c>
      <c r="X3435">
        <v>0.97475990000000001</v>
      </c>
      <c r="Y3435">
        <v>-0.1786848</v>
      </c>
      <c r="Z3435">
        <v>1.361477E-4</v>
      </c>
      <c r="AA3435">
        <v>0.98390639999999996</v>
      </c>
      <c r="AB3435">
        <v>42</v>
      </c>
      <c r="AC3435">
        <v>-112.28149999999999</v>
      </c>
      <c r="AD3435">
        <v>1.0991580000000001</v>
      </c>
      <c r="AE3435">
        <v>-20.529299999999999</v>
      </c>
      <c r="AF3435">
        <v>-20.4678262642913</v>
      </c>
      <c r="AG3435">
        <v>1.0991580000000001</v>
      </c>
      <c r="AH3435">
        <v>112.281964394074</v>
      </c>
      <c r="AI3435">
        <v>89.448226375681301</v>
      </c>
      <c r="AJ3435">
        <v>100.33098623484599</v>
      </c>
      <c r="AK3435">
        <v>114.137546795462</v>
      </c>
      <c r="AL3435">
        <v>77.173323067836606</v>
      </c>
      <c r="AM3435">
        <v>88.611788206856701</v>
      </c>
      <c r="AN3435">
        <v>0.99999998458803097</v>
      </c>
    </row>
    <row r="3436" spans="1:40" x14ac:dyDescent="0.25">
      <c r="A3436" t="str">
        <f>"20190303170836335"</f>
        <v>20190303170836335</v>
      </c>
      <c r="B3436" t="str">
        <f>"1551604116327162"</f>
        <v>1551604116327162</v>
      </c>
      <c r="C3436" t="s">
        <v>40</v>
      </c>
      <c r="D3436">
        <v>4.7436119999999997</v>
      </c>
      <c r="E3436">
        <v>0.42495539999999998</v>
      </c>
      <c r="F3436" t="s">
        <v>95</v>
      </c>
      <c r="G3436">
        <v>-371.35239999999999</v>
      </c>
      <c r="H3436">
        <v>2.214906</v>
      </c>
      <c r="I3436">
        <v>120.02549999999999</v>
      </c>
      <c r="J3436">
        <v>-259.495</v>
      </c>
      <c r="K3436">
        <v>1.1201449999999999</v>
      </c>
      <c r="L3436">
        <v>140.63290000000001</v>
      </c>
      <c r="M3436">
        <v>-0.99996819999999997</v>
      </c>
      <c r="N3436">
        <v>-7.9667460000000002E-3</v>
      </c>
      <c r="O3436">
        <v>-4.4808620000000001E-4</v>
      </c>
      <c r="P3436">
        <v>-0.97645150000000003</v>
      </c>
      <c r="Q3436">
        <v>0.21457270000000001</v>
      </c>
      <c r="R3436">
        <v>2.239209E-2</v>
      </c>
      <c r="S3436">
        <v>-3.0789490000000002</v>
      </c>
      <c r="T3436">
        <v>3.0019279999999999E-2</v>
      </c>
      <c r="U3436">
        <v>-0.56509399999999999</v>
      </c>
      <c r="V3436">
        <v>2.2851360000000001E-2</v>
      </c>
      <c r="W3436">
        <v>0.22234280000000001</v>
      </c>
      <c r="X3436">
        <v>0.97470069999999998</v>
      </c>
      <c r="Y3436">
        <v>-0.1800774</v>
      </c>
      <c r="Z3436">
        <v>1.3942969999999999E-4</v>
      </c>
      <c r="AA3436">
        <v>0.98365239999999998</v>
      </c>
      <c r="AB3436">
        <v>42</v>
      </c>
      <c r="AC3436">
        <v>-111.857399999999</v>
      </c>
      <c r="AD3436">
        <v>1.0947610000000001</v>
      </c>
      <c r="AE3436">
        <v>-20.607399999999998</v>
      </c>
      <c r="AF3436">
        <v>-20.555370268981999</v>
      </c>
      <c r="AG3436">
        <v>1.0947610000000001</v>
      </c>
      <c r="AH3436">
        <v>111.85626022887</v>
      </c>
      <c r="AI3436">
        <v>89.448486311463</v>
      </c>
      <c r="AJ3436">
        <v>100.41283623225</v>
      </c>
      <c r="AK3436">
        <v>113.734536095818</v>
      </c>
      <c r="AL3436">
        <v>77.153325461473202</v>
      </c>
      <c r="AM3436">
        <v>88.656975743739494</v>
      </c>
      <c r="AN3436">
        <v>0.99999997997308898</v>
      </c>
    </row>
    <row r="3437" spans="1:40" x14ac:dyDescent="0.25">
      <c r="A3437" t="str">
        <f>"20190303170836359"</f>
        <v>20190303170836359</v>
      </c>
      <c r="B3437" t="str">
        <f>"1551604116346728"</f>
        <v>1551604116346728</v>
      </c>
      <c r="C3437" t="s">
        <v>40</v>
      </c>
      <c r="D3437">
        <v>4.7530409999999996</v>
      </c>
      <c r="E3437">
        <v>0.42480410000000002</v>
      </c>
      <c r="F3437" t="s">
        <v>95</v>
      </c>
      <c r="G3437">
        <v>-371.35239999999999</v>
      </c>
      <c r="H3437">
        <v>2.2477849999999999</v>
      </c>
      <c r="I3437">
        <v>119.9631</v>
      </c>
      <c r="J3437">
        <v>-259.91890000000001</v>
      </c>
      <c r="K3437">
        <v>1.1201110000000001</v>
      </c>
      <c r="L3437">
        <v>140.6328</v>
      </c>
      <c r="M3437">
        <v>-0.99996830000000003</v>
      </c>
      <c r="N3437">
        <v>-7.9571429999999999E-3</v>
      </c>
      <c r="O3437">
        <v>-3.4371800000000002E-4</v>
      </c>
      <c r="P3437">
        <v>-0.97630289999999997</v>
      </c>
      <c r="Q3437">
        <v>0.2152927</v>
      </c>
      <c r="R3437">
        <v>2.1951760000000001E-2</v>
      </c>
      <c r="S3437">
        <v>-3.0785520000000002</v>
      </c>
      <c r="T3437">
        <v>3.1035070000000001E-2</v>
      </c>
      <c r="U3437">
        <v>-0.568878199999999</v>
      </c>
      <c r="V3437">
        <v>2.2324050000000002E-2</v>
      </c>
      <c r="W3437">
        <v>0.22305079999999999</v>
      </c>
      <c r="X3437">
        <v>0.9745511</v>
      </c>
      <c r="Y3437">
        <v>-0.18137149999999999</v>
      </c>
      <c r="Z3437">
        <v>1.7269289999999999E-4</v>
      </c>
      <c r="AA3437">
        <v>0.98341460000000003</v>
      </c>
      <c r="AB3437">
        <v>42</v>
      </c>
      <c r="AC3437">
        <v>-111.433499999999</v>
      </c>
      <c r="AD3437">
        <v>1.1276739999999901</v>
      </c>
      <c r="AE3437">
        <v>-20.669699999999999</v>
      </c>
      <c r="AF3437">
        <v>-20.629353517615002</v>
      </c>
      <c r="AG3437">
        <v>1.1276739999999901</v>
      </c>
      <c r="AH3437">
        <v>111.429566427059</v>
      </c>
      <c r="AI3437">
        <v>89.429870479214998</v>
      </c>
      <c r="AJ3437">
        <v>100.48861774890101</v>
      </c>
      <c r="AK3437">
        <v>113.328681935896</v>
      </c>
      <c r="AL3437">
        <v>77.111714523073502</v>
      </c>
      <c r="AM3437">
        <v>88.687754604343695</v>
      </c>
      <c r="AN3437">
        <v>0.99999993455012404</v>
      </c>
    </row>
    <row r="3438" spans="1:40" x14ac:dyDescent="0.25">
      <c r="A3438" t="str">
        <f>"20190303170836380"</f>
        <v>20190303170836380</v>
      </c>
      <c r="B3438" t="str">
        <f>"1551604116367225"</f>
        <v>1551604116367225</v>
      </c>
      <c r="C3438" t="s">
        <v>40</v>
      </c>
      <c r="D3438">
        <v>4.7497699999999998</v>
      </c>
      <c r="E3438">
        <v>0.42459089999999999</v>
      </c>
      <c r="F3438" t="s">
        <v>95</v>
      </c>
      <c r="G3438">
        <v>-371.35239999999999</v>
      </c>
      <c r="H3438">
        <v>2.3296899999999998</v>
      </c>
      <c r="I3438">
        <v>119.9435</v>
      </c>
      <c r="J3438">
        <v>-260.33440000000002</v>
      </c>
      <c r="K3438">
        <v>1.120082</v>
      </c>
      <c r="L3438">
        <v>140.6328</v>
      </c>
      <c r="M3438">
        <v>-0.99996850000000004</v>
      </c>
      <c r="N3438">
        <v>-7.9502900000000005E-3</v>
      </c>
      <c r="O3438">
        <v>-2.1983530000000001E-4</v>
      </c>
      <c r="P3438">
        <v>-0.97626639999999998</v>
      </c>
      <c r="Q3438">
        <v>0.21548139999999999</v>
      </c>
      <c r="R3438">
        <v>2.172789E-2</v>
      </c>
      <c r="S3438">
        <v>-3.0783079999999998</v>
      </c>
      <c r="T3438">
        <v>3.3414239999999998E-2</v>
      </c>
      <c r="U3438">
        <v>-0.57153319999999996</v>
      </c>
      <c r="V3438">
        <v>2.199299E-2</v>
      </c>
      <c r="W3438">
        <v>0.2232316</v>
      </c>
      <c r="X3438">
        <v>0.97451730000000003</v>
      </c>
      <c r="Y3438">
        <v>-0.1823263</v>
      </c>
      <c r="Z3438">
        <v>2.4611130000000002E-4</v>
      </c>
      <c r="AA3438">
        <v>0.98323799999999995</v>
      </c>
      <c r="AB3438">
        <v>42</v>
      </c>
      <c r="AC3438">
        <v>-111.01799999999901</v>
      </c>
      <c r="AD3438">
        <v>1.209608</v>
      </c>
      <c r="AE3438">
        <v>-20.689299999999999</v>
      </c>
      <c r="AF3438">
        <v>-20.6625224536511</v>
      </c>
      <c r="AG3438">
        <v>1.209608</v>
      </c>
      <c r="AH3438">
        <v>111.00980958833399</v>
      </c>
      <c r="AI3438">
        <v>89.386247075062997</v>
      </c>
      <c r="AJ3438">
        <v>100.54394014696599</v>
      </c>
      <c r="AK3438">
        <v>112.922897635951</v>
      </c>
      <c r="AL3438">
        <v>77.101088400694096</v>
      </c>
      <c r="AM3438">
        <v>88.707163393050607</v>
      </c>
      <c r="AN3438">
        <v>1.0000000034234899</v>
      </c>
    </row>
    <row r="3439" spans="1:40" x14ac:dyDescent="0.25">
      <c r="A3439" t="str">
        <f>"20190303170836406"</f>
        <v>20190303170836406</v>
      </c>
      <c r="B3439" t="str">
        <f>"1551604116397480"</f>
        <v>1551604116397480</v>
      </c>
      <c r="C3439" t="s">
        <v>40</v>
      </c>
      <c r="D3439">
        <v>4.7259849999999997</v>
      </c>
      <c r="E3439">
        <v>0.42414940000000001</v>
      </c>
      <c r="F3439" t="s">
        <v>95</v>
      </c>
      <c r="G3439">
        <v>-371.35239999999999</v>
      </c>
      <c r="H3439">
        <v>2.3574630000000001</v>
      </c>
      <c r="I3439">
        <v>119.9324</v>
      </c>
      <c r="J3439">
        <v>-260.79469999999998</v>
      </c>
      <c r="K3439">
        <v>1.1200589999999999</v>
      </c>
      <c r="L3439">
        <v>140.6328</v>
      </c>
      <c r="M3439">
        <v>-0.99996850000000004</v>
      </c>
      <c r="N3439">
        <v>-7.9454859999999999E-3</v>
      </c>
      <c r="O3439" s="1">
        <v>-5.983501E-5</v>
      </c>
      <c r="P3439">
        <v>-0.97601709999999997</v>
      </c>
      <c r="Q3439">
        <v>0.2166073</v>
      </c>
      <c r="R3439">
        <v>2.1728529999999999E-2</v>
      </c>
      <c r="S3439">
        <v>-3.078125</v>
      </c>
      <c r="T3439">
        <v>3.4308079999999998E-2</v>
      </c>
      <c r="U3439">
        <v>-0.57394409999999996</v>
      </c>
      <c r="V3439">
        <v>2.185169E-2</v>
      </c>
      <c r="W3439">
        <v>0.22434879999999999</v>
      </c>
      <c r="X3439">
        <v>0.97426389999999996</v>
      </c>
      <c r="Y3439">
        <v>-0.18323800000000001</v>
      </c>
      <c r="Z3439">
        <v>2.7708239999999997E-4</v>
      </c>
      <c r="AA3439">
        <v>0.98306850000000001</v>
      </c>
      <c r="AB3439">
        <v>42</v>
      </c>
      <c r="AC3439">
        <v>-110.5577</v>
      </c>
      <c r="AD3439">
        <v>1.2374039999999999</v>
      </c>
      <c r="AE3439">
        <v>-20.700399999999998</v>
      </c>
      <c r="AF3439">
        <v>-20.691280339437899</v>
      </c>
      <c r="AG3439">
        <v>1.2374039999999999</v>
      </c>
      <c r="AH3439">
        <v>110.545559503278</v>
      </c>
      <c r="AI3439">
        <v>89.369626462732896</v>
      </c>
      <c r="AJ3439">
        <v>100.60162306065</v>
      </c>
      <c r="AK3439">
        <v>112.47213422282501</v>
      </c>
      <c r="AL3439">
        <v>77.035411953883695</v>
      </c>
      <c r="AM3439">
        <v>88.715132797510506</v>
      </c>
      <c r="AN3439">
        <v>1.00000001363025</v>
      </c>
    </row>
    <row r="3440" spans="1:40" x14ac:dyDescent="0.25">
      <c r="A3440" t="str">
        <f>"20190303170836429"</f>
        <v>20190303170836429</v>
      </c>
      <c r="B3440" t="str">
        <f>"1551604116417000"</f>
        <v>1551604116417000</v>
      </c>
      <c r="C3440" t="s">
        <v>40</v>
      </c>
      <c r="D3440">
        <v>4.8377829999999999</v>
      </c>
      <c r="E3440">
        <v>0.42413679999999898</v>
      </c>
      <c r="F3440" t="s">
        <v>95</v>
      </c>
      <c r="G3440">
        <v>-371.35239999999999</v>
      </c>
      <c r="H3440">
        <v>2.5124460000000002</v>
      </c>
      <c r="I3440">
        <v>119.8912</v>
      </c>
      <c r="J3440">
        <v>-261.24489999999997</v>
      </c>
      <c r="K3440">
        <v>1.1200410000000001</v>
      </c>
      <c r="L3440">
        <v>140.63290000000001</v>
      </c>
      <c r="M3440">
        <v>-0.99996859999999999</v>
      </c>
      <c r="N3440">
        <v>-7.9434750000000002E-3</v>
      </c>
      <c r="O3440">
        <v>1.1675680000000001E-4</v>
      </c>
      <c r="P3440">
        <v>-0.97580529999999999</v>
      </c>
      <c r="Q3440">
        <v>0.21748120000000001</v>
      </c>
      <c r="R3440">
        <v>2.250079E-2</v>
      </c>
      <c r="S3440">
        <v>-3.0779719999999999</v>
      </c>
      <c r="T3440">
        <v>3.8764720000000003E-2</v>
      </c>
      <c r="U3440">
        <v>-0.57745360000000001</v>
      </c>
      <c r="V3440">
        <v>2.24648E-2</v>
      </c>
      <c r="W3440">
        <v>0.22521769999999999</v>
      </c>
      <c r="X3440">
        <v>0.97404939999999995</v>
      </c>
      <c r="Y3440">
        <v>-0.1845012</v>
      </c>
      <c r="Z3440">
        <v>4.1496250000000001E-4</v>
      </c>
      <c r="AA3440">
        <v>0.98283220000000004</v>
      </c>
      <c r="AB3440">
        <v>42</v>
      </c>
      <c r="AC3440">
        <v>-110.1075</v>
      </c>
      <c r="AD3440">
        <v>1.3924049999999899</v>
      </c>
      <c r="AE3440">
        <v>-20.741700000000002</v>
      </c>
      <c r="AF3440">
        <v>-20.751351271628302</v>
      </c>
      <c r="AG3440">
        <v>1.3924049999999899</v>
      </c>
      <c r="AH3440">
        <v>110.08807569512599</v>
      </c>
      <c r="AI3440">
        <v>89.287895173486405</v>
      </c>
      <c r="AJ3440">
        <v>100.67486897023301</v>
      </c>
      <c r="AK3440">
        <v>112.035448771977</v>
      </c>
      <c r="AL3440">
        <v>76.984319393921595</v>
      </c>
      <c r="AM3440">
        <v>88.678804089513406</v>
      </c>
      <c r="AN3440">
        <v>0.999999956636344</v>
      </c>
    </row>
    <row r="3441" spans="1:40" x14ac:dyDescent="0.25">
      <c r="A3441" t="str">
        <f>"20190303170836451"</f>
        <v>20190303170836451</v>
      </c>
      <c r="B3441" t="str">
        <f>"1551604116447257"</f>
        <v>1551604116447257</v>
      </c>
      <c r="C3441" t="s">
        <v>40</v>
      </c>
      <c r="D3441">
        <v>4.7064370000000002</v>
      </c>
      <c r="E3441">
        <v>0.46962890000000002</v>
      </c>
      <c r="F3441" t="s">
        <v>95</v>
      </c>
      <c r="G3441">
        <v>-371.35239999999999</v>
      </c>
      <c r="H3441">
        <v>2.6019160000000001</v>
      </c>
      <c r="I3441">
        <v>120.0476</v>
      </c>
      <c r="J3441">
        <v>-261.65809999999999</v>
      </c>
      <c r="K3441">
        <v>1.120023</v>
      </c>
      <c r="L3441">
        <v>140.63310000000001</v>
      </c>
      <c r="M3441">
        <v>-0.99996850000000004</v>
      </c>
      <c r="N3441">
        <v>-7.9438410000000001E-3</v>
      </c>
      <c r="O3441">
        <v>2.9592790000000001E-4</v>
      </c>
      <c r="P3441">
        <v>-0.97567269999999995</v>
      </c>
      <c r="Q3441">
        <v>0.2179458</v>
      </c>
      <c r="R3441">
        <v>2.3712489999999999E-2</v>
      </c>
      <c r="S3441">
        <v>-3.07843</v>
      </c>
      <c r="T3441">
        <v>4.1430950000000001E-2</v>
      </c>
      <c r="U3441">
        <v>-0.57553100000000001</v>
      </c>
      <c r="V3441">
        <v>2.3512559999999998E-2</v>
      </c>
      <c r="W3441">
        <v>0.2256804</v>
      </c>
      <c r="X3441">
        <v>0.97391760000000005</v>
      </c>
      <c r="Y3441">
        <v>-0.18405640000000001</v>
      </c>
      <c r="Z3441">
        <v>4.9678519999999998E-4</v>
      </c>
      <c r="AA3441">
        <v>0.9829156</v>
      </c>
      <c r="AB3441">
        <v>42</v>
      </c>
      <c r="AC3441">
        <v>-109.6943</v>
      </c>
      <c r="AD3441">
        <v>1.4818929999999999</v>
      </c>
      <c r="AE3441">
        <v>-20.5855</v>
      </c>
      <c r="AF3441">
        <v>-20.6143275700556</v>
      </c>
      <c r="AG3441">
        <v>1.4818929999999999</v>
      </c>
      <c r="AH3441">
        <v>109.668869370455</v>
      </c>
      <c r="AI3441">
        <v>89.239164605098196</v>
      </c>
      <c r="AJ3441">
        <v>100.6456020042</v>
      </c>
      <c r="AK3441">
        <v>111.599316382417</v>
      </c>
      <c r="AL3441">
        <v>76.957108488557395</v>
      </c>
      <c r="AM3441">
        <v>88.617019742620101</v>
      </c>
      <c r="AN3441">
        <v>0.99999998750583596</v>
      </c>
    </row>
    <row r="3442" spans="1:40" x14ac:dyDescent="0.25">
      <c r="A3442" t="str">
        <f>"20190303170836471"</f>
        <v>20190303170836471</v>
      </c>
      <c r="B3442" t="str">
        <f>"1551604116457017"</f>
        <v>1551604116457017</v>
      </c>
      <c r="C3442" t="s">
        <v>40</v>
      </c>
      <c r="D3442">
        <v>4.666029</v>
      </c>
      <c r="E3442">
        <v>0.47226879999999999</v>
      </c>
      <c r="F3442" t="s">
        <v>59</v>
      </c>
      <c r="G3442">
        <v>-489.76310000000001</v>
      </c>
      <c r="H3442">
        <v>7.9986559999999998E-2</v>
      </c>
      <c r="I3442">
        <v>124.97029999999999</v>
      </c>
      <c r="J3442">
        <v>-262.0401</v>
      </c>
      <c r="K3442">
        <v>1.1200129999999999</v>
      </c>
      <c r="L3442">
        <v>140.63329999999999</v>
      </c>
      <c r="M3442">
        <v>-0.99996850000000004</v>
      </c>
      <c r="N3442">
        <v>-7.9458789999999994E-3</v>
      </c>
      <c r="O3442">
        <v>4.7136690000000001E-4</v>
      </c>
      <c r="P3442">
        <v>-0.97547260000000002</v>
      </c>
      <c r="Q3442">
        <v>0.2187588</v>
      </c>
      <c r="R3442">
        <v>2.4459669999999999E-2</v>
      </c>
      <c r="S3442">
        <v>-3.0830989999999998</v>
      </c>
      <c r="T3442">
        <v>-1.405728E-2</v>
      </c>
      <c r="U3442">
        <v>-0.21170040000000001</v>
      </c>
      <c r="V3442">
        <v>2.409822E-2</v>
      </c>
      <c r="W3442">
        <v>0.22649279999999999</v>
      </c>
      <c r="X3442">
        <v>0.97371470000000004</v>
      </c>
      <c r="Y3442">
        <v>-6.8971820000000003E-2</v>
      </c>
      <c r="Z3442">
        <v>-4.2980839999999998E-4</v>
      </c>
      <c r="AA3442">
        <v>0.99761849999999996</v>
      </c>
      <c r="AB3442">
        <v>42</v>
      </c>
      <c r="AC3442">
        <v>-227.72299999999899</v>
      </c>
      <c r="AD3442">
        <v>-1.0400264400000001</v>
      </c>
      <c r="AE3442">
        <v>-15.662999999999901</v>
      </c>
      <c r="AF3442">
        <v>-15.770015329896699</v>
      </c>
      <c r="AG3442">
        <v>-1.0400264400000001</v>
      </c>
      <c r="AH3442">
        <v>227.71086419375399</v>
      </c>
      <c r="AI3442">
        <v>90.261060559899803</v>
      </c>
      <c r="AJ3442">
        <v>93.961668342392201</v>
      </c>
      <c r="AK3442">
        <v>228.25865308979499</v>
      </c>
      <c r="AL3442">
        <v>76.909324488432503</v>
      </c>
      <c r="AM3442">
        <v>88.582290577727704</v>
      </c>
      <c r="AN3442">
        <v>1.0000000148275401</v>
      </c>
    </row>
    <row r="3443" spans="1:40" x14ac:dyDescent="0.25">
      <c r="A3443" t="str">
        <f>"20190303170836493"</f>
        <v>20190303170836493</v>
      </c>
      <c r="B3443" t="str">
        <f>"1551604116486297"</f>
        <v>1551604116486297</v>
      </c>
      <c r="C3443" t="s">
        <v>40</v>
      </c>
      <c r="D3443">
        <v>4.6757140000000001</v>
      </c>
      <c r="E3443">
        <v>0.47616510000000001</v>
      </c>
      <c r="F3443" t="s">
        <v>49</v>
      </c>
      <c r="G3443">
        <v>-666.48080000000004</v>
      </c>
      <c r="H3443">
        <v>-0.1</v>
      </c>
      <c r="I3443">
        <v>115.9121</v>
      </c>
      <c r="J3443">
        <v>-262.45339999999999</v>
      </c>
      <c r="K3443">
        <v>1.119996</v>
      </c>
      <c r="L3443">
        <v>140.6337</v>
      </c>
      <c r="M3443">
        <v>-0.99996830000000003</v>
      </c>
      <c r="N3443">
        <v>-7.9504299999999997E-3</v>
      </c>
      <c r="O3443">
        <v>6.7308739999999998E-4</v>
      </c>
      <c r="P3443">
        <v>-0.97544090000000006</v>
      </c>
      <c r="Q3443">
        <v>0.2188292</v>
      </c>
      <c r="R3443">
        <v>2.5078880000000001E-2</v>
      </c>
      <c r="S3443">
        <v>-3.0822449999999999</v>
      </c>
      <c r="T3443">
        <v>-9.2977289999999994E-3</v>
      </c>
      <c r="U3443">
        <v>-0.18840029999999999</v>
      </c>
      <c r="V3443">
        <v>2.453027E-2</v>
      </c>
      <c r="W3443">
        <v>0.22656580000000001</v>
      </c>
      <c r="X3443">
        <v>0.97368690000000002</v>
      </c>
      <c r="Y3443">
        <v>-6.1681310000000003E-2</v>
      </c>
      <c r="Z3443">
        <v>-3.350583E-4</v>
      </c>
      <c r="AA3443">
        <v>0.99809579999999998</v>
      </c>
      <c r="AB3443">
        <v>42</v>
      </c>
      <c r="AC3443">
        <v>-404.0274</v>
      </c>
      <c r="AD3443">
        <v>-1.2199959999999901</v>
      </c>
      <c r="AE3443">
        <v>-24.721599999999999</v>
      </c>
      <c r="AF3443">
        <v>-24.993321674393499</v>
      </c>
      <c r="AG3443">
        <v>-1.2199959999999901</v>
      </c>
      <c r="AH3443">
        <v>404.00699819319999</v>
      </c>
      <c r="AI3443">
        <v>90.1726876889268</v>
      </c>
      <c r="AJ3443">
        <v>93.540010986684294</v>
      </c>
      <c r="AK3443">
        <v>404.781186701705</v>
      </c>
      <c r="AL3443">
        <v>76.905029901980001</v>
      </c>
      <c r="AM3443">
        <v>88.556842345016094</v>
      </c>
      <c r="AN3443">
        <v>0.99999998755376096</v>
      </c>
    </row>
    <row r="3444" spans="1:40" x14ac:dyDescent="0.25">
      <c r="A3444" t="str">
        <f>"20190303170836515"</f>
        <v>20190303170836515</v>
      </c>
      <c r="B3444" t="str">
        <f>"1551604116506793"</f>
        <v>1551604116506793</v>
      </c>
      <c r="C3444" t="s">
        <v>40</v>
      </c>
      <c r="D3444">
        <v>4.6410210000000003</v>
      </c>
      <c r="E3444">
        <v>0.47719909999999999</v>
      </c>
      <c r="F3444" t="s">
        <v>41</v>
      </c>
      <c r="G3444">
        <v>-500.53109999999998</v>
      </c>
      <c r="H3444">
        <v>0.38142340000000002</v>
      </c>
      <c r="I3444">
        <v>128.60810000000001</v>
      </c>
      <c r="J3444">
        <v>-262.88490000000002</v>
      </c>
      <c r="K3444">
        <v>1.119982</v>
      </c>
      <c r="L3444">
        <v>140.63409999999999</v>
      </c>
      <c r="M3444">
        <v>-0.99996790000000002</v>
      </c>
      <c r="N3444">
        <v>-7.9613469999999902E-3</v>
      </c>
      <c r="O3444">
        <v>8.9803910000000003E-4</v>
      </c>
      <c r="P3444">
        <v>-0.97546270000000002</v>
      </c>
      <c r="Q3444">
        <v>0.21863949999999999</v>
      </c>
      <c r="R3444">
        <v>2.5875860000000001E-2</v>
      </c>
      <c r="S3444">
        <v>-3.0816349999999999</v>
      </c>
      <c r="T3444">
        <v>-9.5595119999999992E-3</v>
      </c>
      <c r="U3444">
        <v>-0.15565489999999901</v>
      </c>
      <c r="V3444">
        <v>2.511797E-2</v>
      </c>
      <c r="W3444">
        <v>0.226386</v>
      </c>
      <c r="X3444">
        <v>0.97371379999999996</v>
      </c>
      <c r="Y3444">
        <v>-5.1342199999999998E-2</v>
      </c>
      <c r="Z3444">
        <v>-2.797338E-4</v>
      </c>
      <c r="AA3444">
        <v>0.99868109999999999</v>
      </c>
      <c r="AB3444">
        <v>42</v>
      </c>
      <c r="AC3444">
        <v>-237.64619999999999</v>
      </c>
      <c r="AD3444">
        <v>-0.73855859999999995</v>
      </c>
      <c r="AE3444">
        <v>-12.0259999999999</v>
      </c>
      <c r="AF3444">
        <v>-12.2392995838098</v>
      </c>
      <c r="AG3444">
        <v>-0.73855859999999995</v>
      </c>
      <c r="AH3444">
        <v>237.633014697644</v>
      </c>
      <c r="AI3444">
        <v>90.177837826026902</v>
      </c>
      <c r="AJ3444">
        <v>92.948416499994707</v>
      </c>
      <c r="AK3444">
        <v>237.94914498144101</v>
      </c>
      <c r="AL3444">
        <v>76.915607313827294</v>
      </c>
      <c r="AM3444">
        <v>88.522322907739905</v>
      </c>
      <c r="AN3444">
        <v>1.00000004886167</v>
      </c>
    </row>
    <row r="3445" spans="1:40" x14ac:dyDescent="0.25">
      <c r="A3445" t="str">
        <f>"20190303170836538"</f>
        <v>20190303170836538</v>
      </c>
      <c r="B3445" t="str">
        <f>"1551604116526313"</f>
        <v>1551604116526313</v>
      </c>
      <c r="C3445" t="s">
        <v>40</v>
      </c>
      <c r="D3445">
        <v>4.617686</v>
      </c>
      <c r="E3445">
        <v>0.47799069999999999</v>
      </c>
      <c r="F3445" t="s">
        <v>49</v>
      </c>
      <c r="G3445">
        <v>-688.88170000000002</v>
      </c>
      <c r="H3445">
        <v>-0.1</v>
      </c>
      <c r="I3445">
        <v>120.7239</v>
      </c>
      <c r="J3445">
        <v>-263.3143</v>
      </c>
      <c r="K3445">
        <v>1.119966</v>
      </c>
      <c r="L3445">
        <v>140.63470000000001</v>
      </c>
      <c r="M3445">
        <v>-0.99996759999999996</v>
      </c>
      <c r="N3445">
        <v>-7.9801209999999997E-3</v>
      </c>
      <c r="O3445">
        <v>1.1385919999999999E-3</v>
      </c>
      <c r="P3445">
        <v>-0.97527949999999997</v>
      </c>
      <c r="Q3445">
        <v>0.21940200000000001</v>
      </c>
      <c r="R3445">
        <v>2.6321319999999999E-2</v>
      </c>
      <c r="S3445">
        <v>-3.0812680000000001</v>
      </c>
      <c r="T3445">
        <v>-8.8242289999999994E-3</v>
      </c>
      <c r="U3445">
        <v>-0.14401249999999999</v>
      </c>
      <c r="V3445">
        <v>2.5340410000000001E-2</v>
      </c>
      <c r="W3445">
        <v>0.22716339999999999</v>
      </c>
      <c r="X3445">
        <v>0.97352689999999997</v>
      </c>
      <c r="Y3445">
        <v>-4.7823690000000002E-2</v>
      </c>
      <c r="Z3445">
        <v>-2.5354769999999998E-4</v>
      </c>
      <c r="AA3445">
        <v>0.99885579999999996</v>
      </c>
      <c r="AB3445">
        <v>42</v>
      </c>
      <c r="AC3445">
        <v>-425.56740000000002</v>
      </c>
      <c r="AD3445">
        <v>-1.2199659999999899</v>
      </c>
      <c r="AE3445">
        <v>-19.910799999999998</v>
      </c>
      <c r="AF3445">
        <v>-20.395182877237701</v>
      </c>
      <c r="AG3445">
        <v>-1.2199659999999899</v>
      </c>
      <c r="AH3445">
        <v>425.540963735964</v>
      </c>
      <c r="AI3445">
        <v>90.164070148575703</v>
      </c>
      <c r="AJ3445">
        <v>92.743952950407206</v>
      </c>
      <c r="AK3445">
        <v>426.03117681570001</v>
      </c>
      <c r="AL3445">
        <v>76.869873257380405</v>
      </c>
      <c r="AM3445">
        <v>88.508956687667407</v>
      </c>
      <c r="AN3445">
        <v>0.99999998585106897</v>
      </c>
    </row>
    <row r="3446" spans="1:40" x14ac:dyDescent="0.25">
      <c r="A3446" t="str">
        <f>"20190303170836560"</f>
        <v>20190303170836560</v>
      </c>
      <c r="B3446" t="str">
        <f>"1551604116556569"</f>
        <v>1551604116556569</v>
      </c>
      <c r="C3446" t="s">
        <v>40</v>
      </c>
      <c r="D3446">
        <v>4.696434</v>
      </c>
      <c r="E3446">
        <v>0.47875020000000001</v>
      </c>
      <c r="F3446" t="s">
        <v>49</v>
      </c>
      <c r="G3446">
        <v>-854.54150000000004</v>
      </c>
      <c r="H3446">
        <v>-0.1</v>
      </c>
      <c r="I3446">
        <v>114.3745</v>
      </c>
      <c r="J3446">
        <v>-263.72669999999999</v>
      </c>
      <c r="K3446">
        <v>1.1199520000000001</v>
      </c>
      <c r="L3446">
        <v>140.6353</v>
      </c>
      <c r="M3446">
        <v>-0.99996700000000005</v>
      </c>
      <c r="N3446">
        <v>-8.0029630000000001E-3</v>
      </c>
      <c r="O3446">
        <v>1.386347E-3</v>
      </c>
      <c r="P3446">
        <v>-0.97501990000000005</v>
      </c>
      <c r="Q3446">
        <v>0.22057170000000001</v>
      </c>
      <c r="R3446">
        <v>2.6161920000000002E-2</v>
      </c>
      <c r="S3446">
        <v>-3.081207</v>
      </c>
      <c r="T3446">
        <v>-6.3579079999999998E-3</v>
      </c>
      <c r="U3446">
        <v>-0.13685610000000001</v>
      </c>
      <c r="V3446">
        <v>2.4951930000000001E-2</v>
      </c>
      <c r="W3446">
        <v>0.22835250000000001</v>
      </c>
      <c r="X3446">
        <v>0.97325870000000003</v>
      </c>
      <c r="Y3446">
        <v>-4.5757119999999998E-2</v>
      </c>
      <c r="Z3446">
        <v>-2.2214549999999999E-4</v>
      </c>
      <c r="AA3446">
        <v>0.99895259999999997</v>
      </c>
      <c r="AB3446">
        <v>43</v>
      </c>
      <c r="AC3446">
        <v>-590.81479999999999</v>
      </c>
      <c r="AD3446">
        <v>-1.2199519999999999</v>
      </c>
      <c r="AE3446">
        <v>-26.2608</v>
      </c>
      <c r="AF3446">
        <v>-27.079760099701598</v>
      </c>
      <c r="AG3446">
        <v>-1.2199519999999999</v>
      </c>
      <c r="AH3446">
        <v>590.77531055542295</v>
      </c>
      <c r="AI3446">
        <v>90.118191611736904</v>
      </c>
      <c r="AJ3446">
        <v>92.624467628275497</v>
      </c>
      <c r="AK3446">
        <v>591.39687964327004</v>
      </c>
      <c r="AL3446">
        <v>76.799903812406995</v>
      </c>
      <c r="AM3446">
        <v>88.5314005643136</v>
      </c>
      <c r="AN3446">
        <v>0.99999998009633195</v>
      </c>
    </row>
    <row r="3447" spans="1:40" x14ac:dyDescent="0.25">
      <c r="A3447" t="str">
        <f>"20190303170836605"</f>
        <v>20190303170836605</v>
      </c>
      <c r="B3447" t="str">
        <f>"1551604116596584"</f>
        <v>1551604116596584</v>
      </c>
      <c r="C3447" t="s">
        <v>40</v>
      </c>
      <c r="D3447">
        <v>4.6032149999999996</v>
      </c>
      <c r="E3447">
        <v>0.47978850000000001</v>
      </c>
      <c r="F3447" t="s">
        <v>45</v>
      </c>
      <c r="G3447">
        <v>0</v>
      </c>
      <c r="H3447">
        <v>0</v>
      </c>
      <c r="I3447">
        <v>0</v>
      </c>
      <c r="J3447">
        <v>-264.58920000000001</v>
      </c>
      <c r="K3447">
        <v>1.1198939999999999</v>
      </c>
      <c r="L3447">
        <v>140.6371</v>
      </c>
      <c r="M3447">
        <v>-0.99996569999999996</v>
      </c>
      <c r="N3447">
        <v>-8.0573989999999998E-3</v>
      </c>
      <c r="O3447">
        <v>1.9614329999999998E-3</v>
      </c>
      <c r="P3447">
        <v>-0.97517509999999996</v>
      </c>
      <c r="Q3447">
        <v>0.21999350000000001</v>
      </c>
      <c r="R3447">
        <v>2.5230889999999999E-2</v>
      </c>
      <c r="S3447">
        <v>-3.0806580000000001</v>
      </c>
      <c r="T3447">
        <v>-1.07646E-3</v>
      </c>
      <c r="U3447">
        <v>-0.13212589999999999</v>
      </c>
      <c r="V3447">
        <v>2.34848E-2</v>
      </c>
      <c r="W3447">
        <v>0.227827</v>
      </c>
      <c r="X3447">
        <v>0.97341840000000002</v>
      </c>
      <c r="Y3447">
        <v>-4.4808939999999998E-2</v>
      </c>
      <c r="Z3447">
        <v>-1.7332099999999999E-4</v>
      </c>
      <c r="AA3447">
        <v>0.99899550000000004</v>
      </c>
      <c r="AB3447">
        <v>43</v>
      </c>
      <c r="AC3447">
        <v>-3.0806580000000001</v>
      </c>
      <c r="AD3447">
        <v>-1.07646E-3</v>
      </c>
      <c r="AE3447">
        <v>-0.13212589999999999</v>
      </c>
      <c r="AF3447">
        <v>-0.13816832888885799</v>
      </c>
      <c r="AG3447">
        <v>-1.07646E-3</v>
      </c>
      <c r="AH3447">
        <v>3.0803925337162799</v>
      </c>
      <c r="AI3447">
        <v>90.020002211316594</v>
      </c>
      <c r="AJ3447">
        <v>92.568230962664501</v>
      </c>
      <c r="AK3447">
        <v>3.0834898747440498</v>
      </c>
      <c r="AL3447">
        <v>76.830828564917198</v>
      </c>
      <c r="AM3447">
        <v>88.617943794467493</v>
      </c>
      <c r="AN3447">
        <v>1.0000000296092899</v>
      </c>
    </row>
    <row r="3448" spans="1:40" x14ac:dyDescent="0.25">
      <c r="A3448" t="str">
        <f>"20190303170836627"</f>
        <v>20190303170836627</v>
      </c>
      <c r="B3448" t="str">
        <f>"1551604116617081"</f>
        <v>1551604116617081</v>
      </c>
      <c r="C3448" t="s">
        <v>40</v>
      </c>
      <c r="D3448">
        <v>4.6016839999999997</v>
      </c>
      <c r="E3448">
        <v>0.48030889999999998</v>
      </c>
      <c r="F3448" t="s">
        <v>45</v>
      </c>
      <c r="G3448">
        <v>0</v>
      </c>
      <c r="H3448">
        <v>0</v>
      </c>
      <c r="I3448">
        <v>0</v>
      </c>
      <c r="J3448">
        <v>-265.01479999999998</v>
      </c>
      <c r="K3448">
        <v>1.1198589999999999</v>
      </c>
      <c r="L3448">
        <v>140.63810000000001</v>
      </c>
      <c r="M3448">
        <v>-0.99996479999999999</v>
      </c>
      <c r="N3448">
        <v>-8.0887909999999997E-3</v>
      </c>
      <c r="O3448">
        <v>2.2744380000000002E-3</v>
      </c>
      <c r="P3448">
        <v>-0.97537870000000004</v>
      </c>
      <c r="Q3448">
        <v>0.21901870000000001</v>
      </c>
      <c r="R3448">
        <v>2.5831570000000002E-2</v>
      </c>
      <c r="S3448">
        <v>-3.0803829999999999</v>
      </c>
      <c r="T3448">
        <v>-3.2285450000000002E-3</v>
      </c>
      <c r="U3448">
        <v>-0.1264496</v>
      </c>
      <c r="V3448">
        <v>2.3791469999999999E-2</v>
      </c>
      <c r="W3448">
        <v>0.2268829</v>
      </c>
      <c r="X3448">
        <v>0.97363140000000004</v>
      </c>
      <c r="Y3448">
        <v>-4.3287640000000002E-2</v>
      </c>
      <c r="Z3448">
        <v>-1.8181760000000001E-4</v>
      </c>
      <c r="AA3448">
        <v>0.99906269999999997</v>
      </c>
      <c r="AB3448">
        <v>43</v>
      </c>
      <c r="AC3448">
        <v>-3.0803829999999999</v>
      </c>
      <c r="AD3448">
        <v>-3.2285450000000002E-3</v>
      </c>
      <c r="AE3448">
        <v>-0.1264496</v>
      </c>
      <c r="AF3448">
        <v>-0.133455495207491</v>
      </c>
      <c r="AG3448">
        <v>-3.2285450000000002E-3</v>
      </c>
      <c r="AH3448">
        <v>3.0800840429859599</v>
      </c>
      <c r="AI3448">
        <v>90.060001135501196</v>
      </c>
      <c r="AJ3448">
        <v>92.480989759920803</v>
      </c>
      <c r="AK3448">
        <v>3.0829755925989102</v>
      </c>
      <c r="AL3448">
        <v>76.886375715733394</v>
      </c>
      <c r="AM3448">
        <v>88.600209894460505</v>
      </c>
      <c r="AN3448">
        <v>0.99999999371156501</v>
      </c>
    </row>
    <row r="3449" spans="1:40" x14ac:dyDescent="0.25">
      <c r="A3449" t="str">
        <f>"20190303170836650"</f>
        <v>20190303170836650</v>
      </c>
      <c r="B3449" t="str">
        <f>"1551604116646361"</f>
        <v>1551604116646361</v>
      </c>
      <c r="C3449" t="s">
        <v>40</v>
      </c>
      <c r="D3449">
        <v>4.6121410000000003</v>
      </c>
      <c r="E3449">
        <v>0.48083530000000002</v>
      </c>
      <c r="F3449" t="s">
        <v>49</v>
      </c>
      <c r="G3449">
        <v>-995.30520000000001</v>
      </c>
      <c r="H3449">
        <v>-0.1</v>
      </c>
      <c r="I3449">
        <v>111.9264</v>
      </c>
      <c r="J3449">
        <v>-265.43700000000001</v>
      </c>
      <c r="K3449">
        <v>1.1198399999999999</v>
      </c>
      <c r="L3449">
        <v>140.63929999999999</v>
      </c>
      <c r="M3449">
        <v>-0.99996359999999995</v>
      </c>
      <c r="N3449">
        <v>-8.1241890000000004E-3</v>
      </c>
      <c r="O3449">
        <v>2.604711E-3</v>
      </c>
      <c r="P3449">
        <v>-0.97541299999999997</v>
      </c>
      <c r="Q3449">
        <v>0.2187722</v>
      </c>
      <c r="R3449">
        <v>2.6613060000000001E-2</v>
      </c>
      <c r="S3449">
        <v>-3.0800480000000001</v>
      </c>
      <c r="T3449">
        <v>-5.1448350000000004E-3</v>
      </c>
      <c r="U3449">
        <v>-0.1210938</v>
      </c>
      <c r="V3449">
        <v>2.4262880000000001E-2</v>
      </c>
      <c r="W3449">
        <v>0.2266698</v>
      </c>
      <c r="X3449">
        <v>0.97366940000000002</v>
      </c>
      <c r="Y3449">
        <v>-4.188745E-2</v>
      </c>
      <c r="Z3449">
        <v>-1.883864E-4</v>
      </c>
      <c r="AA3449">
        <v>0.99912230000000002</v>
      </c>
      <c r="AB3449">
        <v>43</v>
      </c>
      <c r="AC3449">
        <v>-729.8682</v>
      </c>
      <c r="AD3449">
        <v>-1.21984</v>
      </c>
      <c r="AE3449">
        <v>-28.712899999999902</v>
      </c>
      <c r="AF3449">
        <v>-30.613875692144902</v>
      </c>
      <c r="AG3449">
        <v>-1.21984</v>
      </c>
      <c r="AH3449">
        <v>729.78889728876698</v>
      </c>
      <c r="AI3449">
        <v>90.095685485721702</v>
      </c>
      <c r="AJ3449">
        <v>92.402089275474196</v>
      </c>
      <c r="AK3449">
        <v>730.43174356025497</v>
      </c>
      <c r="AL3449">
        <v>76.898912048525304</v>
      </c>
      <c r="AM3449">
        <v>88.572541165840306</v>
      </c>
      <c r="AN3449">
        <v>0.99999999303714704</v>
      </c>
    </row>
    <row r="3450" spans="1:40" x14ac:dyDescent="0.25">
      <c r="A3450" t="str">
        <f>"20190303170836670"</f>
        <v>20190303170836670</v>
      </c>
      <c r="B3450" t="str">
        <f>"1551604116666858"</f>
        <v>1551604116666858</v>
      </c>
      <c r="C3450" t="s">
        <v>40</v>
      </c>
      <c r="D3450">
        <v>4.5813309999999996</v>
      </c>
      <c r="E3450">
        <v>0.48100100000000001</v>
      </c>
      <c r="F3450" t="s">
        <v>49</v>
      </c>
      <c r="G3450">
        <v>-1075.643</v>
      </c>
      <c r="H3450">
        <v>-0.1</v>
      </c>
      <c r="I3450">
        <v>110.3484</v>
      </c>
      <c r="J3450">
        <v>-265.83730000000003</v>
      </c>
      <c r="K3450">
        <v>1.1198189999999999</v>
      </c>
      <c r="L3450">
        <v>140.64060000000001</v>
      </c>
      <c r="M3450">
        <v>-0.99996260000000003</v>
      </c>
      <c r="N3450">
        <v>-8.1606619999999904E-3</v>
      </c>
      <c r="O3450">
        <v>2.9370569999999999E-3</v>
      </c>
      <c r="P3450">
        <v>-0.97544969999999998</v>
      </c>
      <c r="Q3450">
        <v>0.2184461</v>
      </c>
      <c r="R3450">
        <v>2.792379E-2</v>
      </c>
      <c r="S3450">
        <v>-3.0797729999999999</v>
      </c>
      <c r="T3450">
        <v>-4.636884E-3</v>
      </c>
      <c r="U3450">
        <v>-0.1151428</v>
      </c>
      <c r="V3450">
        <v>2.5260769999999998E-2</v>
      </c>
      <c r="W3450">
        <v>0.22637769999999999</v>
      </c>
      <c r="X3450">
        <v>0.97371200000000002</v>
      </c>
      <c r="Y3450">
        <v>-4.0295270000000001E-2</v>
      </c>
      <c r="Z3450">
        <v>-1.752627E-4</v>
      </c>
      <c r="AA3450">
        <v>0.99918779999999996</v>
      </c>
      <c r="AB3450">
        <v>43</v>
      </c>
      <c r="AC3450">
        <v>-809.8057</v>
      </c>
      <c r="AD3450">
        <v>-1.219819</v>
      </c>
      <c r="AE3450">
        <v>-30.292200000000001</v>
      </c>
      <c r="AF3450">
        <v>-32.6705195086315</v>
      </c>
      <c r="AG3450">
        <v>-1.219819</v>
      </c>
      <c r="AH3450">
        <v>809.71139943914204</v>
      </c>
      <c r="AI3450">
        <v>90.086245058008103</v>
      </c>
      <c r="AJ3450">
        <v>92.310536905969201</v>
      </c>
      <c r="AK3450">
        <v>810.37115026699405</v>
      </c>
      <c r="AL3450">
        <v>76.916095083012706</v>
      </c>
      <c r="AM3450">
        <v>88.513923068677201</v>
      </c>
      <c r="AN3450">
        <v>1.00000001425114</v>
      </c>
    </row>
    <row r="3451" spans="1:40" x14ac:dyDescent="0.25">
      <c r="A3451" t="str">
        <f>"20190303170836694"</f>
        <v>20190303170836694</v>
      </c>
      <c r="B3451" t="str">
        <f>"1551604116686376"</f>
        <v>1551604116686376</v>
      </c>
      <c r="C3451" t="s">
        <v>40</v>
      </c>
      <c r="D3451">
        <v>4.5844259999999997</v>
      </c>
      <c r="E3451">
        <v>0.48120970000000002</v>
      </c>
      <c r="F3451" t="s">
        <v>49</v>
      </c>
      <c r="G3451">
        <v>-954.73410000000001</v>
      </c>
      <c r="H3451">
        <v>-0.1</v>
      </c>
      <c r="I3451">
        <v>116.10080000000001</v>
      </c>
      <c r="J3451">
        <v>-266.2903</v>
      </c>
      <c r="K3451">
        <v>1.119793</v>
      </c>
      <c r="L3451">
        <v>140.64230000000001</v>
      </c>
      <c r="M3451">
        <v>-0.99996079999999998</v>
      </c>
      <c r="N3451">
        <v>-8.2028169999999994E-3</v>
      </c>
      <c r="O3451">
        <v>3.3319759999999999E-3</v>
      </c>
      <c r="P3451">
        <v>-0.9754159</v>
      </c>
      <c r="Q3451">
        <v>0.21843609999999999</v>
      </c>
      <c r="R3451">
        <v>2.9143599999999999E-2</v>
      </c>
      <c r="S3451">
        <v>-3.0798649999999999</v>
      </c>
      <c r="T3451">
        <v>-5.4534669999999896E-3</v>
      </c>
      <c r="U3451">
        <v>-0.10971069999999999</v>
      </c>
      <c r="V3451">
        <v>2.6107890000000002E-2</v>
      </c>
      <c r="W3451">
        <v>0.226406</v>
      </c>
      <c r="X3451">
        <v>0.97368310000000002</v>
      </c>
      <c r="Y3451">
        <v>-3.8928709999999998E-2</v>
      </c>
      <c r="Z3451">
        <v>-1.727458E-4</v>
      </c>
      <c r="AA3451">
        <v>0.99924190000000002</v>
      </c>
      <c r="AB3451">
        <v>43</v>
      </c>
      <c r="AC3451">
        <v>-688.44380000000001</v>
      </c>
      <c r="AD3451">
        <v>-1.2197929999999999</v>
      </c>
      <c r="AE3451">
        <v>-24.541499999999999</v>
      </c>
      <c r="AF3451">
        <v>-26.835235030104698</v>
      </c>
      <c r="AG3451">
        <v>-1.2197929999999999</v>
      </c>
      <c r="AH3451">
        <v>688.35604549218397</v>
      </c>
      <c r="AI3451">
        <v>90.101453121966102</v>
      </c>
      <c r="AJ3451">
        <v>92.232518348287002</v>
      </c>
      <c r="AK3451">
        <v>688.88000631439502</v>
      </c>
      <c r="AL3451">
        <v>76.914430720407793</v>
      </c>
      <c r="AM3451">
        <v>88.464065392595302</v>
      </c>
      <c r="AN3451">
        <v>1.00000003899093</v>
      </c>
    </row>
    <row r="3452" spans="1:40" x14ac:dyDescent="0.25">
      <c r="A3452" t="str">
        <f>"20190303170836715"</f>
        <v>20190303170836715</v>
      </c>
      <c r="B3452" t="str">
        <f>"1551604116706873"</f>
        <v>1551604116706873</v>
      </c>
      <c r="C3452" t="s">
        <v>40</v>
      </c>
      <c r="D3452">
        <v>4.5526160000000004</v>
      </c>
      <c r="E3452">
        <v>0.48133280000000001</v>
      </c>
      <c r="F3452" t="s">
        <v>49</v>
      </c>
      <c r="G3452">
        <v>-1095.4280000000001</v>
      </c>
      <c r="H3452">
        <v>-0.1</v>
      </c>
      <c r="I3452">
        <v>112.5804</v>
      </c>
      <c r="J3452">
        <v>-266.71800000000002</v>
      </c>
      <c r="K3452">
        <v>1.1197790000000001</v>
      </c>
      <c r="L3452">
        <v>140.64400000000001</v>
      </c>
      <c r="M3452">
        <v>-0.99995919999999905</v>
      </c>
      <c r="N3452">
        <v>-8.2459170000000002E-3</v>
      </c>
      <c r="O3452">
        <v>3.7173879999999999E-3</v>
      </c>
      <c r="P3452">
        <v>-0.97547470000000003</v>
      </c>
      <c r="Q3452">
        <v>0.2178659</v>
      </c>
      <c r="R3452">
        <v>3.1362300000000003E-2</v>
      </c>
      <c r="S3452">
        <v>-3.079742</v>
      </c>
      <c r="T3452">
        <v>-4.5307869999999997E-3</v>
      </c>
      <c r="U3452">
        <v>-0.1042328</v>
      </c>
      <c r="V3452">
        <v>2.7960329999999999E-2</v>
      </c>
      <c r="W3452">
        <v>0.22587550000000001</v>
      </c>
      <c r="X3452">
        <v>0.97375480000000003</v>
      </c>
      <c r="Y3452">
        <v>-3.7540080000000003E-2</v>
      </c>
      <c r="Z3452">
        <v>-1.5725219999999999E-4</v>
      </c>
      <c r="AA3452">
        <v>0.99929509999999999</v>
      </c>
      <c r="AB3452">
        <v>43</v>
      </c>
      <c r="AC3452">
        <v>-828.71</v>
      </c>
      <c r="AD3452">
        <v>-1.2197789999999999</v>
      </c>
      <c r="AE3452">
        <v>-28.063600000000001</v>
      </c>
      <c r="AF3452">
        <v>-31.144079701573201</v>
      </c>
      <c r="AG3452">
        <v>-1.2197789999999999</v>
      </c>
      <c r="AH3452">
        <v>828.59815371055697</v>
      </c>
      <c r="AI3452">
        <v>90.084285516663002</v>
      </c>
      <c r="AJ3452">
        <v>92.152532824830104</v>
      </c>
      <c r="AK3452">
        <v>829.18414233137003</v>
      </c>
      <c r="AL3452">
        <v>76.945633506056197</v>
      </c>
      <c r="AM3452">
        <v>88.355264754132904</v>
      </c>
      <c r="AN3452">
        <v>0.99999996603849794</v>
      </c>
    </row>
    <row r="3453" spans="1:40" x14ac:dyDescent="0.25">
      <c r="A3453" t="str">
        <f>"20190303170836738"</f>
        <v>20190303170836738</v>
      </c>
      <c r="B3453" t="str">
        <f>"1551604116726393"</f>
        <v>1551604116726393</v>
      </c>
      <c r="C3453" t="s">
        <v>40</v>
      </c>
      <c r="D3453">
        <v>4.5655219999999996</v>
      </c>
      <c r="E3453">
        <v>0.48148340000000001</v>
      </c>
      <c r="F3453" t="s">
        <v>49</v>
      </c>
      <c r="G3453">
        <v>-986.50760000000002</v>
      </c>
      <c r="H3453">
        <v>-0.1</v>
      </c>
      <c r="I3453">
        <v>117.9838</v>
      </c>
      <c r="J3453">
        <v>-267.15530000000001</v>
      </c>
      <c r="K3453">
        <v>1.119769</v>
      </c>
      <c r="L3453">
        <v>140.64590000000001</v>
      </c>
      <c r="M3453">
        <v>-0.99995719999999999</v>
      </c>
      <c r="N3453">
        <v>-8.295897E-3</v>
      </c>
      <c r="O3453">
        <v>4.1224859999999999E-3</v>
      </c>
      <c r="P3453">
        <v>-0.97524549999999999</v>
      </c>
      <c r="Q3453">
        <v>0.21846409999999999</v>
      </c>
      <c r="R3453">
        <v>3.4203079999999997E-2</v>
      </c>
      <c r="S3453">
        <v>-3.0797119999999998</v>
      </c>
      <c r="T3453">
        <v>-5.218983E-3</v>
      </c>
      <c r="U3453">
        <v>-9.6954349999999995E-2</v>
      </c>
      <c r="V3453">
        <v>3.041729E-2</v>
      </c>
      <c r="W3453">
        <v>0.22651650000000001</v>
      </c>
      <c r="X3453">
        <v>0.97353230000000002</v>
      </c>
      <c r="Y3453">
        <v>-3.5585970000000001E-2</v>
      </c>
      <c r="Z3453">
        <v>-1.5058650000000001E-4</v>
      </c>
      <c r="AA3453">
        <v>0.99936659999999999</v>
      </c>
      <c r="AB3453">
        <v>43</v>
      </c>
      <c r="AC3453">
        <v>-719.35230000000001</v>
      </c>
      <c r="AD3453">
        <v>-1.2197690000000001</v>
      </c>
      <c r="AE3453">
        <v>-22.662099999999999</v>
      </c>
      <c r="AF3453">
        <v>-25.627455317596802</v>
      </c>
      <c r="AG3453">
        <v>-1.2197690000000001</v>
      </c>
      <c r="AH3453">
        <v>719.25069354546895</v>
      </c>
      <c r="AI3453">
        <v>90.097105541448698</v>
      </c>
      <c r="AJ3453">
        <v>92.040629415375307</v>
      </c>
      <c r="AK3453">
        <v>719.70814533955797</v>
      </c>
      <c r="AL3453">
        <v>76.907930649883497</v>
      </c>
      <c r="AM3453">
        <v>88.210418319122596</v>
      </c>
      <c r="AN3453">
        <v>1.0000000377232401</v>
      </c>
    </row>
    <row r="3454" spans="1:40" x14ac:dyDescent="0.25">
      <c r="A3454" t="str">
        <f>"20190303170836759"</f>
        <v>20190303170836759</v>
      </c>
      <c r="B3454" t="str">
        <f>"1551604116746889"</f>
        <v>1551604116746889</v>
      </c>
      <c r="C3454" t="s">
        <v>40</v>
      </c>
      <c r="D3454">
        <v>4.693111</v>
      </c>
      <c r="E3454">
        <v>0.48156359999999898</v>
      </c>
      <c r="F3454" t="s">
        <v>45</v>
      </c>
      <c r="G3454">
        <v>0</v>
      </c>
      <c r="H3454">
        <v>0</v>
      </c>
      <c r="I3454">
        <v>0</v>
      </c>
      <c r="J3454">
        <v>-267.56729999999999</v>
      </c>
      <c r="K3454">
        <v>1.1197549999999901</v>
      </c>
      <c r="L3454">
        <v>140.64789999999999</v>
      </c>
      <c r="M3454">
        <v>-0.99995509999999999</v>
      </c>
      <c r="N3454">
        <v>-8.3478519999999994E-3</v>
      </c>
      <c r="O3454">
        <v>4.5127120000000003E-3</v>
      </c>
      <c r="P3454">
        <v>-0.97516179999999997</v>
      </c>
      <c r="Q3454">
        <v>0.21848780000000001</v>
      </c>
      <c r="R3454">
        <v>3.6370149999999997E-2</v>
      </c>
      <c r="S3454">
        <v>-3.0796199999999998</v>
      </c>
      <c r="T3454">
        <v>-1.7758610000000001E-3</v>
      </c>
      <c r="U3454">
        <v>-8.7219240000000003E-2</v>
      </c>
      <c r="V3454">
        <v>3.2212339999999999E-2</v>
      </c>
      <c r="W3454">
        <v>0.2265875</v>
      </c>
      <c r="X3454">
        <v>0.97345800000000005</v>
      </c>
      <c r="Y3454">
        <v>-3.2820630000000003E-2</v>
      </c>
      <c r="Z3454">
        <v>-1.1141970000000001E-4</v>
      </c>
      <c r="AA3454">
        <v>0.99946120000000005</v>
      </c>
      <c r="AB3454">
        <v>43</v>
      </c>
      <c r="AC3454">
        <v>-3.0796199999999998</v>
      </c>
      <c r="AD3454">
        <v>-1.7758610000000001E-3</v>
      </c>
      <c r="AE3454">
        <v>-8.7219240000000003E-2</v>
      </c>
      <c r="AF3454">
        <v>-0.10111623887384399</v>
      </c>
      <c r="AG3454">
        <v>-1.7758610000000001E-3</v>
      </c>
      <c r="AH3454">
        <v>3.0791940080320899</v>
      </c>
      <c r="AI3454">
        <v>90.033026341113199</v>
      </c>
      <c r="AJ3454">
        <v>91.880833924431798</v>
      </c>
      <c r="AK3454">
        <v>3.0808543273817701</v>
      </c>
      <c r="AL3454">
        <v>76.903753603290497</v>
      </c>
      <c r="AM3454">
        <v>88.104738033554995</v>
      </c>
      <c r="AN3454">
        <v>1.00000000388426</v>
      </c>
    </row>
    <row r="3455" spans="1:40" x14ac:dyDescent="0.25">
      <c r="A3455" t="str">
        <f>"20190303170836782"</f>
        <v>20190303170836782</v>
      </c>
      <c r="B3455" t="str">
        <f>"1551604116777145"</f>
        <v>1551604116777145</v>
      </c>
      <c r="C3455" t="s">
        <v>40</v>
      </c>
      <c r="D3455">
        <v>4.5791089999999999</v>
      </c>
      <c r="E3455">
        <v>0.4815797</v>
      </c>
      <c r="F3455" t="s">
        <v>45</v>
      </c>
      <c r="G3455">
        <v>0</v>
      </c>
      <c r="H3455">
        <v>0</v>
      </c>
      <c r="I3455">
        <v>0</v>
      </c>
      <c r="J3455">
        <v>-268.00630000000001</v>
      </c>
      <c r="K3455">
        <v>1.1197469999999901</v>
      </c>
      <c r="L3455">
        <v>140.65020000000001</v>
      </c>
      <c r="M3455">
        <v>-0.99995239999999996</v>
      </c>
      <c r="N3455">
        <v>-8.4047669999999901E-3</v>
      </c>
      <c r="O3455">
        <v>4.9359319999999996E-3</v>
      </c>
      <c r="P3455">
        <v>-0.97526749999999995</v>
      </c>
      <c r="Q3455">
        <v>0.2177307</v>
      </c>
      <c r="R3455">
        <v>3.8038860000000001E-2</v>
      </c>
      <c r="S3455">
        <v>-3.0795590000000002</v>
      </c>
      <c r="T3455">
        <v>-6.9642070000000003E-4</v>
      </c>
      <c r="U3455">
        <v>-8.0123899999999998E-2</v>
      </c>
      <c r="V3455">
        <v>3.347464E-2</v>
      </c>
      <c r="W3455">
        <v>0.2258848</v>
      </c>
      <c r="X3455">
        <v>0.97357870000000002</v>
      </c>
      <c r="Y3455">
        <v>-3.0943100000000001E-2</v>
      </c>
      <c r="Z3455" s="1">
        <v>-9.3194820000000006E-5</v>
      </c>
      <c r="AA3455">
        <v>0.99952110000000005</v>
      </c>
      <c r="AB3455">
        <v>43</v>
      </c>
      <c r="AC3455">
        <v>-3.0795590000000002</v>
      </c>
      <c r="AD3455">
        <v>-6.9642070000000003E-4</v>
      </c>
      <c r="AE3455">
        <v>-8.0123899999999998E-2</v>
      </c>
      <c r="AF3455">
        <v>-9.5323951207809898E-2</v>
      </c>
      <c r="AG3455">
        <v>-6.9642070000000003E-4</v>
      </c>
      <c r="AH3455">
        <v>3.0791258253203599</v>
      </c>
      <c r="AI3455">
        <v>90.012952656391505</v>
      </c>
      <c r="AJ3455">
        <v>91.773203361981601</v>
      </c>
      <c r="AK3455">
        <v>3.0806010758990601</v>
      </c>
      <c r="AL3455">
        <v>76.9450868333888</v>
      </c>
      <c r="AM3455">
        <v>88.030770056717103</v>
      </c>
      <c r="AN3455">
        <v>0.99999998974392901</v>
      </c>
    </row>
    <row r="3456" spans="1:40" x14ac:dyDescent="0.25">
      <c r="A3456" t="str">
        <f>"20190303170836805"</f>
        <v>20190303170836805</v>
      </c>
      <c r="B3456" t="str">
        <f>"1551604116796665"</f>
        <v>1551604116796665</v>
      </c>
      <c r="C3456" t="s">
        <v>40</v>
      </c>
      <c r="D3456">
        <v>4.6040640000000002</v>
      </c>
      <c r="E3456">
        <v>0.48153990000000002</v>
      </c>
      <c r="F3456" t="s">
        <v>45</v>
      </c>
      <c r="G3456">
        <v>0</v>
      </c>
      <c r="H3456">
        <v>0</v>
      </c>
      <c r="I3456">
        <v>0</v>
      </c>
      <c r="J3456">
        <v>-268.4588</v>
      </c>
      <c r="K3456">
        <v>1.119739</v>
      </c>
      <c r="L3456">
        <v>140.65270000000001</v>
      </c>
      <c r="M3456">
        <v>-0.9999498</v>
      </c>
      <c r="N3456">
        <v>-8.4636959999999997E-3</v>
      </c>
      <c r="O3456">
        <v>5.3768940000000001E-3</v>
      </c>
      <c r="P3456">
        <v>-0.97546250000000001</v>
      </c>
      <c r="Q3456">
        <v>0.2167403</v>
      </c>
      <c r="R3456">
        <v>3.8687270000000003E-2</v>
      </c>
      <c r="S3456">
        <v>-3.079437</v>
      </c>
      <c r="T3456">
        <v>-1.9422770000000001E-3</v>
      </c>
      <c r="U3456">
        <v>-7.4752810000000003E-2</v>
      </c>
      <c r="V3456">
        <v>3.3697589999999999E-2</v>
      </c>
      <c r="W3456">
        <v>0.22495200000000001</v>
      </c>
      <c r="X3456">
        <v>0.97378699999999996</v>
      </c>
      <c r="Y3456">
        <v>-2.964259E-2</v>
      </c>
      <c r="Z3456" s="1">
        <v>-9.2699460000000006E-5</v>
      </c>
      <c r="AA3456">
        <v>0.99956049999999996</v>
      </c>
      <c r="AB3456">
        <v>43</v>
      </c>
      <c r="AC3456">
        <v>-3.079437</v>
      </c>
      <c r="AD3456">
        <v>-1.9422770000000001E-3</v>
      </c>
      <c r="AE3456">
        <v>-7.4752810000000003E-2</v>
      </c>
      <c r="AF3456">
        <v>-9.1310091213235606E-2</v>
      </c>
      <c r="AG3456">
        <v>-1.9422770000000001E-3</v>
      </c>
      <c r="AH3456">
        <v>3.0789893052654702</v>
      </c>
      <c r="AI3456">
        <v>90.036127230600897</v>
      </c>
      <c r="AJ3456">
        <v>91.698658046667205</v>
      </c>
      <c r="AK3456">
        <v>3.0803435599193199</v>
      </c>
      <c r="AL3456">
        <v>76.999944731605197</v>
      </c>
      <c r="AM3456">
        <v>88.018088588840001</v>
      </c>
      <c r="AN3456">
        <v>1.0000000256224</v>
      </c>
    </row>
    <row r="3457" spans="1:40" x14ac:dyDescent="0.25">
      <c r="A3457" t="str">
        <f>"20190303170836830"</f>
        <v>20190303170836830</v>
      </c>
      <c r="B3457" t="str">
        <f>"1551604116817160"</f>
        <v>1551604116817160</v>
      </c>
      <c r="C3457" t="s">
        <v>40</v>
      </c>
      <c r="D3457">
        <v>4.6956259999999999</v>
      </c>
      <c r="E3457">
        <v>0.4815682</v>
      </c>
      <c r="F3457" t="s">
        <v>49</v>
      </c>
      <c r="G3457">
        <v>-1073.9659999999999</v>
      </c>
      <c r="H3457">
        <v>-0.1</v>
      </c>
      <c r="I3457">
        <v>121.53400000000001</v>
      </c>
      <c r="J3457">
        <v>-268.9298</v>
      </c>
      <c r="K3457">
        <v>1.1197319999999999</v>
      </c>
      <c r="L3457">
        <v>140.65559999999999</v>
      </c>
      <c r="M3457">
        <v>-0.99994660000000002</v>
      </c>
      <c r="N3457">
        <v>-8.525431E-3</v>
      </c>
      <c r="O3457">
        <v>5.8392319999999998E-3</v>
      </c>
      <c r="P3457">
        <v>-0.97546480000000002</v>
      </c>
      <c r="Q3457">
        <v>0.21658179999999999</v>
      </c>
      <c r="R3457">
        <v>3.9505810000000002E-2</v>
      </c>
      <c r="S3457">
        <v>-3.0794069999999998</v>
      </c>
      <c r="T3457">
        <v>-4.662991E-3</v>
      </c>
      <c r="U3457">
        <v>-7.3089600000000005E-2</v>
      </c>
      <c r="V3457">
        <v>3.4071079999999997E-2</v>
      </c>
      <c r="W3457">
        <v>0.22485250000000001</v>
      </c>
      <c r="X3457">
        <v>0.97379700000000002</v>
      </c>
      <c r="Y3457">
        <v>-2.9565310000000001E-2</v>
      </c>
      <c r="Z3457">
        <v>-1.074961E-4</v>
      </c>
      <c r="AA3457">
        <v>0.99956290000000003</v>
      </c>
      <c r="AB3457">
        <v>43</v>
      </c>
      <c r="AC3457">
        <v>-805.03620000000001</v>
      </c>
      <c r="AD3457">
        <v>-1.219732</v>
      </c>
      <c r="AE3457">
        <v>-19.121600000000001</v>
      </c>
      <c r="AF3457">
        <v>-23.822183351425</v>
      </c>
      <c r="AG3457">
        <v>-1.219732</v>
      </c>
      <c r="AH3457">
        <v>804.90896814193002</v>
      </c>
      <c r="AI3457">
        <v>90.086786031410696</v>
      </c>
      <c r="AJ3457">
        <v>91.695237978370798</v>
      </c>
      <c r="AK3457">
        <v>805.26233685742898</v>
      </c>
      <c r="AL3457">
        <v>77.005795758083707</v>
      </c>
      <c r="AM3457">
        <v>87.996160282697801</v>
      </c>
      <c r="AN3457">
        <v>1.0000000412287999</v>
      </c>
    </row>
    <row r="3458" spans="1:40" x14ac:dyDescent="0.25">
      <c r="A3458" t="str">
        <f>"20190303170836871"</f>
        <v>20190303170836871</v>
      </c>
      <c r="B3458" t="str">
        <f>"1551604116866909"</f>
        <v>1551604116866909</v>
      </c>
      <c r="C3458" t="s">
        <v>40</v>
      </c>
      <c r="D3458">
        <v>4.6575800000000003</v>
      </c>
      <c r="E3458">
        <v>0.46522419999999998</v>
      </c>
      <c r="F3458" t="s">
        <v>49</v>
      </c>
      <c r="G3458">
        <v>-1113.7829999999999</v>
      </c>
      <c r="H3458">
        <v>-0.1</v>
      </c>
      <c r="I3458">
        <v>121.2011</v>
      </c>
      <c r="J3458">
        <v>-269.73559999999998</v>
      </c>
      <c r="K3458">
        <v>1.1197239999999999</v>
      </c>
      <c r="L3458">
        <v>140.661</v>
      </c>
      <c r="M3458">
        <v>-0.99994079999999996</v>
      </c>
      <c r="N3458">
        <v>-8.6252529999999994E-3</v>
      </c>
      <c r="O3458">
        <v>6.6342279999999998E-3</v>
      </c>
      <c r="P3458">
        <v>-0.97502040000000001</v>
      </c>
      <c r="Q3458">
        <v>0.2179458</v>
      </c>
      <c r="R3458">
        <v>4.2836079999999999E-2</v>
      </c>
      <c r="S3458">
        <v>-3.0793149999999998</v>
      </c>
      <c r="T3458">
        <v>-4.4456720000000003E-3</v>
      </c>
      <c r="U3458">
        <v>-7.0907590000000006E-2</v>
      </c>
      <c r="V3458">
        <v>3.6638579999999997E-2</v>
      </c>
      <c r="W3458">
        <v>0.22630610000000001</v>
      </c>
      <c r="X3458">
        <v>0.97336690000000003</v>
      </c>
      <c r="Y3458">
        <v>-2.9652789999999998E-2</v>
      </c>
      <c r="Z3458">
        <v>-1.016656E-4</v>
      </c>
      <c r="AA3458">
        <v>0.99956020000000001</v>
      </c>
      <c r="AB3458">
        <v>44</v>
      </c>
      <c r="AC3458">
        <v>-844.04740000000004</v>
      </c>
      <c r="AD3458">
        <v>-1.219724</v>
      </c>
      <c r="AE3458">
        <v>-19.459900000000001</v>
      </c>
      <c r="AF3458">
        <v>-25.0592305814444</v>
      </c>
      <c r="AG3458">
        <v>-1.219724</v>
      </c>
      <c r="AH3458">
        <v>843.89795631549998</v>
      </c>
      <c r="AI3458">
        <v>90.082775645237305</v>
      </c>
      <c r="AJ3458">
        <v>91.700876688518406</v>
      </c>
      <c r="AK3458">
        <v>844.27081759199098</v>
      </c>
      <c r="AL3458">
        <v>76.920306296413997</v>
      </c>
      <c r="AM3458">
        <v>87.844342756473196</v>
      </c>
      <c r="AN3458">
        <v>0.99999997922861805</v>
      </c>
    </row>
    <row r="3459" spans="1:40" x14ac:dyDescent="0.25">
      <c r="A3459" t="str">
        <f>"20190303170836895"</f>
        <v>20190303170836895</v>
      </c>
      <c r="B3459" t="str">
        <f>"1551604116886429"</f>
        <v>1551604116886429</v>
      </c>
      <c r="C3459" t="s">
        <v>40</v>
      </c>
      <c r="D3459">
        <v>4.6972300000000002</v>
      </c>
      <c r="E3459">
        <v>0.45557229999999999</v>
      </c>
      <c r="F3459" t="s">
        <v>45</v>
      </c>
      <c r="G3459">
        <v>0</v>
      </c>
      <c r="H3459">
        <v>0</v>
      </c>
      <c r="I3459">
        <v>0</v>
      </c>
      <c r="J3459">
        <v>-270.20310000000001</v>
      </c>
      <c r="K3459">
        <v>1.1197159999999999</v>
      </c>
      <c r="L3459">
        <v>140.6644</v>
      </c>
      <c r="M3459">
        <v>-0.99993719999999997</v>
      </c>
      <c r="N3459">
        <v>-8.6816199999999993E-3</v>
      </c>
      <c r="O3459">
        <v>7.0964239999999996E-3</v>
      </c>
      <c r="P3459">
        <v>-0.97508680000000003</v>
      </c>
      <c r="Q3459">
        <v>0.21736440000000001</v>
      </c>
      <c r="R3459">
        <v>4.4258289999999999E-2</v>
      </c>
      <c r="S3459">
        <v>-3.0802309999999999</v>
      </c>
      <c r="T3459">
        <v>2.2797700000000001E-2</v>
      </c>
      <c r="U3459">
        <v>-0.19297790000000001</v>
      </c>
      <c r="V3459">
        <v>3.7612769999999997E-2</v>
      </c>
      <c r="W3459">
        <v>0.22577839999999999</v>
      </c>
      <c r="X3459">
        <v>0.97345230000000005</v>
      </c>
      <c r="Y3459">
        <v>-6.9608530000000002E-2</v>
      </c>
      <c r="Z3459" s="1">
        <v>6.8900350000000005E-5</v>
      </c>
      <c r="AA3459">
        <v>0.99757439999999997</v>
      </c>
      <c r="AB3459">
        <v>44</v>
      </c>
      <c r="AC3459">
        <v>-3.0802309999999999</v>
      </c>
      <c r="AD3459">
        <v>2.2797700000000001E-2</v>
      </c>
      <c r="AE3459">
        <v>-0.19297790000000001</v>
      </c>
      <c r="AF3459">
        <v>-0.21482076629479799</v>
      </c>
      <c r="AG3459">
        <v>2.2797700000000001E-2</v>
      </c>
      <c r="AH3459">
        <v>3.0786159449400601</v>
      </c>
      <c r="AI3459">
        <v>89.576751405872002</v>
      </c>
      <c r="AJ3459">
        <v>93.991535530843706</v>
      </c>
      <c r="AK3459">
        <v>3.08618596866682</v>
      </c>
      <c r="AL3459">
        <v>76.951344817909501</v>
      </c>
      <c r="AM3459">
        <v>87.787275777001597</v>
      </c>
      <c r="AN3459">
        <v>0.99999999337446099</v>
      </c>
    </row>
    <row r="3460" spans="1:40" x14ac:dyDescent="0.25">
      <c r="A3460" t="str">
        <f>"20190303170836917"</f>
        <v>20190303170836917</v>
      </c>
      <c r="B3460" t="str">
        <f>"1551604116906924"</f>
        <v>1551604116906924</v>
      </c>
      <c r="C3460" t="s">
        <v>40</v>
      </c>
      <c r="D3460">
        <v>4.7216750000000003</v>
      </c>
      <c r="E3460">
        <v>0.45065260000000001</v>
      </c>
      <c r="F3460" t="s">
        <v>45</v>
      </c>
      <c r="G3460">
        <v>0</v>
      </c>
      <c r="H3460">
        <v>0</v>
      </c>
      <c r="I3460">
        <v>0</v>
      </c>
      <c r="J3460">
        <v>-270.6481</v>
      </c>
      <c r="K3460">
        <v>1.11971</v>
      </c>
      <c r="L3460">
        <v>140.6679</v>
      </c>
      <c r="M3460">
        <v>-0.99993350000000003</v>
      </c>
      <c r="N3460">
        <v>-8.7344999999999992E-3</v>
      </c>
      <c r="O3460">
        <v>7.5373999999999997E-3</v>
      </c>
      <c r="P3460">
        <v>-0.97520410000000002</v>
      </c>
      <c r="Q3460">
        <v>0.21663279999999999</v>
      </c>
      <c r="R3460">
        <v>4.5247049999999997E-2</v>
      </c>
      <c r="S3460">
        <v>-3.082306</v>
      </c>
      <c r="T3460">
        <v>2.86994E-2</v>
      </c>
      <c r="U3460">
        <v>-0.26486209999999999</v>
      </c>
      <c r="V3460">
        <v>3.817247E-2</v>
      </c>
      <c r="W3460">
        <v>0.2250983</v>
      </c>
      <c r="X3460">
        <v>0.97358800000000001</v>
      </c>
      <c r="Y3460">
        <v>-9.3120460000000002E-2</v>
      </c>
      <c r="Z3460">
        <v>1.610433E-4</v>
      </c>
      <c r="AA3460">
        <v>0.99565479999999995</v>
      </c>
      <c r="AB3460">
        <v>44</v>
      </c>
      <c r="AC3460">
        <v>-3.082306</v>
      </c>
      <c r="AD3460">
        <v>2.86994E-2</v>
      </c>
      <c r="AE3460">
        <v>-0.26486209999999999</v>
      </c>
      <c r="AF3460">
        <v>-0.28806324325964799</v>
      </c>
      <c r="AG3460">
        <v>2.86994E-2</v>
      </c>
      <c r="AH3460">
        <v>3.0799569281144699</v>
      </c>
      <c r="AI3460">
        <v>89.468446355475905</v>
      </c>
      <c r="AJ3460">
        <v>95.343234965599606</v>
      </c>
      <c r="AK3460">
        <v>3.0935317626812799</v>
      </c>
      <c r="AL3460">
        <v>76.991341218545401</v>
      </c>
      <c r="AM3460">
        <v>87.754695286651895</v>
      </c>
      <c r="AN3460">
        <v>0.999999987936395</v>
      </c>
    </row>
    <row r="3461" spans="1:40" x14ac:dyDescent="0.25">
      <c r="A3461" t="str">
        <f>"20190303170836939"</f>
        <v>20190303170836939</v>
      </c>
      <c r="B3461" t="str">
        <f>"1551604116926444"</f>
        <v>1551604116926444</v>
      </c>
      <c r="C3461" t="s">
        <v>40</v>
      </c>
      <c r="D3461">
        <v>4.7323979999999999</v>
      </c>
      <c r="E3461">
        <v>0.4481695</v>
      </c>
      <c r="F3461" t="s">
        <v>45</v>
      </c>
      <c r="G3461">
        <v>0</v>
      </c>
      <c r="H3461">
        <v>0</v>
      </c>
      <c r="I3461">
        <v>0</v>
      </c>
      <c r="J3461">
        <v>-271.06130000000002</v>
      </c>
      <c r="K3461">
        <v>1.119704</v>
      </c>
      <c r="L3461">
        <v>140.6713</v>
      </c>
      <c r="M3461">
        <v>-0.99992990000000004</v>
      </c>
      <c r="N3461">
        <v>-8.7814199999999999E-3</v>
      </c>
      <c r="O3461">
        <v>7.9465019999999994E-3</v>
      </c>
      <c r="P3461">
        <v>-0.97514120000000004</v>
      </c>
      <c r="Q3461">
        <v>0.21656629999999999</v>
      </c>
      <c r="R3461">
        <v>4.689285E-2</v>
      </c>
      <c r="S3461">
        <v>-3.083313</v>
      </c>
      <c r="T3461">
        <v>3.117251E-2</v>
      </c>
      <c r="U3461">
        <v>-0.30076599999999998</v>
      </c>
      <c r="V3461">
        <v>3.9422209999999999E-2</v>
      </c>
      <c r="W3461">
        <v>0.2250751</v>
      </c>
      <c r="X3461">
        <v>0.97354359999999995</v>
      </c>
      <c r="Y3461">
        <v>-0.10498970000000001</v>
      </c>
      <c r="Z3461">
        <v>2.1713860000000001E-4</v>
      </c>
      <c r="AA3461">
        <v>0.9944733</v>
      </c>
      <c r="AB3461">
        <v>44</v>
      </c>
      <c r="AC3461">
        <v>-3.083313</v>
      </c>
      <c r="AD3461">
        <v>3.117251E-2</v>
      </c>
      <c r="AE3461">
        <v>-0.30076599999999998</v>
      </c>
      <c r="AF3461">
        <v>-0.32522607060615</v>
      </c>
      <c r="AG3461">
        <v>3.117251E-2</v>
      </c>
      <c r="AH3461">
        <v>3.0805136081643401</v>
      </c>
      <c r="AI3461">
        <v>89.423433174847005</v>
      </c>
      <c r="AJ3461">
        <v>96.026692383874803</v>
      </c>
      <c r="AK3461">
        <v>3.09779079546494</v>
      </c>
      <c r="AL3461">
        <v>76.992705995881096</v>
      </c>
      <c r="AM3461">
        <v>87.681158910942798</v>
      </c>
      <c r="AN3461">
        <v>1.0000000261911199</v>
      </c>
    </row>
    <row r="3462" spans="1:40" x14ac:dyDescent="0.25">
      <c r="A3462" t="str">
        <f>"20190303170836961"</f>
        <v>20190303170836961</v>
      </c>
      <c r="B3462" t="str">
        <f>"1551604116946600"</f>
        <v>1551604116946600</v>
      </c>
      <c r="C3462" t="s">
        <v>40</v>
      </c>
      <c r="D3462">
        <v>4.7322110000000004</v>
      </c>
      <c r="E3462">
        <v>0.4469554</v>
      </c>
      <c r="F3462" t="s">
        <v>45</v>
      </c>
      <c r="G3462">
        <v>0</v>
      </c>
      <c r="H3462">
        <v>0</v>
      </c>
      <c r="I3462">
        <v>0</v>
      </c>
      <c r="J3462">
        <v>-271.49160000000001</v>
      </c>
      <c r="K3462">
        <v>1.11971</v>
      </c>
      <c r="L3462">
        <v>140.67509999999999</v>
      </c>
      <c r="M3462">
        <v>-0.99992599999999998</v>
      </c>
      <c r="N3462">
        <v>-8.8270329999999998E-3</v>
      </c>
      <c r="O3462">
        <v>8.3729470000000004E-3</v>
      </c>
      <c r="P3462">
        <v>-0.9748909</v>
      </c>
      <c r="Q3462">
        <v>0.217388</v>
      </c>
      <c r="R3462">
        <v>4.8269390000000002E-2</v>
      </c>
      <c r="S3462">
        <v>-3.0842290000000001</v>
      </c>
      <c r="T3462">
        <v>3.3462520000000003E-2</v>
      </c>
      <c r="U3462">
        <v>-0.31561280000000003</v>
      </c>
      <c r="V3462">
        <v>4.038783E-2</v>
      </c>
      <c r="W3462">
        <v>0.22593830000000001</v>
      </c>
      <c r="X3462">
        <v>0.97330399999999995</v>
      </c>
      <c r="Y3462">
        <v>-0.110123</v>
      </c>
      <c r="Z3462">
        <v>2.7283089999999998E-4</v>
      </c>
      <c r="AA3462">
        <v>0.99391790000000002</v>
      </c>
      <c r="AB3462">
        <v>44</v>
      </c>
      <c r="AC3462">
        <v>-3.0842290000000001</v>
      </c>
      <c r="AD3462">
        <v>3.3462520000000003E-2</v>
      </c>
      <c r="AE3462">
        <v>-0.31561280000000003</v>
      </c>
      <c r="AF3462">
        <v>-0.34138705822902798</v>
      </c>
      <c r="AG3462">
        <v>3.3462520000000003E-2</v>
      </c>
      <c r="AH3462">
        <v>3.0811192367732301</v>
      </c>
      <c r="AI3462">
        <v>89.381547555025193</v>
      </c>
      <c r="AJ3462">
        <v>96.322565663314194</v>
      </c>
      <c r="AK3462">
        <v>3.1001549340291201</v>
      </c>
      <c r="AL3462">
        <v>76.941940088687701</v>
      </c>
      <c r="AM3462">
        <v>87.623840653798993</v>
      </c>
      <c r="AN3462">
        <v>0.99999998431749904</v>
      </c>
    </row>
    <row r="3463" spans="1:40" x14ac:dyDescent="0.25">
      <c r="A3463" t="str">
        <f>"20190303170836984"</f>
        <v>20190303170836984</v>
      </c>
      <c r="B3463" t="str">
        <f>"1551604116976831"</f>
        <v>1551604116976831</v>
      </c>
      <c r="C3463" t="s">
        <v>40</v>
      </c>
      <c r="D3463">
        <v>4.7319040000000001</v>
      </c>
      <c r="E3463">
        <v>0.44556699999999999</v>
      </c>
      <c r="F3463" t="s">
        <v>76</v>
      </c>
      <c r="G3463">
        <v>-471.57310000000001</v>
      </c>
      <c r="H3463">
        <v>3.5807340000000001</v>
      </c>
      <c r="I3463">
        <v>119.8177</v>
      </c>
      <c r="J3463">
        <v>-271.94850000000002</v>
      </c>
      <c r="K3463">
        <v>1.119715</v>
      </c>
      <c r="L3463">
        <v>140.67920000000001</v>
      </c>
      <c r="M3463">
        <v>-0.99992170000000002</v>
      </c>
      <c r="N3463">
        <v>-8.8717239999999992E-3</v>
      </c>
      <c r="O3463">
        <v>8.8258550000000005E-3</v>
      </c>
      <c r="P3463">
        <v>-0.97457369999999999</v>
      </c>
      <c r="Q3463">
        <v>0.218529</v>
      </c>
      <c r="R3463">
        <v>4.9511479999999997E-2</v>
      </c>
      <c r="S3463">
        <v>-3.0847169999999999</v>
      </c>
      <c r="T3463">
        <v>3.7942770000000001E-2</v>
      </c>
      <c r="U3463">
        <v>-0.32156370000000001</v>
      </c>
      <c r="V3463">
        <v>4.1194550000000003E-2</v>
      </c>
      <c r="W3463">
        <v>0.2271184</v>
      </c>
      <c r="X3463">
        <v>0.97299550000000001</v>
      </c>
      <c r="Y3463">
        <v>-0.1124527</v>
      </c>
      <c r="Z3463">
        <v>3.7586709999999998E-4</v>
      </c>
      <c r="AA3463">
        <v>0.99365700000000001</v>
      </c>
      <c r="AB3463">
        <v>44</v>
      </c>
      <c r="AC3463">
        <v>-199.62459999999999</v>
      </c>
      <c r="AD3463">
        <v>2.4610189999999901</v>
      </c>
      <c r="AE3463">
        <v>-20.861499999999999</v>
      </c>
      <c r="AF3463">
        <v>-22.619213863812899</v>
      </c>
      <c r="AG3463">
        <v>2.4610189999999901</v>
      </c>
      <c r="AH3463">
        <v>199.40271756855799</v>
      </c>
      <c r="AI3463">
        <v>89.297399512297105</v>
      </c>
      <c r="AJ3463">
        <v>96.471673757294198</v>
      </c>
      <c r="AK3463">
        <v>200.696609896783</v>
      </c>
      <c r="AL3463">
        <v>76.872520968062005</v>
      </c>
      <c r="AM3463">
        <v>87.575666989899005</v>
      </c>
      <c r="AN3463">
        <v>1.00000000079425</v>
      </c>
    </row>
    <row r="3464" spans="1:40" x14ac:dyDescent="0.25">
      <c r="A3464" t="str">
        <f>"20190303170837008"</f>
        <v>20190303170837008</v>
      </c>
      <c r="B3464" t="str">
        <f>"1551604116996352"</f>
        <v>1551604116996352</v>
      </c>
      <c r="C3464" t="s">
        <v>40</v>
      </c>
      <c r="D3464">
        <v>4.7815450000000004</v>
      </c>
      <c r="E3464">
        <v>0.4448532</v>
      </c>
      <c r="F3464" t="s">
        <v>76</v>
      </c>
      <c r="G3464">
        <v>-470.8775</v>
      </c>
      <c r="H3464">
        <v>3.9052389999999999</v>
      </c>
      <c r="I3464">
        <v>119.4892</v>
      </c>
      <c r="J3464">
        <v>-272.40949999999998</v>
      </c>
      <c r="K3464">
        <v>1.1197140000000001</v>
      </c>
      <c r="L3464">
        <v>140.68360000000001</v>
      </c>
      <c r="M3464">
        <v>-0.99991730000000001</v>
      </c>
      <c r="N3464">
        <v>-8.9107630000000004E-3</v>
      </c>
      <c r="O3464">
        <v>9.2823550000000008E-3</v>
      </c>
      <c r="P3464">
        <v>-0.97462090000000001</v>
      </c>
      <c r="Q3464">
        <v>0.2181382</v>
      </c>
      <c r="R3464">
        <v>5.0302159999999999E-2</v>
      </c>
      <c r="S3464">
        <v>-3.0852659999999998</v>
      </c>
      <c r="T3464">
        <v>4.3202160000000003E-2</v>
      </c>
      <c r="U3464">
        <v>-0.32864379999999999</v>
      </c>
      <c r="V3464">
        <v>4.1541010000000003E-2</v>
      </c>
      <c r="W3464">
        <v>0.22676540000000001</v>
      </c>
      <c r="X3464">
        <v>0.97306309999999996</v>
      </c>
      <c r="Y3464">
        <v>-0.1151407</v>
      </c>
      <c r="Z3464">
        <v>5.0145300000000001E-4</v>
      </c>
      <c r="AA3464">
        <v>0.99334909999999998</v>
      </c>
      <c r="AB3464">
        <v>44</v>
      </c>
      <c r="AC3464">
        <v>-198.46799999999999</v>
      </c>
      <c r="AD3464">
        <v>2.7855249999999998</v>
      </c>
      <c r="AE3464">
        <v>-21.194400000000002</v>
      </c>
      <c r="AF3464">
        <v>-23.0313245788311</v>
      </c>
      <c r="AG3464">
        <v>2.7855249999999998</v>
      </c>
      <c r="AH3464">
        <v>198.224100292781</v>
      </c>
      <c r="AI3464">
        <v>89.200288729777299</v>
      </c>
      <c r="AJ3464">
        <v>96.627384171617294</v>
      </c>
      <c r="AK3464">
        <v>199.577040258301</v>
      </c>
      <c r="AL3464">
        <v>76.893288212518499</v>
      </c>
      <c r="AM3464">
        <v>87.555471800371805</v>
      </c>
      <c r="AN3464">
        <v>0.99999999936529504</v>
      </c>
    </row>
    <row r="3465" spans="1:40" x14ac:dyDescent="0.25">
      <c r="A3465" t="str">
        <f>"20190303170837031"</f>
        <v>20190303170837031</v>
      </c>
      <c r="B3465" t="str">
        <f>"1551604117016847"</f>
        <v>1551604117016847</v>
      </c>
      <c r="C3465" t="s">
        <v>40</v>
      </c>
      <c r="D3465">
        <v>4.7579630000000002</v>
      </c>
      <c r="E3465">
        <v>0.44418360000000001</v>
      </c>
      <c r="F3465" t="s">
        <v>76</v>
      </c>
      <c r="G3465">
        <v>-470.74110000000002</v>
      </c>
      <c r="H3465">
        <v>3.833469</v>
      </c>
      <c r="I3465">
        <v>119.395</v>
      </c>
      <c r="J3465">
        <v>-272.87810000000002</v>
      </c>
      <c r="K3465">
        <v>1.11971</v>
      </c>
      <c r="L3465">
        <v>140.6883</v>
      </c>
      <c r="M3465">
        <v>-0.99991260000000004</v>
      </c>
      <c r="N3465">
        <v>-8.9392039999999992E-3</v>
      </c>
      <c r="O3465">
        <v>9.7468799999999994E-3</v>
      </c>
      <c r="P3465">
        <v>-0.97463659999999996</v>
      </c>
      <c r="Q3465">
        <v>0.21801780000000001</v>
      </c>
      <c r="R3465">
        <v>5.0517470000000002E-2</v>
      </c>
      <c r="S3465">
        <v>-3.085785</v>
      </c>
      <c r="T3465">
        <v>4.222298E-2</v>
      </c>
      <c r="U3465">
        <v>-0.33122249999999998</v>
      </c>
      <c r="V3465">
        <v>4.1304439999999998E-2</v>
      </c>
      <c r="W3465">
        <v>0.2266735</v>
      </c>
      <c r="X3465">
        <v>0.97309460000000003</v>
      </c>
      <c r="Y3465">
        <v>-0.1164055</v>
      </c>
      <c r="Z3465">
        <v>4.9213860000000002E-4</v>
      </c>
      <c r="AA3465">
        <v>0.99320169999999997</v>
      </c>
      <c r="AB3465">
        <v>44</v>
      </c>
      <c r="AC3465">
        <v>-197.863</v>
      </c>
      <c r="AD3465">
        <v>2.713759</v>
      </c>
      <c r="AE3465">
        <v>-21.293299999999999</v>
      </c>
      <c r="AF3465">
        <v>-23.216595018898602</v>
      </c>
      <c r="AG3465">
        <v>2.713759</v>
      </c>
      <c r="AH3465">
        <v>197.60930201084801</v>
      </c>
      <c r="AI3465">
        <v>89.218583187071999</v>
      </c>
      <c r="AJ3465">
        <v>96.700811434470694</v>
      </c>
      <c r="AK3465">
        <v>198.986961918102</v>
      </c>
      <c r="AL3465">
        <v>76.898694701023302</v>
      </c>
      <c r="AM3465">
        <v>87.569454875556801</v>
      </c>
      <c r="AN3465">
        <v>1.00000001645756</v>
      </c>
    </row>
    <row r="3466" spans="1:40" x14ac:dyDescent="0.25">
      <c r="A3466" t="str">
        <f>"20190303170837053"</f>
        <v>20190303170837053</v>
      </c>
      <c r="B3466" t="str">
        <f>"1551604117047103"</f>
        <v>1551604117047103</v>
      </c>
      <c r="C3466" t="s">
        <v>40</v>
      </c>
      <c r="D3466">
        <v>4.7750969999999997</v>
      </c>
      <c r="E3466">
        <v>0.44321690000000002</v>
      </c>
      <c r="F3466" t="s">
        <v>76</v>
      </c>
      <c r="G3466">
        <v>-468.85449999999997</v>
      </c>
      <c r="H3466">
        <v>3.8223240000000001</v>
      </c>
      <c r="I3466">
        <v>119.395</v>
      </c>
      <c r="J3466">
        <v>-273.31119999999999</v>
      </c>
      <c r="K3466">
        <v>1.1197170000000001</v>
      </c>
      <c r="L3466">
        <v>140.69280000000001</v>
      </c>
      <c r="M3466">
        <v>-0.99990829999999997</v>
      </c>
      <c r="N3466">
        <v>-8.9544700000000008E-3</v>
      </c>
      <c r="O3466">
        <v>1.01764E-2</v>
      </c>
      <c r="P3466">
        <v>-0.97427419999999998</v>
      </c>
      <c r="Q3466">
        <v>0.2195204</v>
      </c>
      <c r="R3466">
        <v>5.0997149999999998E-2</v>
      </c>
      <c r="S3466">
        <v>-3.0859679999999998</v>
      </c>
      <c r="T3466">
        <v>4.2557480000000002E-2</v>
      </c>
      <c r="U3466">
        <v>-0.3352966</v>
      </c>
      <c r="V3466">
        <v>4.13718E-2</v>
      </c>
      <c r="W3466">
        <v>0.22818720000000001</v>
      </c>
      <c r="X3466">
        <v>0.97273779999999999</v>
      </c>
      <c r="Y3466">
        <v>-0.1181215</v>
      </c>
      <c r="Z3466">
        <v>5.1240789999999997E-4</v>
      </c>
      <c r="AA3466">
        <v>0.99299899999999997</v>
      </c>
      <c r="AB3466">
        <v>44</v>
      </c>
      <c r="AC3466">
        <v>-195.54329999999999</v>
      </c>
      <c r="AD3466">
        <v>2.7026069999999902</v>
      </c>
      <c r="AE3466">
        <v>-21.297799999999999</v>
      </c>
      <c r="AF3466">
        <v>-23.2823081081273</v>
      </c>
      <c r="AG3466">
        <v>2.7026069999999902</v>
      </c>
      <c r="AH3466">
        <v>195.279565124648</v>
      </c>
      <c r="AI3466">
        <v>89.212670656647902</v>
      </c>
      <c r="AJ3466">
        <v>96.799025017488205</v>
      </c>
      <c r="AK3466">
        <v>196.68115952146999</v>
      </c>
      <c r="AL3466">
        <v>76.809630911098907</v>
      </c>
      <c r="AM3466">
        <v>87.564603964912394</v>
      </c>
      <c r="AN3466">
        <v>0.99999992581395702</v>
      </c>
    </row>
    <row r="3467" spans="1:40" x14ac:dyDescent="0.25">
      <c r="A3467" t="str">
        <f>"20190303170837075"</f>
        <v>20190303170837075</v>
      </c>
      <c r="B3467" t="str">
        <f>"1551604117066624"</f>
        <v>1551604117066624</v>
      </c>
      <c r="C3467" t="s">
        <v>40</v>
      </c>
      <c r="D3467">
        <v>4.7721150000000003</v>
      </c>
      <c r="E3467">
        <v>0.44251279999999998</v>
      </c>
      <c r="F3467" t="s">
        <v>76</v>
      </c>
      <c r="G3467">
        <v>-462.24310000000003</v>
      </c>
      <c r="H3467">
        <v>4.0907289999999996</v>
      </c>
      <c r="I3467">
        <v>119.8177</v>
      </c>
      <c r="J3467">
        <v>-273.7448</v>
      </c>
      <c r="K3467">
        <v>1.119718</v>
      </c>
      <c r="L3467">
        <v>140.69749999999999</v>
      </c>
      <c r="M3467">
        <v>-0.99990369999999995</v>
      </c>
      <c r="N3467">
        <v>-8.9629169999999904E-3</v>
      </c>
      <c r="O3467">
        <v>1.060642E-2</v>
      </c>
      <c r="P3467">
        <v>-0.97389579999999998</v>
      </c>
      <c r="Q3467">
        <v>0.22125300000000001</v>
      </c>
      <c r="R3467">
        <v>5.0736660000000003E-2</v>
      </c>
      <c r="S3467">
        <v>-3.0861510000000001</v>
      </c>
      <c r="T3467">
        <v>4.8531060000000001E-2</v>
      </c>
      <c r="U3467">
        <v>-0.34098820000000002</v>
      </c>
      <c r="V3467">
        <v>4.0699340000000001E-2</v>
      </c>
      <c r="W3467">
        <v>0.22992499999999999</v>
      </c>
      <c r="X3467">
        <v>0.97235700000000003</v>
      </c>
      <c r="Y3467">
        <v>-0.120348499999999</v>
      </c>
      <c r="Z3467">
        <v>6.6339269999999997E-4</v>
      </c>
      <c r="AA3467">
        <v>0.99273149999999999</v>
      </c>
      <c r="AB3467">
        <v>44</v>
      </c>
      <c r="AC3467">
        <v>-188.4983</v>
      </c>
      <c r="AD3467">
        <v>2.9710109999999998</v>
      </c>
      <c r="AE3467">
        <v>-20.8797999999999</v>
      </c>
      <c r="AF3467">
        <v>-22.872384456668499</v>
      </c>
      <c r="AG3467">
        <v>2.9710109999999998</v>
      </c>
      <c r="AH3467">
        <v>188.220035766801</v>
      </c>
      <c r="AI3467">
        <v>89.102277025263604</v>
      </c>
      <c r="AJ3467">
        <v>96.928576926739893</v>
      </c>
      <c r="AK3467">
        <v>189.62793765991199</v>
      </c>
      <c r="AL3467">
        <v>76.707344298009104</v>
      </c>
      <c r="AM3467">
        <v>87.603205360919105</v>
      </c>
      <c r="AN3467">
        <v>1.0000000386752099</v>
      </c>
    </row>
    <row r="3468" spans="1:40" x14ac:dyDescent="0.25">
      <c r="A3468" t="str">
        <f>"20190303170837096"</f>
        <v>20190303170837096</v>
      </c>
      <c r="B3468" t="str">
        <f>"1551604117087119"</f>
        <v>1551604117087119</v>
      </c>
      <c r="C3468" t="s">
        <v>40</v>
      </c>
      <c r="D3468">
        <v>4.7631600000000001</v>
      </c>
      <c r="E3468">
        <v>0.44198939999999998</v>
      </c>
      <c r="F3468" t="s">
        <v>76</v>
      </c>
      <c r="G3468">
        <v>-461.03219999999999</v>
      </c>
      <c r="H3468">
        <v>4.476407</v>
      </c>
      <c r="I3468">
        <v>119.63120000000001</v>
      </c>
      <c r="J3468">
        <v>-274.17410000000001</v>
      </c>
      <c r="K3468">
        <v>1.1197090000000001</v>
      </c>
      <c r="L3468">
        <v>140.70240000000001</v>
      </c>
      <c r="M3468">
        <v>-0.99989910000000004</v>
      </c>
      <c r="N3468">
        <v>-8.9661910000000001E-3</v>
      </c>
      <c r="O3468">
        <v>1.1032109999999999E-2</v>
      </c>
      <c r="P3468">
        <v>-0.97372309999999995</v>
      </c>
      <c r="Q3468">
        <v>0.22213340000000001</v>
      </c>
      <c r="R3468">
        <v>5.0200929999999998E-2</v>
      </c>
      <c r="S3468">
        <v>-3.0859070000000002</v>
      </c>
      <c r="T3468">
        <v>5.5308099999999999E-2</v>
      </c>
      <c r="U3468">
        <v>-0.3471069</v>
      </c>
      <c r="V3468">
        <v>3.975269E-2</v>
      </c>
      <c r="W3468">
        <v>0.2308085</v>
      </c>
      <c r="X3468">
        <v>0.97218680000000002</v>
      </c>
      <c r="Y3468">
        <v>-0.1227195</v>
      </c>
      <c r="Z3468">
        <v>8.3996769999999997E-4</v>
      </c>
      <c r="AA3468">
        <v>0.99244109999999996</v>
      </c>
      <c r="AB3468">
        <v>44</v>
      </c>
      <c r="AC3468">
        <v>-186.85810000000001</v>
      </c>
      <c r="AD3468">
        <v>3.3566980000000002</v>
      </c>
      <c r="AE3468">
        <v>-21.071200000000001</v>
      </c>
      <c r="AF3468">
        <v>-23.124070789472398</v>
      </c>
      <c r="AG3468">
        <v>3.3566980000000002</v>
      </c>
      <c r="AH3468">
        <v>186.554813067742</v>
      </c>
      <c r="AI3468">
        <v>88.977010149030605</v>
      </c>
      <c r="AJ3468">
        <v>97.065955696970093</v>
      </c>
      <c r="AK3468">
        <v>188.012468602696</v>
      </c>
      <c r="AL3468">
        <v>76.655323912208004</v>
      </c>
      <c r="AM3468">
        <v>87.658481657599495</v>
      </c>
      <c r="AN3468">
        <v>1.00000000706436</v>
      </c>
    </row>
    <row r="3469" spans="1:40" x14ac:dyDescent="0.25">
      <c r="A3469" t="str">
        <f>"20190303170837119"</f>
        <v>20190303170837119</v>
      </c>
      <c r="B3469" t="str">
        <f>"1551604117106639"</f>
        <v>1551604117106639</v>
      </c>
      <c r="C3469" t="s">
        <v>40</v>
      </c>
      <c r="D3469">
        <v>4.786886</v>
      </c>
      <c r="E3469">
        <v>0.44152019999999997</v>
      </c>
      <c r="F3469" t="s">
        <v>76</v>
      </c>
      <c r="G3469">
        <v>-460.06200000000001</v>
      </c>
      <c r="H3469">
        <v>4.6348510000000003</v>
      </c>
      <c r="I3469">
        <v>119.395</v>
      </c>
      <c r="J3469">
        <v>-274.60550000000001</v>
      </c>
      <c r="K3469">
        <v>1.1197029999999999</v>
      </c>
      <c r="L3469">
        <v>140.70740000000001</v>
      </c>
      <c r="M3469">
        <v>-0.99989430000000001</v>
      </c>
      <c r="N3469">
        <v>-8.9621570000000001E-3</v>
      </c>
      <c r="O3469">
        <v>1.145944E-2</v>
      </c>
      <c r="P3469">
        <v>-0.97370400000000001</v>
      </c>
      <c r="Q3469">
        <v>0.22202330000000001</v>
      </c>
      <c r="R3469">
        <v>5.105349E-2</v>
      </c>
      <c r="S3469">
        <v>-3.0858460000000001</v>
      </c>
      <c r="T3469">
        <v>5.8353780000000001E-2</v>
      </c>
      <c r="U3469">
        <v>-0.35371399999999997</v>
      </c>
      <c r="V3469">
        <v>4.0189719999999998E-2</v>
      </c>
      <c r="W3469">
        <v>0.23069390000000001</v>
      </c>
      <c r="X3469">
        <v>0.97219599999999995</v>
      </c>
      <c r="Y3469">
        <v>-0.12524089999999999</v>
      </c>
      <c r="Z3469">
        <v>9.3545430000000005E-4</v>
      </c>
      <c r="AA3469">
        <v>0.99212590000000001</v>
      </c>
      <c r="AB3469">
        <v>44</v>
      </c>
      <c r="AC3469">
        <v>-185.45649999999901</v>
      </c>
      <c r="AD3469">
        <v>3.5151479999999999</v>
      </c>
      <c r="AE3469">
        <v>-21.3124</v>
      </c>
      <c r="AF3469">
        <v>-23.428006275647999</v>
      </c>
      <c r="AG3469">
        <v>3.5151479999999999</v>
      </c>
      <c r="AH3469">
        <v>185.13444010881599</v>
      </c>
      <c r="AI3469">
        <v>88.920859841355806</v>
      </c>
      <c r="AJ3469">
        <v>97.212211155435099</v>
      </c>
      <c r="AK3469">
        <v>186.64401586420701</v>
      </c>
      <c r="AL3469">
        <v>76.662071698588605</v>
      </c>
      <c r="AM3469">
        <v>87.632791158742606</v>
      </c>
      <c r="AN3469">
        <v>0.99999997575344302</v>
      </c>
    </row>
    <row r="3470" spans="1:40" x14ac:dyDescent="0.25">
      <c r="A3470" t="str">
        <f>"20190303170837141"</f>
        <v>20190303170837141</v>
      </c>
      <c r="B3470" t="str">
        <f>"1551604117136896"</f>
        <v>1551604117136896</v>
      </c>
      <c r="C3470" t="s">
        <v>40</v>
      </c>
      <c r="D3470">
        <v>4.7788459999999997</v>
      </c>
      <c r="E3470">
        <v>0.43531300000000001</v>
      </c>
      <c r="F3470" t="s">
        <v>76</v>
      </c>
      <c r="G3470">
        <v>-459.76650000000001</v>
      </c>
      <c r="H3470">
        <v>4.6285049999999996</v>
      </c>
      <c r="I3470">
        <v>119.395</v>
      </c>
      <c r="J3470">
        <v>-275.05709999999999</v>
      </c>
      <c r="K3470">
        <v>1.1196950000000001</v>
      </c>
      <c r="L3470">
        <v>140.71289999999999</v>
      </c>
      <c r="M3470">
        <v>-0.99988920000000003</v>
      </c>
      <c r="N3470">
        <v>-8.9508690000000002E-3</v>
      </c>
      <c r="O3470">
        <v>1.1904420000000001E-2</v>
      </c>
      <c r="P3470">
        <v>-0.97374079999999996</v>
      </c>
      <c r="Q3470">
        <v>0.221557</v>
      </c>
      <c r="R3470">
        <v>5.2361320000000003E-2</v>
      </c>
      <c r="S3470">
        <v>-3.0863040000000002</v>
      </c>
      <c r="T3470">
        <v>5.8485870000000002E-2</v>
      </c>
      <c r="U3470">
        <v>-0.3552399</v>
      </c>
      <c r="V3470">
        <v>4.106307E-2</v>
      </c>
      <c r="W3470">
        <v>0.230216</v>
      </c>
      <c r="X3470">
        <v>0.97227280000000005</v>
      </c>
      <c r="Y3470">
        <v>-0.1261495</v>
      </c>
      <c r="Z3470">
        <v>9.5580570000000002E-4</v>
      </c>
      <c r="AA3470">
        <v>0.99201079999999997</v>
      </c>
      <c r="AB3470">
        <v>44</v>
      </c>
      <c r="AC3470">
        <v>-184.70939999999999</v>
      </c>
      <c r="AD3470">
        <v>3.50881</v>
      </c>
      <c r="AE3470">
        <v>-21.317899999999899</v>
      </c>
      <c r="AF3470">
        <v>-23.506964111487701</v>
      </c>
      <c r="AG3470">
        <v>3.50881</v>
      </c>
      <c r="AH3470">
        <v>184.376862970639</v>
      </c>
      <c r="AI3470">
        <v>88.918508309761194</v>
      </c>
      <c r="AJ3470">
        <v>97.265676391982396</v>
      </c>
      <c r="AK3470">
        <v>185.90243868289801</v>
      </c>
      <c r="AL3470">
        <v>76.690210965275298</v>
      </c>
      <c r="AM3470">
        <v>87.581601353404807</v>
      </c>
      <c r="AN3470">
        <v>0.99999998999683204</v>
      </c>
    </row>
    <row r="3471" spans="1:40" x14ac:dyDescent="0.25">
      <c r="A3471" t="str">
        <f>"20190303170837162"</f>
        <v>20190303170837162</v>
      </c>
      <c r="B3471" t="str">
        <f>"1551604117156415"</f>
        <v>1551604117156415</v>
      </c>
      <c r="C3471" t="s">
        <v>40</v>
      </c>
      <c r="D3471">
        <v>4.8074709999999996</v>
      </c>
      <c r="E3471">
        <v>0.43523709999999999</v>
      </c>
      <c r="F3471" t="s">
        <v>76</v>
      </c>
      <c r="G3471">
        <v>-440.20710000000003</v>
      </c>
      <c r="H3471">
        <v>3.8025479999999998</v>
      </c>
      <c r="I3471">
        <v>119.29219999999999</v>
      </c>
      <c r="J3471">
        <v>-275.47620000000001</v>
      </c>
      <c r="K3471">
        <v>1.1196980000000001</v>
      </c>
      <c r="L3471">
        <v>140.7182</v>
      </c>
      <c r="M3471">
        <v>-0.99988429999999995</v>
      </c>
      <c r="N3471">
        <v>-8.9356839999999993E-3</v>
      </c>
      <c r="O3471">
        <v>1.231521E-2</v>
      </c>
      <c r="P3471">
        <v>-0.97366600000000003</v>
      </c>
      <c r="Q3471">
        <v>0.22176770000000001</v>
      </c>
      <c r="R3471">
        <v>5.2856239999999999E-2</v>
      </c>
      <c r="S3471">
        <v>-3.0910639999999998</v>
      </c>
      <c r="T3471">
        <v>5.021465E-2</v>
      </c>
      <c r="U3471">
        <v>-0.40092470000000002</v>
      </c>
      <c r="V3471">
        <v>4.1158779999999999E-2</v>
      </c>
      <c r="W3471">
        <v>0.23041139999999999</v>
      </c>
      <c r="X3471">
        <v>0.97222249999999999</v>
      </c>
      <c r="Y3471">
        <v>-0.14081859999999999</v>
      </c>
      <c r="Z3471">
        <v>8.159587E-4</v>
      </c>
      <c r="AA3471">
        <v>0.99003509999999995</v>
      </c>
      <c r="AB3471">
        <v>44</v>
      </c>
      <c r="AC3471">
        <v>-164.73089999999999</v>
      </c>
      <c r="AD3471">
        <v>2.6828500000000002</v>
      </c>
      <c r="AE3471">
        <v>-21.425999999999998</v>
      </c>
      <c r="AF3471">
        <v>-23.447035843457101</v>
      </c>
      <c r="AG3471">
        <v>2.6828500000000002</v>
      </c>
      <c r="AH3471">
        <v>164.41164698059299</v>
      </c>
      <c r="AI3471">
        <v>89.074499592391007</v>
      </c>
      <c r="AJ3471">
        <v>98.116324180395395</v>
      </c>
      <c r="AK3471">
        <v>166.096811639592</v>
      </c>
      <c r="AL3471">
        <v>76.678706538254502</v>
      </c>
      <c r="AM3471">
        <v>87.575845991629507</v>
      </c>
      <c r="AN3471">
        <v>1.00000002396364</v>
      </c>
    </row>
    <row r="3472" spans="1:40" x14ac:dyDescent="0.25">
      <c r="A3472" t="str">
        <f>"20190303170837185"</f>
        <v>20190303170837185</v>
      </c>
      <c r="B3472" t="str">
        <f>"1551604117176911"</f>
        <v>1551604117176911</v>
      </c>
      <c r="C3472" t="s">
        <v>40</v>
      </c>
      <c r="D3472">
        <v>4.7899529999999997</v>
      </c>
      <c r="E3472">
        <v>0.43486809999999998</v>
      </c>
      <c r="F3472" t="s">
        <v>76</v>
      </c>
      <c r="G3472">
        <v>-440.20710000000003</v>
      </c>
      <c r="H3472">
        <v>4.0930879999999998</v>
      </c>
      <c r="I3472">
        <v>119.4226</v>
      </c>
      <c r="J3472">
        <v>-275.93189999999998</v>
      </c>
      <c r="K3472">
        <v>1.119705</v>
      </c>
      <c r="L3472">
        <v>140.72409999999999</v>
      </c>
      <c r="M3472">
        <v>-0.99987890000000001</v>
      </c>
      <c r="N3472">
        <v>-8.9175260000000003E-3</v>
      </c>
      <c r="O3472">
        <v>1.27595E-2</v>
      </c>
      <c r="P3472">
        <v>-0.97337340000000006</v>
      </c>
      <c r="Q3472">
        <v>0.22273670000000001</v>
      </c>
      <c r="R3472">
        <v>5.4157480000000001E-2</v>
      </c>
      <c r="S3472">
        <v>-3.0901179999999999</v>
      </c>
      <c r="T3472">
        <v>5.5777069999999998E-2</v>
      </c>
      <c r="U3472">
        <v>-0.39947510000000003</v>
      </c>
      <c r="V3472">
        <v>4.2031770000000003E-2</v>
      </c>
      <c r="W3472">
        <v>0.23135919999999999</v>
      </c>
      <c r="X3472">
        <v>0.97196000000000005</v>
      </c>
      <c r="Y3472">
        <v>-0.1408365</v>
      </c>
      <c r="Z3472">
        <v>9.7775480000000001E-4</v>
      </c>
      <c r="AA3472">
        <v>0.99003240000000003</v>
      </c>
      <c r="AB3472">
        <v>44</v>
      </c>
      <c r="AC3472">
        <v>-164.27520000000001</v>
      </c>
      <c r="AD3472">
        <v>2.9733830000000001</v>
      </c>
      <c r="AE3472">
        <v>-21.301499999999901</v>
      </c>
      <c r="AF3472">
        <v>-23.3883828378532</v>
      </c>
      <c r="AG3472">
        <v>2.9733830000000001</v>
      </c>
      <c r="AH3472">
        <v>163.93719930037801</v>
      </c>
      <c r="AI3472">
        <v>88.971335108266302</v>
      </c>
      <c r="AJ3472">
        <v>98.119409963949906</v>
      </c>
      <c r="AK3472">
        <v>165.623859309843</v>
      </c>
      <c r="AL3472">
        <v>76.622893195970505</v>
      </c>
      <c r="AM3472">
        <v>87.523824527936398</v>
      </c>
      <c r="AN3472">
        <v>0.99999999535698603</v>
      </c>
    </row>
    <row r="3473" spans="1:40" x14ac:dyDescent="0.25">
      <c r="A3473" t="str">
        <f>"20190303170837209"</f>
        <v>20190303170837209</v>
      </c>
      <c r="B3473" t="str">
        <f>"1551604117196431"</f>
        <v>1551604117196431</v>
      </c>
      <c r="C3473" t="s">
        <v>40</v>
      </c>
      <c r="D3473">
        <v>4.8006320000000002</v>
      </c>
      <c r="E3473">
        <v>0.4346235</v>
      </c>
      <c r="F3473" t="s">
        <v>76</v>
      </c>
      <c r="G3473">
        <v>-440.20710000000003</v>
      </c>
      <c r="H3473">
        <v>4.5089870000000003</v>
      </c>
      <c r="I3473">
        <v>119.554</v>
      </c>
      <c r="J3473">
        <v>-276.40030000000002</v>
      </c>
      <c r="K3473">
        <v>1.119705</v>
      </c>
      <c r="L3473">
        <v>140.7304</v>
      </c>
      <c r="M3473">
        <v>-0.99987320000000002</v>
      </c>
      <c r="N3473">
        <v>-8.8997769999999993E-3</v>
      </c>
      <c r="O3473">
        <v>1.321165E-2</v>
      </c>
      <c r="P3473">
        <v>-0.97305489999999994</v>
      </c>
      <c r="Q3473">
        <v>0.2238522</v>
      </c>
      <c r="R3473">
        <v>5.527021E-2</v>
      </c>
      <c r="S3473">
        <v>-3.089661</v>
      </c>
      <c r="T3473">
        <v>6.3745499999999997E-2</v>
      </c>
      <c r="U3473">
        <v>-0.39816279999999998</v>
      </c>
      <c r="V3473">
        <v>4.2708830000000003E-2</v>
      </c>
      <c r="W3473">
        <v>0.23245389999999999</v>
      </c>
      <c r="X3473">
        <v>0.97166929999999996</v>
      </c>
      <c r="Y3473">
        <v>-0.1408828</v>
      </c>
      <c r="Z3473">
        <v>1.206199E-3</v>
      </c>
      <c r="AA3473">
        <v>0.9900255</v>
      </c>
      <c r="AB3473">
        <v>44</v>
      </c>
      <c r="AC3473">
        <v>-163.80680000000001</v>
      </c>
      <c r="AD3473">
        <v>3.3892820000000001</v>
      </c>
      <c r="AE3473">
        <v>-21.176400000000001</v>
      </c>
      <c r="AF3473">
        <v>-23.328972154880901</v>
      </c>
      <c r="AG3473">
        <v>3.3892820000000001</v>
      </c>
      <c r="AH3473">
        <v>163.44389477450801</v>
      </c>
      <c r="AI3473">
        <v>88.823962497085304</v>
      </c>
      <c r="AJ3473">
        <v>98.123177912800003</v>
      </c>
      <c r="AK3473">
        <v>165.135201920545</v>
      </c>
      <c r="AL3473">
        <v>76.558414333968699</v>
      </c>
      <c r="AM3473">
        <v>87.483236661043193</v>
      </c>
      <c r="AN3473">
        <v>1.0000000441738299</v>
      </c>
    </row>
    <row r="3474" spans="1:40" x14ac:dyDescent="0.25">
      <c r="A3474" t="str">
        <f>"20190303170837254"</f>
        <v>20190303170837254</v>
      </c>
      <c r="B3474" t="str">
        <f>"1551604117247183"</f>
        <v>1551604117247183</v>
      </c>
      <c r="C3474" t="s">
        <v>40</v>
      </c>
      <c r="D3474">
        <v>4.7008150000000004</v>
      </c>
      <c r="E3474">
        <v>0.43574030000000002</v>
      </c>
      <c r="F3474" t="s">
        <v>76</v>
      </c>
      <c r="G3474">
        <v>-440.20710000000003</v>
      </c>
      <c r="H3474">
        <v>4.8166000000000002</v>
      </c>
      <c r="I3474">
        <v>119.7017</v>
      </c>
      <c r="J3474">
        <v>-277.28039999999999</v>
      </c>
      <c r="K3474">
        <v>1.1197109999999999</v>
      </c>
      <c r="L3474">
        <v>140.74279999999999</v>
      </c>
      <c r="M3474">
        <v>-0.99986249999999999</v>
      </c>
      <c r="N3474">
        <v>-8.8734399999999998E-3</v>
      </c>
      <c r="O3474">
        <v>1.4016610000000001E-2</v>
      </c>
      <c r="P3474">
        <v>-0.97332320000000005</v>
      </c>
      <c r="Q3474">
        <v>0.22217719999999999</v>
      </c>
      <c r="R3474">
        <v>5.7266490000000003E-2</v>
      </c>
      <c r="S3474">
        <v>-3.089569</v>
      </c>
      <c r="T3474">
        <v>6.9727780000000003E-2</v>
      </c>
      <c r="U3474">
        <v>-0.39662170000000002</v>
      </c>
      <c r="V3474">
        <v>4.3906059999999997E-2</v>
      </c>
      <c r="W3474">
        <v>0.23075660000000001</v>
      </c>
      <c r="X3474">
        <v>0.97202040000000001</v>
      </c>
      <c r="Y3474">
        <v>-0.14119200000000001</v>
      </c>
      <c r="Z3474">
        <v>1.3963980000000001E-3</v>
      </c>
      <c r="AA3474">
        <v>0.98998120000000001</v>
      </c>
      <c r="AB3474">
        <v>45</v>
      </c>
      <c r="AC3474">
        <v>-162.92670000000001</v>
      </c>
      <c r="AD3474">
        <v>3.6968890000000001</v>
      </c>
      <c r="AE3474">
        <v>-21.041099999999901</v>
      </c>
      <c r="AF3474">
        <v>-23.310997493542899</v>
      </c>
      <c r="AG3474">
        <v>3.6968890000000001</v>
      </c>
      <c r="AH3474">
        <v>162.53344772939701</v>
      </c>
      <c r="AI3474">
        <v>88.710202567301593</v>
      </c>
      <c r="AJ3474">
        <v>98.161859793170393</v>
      </c>
      <c r="AK3474">
        <v>164.238214868608</v>
      </c>
      <c r="AL3474">
        <v>76.658380025050505</v>
      </c>
      <c r="AM3474">
        <v>87.413713614587195</v>
      </c>
      <c r="AN3474">
        <v>1.0000000042822199</v>
      </c>
    </row>
    <row r="3475" spans="1:40" x14ac:dyDescent="0.25">
      <c r="A3475" t="str">
        <f>"20190303170837274"</f>
        <v>20190303170837274</v>
      </c>
      <c r="B3475" t="str">
        <f>"1551604117266233"</f>
        <v>1551604117266233</v>
      </c>
      <c r="C3475" t="s">
        <v>40</v>
      </c>
      <c r="D3475">
        <v>4.7750149999999998</v>
      </c>
      <c r="E3475">
        <v>0.48628460000000001</v>
      </c>
      <c r="F3475" t="s">
        <v>76</v>
      </c>
      <c r="G3475">
        <v>-449.95890000000003</v>
      </c>
      <c r="H3475">
        <v>4.1233750000000002</v>
      </c>
      <c r="I3475">
        <v>119.395</v>
      </c>
      <c r="J3475">
        <v>-277.721</v>
      </c>
      <c r="K3475">
        <v>1.1197189999999999</v>
      </c>
      <c r="L3475">
        <v>140.7492</v>
      </c>
      <c r="M3475">
        <v>-0.9998572</v>
      </c>
      <c r="N3475">
        <v>-8.8641589999999999E-3</v>
      </c>
      <c r="O3475">
        <v>1.4390399999999999E-2</v>
      </c>
      <c r="P3475">
        <v>-0.97326950000000001</v>
      </c>
      <c r="Q3475">
        <v>0.22195029999999999</v>
      </c>
      <c r="R3475">
        <v>5.9032290000000001E-2</v>
      </c>
      <c r="S3475">
        <v>-3.092438</v>
      </c>
      <c r="T3475">
        <v>5.3792119999999999E-2</v>
      </c>
      <c r="U3475">
        <v>-0.38230900000000001</v>
      </c>
      <c r="V3475">
        <v>4.5300100000000003E-2</v>
      </c>
      <c r="W3475">
        <v>0.2305209</v>
      </c>
      <c r="X3475">
        <v>0.97201230000000005</v>
      </c>
      <c r="Y3475">
        <v>-0.13694770000000001</v>
      </c>
      <c r="Z3475">
        <v>9.5361649999999997E-4</v>
      </c>
      <c r="AA3475">
        <v>0.99057779999999995</v>
      </c>
      <c r="AB3475">
        <v>45</v>
      </c>
      <c r="AC3475">
        <v>-172.2379</v>
      </c>
      <c r="AD3475">
        <v>3.0036559999999999</v>
      </c>
      <c r="AE3475">
        <v>-21.354199999999999</v>
      </c>
      <c r="AF3475">
        <v>-23.823522726142201</v>
      </c>
      <c r="AG3475">
        <v>3.0036559999999999</v>
      </c>
      <c r="AH3475">
        <v>171.861281339388</v>
      </c>
      <c r="AI3475">
        <v>89.008213138175705</v>
      </c>
      <c r="AJ3475">
        <v>97.892084118764103</v>
      </c>
      <c r="AK3475">
        <v>173.53063766397401</v>
      </c>
      <c r="AL3475">
        <v>76.672258054588198</v>
      </c>
      <c r="AM3475">
        <v>87.331692342772698</v>
      </c>
      <c r="AN3475">
        <v>0.999999947874053</v>
      </c>
    </row>
    <row r="3476" spans="1:40" x14ac:dyDescent="0.25">
      <c r="A3476" t="str">
        <f>"20190303170837296"</f>
        <v>20190303170837296</v>
      </c>
      <c r="B3476" t="str">
        <f>"1551604117286729"</f>
        <v>1551604117286729</v>
      </c>
      <c r="C3476" t="s">
        <v>40</v>
      </c>
      <c r="D3476">
        <v>4.7521719999999998</v>
      </c>
      <c r="E3476">
        <v>0.49323689999999998</v>
      </c>
      <c r="F3476" t="s">
        <v>45</v>
      </c>
      <c r="G3476">
        <v>0</v>
      </c>
      <c r="H3476">
        <v>0</v>
      </c>
      <c r="I3476">
        <v>0</v>
      </c>
      <c r="J3476">
        <v>-278.15969999999999</v>
      </c>
      <c r="K3476">
        <v>1.1197299999999999</v>
      </c>
      <c r="L3476">
        <v>140.75569999999999</v>
      </c>
      <c r="M3476">
        <v>-0.99985219999999997</v>
      </c>
      <c r="N3476">
        <v>-8.8572300000000007E-3</v>
      </c>
      <c r="O3476">
        <v>1.4740380000000001E-2</v>
      </c>
      <c r="P3476">
        <v>-0.973105</v>
      </c>
      <c r="Q3476">
        <v>0.22227330000000001</v>
      </c>
      <c r="R3476">
        <v>6.0512070000000001E-2</v>
      </c>
      <c r="S3476">
        <v>-3.0755620000000001</v>
      </c>
      <c r="T3476">
        <v>2.3401499999999999E-2</v>
      </c>
      <c r="U3476">
        <v>2.427673E-2</v>
      </c>
      <c r="V3476">
        <v>4.6431720000000003E-2</v>
      </c>
      <c r="W3476">
        <v>0.2308364</v>
      </c>
      <c r="X3476">
        <v>0.97188410000000003</v>
      </c>
      <c r="Y3476">
        <v>-6.8462030000000004E-3</v>
      </c>
      <c r="Z3476">
        <v>2.38435E-4</v>
      </c>
      <c r="AA3476">
        <v>0.99997650000000005</v>
      </c>
      <c r="AB3476">
        <v>45</v>
      </c>
      <c r="AC3476">
        <v>-3.0755620000000001</v>
      </c>
      <c r="AD3476">
        <v>2.3401499999999999E-2</v>
      </c>
      <c r="AE3476">
        <v>2.427673E-2</v>
      </c>
      <c r="AF3476">
        <v>-2.10614160384466E-2</v>
      </c>
      <c r="AG3476">
        <v>2.3401499999999999E-2</v>
      </c>
      <c r="AH3476">
        <v>3.0754076521519398</v>
      </c>
      <c r="AI3476">
        <v>89.564041577488496</v>
      </c>
      <c r="AJ3476">
        <v>90.392374449669006</v>
      </c>
      <c r="AK3476">
        <v>3.0755687994845</v>
      </c>
      <c r="AL3476">
        <v>76.653681251963505</v>
      </c>
      <c r="AM3476">
        <v>87.264776396869706</v>
      </c>
      <c r="AN3476">
        <v>1.00000002600996</v>
      </c>
    </row>
    <row r="3477" spans="1:40" x14ac:dyDescent="0.25">
      <c r="A3477" t="str">
        <f>"20190303170837318"</f>
        <v>20190303170837318</v>
      </c>
      <c r="B3477" t="str">
        <f>"1551604117307226"</f>
        <v>1551604117307226</v>
      </c>
      <c r="C3477" t="s">
        <v>40</v>
      </c>
      <c r="D3477">
        <v>4.7538519999999904</v>
      </c>
      <c r="E3477">
        <v>0.49606440000000002</v>
      </c>
      <c r="F3477" t="s">
        <v>45</v>
      </c>
      <c r="G3477">
        <v>0</v>
      </c>
      <c r="H3477">
        <v>0</v>
      </c>
      <c r="I3477">
        <v>0</v>
      </c>
      <c r="J3477">
        <v>-278.59980000000002</v>
      </c>
      <c r="K3477">
        <v>1.1197539999999999</v>
      </c>
      <c r="L3477">
        <v>140.76240000000001</v>
      </c>
      <c r="M3477">
        <v>-0.99984770000000001</v>
      </c>
      <c r="N3477">
        <v>-8.8526149999999994E-3</v>
      </c>
      <c r="O3477">
        <v>1.504954E-2</v>
      </c>
      <c r="P3477">
        <v>-0.97297230000000001</v>
      </c>
      <c r="Q3477">
        <v>0.22236620000000001</v>
      </c>
      <c r="R3477">
        <v>6.2278430000000003E-2</v>
      </c>
      <c r="S3477">
        <v>-3.0707399999999998</v>
      </c>
      <c r="T3477">
        <v>3.0271289999999999E-2</v>
      </c>
      <c r="U3477">
        <v>8.5067749999999998E-2</v>
      </c>
      <c r="V3477">
        <v>4.7883259999999997E-2</v>
      </c>
      <c r="W3477">
        <v>0.2309254</v>
      </c>
      <c r="X3477">
        <v>0.97179249999999995</v>
      </c>
      <c r="Y3477">
        <v>1.2647149999999999E-2</v>
      </c>
      <c r="Z3477">
        <v>2.7519129999999998E-4</v>
      </c>
      <c r="AA3477">
        <v>0.99992000000000003</v>
      </c>
      <c r="AB3477">
        <v>45</v>
      </c>
      <c r="AC3477">
        <v>-3.0707399999999998</v>
      </c>
      <c r="AD3477">
        <v>3.0271289999999999E-2</v>
      </c>
      <c r="AE3477">
        <v>8.5067749999999998E-2</v>
      </c>
      <c r="AF3477">
        <v>3.8839314843668302E-2</v>
      </c>
      <c r="AG3477">
        <v>3.0271289999999999E-2</v>
      </c>
      <c r="AH3477">
        <v>3.07137424327105</v>
      </c>
      <c r="AI3477">
        <v>89.435359478444795</v>
      </c>
      <c r="AJ3477">
        <v>89.275500138747006</v>
      </c>
      <c r="AK3477">
        <v>3.0717689668340298</v>
      </c>
      <c r="AL3477">
        <v>76.648440042917201</v>
      </c>
      <c r="AM3477">
        <v>87.179138892423495</v>
      </c>
      <c r="AN3477">
        <v>1.0000000050048099</v>
      </c>
    </row>
    <row r="3478" spans="1:40" x14ac:dyDescent="0.25">
      <c r="A3478" t="str">
        <f>"20190303170837339"</f>
        <v>20190303170837339</v>
      </c>
      <c r="B3478" t="str">
        <f>"1551604117326745"</f>
        <v>1551604117326745</v>
      </c>
      <c r="C3478" t="s">
        <v>40</v>
      </c>
      <c r="D3478">
        <v>4.760637</v>
      </c>
      <c r="E3478">
        <v>0.49713400000000002</v>
      </c>
      <c r="F3478" t="s">
        <v>75</v>
      </c>
      <c r="G3478">
        <v>-550.13049999999998</v>
      </c>
      <c r="H3478">
        <v>3.7368950000000001</v>
      </c>
      <c r="I3478">
        <v>150.69999999999999</v>
      </c>
      <c r="J3478">
        <v>-279.02499999999998</v>
      </c>
      <c r="K3478">
        <v>1.119799</v>
      </c>
      <c r="L3478">
        <v>140.76900000000001</v>
      </c>
      <c r="M3478">
        <v>-0.99984399999999996</v>
      </c>
      <c r="N3478">
        <v>-8.8501589999999998E-3</v>
      </c>
      <c r="O3478">
        <v>1.529139E-2</v>
      </c>
      <c r="P3478">
        <v>-0.97259220000000002</v>
      </c>
      <c r="Q3478">
        <v>0.22349379999999999</v>
      </c>
      <c r="R3478">
        <v>6.4148709999999998E-2</v>
      </c>
      <c r="S3478">
        <v>-3.0693969999999999</v>
      </c>
      <c r="T3478">
        <v>2.958477E-2</v>
      </c>
      <c r="U3478">
        <v>0.112335199999999</v>
      </c>
      <c r="V3478">
        <v>4.9502030000000002E-2</v>
      </c>
      <c r="W3478">
        <v>0.23205039999999999</v>
      </c>
      <c r="X3478">
        <v>0.97144339999999996</v>
      </c>
      <c r="Y3478">
        <v>2.1290469999999999E-2</v>
      </c>
      <c r="Z3478">
        <v>2.7429350000000001E-4</v>
      </c>
      <c r="AA3478">
        <v>0.99977329999999998</v>
      </c>
      <c r="AB3478">
        <v>45</v>
      </c>
      <c r="AC3478">
        <v>-271.10550000000001</v>
      </c>
      <c r="AD3478">
        <v>2.6170960000000001</v>
      </c>
      <c r="AE3478">
        <v>9.9309999999999796</v>
      </c>
      <c r="AF3478">
        <v>5.7835586083096997</v>
      </c>
      <c r="AG3478">
        <v>2.6170960000000001</v>
      </c>
      <c r="AH3478">
        <v>271.20042564517399</v>
      </c>
      <c r="AI3478">
        <v>89.447236050357901</v>
      </c>
      <c r="AJ3478">
        <v>88.778308416083306</v>
      </c>
      <c r="AK3478">
        <v>271.27471244436401</v>
      </c>
      <c r="AL3478">
        <v>76.582183329310794</v>
      </c>
      <c r="AM3478">
        <v>87.082890979610298</v>
      </c>
      <c r="AN3478">
        <v>1.00000005925891</v>
      </c>
    </row>
    <row r="3479" spans="1:40" x14ac:dyDescent="0.25">
      <c r="A3479" t="str">
        <f>"20190303170837363"</f>
        <v>20190303170837363</v>
      </c>
      <c r="B3479" t="str">
        <f>"1551604117357002"</f>
        <v>1551604117357002</v>
      </c>
      <c r="C3479" t="s">
        <v>40</v>
      </c>
      <c r="D3479">
        <v>4.7122390000000003</v>
      </c>
      <c r="E3479">
        <v>0.49824600000000002</v>
      </c>
      <c r="F3479" t="s">
        <v>75</v>
      </c>
      <c r="G3479">
        <v>-511.0598</v>
      </c>
      <c r="H3479">
        <v>3.502129</v>
      </c>
      <c r="I3479">
        <v>150.31780000000001</v>
      </c>
      <c r="J3479">
        <v>-279.50099999999998</v>
      </c>
      <c r="K3479">
        <v>1.1198549999999901</v>
      </c>
      <c r="L3479">
        <v>140.7764</v>
      </c>
      <c r="M3479">
        <v>-0.99984099999999998</v>
      </c>
      <c r="N3479">
        <v>-8.8496410000000001E-3</v>
      </c>
      <c r="O3479">
        <v>1.5493750000000001E-2</v>
      </c>
      <c r="P3479">
        <v>-0.97238760000000002</v>
      </c>
      <c r="Q3479">
        <v>0.22376589999999999</v>
      </c>
      <c r="R3479">
        <v>6.6269289999999995E-2</v>
      </c>
      <c r="S3479">
        <v>-3.069</v>
      </c>
      <c r="T3479">
        <v>3.1510349999999999E-2</v>
      </c>
      <c r="U3479">
        <v>0.12629699999999999</v>
      </c>
      <c r="V3479">
        <v>5.139726E-2</v>
      </c>
      <c r="W3479">
        <v>0.2323259</v>
      </c>
      <c r="X3479">
        <v>0.97127909999999995</v>
      </c>
      <c r="Y3479">
        <v>2.5634150000000001E-2</v>
      </c>
      <c r="Z3479">
        <v>2.7799660000000001E-4</v>
      </c>
      <c r="AA3479">
        <v>0.99967130000000004</v>
      </c>
      <c r="AB3479">
        <v>45</v>
      </c>
      <c r="AC3479">
        <v>-231.55879999999999</v>
      </c>
      <c r="AD3479">
        <v>2.3822739999999998</v>
      </c>
      <c r="AE3479">
        <v>9.5414000000000101</v>
      </c>
      <c r="AF3479">
        <v>5.9517717815350801</v>
      </c>
      <c r="AG3479">
        <v>2.3822739999999998</v>
      </c>
      <c r="AH3479">
        <v>231.65436305836101</v>
      </c>
      <c r="AI3479">
        <v>89.411000036367895</v>
      </c>
      <c r="AJ3479">
        <v>88.528253926597699</v>
      </c>
      <c r="AK3479">
        <v>231.74305327393401</v>
      </c>
      <c r="AL3479">
        <v>76.565954652839196</v>
      </c>
      <c r="AM3479">
        <v>86.970899560658097</v>
      </c>
      <c r="AN3479">
        <v>1.0000000461215599</v>
      </c>
    </row>
    <row r="3480" spans="1:40" x14ac:dyDescent="0.25">
      <c r="A3480" t="str">
        <f>"20190303170837385"</f>
        <v>20190303170837385</v>
      </c>
      <c r="B3480" t="str">
        <f>"1551604117376521"</f>
        <v>1551604117376521</v>
      </c>
      <c r="C3480" t="s">
        <v>40</v>
      </c>
      <c r="D3480">
        <v>4.757555</v>
      </c>
      <c r="E3480">
        <v>0.4987838</v>
      </c>
      <c r="F3480" t="s">
        <v>75</v>
      </c>
      <c r="G3480">
        <v>-511.0598</v>
      </c>
      <c r="H3480">
        <v>3.4995750000000001</v>
      </c>
      <c r="I3480">
        <v>151.4802</v>
      </c>
      <c r="J3480">
        <v>-279.95209999999997</v>
      </c>
      <c r="K3480">
        <v>1.119904</v>
      </c>
      <c r="L3480">
        <v>140.7835</v>
      </c>
      <c r="M3480">
        <v>-0.99983889999999997</v>
      </c>
      <c r="N3480">
        <v>-8.8513489999999997E-3</v>
      </c>
      <c r="O3480">
        <v>1.5626879999999999E-2</v>
      </c>
      <c r="P3480">
        <v>-0.97218039999999994</v>
      </c>
      <c r="Q3480">
        <v>0.2241457</v>
      </c>
      <c r="R3480">
        <v>6.8001999999999896E-2</v>
      </c>
      <c r="S3480">
        <v>-3.0682680000000002</v>
      </c>
      <c r="T3480">
        <v>3.1532999999999999E-2</v>
      </c>
      <c r="U3480">
        <v>0.1418304</v>
      </c>
      <c r="V3480">
        <v>5.2971949999999997E-2</v>
      </c>
      <c r="W3480">
        <v>0.23271120000000001</v>
      </c>
      <c r="X3480">
        <v>0.97110220000000003</v>
      </c>
      <c r="Y3480">
        <v>3.0561789999999998E-2</v>
      </c>
      <c r="Z3480">
        <v>2.7712400000000001E-4</v>
      </c>
      <c r="AA3480">
        <v>0.9995328</v>
      </c>
      <c r="AB3480">
        <v>45</v>
      </c>
      <c r="AC3480">
        <v>-231.10769999999999</v>
      </c>
      <c r="AD3480">
        <v>2.3796710000000001</v>
      </c>
      <c r="AE3480">
        <v>10.6966999999999</v>
      </c>
      <c r="AF3480">
        <v>7.0830112837046002</v>
      </c>
      <c r="AG3480">
        <v>2.3796710000000001</v>
      </c>
      <c r="AH3480">
        <v>231.22217772152999</v>
      </c>
      <c r="AI3480">
        <v>89.410625862153694</v>
      </c>
      <c r="AJ3480">
        <v>88.245411452789398</v>
      </c>
      <c r="AK3480">
        <v>231.342878328251</v>
      </c>
      <c r="AL3480">
        <v>76.543255933805398</v>
      </c>
      <c r="AM3480">
        <v>86.877708408822997</v>
      </c>
      <c r="AN3480">
        <v>1.0000000064685399</v>
      </c>
    </row>
    <row r="3481" spans="1:40" x14ac:dyDescent="0.25">
      <c r="A3481" t="str">
        <f>"20190303170837410"</f>
        <v>20190303170837410</v>
      </c>
      <c r="B3481" t="str">
        <f>"1551604117397017"</f>
        <v>1551604117397017</v>
      </c>
      <c r="C3481" t="s">
        <v>40</v>
      </c>
      <c r="D3481">
        <v>4.6984589999999997</v>
      </c>
      <c r="E3481">
        <v>0.4990231</v>
      </c>
      <c r="F3481" t="s">
        <v>75</v>
      </c>
      <c r="G3481">
        <v>-511.0598</v>
      </c>
      <c r="H3481">
        <v>3.5698949999999998</v>
      </c>
      <c r="I3481">
        <v>152.1842</v>
      </c>
      <c r="J3481">
        <v>-280.45030000000003</v>
      </c>
      <c r="K3481">
        <v>1.1199699999999999</v>
      </c>
      <c r="L3481">
        <v>140.79130000000001</v>
      </c>
      <c r="M3481">
        <v>-0.99983759999999999</v>
      </c>
      <c r="N3481">
        <v>-8.8554159999999996E-3</v>
      </c>
      <c r="O3481">
        <v>1.570467E-2</v>
      </c>
      <c r="P3481">
        <v>-0.97187659999999998</v>
      </c>
      <c r="Q3481">
        <v>0.224884</v>
      </c>
      <c r="R3481">
        <v>6.9879730000000001E-2</v>
      </c>
      <c r="S3481">
        <v>-3.06778</v>
      </c>
      <c r="T3481">
        <v>3.252232E-2</v>
      </c>
      <c r="U3481">
        <v>0.15133669999999999</v>
      </c>
      <c r="V3481">
        <v>5.4742979999999997E-2</v>
      </c>
      <c r="W3481">
        <v>0.23345830000000001</v>
      </c>
      <c r="X3481">
        <v>0.97082460000000004</v>
      </c>
      <c r="Y3481">
        <v>3.3581470000000002E-2</v>
      </c>
      <c r="Z3481">
        <v>2.762555E-4</v>
      </c>
      <c r="AA3481">
        <v>0.99943599999999999</v>
      </c>
      <c r="AB3481">
        <v>45</v>
      </c>
      <c r="AC3481">
        <v>-230.6095</v>
      </c>
      <c r="AD3481">
        <v>2.4499249999999901</v>
      </c>
      <c r="AE3481">
        <v>11.3928999999999</v>
      </c>
      <c r="AF3481">
        <v>7.7688325751637004</v>
      </c>
      <c r="AG3481">
        <v>2.4499249999999901</v>
      </c>
      <c r="AH3481">
        <v>230.73400846660999</v>
      </c>
      <c r="AI3481">
        <v>89.392002946809498</v>
      </c>
      <c r="AJ3481">
        <v>88.071575022480104</v>
      </c>
      <c r="AK3481">
        <v>230.87775890101699</v>
      </c>
      <c r="AL3481">
        <v>76.499237583974704</v>
      </c>
      <c r="AM3481">
        <v>86.772616081259898</v>
      </c>
      <c r="AN3481">
        <v>0.99999998783166499</v>
      </c>
    </row>
    <row r="3482" spans="1:40" x14ac:dyDescent="0.25">
      <c r="A3482" t="str">
        <f>"20190303170837432"</f>
        <v>20190303170837432</v>
      </c>
      <c r="B3482" t="str">
        <f>"1551604117416537"</f>
        <v>1551604117416537</v>
      </c>
      <c r="C3482" t="s">
        <v>40</v>
      </c>
      <c r="D3482">
        <v>4.6407059999999998</v>
      </c>
      <c r="E3482">
        <v>0.49922100000000003</v>
      </c>
      <c r="F3482" t="s">
        <v>75</v>
      </c>
      <c r="G3482">
        <v>-511.05990000000003</v>
      </c>
      <c r="H3482">
        <v>3.7871519999999999</v>
      </c>
      <c r="I3482">
        <v>152.75839999999999</v>
      </c>
      <c r="J3482">
        <v>-280.89479999999998</v>
      </c>
      <c r="K3482">
        <v>1.120034</v>
      </c>
      <c r="L3482">
        <v>140.79830000000001</v>
      </c>
      <c r="M3482">
        <v>-0.99983750000000005</v>
      </c>
      <c r="N3482">
        <v>-8.8607789999999992E-3</v>
      </c>
      <c r="O3482">
        <v>1.570508E-2</v>
      </c>
      <c r="P3482">
        <v>-0.97171269999999998</v>
      </c>
      <c r="Q3482">
        <v>0.22538530000000001</v>
      </c>
      <c r="R3482">
        <v>7.0541419999999994E-2</v>
      </c>
      <c r="S3482">
        <v>-3.0671390000000001</v>
      </c>
      <c r="T3482">
        <v>3.547442E-2</v>
      </c>
      <c r="U3482">
        <v>0.15916440000000001</v>
      </c>
      <c r="V3482">
        <v>5.5374729999999997E-2</v>
      </c>
      <c r="W3482">
        <v>0.23397109999999999</v>
      </c>
      <c r="X3482">
        <v>0.97066529999999995</v>
      </c>
      <c r="Y3482">
        <v>3.613545E-2</v>
      </c>
      <c r="Z3482">
        <v>2.7195369999999998E-4</v>
      </c>
      <c r="AA3482">
        <v>0.99934690000000004</v>
      </c>
      <c r="AB3482">
        <v>45</v>
      </c>
      <c r="AC3482">
        <v>-230.1651</v>
      </c>
      <c r="AD3482">
        <v>2.6671179999999999</v>
      </c>
      <c r="AE3482">
        <v>11.960099999999899</v>
      </c>
      <c r="AF3482">
        <v>8.3426047252147004</v>
      </c>
      <c r="AG3482">
        <v>2.6671179999999999</v>
      </c>
      <c r="AH3482">
        <v>230.29371249973701</v>
      </c>
      <c r="AI3482">
        <v>89.336900635225206</v>
      </c>
      <c r="AJ3482">
        <v>87.925314130862603</v>
      </c>
      <c r="AK3482">
        <v>230.46020608542901</v>
      </c>
      <c r="AL3482">
        <v>76.469019320872803</v>
      </c>
      <c r="AM3482">
        <v>86.734916624593495</v>
      </c>
      <c r="AN3482">
        <v>0.99999998049093597</v>
      </c>
    </row>
    <row r="3483" spans="1:40" x14ac:dyDescent="0.25">
      <c r="A3483" t="str">
        <f>"20190303170837455"</f>
        <v>20190303170837455</v>
      </c>
      <c r="B3483" t="str">
        <f>"1551604117446793"</f>
        <v>1551604117446793</v>
      </c>
      <c r="C3483" t="s">
        <v>40</v>
      </c>
      <c r="D3483">
        <v>4.6555669999999996</v>
      </c>
      <c r="E3483">
        <v>0.49955310000000003</v>
      </c>
      <c r="F3483" t="s">
        <v>75</v>
      </c>
      <c r="G3483">
        <v>-511.06</v>
      </c>
      <c r="H3483">
        <v>3.9547080000000001</v>
      </c>
      <c r="I3483">
        <v>153.01050000000001</v>
      </c>
      <c r="J3483">
        <v>-281.35739999999998</v>
      </c>
      <c r="K3483">
        <v>1.120099</v>
      </c>
      <c r="L3483">
        <v>140.80549999999999</v>
      </c>
      <c r="M3483">
        <v>-0.99983829999999996</v>
      </c>
      <c r="N3483">
        <v>-8.8683800000000004E-3</v>
      </c>
      <c r="O3483">
        <v>1.5649260000000002E-2</v>
      </c>
      <c r="P3483">
        <v>-0.97167340000000002</v>
      </c>
      <c r="Q3483">
        <v>0.2258107</v>
      </c>
      <c r="R3483">
        <v>6.9717860000000006E-2</v>
      </c>
      <c r="S3483">
        <v>-3.0668030000000002</v>
      </c>
      <c r="T3483">
        <v>3.7770749999999999E-2</v>
      </c>
      <c r="U3483">
        <v>0.16271969999999999</v>
      </c>
      <c r="V3483">
        <v>5.4573579999999997E-2</v>
      </c>
      <c r="W3483">
        <v>0.23441100000000001</v>
      </c>
      <c r="X3483">
        <v>0.97060449999999998</v>
      </c>
      <c r="Y3483">
        <v>3.735223E-2</v>
      </c>
      <c r="Z3483">
        <v>2.6716970000000001E-4</v>
      </c>
      <c r="AA3483">
        <v>0.99930209999999997</v>
      </c>
      <c r="AB3483">
        <v>45</v>
      </c>
      <c r="AC3483">
        <v>-229.70259999999999</v>
      </c>
      <c r="AD3483">
        <v>2.8346089999999999</v>
      </c>
      <c r="AE3483">
        <v>12.205</v>
      </c>
      <c r="AF3483">
        <v>8.60738145237735</v>
      </c>
      <c r="AG3483">
        <v>2.8346089999999999</v>
      </c>
      <c r="AH3483">
        <v>229.83057477120701</v>
      </c>
      <c r="AI3483">
        <v>89.293874898436798</v>
      </c>
      <c r="AJ3483">
        <v>87.855218974805993</v>
      </c>
      <c r="AK3483">
        <v>230.009163129022</v>
      </c>
      <c r="AL3483">
        <v>76.443093432866704</v>
      </c>
      <c r="AM3483">
        <v>86.781854012494193</v>
      </c>
      <c r="AN3483">
        <v>0.99999994398763103</v>
      </c>
    </row>
    <row r="3484" spans="1:40" x14ac:dyDescent="0.25">
      <c r="A3484" t="str">
        <f>"20190303170837499"</f>
        <v>20190303170837499</v>
      </c>
      <c r="B3484" t="str">
        <f>"1551604117486809"</f>
        <v>1551604117486809</v>
      </c>
      <c r="C3484" t="s">
        <v>40</v>
      </c>
      <c r="D3484">
        <v>4.6449790000000002</v>
      </c>
      <c r="E3484">
        <v>0.49988779999999999</v>
      </c>
      <c r="F3484" t="s">
        <v>75</v>
      </c>
      <c r="G3484">
        <v>-511.06</v>
      </c>
      <c r="H3484">
        <v>4.0293029999999996</v>
      </c>
      <c r="I3484">
        <v>152.99209999999999</v>
      </c>
      <c r="J3484">
        <v>-282.24990000000003</v>
      </c>
      <c r="K3484">
        <v>1.120215</v>
      </c>
      <c r="L3484">
        <v>140.8192</v>
      </c>
      <c r="M3484">
        <v>-0.99984189999999995</v>
      </c>
      <c r="N3484">
        <v>-8.9010430000000008E-3</v>
      </c>
      <c r="O3484">
        <v>1.540207E-2</v>
      </c>
      <c r="P3484">
        <v>-0.97159419999999996</v>
      </c>
      <c r="Q3484">
        <v>0.2271193</v>
      </c>
      <c r="R3484">
        <v>6.6497420000000002E-2</v>
      </c>
      <c r="S3484">
        <v>-3.0667719999999998</v>
      </c>
      <c r="T3484">
        <v>3.8841489999999999E-2</v>
      </c>
      <c r="U3484">
        <v>0.1627045</v>
      </c>
      <c r="V3484">
        <v>5.1534690000000001E-2</v>
      </c>
      <c r="W3484">
        <v>0.23576430000000001</v>
      </c>
      <c r="X3484">
        <v>0.9704429</v>
      </c>
      <c r="Y3484">
        <v>3.7594820000000001E-2</v>
      </c>
      <c r="Z3484">
        <v>2.6145219999999998E-4</v>
      </c>
      <c r="AA3484">
        <v>0.99929299999999999</v>
      </c>
      <c r="AB3484">
        <v>45</v>
      </c>
      <c r="AC3484">
        <v>-228.81010000000001</v>
      </c>
      <c r="AD3484">
        <v>2.9090880000000001</v>
      </c>
      <c r="AE3484">
        <v>12.172899999999901</v>
      </c>
      <c r="AF3484">
        <v>8.6457740414740698</v>
      </c>
      <c r="AG3484">
        <v>2.9090880000000001</v>
      </c>
      <c r="AH3484">
        <v>228.93355030032799</v>
      </c>
      <c r="AI3484">
        <v>89.272492915726602</v>
      </c>
      <c r="AJ3484">
        <v>87.837228042260904</v>
      </c>
      <c r="AK3484">
        <v>229.115216986739</v>
      </c>
      <c r="AL3484">
        <v>76.363320443915498</v>
      </c>
      <c r="AM3484">
        <v>86.960203119640397</v>
      </c>
      <c r="AN3484">
        <v>1.0000000257941399</v>
      </c>
    </row>
    <row r="3485" spans="1:40" x14ac:dyDescent="0.25">
      <c r="A3485" t="str">
        <f>"20190303170837519"</f>
        <v>20190303170837519</v>
      </c>
      <c r="B3485" t="str">
        <f>"1551604117507307"</f>
        <v>1551604117507307</v>
      </c>
      <c r="C3485" t="s">
        <v>40</v>
      </c>
      <c r="D3485">
        <v>4.6460330000000001</v>
      </c>
      <c r="E3485">
        <v>0.4999306</v>
      </c>
      <c r="F3485" t="s">
        <v>75</v>
      </c>
      <c r="G3485">
        <v>-511.06009999999998</v>
      </c>
      <c r="H3485">
        <v>4.2528180000000004</v>
      </c>
      <c r="I3485">
        <v>152.41</v>
      </c>
      <c r="J3485">
        <v>-282.66579999999999</v>
      </c>
      <c r="K3485">
        <v>1.1202669999999999</v>
      </c>
      <c r="L3485">
        <v>140.82550000000001</v>
      </c>
      <c r="M3485">
        <v>-0.99984410000000001</v>
      </c>
      <c r="N3485">
        <v>-8.926738E-3</v>
      </c>
      <c r="O3485">
        <v>1.524036E-2</v>
      </c>
      <c r="P3485">
        <v>-0.97153259999999997</v>
      </c>
      <c r="Q3485">
        <v>0.22765479999999999</v>
      </c>
      <c r="R3485">
        <v>6.5558320000000003E-2</v>
      </c>
      <c r="S3485">
        <v>-3.067291</v>
      </c>
      <c r="T3485">
        <v>4.1994330000000003E-2</v>
      </c>
      <c r="U3485">
        <v>0.1553802</v>
      </c>
      <c r="V3485">
        <v>5.0728330000000002E-2</v>
      </c>
      <c r="W3485">
        <v>0.2363296</v>
      </c>
      <c r="X3485">
        <v>0.97034779999999998</v>
      </c>
      <c r="Y3485">
        <v>3.5367699999999898E-2</v>
      </c>
      <c r="Z3485">
        <v>2.6047769999999997E-4</v>
      </c>
      <c r="AA3485">
        <v>0.99937430000000005</v>
      </c>
      <c r="AB3485">
        <v>45</v>
      </c>
      <c r="AC3485">
        <v>-228.39429999999999</v>
      </c>
      <c r="AD3485">
        <v>3.1325509999999999</v>
      </c>
      <c r="AE3485">
        <v>11.584499999999901</v>
      </c>
      <c r="AF3485">
        <v>8.10068476218051</v>
      </c>
      <c r="AG3485">
        <v>3.1325509999999999</v>
      </c>
      <c r="AH3485">
        <v>228.50145642834201</v>
      </c>
      <c r="AI3485">
        <v>89.215068242323994</v>
      </c>
      <c r="AJ3485">
        <v>87.969637653812299</v>
      </c>
      <c r="AK3485">
        <v>228.66645919167399</v>
      </c>
      <c r="AL3485">
        <v>76.329988173530893</v>
      </c>
      <c r="AM3485">
        <v>87.007386769141206</v>
      </c>
      <c r="AN3485">
        <v>0.99999994813279303</v>
      </c>
    </row>
    <row r="3486" spans="1:40" x14ac:dyDescent="0.25">
      <c r="A3486" t="str">
        <f>"20190303170837541"</f>
        <v>20190303170837541</v>
      </c>
      <c r="B3486" t="str">
        <f>"1551604117526826"</f>
        <v>1551604117526826</v>
      </c>
      <c r="C3486" t="s">
        <v>40</v>
      </c>
      <c r="D3486">
        <v>4.643999</v>
      </c>
      <c r="E3486">
        <v>0.50003419999999998</v>
      </c>
      <c r="F3486" t="s">
        <v>75</v>
      </c>
      <c r="G3486">
        <v>-511.06009999999998</v>
      </c>
      <c r="H3486">
        <v>4.3847139999999998</v>
      </c>
      <c r="I3486">
        <v>152.15649999999999</v>
      </c>
      <c r="J3486">
        <v>-283.11399999999998</v>
      </c>
      <c r="K3486">
        <v>1.1203069999999999</v>
      </c>
      <c r="L3486">
        <v>140.8322</v>
      </c>
      <c r="M3486">
        <v>-0.99984660000000003</v>
      </c>
      <c r="N3486">
        <v>-8.9615509999999999E-3</v>
      </c>
      <c r="O3486">
        <v>1.504483E-2</v>
      </c>
      <c r="P3486">
        <v>-0.9716186</v>
      </c>
      <c r="Q3486">
        <v>0.22738459999999999</v>
      </c>
      <c r="R3486">
        <v>6.5220299999999995E-2</v>
      </c>
      <c r="S3486">
        <v>-3.0673520000000001</v>
      </c>
      <c r="T3486">
        <v>4.3842319999999997E-2</v>
      </c>
      <c r="U3486">
        <v>0.1521759</v>
      </c>
      <c r="V3486">
        <v>5.0555009999999997E-2</v>
      </c>
      <c r="W3486">
        <v>0.2360989</v>
      </c>
      <c r="X3486">
        <v>0.97041299999999997</v>
      </c>
      <c r="Y3486">
        <v>3.4520729999999999E-2</v>
      </c>
      <c r="Z3486">
        <v>2.5785869999999999E-4</v>
      </c>
      <c r="AA3486">
        <v>0.99940399999999996</v>
      </c>
      <c r="AB3486">
        <v>46</v>
      </c>
      <c r="AC3486">
        <v>-227.9461</v>
      </c>
      <c r="AD3486">
        <v>3.2644069999999998</v>
      </c>
      <c r="AE3486">
        <v>11.3242999999999</v>
      </c>
      <c r="AF3486">
        <v>7.8918554142760096</v>
      </c>
      <c r="AG3486">
        <v>3.2644069999999998</v>
      </c>
      <c r="AH3486">
        <v>228.04402365837601</v>
      </c>
      <c r="AI3486">
        <v>89.180368376740702</v>
      </c>
      <c r="AJ3486">
        <v>88.017972056097193</v>
      </c>
      <c r="AK3486">
        <v>228.20388791877201</v>
      </c>
      <c r="AL3486">
        <v>76.343591222221804</v>
      </c>
      <c r="AM3486">
        <v>87.017792954422205</v>
      </c>
      <c r="AN3486">
        <v>0.99999994509315304</v>
      </c>
    </row>
    <row r="3487" spans="1:40" x14ac:dyDescent="0.25">
      <c r="A3487" t="str">
        <f>"20190303170837564"</f>
        <v>20190303170837564</v>
      </c>
      <c r="B3487" t="str">
        <f>"1551604117557082"</f>
        <v>1551604117557082</v>
      </c>
      <c r="C3487" t="s">
        <v>40</v>
      </c>
      <c r="D3487">
        <v>4.6429999999999998</v>
      </c>
      <c r="E3487">
        <v>0.50010279999999996</v>
      </c>
      <c r="F3487" t="s">
        <v>75</v>
      </c>
      <c r="G3487">
        <v>-511.06009999999998</v>
      </c>
      <c r="H3487">
        <v>4.2683749999999998</v>
      </c>
      <c r="I3487">
        <v>152.13470000000001</v>
      </c>
      <c r="J3487">
        <v>-283.58249999999998</v>
      </c>
      <c r="K3487">
        <v>1.120347</v>
      </c>
      <c r="L3487">
        <v>140.8391</v>
      </c>
      <c r="M3487">
        <v>-0.99984960000000001</v>
      </c>
      <c r="N3487">
        <v>-9.0074820000000007E-3</v>
      </c>
      <c r="O3487">
        <v>1.482437E-2</v>
      </c>
      <c r="P3487">
        <v>-0.97171030000000003</v>
      </c>
      <c r="Q3487">
        <v>0.2270954</v>
      </c>
      <c r="R3487">
        <v>6.4860310000000004E-2</v>
      </c>
      <c r="S3487">
        <v>-3.0675050000000001</v>
      </c>
      <c r="T3487">
        <v>4.2364600000000002E-2</v>
      </c>
      <c r="U3487">
        <v>0.1520996</v>
      </c>
      <c r="V3487">
        <v>5.0386140000000003E-2</v>
      </c>
      <c r="W3487">
        <v>0.23585980000000001</v>
      </c>
      <c r="X3487">
        <v>0.97048000000000001</v>
      </c>
      <c r="Y3487">
        <v>3.471378E-2</v>
      </c>
      <c r="Z3487">
        <v>2.549227E-4</v>
      </c>
      <c r="AA3487">
        <v>0.99939730000000004</v>
      </c>
      <c r="AB3487">
        <v>46</v>
      </c>
      <c r="AC3487">
        <v>-227.4776</v>
      </c>
      <c r="AD3487">
        <v>3.148028</v>
      </c>
      <c r="AE3487">
        <v>11.2956</v>
      </c>
      <c r="AF3487">
        <v>7.9204967888505804</v>
      </c>
      <c r="AG3487">
        <v>3.148028</v>
      </c>
      <c r="AH3487">
        <v>227.57658124125601</v>
      </c>
      <c r="AI3487">
        <v>89.207967294443804</v>
      </c>
      <c r="AJ3487">
        <v>88.006702028361005</v>
      </c>
      <c r="AK3487">
        <v>227.73612949887701</v>
      </c>
      <c r="AL3487">
        <v>76.357689819403404</v>
      </c>
      <c r="AM3487">
        <v>87.027941424872907</v>
      </c>
      <c r="AN3487">
        <v>1.00000001938006</v>
      </c>
    </row>
    <row r="3488" spans="1:40" x14ac:dyDescent="0.25">
      <c r="A3488" t="str">
        <f>"20190303170837586"</f>
        <v>20190303170837586</v>
      </c>
      <c r="B3488" t="str">
        <f>"1551604117576602"</f>
        <v>1551604117576602</v>
      </c>
      <c r="C3488" t="s">
        <v>40</v>
      </c>
      <c r="D3488">
        <v>4.7596860000000003</v>
      </c>
      <c r="E3488">
        <v>0.50022520000000004</v>
      </c>
      <c r="F3488" t="s">
        <v>75</v>
      </c>
      <c r="G3488">
        <v>-511.06</v>
      </c>
      <c r="H3488">
        <v>4.1519640000000004</v>
      </c>
      <c r="I3488">
        <v>152.08500000000001</v>
      </c>
      <c r="J3488">
        <v>-284.03359999999998</v>
      </c>
      <c r="K3488">
        <v>1.1203730000000001</v>
      </c>
      <c r="L3488">
        <v>140.84569999999999</v>
      </c>
      <c r="M3488">
        <v>-0.99985239999999997</v>
      </c>
      <c r="N3488">
        <v>-9.0610380000000004E-3</v>
      </c>
      <c r="O3488">
        <v>1.460151E-2</v>
      </c>
      <c r="P3488">
        <v>-0.97194700000000001</v>
      </c>
      <c r="Q3488">
        <v>0.2261666</v>
      </c>
      <c r="R3488">
        <v>6.4557760000000006E-2</v>
      </c>
      <c r="S3488">
        <v>-3.0676570000000001</v>
      </c>
      <c r="T3488">
        <v>4.0883540000000003E-2</v>
      </c>
      <c r="U3488">
        <v>0.15165709999999999</v>
      </c>
      <c r="V3488">
        <v>5.0279379999999999E-2</v>
      </c>
      <c r="W3488">
        <v>0.234989</v>
      </c>
      <c r="X3488">
        <v>0.97069669999999997</v>
      </c>
      <c r="Y3488">
        <v>3.479024E-2</v>
      </c>
      <c r="Z3488">
        <v>2.527222E-4</v>
      </c>
      <c r="AA3488">
        <v>0.99939460000000002</v>
      </c>
      <c r="AB3488">
        <v>46</v>
      </c>
      <c r="AC3488">
        <v>-227.0264</v>
      </c>
      <c r="AD3488">
        <v>3.0315910000000001</v>
      </c>
      <c r="AE3488">
        <v>11.2393</v>
      </c>
      <c r="AF3488">
        <v>7.9216284844927998</v>
      </c>
      <c r="AG3488">
        <v>3.0315910000000001</v>
      </c>
      <c r="AH3488">
        <v>227.12591172933199</v>
      </c>
      <c r="AI3488">
        <v>89.235747600455696</v>
      </c>
      <c r="AJ3488">
        <v>88.0024649317795</v>
      </c>
      <c r="AK3488">
        <v>227.28423289070901</v>
      </c>
      <c r="AL3488">
        <v>76.409025149457193</v>
      </c>
      <c r="AM3488">
        <v>87.034888379689093</v>
      </c>
      <c r="AN3488">
        <v>0.99999996478253605</v>
      </c>
    </row>
    <row r="3489" spans="1:40" x14ac:dyDescent="0.25">
      <c r="A3489" t="str">
        <f>"20190303170837608"</f>
        <v>20190303170837608</v>
      </c>
      <c r="B3489" t="str">
        <f>"1551604117597097"</f>
        <v>1551604117597097</v>
      </c>
      <c r="C3489" t="s">
        <v>40</v>
      </c>
      <c r="D3489">
        <v>4.5830260000000003</v>
      </c>
      <c r="E3489">
        <v>0.50027650000000001</v>
      </c>
      <c r="F3489" t="s">
        <v>75</v>
      </c>
      <c r="G3489">
        <v>-511.05990000000003</v>
      </c>
      <c r="H3489">
        <v>3.8950469999999999</v>
      </c>
      <c r="I3489">
        <v>152.02119999999999</v>
      </c>
      <c r="J3489">
        <v>-284.48759999999999</v>
      </c>
      <c r="K3489">
        <v>1.1204019999999999</v>
      </c>
      <c r="L3489">
        <v>140.85220000000001</v>
      </c>
      <c r="M3489">
        <v>-0.99985520000000006</v>
      </c>
      <c r="N3489">
        <v>-9.1202650000000007E-3</v>
      </c>
      <c r="O3489">
        <v>1.4370310000000001E-2</v>
      </c>
      <c r="P3489">
        <v>-0.97205660000000005</v>
      </c>
      <c r="Q3489">
        <v>0.22554920000000001</v>
      </c>
      <c r="R3489">
        <v>6.5066810000000003E-2</v>
      </c>
      <c r="S3489">
        <v>-3.067841</v>
      </c>
      <c r="T3489">
        <v>3.7495140000000003E-2</v>
      </c>
      <c r="U3489">
        <v>0.15101619999999999</v>
      </c>
      <c r="V3489">
        <v>5.099687E-2</v>
      </c>
      <c r="W3489">
        <v>0.23443369999999999</v>
      </c>
      <c r="X3489">
        <v>0.97079349999999998</v>
      </c>
      <c r="Y3489">
        <v>3.4810059999999997E-2</v>
      </c>
      <c r="Z3489">
        <v>2.5274370000000001E-4</v>
      </c>
      <c r="AA3489">
        <v>0.99939389999999995</v>
      </c>
      <c r="AB3489">
        <v>46</v>
      </c>
      <c r="AC3489">
        <v>-226.57230000000001</v>
      </c>
      <c r="AD3489">
        <v>2.774645</v>
      </c>
      <c r="AE3489">
        <v>11.168999999999899</v>
      </c>
      <c r="AF3489">
        <v>7.9106137062637902</v>
      </c>
      <c r="AG3489">
        <v>2.774645</v>
      </c>
      <c r="AH3489">
        <v>226.67549939047001</v>
      </c>
      <c r="AI3489">
        <v>89.299126706616903</v>
      </c>
      <c r="AJ3489">
        <v>88.001279749245896</v>
      </c>
      <c r="AK3489">
        <v>226.830461993104</v>
      </c>
      <c r="AL3489">
        <v>76.441755345286097</v>
      </c>
      <c r="AM3489">
        <v>86.9929524903595</v>
      </c>
      <c r="AN3489">
        <v>0.999999930043866</v>
      </c>
    </row>
    <row r="3490" spans="1:40" x14ac:dyDescent="0.25">
      <c r="A3490" t="str">
        <f>"20190303170837633"</f>
        <v>20190303170837633</v>
      </c>
      <c r="B3490" t="str">
        <f>"1551604117626378"</f>
        <v>1551604117626378</v>
      </c>
      <c r="C3490" t="s">
        <v>40</v>
      </c>
      <c r="D3490">
        <v>4.524705</v>
      </c>
      <c r="E3490">
        <v>0.50033149999999904</v>
      </c>
      <c r="F3490" t="s">
        <v>75</v>
      </c>
      <c r="G3490">
        <v>-511.05990000000003</v>
      </c>
      <c r="H3490">
        <v>3.7126000000000001</v>
      </c>
      <c r="I3490">
        <v>152.11789999999999</v>
      </c>
      <c r="J3490">
        <v>-284.96960000000001</v>
      </c>
      <c r="K3490">
        <v>1.1204270000000001</v>
      </c>
      <c r="L3490">
        <v>140.85900000000001</v>
      </c>
      <c r="M3490">
        <v>-0.99985809999999997</v>
      </c>
      <c r="N3490">
        <v>-9.1867589999999992E-3</v>
      </c>
      <c r="O3490">
        <v>1.412015E-2</v>
      </c>
      <c r="P3490">
        <v>-0.97229010000000005</v>
      </c>
      <c r="Q3490">
        <v>0.2245472</v>
      </c>
      <c r="R3490">
        <v>6.5043260000000006E-2</v>
      </c>
      <c r="S3490">
        <v>-3.0678709999999998</v>
      </c>
      <c r="T3490">
        <v>3.5099859999999997E-2</v>
      </c>
      <c r="U3490">
        <v>0.15254210000000001</v>
      </c>
      <c r="V3490">
        <v>5.1200370000000002E-2</v>
      </c>
      <c r="W3490">
        <v>0.23350090000000001</v>
      </c>
      <c r="X3490">
        <v>0.97100759999999997</v>
      </c>
      <c r="Y3490">
        <v>3.5555379999999998E-2</v>
      </c>
      <c r="Z3490">
        <v>2.5123540000000002E-4</v>
      </c>
      <c r="AA3490">
        <v>0.99936769999999997</v>
      </c>
      <c r="AB3490">
        <v>46</v>
      </c>
      <c r="AC3490">
        <v>-226.09030000000001</v>
      </c>
      <c r="AD3490">
        <v>2.5921729999999998</v>
      </c>
      <c r="AE3490">
        <v>11.258899999999899</v>
      </c>
      <c r="AF3490">
        <v>8.0641563570280095</v>
      </c>
      <c r="AG3490">
        <v>2.5921729999999998</v>
      </c>
      <c r="AH3490">
        <v>226.197081958654</v>
      </c>
      <c r="AI3490">
        <v>89.343847462145206</v>
      </c>
      <c r="AJ3490">
        <v>87.958211844995503</v>
      </c>
      <c r="AK3490">
        <v>226.355626979367</v>
      </c>
      <c r="AL3490">
        <v>76.496726937409406</v>
      </c>
      <c r="AM3490">
        <v>86.981639640527405</v>
      </c>
      <c r="AN3490">
        <v>0.99999995372335204</v>
      </c>
    </row>
    <row r="3491" spans="1:40" x14ac:dyDescent="0.25">
      <c r="A3491" t="str">
        <f>"20190303170837656"</f>
        <v>20190303170837656</v>
      </c>
      <c r="B3491" t="str">
        <f>"1551604117646874"</f>
        <v>1551604117646874</v>
      </c>
      <c r="C3491" t="s">
        <v>40</v>
      </c>
      <c r="D3491">
        <v>4.5218990000000003</v>
      </c>
      <c r="E3491">
        <v>0.50042629999999999</v>
      </c>
      <c r="F3491" t="s">
        <v>75</v>
      </c>
      <c r="G3491">
        <v>-511.0598</v>
      </c>
      <c r="H3491">
        <v>3.375372</v>
      </c>
      <c r="I3491">
        <v>152.1446</v>
      </c>
      <c r="J3491">
        <v>-285.4606</v>
      </c>
      <c r="K3491">
        <v>1.1204430000000001</v>
      </c>
      <c r="L3491">
        <v>140.8657</v>
      </c>
      <c r="M3491">
        <v>-0.99986120000000001</v>
      </c>
      <c r="N3491">
        <v>-9.2547050000000002E-3</v>
      </c>
      <c r="O3491">
        <v>1.386298E-2</v>
      </c>
      <c r="P3491">
        <v>-0.97247439999999996</v>
      </c>
      <c r="Q3491">
        <v>0.22389410000000001</v>
      </c>
      <c r="R3491">
        <v>6.4539079999999999E-2</v>
      </c>
      <c r="S3491">
        <v>-3.0681759999999998</v>
      </c>
      <c r="T3491">
        <v>3.06015E-2</v>
      </c>
      <c r="U3491">
        <v>0.1531525</v>
      </c>
      <c r="V3491">
        <v>5.0932699999999997E-2</v>
      </c>
      <c r="W3491">
        <v>0.2329176</v>
      </c>
      <c r="X3491">
        <v>0.97116179999999996</v>
      </c>
      <c r="Y3491">
        <v>3.6005679999999998E-2</v>
      </c>
      <c r="Z3491">
        <v>2.536684E-4</v>
      </c>
      <c r="AA3491">
        <v>0.99935160000000001</v>
      </c>
      <c r="AB3491">
        <v>46</v>
      </c>
      <c r="AC3491">
        <v>-225.5992</v>
      </c>
      <c r="AD3491">
        <v>2.2549290000000002</v>
      </c>
      <c r="AE3491">
        <v>11.278899999999901</v>
      </c>
      <c r="AF3491">
        <v>8.14939316468665</v>
      </c>
      <c r="AG3491">
        <v>2.2549290000000002</v>
      </c>
      <c r="AH3491">
        <v>225.71139122179801</v>
      </c>
      <c r="AI3491">
        <v>89.427988566823302</v>
      </c>
      <c r="AJ3491">
        <v>87.932212922575104</v>
      </c>
      <c r="AK3491">
        <v>225.86971784864701</v>
      </c>
      <c r="AL3491">
        <v>76.531095786121398</v>
      </c>
      <c r="AM3491">
        <v>86.997866230542499</v>
      </c>
      <c r="AN3491">
        <v>0.99999999504914405</v>
      </c>
    </row>
    <row r="3492" spans="1:40" x14ac:dyDescent="0.25">
      <c r="A3492" t="str">
        <f>"20190303170837676"</f>
        <v>20190303170837676</v>
      </c>
      <c r="B3492" t="str">
        <f>"1551604117667370"</f>
        <v>1551604117667370</v>
      </c>
      <c r="C3492" t="s">
        <v>40</v>
      </c>
      <c r="D3492">
        <v>4.5828389999999999</v>
      </c>
      <c r="E3492">
        <v>0.50051469999999998</v>
      </c>
      <c r="F3492" t="s">
        <v>75</v>
      </c>
      <c r="G3492">
        <v>-511.05970000000002</v>
      </c>
      <c r="H3492">
        <v>3.17286</v>
      </c>
      <c r="I3492">
        <v>152.0925</v>
      </c>
      <c r="J3492">
        <v>-285.87700000000001</v>
      </c>
      <c r="K3492">
        <v>1.120466</v>
      </c>
      <c r="L3492">
        <v>140.87139999999999</v>
      </c>
      <c r="M3492">
        <v>-0.99986359999999996</v>
      </c>
      <c r="N3492">
        <v>-9.3112360000000005E-3</v>
      </c>
      <c r="O3492">
        <v>1.364402E-2</v>
      </c>
      <c r="P3492">
        <v>-0.97250530000000002</v>
      </c>
      <c r="Q3492">
        <v>0.22377369999999999</v>
      </c>
      <c r="R3492">
        <v>6.4490259999999994E-2</v>
      </c>
      <c r="S3492">
        <v>-3.0683590000000001</v>
      </c>
      <c r="T3492">
        <v>2.791536E-2</v>
      </c>
      <c r="U3492">
        <v>0.15269469999999999</v>
      </c>
      <c r="V3492">
        <v>5.1088160000000001E-2</v>
      </c>
      <c r="W3492">
        <v>0.23285449999999999</v>
      </c>
      <c r="X3492">
        <v>0.97116880000000005</v>
      </c>
      <c r="Y3492">
        <v>3.6072750000000001E-2</v>
      </c>
      <c r="Z3492">
        <v>2.5507500000000001E-4</v>
      </c>
      <c r="AA3492">
        <v>0.99934909999999999</v>
      </c>
      <c r="AB3492">
        <v>46</v>
      </c>
      <c r="AC3492">
        <v>-225.18270000000001</v>
      </c>
      <c r="AD3492">
        <v>2.0523940000000001</v>
      </c>
      <c r="AE3492">
        <v>11.2211</v>
      </c>
      <c r="AF3492">
        <v>8.1468499713434301</v>
      </c>
      <c r="AG3492">
        <v>2.0523940000000001</v>
      </c>
      <c r="AH3492">
        <v>225.29617552199099</v>
      </c>
      <c r="AI3492">
        <v>89.478404546170694</v>
      </c>
      <c r="AJ3492">
        <v>87.929051278222403</v>
      </c>
      <c r="AK3492">
        <v>225.45276709417999</v>
      </c>
      <c r="AL3492">
        <v>76.534813822842807</v>
      </c>
      <c r="AM3492">
        <v>86.988741432340404</v>
      </c>
      <c r="AN3492">
        <v>1.00000002817793</v>
      </c>
    </row>
    <row r="3493" spans="1:40" x14ac:dyDescent="0.25">
      <c r="A3493" t="str">
        <f>"20190303170837698"</f>
        <v>20190303170837698</v>
      </c>
      <c r="B3493" t="str">
        <f>"1551604117686889"</f>
        <v>1551604117686889</v>
      </c>
      <c r="C3493" t="s">
        <v>40</v>
      </c>
      <c r="D3493">
        <v>4.561204</v>
      </c>
      <c r="E3493">
        <v>0.52237</v>
      </c>
      <c r="F3493" t="s">
        <v>75</v>
      </c>
      <c r="G3493">
        <v>-511.05970000000002</v>
      </c>
      <c r="H3493">
        <v>3.1261389999999998</v>
      </c>
      <c r="I3493">
        <v>152.11439999999999</v>
      </c>
      <c r="J3493">
        <v>-286.32749999999999</v>
      </c>
      <c r="K3493">
        <v>1.1204860000000001</v>
      </c>
      <c r="L3493">
        <v>140.87739999999999</v>
      </c>
      <c r="M3493">
        <v>-0.99986640000000004</v>
      </c>
      <c r="N3493">
        <v>-9.3718989999999995E-3</v>
      </c>
      <c r="O3493">
        <v>1.340615E-2</v>
      </c>
      <c r="P3493">
        <v>-0.97257939999999998</v>
      </c>
      <c r="Q3493">
        <v>0.2236686</v>
      </c>
      <c r="R3493">
        <v>6.3734490000000005E-2</v>
      </c>
      <c r="S3493">
        <v>-3.0683590000000001</v>
      </c>
      <c r="T3493">
        <v>2.733004E-2</v>
      </c>
      <c r="U3493">
        <v>0.15319820000000001</v>
      </c>
      <c r="V3493">
        <v>5.0555099999999999E-2</v>
      </c>
      <c r="W3493">
        <v>0.2328105</v>
      </c>
      <c r="X3493">
        <v>0.97120720000000005</v>
      </c>
      <c r="Y3493">
        <v>3.6474060000000003E-2</v>
      </c>
      <c r="Z3493">
        <v>2.5358530000000001E-4</v>
      </c>
      <c r="AA3493">
        <v>0.99933459999999996</v>
      </c>
      <c r="AB3493">
        <v>46</v>
      </c>
      <c r="AC3493">
        <v>-224.73220000000001</v>
      </c>
      <c r="AD3493">
        <v>2.0056530000000001</v>
      </c>
      <c r="AE3493">
        <v>11.236999999999901</v>
      </c>
      <c r="AF3493">
        <v>8.2224114705767803</v>
      </c>
      <c r="AG3493">
        <v>2.0056530000000001</v>
      </c>
      <c r="AH3493">
        <v>224.84478981341101</v>
      </c>
      <c r="AI3493">
        <v>89.489267024739704</v>
      </c>
      <c r="AJ3493">
        <v>87.9056680093437</v>
      </c>
      <c r="AK3493">
        <v>225.00402263200701</v>
      </c>
      <c r="AL3493">
        <v>76.537405504549895</v>
      </c>
      <c r="AM3493">
        <v>87.020221947981995</v>
      </c>
      <c r="AN3493">
        <v>0.99999998618904995</v>
      </c>
    </row>
    <row r="3494" spans="1:40" x14ac:dyDescent="0.25">
      <c r="A3494" t="str">
        <f>"20190303170837720"</f>
        <v>20190303170837720</v>
      </c>
      <c r="B3494" t="str">
        <f>"1551604117706410"</f>
        <v>1551604117706410</v>
      </c>
      <c r="C3494" t="s">
        <v>40</v>
      </c>
      <c r="D3494">
        <v>4.5469390000000001</v>
      </c>
      <c r="E3494">
        <v>0.53165609999999996</v>
      </c>
      <c r="F3494" t="s">
        <v>75</v>
      </c>
      <c r="G3494">
        <v>-511.92570000000001</v>
      </c>
      <c r="H3494">
        <v>1.468032</v>
      </c>
      <c r="I3494">
        <v>164.6926</v>
      </c>
      <c r="J3494">
        <v>-286.76639999999998</v>
      </c>
      <c r="K3494">
        <v>1.1205050000000001</v>
      </c>
      <c r="L3494">
        <v>140.88310000000001</v>
      </c>
      <c r="M3494">
        <v>-0.99986870000000005</v>
      </c>
      <c r="N3494">
        <v>-9.4292950000000007E-3</v>
      </c>
      <c r="O3494">
        <v>1.317428E-2</v>
      </c>
      <c r="P3494">
        <v>-0.97275940000000005</v>
      </c>
      <c r="Q3494">
        <v>0.2230935</v>
      </c>
      <c r="R3494">
        <v>6.2994359999999999E-2</v>
      </c>
      <c r="S3494">
        <v>-3.0623170000000002</v>
      </c>
      <c r="T3494">
        <v>4.7183040000000004E-3</v>
      </c>
      <c r="U3494">
        <v>0.32327270000000002</v>
      </c>
      <c r="V3494">
        <v>5.003233E-2</v>
      </c>
      <c r="W3494">
        <v>0.23229340000000001</v>
      </c>
      <c r="X3494">
        <v>0.9713581</v>
      </c>
      <c r="Y3494">
        <v>9.1871579999999994E-2</v>
      </c>
      <c r="Z3494">
        <v>5.0791529999999897E-4</v>
      </c>
      <c r="AA3494">
        <v>0.99577079999999996</v>
      </c>
      <c r="AB3494">
        <v>46</v>
      </c>
      <c r="AC3494">
        <v>-225.1593</v>
      </c>
      <c r="AD3494">
        <v>0.34752699999999997</v>
      </c>
      <c r="AE3494">
        <v>23.8094999999999</v>
      </c>
      <c r="AF3494">
        <v>20.840940714051602</v>
      </c>
      <c r="AG3494">
        <v>0.34752699999999997</v>
      </c>
      <c r="AH3494">
        <v>225.45291372638201</v>
      </c>
      <c r="AI3494">
        <v>89.912055779489606</v>
      </c>
      <c r="AJ3494">
        <v>84.718569020539604</v>
      </c>
      <c r="AK3494">
        <v>226.414403014865</v>
      </c>
      <c r="AL3494">
        <v>76.567868621897802</v>
      </c>
      <c r="AM3494">
        <v>87.051437284006198</v>
      </c>
      <c r="AN3494">
        <v>1.00000000808219</v>
      </c>
    </row>
    <row r="3495" spans="1:40" x14ac:dyDescent="0.25">
      <c r="A3495" t="str">
        <f>"20190303170837741"</f>
        <v>20190303170837741</v>
      </c>
      <c r="B3495" t="str">
        <f>"1551604117726906"</f>
        <v>1551604117726906</v>
      </c>
      <c r="C3495" t="s">
        <v>40</v>
      </c>
      <c r="D3495">
        <v>4.5325550000000003</v>
      </c>
      <c r="E3495">
        <v>0.53531530000000005</v>
      </c>
      <c r="F3495" t="s">
        <v>83</v>
      </c>
      <c r="G3495">
        <v>-443.45400000000001</v>
      </c>
      <c r="H3495">
        <v>0.56302099999999999</v>
      </c>
      <c r="I3495">
        <v>161.0977</v>
      </c>
      <c r="J3495">
        <v>-287.21980000000002</v>
      </c>
      <c r="K3495">
        <v>1.1205149999999999</v>
      </c>
      <c r="L3495">
        <v>140.88900000000001</v>
      </c>
      <c r="M3495">
        <v>-0.99987139999999997</v>
      </c>
      <c r="N3495">
        <v>-9.4854750000000002E-3</v>
      </c>
      <c r="O3495">
        <v>1.2933200000000001E-2</v>
      </c>
      <c r="P3495">
        <v>-0.97283149999999996</v>
      </c>
      <c r="Q3495">
        <v>0.22307830000000001</v>
      </c>
      <c r="R3495">
        <v>6.1928660000000003E-2</v>
      </c>
      <c r="S3495">
        <v>-3.0609440000000001</v>
      </c>
      <c r="T3495">
        <v>-1.0889889999999999E-2</v>
      </c>
      <c r="U3495">
        <v>0.39489750000000001</v>
      </c>
      <c r="V3495">
        <v>4.9195259999999998E-2</v>
      </c>
      <c r="W3495">
        <v>0.2323337</v>
      </c>
      <c r="X3495">
        <v>0.97139120000000001</v>
      </c>
      <c r="Y3495">
        <v>0.11511059999999999</v>
      </c>
      <c r="Z3495">
        <v>8.2852039999999896E-4</v>
      </c>
      <c r="AA3495">
        <v>0.99335240000000002</v>
      </c>
      <c r="AB3495">
        <v>46</v>
      </c>
      <c r="AC3495">
        <v>-156.23419999999999</v>
      </c>
      <c r="AD3495">
        <v>-0.55749399999999905</v>
      </c>
      <c r="AE3495">
        <v>20.2087</v>
      </c>
      <c r="AF3495">
        <v>18.186082890958101</v>
      </c>
      <c r="AG3495">
        <v>-0.55749399999999905</v>
      </c>
      <c r="AH3495">
        <v>156.480547056078</v>
      </c>
      <c r="AI3495">
        <v>90.202762339527396</v>
      </c>
      <c r="AJ3495">
        <v>83.370855879289905</v>
      </c>
      <c r="AK3495">
        <v>157.53477716823801</v>
      </c>
      <c r="AL3495">
        <v>76.565494440554403</v>
      </c>
      <c r="AM3495">
        <v>87.100782196121898</v>
      </c>
      <c r="AN3495">
        <v>0.99999999259979799</v>
      </c>
    </row>
    <row r="3496" spans="1:40" x14ac:dyDescent="0.25">
      <c r="A3496" t="str">
        <f>"20190303170837764"</f>
        <v>20190303170837764</v>
      </c>
      <c r="B3496" t="str">
        <f>"1551604117757162"</f>
        <v>1551604117757162</v>
      </c>
      <c r="C3496" t="s">
        <v>40</v>
      </c>
      <c r="D3496">
        <v>4.5374429999999997</v>
      </c>
      <c r="E3496">
        <v>0.53810170000000002</v>
      </c>
      <c r="F3496" t="s">
        <v>83</v>
      </c>
      <c r="G3496">
        <v>-440.928</v>
      </c>
      <c r="H3496">
        <v>0.33662389999999998</v>
      </c>
      <c r="I3496">
        <v>162.05279999999999</v>
      </c>
      <c r="J3496">
        <v>-287.70269999999999</v>
      </c>
      <c r="K3496">
        <v>1.1205290000000001</v>
      </c>
      <c r="L3496">
        <v>140.89500000000001</v>
      </c>
      <c r="M3496">
        <v>-0.99987420000000005</v>
      </c>
      <c r="N3496">
        <v>-9.5428509999999998E-3</v>
      </c>
      <c r="O3496">
        <v>1.267538E-2</v>
      </c>
      <c r="P3496">
        <v>-0.97271629999999998</v>
      </c>
      <c r="Q3496">
        <v>0.2238367</v>
      </c>
      <c r="R3496">
        <v>6.0992610000000003E-2</v>
      </c>
      <c r="S3496">
        <v>-3.0605470000000001</v>
      </c>
      <c r="T3496">
        <v>-1.5607599999999999E-2</v>
      </c>
      <c r="U3496">
        <v>0.421402</v>
      </c>
      <c r="V3496">
        <v>4.8506580000000001E-2</v>
      </c>
      <c r="W3496">
        <v>0.2331472</v>
      </c>
      <c r="X3496">
        <v>0.97123090000000001</v>
      </c>
      <c r="Y3496">
        <v>0.1238287</v>
      </c>
      <c r="Z3496">
        <v>9.6399569999999996E-4</v>
      </c>
      <c r="AA3496">
        <v>0.99230309999999999</v>
      </c>
      <c r="AB3496">
        <v>46</v>
      </c>
      <c r="AC3496">
        <v>-153.2253</v>
      </c>
      <c r="AD3496">
        <v>-0.78390510000000002</v>
      </c>
      <c r="AE3496">
        <v>21.157799999999899</v>
      </c>
      <c r="AF3496">
        <v>19.2133294395714</v>
      </c>
      <c r="AG3496">
        <v>-0.78390510000000002</v>
      </c>
      <c r="AH3496">
        <v>153.47724282678601</v>
      </c>
      <c r="AI3496">
        <v>90.2903766766876</v>
      </c>
      <c r="AJ3496">
        <v>82.864444033430104</v>
      </c>
      <c r="AK3496">
        <v>154.67718190176399</v>
      </c>
      <c r="AL3496">
        <v>76.517568084449096</v>
      </c>
      <c r="AM3496">
        <v>87.140829244560507</v>
      </c>
      <c r="AN3496">
        <v>0.999999983142973</v>
      </c>
    </row>
    <row r="3497" spans="1:40" x14ac:dyDescent="0.25">
      <c r="A3497" t="str">
        <f>"20190303170837789"</f>
        <v>20190303170837789</v>
      </c>
      <c r="B3497" t="str">
        <f>"1551604117776682"</f>
        <v>1551604117776682</v>
      </c>
      <c r="C3497" t="s">
        <v>40</v>
      </c>
      <c r="D3497">
        <v>4.5601609999999999</v>
      </c>
      <c r="E3497">
        <v>0.53909269999999998</v>
      </c>
      <c r="F3497" t="s">
        <v>83</v>
      </c>
      <c r="G3497">
        <v>-441.00990000000002</v>
      </c>
      <c r="H3497">
        <v>0.452708</v>
      </c>
      <c r="I3497">
        <v>162.99440000000001</v>
      </c>
      <c r="J3497">
        <v>-288.19130000000001</v>
      </c>
      <c r="K3497">
        <v>1.1205400000000001</v>
      </c>
      <c r="L3497">
        <v>140.90110000000001</v>
      </c>
      <c r="M3497">
        <v>-0.99987700000000002</v>
      </c>
      <c r="N3497">
        <v>-9.5995969999999996E-3</v>
      </c>
      <c r="O3497">
        <v>1.241401E-2</v>
      </c>
      <c r="P3497">
        <v>-0.97255150000000001</v>
      </c>
      <c r="Q3497">
        <v>0.2246841</v>
      </c>
      <c r="R3497">
        <v>6.0505870000000003E-2</v>
      </c>
      <c r="S3497">
        <v>-3.0595699999999999</v>
      </c>
      <c r="T3497">
        <v>-1.3327E-2</v>
      </c>
      <c r="U3497">
        <v>0.44103999999999999</v>
      </c>
      <c r="V3497">
        <v>4.8272269999999999E-2</v>
      </c>
      <c r="W3497">
        <v>0.23404800000000001</v>
      </c>
      <c r="X3497">
        <v>0.9710259</v>
      </c>
      <c r="Y3497">
        <v>0.13037389999999999</v>
      </c>
      <c r="Z3497">
        <v>9.7629940000000005E-4</v>
      </c>
      <c r="AA3497">
        <v>0.99146440000000002</v>
      </c>
      <c r="AB3497">
        <v>46</v>
      </c>
      <c r="AC3497">
        <v>-152.8186</v>
      </c>
      <c r="AD3497">
        <v>-0.66783199999999898</v>
      </c>
      <c r="AE3497">
        <v>22.093299999999999</v>
      </c>
      <c r="AF3497">
        <v>20.1940408555297</v>
      </c>
      <c r="AG3497">
        <v>-0.66783199999999898</v>
      </c>
      <c r="AH3497">
        <v>153.07823865802601</v>
      </c>
      <c r="AI3497">
        <v>90.247814791500105</v>
      </c>
      <c r="AJ3497">
        <v>82.484949744306803</v>
      </c>
      <c r="AK3497">
        <v>154.40593394134399</v>
      </c>
      <c r="AL3497">
        <v>76.464487553878698</v>
      </c>
      <c r="AM3497">
        <v>87.154017935491098</v>
      </c>
      <c r="AN3497">
        <v>0.99999998841288096</v>
      </c>
    </row>
    <row r="3498" spans="1:40" x14ac:dyDescent="0.25">
      <c r="A3498" t="str">
        <f>"20190303170837809"</f>
        <v>20190303170837809</v>
      </c>
      <c r="B3498" t="str">
        <f>"1551604117797178"</f>
        <v>1551604117797178</v>
      </c>
      <c r="C3498" t="s">
        <v>40</v>
      </c>
      <c r="D3498">
        <v>4.5520550000000002</v>
      </c>
      <c r="E3498">
        <v>0.53981489999999999</v>
      </c>
      <c r="F3498" t="s">
        <v>83</v>
      </c>
      <c r="G3498">
        <v>-441.0342</v>
      </c>
      <c r="H3498">
        <v>0.4872359</v>
      </c>
      <c r="I3498">
        <v>163.2123</v>
      </c>
      <c r="J3498">
        <v>-288.61689999999999</v>
      </c>
      <c r="K3498">
        <v>1.120557</v>
      </c>
      <c r="L3498">
        <v>140.90620000000001</v>
      </c>
      <c r="M3498">
        <v>-0.99987919999999997</v>
      </c>
      <c r="N3498">
        <v>-9.6470600000000007E-3</v>
      </c>
      <c r="O3498">
        <v>1.218548E-2</v>
      </c>
      <c r="P3498">
        <v>-0.97240979999999999</v>
      </c>
      <c r="Q3498">
        <v>0.2254042</v>
      </c>
      <c r="R3498">
        <v>6.0101149999999999E-2</v>
      </c>
      <c r="S3498">
        <v>-3.0598139999999998</v>
      </c>
      <c r="T3498">
        <v>-1.2677549999999999E-2</v>
      </c>
      <c r="U3498">
        <v>0.44665529999999998</v>
      </c>
      <c r="V3498">
        <v>4.8088590000000001E-2</v>
      </c>
      <c r="W3498">
        <v>0.2348133</v>
      </c>
      <c r="X3498">
        <v>0.9708502</v>
      </c>
      <c r="Y3498">
        <v>0.13237119999999999</v>
      </c>
      <c r="Z3498">
        <v>9.8141970000000011E-4</v>
      </c>
      <c r="AA3498">
        <v>0.99119970000000002</v>
      </c>
      <c r="AB3498">
        <v>46</v>
      </c>
      <c r="AC3498">
        <v>-152.41730000000001</v>
      </c>
      <c r="AD3498">
        <v>-0.63332109999999997</v>
      </c>
      <c r="AE3498">
        <v>22.306099999999901</v>
      </c>
      <c r="AF3498">
        <v>20.446733669979398</v>
      </c>
      <c r="AG3498">
        <v>-0.63332109999999997</v>
      </c>
      <c r="AH3498">
        <v>152.67522506234101</v>
      </c>
      <c r="AI3498">
        <v>90.235567551468804</v>
      </c>
      <c r="AJ3498">
        <v>82.372160422300396</v>
      </c>
      <c r="AK3498">
        <v>154.03958699380999</v>
      </c>
      <c r="AL3498">
        <v>76.419381664119797</v>
      </c>
      <c r="AM3498">
        <v>87.164317172695803</v>
      </c>
      <c r="AN3498">
        <v>0.99999995459255797</v>
      </c>
    </row>
    <row r="3499" spans="1:40" x14ac:dyDescent="0.25">
      <c r="A3499" t="str">
        <f>"20190303170837832"</f>
        <v>20190303170837832</v>
      </c>
      <c r="B3499" t="str">
        <f>"1551604117817675"</f>
        <v>1551604117817675</v>
      </c>
      <c r="C3499" t="s">
        <v>40</v>
      </c>
      <c r="D3499">
        <v>4.5665199999999997</v>
      </c>
      <c r="E3499">
        <v>0.5403751</v>
      </c>
      <c r="F3499" t="s">
        <v>83</v>
      </c>
      <c r="G3499">
        <v>-441.0711</v>
      </c>
      <c r="H3499">
        <v>0.53949219999999998</v>
      </c>
      <c r="I3499">
        <v>163.39109999999999</v>
      </c>
      <c r="J3499">
        <v>-289.09379999999999</v>
      </c>
      <c r="K3499">
        <v>1.1205639999999999</v>
      </c>
      <c r="L3499">
        <v>140.9118</v>
      </c>
      <c r="M3499">
        <v>-0.99988200000000005</v>
      </c>
      <c r="N3499">
        <v>-9.6960770000000009E-3</v>
      </c>
      <c r="O3499">
        <v>1.192882E-2</v>
      </c>
      <c r="P3499">
        <v>-0.97247859999999997</v>
      </c>
      <c r="Q3499">
        <v>0.2254477</v>
      </c>
      <c r="R3499">
        <v>5.8814859999999997E-2</v>
      </c>
      <c r="S3499">
        <v>-3.0599059999999998</v>
      </c>
      <c r="T3499">
        <v>-1.166177E-2</v>
      </c>
      <c r="U3499">
        <v>0.45129390000000003</v>
      </c>
      <c r="V3499">
        <v>4.7049140000000003E-2</v>
      </c>
      <c r="W3499">
        <v>0.23490459999999999</v>
      </c>
      <c r="X3499">
        <v>0.97087909999999999</v>
      </c>
      <c r="Y3499">
        <v>0.1340925</v>
      </c>
      <c r="Z3499">
        <v>9.7761890000000007E-4</v>
      </c>
      <c r="AA3499">
        <v>0.99096830000000002</v>
      </c>
      <c r="AB3499">
        <v>46</v>
      </c>
      <c r="AC3499">
        <v>-151.97730000000001</v>
      </c>
      <c r="AD3499">
        <v>-0.58107179999999903</v>
      </c>
      <c r="AE3499">
        <v>22.479299999999899</v>
      </c>
      <c r="AF3499">
        <v>20.6644100259456</v>
      </c>
      <c r="AG3499">
        <v>-0.58107179999999903</v>
      </c>
      <c r="AH3499">
        <v>152.23247198832499</v>
      </c>
      <c r="AI3499">
        <v>90.216709683934099</v>
      </c>
      <c r="AJ3499">
        <v>82.269778015747704</v>
      </c>
      <c r="AK3499">
        <v>153.629687931185</v>
      </c>
      <c r="AL3499">
        <v>76.414000795734793</v>
      </c>
      <c r="AM3499">
        <v>87.225596979209101</v>
      </c>
      <c r="AN3499">
        <v>1.0000000097463499</v>
      </c>
    </row>
    <row r="3500" spans="1:40" x14ac:dyDescent="0.25">
      <c r="A3500" t="str">
        <f>"20190303170837856"</f>
        <v>20190303170837856</v>
      </c>
      <c r="B3500" t="str">
        <f>"1551604117846954"</f>
        <v>1551604117846954</v>
      </c>
      <c r="C3500" t="s">
        <v>40</v>
      </c>
      <c r="D3500">
        <v>4.5624880000000001</v>
      </c>
      <c r="E3500">
        <v>0.54092530000000005</v>
      </c>
      <c r="F3500" t="s">
        <v>83</v>
      </c>
      <c r="G3500">
        <v>-441.05450000000002</v>
      </c>
      <c r="H3500">
        <v>0.51597689999999996</v>
      </c>
      <c r="I3500">
        <v>163.36529999999999</v>
      </c>
      <c r="J3500">
        <v>-289.5822</v>
      </c>
      <c r="K3500">
        <v>1.1205609999999999</v>
      </c>
      <c r="L3500">
        <v>140.91749999999999</v>
      </c>
      <c r="M3500">
        <v>-0.99988449999999995</v>
      </c>
      <c r="N3500">
        <v>-9.7418569999999996E-3</v>
      </c>
      <c r="O3500">
        <v>1.1665750000000001E-2</v>
      </c>
      <c r="P3500">
        <v>-0.972603</v>
      </c>
      <c r="Q3500">
        <v>0.22506380000000001</v>
      </c>
      <c r="R3500">
        <v>5.8221599999999998E-2</v>
      </c>
      <c r="S3500">
        <v>-3.0603639999999999</v>
      </c>
      <c r="T3500">
        <v>-1.217508E-2</v>
      </c>
      <c r="U3500">
        <v>0.45219419999999999</v>
      </c>
      <c r="V3500">
        <v>4.6708689999999997E-2</v>
      </c>
      <c r="W3500">
        <v>0.23456669999999999</v>
      </c>
      <c r="X3500">
        <v>0.97097719999999998</v>
      </c>
      <c r="Y3500">
        <v>0.13461689999999901</v>
      </c>
      <c r="Z3500">
        <v>9.9251510000000005E-4</v>
      </c>
      <c r="AA3500">
        <v>0.99089720000000003</v>
      </c>
      <c r="AB3500">
        <v>46</v>
      </c>
      <c r="AC3500">
        <v>-151.47229999999999</v>
      </c>
      <c r="AD3500">
        <v>-0.60458409999999996</v>
      </c>
      <c r="AE3500">
        <v>22.447800000000001</v>
      </c>
      <c r="AF3500">
        <v>20.6788281550226</v>
      </c>
      <c r="AG3500">
        <v>-0.60458409999999996</v>
      </c>
      <c r="AH3500">
        <v>151.721509455617</v>
      </c>
      <c r="AI3500">
        <v>90.226221133518905</v>
      </c>
      <c r="AJ3500">
        <v>82.238715182064198</v>
      </c>
      <c r="AK3500">
        <v>153.125425345661</v>
      </c>
      <c r="AL3500">
        <v>76.433917126453295</v>
      </c>
      <c r="AM3500">
        <v>87.245919525079401</v>
      </c>
      <c r="AN3500">
        <v>0.99999998069512197</v>
      </c>
    </row>
    <row r="3501" spans="1:40" x14ac:dyDescent="0.25">
      <c r="A3501" t="str">
        <f>"20190303170837898"</f>
        <v>20190303170837898</v>
      </c>
      <c r="B3501" t="str">
        <f>"1551604117886969"</f>
        <v>1551604117886969</v>
      </c>
      <c r="C3501" t="s">
        <v>40</v>
      </c>
      <c r="D3501">
        <v>4.6086850000000004</v>
      </c>
      <c r="E3501">
        <v>0.54144569999999903</v>
      </c>
      <c r="F3501" t="s">
        <v>83</v>
      </c>
      <c r="G3501">
        <v>-440.98790000000002</v>
      </c>
      <c r="H3501">
        <v>0.42153669999999999</v>
      </c>
      <c r="I3501">
        <v>163.43430000000001</v>
      </c>
      <c r="J3501">
        <v>-290.45960000000002</v>
      </c>
      <c r="K3501">
        <v>1.1205609999999999</v>
      </c>
      <c r="L3501">
        <v>140.9273</v>
      </c>
      <c r="M3501">
        <v>-0.99988920000000003</v>
      </c>
      <c r="N3501">
        <v>-9.8190940000000004E-3</v>
      </c>
      <c r="O3501">
        <v>1.1191970000000001E-2</v>
      </c>
      <c r="P3501">
        <v>-0.97285679999999997</v>
      </c>
      <c r="Q3501">
        <v>0.22404859999999999</v>
      </c>
      <c r="R3501">
        <v>5.789764E-2</v>
      </c>
      <c r="S3501">
        <v>-3.0605159999999998</v>
      </c>
      <c r="T3501">
        <v>-1.4129279999999999E-2</v>
      </c>
      <c r="U3501">
        <v>0.45515440000000001</v>
      </c>
      <c r="V3501">
        <v>4.6840979999999997E-2</v>
      </c>
      <c r="W3501">
        <v>0.23362930000000001</v>
      </c>
      <c r="X3501">
        <v>0.97119679999999997</v>
      </c>
      <c r="Y3501">
        <v>0.1360161</v>
      </c>
      <c r="Z3501">
        <v>1.041653E-3</v>
      </c>
      <c r="AA3501">
        <v>0.99070610000000003</v>
      </c>
      <c r="AB3501">
        <v>46</v>
      </c>
      <c r="AC3501">
        <v>-150.5283</v>
      </c>
      <c r="AD3501">
        <v>-0.69902430000000004</v>
      </c>
      <c r="AE3501">
        <v>22.507000000000001</v>
      </c>
      <c r="AF3501">
        <v>20.820361667368498</v>
      </c>
      <c r="AG3501">
        <v>-0.69902430000000004</v>
      </c>
      <c r="AH3501">
        <v>150.76760079972701</v>
      </c>
      <c r="AI3501">
        <v>90.263149002492497</v>
      </c>
      <c r="AJ3501">
        <v>82.137426805262393</v>
      </c>
      <c r="AK3501">
        <v>152.20001821891401</v>
      </c>
      <c r="AL3501">
        <v>76.489161194559998</v>
      </c>
      <c r="AM3501">
        <v>87.238754908732403</v>
      </c>
      <c r="AN3501">
        <v>0.999999975778044</v>
      </c>
    </row>
    <row r="3502" spans="1:40" x14ac:dyDescent="0.25">
      <c r="A3502" t="str">
        <f>"20190303170837920"</f>
        <v>20190303170837920</v>
      </c>
      <c r="B3502" t="str">
        <f>"1551604117906490"</f>
        <v>1551604117906490</v>
      </c>
      <c r="C3502" t="s">
        <v>40</v>
      </c>
      <c r="D3502">
        <v>4.5566209999999998</v>
      </c>
      <c r="E3502">
        <v>0.541641699999999</v>
      </c>
      <c r="F3502" t="s">
        <v>83</v>
      </c>
      <c r="G3502">
        <v>-440.26940000000002</v>
      </c>
      <c r="H3502">
        <v>0.21127979999999999</v>
      </c>
      <c r="I3502">
        <v>163.32169999999999</v>
      </c>
      <c r="J3502">
        <v>-290.91410000000002</v>
      </c>
      <c r="K3502">
        <v>1.1205670000000001</v>
      </c>
      <c r="L3502">
        <v>140.93219999999999</v>
      </c>
      <c r="M3502">
        <v>-0.99989159999999999</v>
      </c>
      <c r="N3502">
        <v>-9.8582879999999998E-3</v>
      </c>
      <c r="O3502">
        <v>1.0945450000000001E-2</v>
      </c>
      <c r="P3502">
        <v>-0.97299919999999995</v>
      </c>
      <c r="Q3502">
        <v>0.2236863</v>
      </c>
      <c r="R3502">
        <v>5.6896000000000002E-2</v>
      </c>
      <c r="S3502">
        <v>-3.06073</v>
      </c>
      <c r="T3502">
        <v>-1.8576499999999999E-2</v>
      </c>
      <c r="U3502">
        <v>0.45753480000000002</v>
      </c>
      <c r="V3502">
        <v>4.6076689999999997E-2</v>
      </c>
      <c r="W3502">
        <v>0.23330619999999999</v>
      </c>
      <c r="X3502">
        <v>0.97131100000000004</v>
      </c>
      <c r="Y3502">
        <v>0.13700179999999901</v>
      </c>
      <c r="Z3502">
        <v>1.1338019999999999E-3</v>
      </c>
      <c r="AA3502">
        <v>0.99057010000000001</v>
      </c>
      <c r="AB3502">
        <v>46</v>
      </c>
      <c r="AC3502">
        <v>-149.3553</v>
      </c>
      <c r="AD3502">
        <v>-0.90928719999999996</v>
      </c>
      <c r="AE3502">
        <v>22.389500000000002</v>
      </c>
      <c r="AF3502">
        <v>20.752566135586601</v>
      </c>
      <c r="AG3502">
        <v>-0.90928719999999996</v>
      </c>
      <c r="AH3502">
        <v>149.586004795283</v>
      </c>
      <c r="AI3502">
        <v>90.3449751330743</v>
      </c>
      <c r="AJ3502">
        <v>82.101581083992002</v>
      </c>
      <c r="AK3502">
        <v>151.02141780237201</v>
      </c>
      <c r="AL3502">
        <v>76.508199262912697</v>
      </c>
      <c r="AM3502">
        <v>87.284060150264807</v>
      </c>
      <c r="AN3502">
        <v>0.999999951520396</v>
      </c>
    </row>
    <row r="3503" spans="1:40" x14ac:dyDescent="0.25">
      <c r="A3503" t="str">
        <f>"20190303170837943"</f>
        <v>20190303170837943</v>
      </c>
      <c r="B3503" t="str">
        <f>"1551604117936746"</f>
        <v>1551604117936746</v>
      </c>
      <c r="C3503" t="s">
        <v>40</v>
      </c>
      <c r="D3503">
        <v>4.6129379999999998</v>
      </c>
      <c r="E3503">
        <v>0.54201940000000004</v>
      </c>
      <c r="F3503" t="s">
        <v>83</v>
      </c>
      <c r="G3503">
        <v>-440.2561</v>
      </c>
      <c r="H3503">
        <v>0.1431114</v>
      </c>
      <c r="I3503">
        <v>163.17740000000001</v>
      </c>
      <c r="J3503">
        <v>-291.39999999999998</v>
      </c>
      <c r="K3503">
        <v>1.1205719999999999</v>
      </c>
      <c r="L3503">
        <v>140.9374</v>
      </c>
      <c r="M3503">
        <v>-0.99989410000000001</v>
      </c>
      <c r="N3503">
        <v>-9.8983409999999997E-3</v>
      </c>
      <c r="O3503">
        <v>1.068182E-2</v>
      </c>
      <c r="P3503">
        <v>-0.97298779999999996</v>
      </c>
      <c r="Q3503">
        <v>0.22397230000000001</v>
      </c>
      <c r="R3503">
        <v>5.5958679999999997E-2</v>
      </c>
      <c r="S3503">
        <v>-3.061188</v>
      </c>
      <c r="T3503">
        <v>-2.003491E-2</v>
      </c>
      <c r="U3503">
        <v>0.45597840000000001</v>
      </c>
      <c r="V3503">
        <v>4.5394860000000002E-2</v>
      </c>
      <c r="W3503">
        <v>0.23363030000000001</v>
      </c>
      <c r="X3503">
        <v>0.9712653</v>
      </c>
      <c r="Y3503">
        <v>0.13674790000000001</v>
      </c>
      <c r="Z3503">
        <v>1.1612370000000001E-3</v>
      </c>
      <c r="AA3503">
        <v>0.99060519999999996</v>
      </c>
      <c r="AB3503">
        <v>46</v>
      </c>
      <c r="AC3503">
        <v>-148.8561</v>
      </c>
      <c r="AD3503">
        <v>-0.97746060000000001</v>
      </c>
      <c r="AE3503">
        <v>22.24</v>
      </c>
      <c r="AF3503">
        <v>20.647728434796299</v>
      </c>
      <c r="AG3503">
        <v>-0.97746060000000001</v>
      </c>
      <c r="AH3503">
        <v>149.07889414712201</v>
      </c>
      <c r="AI3503">
        <v>90.372111917494905</v>
      </c>
      <c r="AJ3503">
        <v>82.114584733053107</v>
      </c>
      <c r="AK3503">
        <v>150.50515206752999</v>
      </c>
      <c r="AL3503">
        <v>76.489103244247005</v>
      </c>
      <c r="AM3503">
        <v>87.324065301737505</v>
      </c>
      <c r="AN3503">
        <v>1.0000000466882899</v>
      </c>
    </row>
    <row r="3504" spans="1:40" x14ac:dyDescent="0.25">
      <c r="A3504" t="str">
        <f>"20190303170837966"</f>
        <v>20190303170837966</v>
      </c>
      <c r="B3504" t="str">
        <f>"1551604117957242"</f>
        <v>1551604117957242</v>
      </c>
      <c r="C3504" t="s">
        <v>40</v>
      </c>
      <c r="D3504">
        <v>4.5996880000000004</v>
      </c>
      <c r="E3504">
        <v>0.54224850000000002</v>
      </c>
      <c r="F3504" t="s">
        <v>83</v>
      </c>
      <c r="G3504">
        <v>-440.26029999999997</v>
      </c>
      <c r="H3504">
        <v>0.1660198</v>
      </c>
      <c r="I3504">
        <v>163.14619999999999</v>
      </c>
      <c r="J3504">
        <v>-291.87060000000002</v>
      </c>
      <c r="K3504">
        <v>1.120571</v>
      </c>
      <c r="L3504">
        <v>140.94220000000001</v>
      </c>
      <c r="M3504">
        <v>-0.99989629999999996</v>
      </c>
      <c r="N3504">
        <v>-9.9365059999999995E-3</v>
      </c>
      <c r="O3504">
        <v>1.0426009999999999E-2</v>
      </c>
      <c r="P3504">
        <v>-0.9731438</v>
      </c>
      <c r="Q3504">
        <v>0.223415</v>
      </c>
      <c r="R3504">
        <v>5.5468759999999999E-2</v>
      </c>
      <c r="S3504">
        <v>-3.0615230000000002</v>
      </c>
      <c r="T3504">
        <v>-1.9630910000000001E-2</v>
      </c>
      <c r="U3504">
        <v>0.45675660000000001</v>
      </c>
      <c r="V3504">
        <v>4.515156E-2</v>
      </c>
      <c r="W3504">
        <v>0.2331115</v>
      </c>
      <c r="X3504">
        <v>0.97140130000000002</v>
      </c>
      <c r="Y3504">
        <v>0.13723189999999999</v>
      </c>
      <c r="Z3504">
        <v>1.1597210000000001E-3</v>
      </c>
      <c r="AA3504">
        <v>0.99053820000000004</v>
      </c>
      <c r="AB3504">
        <v>46</v>
      </c>
      <c r="AC3504">
        <v>-148.38969999999901</v>
      </c>
      <c r="AD3504">
        <v>-0.95455119999999904</v>
      </c>
      <c r="AE3504">
        <v>22.203999999999901</v>
      </c>
      <c r="AF3504">
        <v>20.654768222226899</v>
      </c>
      <c r="AG3504">
        <v>-0.95455119999999904</v>
      </c>
      <c r="AH3504">
        <v>148.60712972942599</v>
      </c>
      <c r="AI3504">
        <v>90.364520129252</v>
      </c>
      <c r="AJ3504">
        <v>82.087205493629796</v>
      </c>
      <c r="AK3504">
        <v>150.03869375839599</v>
      </c>
      <c r="AL3504">
        <v>76.519672560598195</v>
      </c>
      <c r="AM3504">
        <v>87.338758763002204</v>
      </c>
      <c r="AN3504">
        <v>1.0000000602221799</v>
      </c>
    </row>
    <row r="3505" spans="1:40" x14ac:dyDescent="0.25">
      <c r="A3505" t="str">
        <f>"20190303170837988"</f>
        <v>20190303170837988</v>
      </c>
      <c r="B3505" t="str">
        <f>"1551604117976762"</f>
        <v>1551604117976762</v>
      </c>
      <c r="C3505" t="s">
        <v>40</v>
      </c>
      <c r="D3505">
        <v>4.6013650000000004</v>
      </c>
      <c r="E3505">
        <v>0.54246219999999901</v>
      </c>
      <c r="F3505" t="s">
        <v>46</v>
      </c>
      <c r="G3505">
        <v>-458.83460000000002</v>
      </c>
      <c r="H3505">
        <v>-0.05</v>
      </c>
      <c r="I3505">
        <v>165.86349999999999</v>
      </c>
      <c r="J3505">
        <v>-292.32889999999998</v>
      </c>
      <c r="K3505">
        <v>1.1205670000000001</v>
      </c>
      <c r="L3505">
        <v>140.9469</v>
      </c>
      <c r="M3505">
        <v>-0.99989859999999997</v>
      </c>
      <c r="N3505">
        <v>-9.9741719999999999E-3</v>
      </c>
      <c r="O3505">
        <v>1.017641E-2</v>
      </c>
      <c r="P3505">
        <v>-0.97352039999999995</v>
      </c>
      <c r="Q3505">
        <v>0.22181210000000001</v>
      </c>
      <c r="R3505">
        <v>5.529891E-2</v>
      </c>
      <c r="S3505">
        <v>-3.0616460000000001</v>
      </c>
      <c r="T3505">
        <v>-2.1464939999999998E-2</v>
      </c>
      <c r="U3505">
        <v>0.45698549999999899</v>
      </c>
      <c r="V3505">
        <v>4.5221409999999997E-2</v>
      </c>
      <c r="W3505">
        <v>0.2315489</v>
      </c>
      <c r="X3505">
        <v>0.97177170000000002</v>
      </c>
      <c r="Y3505">
        <v>0.1375449</v>
      </c>
      <c r="Z3505">
        <v>1.199288E-3</v>
      </c>
      <c r="AA3505">
        <v>0.99049480000000001</v>
      </c>
      <c r="AB3505">
        <v>47</v>
      </c>
      <c r="AC3505">
        <v>-166.50569999999999</v>
      </c>
      <c r="AD3505">
        <v>-1.1705669999999999</v>
      </c>
      <c r="AE3505">
        <v>24.916599999999899</v>
      </c>
      <c r="AF3505">
        <v>23.2196728551917</v>
      </c>
      <c r="AG3505">
        <v>-1.1705669999999999</v>
      </c>
      <c r="AH3505">
        <v>166.742590914999</v>
      </c>
      <c r="AI3505">
        <v>90.398377486964094</v>
      </c>
      <c r="AJ3505">
        <v>82.072281150786495</v>
      </c>
      <c r="AK3505">
        <v>168.355620813949</v>
      </c>
      <c r="AL3505">
        <v>76.611721595380999</v>
      </c>
      <c r="AM3505">
        <v>87.335662183648296</v>
      </c>
      <c r="AN3505">
        <v>1.0000000529672399</v>
      </c>
    </row>
    <row r="3506" spans="1:40" x14ac:dyDescent="0.25">
      <c r="A3506" t="str">
        <f>"20190303170838009"</f>
        <v>20190303170838009</v>
      </c>
      <c r="B3506" t="str">
        <f>"1551604117997259"</f>
        <v>1551604117997259</v>
      </c>
      <c r="C3506" t="s">
        <v>40</v>
      </c>
      <c r="D3506">
        <v>4.6260500000000002</v>
      </c>
      <c r="E3506">
        <v>0.54274060000000002</v>
      </c>
      <c r="F3506" t="s">
        <v>43</v>
      </c>
      <c r="G3506">
        <v>-419.31349999999998</v>
      </c>
      <c r="H3506" s="1">
        <v>-2.8339250000000001E-7</v>
      </c>
      <c r="I3506">
        <v>159.94399999999999</v>
      </c>
      <c r="J3506">
        <v>-292.77370000000002</v>
      </c>
      <c r="K3506">
        <v>1.1205670000000001</v>
      </c>
      <c r="L3506">
        <v>140.9512</v>
      </c>
      <c r="M3506">
        <v>-0.99990049999999997</v>
      </c>
      <c r="N3506">
        <v>-1.001262E-2</v>
      </c>
      <c r="O3506">
        <v>9.9344930000000008E-3</v>
      </c>
      <c r="P3506">
        <v>-0.97390370000000004</v>
      </c>
      <c r="Q3506">
        <v>0.22012300000000001</v>
      </c>
      <c r="R3506">
        <v>5.5296310000000001E-2</v>
      </c>
      <c r="S3506">
        <v>-3.0617070000000002</v>
      </c>
      <c r="T3506">
        <v>-2.701783E-2</v>
      </c>
      <c r="U3506">
        <v>0.45803830000000001</v>
      </c>
      <c r="V3506">
        <v>4.5451070000000003E-2</v>
      </c>
      <c r="W3506">
        <v>0.22990140000000001</v>
      </c>
      <c r="X3506">
        <v>0.97215209999999996</v>
      </c>
      <c r="Y3506">
        <v>0.1381115</v>
      </c>
      <c r="Z3506">
        <v>1.3130749999999999E-3</v>
      </c>
      <c r="AA3506">
        <v>0.99041579999999996</v>
      </c>
      <c r="AB3506">
        <v>47</v>
      </c>
      <c r="AC3506">
        <v>-126.539799999999</v>
      </c>
      <c r="AD3506">
        <v>-1.1205672833925</v>
      </c>
      <c r="AE3506">
        <v>18.9927999999999</v>
      </c>
      <c r="AF3506">
        <v>17.7333308471982</v>
      </c>
      <c r="AG3506">
        <v>-1.1205672833925</v>
      </c>
      <c r="AH3506">
        <v>126.712530397503</v>
      </c>
      <c r="AI3506">
        <v>90.501785390471497</v>
      </c>
      <c r="AJ3506">
        <v>82.033238273457698</v>
      </c>
      <c r="AK3506">
        <v>127.952303823382</v>
      </c>
      <c r="AL3506">
        <v>76.708734251515196</v>
      </c>
      <c r="AM3506">
        <v>87.323197118952905</v>
      </c>
      <c r="AN3506">
        <v>1.0000000795102499</v>
      </c>
    </row>
    <row r="3507" spans="1:40" x14ac:dyDescent="0.25">
      <c r="A3507" t="str">
        <f>"20190303170838032"</f>
        <v>20190303170838032</v>
      </c>
      <c r="B3507" t="str">
        <f>"1551604118026538"</f>
        <v>1551604118026538</v>
      </c>
      <c r="C3507" t="s">
        <v>40</v>
      </c>
      <c r="D3507">
        <v>4.6072089999999903</v>
      </c>
      <c r="E3507">
        <v>0.54306849999999995</v>
      </c>
      <c r="F3507" t="s">
        <v>46</v>
      </c>
      <c r="G3507">
        <v>-404.50959999999998</v>
      </c>
      <c r="H3507">
        <v>-0.05</v>
      </c>
      <c r="I3507">
        <v>157.74799999999999</v>
      </c>
      <c r="J3507">
        <v>-293.2534</v>
      </c>
      <c r="K3507">
        <v>1.120576</v>
      </c>
      <c r="L3507">
        <v>140.95580000000001</v>
      </c>
      <c r="M3507">
        <v>-0.99990270000000003</v>
      </c>
      <c r="N3507">
        <v>-1.0054840000000001E-2</v>
      </c>
      <c r="O3507">
        <v>9.6731860000000003E-3</v>
      </c>
      <c r="P3507">
        <v>-0.97373379999999998</v>
      </c>
      <c r="Q3507">
        <v>0.22086990000000001</v>
      </c>
      <c r="R3507">
        <v>5.5308999999999997E-2</v>
      </c>
      <c r="S3507">
        <v>-3.061493</v>
      </c>
      <c r="T3507">
        <v>-3.2072780000000002E-2</v>
      </c>
      <c r="U3507">
        <v>0.46022030000000003</v>
      </c>
      <c r="V3507">
        <v>4.5718559999999998E-2</v>
      </c>
      <c r="W3507">
        <v>0.23068739999999999</v>
      </c>
      <c r="X3507">
        <v>0.97195330000000002</v>
      </c>
      <c r="Y3507">
        <v>0.13906729999999901</v>
      </c>
      <c r="Z3507">
        <v>1.4234600000000001E-3</v>
      </c>
      <c r="AA3507">
        <v>0.99028190000000005</v>
      </c>
      <c r="AB3507">
        <v>47</v>
      </c>
      <c r="AC3507">
        <v>-111.256199999999</v>
      </c>
      <c r="AD3507">
        <v>-1.1705760000000001</v>
      </c>
      <c r="AE3507">
        <v>16.792199999999902</v>
      </c>
      <c r="AF3507">
        <v>15.7134572472161</v>
      </c>
      <c r="AG3507">
        <v>-1.1705760000000001</v>
      </c>
      <c r="AH3507">
        <v>111.401378937332</v>
      </c>
      <c r="AI3507">
        <v>90.596126048288497</v>
      </c>
      <c r="AJ3507">
        <v>81.971246415213301</v>
      </c>
      <c r="AK3507">
        <v>112.510222717631</v>
      </c>
      <c r="AL3507">
        <v>76.662455321905</v>
      </c>
      <c r="AM3507">
        <v>87.3069167230706</v>
      </c>
      <c r="AN3507">
        <v>1.0000000403140601</v>
      </c>
    </row>
    <row r="3508" spans="1:40" x14ac:dyDescent="0.25">
      <c r="A3508" t="str">
        <f>"20190303170838055"</f>
        <v>20190303170838055</v>
      </c>
      <c r="B3508" t="str">
        <f>"1551604118047034"</f>
        <v>1551604118047034</v>
      </c>
      <c r="C3508" t="s">
        <v>40</v>
      </c>
      <c r="D3508">
        <v>4.5600440000000004</v>
      </c>
      <c r="E3508">
        <v>0.54327429999999999</v>
      </c>
      <c r="F3508" t="s">
        <v>46</v>
      </c>
      <c r="G3508">
        <v>-414.25009999999997</v>
      </c>
      <c r="H3508">
        <v>-0.05</v>
      </c>
      <c r="I3508">
        <v>159.2534</v>
      </c>
      <c r="J3508">
        <v>-293.7364</v>
      </c>
      <c r="K3508">
        <v>1.1205879999999999</v>
      </c>
      <c r="L3508">
        <v>140.96029999999999</v>
      </c>
      <c r="M3508">
        <v>-0.99990469999999998</v>
      </c>
      <c r="N3508">
        <v>-1.009794E-2</v>
      </c>
      <c r="O3508">
        <v>9.4102030000000007E-3</v>
      </c>
      <c r="P3508">
        <v>-0.97342850000000003</v>
      </c>
      <c r="Q3508">
        <v>0.22220899999999999</v>
      </c>
      <c r="R3508">
        <v>5.5317850000000002E-2</v>
      </c>
      <c r="S3508">
        <v>-3.0613709999999998</v>
      </c>
      <c r="T3508">
        <v>-2.9617069999999999E-2</v>
      </c>
      <c r="U3508">
        <v>0.46295170000000002</v>
      </c>
      <c r="V3508">
        <v>4.5984749999999998E-2</v>
      </c>
      <c r="W3508">
        <v>0.2320661</v>
      </c>
      <c r="X3508">
        <v>0.97161249999999999</v>
      </c>
      <c r="Y3508">
        <v>0.14019879999999901</v>
      </c>
      <c r="Z3508">
        <v>1.3902400000000001E-3</v>
      </c>
      <c r="AA3508">
        <v>0.99012239999999996</v>
      </c>
      <c r="AB3508">
        <v>47</v>
      </c>
      <c r="AC3508">
        <v>-120.51369999999901</v>
      </c>
      <c r="AD3508">
        <v>-1.170588</v>
      </c>
      <c r="AE3508">
        <v>18.293099999999999</v>
      </c>
      <c r="AF3508">
        <v>17.156591466778501</v>
      </c>
      <c r="AG3508">
        <v>-1.170588</v>
      </c>
      <c r="AH3508">
        <v>120.669385475685</v>
      </c>
      <c r="AI3508">
        <v>90.550263179024199</v>
      </c>
      <c r="AJ3508">
        <v>81.908007316955803</v>
      </c>
      <c r="AK3508">
        <v>121.888553597551</v>
      </c>
      <c r="AL3508">
        <v>76.581258565526795</v>
      </c>
      <c r="AM3508">
        <v>87.290311209781294</v>
      </c>
      <c r="AN3508">
        <v>1.0000000610790001</v>
      </c>
    </row>
    <row r="3509" spans="1:40" x14ac:dyDescent="0.25">
      <c r="A3509" t="str">
        <f>"20190303170838079"</f>
        <v>20190303170838079</v>
      </c>
      <c r="B3509" t="str">
        <f>"1551604118066553"</f>
        <v>1551604118066553</v>
      </c>
      <c r="C3509" t="s">
        <v>40</v>
      </c>
      <c r="D3509">
        <v>4.601032</v>
      </c>
      <c r="E3509">
        <v>0.54347939999999995</v>
      </c>
      <c r="F3509" t="s">
        <v>43</v>
      </c>
      <c r="G3509">
        <v>-428.0573</v>
      </c>
      <c r="H3509" s="1">
        <v>-2.8867249999999999E-6</v>
      </c>
      <c r="I3509">
        <v>161.32079999999999</v>
      </c>
      <c r="J3509">
        <v>-294.21660000000003</v>
      </c>
      <c r="K3509">
        <v>1.1205879999999999</v>
      </c>
      <c r="L3509">
        <v>140.96469999999999</v>
      </c>
      <c r="M3509">
        <v>-0.99990670000000004</v>
      </c>
      <c r="N3509">
        <v>-1.014731E-2</v>
      </c>
      <c r="O3509">
        <v>9.1488579999999993E-3</v>
      </c>
      <c r="P3509">
        <v>-0.97354260000000004</v>
      </c>
      <c r="Q3509">
        <v>0.2217103</v>
      </c>
      <c r="R3509">
        <v>5.5311270000000003E-2</v>
      </c>
      <c r="S3509">
        <v>-3.0613100000000002</v>
      </c>
      <c r="T3509">
        <v>-2.55394E-2</v>
      </c>
      <c r="U3509">
        <v>0.46403499999999998</v>
      </c>
      <c r="V3509">
        <v>4.6231540000000002E-2</v>
      </c>
      <c r="W3509">
        <v>0.23161670000000001</v>
      </c>
      <c r="X3509">
        <v>0.97170789999999996</v>
      </c>
      <c r="Y3509">
        <v>0.1408056</v>
      </c>
      <c r="Z3509">
        <v>1.3189530000000001E-3</v>
      </c>
      <c r="AA3509">
        <v>0.99003640000000004</v>
      </c>
      <c r="AB3509">
        <v>47</v>
      </c>
      <c r="AC3509">
        <v>-133.840699999999</v>
      </c>
      <c r="AD3509">
        <v>-1.1205908867249901</v>
      </c>
      <c r="AE3509">
        <v>20.356100000000001</v>
      </c>
      <c r="AF3509">
        <v>19.129384766784302</v>
      </c>
      <c r="AG3509">
        <v>-1.1205908867249901</v>
      </c>
      <c r="AH3509">
        <v>134.012160762961</v>
      </c>
      <c r="AI3509">
        <v>90.474280779690702</v>
      </c>
      <c r="AJ3509">
        <v>81.876270441415599</v>
      </c>
      <c r="AK3509">
        <v>135.37521308514701</v>
      </c>
      <c r="AL3509">
        <v>76.607726941138694</v>
      </c>
      <c r="AM3509">
        <v>87.276057810537296</v>
      </c>
      <c r="AN3509">
        <v>0.999999946966034</v>
      </c>
    </row>
    <row r="3510" spans="1:40" x14ac:dyDescent="0.25">
      <c r="A3510" t="str">
        <f>"20190303170838098"</f>
        <v>20190303170838098</v>
      </c>
      <c r="B3510" t="str">
        <f>"1551604118087051"</f>
        <v>1551604118087051</v>
      </c>
      <c r="C3510" t="s">
        <v>40</v>
      </c>
      <c r="D3510">
        <v>4.6078419999999998</v>
      </c>
      <c r="E3510">
        <v>0.54368459999999996</v>
      </c>
      <c r="F3510" t="s">
        <v>43</v>
      </c>
      <c r="G3510">
        <v>-420.70760000000001</v>
      </c>
      <c r="H3510" s="1">
        <v>-4.4204769999999999E-7</v>
      </c>
      <c r="I3510">
        <v>160.1807</v>
      </c>
      <c r="J3510">
        <v>-294.63900000000001</v>
      </c>
      <c r="K3510">
        <v>1.120593</v>
      </c>
      <c r="L3510">
        <v>140.9684</v>
      </c>
      <c r="M3510">
        <v>-0.99990809999999997</v>
      </c>
      <c r="N3510">
        <v>-1.0200860000000001E-2</v>
      </c>
      <c r="O3510">
        <v>8.9191380000000001E-3</v>
      </c>
      <c r="P3510">
        <v>-0.97376499999999999</v>
      </c>
      <c r="Q3510">
        <v>0.22081870000000001</v>
      </c>
      <c r="R3510">
        <v>5.4962810000000001E-2</v>
      </c>
      <c r="S3510">
        <v>-3.0612789999999999</v>
      </c>
      <c r="T3510">
        <v>-2.711999E-2</v>
      </c>
      <c r="U3510">
        <v>0.46505740000000001</v>
      </c>
      <c r="V3510">
        <v>4.6104909999999999E-2</v>
      </c>
      <c r="W3510">
        <v>0.23077929999999999</v>
      </c>
      <c r="X3510">
        <v>0.97191320000000003</v>
      </c>
      <c r="Y3510">
        <v>0.1413566</v>
      </c>
      <c r="Z3510">
        <v>1.359634E-3</v>
      </c>
      <c r="AA3510">
        <v>0.9899578</v>
      </c>
      <c r="AB3510">
        <v>47</v>
      </c>
      <c r="AC3510">
        <v>-126.0686</v>
      </c>
      <c r="AD3510">
        <v>-1.1205934420477</v>
      </c>
      <c r="AE3510">
        <v>19.212299999999999</v>
      </c>
      <c r="AF3510">
        <v>18.085657360095301</v>
      </c>
      <c r="AG3510">
        <v>-1.1205934420477</v>
      </c>
      <c r="AH3510">
        <v>126.225204324012</v>
      </c>
      <c r="AI3510">
        <v>90.503501402811494</v>
      </c>
      <c r="AJ3510">
        <v>81.846106717633305</v>
      </c>
      <c r="AK3510">
        <v>127.519210076159</v>
      </c>
      <c r="AL3510">
        <v>76.657043384958499</v>
      </c>
      <c r="AM3510">
        <v>87.284080556969798</v>
      </c>
      <c r="AN3510">
        <v>1.00000000818441</v>
      </c>
    </row>
    <row r="3511" spans="1:40" x14ac:dyDescent="0.25">
      <c r="A3511" t="str">
        <f>"20190303170838122"</f>
        <v>20190303170838122</v>
      </c>
      <c r="B3511" t="str">
        <f>"1551604118116330"</f>
        <v>1551604118116330</v>
      </c>
      <c r="C3511" t="s">
        <v>40</v>
      </c>
      <c r="D3511">
        <v>4.6082789999999996</v>
      </c>
      <c r="E3511">
        <v>0.54396149999999999</v>
      </c>
      <c r="F3511" t="s">
        <v>58</v>
      </c>
      <c r="G3511">
        <v>-410.20030000000003</v>
      </c>
      <c r="H3511" s="1">
        <v>-1.790938E-5</v>
      </c>
      <c r="I3511">
        <v>158.55009999999999</v>
      </c>
      <c r="J3511">
        <v>-295.12639999999999</v>
      </c>
      <c r="K3511">
        <v>1.120609</v>
      </c>
      <c r="L3511">
        <v>140.9725</v>
      </c>
      <c r="M3511">
        <v>-0.99990990000000002</v>
      </c>
      <c r="N3511">
        <v>-1.02752E-2</v>
      </c>
      <c r="O3511">
        <v>8.6538359999999998E-3</v>
      </c>
      <c r="P3511">
        <v>-0.97381419999999996</v>
      </c>
      <c r="Q3511">
        <v>0.22078739999999999</v>
      </c>
      <c r="R3511">
        <v>5.4213520000000001E-2</v>
      </c>
      <c r="S3511">
        <v>-3.0612490000000001</v>
      </c>
      <c r="T3511">
        <v>-2.9685260000000002E-2</v>
      </c>
      <c r="U3511">
        <v>0.46574399999999999</v>
      </c>
      <c r="V3511">
        <v>4.561316E-2</v>
      </c>
      <c r="W3511">
        <v>0.2308201</v>
      </c>
      <c r="X3511">
        <v>0.97192670000000003</v>
      </c>
      <c r="Y3511">
        <v>0.14183589999999999</v>
      </c>
      <c r="Z3511">
        <v>1.4216770000000001E-3</v>
      </c>
      <c r="AA3511">
        <v>0.98988909999999997</v>
      </c>
      <c r="AB3511">
        <v>47</v>
      </c>
      <c r="AC3511">
        <v>-115.07389999999999</v>
      </c>
      <c r="AD3511">
        <v>-1.1206269093800001</v>
      </c>
      <c r="AE3511">
        <v>17.577599999999901</v>
      </c>
      <c r="AF3511">
        <v>16.579522172189801</v>
      </c>
      <c r="AG3511">
        <v>-1.1206269093800001</v>
      </c>
      <c r="AH3511">
        <v>115.21103535367099</v>
      </c>
      <c r="AI3511">
        <v>90.551601251954693</v>
      </c>
      <c r="AJ3511">
        <v>81.811031194207303</v>
      </c>
      <c r="AK3511">
        <v>116.403260381284</v>
      </c>
      <c r="AL3511">
        <v>76.654640666559999</v>
      </c>
      <c r="AM3511">
        <v>87.313042846016202</v>
      </c>
      <c r="AN3511">
        <v>0.99999999455104205</v>
      </c>
    </row>
    <row r="3512" spans="1:40" x14ac:dyDescent="0.25">
      <c r="A3512" t="str">
        <f>"20190303170838143"</f>
        <v>20190303170838143</v>
      </c>
      <c r="B3512" t="str">
        <f>"1551604118136826"</f>
        <v>1551604118136826</v>
      </c>
      <c r="C3512" t="s">
        <v>40</v>
      </c>
      <c r="D3512">
        <v>4.60832</v>
      </c>
      <c r="E3512">
        <v>0.54416299999999995</v>
      </c>
      <c r="F3512" t="s">
        <v>58</v>
      </c>
      <c r="G3512">
        <v>-411.05779999999999</v>
      </c>
      <c r="H3512" s="1">
        <v>-1.7956320000000001E-5</v>
      </c>
      <c r="I3512">
        <v>158.62610000000001</v>
      </c>
      <c r="J3512">
        <v>-295.58159999999998</v>
      </c>
      <c r="K3512">
        <v>1.1206259999999999</v>
      </c>
      <c r="L3512">
        <v>140.97630000000001</v>
      </c>
      <c r="M3512">
        <v>-0.99991110000000005</v>
      </c>
      <c r="N3512">
        <v>-1.035165E-2</v>
      </c>
      <c r="O3512">
        <v>8.4068189999999994E-3</v>
      </c>
      <c r="P3512">
        <v>-0.97354980000000002</v>
      </c>
      <c r="Q3512">
        <v>0.2222296</v>
      </c>
      <c r="R3512">
        <v>5.3055060000000001E-2</v>
      </c>
      <c r="S3512">
        <v>-3.0614620000000001</v>
      </c>
      <c r="T3512">
        <v>-2.959299E-2</v>
      </c>
      <c r="U3512">
        <v>0.4661865</v>
      </c>
      <c r="V3512">
        <v>4.4695850000000002E-2</v>
      </c>
      <c r="W3512">
        <v>0.23233329999999999</v>
      </c>
      <c r="X3512">
        <v>0.97160869999999999</v>
      </c>
      <c r="Y3512">
        <v>0.14221</v>
      </c>
      <c r="Z3512">
        <v>1.429456E-3</v>
      </c>
      <c r="AA3512">
        <v>0.98983549999999998</v>
      </c>
      <c r="AB3512">
        <v>47</v>
      </c>
      <c r="AC3512">
        <v>-115.47620000000001</v>
      </c>
      <c r="AD3512">
        <v>-1.1206439563199999</v>
      </c>
      <c r="AE3512">
        <v>17.649799999999999</v>
      </c>
      <c r="AF3512">
        <v>16.6768019775363</v>
      </c>
      <c r="AG3512">
        <v>-1.1206439563199999</v>
      </c>
      <c r="AH3512">
        <v>115.609866115332</v>
      </c>
      <c r="AI3512">
        <v>90.5496800505924</v>
      </c>
      <c r="AJ3512">
        <v>81.791665950841605</v>
      </c>
      <c r="AK3512">
        <v>116.81186887589701</v>
      </c>
      <c r="AL3512">
        <v>76.565517743687593</v>
      </c>
      <c r="AM3512">
        <v>87.366141914070198</v>
      </c>
      <c r="AN3512">
        <v>0.99999997360589998</v>
      </c>
    </row>
    <row r="3513" spans="1:40" x14ac:dyDescent="0.25">
      <c r="A3513" t="str">
        <f>"20190303170838167"</f>
        <v>20190303170838167</v>
      </c>
      <c r="B3513" t="str">
        <f>"1551604118156346"</f>
        <v>1551604118156346</v>
      </c>
      <c r="C3513" t="s">
        <v>40</v>
      </c>
      <c r="D3513">
        <v>4.6091059999999997</v>
      </c>
      <c r="E3513">
        <v>0.54433920000000002</v>
      </c>
      <c r="F3513" t="s">
        <v>43</v>
      </c>
      <c r="G3513">
        <v>-429.96170000000001</v>
      </c>
      <c r="H3513">
        <v>5.3927999999999997E-2</v>
      </c>
      <c r="I3513">
        <v>161.40870000000001</v>
      </c>
      <c r="J3513">
        <v>-296.05430000000001</v>
      </c>
      <c r="K3513">
        <v>1.1206449999999999</v>
      </c>
      <c r="L3513">
        <v>140.98009999999999</v>
      </c>
      <c r="M3513">
        <v>-0.99991240000000003</v>
      </c>
      <c r="N3513">
        <v>-1.0433339999999999E-2</v>
      </c>
      <c r="O3513">
        <v>8.1503530000000008E-3</v>
      </c>
      <c r="P3513">
        <v>-0.97314820000000002</v>
      </c>
      <c r="Q3513">
        <v>0.22407650000000001</v>
      </c>
      <c r="R3513">
        <v>5.2653930000000002E-2</v>
      </c>
      <c r="S3513">
        <v>-3.0617070000000002</v>
      </c>
      <c r="T3513">
        <v>-2.4303559999999998E-2</v>
      </c>
      <c r="U3513">
        <v>0.46553040000000001</v>
      </c>
      <c r="V3513">
        <v>4.454586E-2</v>
      </c>
      <c r="W3513">
        <v>0.23425480000000001</v>
      </c>
      <c r="X3513">
        <v>0.97115419999999997</v>
      </c>
      <c r="Y3513">
        <v>0.14224819999999999</v>
      </c>
      <c r="Z3513">
        <v>1.3279419999999999E-3</v>
      </c>
      <c r="AA3513">
        <v>0.98983010000000005</v>
      </c>
      <c r="AB3513">
        <v>47</v>
      </c>
      <c r="AC3513">
        <v>-133.9074</v>
      </c>
      <c r="AD3513">
        <v>-1.0667169999999999</v>
      </c>
      <c r="AE3513">
        <v>20.428599999999999</v>
      </c>
      <c r="AF3513">
        <v>19.335270381894201</v>
      </c>
      <c r="AG3513">
        <v>-1.0667169999999999</v>
      </c>
      <c r="AH3513">
        <v>134.06114736695099</v>
      </c>
      <c r="AI3513">
        <v>90.451220984472002</v>
      </c>
      <c r="AJ3513">
        <v>81.792981214428707</v>
      </c>
      <c r="AK3513">
        <v>135.452507541361</v>
      </c>
      <c r="AL3513">
        <v>76.452300997373698</v>
      </c>
      <c r="AM3513">
        <v>87.373741416423201</v>
      </c>
      <c r="AN3513">
        <v>1.0000000625719001</v>
      </c>
    </row>
    <row r="3514" spans="1:40" x14ac:dyDescent="0.25">
      <c r="A3514" t="str">
        <f>"20190303170838188"</f>
        <v>20190303170838188</v>
      </c>
      <c r="B3514" t="str">
        <f>"1551604118176842"</f>
        <v>1551604118176842</v>
      </c>
      <c r="C3514" t="s">
        <v>40</v>
      </c>
      <c r="D3514">
        <v>4.607996</v>
      </c>
      <c r="E3514">
        <v>0.54978870000000002</v>
      </c>
      <c r="F3514" t="s">
        <v>83</v>
      </c>
      <c r="G3514">
        <v>-440.27449999999999</v>
      </c>
      <c r="H3514">
        <v>0.2454103</v>
      </c>
      <c r="I3514">
        <v>162.9007</v>
      </c>
      <c r="J3514">
        <v>-296.51920000000001</v>
      </c>
      <c r="K3514">
        <v>1.120655</v>
      </c>
      <c r="L3514">
        <v>140.9837</v>
      </c>
      <c r="M3514">
        <v>-0.99991359999999996</v>
      </c>
      <c r="N3514">
        <v>-1.051527E-2</v>
      </c>
      <c r="O3514">
        <v>7.8987099999999998E-3</v>
      </c>
      <c r="P3514">
        <v>-0.97308019999999995</v>
      </c>
      <c r="Q3514">
        <v>0.2245973</v>
      </c>
      <c r="R3514">
        <v>5.168499E-2</v>
      </c>
      <c r="S3514">
        <v>-3.0619200000000002</v>
      </c>
      <c r="T3514">
        <v>-1.8581150000000001E-2</v>
      </c>
      <c r="U3514">
        <v>0.4653931</v>
      </c>
      <c r="V3514">
        <v>4.3821649999999997E-2</v>
      </c>
      <c r="W3514">
        <v>0.23485410000000001</v>
      </c>
      <c r="X3514">
        <v>0.97104230000000002</v>
      </c>
      <c r="Y3514">
        <v>0.14244679999999901</v>
      </c>
      <c r="Z3514">
        <v>1.2179409999999999E-3</v>
      </c>
      <c r="AA3514">
        <v>0.98980170000000001</v>
      </c>
      <c r="AB3514">
        <v>47</v>
      </c>
      <c r="AC3514">
        <v>-143.75529999999901</v>
      </c>
      <c r="AD3514">
        <v>-0.87524469999999999</v>
      </c>
      <c r="AE3514">
        <v>21.916999999999899</v>
      </c>
      <c r="AF3514">
        <v>20.780019309066098</v>
      </c>
      <c r="AG3514">
        <v>-0.87524469999999999</v>
      </c>
      <c r="AH3514">
        <v>143.91872686098301</v>
      </c>
      <c r="AI3514">
        <v>90.344864984059299</v>
      </c>
      <c r="AJ3514">
        <v>81.784004658062301</v>
      </c>
      <c r="AK3514">
        <v>145.41380676213799</v>
      </c>
      <c r="AL3514">
        <v>76.416976913540793</v>
      </c>
      <c r="AM3514">
        <v>87.416082493404502</v>
      </c>
      <c r="AN3514">
        <v>0.99999996684240999</v>
      </c>
    </row>
    <row r="3515" spans="1:40" x14ac:dyDescent="0.25">
      <c r="A3515" t="str">
        <f>"20190303170838211"</f>
        <v>20190303170838211</v>
      </c>
      <c r="B3515" t="str">
        <f>"1551604118196362"</f>
        <v>1551604118196362</v>
      </c>
      <c r="C3515" t="s">
        <v>40</v>
      </c>
      <c r="D3515">
        <v>4.5920990000000002</v>
      </c>
      <c r="E3515">
        <v>0.55004709999999901</v>
      </c>
      <c r="F3515" t="s">
        <v>83</v>
      </c>
      <c r="G3515">
        <v>-441.0138</v>
      </c>
      <c r="H3515">
        <v>0.45828469999999999</v>
      </c>
      <c r="I3515">
        <v>164.8553</v>
      </c>
      <c r="J3515">
        <v>-296.96749999999997</v>
      </c>
      <c r="K3515">
        <v>1.1206700000000001</v>
      </c>
      <c r="L3515">
        <v>140.9871</v>
      </c>
      <c r="M3515">
        <v>-0.99991459999999999</v>
      </c>
      <c r="N3515">
        <v>-1.059657E-2</v>
      </c>
      <c r="O3515">
        <v>7.6564319999999899E-3</v>
      </c>
      <c r="P3515">
        <v>-0.97333930000000002</v>
      </c>
      <c r="Q3515">
        <v>0.2237806</v>
      </c>
      <c r="R3515">
        <v>5.0328299999999999E-2</v>
      </c>
      <c r="S3515">
        <v>-3.0593870000000001</v>
      </c>
      <c r="T3515">
        <v>-1.4023539999999999E-2</v>
      </c>
      <c r="U3515">
        <v>0.50543209999999905</v>
      </c>
      <c r="V3515">
        <v>4.2699059999999997E-2</v>
      </c>
      <c r="W3515">
        <v>0.23411799999999999</v>
      </c>
      <c r="X3515">
        <v>0.97127010000000003</v>
      </c>
      <c r="Y3515">
        <v>0.15543309999999999</v>
      </c>
      <c r="Z3515">
        <v>1.228694E-3</v>
      </c>
      <c r="AA3515">
        <v>0.98784570000000005</v>
      </c>
      <c r="AB3515">
        <v>47</v>
      </c>
      <c r="AC3515">
        <v>-144.0463</v>
      </c>
      <c r="AD3515">
        <v>-0.66238529999999995</v>
      </c>
      <c r="AE3515">
        <v>23.868200000000002</v>
      </c>
      <c r="AF3515">
        <v>22.764089266686401</v>
      </c>
      <c r="AG3515">
        <v>-0.66238529999999995</v>
      </c>
      <c r="AH3515">
        <v>144.221864754639</v>
      </c>
      <c r="AI3515">
        <v>90.259929506115697</v>
      </c>
      <c r="AJ3515">
        <v>81.030390625354102</v>
      </c>
      <c r="AK3515">
        <v>146.008865442249</v>
      </c>
      <c r="AL3515">
        <v>76.460362771857405</v>
      </c>
      <c r="AM3515">
        <v>87.482778807418399</v>
      </c>
      <c r="AN3515">
        <v>1.00000002740144</v>
      </c>
    </row>
    <row r="3516" spans="1:40" x14ac:dyDescent="0.25">
      <c r="A3516" t="str">
        <f>"20190303170838234"</f>
        <v>20190303170838234</v>
      </c>
      <c r="B3516" t="str">
        <f>"1551604118226618"</f>
        <v>1551604118226618</v>
      </c>
      <c r="C3516" t="s">
        <v>40</v>
      </c>
      <c r="D3516">
        <v>4.6339750000000004</v>
      </c>
      <c r="E3516">
        <v>0.55024890000000004</v>
      </c>
      <c r="F3516" t="s">
        <v>83</v>
      </c>
      <c r="G3516">
        <v>-441.00970000000001</v>
      </c>
      <c r="H3516">
        <v>0.45244109999999998</v>
      </c>
      <c r="I3516">
        <v>164.73769999999999</v>
      </c>
      <c r="J3516">
        <v>-297.46190000000001</v>
      </c>
      <c r="K3516">
        <v>1.120679</v>
      </c>
      <c r="L3516">
        <v>140.9907</v>
      </c>
      <c r="M3516">
        <v>-0.99991549999999996</v>
      </c>
      <c r="N3516">
        <v>-1.069171E-2</v>
      </c>
      <c r="O3516">
        <v>7.3899949999999999E-3</v>
      </c>
      <c r="P3516">
        <v>-0.97357570000000004</v>
      </c>
      <c r="Q3516">
        <v>0.22304009999999999</v>
      </c>
      <c r="R3516">
        <v>4.9024159999999997E-2</v>
      </c>
      <c r="S3516">
        <v>-3.059326</v>
      </c>
      <c r="T3516">
        <v>-1.419175E-2</v>
      </c>
      <c r="U3516">
        <v>0.50444029999999995</v>
      </c>
      <c r="V3516">
        <v>4.165307E-2</v>
      </c>
      <c r="W3516">
        <v>0.23347119999999999</v>
      </c>
      <c r="X3516">
        <v>0.97147110000000003</v>
      </c>
      <c r="Y3516">
        <v>0.15538759999999999</v>
      </c>
      <c r="Z3516">
        <v>1.2387310000000001E-3</v>
      </c>
      <c r="AA3516">
        <v>0.98785279999999998</v>
      </c>
      <c r="AB3516">
        <v>47</v>
      </c>
      <c r="AC3516">
        <v>-143.5478</v>
      </c>
      <c r="AD3516">
        <v>-0.66823789999999905</v>
      </c>
      <c r="AE3516">
        <v>23.7469999999999</v>
      </c>
      <c r="AF3516">
        <v>22.684994782650602</v>
      </c>
      <c r="AG3516">
        <v>-0.66823789999999905</v>
      </c>
      <c r="AH3516">
        <v>143.71634858298199</v>
      </c>
      <c r="AI3516">
        <v>90.263148278389394</v>
      </c>
      <c r="AJ3516">
        <v>81.030119670819104</v>
      </c>
      <c r="AK3516">
        <v>145.49723152075799</v>
      </c>
      <c r="AL3516">
        <v>76.498476788159905</v>
      </c>
      <c r="AM3516">
        <v>87.544873676335499</v>
      </c>
      <c r="AN3516">
        <v>0.99999993880253502</v>
      </c>
    </row>
    <row r="3517" spans="1:40" x14ac:dyDescent="0.25">
      <c r="A3517" t="str">
        <f>"20190303170838257"</f>
        <v>20190303170838257</v>
      </c>
      <c r="B3517" t="str">
        <f>"1551604118247114"</f>
        <v>1551604118247114</v>
      </c>
      <c r="C3517" t="s">
        <v>40</v>
      </c>
      <c r="D3517">
        <v>4.707662</v>
      </c>
      <c r="E3517">
        <v>0.54716180000000003</v>
      </c>
      <c r="F3517" t="s">
        <v>41</v>
      </c>
      <c r="G3517">
        <v>-433.93889999999999</v>
      </c>
      <c r="H3517">
        <v>0.48437720000000001</v>
      </c>
      <c r="I3517">
        <v>163.4067</v>
      </c>
      <c r="J3517">
        <v>-297.95499999999998</v>
      </c>
      <c r="K3517">
        <v>1.1206780000000001</v>
      </c>
      <c r="L3517">
        <v>140.9941</v>
      </c>
      <c r="M3517">
        <v>-0.99991660000000004</v>
      </c>
      <c r="N3517">
        <v>-1.0790060000000001E-2</v>
      </c>
      <c r="O3517">
        <v>7.1240779999999998E-3</v>
      </c>
      <c r="P3517">
        <v>-0.97367479999999995</v>
      </c>
      <c r="Q3517">
        <v>0.22270219999999999</v>
      </c>
      <c r="R3517">
        <v>4.85919E-2</v>
      </c>
      <c r="S3517">
        <v>-3.059326</v>
      </c>
      <c r="T3517">
        <v>-1.4263629999999999E-2</v>
      </c>
      <c r="U3517">
        <v>0.50248720000000002</v>
      </c>
      <c r="V3517">
        <v>4.1479410000000001E-2</v>
      </c>
      <c r="W3517">
        <v>0.2332302</v>
      </c>
      <c r="X3517">
        <v>0.97153650000000003</v>
      </c>
      <c r="Y3517">
        <v>0.15503620000000001</v>
      </c>
      <c r="Z3517">
        <v>1.2444239999999901E-3</v>
      </c>
      <c r="AA3517">
        <v>0.98790800000000001</v>
      </c>
      <c r="AB3517">
        <v>47</v>
      </c>
      <c r="AC3517">
        <v>-135.98390000000001</v>
      </c>
      <c r="AD3517">
        <v>-0.6363008</v>
      </c>
      <c r="AE3517">
        <v>22.412600000000001</v>
      </c>
      <c r="AF3517">
        <v>21.442757978145401</v>
      </c>
      <c r="AG3517">
        <v>-0.6363008</v>
      </c>
      <c r="AH3517">
        <v>136.13722524252901</v>
      </c>
      <c r="AI3517">
        <v>90.264535326766605</v>
      </c>
      <c r="AJ3517">
        <v>81.048971114317396</v>
      </c>
      <c r="AK3517">
        <v>137.81705571210099</v>
      </c>
      <c r="AL3517">
        <v>76.512678210556302</v>
      </c>
      <c r="AM3517">
        <v>87.555261524815407</v>
      </c>
      <c r="AN3517">
        <v>1.0000000192391101</v>
      </c>
    </row>
    <row r="3518" spans="1:40" x14ac:dyDescent="0.25">
      <c r="A3518" t="str">
        <f>"20190303170838280"</f>
        <v>20190303170838280</v>
      </c>
      <c r="B3518" t="str">
        <f>"1551604118267141"</f>
        <v>1551604118267141</v>
      </c>
      <c r="C3518" t="s">
        <v>40</v>
      </c>
      <c r="D3518">
        <v>4.7000400000000004</v>
      </c>
      <c r="E3518">
        <v>0.50764469999999995</v>
      </c>
      <c r="F3518" t="s">
        <v>83</v>
      </c>
      <c r="G3518">
        <v>-440.27449999999999</v>
      </c>
      <c r="H3518">
        <v>0.24166499999999999</v>
      </c>
      <c r="I3518">
        <v>163.11199999999999</v>
      </c>
      <c r="J3518">
        <v>-298.45260000000002</v>
      </c>
      <c r="K3518">
        <v>1.1206940000000001</v>
      </c>
      <c r="L3518">
        <v>140.9975</v>
      </c>
      <c r="M3518">
        <v>-0.9999171</v>
      </c>
      <c r="N3518">
        <v>-1.089766E-2</v>
      </c>
      <c r="O3518">
        <v>6.856488E-3</v>
      </c>
      <c r="P3518">
        <v>-0.97367239999999999</v>
      </c>
      <c r="Q3518">
        <v>0.2228137</v>
      </c>
      <c r="R3518">
        <v>4.8125679999999997E-2</v>
      </c>
      <c r="S3518">
        <v>-3.0616759999999998</v>
      </c>
      <c r="T3518">
        <v>-1.8909100000000002E-2</v>
      </c>
      <c r="U3518">
        <v>0.47581479999999998</v>
      </c>
      <c r="V3518">
        <v>4.1273740000000003E-2</v>
      </c>
      <c r="W3518">
        <v>0.23344529999999999</v>
      </c>
      <c r="X3518">
        <v>0.97149359999999996</v>
      </c>
      <c r="Y3518">
        <v>0.14677970000000001</v>
      </c>
      <c r="Z3518">
        <v>1.2873450000000001E-3</v>
      </c>
      <c r="AA3518">
        <v>0.9891683</v>
      </c>
      <c r="AB3518">
        <v>47</v>
      </c>
      <c r="AC3518">
        <v>-141.821899999999</v>
      </c>
      <c r="AD3518">
        <v>-0.87902899999999995</v>
      </c>
      <c r="AE3518">
        <v>22.1144999999999</v>
      </c>
      <c r="AF3518">
        <v>21.140729324668399</v>
      </c>
      <c r="AG3518">
        <v>-0.87902899999999995</v>
      </c>
      <c r="AH3518">
        <v>141.96487839057201</v>
      </c>
      <c r="AI3518">
        <v>90.350894617613605</v>
      </c>
      <c r="AJ3518">
        <v>81.530030380908698</v>
      </c>
      <c r="AK3518">
        <v>143.53302694784799</v>
      </c>
      <c r="AL3518">
        <v>76.500004069016299</v>
      </c>
      <c r="AM3518">
        <v>87.567261535719098</v>
      </c>
      <c r="AN3518">
        <v>1.0000000222733101</v>
      </c>
    </row>
    <row r="3519" spans="1:40" x14ac:dyDescent="0.25">
      <c r="A3519" t="str">
        <f>"20190303170838302"</f>
        <v>20190303170838302</v>
      </c>
      <c r="B3519" t="str">
        <f>"1551604118296421"</f>
        <v>1551604118296421</v>
      </c>
      <c r="C3519" t="s">
        <v>40</v>
      </c>
      <c r="D3519">
        <v>4.6933280000000002</v>
      </c>
      <c r="E3519">
        <v>0.50756409999999996</v>
      </c>
      <c r="F3519" t="s">
        <v>75</v>
      </c>
      <c r="G3519">
        <v>-511.05959999999999</v>
      </c>
      <c r="H3519">
        <v>2.8780619999999999</v>
      </c>
      <c r="I3519">
        <v>152.20740000000001</v>
      </c>
      <c r="J3519">
        <v>-298.89569999999998</v>
      </c>
      <c r="K3519">
        <v>1.120709</v>
      </c>
      <c r="L3519">
        <v>141.00030000000001</v>
      </c>
      <c r="M3519">
        <v>-0.99991750000000001</v>
      </c>
      <c r="N3519">
        <v>-1.100717E-2</v>
      </c>
      <c r="O3519">
        <v>6.6187950000000002E-3</v>
      </c>
      <c r="P3519">
        <v>-0.97348869999999998</v>
      </c>
      <c r="Q3519">
        <v>0.22381119999999999</v>
      </c>
      <c r="R3519">
        <v>4.7207560000000003E-2</v>
      </c>
      <c r="S3519">
        <v>-3.0673219999999999</v>
      </c>
      <c r="T3519">
        <v>2.5354499999999999E-2</v>
      </c>
      <c r="U3519">
        <v>0.16172790000000001</v>
      </c>
      <c r="V3519">
        <v>4.058734E-2</v>
      </c>
      <c r="W3519">
        <v>0.2345468</v>
      </c>
      <c r="X3519">
        <v>0.97125720000000004</v>
      </c>
      <c r="Y3519">
        <v>4.6043540000000001E-2</v>
      </c>
      <c r="Z3519">
        <v>1.9089979999999999E-4</v>
      </c>
      <c r="AA3519">
        <v>0.99893940000000003</v>
      </c>
      <c r="AB3519">
        <v>47</v>
      </c>
      <c r="AC3519">
        <v>-212.16390000000001</v>
      </c>
      <c r="AD3519">
        <v>1.7573529999999999</v>
      </c>
      <c r="AE3519">
        <v>11.207099999999899</v>
      </c>
      <c r="AF3519">
        <v>9.8018294153276209</v>
      </c>
      <c r="AG3519">
        <v>1.7573529999999999</v>
      </c>
      <c r="AH3519">
        <v>212.21891468108399</v>
      </c>
      <c r="AI3519">
        <v>89.526058319293696</v>
      </c>
      <c r="AJ3519">
        <v>87.3555391263329</v>
      </c>
      <c r="AK3519">
        <v>212.452422668868</v>
      </c>
      <c r="AL3519">
        <v>76.435090868182101</v>
      </c>
      <c r="AM3519">
        <v>87.607090011140002</v>
      </c>
      <c r="AN3519">
        <v>1.0000000410551699</v>
      </c>
    </row>
    <row r="3520" spans="1:40" x14ac:dyDescent="0.25">
      <c r="A3520" t="str">
        <f>"20190303170838323"</f>
        <v>20190303170838323</v>
      </c>
      <c r="B3520" t="str">
        <f>"1551604118316917"</f>
        <v>1551604118316917</v>
      </c>
      <c r="C3520" t="s">
        <v>40</v>
      </c>
      <c r="D3520">
        <v>4.53566</v>
      </c>
      <c r="E3520">
        <v>0.50792380000000004</v>
      </c>
      <c r="F3520" t="s">
        <v>75</v>
      </c>
      <c r="G3520">
        <v>-511.05970000000002</v>
      </c>
      <c r="H3520">
        <v>3.1723949999999999</v>
      </c>
      <c r="I3520">
        <v>151.9794</v>
      </c>
      <c r="J3520">
        <v>-299.35050000000001</v>
      </c>
      <c r="K3520">
        <v>1.1207260000000001</v>
      </c>
      <c r="L3520">
        <v>141.00319999999999</v>
      </c>
      <c r="M3520">
        <v>-0.99991770000000002</v>
      </c>
      <c r="N3520">
        <v>-1.1132919999999999E-2</v>
      </c>
      <c r="O3520">
        <v>6.3755679999999999E-3</v>
      </c>
      <c r="P3520">
        <v>-0.97365630000000003</v>
      </c>
      <c r="Q3520">
        <v>0.22334219999999999</v>
      </c>
      <c r="R3520">
        <v>4.5952449999999999E-2</v>
      </c>
      <c r="S3520">
        <v>-3.0672000000000001</v>
      </c>
      <c r="T3520">
        <v>2.9661300000000002E-2</v>
      </c>
      <c r="U3520">
        <v>0.1587219</v>
      </c>
      <c r="V3520">
        <v>3.9567539999999998E-2</v>
      </c>
      <c r="W3520">
        <v>0.23420099999999999</v>
      </c>
      <c r="X3520">
        <v>0.97138270000000004</v>
      </c>
      <c r="Y3520">
        <v>4.5312209999999999E-2</v>
      </c>
      <c r="Z3520">
        <v>1.660027E-4</v>
      </c>
      <c r="AA3520">
        <v>0.99897279999999999</v>
      </c>
      <c r="AB3520">
        <v>47</v>
      </c>
      <c r="AC3520">
        <v>-211.70920000000001</v>
      </c>
      <c r="AD3520">
        <v>2.0516689999999902</v>
      </c>
      <c r="AE3520">
        <v>10.9762</v>
      </c>
      <c r="AF3520">
        <v>9.6252253031782793</v>
      </c>
      <c r="AG3520">
        <v>2.0516689999999902</v>
      </c>
      <c r="AH3520">
        <v>211.75504683527001</v>
      </c>
      <c r="AI3520">
        <v>89.445458044165605</v>
      </c>
      <c r="AJ3520">
        <v>87.397438904148103</v>
      </c>
      <c r="AK3520">
        <v>211.98361768785301</v>
      </c>
      <c r="AL3520">
        <v>76.4554711849336</v>
      </c>
      <c r="AM3520">
        <v>87.667448198406802</v>
      </c>
      <c r="AN3520">
        <v>1.0000000242409699</v>
      </c>
    </row>
    <row r="3521" spans="1:40" x14ac:dyDescent="0.25">
      <c r="A3521" t="str">
        <f>"20190303170838345"</f>
        <v>20190303170838345</v>
      </c>
      <c r="B3521" t="str">
        <f>"1551604118337414"</f>
        <v>1551604118337414</v>
      </c>
      <c r="C3521" t="s">
        <v>40</v>
      </c>
      <c r="D3521">
        <v>4.7486889999999997</v>
      </c>
      <c r="E3521">
        <v>0.50818209999999997</v>
      </c>
      <c r="F3521" t="s">
        <v>75</v>
      </c>
      <c r="G3521">
        <v>-511.05959999999999</v>
      </c>
      <c r="H3521">
        <v>2.987911</v>
      </c>
      <c r="I3521">
        <v>151.94399999999999</v>
      </c>
      <c r="J3521">
        <v>-299.80009999999999</v>
      </c>
      <c r="K3521">
        <v>1.1207400000000001</v>
      </c>
      <c r="L3521">
        <v>141.00579999999999</v>
      </c>
      <c r="M3521">
        <v>-0.99991770000000002</v>
      </c>
      <c r="N3521">
        <v>-1.126958E-2</v>
      </c>
      <c r="O3521">
        <v>6.1355280000000003E-3</v>
      </c>
      <c r="P3521">
        <v>-0.97376220000000002</v>
      </c>
      <c r="Q3521">
        <v>0.22303680000000001</v>
      </c>
      <c r="R3521">
        <v>4.518689E-2</v>
      </c>
      <c r="S3521">
        <v>-3.0674739999999998</v>
      </c>
      <c r="T3521">
        <v>2.7054430000000001E-2</v>
      </c>
      <c r="U3521">
        <v>0.15852359999999999</v>
      </c>
      <c r="V3521">
        <v>3.9033900000000003E-2</v>
      </c>
      <c r="W3521">
        <v>0.23402899999999999</v>
      </c>
      <c r="X3521">
        <v>0.97144569999999997</v>
      </c>
      <c r="Y3521">
        <v>4.5483000000000003E-2</v>
      </c>
      <c r="Z3521">
        <v>1.7920299999999901E-4</v>
      </c>
      <c r="AA3521">
        <v>0.99896510000000005</v>
      </c>
      <c r="AB3521">
        <v>47</v>
      </c>
      <c r="AC3521">
        <v>-211.2595</v>
      </c>
      <c r="AD3521">
        <v>1.8671709999999999</v>
      </c>
      <c r="AE3521">
        <v>10.938199999999901</v>
      </c>
      <c r="AF3521">
        <v>9.6409721361017091</v>
      </c>
      <c r="AG3521">
        <v>1.8671709999999999</v>
      </c>
      <c r="AH3521">
        <v>211.30617685105901</v>
      </c>
      <c r="AI3521">
        <v>89.494254893456002</v>
      </c>
      <c r="AJ3521">
        <v>87.387657097928397</v>
      </c>
      <c r="AK3521">
        <v>211.534240837467</v>
      </c>
      <c r="AL3521">
        <v>76.465607198236398</v>
      </c>
      <c r="AM3521">
        <v>87.699021910883104</v>
      </c>
      <c r="AN3521">
        <v>0.99999998311934901</v>
      </c>
    </row>
    <row r="3522" spans="1:40" x14ac:dyDescent="0.25">
      <c r="A3522" t="str">
        <f>"20190303170838367"</f>
        <v>20190303170838367</v>
      </c>
      <c r="B3522" t="str">
        <f>"1551604118356933"</f>
        <v>1551604118356933</v>
      </c>
      <c r="C3522" t="s">
        <v>40</v>
      </c>
      <c r="D3522">
        <v>4.8100519999999998</v>
      </c>
      <c r="E3522">
        <v>0.50826099999999996</v>
      </c>
      <c r="F3522" t="s">
        <v>75</v>
      </c>
      <c r="G3522">
        <v>-511.05959999999999</v>
      </c>
      <c r="H3522">
        <v>2.8882319999999999</v>
      </c>
      <c r="I3522">
        <v>151.92930000000001</v>
      </c>
      <c r="J3522">
        <v>-300.27879999999999</v>
      </c>
      <c r="K3522">
        <v>1.120765</v>
      </c>
      <c r="L3522">
        <v>141.0085</v>
      </c>
      <c r="M3522">
        <v>-0.99991730000000001</v>
      </c>
      <c r="N3522">
        <v>-1.14296E-2</v>
      </c>
      <c r="O3522">
        <v>5.8785549999999997E-3</v>
      </c>
      <c r="P3522">
        <v>-0.97397860000000003</v>
      </c>
      <c r="Q3522">
        <v>0.22223760000000001</v>
      </c>
      <c r="R3522">
        <v>4.4457490000000002E-2</v>
      </c>
      <c r="S3522">
        <v>-3.067596</v>
      </c>
      <c r="T3522">
        <v>2.5665520000000001E-2</v>
      </c>
      <c r="U3522">
        <v>0.15861510000000001</v>
      </c>
      <c r="V3522">
        <v>3.8551830000000002E-2</v>
      </c>
      <c r="W3522">
        <v>0.23338780000000001</v>
      </c>
      <c r="X3522">
        <v>0.97161920000000002</v>
      </c>
      <c r="Y3522">
        <v>4.5767410000000001E-2</v>
      </c>
      <c r="Z3522">
        <v>1.86699E-4</v>
      </c>
      <c r="AA3522">
        <v>0.99895210000000001</v>
      </c>
      <c r="AB3522">
        <v>47</v>
      </c>
      <c r="AC3522">
        <v>-210.7808</v>
      </c>
      <c r="AD3522">
        <v>1.7674669999999999</v>
      </c>
      <c r="AE3522">
        <v>10.9208</v>
      </c>
      <c r="AF3522">
        <v>9.6807648153481196</v>
      </c>
      <c r="AG3522">
        <v>1.7674669999999999</v>
      </c>
      <c r="AH3522">
        <v>210.826575867038</v>
      </c>
      <c r="AI3522">
        <v>89.520176990262698</v>
      </c>
      <c r="AJ3522">
        <v>87.370930953249399</v>
      </c>
      <c r="AK3522">
        <v>211.056121064579</v>
      </c>
      <c r="AL3522">
        <v>76.503391712732096</v>
      </c>
      <c r="AM3522">
        <v>87.727814473960095</v>
      </c>
      <c r="AN3522">
        <v>0.99999998929691403</v>
      </c>
    </row>
    <row r="3523" spans="1:40" x14ac:dyDescent="0.25">
      <c r="A3523" t="str">
        <f>"20190303170838389"</f>
        <v>20190303170838389</v>
      </c>
      <c r="B3523" t="str">
        <f>"1551604118376453"</f>
        <v>1551604118376453</v>
      </c>
      <c r="C3523" t="s">
        <v>40</v>
      </c>
      <c r="D3523">
        <v>4.8041710000000002</v>
      </c>
      <c r="E3523">
        <v>0.50843939999999999</v>
      </c>
      <c r="F3523" t="s">
        <v>75</v>
      </c>
      <c r="G3523">
        <v>-511.05950000000001</v>
      </c>
      <c r="H3523">
        <v>2.6136699999999999</v>
      </c>
      <c r="I3523">
        <v>151.80529999999999</v>
      </c>
      <c r="J3523">
        <v>-300.71839999999997</v>
      </c>
      <c r="K3523">
        <v>1.120797</v>
      </c>
      <c r="L3523">
        <v>141.01089999999999</v>
      </c>
      <c r="M3523">
        <v>-0.9999169</v>
      </c>
      <c r="N3523">
        <v>-1.159348E-2</v>
      </c>
      <c r="O3523">
        <v>5.6459800000000001E-3</v>
      </c>
      <c r="P3523">
        <v>-0.97413000000000005</v>
      </c>
      <c r="Q3523">
        <v>0.22180920000000001</v>
      </c>
      <c r="R3523">
        <v>4.326079E-2</v>
      </c>
      <c r="S3523">
        <v>-3.067993</v>
      </c>
      <c r="T3523">
        <v>2.173042E-2</v>
      </c>
      <c r="U3523">
        <v>0.15715029999999999</v>
      </c>
      <c r="V3523">
        <v>3.757837E-2</v>
      </c>
      <c r="W3523">
        <v>0.23311979999999999</v>
      </c>
      <c r="X3523">
        <v>0.97172170000000002</v>
      </c>
      <c r="Y3523">
        <v>4.551736E-2</v>
      </c>
      <c r="Z3523">
        <v>2.0831929999999999E-4</v>
      </c>
      <c r="AA3523">
        <v>0.9989635</v>
      </c>
      <c r="AB3523">
        <v>47</v>
      </c>
      <c r="AC3523">
        <v>-210.34110000000001</v>
      </c>
      <c r="AD3523">
        <v>1.4928729999999999</v>
      </c>
      <c r="AE3523">
        <v>10.7943999999999</v>
      </c>
      <c r="AF3523">
        <v>9.6060839052245708</v>
      </c>
      <c r="AG3523">
        <v>1.4928729999999999</v>
      </c>
      <c r="AH3523">
        <v>210.38812601683199</v>
      </c>
      <c r="AI3523">
        <v>89.593870277547296</v>
      </c>
      <c r="AJ3523">
        <v>87.385755161512805</v>
      </c>
      <c r="AK3523">
        <v>210.61260429200999</v>
      </c>
      <c r="AL3523">
        <v>76.5191829614146</v>
      </c>
      <c r="AM3523">
        <v>87.785364226502907</v>
      </c>
      <c r="AN3523">
        <v>1.0000000186473901</v>
      </c>
    </row>
    <row r="3524" spans="1:40" x14ac:dyDescent="0.25">
      <c r="A3524" t="str">
        <f>"20190303170838414"</f>
        <v>20190303170838414</v>
      </c>
      <c r="B3524" t="str">
        <f>"1551604118396949"</f>
        <v>1551604118396949</v>
      </c>
      <c r="C3524" t="s">
        <v>40</v>
      </c>
      <c r="D3524">
        <v>4.863003</v>
      </c>
      <c r="E3524">
        <v>0.508687</v>
      </c>
      <c r="F3524" t="s">
        <v>75</v>
      </c>
      <c r="G3524">
        <v>-511.05950000000001</v>
      </c>
      <c r="H3524">
        <v>2.456223</v>
      </c>
      <c r="I3524">
        <v>151.6962</v>
      </c>
      <c r="J3524">
        <v>-301.23399999999998</v>
      </c>
      <c r="K3524">
        <v>1.120835</v>
      </c>
      <c r="L3524">
        <v>141.0136</v>
      </c>
      <c r="M3524">
        <v>-0.99991569999999996</v>
      </c>
      <c r="N3524">
        <v>-1.181546E-2</v>
      </c>
      <c r="O3524">
        <v>5.3900980000000003E-3</v>
      </c>
      <c r="P3524">
        <v>-0.97412929999999998</v>
      </c>
      <c r="Q3524">
        <v>0.2220213</v>
      </c>
      <c r="R3524">
        <v>4.217891E-2</v>
      </c>
      <c r="S3524">
        <v>-3.068298</v>
      </c>
      <c r="T3524">
        <v>1.9480819999999999E-2</v>
      </c>
      <c r="U3524">
        <v>0.15586849999999999</v>
      </c>
      <c r="V3524">
        <v>3.674612E-2</v>
      </c>
      <c r="W3524">
        <v>0.2335469</v>
      </c>
      <c r="X3524">
        <v>0.97165100000000004</v>
      </c>
      <c r="Y3524">
        <v>4.535165E-2</v>
      </c>
      <c r="Z3524">
        <v>2.2207560000000001E-4</v>
      </c>
      <c r="AA3524">
        <v>0.99897100000000005</v>
      </c>
      <c r="AB3524">
        <v>47</v>
      </c>
      <c r="AC3524">
        <v>-209.82550000000001</v>
      </c>
      <c r="AD3524">
        <v>1.335388</v>
      </c>
      <c r="AE3524">
        <v>10.682600000000001</v>
      </c>
      <c r="AF3524">
        <v>9.5510000171036307</v>
      </c>
      <c r="AG3524">
        <v>1.335388</v>
      </c>
      <c r="AH3524">
        <v>209.87155711429301</v>
      </c>
      <c r="AI3524">
        <v>89.635815539740406</v>
      </c>
      <c r="AJ3524">
        <v>87.394336393999893</v>
      </c>
      <c r="AK3524">
        <v>210.093015942975</v>
      </c>
      <c r="AL3524">
        <v>76.494017696273204</v>
      </c>
      <c r="AM3524">
        <v>87.834207216606501</v>
      </c>
      <c r="AN3524">
        <v>1.00000004881783</v>
      </c>
    </row>
    <row r="3525" spans="1:40" x14ac:dyDescent="0.25">
      <c r="A3525" t="str">
        <f>"20190303170838435"</f>
        <v>20190303170838435</v>
      </c>
      <c r="B3525" t="str">
        <f>"1551604118427206"</f>
        <v>1551604118427206</v>
      </c>
      <c r="C3525" t="s">
        <v>40</v>
      </c>
      <c r="D3525">
        <v>4.5532680000000001</v>
      </c>
      <c r="E3525">
        <v>0.50900109999999998</v>
      </c>
      <c r="F3525" t="s">
        <v>75</v>
      </c>
      <c r="G3525">
        <v>-511.05950000000001</v>
      </c>
      <c r="H3525">
        <v>2.4664139999999999</v>
      </c>
      <c r="I3525">
        <v>151.6198</v>
      </c>
      <c r="J3525">
        <v>-301.69220000000001</v>
      </c>
      <c r="K3525">
        <v>1.120857</v>
      </c>
      <c r="L3525">
        <v>141.01580000000001</v>
      </c>
      <c r="M3525">
        <v>-0.99991419999999998</v>
      </c>
      <c r="N3525">
        <v>-1.2034899999999999E-2</v>
      </c>
      <c r="O3525">
        <v>5.1705960000000004E-3</v>
      </c>
      <c r="P3525">
        <v>-0.97403229999999996</v>
      </c>
      <c r="Q3525">
        <v>0.22265109999999999</v>
      </c>
      <c r="R3525">
        <v>4.1082010000000002E-2</v>
      </c>
      <c r="S3525">
        <v>-3.0684809999999998</v>
      </c>
      <c r="T3525">
        <v>1.9678350000000001E-2</v>
      </c>
      <c r="U3525">
        <v>0.15510560000000001</v>
      </c>
      <c r="V3525">
        <v>3.5868879999999999E-2</v>
      </c>
      <c r="W3525">
        <v>0.23438690000000001</v>
      </c>
      <c r="X3525">
        <v>0.97148140000000005</v>
      </c>
      <c r="Y3525">
        <v>4.5320190000000003E-2</v>
      </c>
      <c r="Z3525">
        <v>2.2299409999999999E-4</v>
      </c>
      <c r="AA3525">
        <v>0.99897250000000004</v>
      </c>
      <c r="AB3525">
        <v>47</v>
      </c>
      <c r="AC3525">
        <v>-209.3673</v>
      </c>
      <c r="AD3525">
        <v>1.3455569999999999</v>
      </c>
      <c r="AE3525">
        <v>10.6039999999999</v>
      </c>
      <c r="AF3525">
        <v>9.5208338514606208</v>
      </c>
      <c r="AG3525">
        <v>1.3455569999999999</v>
      </c>
      <c r="AH3525">
        <v>209.410706566161</v>
      </c>
      <c r="AI3525">
        <v>89.632234069934796</v>
      </c>
      <c r="AJ3525">
        <v>87.396846563335501</v>
      </c>
      <c r="AK3525">
        <v>209.63134504507201</v>
      </c>
      <c r="AL3525">
        <v>76.444513957313106</v>
      </c>
      <c r="AM3525">
        <v>87.885494941844598</v>
      </c>
      <c r="AN3525">
        <v>0.99999995299501099</v>
      </c>
    </row>
    <row r="3526" spans="1:40" x14ac:dyDescent="0.25">
      <c r="A3526" t="str">
        <f>"20190303170838460"</f>
        <v>20190303170838460</v>
      </c>
      <c r="B3526" t="str">
        <f>"1551604118446724"</f>
        <v>1551604118446724</v>
      </c>
      <c r="C3526" t="s">
        <v>40</v>
      </c>
      <c r="D3526">
        <v>4.8138399999999999</v>
      </c>
      <c r="E3526">
        <v>0.50914789999999999</v>
      </c>
      <c r="F3526" t="s">
        <v>75</v>
      </c>
      <c r="G3526">
        <v>-511.05950000000001</v>
      </c>
      <c r="H3526">
        <v>2.4902470000000001</v>
      </c>
      <c r="I3526">
        <v>151.51929999999999</v>
      </c>
      <c r="J3526">
        <v>-302.1979</v>
      </c>
      <c r="K3526">
        <v>1.120878</v>
      </c>
      <c r="L3526">
        <v>141.01820000000001</v>
      </c>
      <c r="M3526">
        <v>-0.99991240000000003</v>
      </c>
      <c r="N3526">
        <v>-1.22863E-2</v>
      </c>
      <c r="O3526">
        <v>4.9291889999999996E-3</v>
      </c>
      <c r="P3526">
        <v>-0.97413450000000001</v>
      </c>
      <c r="Q3526">
        <v>0.22242190000000001</v>
      </c>
      <c r="R3526">
        <v>3.9882099999999997E-2</v>
      </c>
      <c r="S3526">
        <v>-3.0689090000000001</v>
      </c>
      <c r="T3526">
        <v>2.0073179999999999E-2</v>
      </c>
      <c r="U3526">
        <v>0.15396119999999999</v>
      </c>
      <c r="V3526">
        <v>3.4914529999999999E-2</v>
      </c>
      <c r="W3526">
        <v>0.23440079999999999</v>
      </c>
      <c r="X3526">
        <v>0.97151290000000001</v>
      </c>
      <c r="Y3526">
        <v>4.518279E-2</v>
      </c>
      <c r="Z3526">
        <v>2.228202E-4</v>
      </c>
      <c r="AA3526">
        <v>0.9989787</v>
      </c>
      <c r="AB3526">
        <v>47</v>
      </c>
      <c r="AC3526">
        <v>-208.86160000000001</v>
      </c>
      <c r="AD3526">
        <v>1.3693690000000001</v>
      </c>
      <c r="AE3526">
        <v>10.5010999999999</v>
      </c>
      <c r="AF3526">
        <v>9.47097033348156</v>
      </c>
      <c r="AG3526">
        <v>1.3693690000000001</v>
      </c>
      <c r="AH3526">
        <v>208.90187092266299</v>
      </c>
      <c r="AI3526">
        <v>89.624812195799393</v>
      </c>
      <c r="AJ3526">
        <v>87.404162579488499</v>
      </c>
      <c r="AK3526">
        <v>209.12093660249499</v>
      </c>
      <c r="AL3526">
        <v>76.443695886183406</v>
      </c>
      <c r="AM3526">
        <v>87.9417724230277</v>
      </c>
      <c r="AN3526">
        <v>1.00000003715608</v>
      </c>
    </row>
    <row r="3527" spans="1:40" x14ac:dyDescent="0.25">
      <c r="A3527" t="str">
        <f>"20190303170838484"</f>
        <v>20190303170838484</v>
      </c>
      <c r="B3527" t="str">
        <f>"1551604118476982"</f>
        <v>1551604118476982</v>
      </c>
      <c r="C3527" t="s">
        <v>40</v>
      </c>
      <c r="D3527">
        <v>4.7529539999999999</v>
      </c>
      <c r="E3527">
        <v>0.50944719999999999</v>
      </c>
      <c r="F3527" t="s">
        <v>75</v>
      </c>
      <c r="G3527">
        <v>-511.05939999999998</v>
      </c>
      <c r="H3527">
        <v>2.3788589999999998</v>
      </c>
      <c r="I3527">
        <v>151.33850000000001</v>
      </c>
      <c r="J3527">
        <v>-302.71339999999998</v>
      </c>
      <c r="K3527">
        <v>1.1209009999999999</v>
      </c>
      <c r="L3527">
        <v>141.0205</v>
      </c>
      <c r="M3527">
        <v>-0.99991050000000004</v>
      </c>
      <c r="N3527">
        <v>-1.254711E-2</v>
      </c>
      <c r="O3527">
        <v>4.6895289999999996E-3</v>
      </c>
      <c r="P3527">
        <v>-0.97410300000000005</v>
      </c>
      <c r="Q3527">
        <v>0.22271489999999999</v>
      </c>
      <c r="R3527">
        <v>3.9008760000000003E-2</v>
      </c>
      <c r="S3527">
        <v>-3.0692140000000001</v>
      </c>
      <c r="T3527">
        <v>1.8486619999999999E-2</v>
      </c>
      <c r="U3527">
        <v>0.15165709999999999</v>
      </c>
      <c r="V3527">
        <v>3.4286990000000003E-2</v>
      </c>
      <c r="W3527">
        <v>0.23494399999999999</v>
      </c>
      <c r="X3527">
        <v>0.97140400000000005</v>
      </c>
      <c r="Y3527">
        <v>4.4669109999999998E-2</v>
      </c>
      <c r="Z3527">
        <v>2.3300440000000001E-4</v>
      </c>
      <c r="AA3527">
        <v>0.99900180000000005</v>
      </c>
      <c r="AB3527">
        <v>47</v>
      </c>
      <c r="AC3527">
        <v>-208.34599999999901</v>
      </c>
      <c r="AD3527">
        <v>1.2579579999999999</v>
      </c>
      <c r="AE3527">
        <v>10.318</v>
      </c>
      <c r="AF3527">
        <v>9.3404255343187099</v>
      </c>
      <c r="AG3527">
        <v>1.2579579999999999</v>
      </c>
      <c r="AH3527">
        <v>208.38452089062099</v>
      </c>
      <c r="AI3527">
        <v>89.654472817039903</v>
      </c>
      <c r="AJ3527">
        <v>87.433547419528793</v>
      </c>
      <c r="AK3527">
        <v>208.597542061995</v>
      </c>
      <c r="AL3527">
        <v>76.411678293536795</v>
      </c>
      <c r="AM3527">
        <v>87.9785088210037</v>
      </c>
      <c r="AN3527">
        <v>1.0000000060176299</v>
      </c>
    </row>
    <row r="3528" spans="1:40" x14ac:dyDescent="0.25">
      <c r="A3528" t="str">
        <f>"20190303170838505"</f>
        <v>20190303170838505</v>
      </c>
      <c r="B3528" t="str">
        <f>"1551604118496501"</f>
        <v>1551604118496501</v>
      </c>
      <c r="C3528" t="s">
        <v>40</v>
      </c>
      <c r="D3528">
        <v>4.8086669999999998</v>
      </c>
      <c r="E3528">
        <v>0.50967949999999995</v>
      </c>
      <c r="F3528" t="s">
        <v>75</v>
      </c>
      <c r="G3528">
        <v>-511.05939999999998</v>
      </c>
      <c r="H3528">
        <v>2.398695</v>
      </c>
      <c r="I3528">
        <v>151.3304</v>
      </c>
      <c r="J3528">
        <v>-303.14409999999998</v>
      </c>
      <c r="K3528">
        <v>1.1209199999999999</v>
      </c>
      <c r="L3528">
        <v>141.0224</v>
      </c>
      <c r="M3528">
        <v>-0.99990840000000003</v>
      </c>
      <c r="N3528">
        <v>-1.27682E-2</v>
      </c>
      <c r="O3528">
        <v>4.5021289999999997E-3</v>
      </c>
      <c r="P3528">
        <v>-0.97407940000000004</v>
      </c>
      <c r="Q3528">
        <v>0.2229544</v>
      </c>
      <c r="R3528">
        <v>3.82201E-2</v>
      </c>
      <c r="S3528">
        <v>-3.069366</v>
      </c>
      <c r="T3528">
        <v>1.8825169999999999E-2</v>
      </c>
      <c r="U3528">
        <v>0.15188599999999999</v>
      </c>
      <c r="V3528">
        <v>3.3690329999999998E-2</v>
      </c>
      <c r="W3528">
        <v>0.23539589999999999</v>
      </c>
      <c r="X3528">
        <v>0.97131540000000005</v>
      </c>
      <c r="Y3528">
        <v>4.492823E-2</v>
      </c>
      <c r="Z3528">
        <v>2.3436409999999999E-4</v>
      </c>
      <c r="AA3528">
        <v>0.99899020000000005</v>
      </c>
      <c r="AB3528">
        <v>47</v>
      </c>
      <c r="AC3528">
        <v>-207.9153</v>
      </c>
      <c r="AD3528">
        <v>1.2777750000000001</v>
      </c>
      <c r="AE3528">
        <v>10.3079999999999</v>
      </c>
      <c r="AF3528">
        <v>9.3714046704236402</v>
      </c>
      <c r="AG3528">
        <v>1.2777750000000001</v>
      </c>
      <c r="AH3528">
        <v>207.95176935824901</v>
      </c>
      <c r="AI3528">
        <v>89.648303220015094</v>
      </c>
      <c r="AJ3528">
        <v>87.419695482533996</v>
      </c>
      <c r="AK3528">
        <v>208.166746416602</v>
      </c>
      <c r="AL3528">
        <v>76.385038262894895</v>
      </c>
      <c r="AM3528">
        <v>88.013477209884201</v>
      </c>
      <c r="AN3528">
        <v>0.99999993717473701</v>
      </c>
    </row>
    <row r="3529" spans="1:40" x14ac:dyDescent="0.25">
      <c r="A3529" t="str">
        <f>"20190303170838547"</f>
        <v>20190303170838547</v>
      </c>
      <c r="B3529" t="str">
        <f>"1551604118536518"</f>
        <v>1551604118536518</v>
      </c>
      <c r="C3529" t="s">
        <v>40</v>
      </c>
      <c r="D3529">
        <v>4.8661349999999999</v>
      </c>
      <c r="E3529">
        <v>0.51007939999999996</v>
      </c>
      <c r="F3529" t="s">
        <v>75</v>
      </c>
      <c r="G3529">
        <v>-511.05939999999998</v>
      </c>
      <c r="H3529">
        <v>2.4142839999999999</v>
      </c>
      <c r="I3529">
        <v>151.3075</v>
      </c>
      <c r="J3529">
        <v>-304.01929999999999</v>
      </c>
      <c r="K3529">
        <v>1.1209340000000001</v>
      </c>
      <c r="L3529">
        <v>141.02600000000001</v>
      </c>
      <c r="M3529">
        <v>-0.99990409999999996</v>
      </c>
      <c r="N3529">
        <v>-1.321599E-2</v>
      </c>
      <c r="O3529">
        <v>4.1732330000000002E-3</v>
      </c>
      <c r="P3529">
        <v>-0.97443570000000002</v>
      </c>
      <c r="Q3529">
        <v>0.2215956</v>
      </c>
      <c r="R3529">
        <v>3.7023979999999998E-2</v>
      </c>
      <c r="S3529">
        <v>-3.069458</v>
      </c>
      <c r="T3529">
        <v>1.9094590000000002E-2</v>
      </c>
      <c r="U3529">
        <v>0.15184020000000001</v>
      </c>
      <c r="V3529">
        <v>3.2830169999999999E-2</v>
      </c>
      <c r="W3529">
        <v>0.23447399999999999</v>
      </c>
      <c r="X3529">
        <v>0.97156790000000004</v>
      </c>
      <c r="Y3529">
        <v>4.5240509999999998E-2</v>
      </c>
      <c r="Z3529">
        <v>2.3957819999999999E-4</v>
      </c>
      <c r="AA3529">
        <v>0.99897610000000003</v>
      </c>
      <c r="AB3529">
        <v>47</v>
      </c>
      <c r="AC3529">
        <v>-207.0401</v>
      </c>
      <c r="AD3529">
        <v>1.29334999999999</v>
      </c>
      <c r="AE3529">
        <v>10.2814999999999</v>
      </c>
      <c r="AF3529">
        <v>9.4169419580790592</v>
      </c>
      <c r="AG3529">
        <v>1.29334999999999</v>
      </c>
      <c r="AH3529">
        <v>207.073146837802</v>
      </c>
      <c r="AI3529">
        <v>89.6425126639339</v>
      </c>
      <c r="AJ3529">
        <v>87.396188013145803</v>
      </c>
      <c r="AK3529">
        <v>207.291195402444</v>
      </c>
      <c r="AL3529">
        <v>76.439381509777903</v>
      </c>
      <c r="AM3529">
        <v>88.064659469132707</v>
      </c>
      <c r="AN3529">
        <v>1.00000003052431</v>
      </c>
    </row>
    <row r="3530" spans="1:40" x14ac:dyDescent="0.25">
      <c r="A3530" t="str">
        <f>"20190303170838568"</f>
        <v>20190303170838568</v>
      </c>
      <c r="B3530" t="str">
        <f>"1551604118557013"</f>
        <v>1551604118557013</v>
      </c>
      <c r="C3530" t="s">
        <v>40</v>
      </c>
      <c r="D3530">
        <v>4.827566</v>
      </c>
      <c r="E3530">
        <v>0.4947705</v>
      </c>
      <c r="F3530" t="s">
        <v>75</v>
      </c>
      <c r="G3530">
        <v>-511.05930000000001</v>
      </c>
      <c r="H3530">
        <v>2.0160200000000001</v>
      </c>
      <c r="I3530">
        <v>151.291</v>
      </c>
      <c r="J3530">
        <v>-304.4726</v>
      </c>
      <c r="K3530">
        <v>1.120941</v>
      </c>
      <c r="L3530">
        <v>141.02780000000001</v>
      </c>
      <c r="M3530">
        <v>-0.99990159999999995</v>
      </c>
      <c r="N3530">
        <v>-1.3435590000000001E-2</v>
      </c>
      <c r="O3530">
        <v>4.0271949999999999E-3</v>
      </c>
      <c r="P3530">
        <v>-0.97469019999999995</v>
      </c>
      <c r="Q3530">
        <v>0.2205512</v>
      </c>
      <c r="R3530">
        <v>3.6554820000000002E-2</v>
      </c>
      <c r="S3530">
        <v>-3.0699160000000001</v>
      </c>
      <c r="T3530">
        <v>1.327264E-2</v>
      </c>
      <c r="U3530">
        <v>0.15220639999999999</v>
      </c>
      <c r="V3530">
        <v>3.2509639999999999E-2</v>
      </c>
      <c r="W3530">
        <v>0.23364509999999999</v>
      </c>
      <c r="X3530">
        <v>0.97177829999999998</v>
      </c>
      <c r="Y3530">
        <v>4.549769E-2</v>
      </c>
      <c r="Z3530">
        <v>2.790275E-4</v>
      </c>
      <c r="AA3530">
        <v>0.99896439999999997</v>
      </c>
      <c r="AB3530">
        <v>47</v>
      </c>
      <c r="AC3530">
        <v>-206.58670000000001</v>
      </c>
      <c r="AD3530">
        <v>0.89507899999999996</v>
      </c>
      <c r="AE3530">
        <v>10.2631999999999</v>
      </c>
      <c r="AF3530">
        <v>9.4309001045030207</v>
      </c>
      <c r="AG3530">
        <v>0.89507899999999996</v>
      </c>
      <c r="AH3530">
        <v>206.622490853545</v>
      </c>
      <c r="AI3530">
        <v>89.752057037944795</v>
      </c>
      <c r="AJ3530">
        <v>87.3866542691798</v>
      </c>
      <c r="AK3530">
        <v>206.83954353488801</v>
      </c>
      <c r="AL3530">
        <v>76.488230306697304</v>
      </c>
      <c r="AM3530">
        <v>88.083955196496206</v>
      </c>
      <c r="AN3530">
        <v>0.99999998689891401</v>
      </c>
    </row>
    <row r="3531" spans="1:40" x14ac:dyDescent="0.25">
      <c r="A3531" t="str">
        <f>"20190303170838591"</f>
        <v>20190303170838591</v>
      </c>
      <c r="B3531" t="str">
        <f>"1551604118587269"</f>
        <v>1551604118587269</v>
      </c>
      <c r="C3531" t="s">
        <v>40</v>
      </c>
      <c r="D3531">
        <v>4.8174029999999997</v>
      </c>
      <c r="E3531">
        <v>0.47312959999999898</v>
      </c>
      <c r="F3531" t="s">
        <v>45</v>
      </c>
      <c r="G3531">
        <v>0</v>
      </c>
      <c r="H3531">
        <v>0</v>
      </c>
      <c r="I3531">
        <v>0</v>
      </c>
      <c r="J3531">
        <v>-304.93</v>
      </c>
      <c r="K3531">
        <v>1.120949</v>
      </c>
      <c r="L3531">
        <v>141.02950000000001</v>
      </c>
      <c r="M3531">
        <v>-0.99989939999999999</v>
      </c>
      <c r="N3531">
        <v>-1.3648260000000001E-2</v>
      </c>
      <c r="O3531">
        <v>3.8912920000000002E-3</v>
      </c>
      <c r="P3531">
        <v>-0.97482970000000002</v>
      </c>
      <c r="Q3531">
        <v>0.22014819999999999</v>
      </c>
      <c r="R3531">
        <v>3.5243730000000001E-2</v>
      </c>
      <c r="S3531">
        <v>-3.0751949999999999</v>
      </c>
      <c r="T3531">
        <v>7.2736739999999999E-3</v>
      </c>
      <c r="U3531">
        <v>2.8335570000000001E-2</v>
      </c>
      <c r="V3531">
        <v>3.1336419999999997E-2</v>
      </c>
      <c r="W3531">
        <v>0.2334495</v>
      </c>
      <c r="X3531">
        <v>0.9718639</v>
      </c>
      <c r="Y3531">
        <v>5.3228549999999996E-3</v>
      </c>
      <c r="Z3531" s="1">
        <v>9.2345460000000003E-5</v>
      </c>
      <c r="AA3531">
        <v>0.99998580000000004</v>
      </c>
      <c r="AB3531">
        <v>47</v>
      </c>
      <c r="AC3531">
        <v>-3.0751949999999999</v>
      </c>
      <c r="AD3531">
        <v>7.2736739999999999E-3</v>
      </c>
      <c r="AE3531">
        <v>2.8335570000000001E-2</v>
      </c>
      <c r="AF3531">
        <v>1.63676688414718E-2</v>
      </c>
      <c r="AG3531">
        <v>7.2736739999999999E-3</v>
      </c>
      <c r="AH3531">
        <v>3.0752647821268702</v>
      </c>
      <c r="AI3531">
        <v>89.864485118666806</v>
      </c>
      <c r="AJ3531">
        <v>89.695054066395699</v>
      </c>
      <c r="AK3531">
        <v>3.07531694091952</v>
      </c>
      <c r="AL3531">
        <v>76.499756835266098</v>
      </c>
      <c r="AM3531">
        <v>88.153215911652694</v>
      </c>
      <c r="AN3531">
        <v>1.0000000401959299</v>
      </c>
    </row>
    <row r="3532" spans="1:40" x14ac:dyDescent="0.25">
      <c r="A3532" t="str">
        <f>"20190303170838613"</f>
        <v>20190303170838613</v>
      </c>
      <c r="B3532" t="str">
        <f>"1551604118606789"</f>
        <v>1551604118606789</v>
      </c>
      <c r="C3532" t="s">
        <v>40</v>
      </c>
      <c r="D3532">
        <v>4.8234370000000002</v>
      </c>
      <c r="E3532">
        <v>0.46546080000000001</v>
      </c>
      <c r="F3532" t="s">
        <v>45</v>
      </c>
      <c r="G3532">
        <v>0</v>
      </c>
      <c r="H3532">
        <v>0</v>
      </c>
      <c r="I3532">
        <v>0</v>
      </c>
      <c r="J3532">
        <v>-305.40440000000001</v>
      </c>
      <c r="K3532">
        <v>1.1209659999999999</v>
      </c>
      <c r="L3532">
        <v>141.03129999999999</v>
      </c>
      <c r="M3532">
        <v>-0.99989689999999998</v>
      </c>
      <c r="N3532">
        <v>-1.3863830000000001E-2</v>
      </c>
      <c r="O3532">
        <v>3.7571850000000001E-3</v>
      </c>
      <c r="P3532">
        <v>-0.97493580000000002</v>
      </c>
      <c r="Q3532">
        <v>0.21982879999999999</v>
      </c>
      <c r="R3532">
        <v>3.4287770000000002E-2</v>
      </c>
      <c r="S3532">
        <v>-3.079285</v>
      </c>
      <c r="T3532">
        <v>1.5803810000000001E-2</v>
      </c>
      <c r="U3532">
        <v>-0.14807129999999999</v>
      </c>
      <c r="V3532">
        <v>3.0516410000000001E-2</v>
      </c>
      <c r="W3532">
        <v>0.23333960000000001</v>
      </c>
      <c r="X3532">
        <v>0.97191629999999996</v>
      </c>
      <c r="Y3532">
        <v>-5.1784120000000003E-2</v>
      </c>
      <c r="Z3532">
        <v>-1.550441E-4</v>
      </c>
      <c r="AA3532">
        <v>0.9986583</v>
      </c>
      <c r="AB3532">
        <v>47</v>
      </c>
      <c r="AC3532">
        <v>-3.079285</v>
      </c>
      <c r="AD3532">
        <v>1.5803810000000001E-2</v>
      </c>
      <c r="AE3532">
        <v>-0.14807129999999999</v>
      </c>
      <c r="AF3532">
        <v>-0.15963661413115901</v>
      </c>
      <c r="AG3532">
        <v>1.5803810000000001E-2</v>
      </c>
      <c r="AH3532">
        <v>3.07862597133958</v>
      </c>
      <c r="AI3532">
        <v>89.706275193235797</v>
      </c>
      <c r="AJ3532">
        <v>92.968311175716096</v>
      </c>
      <c r="AK3532">
        <v>3.0828025367169301</v>
      </c>
      <c r="AL3532">
        <v>76.506231343882803</v>
      </c>
      <c r="AM3532">
        <v>88.201607209220299</v>
      </c>
      <c r="AN3532">
        <v>0.99999995720656798</v>
      </c>
    </row>
    <row r="3533" spans="1:40" x14ac:dyDescent="0.25">
      <c r="A3533" t="str">
        <f>"20190303170838636"</f>
        <v>20190303170838636</v>
      </c>
      <c r="B3533" t="str">
        <f>"1551604118627285"</f>
        <v>1551604118627285</v>
      </c>
      <c r="C3533" t="s">
        <v>40</v>
      </c>
      <c r="D3533">
        <v>4.8054589999999999</v>
      </c>
      <c r="E3533">
        <v>0.46148980000000001</v>
      </c>
      <c r="F3533" t="s">
        <v>45</v>
      </c>
      <c r="G3533">
        <v>0</v>
      </c>
      <c r="H3533">
        <v>0</v>
      </c>
      <c r="I3533">
        <v>0</v>
      </c>
      <c r="J3533">
        <v>-305.87329999999997</v>
      </c>
      <c r="K3533">
        <v>1.1209789999999999</v>
      </c>
      <c r="L3533">
        <v>141.03290000000001</v>
      </c>
      <c r="M3533">
        <v>-0.99989459999999997</v>
      </c>
      <c r="N3533">
        <v>-1.406779E-2</v>
      </c>
      <c r="O3533">
        <v>3.6272969999999998E-3</v>
      </c>
      <c r="P3533">
        <v>-0.97508910000000004</v>
      </c>
      <c r="Q3533">
        <v>0.2192191</v>
      </c>
      <c r="R3533">
        <v>3.3827259999999998E-2</v>
      </c>
      <c r="S3533">
        <v>-3.0789490000000002</v>
      </c>
      <c r="T3533">
        <v>2.4926540000000001E-2</v>
      </c>
      <c r="U3533">
        <v>-0.2118988</v>
      </c>
      <c r="V3533">
        <v>3.0186729999999998E-2</v>
      </c>
      <c r="W3533">
        <v>0.2329301</v>
      </c>
      <c r="X3533">
        <v>0.97202489999999997</v>
      </c>
      <c r="Y3533">
        <v>-7.2278899999999993E-2</v>
      </c>
      <c r="Z3533">
        <v>-1.364963E-4</v>
      </c>
      <c r="AA3533">
        <v>0.99738439999999995</v>
      </c>
      <c r="AB3533">
        <v>47</v>
      </c>
      <c r="AC3533">
        <v>-3.0789490000000002</v>
      </c>
      <c r="AD3533">
        <v>2.4926540000000001E-2</v>
      </c>
      <c r="AE3533">
        <v>-0.2118988</v>
      </c>
      <c r="AF3533">
        <v>-0.223052221599946</v>
      </c>
      <c r="AG3533">
        <v>2.4926540000000001E-2</v>
      </c>
      <c r="AH3533">
        <v>3.0779592604958901</v>
      </c>
      <c r="AI3533">
        <v>89.537219613366204</v>
      </c>
      <c r="AJ3533">
        <v>94.144840313486995</v>
      </c>
      <c r="AK3533">
        <v>3.08613137037772</v>
      </c>
      <c r="AL3533">
        <v>76.530359924704101</v>
      </c>
      <c r="AM3533">
        <v>88.221221984944407</v>
      </c>
      <c r="AN3533">
        <v>1.00000003818705</v>
      </c>
    </row>
    <row r="3534" spans="1:40" x14ac:dyDescent="0.25">
      <c r="A3534" t="str">
        <f>"20190303170838658"</f>
        <v>20190303170838658</v>
      </c>
      <c r="B3534" t="str">
        <f>"1551604118646806"</f>
        <v>1551604118646806</v>
      </c>
      <c r="C3534" t="s">
        <v>40</v>
      </c>
      <c r="D3534">
        <v>4.8123440000000004</v>
      </c>
      <c r="E3534">
        <v>0.4591731</v>
      </c>
      <c r="F3534" t="s">
        <v>45</v>
      </c>
      <c r="G3534">
        <v>0</v>
      </c>
      <c r="H3534">
        <v>0</v>
      </c>
      <c r="I3534">
        <v>0</v>
      </c>
      <c r="J3534">
        <v>-306.34410000000003</v>
      </c>
      <c r="K3534">
        <v>1.120989</v>
      </c>
      <c r="L3534">
        <v>141.03450000000001</v>
      </c>
      <c r="M3534">
        <v>-0.99989220000000001</v>
      </c>
      <c r="N3534">
        <v>-1.425999E-2</v>
      </c>
      <c r="O3534">
        <v>3.498297E-3</v>
      </c>
      <c r="P3534">
        <v>-0.97510430000000003</v>
      </c>
      <c r="Q3534">
        <v>0.21913099999999999</v>
      </c>
      <c r="R3534">
        <v>3.3957689999999999E-2</v>
      </c>
      <c r="S3534">
        <v>-3.0792540000000002</v>
      </c>
      <c r="T3534">
        <v>2.618873E-2</v>
      </c>
      <c r="U3534">
        <v>-0.2448273</v>
      </c>
      <c r="V3534">
        <v>3.0447169999999999E-2</v>
      </c>
      <c r="W3534">
        <v>0.2330285</v>
      </c>
      <c r="X3534">
        <v>0.97199310000000005</v>
      </c>
      <c r="Y3534">
        <v>-8.2746799999999995E-2</v>
      </c>
      <c r="Z3534">
        <v>-1.6010899999999999E-4</v>
      </c>
      <c r="AA3534">
        <v>0.99657059999999997</v>
      </c>
      <c r="AB3534">
        <v>46</v>
      </c>
      <c r="AC3534">
        <v>-3.0792540000000002</v>
      </c>
      <c r="AD3534">
        <v>2.618873E-2</v>
      </c>
      <c r="AE3534">
        <v>-0.2448273</v>
      </c>
      <c r="AF3534">
        <v>-0.25558067119792999</v>
      </c>
      <c r="AG3534">
        <v>2.618873E-2</v>
      </c>
      <c r="AH3534">
        <v>3.0781573339537598</v>
      </c>
      <c r="AI3534">
        <v>89.514215154312197</v>
      </c>
      <c r="AJ3534">
        <v>94.746404834388699</v>
      </c>
      <c r="AK3534">
        <v>3.0888606154441902</v>
      </c>
      <c r="AL3534">
        <v>76.524561262886195</v>
      </c>
      <c r="AM3534">
        <v>88.205826671232302</v>
      </c>
      <c r="AN3534">
        <v>0.999999949210433</v>
      </c>
    </row>
    <row r="3535" spans="1:40" x14ac:dyDescent="0.25">
      <c r="A3535" t="str">
        <f>"20190303170838702"</f>
        <v>20190303170838702</v>
      </c>
      <c r="B3535" t="str">
        <f>"1551604118696581"</f>
        <v>1551604118696581</v>
      </c>
      <c r="C3535" t="s">
        <v>40</v>
      </c>
      <c r="D3535">
        <v>4.7811120000000003</v>
      </c>
      <c r="E3535">
        <v>0.45578190000000002</v>
      </c>
      <c r="F3535" t="s">
        <v>45</v>
      </c>
      <c r="G3535">
        <v>0</v>
      </c>
      <c r="H3535">
        <v>0</v>
      </c>
      <c r="I3535">
        <v>0</v>
      </c>
      <c r="J3535">
        <v>-307.25069999999999</v>
      </c>
      <c r="K3535">
        <v>1.121005</v>
      </c>
      <c r="L3535">
        <v>141.03739999999999</v>
      </c>
      <c r="M3535">
        <v>-0.99988840000000001</v>
      </c>
      <c r="N3535">
        <v>-1.458506E-2</v>
      </c>
      <c r="O3535">
        <v>3.2515439999999999E-3</v>
      </c>
      <c r="P3535">
        <v>-0.97523349999999998</v>
      </c>
      <c r="Q3535">
        <v>0.2184759</v>
      </c>
      <c r="R3535">
        <v>3.4469350000000003E-2</v>
      </c>
      <c r="S3535">
        <v>-3.07959</v>
      </c>
      <c r="T3535">
        <v>2.7411100000000001E-2</v>
      </c>
      <c r="U3535">
        <v>-0.26281739999999998</v>
      </c>
      <c r="V3535">
        <v>3.1205989999999999E-2</v>
      </c>
      <c r="W3535">
        <v>0.23269039999999999</v>
      </c>
      <c r="X3535">
        <v>0.97205010000000003</v>
      </c>
      <c r="Y3535">
        <v>-8.8273599999999994E-2</v>
      </c>
      <c r="Z3535">
        <v>-1.7656939999999901E-4</v>
      </c>
      <c r="AA3535">
        <v>0.99609630000000005</v>
      </c>
      <c r="AB3535">
        <v>46</v>
      </c>
      <c r="AC3535">
        <v>-3.07959</v>
      </c>
      <c r="AD3535">
        <v>2.7411100000000001E-2</v>
      </c>
      <c r="AE3535">
        <v>-0.26281739999999998</v>
      </c>
      <c r="AF3535">
        <v>-0.27280904017461</v>
      </c>
      <c r="AG3535">
        <v>2.7411100000000001E-2</v>
      </c>
      <c r="AH3535">
        <v>3.0784769321710002</v>
      </c>
      <c r="AI3535">
        <v>89.491836849051197</v>
      </c>
      <c r="AJ3535">
        <v>95.064218926347905</v>
      </c>
      <c r="AK3535">
        <v>3.0906627707844798</v>
      </c>
      <c r="AL3535">
        <v>76.544481462331007</v>
      </c>
      <c r="AM3535">
        <v>88.1612494435754</v>
      </c>
      <c r="AN3535">
        <v>1.00000001648702</v>
      </c>
    </row>
    <row r="3536" spans="1:40" x14ac:dyDescent="0.25">
      <c r="A3536" t="str">
        <f>"20190303170838724"</f>
        <v>20190303170838724</v>
      </c>
      <c r="B3536" t="str">
        <f>"1551604118717077"</f>
        <v>1551604118717077</v>
      </c>
      <c r="C3536" t="s">
        <v>40</v>
      </c>
      <c r="D3536">
        <v>4.7879300000000002</v>
      </c>
      <c r="E3536">
        <v>0.45500180000000001</v>
      </c>
      <c r="F3536" t="s">
        <v>45</v>
      </c>
      <c r="G3536">
        <v>0</v>
      </c>
      <c r="H3536">
        <v>0</v>
      </c>
      <c r="I3536">
        <v>0</v>
      </c>
      <c r="J3536">
        <v>-307.71839999999997</v>
      </c>
      <c r="K3536">
        <v>1.1210180000000001</v>
      </c>
      <c r="L3536">
        <v>141.03880000000001</v>
      </c>
      <c r="M3536">
        <v>-0.99988679999999996</v>
      </c>
      <c r="N3536">
        <v>-1.472701E-2</v>
      </c>
      <c r="O3536">
        <v>3.1245040000000002E-3</v>
      </c>
      <c r="P3536">
        <v>-0.97512690000000002</v>
      </c>
      <c r="Q3536">
        <v>0.2189837</v>
      </c>
      <c r="R3536">
        <v>3.425781E-2</v>
      </c>
      <c r="S3536">
        <v>-3.07959</v>
      </c>
      <c r="T3536">
        <v>3.025806E-2</v>
      </c>
      <c r="U3536">
        <v>-0.28817749999999998</v>
      </c>
      <c r="V3536">
        <v>3.1120999999999999E-2</v>
      </c>
      <c r="W3536">
        <v>0.23333400000000001</v>
      </c>
      <c r="X3536">
        <v>0.9718985</v>
      </c>
      <c r="Y3536">
        <v>-9.6281740000000005E-2</v>
      </c>
      <c r="Z3536">
        <v>-1.6204199999999999E-4</v>
      </c>
      <c r="AA3536">
        <v>0.99535410000000002</v>
      </c>
      <c r="AB3536">
        <v>46</v>
      </c>
      <c r="AC3536">
        <v>-3.07959</v>
      </c>
      <c r="AD3536">
        <v>3.025806E-2</v>
      </c>
      <c r="AE3536">
        <v>-0.28817749999999998</v>
      </c>
      <c r="AF3536">
        <v>-0.29777083012647898</v>
      </c>
      <c r="AG3536">
        <v>3.025806E-2</v>
      </c>
      <c r="AH3536">
        <v>3.0783798555022099</v>
      </c>
      <c r="AI3536">
        <v>89.439461656579297</v>
      </c>
      <c r="AJ3536">
        <v>95.525015796374404</v>
      </c>
      <c r="AK3536">
        <v>3.0928959814760999</v>
      </c>
      <c r="AL3536">
        <v>76.506561666671004</v>
      </c>
      <c r="AM3536">
        <v>88.165968047090601</v>
      </c>
      <c r="AN3536">
        <v>0.99999998324962402</v>
      </c>
    </row>
    <row r="3537" spans="1:40" x14ac:dyDescent="0.25">
      <c r="A3537" t="str">
        <f>"20190303170838748"</f>
        <v>20190303170838748</v>
      </c>
      <c r="B3537" t="str">
        <f>"1551604118736597"</f>
        <v>1551604118736597</v>
      </c>
      <c r="C3537" t="s">
        <v>40</v>
      </c>
      <c r="D3537">
        <v>4.7331430000000001</v>
      </c>
      <c r="E3537">
        <v>0.45436720000000003</v>
      </c>
      <c r="F3537" t="s">
        <v>45</v>
      </c>
      <c r="G3537">
        <v>0</v>
      </c>
      <c r="H3537">
        <v>0</v>
      </c>
      <c r="I3537">
        <v>0</v>
      </c>
      <c r="J3537">
        <v>-308.18979999999999</v>
      </c>
      <c r="K3537">
        <v>1.121032</v>
      </c>
      <c r="L3537">
        <v>141.0402</v>
      </c>
      <c r="M3537">
        <v>-0.99988520000000003</v>
      </c>
      <c r="N3537">
        <v>-1.485262E-2</v>
      </c>
      <c r="O3537">
        <v>2.9970890000000001E-3</v>
      </c>
      <c r="P3537">
        <v>-0.97501159999999998</v>
      </c>
      <c r="Q3537">
        <v>0.21948319999999999</v>
      </c>
      <c r="R3537">
        <v>3.4343940000000003E-2</v>
      </c>
      <c r="S3537">
        <v>-3.0793759999999999</v>
      </c>
      <c r="T3537">
        <v>3.3555979999999999E-2</v>
      </c>
      <c r="U3537">
        <v>-0.29498289999999999</v>
      </c>
      <c r="V3537">
        <v>3.1333920000000001E-2</v>
      </c>
      <c r="W3537">
        <v>0.23395350000000001</v>
      </c>
      <c r="X3537">
        <v>0.97174269999999996</v>
      </c>
      <c r="Y3537">
        <v>-9.8341029999999996E-2</v>
      </c>
      <c r="Z3537">
        <v>-1.204436E-4</v>
      </c>
      <c r="AA3537">
        <v>0.99515279999999995</v>
      </c>
      <c r="AB3537">
        <v>46</v>
      </c>
      <c r="AC3537">
        <v>-3.0793759999999999</v>
      </c>
      <c r="AD3537">
        <v>3.3555979999999999E-2</v>
      </c>
      <c r="AE3537">
        <v>-0.29498289999999999</v>
      </c>
      <c r="AF3537">
        <v>-0.30417596608754399</v>
      </c>
      <c r="AG3537">
        <v>3.3555979999999999E-2</v>
      </c>
      <c r="AH3537">
        <v>3.0781157925177198</v>
      </c>
      <c r="AI3537">
        <v>89.378443838883001</v>
      </c>
      <c r="AJ3537">
        <v>95.643582374159195</v>
      </c>
      <c r="AK3537">
        <v>3.0932904574717899</v>
      </c>
      <c r="AL3537">
        <v>76.470056297602795</v>
      </c>
      <c r="AM3537">
        <v>88.153132983789106</v>
      </c>
      <c r="AN3537">
        <v>0.99999996485405196</v>
      </c>
    </row>
    <row r="3538" spans="1:40" x14ac:dyDescent="0.25">
      <c r="A3538" t="str">
        <f>"20190303170838768"</f>
        <v>20190303170838768</v>
      </c>
      <c r="B3538" t="str">
        <f>"1551604118756860"</f>
        <v>1551604118756860</v>
      </c>
      <c r="C3538" t="s">
        <v>40</v>
      </c>
      <c r="D3538">
        <v>4.7531800000000004</v>
      </c>
      <c r="E3538">
        <v>0.4536848</v>
      </c>
      <c r="F3538" t="s">
        <v>45</v>
      </c>
      <c r="G3538">
        <v>0</v>
      </c>
      <c r="H3538">
        <v>0</v>
      </c>
      <c r="I3538">
        <v>0</v>
      </c>
      <c r="J3538">
        <v>-308.62110000000001</v>
      </c>
      <c r="K3538">
        <v>1.1210420000000001</v>
      </c>
      <c r="L3538">
        <v>141.04140000000001</v>
      </c>
      <c r="M3538">
        <v>-0.99988410000000005</v>
      </c>
      <c r="N3538">
        <v>-1.49531E-2</v>
      </c>
      <c r="O3538">
        <v>2.8807500000000001E-3</v>
      </c>
      <c r="P3538">
        <v>-0.97493260000000004</v>
      </c>
      <c r="Q3538">
        <v>0.2197916</v>
      </c>
      <c r="R3538">
        <v>3.4623790000000002E-2</v>
      </c>
      <c r="S3538">
        <v>-3.0793460000000001</v>
      </c>
      <c r="T3538">
        <v>3.5949469999999997E-2</v>
      </c>
      <c r="U3538">
        <v>-0.29907230000000001</v>
      </c>
      <c r="V3538">
        <v>3.1729399999999998E-2</v>
      </c>
      <c r="W3538">
        <v>0.2343586</v>
      </c>
      <c r="X3538">
        <v>0.9716323</v>
      </c>
      <c r="Y3538">
        <v>-9.9535280000000004E-2</v>
      </c>
      <c r="Z3538" s="1">
        <v>-8.9813370000000001E-5</v>
      </c>
      <c r="AA3538">
        <v>0.99503399999999997</v>
      </c>
      <c r="AB3538">
        <v>46</v>
      </c>
      <c r="AC3538">
        <v>-3.0793460000000001</v>
      </c>
      <c r="AD3538">
        <v>3.5949469999999997E-2</v>
      </c>
      <c r="AE3538">
        <v>-0.29907230000000001</v>
      </c>
      <c r="AF3538">
        <v>-0.30790130405814597</v>
      </c>
      <c r="AG3538">
        <v>3.5949469999999997E-2</v>
      </c>
      <c r="AH3538">
        <v>3.0780559790065398</v>
      </c>
      <c r="AI3538">
        <v>89.334179693210899</v>
      </c>
      <c r="AJ3538">
        <v>95.712356994153495</v>
      </c>
      <c r="AK3538">
        <v>3.0936263813414602</v>
      </c>
      <c r="AL3538">
        <v>76.446182773425505</v>
      </c>
      <c r="AM3538">
        <v>88.129626921966604</v>
      </c>
      <c r="AN3538">
        <v>1.0000000173107999</v>
      </c>
    </row>
    <row r="3539" spans="1:40" x14ac:dyDescent="0.25">
      <c r="A3539" t="str">
        <f>"20190303170838791"</f>
        <v>20190303170838791</v>
      </c>
      <c r="B3539" t="str">
        <f>"1551604118787102"</f>
        <v>1551604118787102</v>
      </c>
      <c r="C3539" t="s">
        <v>40</v>
      </c>
      <c r="D3539">
        <v>4.7260629999999999</v>
      </c>
      <c r="E3539">
        <v>0.45290970000000003</v>
      </c>
      <c r="F3539" t="s">
        <v>41</v>
      </c>
      <c r="G3539">
        <v>-460.89190000000002</v>
      </c>
      <c r="H3539">
        <v>3.0401150000000001</v>
      </c>
      <c r="I3539">
        <v>126.0119</v>
      </c>
      <c r="J3539">
        <v>-309.09859999999998</v>
      </c>
      <c r="K3539">
        <v>1.1210450000000001</v>
      </c>
      <c r="L3539">
        <v>141.0427</v>
      </c>
      <c r="M3539">
        <v>-0.99988299999999997</v>
      </c>
      <c r="N3539">
        <v>-1.504933E-2</v>
      </c>
      <c r="O3539">
        <v>2.7519200000000001E-3</v>
      </c>
      <c r="P3539">
        <v>-0.97491369999999999</v>
      </c>
      <c r="Q3539">
        <v>0.21982380000000001</v>
      </c>
      <c r="R3539">
        <v>3.4942649999999999E-2</v>
      </c>
      <c r="S3539">
        <v>-3.0791930000000001</v>
      </c>
      <c r="T3539">
        <v>3.8807750000000002E-2</v>
      </c>
      <c r="U3539">
        <v>-0.30392459999999999</v>
      </c>
      <c r="V3539">
        <v>3.2175250000000002E-2</v>
      </c>
      <c r="W3539">
        <v>0.23448369999999999</v>
      </c>
      <c r="X3539">
        <v>0.97158739999999999</v>
      </c>
      <c r="Y3539">
        <v>-0.1009644</v>
      </c>
      <c r="Z3539" s="1">
        <v>-5.1019949999999999E-5</v>
      </c>
      <c r="AA3539">
        <v>0.99489000000000005</v>
      </c>
      <c r="AB3539">
        <v>46</v>
      </c>
      <c r="AC3539">
        <v>-151.79329999999999</v>
      </c>
      <c r="AD3539">
        <v>1.9190700000000001</v>
      </c>
      <c r="AE3539">
        <v>-15.030799999999999</v>
      </c>
      <c r="AF3539">
        <v>-15.4460685120333</v>
      </c>
      <c r="AG3539">
        <v>1.9190700000000001</v>
      </c>
      <c r="AH3539">
        <v>151.72734074700901</v>
      </c>
      <c r="AI3539">
        <v>89.2790787129059</v>
      </c>
      <c r="AJ3539">
        <v>95.812770302324793</v>
      </c>
      <c r="AK3539">
        <v>152.52360404967499</v>
      </c>
      <c r="AL3539">
        <v>76.438808883653195</v>
      </c>
      <c r="AM3539">
        <v>88.103276596100102</v>
      </c>
      <c r="AN3539">
        <v>0.999999964058505</v>
      </c>
    </row>
    <row r="3540" spans="1:40" x14ac:dyDescent="0.25">
      <c r="A3540" t="str">
        <f>"20190303170838815"</f>
        <v>20190303170838815</v>
      </c>
      <c r="B3540" t="str">
        <f>"1551604118806622"</f>
        <v>1551604118806622</v>
      </c>
      <c r="C3540" t="s">
        <v>40</v>
      </c>
      <c r="D3540">
        <v>4.6793899999999997</v>
      </c>
      <c r="E3540">
        <v>0.45251859999999999</v>
      </c>
      <c r="F3540" t="s">
        <v>41</v>
      </c>
      <c r="G3540">
        <v>-460.90910000000002</v>
      </c>
      <c r="H3540">
        <v>3.1251920000000002</v>
      </c>
      <c r="I3540">
        <v>125.8175</v>
      </c>
      <c r="J3540">
        <v>-309.57069999999999</v>
      </c>
      <c r="K3540">
        <v>1.1210500000000001</v>
      </c>
      <c r="L3540">
        <v>141.04390000000001</v>
      </c>
      <c r="M3540">
        <v>-0.9998821</v>
      </c>
      <c r="N3540">
        <v>-1.513163E-2</v>
      </c>
      <c r="O3540">
        <v>2.6245560000000001E-3</v>
      </c>
      <c r="P3540">
        <v>-0.97486499999999998</v>
      </c>
      <c r="Q3540">
        <v>0.21995190000000001</v>
      </c>
      <c r="R3540">
        <v>3.5492370000000002E-2</v>
      </c>
      <c r="S3540">
        <v>-3.079132</v>
      </c>
      <c r="T3540">
        <v>4.065013E-2</v>
      </c>
      <c r="U3540">
        <v>-0.30880740000000001</v>
      </c>
      <c r="V3540">
        <v>3.2850589999999999E-2</v>
      </c>
      <c r="W3540">
        <v>0.23469100000000001</v>
      </c>
      <c r="X3540">
        <v>0.97151480000000001</v>
      </c>
      <c r="Y3540">
        <v>-0.10240150000000001</v>
      </c>
      <c r="Z3540" s="1">
        <v>-2.8332579999999999E-5</v>
      </c>
      <c r="AA3540">
        <v>0.99474320000000005</v>
      </c>
      <c r="AB3540">
        <v>46</v>
      </c>
      <c r="AC3540">
        <v>-151.33840000000001</v>
      </c>
      <c r="AD3540">
        <v>2.0041419999999999</v>
      </c>
      <c r="AE3540">
        <v>-15.2264</v>
      </c>
      <c r="AF3540">
        <v>-15.620877116256199</v>
      </c>
      <c r="AG3540">
        <v>2.0041419999999999</v>
      </c>
      <c r="AH3540">
        <v>151.27164866837299</v>
      </c>
      <c r="AI3540">
        <v>89.244968323853897</v>
      </c>
      <c r="AJ3540">
        <v>95.895680085307205</v>
      </c>
      <c r="AK3540">
        <v>152.08925036926499</v>
      </c>
      <c r="AL3540">
        <v>76.426591242992899</v>
      </c>
      <c r="AM3540">
        <v>88.063350860269196</v>
      </c>
      <c r="AN3540">
        <v>1.00000001668169</v>
      </c>
    </row>
    <row r="3541" spans="1:40" x14ac:dyDescent="0.25">
      <c r="A3541" t="str">
        <f>"20190303170838837"</f>
        <v>20190303170838837</v>
      </c>
      <c r="B3541" t="str">
        <f>"1551604118827119"</f>
        <v>1551604118827119</v>
      </c>
      <c r="C3541" t="s">
        <v>40</v>
      </c>
      <c r="D3541">
        <v>4.6544629999999998</v>
      </c>
      <c r="E3541">
        <v>0.45218930000000002</v>
      </c>
      <c r="F3541" t="s">
        <v>45</v>
      </c>
      <c r="G3541">
        <v>0</v>
      </c>
      <c r="H3541">
        <v>0</v>
      </c>
      <c r="I3541">
        <v>0</v>
      </c>
      <c r="J3541">
        <v>-310.05099999999999</v>
      </c>
      <c r="K3541">
        <v>1.121054</v>
      </c>
      <c r="L3541">
        <v>141.04509999999999</v>
      </c>
      <c r="M3541">
        <v>-0.99988140000000003</v>
      </c>
      <c r="N3541">
        <v>-1.520348E-2</v>
      </c>
      <c r="O3541">
        <v>2.4955929999999999E-3</v>
      </c>
      <c r="P3541">
        <v>-0.97496090000000002</v>
      </c>
      <c r="Q3541">
        <v>0.21943660000000001</v>
      </c>
      <c r="R3541">
        <v>3.6038389999999997E-2</v>
      </c>
      <c r="S3541">
        <v>-3.079132</v>
      </c>
      <c r="T3541">
        <v>4.2281510000000001E-2</v>
      </c>
      <c r="U3541">
        <v>-0.31086730000000001</v>
      </c>
      <c r="V3541">
        <v>3.3523169999999998E-2</v>
      </c>
      <c r="W3541">
        <v>0.23424690000000001</v>
      </c>
      <c r="X3541">
        <v>0.97159899999999999</v>
      </c>
      <c r="Y3541">
        <v>-0.1029318</v>
      </c>
      <c r="Z3541" s="1">
        <v>-7.575494E-6</v>
      </c>
      <c r="AA3541">
        <v>0.99468840000000003</v>
      </c>
      <c r="AB3541">
        <v>46</v>
      </c>
      <c r="AC3541">
        <v>-3.079132</v>
      </c>
      <c r="AD3541">
        <v>4.2281510000000001E-2</v>
      </c>
      <c r="AE3541">
        <v>-0.31086730000000001</v>
      </c>
      <c r="AF3541">
        <v>-0.31849203133200399</v>
      </c>
      <c r="AG3541">
        <v>4.2281510000000001E-2</v>
      </c>
      <c r="AH3541">
        <v>3.0777720393576198</v>
      </c>
      <c r="AI3541">
        <v>89.2171172812143</v>
      </c>
      <c r="AJ3541">
        <v>95.908016524632501</v>
      </c>
      <c r="AK3541">
        <v>3.0944960213839998</v>
      </c>
      <c r="AL3541">
        <v>76.452765930993607</v>
      </c>
      <c r="AM3541">
        <v>88.023902338139607</v>
      </c>
      <c r="AN3541">
        <v>1.00000001494372</v>
      </c>
    </row>
    <row r="3542" spans="1:40" x14ac:dyDescent="0.25">
      <c r="A3542" t="str">
        <f>"20190303170838859"</f>
        <v>20190303170838859</v>
      </c>
      <c r="B3542" t="str">
        <f>"1551604118846638"</f>
        <v>1551604118846638</v>
      </c>
      <c r="C3542" t="s">
        <v>40</v>
      </c>
      <c r="D3542">
        <v>4.6831259999999997</v>
      </c>
      <c r="E3542">
        <v>0.4518817</v>
      </c>
      <c r="F3542" t="s">
        <v>45</v>
      </c>
      <c r="G3542">
        <v>0</v>
      </c>
      <c r="H3542">
        <v>0</v>
      </c>
      <c r="I3542">
        <v>0</v>
      </c>
      <c r="J3542">
        <v>-310.48509999999999</v>
      </c>
      <c r="K3542">
        <v>1.121062</v>
      </c>
      <c r="L3542">
        <v>141.04599999999999</v>
      </c>
      <c r="M3542">
        <v>-0.99988069999999896</v>
      </c>
      <c r="N3542">
        <v>-1.525931E-2</v>
      </c>
      <c r="O3542">
        <v>2.3792000000000002E-3</v>
      </c>
      <c r="P3542">
        <v>-0.97491629999999996</v>
      </c>
      <c r="Q3542">
        <v>0.21957360000000001</v>
      </c>
      <c r="R3542">
        <v>3.6409169999999998E-2</v>
      </c>
      <c r="S3542">
        <v>-3.0792540000000002</v>
      </c>
      <c r="T3542">
        <v>4.1447400000000002E-2</v>
      </c>
      <c r="U3542">
        <v>-0.31253049999999999</v>
      </c>
      <c r="V3542">
        <v>3.4008400000000001E-2</v>
      </c>
      <c r="W3542">
        <v>0.23443739999999999</v>
      </c>
      <c r="X3542">
        <v>0.97153619999999996</v>
      </c>
      <c r="Y3542">
        <v>-0.10334409999999999</v>
      </c>
      <c r="Z3542" s="1">
        <v>-2.8686370000000002E-5</v>
      </c>
      <c r="AA3542">
        <v>0.99464569999999997</v>
      </c>
      <c r="AB3542">
        <v>46</v>
      </c>
      <c r="AC3542">
        <v>-3.0792540000000002</v>
      </c>
      <c r="AD3542">
        <v>4.1447400000000002E-2</v>
      </c>
      <c r="AE3542">
        <v>-0.31253049999999999</v>
      </c>
      <c r="AF3542">
        <v>-0.31979928016588999</v>
      </c>
      <c r="AG3542">
        <v>4.1447400000000002E-2</v>
      </c>
      <c r="AH3542">
        <v>3.0779496552741801</v>
      </c>
      <c r="AI3542">
        <v>89.232637003870295</v>
      </c>
      <c r="AJ3542">
        <v>95.931753498332398</v>
      </c>
      <c r="AK3542">
        <v>3.0947962044315398</v>
      </c>
      <c r="AL3542">
        <v>76.441538611193295</v>
      </c>
      <c r="AM3542">
        <v>87.995193073767993</v>
      </c>
      <c r="AN3542">
        <v>1.0000000268498701</v>
      </c>
    </row>
    <row r="3543" spans="1:40" x14ac:dyDescent="0.25">
      <c r="A3543" t="str">
        <f>"20190303170838881"</f>
        <v>20190303170838881</v>
      </c>
      <c r="B3543" t="str">
        <f>"1551604118867135"</f>
        <v>1551604118867135</v>
      </c>
      <c r="C3543" t="s">
        <v>40</v>
      </c>
      <c r="D3543">
        <v>4.6878310000000001</v>
      </c>
      <c r="E3543">
        <v>0.45189459999999998</v>
      </c>
      <c r="F3543" t="s">
        <v>45</v>
      </c>
      <c r="G3543">
        <v>0</v>
      </c>
      <c r="H3543">
        <v>0</v>
      </c>
      <c r="I3543">
        <v>0</v>
      </c>
      <c r="J3543">
        <v>-310.94850000000002</v>
      </c>
      <c r="K3543">
        <v>1.121065</v>
      </c>
      <c r="L3543">
        <v>141.047</v>
      </c>
      <c r="M3543">
        <v>-0.99988030000000006</v>
      </c>
      <c r="N3543">
        <v>-1.5310590000000001E-2</v>
      </c>
      <c r="O3543">
        <v>2.254851E-3</v>
      </c>
      <c r="P3543">
        <v>-0.97465849999999998</v>
      </c>
      <c r="Q3543">
        <v>0.220611</v>
      </c>
      <c r="R3543">
        <v>3.7033759999999999E-2</v>
      </c>
      <c r="S3543">
        <v>-3.0793759999999999</v>
      </c>
      <c r="T3543">
        <v>4.2330859999999998E-2</v>
      </c>
      <c r="U3543">
        <v>-0.31367489999999998</v>
      </c>
      <c r="V3543">
        <v>3.4755099999999997E-2</v>
      </c>
      <c r="W3543">
        <v>0.23552100000000001</v>
      </c>
      <c r="X3543">
        <v>0.97124759999999999</v>
      </c>
      <c r="Y3543">
        <v>-0.1035822</v>
      </c>
      <c r="Z3543" s="1">
        <v>-1.961377E-5</v>
      </c>
      <c r="AA3543">
        <v>0.99462090000000003</v>
      </c>
      <c r="AB3543">
        <v>46</v>
      </c>
      <c r="AC3543">
        <v>-3.0793759999999999</v>
      </c>
      <c r="AD3543">
        <v>4.2330859999999998E-2</v>
      </c>
      <c r="AE3543">
        <v>-0.31367489999999998</v>
      </c>
      <c r="AF3543">
        <v>-0.32055849674751602</v>
      </c>
      <c r="AG3543">
        <v>4.2330859999999998E-2</v>
      </c>
      <c r="AH3543">
        <v>3.0780851099615099</v>
      </c>
      <c r="AI3543">
        <v>89.216336524378505</v>
      </c>
      <c r="AJ3543">
        <v>95.945475186126998</v>
      </c>
      <c r="AK3543">
        <v>3.0950214208809901</v>
      </c>
      <c r="AL3543">
        <v>76.377663793523396</v>
      </c>
      <c r="AM3543">
        <v>87.950603695991404</v>
      </c>
      <c r="AN3543">
        <v>0.99999997946138397</v>
      </c>
    </row>
    <row r="3544" spans="1:40" x14ac:dyDescent="0.25">
      <c r="A3544" t="str">
        <f>"20190303170838906"</f>
        <v>20190303170838906</v>
      </c>
      <c r="B3544" t="str">
        <f>"1551604118896415"</f>
        <v>1551604118896415</v>
      </c>
      <c r="C3544" t="s">
        <v>40</v>
      </c>
      <c r="D3544">
        <v>4.7061710000000003</v>
      </c>
      <c r="E3544">
        <v>0.4964172</v>
      </c>
      <c r="F3544" t="s">
        <v>41</v>
      </c>
      <c r="G3544">
        <v>-460.84429999999998</v>
      </c>
      <c r="H3544">
        <v>3.329542</v>
      </c>
      <c r="I3544">
        <v>125.86920000000001</v>
      </c>
      <c r="J3544">
        <v>-311.43770000000001</v>
      </c>
      <c r="K3544">
        <v>1.121065</v>
      </c>
      <c r="L3544">
        <v>141.04810000000001</v>
      </c>
      <c r="M3544">
        <v>-0.99987990000000004</v>
      </c>
      <c r="N3544">
        <v>-1.5356730000000001E-2</v>
      </c>
      <c r="O3544">
        <v>2.1240389999999999E-3</v>
      </c>
      <c r="P3544">
        <v>-0.97477060000000004</v>
      </c>
      <c r="Q3544">
        <v>0.2199903</v>
      </c>
      <c r="R3544">
        <v>3.7767759999999997E-2</v>
      </c>
      <c r="S3544">
        <v>-3.0796199999999998</v>
      </c>
      <c r="T3544">
        <v>4.5373919999999998E-2</v>
      </c>
      <c r="U3544">
        <v>-0.31182860000000001</v>
      </c>
      <c r="V3544">
        <v>3.5617120000000002E-2</v>
      </c>
      <c r="W3544">
        <v>0.2349473</v>
      </c>
      <c r="X3544">
        <v>0.97135530000000003</v>
      </c>
      <c r="Y3544">
        <v>-0.10285329999999999</v>
      </c>
      <c r="Z3544" s="1">
        <v>2.7670639999999998E-5</v>
      </c>
      <c r="AA3544">
        <v>0.99469660000000004</v>
      </c>
      <c r="AB3544">
        <v>46</v>
      </c>
      <c r="AC3544">
        <v>-149.406599999999</v>
      </c>
      <c r="AD3544">
        <v>2.2084769999999998</v>
      </c>
      <c r="AE3544">
        <v>-15.178900000000001</v>
      </c>
      <c r="AF3544">
        <v>-15.4928980241601</v>
      </c>
      <c r="AG3544">
        <v>2.2084769999999998</v>
      </c>
      <c r="AH3544">
        <v>149.341721102202</v>
      </c>
      <c r="AI3544">
        <v>89.157289245438903</v>
      </c>
      <c r="AJ3544">
        <v>95.922749516289898</v>
      </c>
      <c r="AK3544">
        <v>150.15943833677099</v>
      </c>
      <c r="AL3544">
        <v>76.411483217300798</v>
      </c>
      <c r="AM3544">
        <v>87.900050772548397</v>
      </c>
      <c r="AN3544">
        <v>0.99999996592623597</v>
      </c>
    </row>
    <row r="3545" spans="1:40" x14ac:dyDescent="0.25">
      <c r="A3545" t="str">
        <f>"20190303170838927"</f>
        <v>20190303170838927</v>
      </c>
      <c r="B3545" t="str">
        <f>"1551604118916910"</f>
        <v>1551604118916910</v>
      </c>
      <c r="C3545" t="s">
        <v>40</v>
      </c>
      <c r="D3545">
        <v>4.6529109999999996</v>
      </c>
      <c r="E3545">
        <v>0.50356259999999997</v>
      </c>
      <c r="F3545" t="s">
        <v>45</v>
      </c>
      <c r="G3545">
        <v>0</v>
      </c>
      <c r="H3545">
        <v>0</v>
      </c>
      <c r="I3545">
        <v>0</v>
      </c>
      <c r="J3545">
        <v>-311.88549999999998</v>
      </c>
      <c r="K3545">
        <v>1.1210599999999999</v>
      </c>
      <c r="L3545">
        <v>141.0489</v>
      </c>
      <c r="M3545">
        <v>-0.99987959999999998</v>
      </c>
      <c r="N3545">
        <v>-1.539225E-2</v>
      </c>
      <c r="O3545">
        <v>2.0042160000000001E-3</v>
      </c>
      <c r="P3545">
        <v>-0.97499440000000004</v>
      </c>
      <c r="Q3545">
        <v>0.21893080000000001</v>
      </c>
      <c r="R3545">
        <v>3.8149269999999999E-2</v>
      </c>
      <c r="S3545">
        <v>-3.0687259999999998</v>
      </c>
      <c r="T3545">
        <v>3.1935209999999999E-2</v>
      </c>
      <c r="U3545">
        <v>4.4723510000000001E-2</v>
      </c>
      <c r="V3545">
        <v>3.6115929999999997E-2</v>
      </c>
      <c r="W3545">
        <v>0.23392560000000001</v>
      </c>
      <c r="X3545">
        <v>0.97158350000000004</v>
      </c>
      <c r="Y3545">
        <v>1.2569149999999999E-2</v>
      </c>
      <c r="Z3545" s="1">
        <v>8.3050149999999996E-5</v>
      </c>
      <c r="AA3545">
        <v>0.99992099999999995</v>
      </c>
      <c r="AB3545">
        <v>46</v>
      </c>
      <c r="AC3545">
        <v>-3.0687259999999998</v>
      </c>
      <c r="AD3545">
        <v>3.1935209999999999E-2</v>
      </c>
      <c r="AE3545">
        <v>4.4723510000000001E-2</v>
      </c>
      <c r="AF3545">
        <v>3.8568126174576098E-2</v>
      </c>
      <c r="AG3545">
        <v>3.1935209999999999E-2</v>
      </c>
      <c r="AH3545">
        <v>3.0684772397754898</v>
      </c>
      <c r="AI3545">
        <v>89.403762177214702</v>
      </c>
      <c r="AJ3545">
        <v>89.279879131616894</v>
      </c>
      <c r="AK3545">
        <v>3.0688857797276499</v>
      </c>
      <c r="AL3545">
        <v>76.471701263133795</v>
      </c>
      <c r="AM3545">
        <v>87.871167991566196</v>
      </c>
      <c r="AN3545">
        <v>1.00000002210368</v>
      </c>
    </row>
    <row r="3546" spans="1:40" x14ac:dyDescent="0.25">
      <c r="A3546" t="str">
        <f>"20190303170838948"</f>
        <v>20190303170838948</v>
      </c>
      <c r="B3546" t="str">
        <f>"1551604118936430"</f>
        <v>1551604118936430</v>
      </c>
      <c r="C3546" t="s">
        <v>40</v>
      </c>
      <c r="D3546">
        <v>4.7064190000000004</v>
      </c>
      <c r="E3546">
        <v>0.50686169999999997</v>
      </c>
      <c r="F3546" t="s">
        <v>45</v>
      </c>
      <c r="G3546">
        <v>0</v>
      </c>
      <c r="H3546">
        <v>0</v>
      </c>
      <c r="I3546">
        <v>0</v>
      </c>
      <c r="J3546">
        <v>-312.3066</v>
      </c>
      <c r="K3546">
        <v>1.121073</v>
      </c>
      <c r="L3546">
        <v>141.0497</v>
      </c>
      <c r="M3546">
        <v>-0.99987939999999997</v>
      </c>
      <c r="N3546">
        <v>-1.5420730000000001E-2</v>
      </c>
      <c r="O3546">
        <v>1.8913549999999999E-3</v>
      </c>
      <c r="P3546">
        <v>-0.97487789999999996</v>
      </c>
      <c r="Q3546">
        <v>0.21934290000000001</v>
      </c>
      <c r="R3546">
        <v>3.8755600000000001E-2</v>
      </c>
      <c r="S3546">
        <v>-3.066071</v>
      </c>
      <c r="T3546">
        <v>3.0469779999999998E-2</v>
      </c>
      <c r="U3546">
        <v>0.1028748</v>
      </c>
      <c r="V3546">
        <v>3.6832700000000003E-2</v>
      </c>
      <c r="W3546">
        <v>0.23436370000000001</v>
      </c>
      <c r="X3546">
        <v>0.97145099999999995</v>
      </c>
      <c r="Y3546">
        <v>3.1644659999999998E-2</v>
      </c>
      <c r="Z3546">
        <v>1.34829599999999E-4</v>
      </c>
      <c r="AA3546">
        <v>0.99949920000000003</v>
      </c>
      <c r="AB3546">
        <v>46</v>
      </c>
      <c r="AC3546">
        <v>-3.066071</v>
      </c>
      <c r="AD3546">
        <v>3.0469779999999998E-2</v>
      </c>
      <c r="AE3546">
        <v>0.1028748</v>
      </c>
      <c r="AF3546">
        <v>9.7065322925255798E-2</v>
      </c>
      <c r="AG3546">
        <v>3.0469779999999998E-2</v>
      </c>
      <c r="AH3546">
        <v>3.0659576618625599</v>
      </c>
      <c r="AI3546">
        <v>89.430892933840894</v>
      </c>
      <c r="AJ3546">
        <v>88.186675419756696</v>
      </c>
      <c r="AK3546">
        <v>3.0676451014974901</v>
      </c>
      <c r="AL3546">
        <v>76.445882210586007</v>
      </c>
      <c r="AM3546">
        <v>87.828662613518702</v>
      </c>
      <c r="AN3546">
        <v>1.0000000185339899</v>
      </c>
    </row>
    <row r="3547" spans="1:40" x14ac:dyDescent="0.25">
      <c r="A3547" t="str">
        <f>"20190303170838969"</f>
        <v>20190303170838969</v>
      </c>
      <c r="B3547" t="str">
        <f>"1551604118956927"</f>
        <v>1551604118956927</v>
      </c>
      <c r="C3547" t="s">
        <v>40</v>
      </c>
      <c r="D3547">
        <v>4.6519849999999998</v>
      </c>
      <c r="E3547">
        <v>0.50860419999999995</v>
      </c>
      <c r="F3547" t="s">
        <v>75</v>
      </c>
      <c r="G3547">
        <v>-537.07190000000003</v>
      </c>
      <c r="H3547">
        <v>3.5781149999999999</v>
      </c>
      <c r="I3547">
        <v>150.69999999999999</v>
      </c>
      <c r="J3547">
        <v>-312.74439999999998</v>
      </c>
      <c r="K3547">
        <v>1.1210869999999999</v>
      </c>
      <c r="L3547">
        <v>141.0504</v>
      </c>
      <c r="M3547">
        <v>-0.99987910000000002</v>
      </c>
      <c r="N3547">
        <v>-1.544587E-2</v>
      </c>
      <c r="O3547">
        <v>1.7732100000000001E-3</v>
      </c>
      <c r="P3547">
        <v>-0.97443930000000001</v>
      </c>
      <c r="Q3547">
        <v>0.22113720000000001</v>
      </c>
      <c r="R3547">
        <v>3.9577580000000001E-2</v>
      </c>
      <c r="S3547">
        <v>-3.0645449999999999</v>
      </c>
      <c r="T3547">
        <v>3.3500910000000002E-2</v>
      </c>
      <c r="U3547">
        <v>0.13157650000000001</v>
      </c>
      <c r="V3547">
        <v>3.7770169999999999E-2</v>
      </c>
      <c r="W3547">
        <v>0.2361753</v>
      </c>
      <c r="X3547">
        <v>0.97097610000000001</v>
      </c>
      <c r="Y3547">
        <v>4.112536E-2</v>
      </c>
      <c r="Z3547">
        <v>1.3984420000000001E-4</v>
      </c>
      <c r="AA3547">
        <v>0.99915399999999999</v>
      </c>
      <c r="AB3547">
        <v>46</v>
      </c>
      <c r="AC3547">
        <v>-224.32749999999999</v>
      </c>
      <c r="AD3547">
        <v>2.4570280000000002</v>
      </c>
      <c r="AE3547">
        <v>9.6495999999999906</v>
      </c>
      <c r="AF3547">
        <v>9.2506498816459093</v>
      </c>
      <c r="AG3547">
        <v>2.4570280000000002</v>
      </c>
      <c r="AH3547">
        <v>224.31739947743</v>
      </c>
      <c r="AI3547">
        <v>89.372977019939</v>
      </c>
      <c r="AJ3547">
        <v>87.638511147130401</v>
      </c>
      <c r="AK3547">
        <v>224.52150725073599</v>
      </c>
      <c r="AL3547">
        <v>76.339086808259694</v>
      </c>
      <c r="AM3547">
        <v>87.772364526933401</v>
      </c>
      <c r="AN3547">
        <v>0.99999997242156402</v>
      </c>
    </row>
    <row r="3548" spans="1:40" x14ac:dyDescent="0.25">
      <c r="A3548" t="str">
        <f>"20190303170838992"</f>
        <v>20190303170838992</v>
      </c>
      <c r="B3548" t="str">
        <f>"1551604118987183"</f>
        <v>1551604118987183</v>
      </c>
      <c r="C3548" t="s">
        <v>40</v>
      </c>
      <c r="D3548">
        <v>4.6446569999999996</v>
      </c>
      <c r="E3548">
        <v>0.51004150000000004</v>
      </c>
      <c r="F3548" t="s">
        <v>75</v>
      </c>
      <c r="G3548">
        <v>-511.05990000000003</v>
      </c>
      <c r="H3548">
        <v>3.697206</v>
      </c>
      <c r="I3548">
        <v>150.65219999999999</v>
      </c>
      <c r="J3548">
        <v>-313.20909999999998</v>
      </c>
      <c r="K3548">
        <v>1.121102</v>
      </c>
      <c r="L3548">
        <v>141.05119999999999</v>
      </c>
      <c r="M3548">
        <v>-0.99987910000000002</v>
      </c>
      <c r="N3548">
        <v>-1.5467979999999999E-2</v>
      </c>
      <c r="O3548">
        <v>1.6471039999999999E-3</v>
      </c>
      <c r="P3548">
        <v>-0.97412089999999996</v>
      </c>
      <c r="Q3548">
        <v>0.22253239999999999</v>
      </c>
      <c r="R3548">
        <v>3.9598830000000002E-2</v>
      </c>
      <c r="S3548">
        <v>-3.0636290000000002</v>
      </c>
      <c r="T3548">
        <v>3.9797190000000003E-2</v>
      </c>
      <c r="U3548">
        <v>0.14833070000000001</v>
      </c>
      <c r="V3548">
        <v>3.7914570000000002E-2</v>
      </c>
      <c r="W3548">
        <v>0.23758689999999999</v>
      </c>
      <c r="X3548">
        <v>0.97062610000000005</v>
      </c>
      <c r="Y3548">
        <v>4.6715989999999999E-2</v>
      </c>
      <c r="Z3548">
        <v>1.05141E-4</v>
      </c>
      <c r="AA3548">
        <v>0.99890820000000002</v>
      </c>
      <c r="AB3548">
        <v>46</v>
      </c>
      <c r="AC3548">
        <v>-197.85079999999999</v>
      </c>
      <c r="AD3548">
        <v>2.5761039999999902</v>
      </c>
      <c r="AE3548">
        <v>9.6010000000000009</v>
      </c>
      <c r="AF3548">
        <v>9.2734987082666898</v>
      </c>
      <c r="AG3548">
        <v>2.5761039999999902</v>
      </c>
      <c r="AH3548">
        <v>197.83288711996099</v>
      </c>
      <c r="AI3548">
        <v>89.254776692954806</v>
      </c>
      <c r="AJ3548">
        <v>87.316201108016301</v>
      </c>
      <c r="AK3548">
        <v>198.06687081975599</v>
      </c>
      <c r="AL3548">
        <v>76.255839638775896</v>
      </c>
      <c r="AM3548">
        <v>87.763051115570804</v>
      </c>
      <c r="AN3548">
        <v>1.00000003783555</v>
      </c>
    </row>
    <row r="3549" spans="1:40" x14ac:dyDescent="0.25">
      <c r="A3549" t="str">
        <f>"20190303170839016"</f>
        <v>20190303170839016</v>
      </c>
      <c r="B3549" t="str">
        <f>"1551604119006703"</f>
        <v>1551604119006703</v>
      </c>
      <c r="C3549" t="s">
        <v>40</v>
      </c>
      <c r="D3549">
        <v>4.7031720000000004</v>
      </c>
      <c r="E3549">
        <v>0.51063149999999902</v>
      </c>
      <c r="F3549" t="s">
        <v>75</v>
      </c>
      <c r="G3549">
        <v>-511.06</v>
      </c>
      <c r="H3549">
        <v>4.0259769999999904</v>
      </c>
      <c r="I3549">
        <v>151.37200000000001</v>
      </c>
      <c r="J3549">
        <v>-313.70159999999998</v>
      </c>
      <c r="K3549">
        <v>1.1211089999999999</v>
      </c>
      <c r="L3549">
        <v>141.05189999999999</v>
      </c>
      <c r="M3549">
        <v>-0.99987890000000001</v>
      </c>
      <c r="N3549">
        <v>-1.5487229999999999E-2</v>
      </c>
      <c r="O3549">
        <v>1.5132069999999999E-3</v>
      </c>
      <c r="P3549">
        <v>-0.97400750000000003</v>
      </c>
      <c r="Q3549">
        <v>0.22299730000000001</v>
      </c>
      <c r="R3549">
        <v>3.9771470000000003E-2</v>
      </c>
      <c r="S3549">
        <v>-3.062897</v>
      </c>
      <c r="T3549">
        <v>4.4970509999999998E-2</v>
      </c>
      <c r="U3549">
        <v>0.15977479999999999</v>
      </c>
      <c r="V3549">
        <v>3.821778E-2</v>
      </c>
      <c r="W3549">
        <v>0.23806859999999999</v>
      </c>
      <c r="X3549">
        <v>0.97049609999999997</v>
      </c>
      <c r="Y3549">
        <v>5.0583379999999997E-2</v>
      </c>
      <c r="Z3549" s="1">
        <v>6.6536830000000005E-5</v>
      </c>
      <c r="AA3549">
        <v>0.99871980000000005</v>
      </c>
      <c r="AB3549">
        <v>46</v>
      </c>
      <c r="AC3549">
        <v>-197.35839999999999</v>
      </c>
      <c r="AD3549">
        <v>2.904868</v>
      </c>
      <c r="AE3549">
        <v>10.3201</v>
      </c>
      <c r="AF3549">
        <v>10.0192435765979</v>
      </c>
      <c r="AG3549">
        <v>2.904868</v>
      </c>
      <c r="AH3549">
        <v>197.331158776883</v>
      </c>
      <c r="AI3549">
        <v>89.157707367581096</v>
      </c>
      <c r="AJ3549">
        <v>87.093374245612594</v>
      </c>
      <c r="AK3549">
        <v>197.606704653896</v>
      </c>
      <c r="AL3549">
        <v>76.227423997472101</v>
      </c>
      <c r="AM3549">
        <v>87.744878477189204</v>
      </c>
      <c r="AN3549">
        <v>0.99999996856464801</v>
      </c>
    </row>
    <row r="3550" spans="1:40" x14ac:dyDescent="0.25">
      <c r="A3550" t="str">
        <f>"20190303170839060"</f>
        <v>20190303170839060</v>
      </c>
      <c r="B3550" t="str">
        <f>"1551604119046719"</f>
        <v>1551604119046719</v>
      </c>
      <c r="C3550" t="s">
        <v>40</v>
      </c>
      <c r="D3550">
        <v>4.7595890000000001</v>
      </c>
      <c r="E3550">
        <v>0.51117879999999905</v>
      </c>
      <c r="F3550" t="s">
        <v>75</v>
      </c>
      <c r="G3550">
        <v>-511.06</v>
      </c>
      <c r="H3550">
        <v>4.0949619999999998</v>
      </c>
      <c r="I3550">
        <v>151.68960000000001</v>
      </c>
      <c r="J3550">
        <v>-314.57069999999999</v>
      </c>
      <c r="K3550">
        <v>1.1211359999999999</v>
      </c>
      <c r="L3550">
        <v>141.053</v>
      </c>
      <c r="M3550">
        <v>-0.99987890000000001</v>
      </c>
      <c r="N3550">
        <v>-1.5512700000000001E-2</v>
      </c>
      <c r="O3550">
        <v>1.272738E-3</v>
      </c>
      <c r="P3550">
        <v>-0.97395640000000006</v>
      </c>
      <c r="Q3550">
        <v>0.2231919</v>
      </c>
      <c r="R3550">
        <v>3.992909E-2</v>
      </c>
      <c r="S3550">
        <v>-3.0627749999999998</v>
      </c>
      <c r="T3550">
        <v>4.6151400000000002E-2</v>
      </c>
      <c r="U3550">
        <v>0.1650848</v>
      </c>
      <c r="V3550">
        <v>3.8609039999999997E-2</v>
      </c>
      <c r="W3550">
        <v>0.23828759999999999</v>
      </c>
      <c r="X3550">
        <v>0.97042689999999998</v>
      </c>
      <c r="Y3550">
        <v>5.255199E-2</v>
      </c>
      <c r="Z3550" s="1">
        <v>5.1192300000000001E-5</v>
      </c>
      <c r="AA3550">
        <v>0.99861820000000001</v>
      </c>
      <c r="AB3550">
        <v>46</v>
      </c>
      <c r="AC3550">
        <v>-196.48929999999999</v>
      </c>
      <c r="AD3550">
        <v>2.9738259999999999</v>
      </c>
      <c r="AE3550">
        <v>10.6366</v>
      </c>
      <c r="AF3550">
        <v>10.3841102421383</v>
      </c>
      <c r="AG3550">
        <v>2.9738259999999999</v>
      </c>
      <c r="AH3550">
        <v>196.45781049375699</v>
      </c>
      <c r="AI3550">
        <v>89.133975885135101</v>
      </c>
      <c r="AJ3550">
        <v>86.974350173924705</v>
      </c>
      <c r="AK3550">
        <v>196.754529021824</v>
      </c>
      <c r="AL3550">
        <v>76.214504902834506</v>
      </c>
      <c r="AM3550">
        <v>87.721653267065804</v>
      </c>
      <c r="AN3550">
        <v>1.0000000032635401</v>
      </c>
    </row>
    <row r="3551" spans="1:40" x14ac:dyDescent="0.25">
      <c r="A3551" t="str">
        <f>"20190303170839081"</f>
        <v>20190303170839081</v>
      </c>
      <c r="B3551" t="str">
        <f>"1551604119076975"</f>
        <v>1551604119076975</v>
      </c>
      <c r="C3551" t="s">
        <v>40</v>
      </c>
      <c r="D3551">
        <v>4.758883</v>
      </c>
      <c r="E3551">
        <v>0.5115788</v>
      </c>
      <c r="F3551" t="s">
        <v>75</v>
      </c>
      <c r="G3551">
        <v>-511.06</v>
      </c>
      <c r="H3551">
        <v>4.0758109999999999</v>
      </c>
      <c r="I3551">
        <v>151.89750000000001</v>
      </c>
      <c r="J3551">
        <v>-315.0301</v>
      </c>
      <c r="K3551">
        <v>1.1211450000000001</v>
      </c>
      <c r="L3551">
        <v>141.05350000000001</v>
      </c>
      <c r="M3551">
        <v>-0.99987899999999996</v>
      </c>
      <c r="N3551">
        <v>-1.552251E-2</v>
      </c>
      <c r="O3551">
        <v>1.140722E-3</v>
      </c>
      <c r="P3551">
        <v>-0.97356339999999997</v>
      </c>
      <c r="Q3551">
        <v>0.22478770000000001</v>
      </c>
      <c r="R3551">
        <v>4.0560449999999998E-2</v>
      </c>
      <c r="S3551">
        <v>-3.0627439999999999</v>
      </c>
      <c r="T3551">
        <v>4.6056149999999997E-2</v>
      </c>
      <c r="U3551">
        <v>0.16903689999999999</v>
      </c>
      <c r="V3551">
        <v>3.936771E-2</v>
      </c>
      <c r="W3551">
        <v>0.2398873</v>
      </c>
      <c r="X3551">
        <v>0.97000220000000004</v>
      </c>
      <c r="Y3551">
        <v>5.3969019999999999E-2</v>
      </c>
      <c r="Z3551" s="1">
        <v>4.8592920000000002E-5</v>
      </c>
      <c r="AA3551">
        <v>0.99854259999999995</v>
      </c>
      <c r="AB3551">
        <v>45</v>
      </c>
      <c r="AC3551">
        <v>-196.0299</v>
      </c>
      <c r="AD3551">
        <v>2.954666</v>
      </c>
      <c r="AE3551">
        <v>10.8439999999999</v>
      </c>
      <c r="AF3551">
        <v>10.6179455708492</v>
      </c>
      <c r="AG3551">
        <v>2.954666</v>
      </c>
      <c r="AH3551">
        <v>195.99775276641799</v>
      </c>
      <c r="AI3551">
        <v>89.137595954331402</v>
      </c>
      <c r="AJ3551">
        <v>86.899100303923106</v>
      </c>
      <c r="AK3551">
        <v>196.307386281828</v>
      </c>
      <c r="AL3551">
        <v>76.120111193769702</v>
      </c>
      <c r="AM3551">
        <v>87.6759161880927</v>
      </c>
      <c r="AN3551">
        <v>1.00000000064838</v>
      </c>
    </row>
    <row r="3552" spans="1:40" x14ac:dyDescent="0.25">
      <c r="A3552" t="str">
        <f>"20190303170839127"</f>
        <v>20190303170839127</v>
      </c>
      <c r="B3552" t="str">
        <f>"1551604119116991"</f>
        <v>1551604119116991</v>
      </c>
      <c r="C3552" t="s">
        <v>40</v>
      </c>
      <c r="D3552">
        <v>4.7589819999999996</v>
      </c>
      <c r="E3552">
        <v>0.51190879999999905</v>
      </c>
      <c r="F3552" t="s">
        <v>75</v>
      </c>
      <c r="G3552">
        <v>-511.06009999999998</v>
      </c>
      <c r="H3552">
        <v>4.3602019999999904</v>
      </c>
      <c r="I3552">
        <v>152.16739999999999</v>
      </c>
      <c r="J3552">
        <v>-315.95670000000001</v>
      </c>
      <c r="K3552">
        <v>1.121186</v>
      </c>
      <c r="L3552">
        <v>141.05430000000001</v>
      </c>
      <c r="M3552">
        <v>-0.99987890000000001</v>
      </c>
      <c r="N3552">
        <v>-1.553627E-2</v>
      </c>
      <c r="O3552">
        <v>8.5008199999999897E-4</v>
      </c>
      <c r="P3552">
        <v>-0.97288439999999998</v>
      </c>
      <c r="Q3552">
        <v>0.22751179999999999</v>
      </c>
      <c r="R3552">
        <v>4.1646219999999998E-2</v>
      </c>
      <c r="S3552">
        <v>-3.0625</v>
      </c>
      <c r="T3552">
        <v>5.060315E-2</v>
      </c>
      <c r="U3552">
        <v>0.173629799999999</v>
      </c>
      <c r="V3552">
        <v>4.0729460000000002E-2</v>
      </c>
      <c r="W3552">
        <v>0.24261479999999999</v>
      </c>
      <c r="X3552">
        <v>0.9692674</v>
      </c>
      <c r="Y3552">
        <v>5.5755689999999997E-2</v>
      </c>
      <c r="Z3552" s="1">
        <v>4.8469520000000005E-7</v>
      </c>
      <c r="AA3552">
        <v>0.99844440000000001</v>
      </c>
      <c r="AB3552">
        <v>45</v>
      </c>
      <c r="AC3552">
        <v>-195.10339999999999</v>
      </c>
      <c r="AD3552">
        <v>3.2390159999999901</v>
      </c>
      <c r="AE3552">
        <v>11.1130999999999</v>
      </c>
      <c r="AF3552">
        <v>10.9442154765821</v>
      </c>
      <c r="AG3552">
        <v>3.2390159999999901</v>
      </c>
      <c r="AH3552">
        <v>195.059191079904</v>
      </c>
      <c r="AI3552">
        <v>89.050167530662804</v>
      </c>
      <c r="AJ3552">
        <v>86.788664001506106</v>
      </c>
      <c r="AK3552">
        <v>195.392822544209</v>
      </c>
      <c r="AL3552">
        <v>75.959081359032893</v>
      </c>
      <c r="AM3552">
        <v>87.593797050255006</v>
      </c>
      <c r="AN3552">
        <v>1.0000000613968401</v>
      </c>
    </row>
    <row r="3553" spans="1:40" x14ac:dyDescent="0.25">
      <c r="A3553" t="str">
        <f>"20190303170839148"</f>
        <v>20190303170839148</v>
      </c>
      <c r="B3553" t="str">
        <f>"1551604119136511"</f>
        <v>1551604119136511</v>
      </c>
      <c r="C3553" t="s">
        <v>40</v>
      </c>
      <c r="D3553">
        <v>4.8144669999999996</v>
      </c>
      <c r="E3553">
        <v>0.51196520000000001</v>
      </c>
      <c r="F3553" t="s">
        <v>75</v>
      </c>
      <c r="G3553">
        <v>-511.06020000000001</v>
      </c>
      <c r="H3553">
        <v>4.8206020000000001</v>
      </c>
      <c r="I3553">
        <v>152.44210000000001</v>
      </c>
      <c r="J3553">
        <v>-316.36250000000001</v>
      </c>
      <c r="K3553">
        <v>1.1211949999999999</v>
      </c>
      <c r="L3553">
        <v>141.05449999999999</v>
      </c>
      <c r="M3553">
        <v>-0.99987899999999996</v>
      </c>
      <c r="N3553">
        <v>-1.5540139999999999E-2</v>
      </c>
      <c r="O3553">
        <v>7.1175959999999995E-4</v>
      </c>
      <c r="P3553">
        <v>-0.97293609999999997</v>
      </c>
      <c r="Q3553">
        <v>0.22727069999999999</v>
      </c>
      <c r="R3553">
        <v>4.1755710000000001E-2</v>
      </c>
      <c r="S3553">
        <v>-3.0623170000000002</v>
      </c>
      <c r="T3553">
        <v>5.8066130000000001E-2</v>
      </c>
      <c r="U3553">
        <v>0.1787415</v>
      </c>
      <c r="V3553">
        <v>4.0969600000000002E-2</v>
      </c>
      <c r="W3553">
        <v>0.24237929999999999</v>
      </c>
      <c r="X3553">
        <v>0.96931610000000001</v>
      </c>
      <c r="Y3553">
        <v>5.7556799999999998E-2</v>
      </c>
      <c r="Z3553" s="1">
        <v>-7.3000440000000003E-5</v>
      </c>
      <c r="AA3553">
        <v>0.99834219999999896</v>
      </c>
      <c r="AB3553">
        <v>45</v>
      </c>
      <c r="AC3553">
        <v>-194.6977</v>
      </c>
      <c r="AD3553">
        <v>3.6994069999999999</v>
      </c>
      <c r="AE3553">
        <v>11.387600000000001</v>
      </c>
      <c r="AF3553">
        <v>11.244956503605099</v>
      </c>
      <c r="AG3553">
        <v>3.6994069999999999</v>
      </c>
      <c r="AH3553">
        <v>194.63572722675099</v>
      </c>
      <c r="AI3553">
        <v>88.912932617827295</v>
      </c>
      <c r="AJ3553">
        <v>86.693448126261899</v>
      </c>
      <c r="AK3553">
        <v>194.99538705314501</v>
      </c>
      <c r="AL3553">
        <v>75.972988302169099</v>
      </c>
      <c r="AM3553">
        <v>87.579748411874107</v>
      </c>
      <c r="AN3553">
        <v>0.99999996745592901</v>
      </c>
    </row>
    <row r="3554" spans="1:40" x14ac:dyDescent="0.25">
      <c r="A3554" t="str">
        <f>"20190303170839170"</f>
        <v>20190303170839170</v>
      </c>
      <c r="B3554" t="str">
        <f>"1551604119157007"</f>
        <v>1551604119157007</v>
      </c>
      <c r="C3554" t="s">
        <v>40</v>
      </c>
      <c r="D3554">
        <v>4.8192139999999997</v>
      </c>
      <c r="E3554">
        <v>0.51201719999999995</v>
      </c>
      <c r="F3554" t="s">
        <v>75</v>
      </c>
      <c r="G3554">
        <v>-511.06020000000001</v>
      </c>
      <c r="H3554">
        <v>4.6881959999999996</v>
      </c>
      <c r="I3554">
        <v>152.4436</v>
      </c>
      <c r="J3554">
        <v>-316.81720000000001</v>
      </c>
      <c r="K3554">
        <v>1.1211990000000001</v>
      </c>
      <c r="L3554">
        <v>141.0547</v>
      </c>
      <c r="M3554">
        <v>-0.99987919999999997</v>
      </c>
      <c r="N3554">
        <v>-1.554323E-2</v>
      </c>
      <c r="O3554">
        <v>5.4995640000000002E-4</v>
      </c>
      <c r="P3554">
        <v>-0.97318059999999995</v>
      </c>
      <c r="Q3554">
        <v>0.22626879999999999</v>
      </c>
      <c r="R3554">
        <v>4.1501679999999999E-2</v>
      </c>
      <c r="S3554">
        <v>-3.0626530000000001</v>
      </c>
      <c r="T3554">
        <v>5.611062E-2</v>
      </c>
      <c r="U3554">
        <v>0.17915339999999999</v>
      </c>
      <c r="V3554">
        <v>4.0868920000000003E-2</v>
      </c>
      <c r="W3554">
        <v>0.24138499999999999</v>
      </c>
      <c r="X3554">
        <v>0.9695684</v>
      </c>
      <c r="Y3554">
        <v>5.7846120000000001E-2</v>
      </c>
      <c r="Z3554" s="1">
        <v>-6.0819790000000003E-5</v>
      </c>
      <c r="AA3554">
        <v>0.99832549999999998</v>
      </c>
      <c r="AB3554">
        <v>45</v>
      </c>
      <c r="AC3554">
        <v>-194.24299999999999</v>
      </c>
      <c r="AD3554">
        <v>3.5669970000000002</v>
      </c>
      <c r="AE3554">
        <v>11.3889</v>
      </c>
      <c r="AF3554">
        <v>11.2782699657084</v>
      </c>
      <c r="AG3554">
        <v>3.5669970000000002</v>
      </c>
      <c r="AH3554">
        <v>194.18397618139201</v>
      </c>
      <c r="AI3554">
        <v>88.949412969221996</v>
      </c>
      <c r="AJ3554">
        <v>86.675976370898894</v>
      </c>
      <c r="AK3554">
        <v>194.543926779103</v>
      </c>
      <c r="AL3554">
        <v>76.031700466223</v>
      </c>
      <c r="AM3554">
        <v>87.586316474937306</v>
      </c>
      <c r="AN3554">
        <v>0.99999993456276104</v>
      </c>
    </row>
    <row r="3555" spans="1:40" x14ac:dyDescent="0.25">
      <c r="A3555" t="str">
        <f>"20190303170839195"</f>
        <v>20190303170839195</v>
      </c>
      <c r="B3555" t="str">
        <f>"1551604119187264"</f>
        <v>1551604119187264</v>
      </c>
      <c r="C3555" t="s">
        <v>40</v>
      </c>
      <c r="D3555">
        <v>4.8170900000000003</v>
      </c>
      <c r="E3555">
        <v>0.51207879999999995</v>
      </c>
      <c r="F3555" t="s">
        <v>75</v>
      </c>
      <c r="G3555">
        <v>-511.06009999999998</v>
      </c>
      <c r="H3555">
        <v>4.4050729999999998</v>
      </c>
      <c r="I3555">
        <v>152.4111</v>
      </c>
      <c r="J3555">
        <v>-317.30259999999998</v>
      </c>
      <c r="K3555">
        <v>1.1212070000000001</v>
      </c>
      <c r="L3555">
        <v>141.0548</v>
      </c>
      <c r="M3555">
        <v>-0.99987910000000002</v>
      </c>
      <c r="N3555">
        <v>-1.554522E-2</v>
      </c>
      <c r="O3555">
        <v>3.708324E-4</v>
      </c>
      <c r="P3555">
        <v>-0.97340400000000005</v>
      </c>
      <c r="Q3555">
        <v>0.22535859999999999</v>
      </c>
      <c r="R3555">
        <v>4.1206949999999999E-2</v>
      </c>
      <c r="S3555">
        <v>-3.0629879999999998</v>
      </c>
      <c r="T3555">
        <v>5.1783559999999999E-2</v>
      </c>
      <c r="U3555">
        <v>0.17907709999999999</v>
      </c>
      <c r="V3555">
        <v>4.074494E-2</v>
      </c>
      <c r="W3555">
        <v>0.24048069999999999</v>
      </c>
      <c r="X3555">
        <v>0.96979839999999995</v>
      </c>
      <c r="Y3555">
        <v>5.7994480000000001E-2</v>
      </c>
      <c r="Z3555" s="1">
        <v>-2.6574999999999999E-5</v>
      </c>
      <c r="AA3555">
        <v>0.99831689999999995</v>
      </c>
      <c r="AB3555">
        <v>45</v>
      </c>
      <c r="AC3555">
        <v>-193.75749999999999</v>
      </c>
      <c r="AD3555">
        <v>3.2838660000000002</v>
      </c>
      <c r="AE3555">
        <v>11.356299999999999</v>
      </c>
      <c r="AF3555">
        <v>11.2812095899881</v>
      </c>
      <c r="AG3555">
        <v>3.2838660000000002</v>
      </c>
      <c r="AH3555">
        <v>193.706247632215</v>
      </c>
      <c r="AI3555">
        <v>89.030410935636695</v>
      </c>
      <c r="AJ3555">
        <v>86.666930374908702</v>
      </c>
      <c r="AK3555">
        <v>194.06225763262799</v>
      </c>
      <c r="AL3555">
        <v>76.085086989462496</v>
      </c>
      <c r="AM3555">
        <v>87.594200037933703</v>
      </c>
      <c r="AN3555">
        <v>1.00000002692532</v>
      </c>
    </row>
    <row r="3556" spans="1:40" x14ac:dyDescent="0.25">
      <c r="A3556" t="str">
        <f>"20190303170839217"</f>
        <v>20190303170839217</v>
      </c>
      <c r="B3556" t="str">
        <f>"1551604119206783"</f>
        <v>1551604119206783</v>
      </c>
      <c r="C3556" t="s">
        <v>40</v>
      </c>
      <c r="D3556">
        <v>4.8238789999999998</v>
      </c>
      <c r="E3556">
        <v>0.51219729999999997</v>
      </c>
      <c r="F3556" t="s">
        <v>75</v>
      </c>
      <c r="G3556">
        <v>-511.06</v>
      </c>
      <c r="H3556">
        <v>4.0433120000000002</v>
      </c>
      <c r="I3556">
        <v>152.35310000000001</v>
      </c>
      <c r="J3556">
        <v>-317.74930000000001</v>
      </c>
      <c r="K3556">
        <v>1.121218</v>
      </c>
      <c r="L3556">
        <v>141.0548</v>
      </c>
      <c r="M3556">
        <v>-0.99987919999999997</v>
      </c>
      <c r="N3556">
        <v>-1.55461E-2</v>
      </c>
      <c r="O3556">
        <v>2.00872E-4</v>
      </c>
      <c r="P3556">
        <v>-0.97307049999999995</v>
      </c>
      <c r="Q3556">
        <v>0.22678010000000001</v>
      </c>
      <c r="R3556">
        <v>4.1289869999999999E-2</v>
      </c>
      <c r="S3556">
        <v>-3.0637210000000001</v>
      </c>
      <c r="T3556">
        <v>4.6205400000000001E-2</v>
      </c>
      <c r="U3556">
        <v>0.1786499</v>
      </c>
      <c r="V3556">
        <v>4.0990199999999997E-2</v>
      </c>
      <c r="W3556">
        <v>0.24189820000000001</v>
      </c>
      <c r="X3556">
        <v>0.96943550000000001</v>
      </c>
      <c r="Y3556">
        <v>5.8012290000000001E-2</v>
      </c>
      <c r="Z3556" s="1">
        <v>2.0429079999999999E-5</v>
      </c>
      <c r="AA3556">
        <v>0.99831590000000003</v>
      </c>
      <c r="AB3556">
        <v>45</v>
      </c>
      <c r="AC3556">
        <v>-193.3107</v>
      </c>
      <c r="AD3556">
        <v>2.922094</v>
      </c>
      <c r="AE3556">
        <v>11.298299999999999</v>
      </c>
      <c r="AF3556">
        <v>11.256900986144499</v>
      </c>
      <c r="AG3556">
        <v>2.922094</v>
      </c>
      <c r="AH3556">
        <v>193.26895524704699</v>
      </c>
      <c r="AI3556">
        <v>89.135258455294604</v>
      </c>
      <c r="AJ3556">
        <v>86.666588015314403</v>
      </c>
      <c r="AK3556">
        <v>193.618556743515</v>
      </c>
      <c r="AL3556">
        <v>76.001400104315906</v>
      </c>
      <c r="AM3556">
        <v>87.578830812646601</v>
      </c>
      <c r="AN3556">
        <v>1.00000006215976</v>
      </c>
    </row>
    <row r="3557" spans="1:40" x14ac:dyDescent="0.25">
      <c r="A3557" t="str">
        <f>"20190303170839238"</f>
        <v>20190303170839238</v>
      </c>
      <c r="B3557" t="str">
        <f>"1551604119227279"</f>
        <v>1551604119227279</v>
      </c>
      <c r="C3557" t="s">
        <v>40</v>
      </c>
      <c r="D3557">
        <v>4.7286729999999997</v>
      </c>
      <c r="E3557">
        <v>0.54195959999999999</v>
      </c>
      <c r="F3557" t="s">
        <v>75</v>
      </c>
      <c r="G3557">
        <v>-511.06009999999998</v>
      </c>
      <c r="H3557">
        <v>4.2259399999999996</v>
      </c>
      <c r="I3557">
        <v>152.40520000000001</v>
      </c>
      <c r="J3557">
        <v>-318.17200000000003</v>
      </c>
      <c r="K3557">
        <v>1.121227</v>
      </c>
      <c r="L3557">
        <v>141.0548</v>
      </c>
      <c r="M3557">
        <v>-0.99987919999999997</v>
      </c>
      <c r="N3557">
        <v>-1.554616E-2</v>
      </c>
      <c r="O3557" s="1">
        <v>3.7317270000000001E-5</v>
      </c>
      <c r="P3557">
        <v>-0.97268810000000006</v>
      </c>
      <c r="Q3557">
        <v>0.22832160000000001</v>
      </c>
      <c r="R3557">
        <v>4.1799219999999998E-2</v>
      </c>
      <c r="S3557">
        <v>-3.0639340000000002</v>
      </c>
      <c r="T3557">
        <v>4.9209830000000003E-2</v>
      </c>
      <c r="U3557">
        <v>0.17990110000000001</v>
      </c>
      <c r="V3557">
        <v>4.1655989999999997E-2</v>
      </c>
      <c r="W3557">
        <v>0.24343400000000001</v>
      </c>
      <c r="X3557">
        <v>0.96902250000000001</v>
      </c>
      <c r="Y3557">
        <v>5.857731E-2</v>
      </c>
      <c r="Z3557" s="1">
        <v>-1.3045380000000001E-5</v>
      </c>
      <c r="AA3557">
        <v>0.99828280000000003</v>
      </c>
      <c r="AB3557">
        <v>45</v>
      </c>
      <c r="AC3557">
        <v>-192.88809999999901</v>
      </c>
      <c r="AD3557">
        <v>3.1047129999999998</v>
      </c>
      <c r="AE3557">
        <v>11.3504</v>
      </c>
      <c r="AF3557">
        <v>11.340273177940199</v>
      </c>
      <c r="AG3557">
        <v>3.1047129999999998</v>
      </c>
      <c r="AH3557">
        <v>192.83873543441999</v>
      </c>
      <c r="AI3557">
        <v>89.079205388988299</v>
      </c>
      <c r="AJ3557">
        <v>86.634481460421696</v>
      </c>
      <c r="AK3557">
        <v>193.19683983572</v>
      </c>
      <c r="AL3557">
        <v>75.910692694862107</v>
      </c>
      <c r="AM3557">
        <v>87.538505162161997</v>
      </c>
      <c r="AN3557">
        <v>0.99999996968256399</v>
      </c>
    </row>
    <row r="3558" spans="1:40" x14ac:dyDescent="0.25">
      <c r="A3558" t="str">
        <f>"20190303170839260"</f>
        <v>20190303170839260</v>
      </c>
      <c r="B3558" t="str">
        <f>"1551604119246799"</f>
        <v>1551604119246799</v>
      </c>
      <c r="C3558" t="s">
        <v>40</v>
      </c>
      <c r="D3558">
        <v>4.7399909999999998</v>
      </c>
      <c r="E3558">
        <v>0.54427680000000001</v>
      </c>
      <c r="F3558" t="s">
        <v>46</v>
      </c>
      <c r="G3558">
        <v>-472.68959999999998</v>
      </c>
      <c r="H3558">
        <v>-0.05</v>
      </c>
      <c r="I3558">
        <v>161.8794</v>
      </c>
      <c r="J3558">
        <v>-318.61709999999999</v>
      </c>
      <c r="K3558">
        <v>1.121232</v>
      </c>
      <c r="L3558">
        <v>141.05459999999999</v>
      </c>
      <c r="M3558">
        <v>-0.99987919999999997</v>
      </c>
      <c r="N3558">
        <v>-1.554553E-2</v>
      </c>
      <c r="O3558">
        <v>-1.3736689999999999E-4</v>
      </c>
      <c r="P3558">
        <v>-0.97275310000000004</v>
      </c>
      <c r="Q3558">
        <v>0.2281252</v>
      </c>
      <c r="R3558">
        <v>4.136024E-2</v>
      </c>
      <c r="S3558">
        <v>-3.071869</v>
      </c>
      <c r="T3558">
        <v>-2.328444E-2</v>
      </c>
      <c r="U3558">
        <v>0.41400150000000002</v>
      </c>
      <c r="V3558">
        <v>4.13853E-2</v>
      </c>
      <c r="W3558">
        <v>0.24323790000000001</v>
      </c>
      <c r="X3558">
        <v>0.96908340000000004</v>
      </c>
      <c r="Y3558">
        <v>0.1336888</v>
      </c>
      <c r="Z3558">
        <v>1.547213E-3</v>
      </c>
      <c r="AA3558">
        <v>0.99102219999999996</v>
      </c>
      <c r="AB3558">
        <v>45</v>
      </c>
      <c r="AC3558">
        <v>-154.07249999999999</v>
      </c>
      <c r="AD3558">
        <v>-1.1712320000000001</v>
      </c>
      <c r="AE3558">
        <v>20.8248</v>
      </c>
      <c r="AF3558">
        <v>20.844783860658598</v>
      </c>
      <c r="AG3558">
        <v>-1.1712320000000001</v>
      </c>
      <c r="AH3558">
        <v>154.06089446004501</v>
      </c>
      <c r="AI3558">
        <v>90.431643922985799</v>
      </c>
      <c r="AJ3558">
        <v>82.294545884036097</v>
      </c>
      <c r="AK3558">
        <v>155.46908374472599</v>
      </c>
      <c r="AL3558">
        <v>75.922277417619696</v>
      </c>
      <c r="AM3558">
        <v>87.554634523606296</v>
      </c>
      <c r="AN3558">
        <v>1.00000002760402</v>
      </c>
    </row>
    <row r="3559" spans="1:40" x14ac:dyDescent="0.25">
      <c r="A3559" t="str">
        <f>"20190303170839282"</f>
        <v>20190303170839282</v>
      </c>
      <c r="B3559" t="str">
        <f>"1551604119277055"</f>
        <v>1551604119277055</v>
      </c>
      <c r="C3559" t="s">
        <v>40</v>
      </c>
      <c r="D3559">
        <v>4.7359249999999999</v>
      </c>
      <c r="E3559">
        <v>0.54595159999999998</v>
      </c>
      <c r="F3559" t="s">
        <v>46</v>
      </c>
      <c r="G3559">
        <v>-465.0958</v>
      </c>
      <c r="H3559">
        <v>-0.05</v>
      </c>
      <c r="I3559">
        <v>161.59790000000001</v>
      </c>
      <c r="J3559">
        <v>-319.07240000000002</v>
      </c>
      <c r="K3559">
        <v>1.121237</v>
      </c>
      <c r="L3559">
        <v>141.05439999999999</v>
      </c>
      <c r="M3559">
        <v>-0.99987919999999997</v>
      </c>
      <c r="N3559">
        <v>-1.554433E-2</v>
      </c>
      <c r="O3559">
        <v>-3.1704759999999998E-4</v>
      </c>
      <c r="P3559">
        <v>-0.97309120000000005</v>
      </c>
      <c r="Q3559">
        <v>0.22673589999999999</v>
      </c>
      <c r="R3559">
        <v>4.104178E-2</v>
      </c>
      <c r="S3559">
        <v>-3.0715029999999999</v>
      </c>
      <c r="T3559">
        <v>-2.4559500000000001E-2</v>
      </c>
      <c r="U3559">
        <v>0.43077090000000001</v>
      </c>
      <c r="V3559">
        <v>4.1240640000000002E-2</v>
      </c>
      <c r="W3559">
        <v>0.24185329999999999</v>
      </c>
      <c r="X3559">
        <v>0.96943599999999996</v>
      </c>
      <c r="Y3559">
        <v>0.13918929999999999</v>
      </c>
      <c r="Z3559">
        <v>1.6385589999999999E-3</v>
      </c>
      <c r="AA3559">
        <v>0.99026440000000004</v>
      </c>
      <c r="AB3559">
        <v>45</v>
      </c>
      <c r="AC3559">
        <v>-146.02339999999899</v>
      </c>
      <c r="AD3559">
        <v>-1.1712370000000001</v>
      </c>
      <c r="AE3559">
        <v>20.543500000000002</v>
      </c>
      <c r="AF3559">
        <v>20.588502081106601</v>
      </c>
      <c r="AG3559">
        <v>-1.1712370000000001</v>
      </c>
      <c r="AH3559">
        <v>146.007667570053</v>
      </c>
      <c r="AI3559">
        <v>90.455100470192903</v>
      </c>
      <c r="AJ3559">
        <v>81.973656233816698</v>
      </c>
      <c r="AK3559">
        <v>147.45676384385101</v>
      </c>
      <c r="AL3559">
        <v>76.0040502873414</v>
      </c>
      <c r="AM3559">
        <v>87.564057086916094</v>
      </c>
      <c r="AN3559">
        <v>0.99999998360224895</v>
      </c>
    </row>
    <row r="3560" spans="1:40" x14ac:dyDescent="0.25">
      <c r="A3560" t="str">
        <f>"20190303170839309"</f>
        <v>20190303170839309</v>
      </c>
      <c r="B3560" t="str">
        <f>"1551604119296575"</f>
        <v>1551604119296575</v>
      </c>
      <c r="C3560" t="s">
        <v>40</v>
      </c>
      <c r="D3560">
        <v>4.72262</v>
      </c>
      <c r="E3560">
        <v>0.54628290000000002</v>
      </c>
      <c r="F3560" t="s">
        <v>46</v>
      </c>
      <c r="G3560">
        <v>-461.88229999999999</v>
      </c>
      <c r="H3560">
        <v>-0.05</v>
      </c>
      <c r="I3560">
        <v>161.68600000000001</v>
      </c>
      <c r="J3560">
        <v>-319.59429999999998</v>
      </c>
      <c r="K3560">
        <v>1.1212439999999999</v>
      </c>
      <c r="L3560">
        <v>141.05410000000001</v>
      </c>
      <c r="M3560">
        <v>-0.99987919999999997</v>
      </c>
      <c r="N3560">
        <v>-1.55423E-2</v>
      </c>
      <c r="O3560">
        <v>-5.2342169999999996E-4</v>
      </c>
      <c r="P3560">
        <v>-0.97333210000000003</v>
      </c>
      <c r="Q3560">
        <v>0.22573470000000001</v>
      </c>
      <c r="R3560">
        <v>4.0848719999999998E-2</v>
      </c>
      <c r="S3560">
        <v>-3.07016</v>
      </c>
      <c r="T3560">
        <v>-2.5179509999999999E-2</v>
      </c>
      <c r="U3560">
        <v>0.44354250000000001</v>
      </c>
      <c r="V3560">
        <v>4.1247409999999998E-2</v>
      </c>
      <c r="W3560">
        <v>0.24085419999999999</v>
      </c>
      <c r="X3560">
        <v>0.9696844</v>
      </c>
      <c r="Y3560">
        <v>0.14348859999999999</v>
      </c>
      <c r="Z3560">
        <v>1.702481E-3</v>
      </c>
      <c r="AA3560">
        <v>0.98965049999999999</v>
      </c>
      <c r="AB3560">
        <v>45</v>
      </c>
      <c r="AC3560">
        <v>-142.28799999999899</v>
      </c>
      <c r="AD3560">
        <v>-1.171244</v>
      </c>
      <c r="AE3560">
        <v>20.631900000000002</v>
      </c>
      <c r="AF3560">
        <v>20.705008754668199</v>
      </c>
      <c r="AG3560">
        <v>-1.171244</v>
      </c>
      <c r="AH3560">
        <v>142.26773879608101</v>
      </c>
      <c r="AI3560">
        <v>90.466769746630206</v>
      </c>
      <c r="AJ3560">
        <v>81.719564082720296</v>
      </c>
      <c r="AK3560">
        <v>143.77127217281</v>
      </c>
      <c r="AL3560">
        <v>76.0630380930629</v>
      </c>
      <c r="AM3560">
        <v>87.5642810439615</v>
      </c>
      <c r="AN3560">
        <v>0.99999996504635302</v>
      </c>
    </row>
    <row r="3561" spans="1:40" x14ac:dyDescent="0.25">
      <c r="A3561" t="str">
        <f>"20190303170839330"</f>
        <v>20190303170839330</v>
      </c>
      <c r="B3561" t="str">
        <f>"1551604119317071"</f>
        <v>1551604119317071</v>
      </c>
      <c r="C3561" t="s">
        <v>40</v>
      </c>
      <c r="D3561">
        <v>4.7215069999999999</v>
      </c>
      <c r="E3561">
        <v>0.54671040000000004</v>
      </c>
      <c r="F3561" t="s">
        <v>58</v>
      </c>
      <c r="G3561">
        <v>-432.91809999999998</v>
      </c>
      <c r="H3561">
        <v>7.9980540000000003E-2</v>
      </c>
      <c r="I3561">
        <v>157.50479999999999</v>
      </c>
      <c r="J3561">
        <v>-320.0265</v>
      </c>
      <c r="K3561">
        <v>1.121248</v>
      </c>
      <c r="L3561">
        <v>141.05369999999999</v>
      </c>
      <c r="M3561">
        <v>-0.99987899999999996</v>
      </c>
      <c r="N3561">
        <v>-1.554003E-2</v>
      </c>
      <c r="O3561">
        <v>-6.9401700000000001E-4</v>
      </c>
      <c r="P3561">
        <v>-0.97321210000000002</v>
      </c>
      <c r="Q3561">
        <v>0.2263097</v>
      </c>
      <c r="R3561">
        <v>4.0521290000000001E-2</v>
      </c>
      <c r="S3561">
        <v>-3.0700379999999998</v>
      </c>
      <c r="T3561">
        <v>-2.8208730000000001E-2</v>
      </c>
      <c r="U3561">
        <v>0.44566349999999999</v>
      </c>
      <c r="V3561">
        <v>4.108473E-2</v>
      </c>
      <c r="W3561">
        <v>0.24142479999999999</v>
      </c>
      <c r="X3561">
        <v>0.96954940000000001</v>
      </c>
      <c r="Y3561">
        <v>0.14433019999999999</v>
      </c>
      <c r="Z3561">
        <v>1.7826509999999999E-3</v>
      </c>
      <c r="AA3561">
        <v>0.98952799999999996</v>
      </c>
      <c r="AB3561">
        <v>45</v>
      </c>
      <c r="AC3561">
        <v>-112.891599999999</v>
      </c>
      <c r="AD3561">
        <v>-1.04126746</v>
      </c>
      <c r="AE3561">
        <v>16.451099999999901</v>
      </c>
      <c r="AF3561">
        <v>16.528077304102101</v>
      </c>
      <c r="AG3561">
        <v>-1.04126746</v>
      </c>
      <c r="AH3561">
        <v>112.87075129320699</v>
      </c>
      <c r="AI3561">
        <v>90.522979207524699</v>
      </c>
      <c r="AJ3561">
        <v>81.669177976903796</v>
      </c>
      <c r="AK3561">
        <v>114.07921841767001</v>
      </c>
      <c r="AL3561">
        <v>76.029351015957005</v>
      </c>
      <c r="AM3561">
        <v>87.573538621069901</v>
      </c>
      <c r="AN3561">
        <v>0.99999996406728497</v>
      </c>
    </row>
    <row r="3562" spans="1:40" x14ac:dyDescent="0.25">
      <c r="A3562" t="str">
        <f>"20190303170839348"</f>
        <v>20190303170839348</v>
      </c>
      <c r="B3562" t="str">
        <f>"1551604119336591"</f>
        <v>1551604119336591</v>
      </c>
      <c r="C3562" t="s">
        <v>40</v>
      </c>
      <c r="D3562">
        <v>4.7453500000000002</v>
      </c>
      <c r="E3562">
        <v>0.54721309999999901</v>
      </c>
      <c r="F3562" t="s">
        <v>46</v>
      </c>
      <c r="G3562">
        <v>-460.9316</v>
      </c>
      <c r="H3562">
        <v>-0.05</v>
      </c>
      <c r="I3562">
        <v>161.64420000000001</v>
      </c>
      <c r="J3562">
        <v>-320.40219999999999</v>
      </c>
      <c r="K3562">
        <v>1.121259</v>
      </c>
      <c r="L3562">
        <v>141.05340000000001</v>
      </c>
      <c r="M3562">
        <v>-0.99987890000000001</v>
      </c>
      <c r="N3562">
        <v>-1.553773E-2</v>
      </c>
      <c r="O3562">
        <v>-8.4278869999999896E-4</v>
      </c>
      <c r="P3562">
        <v>-0.97308419999999896</v>
      </c>
      <c r="Q3562">
        <v>0.226881</v>
      </c>
      <c r="R3562">
        <v>4.040494E-2</v>
      </c>
      <c r="S3562">
        <v>-3.0698240000000001</v>
      </c>
      <c r="T3562">
        <v>-2.5517339999999999E-2</v>
      </c>
      <c r="U3562">
        <v>0.44859310000000002</v>
      </c>
      <c r="V3562">
        <v>4.1112080000000002E-2</v>
      </c>
      <c r="W3562">
        <v>0.2419916</v>
      </c>
      <c r="X3562">
        <v>0.96940700000000002</v>
      </c>
      <c r="Y3562">
        <v>0.14541379999999901</v>
      </c>
      <c r="Z3562">
        <v>1.7308950000000001E-3</v>
      </c>
      <c r="AA3562">
        <v>0.98936939999999995</v>
      </c>
      <c r="AB3562">
        <v>45</v>
      </c>
      <c r="AC3562">
        <v>-140.52940000000001</v>
      </c>
      <c r="AD3562">
        <v>-1.1712590000000001</v>
      </c>
      <c r="AE3562">
        <v>20.590800000000002</v>
      </c>
      <c r="AF3562">
        <v>20.7078353241161</v>
      </c>
      <c r="AG3562">
        <v>-1.1712590000000001</v>
      </c>
      <c r="AH3562">
        <v>140.50243930179499</v>
      </c>
      <c r="AI3562">
        <v>90.472514859990298</v>
      </c>
      <c r="AJ3562">
        <v>81.615868383095901</v>
      </c>
      <c r="AK3562">
        <v>142.025074339746</v>
      </c>
      <c r="AL3562">
        <v>75.995884426173603</v>
      </c>
      <c r="AM3562">
        <v>87.571569022033401</v>
      </c>
      <c r="AN3562">
        <v>1.0000000346207401</v>
      </c>
    </row>
    <row r="3563" spans="1:40" x14ac:dyDescent="0.25">
      <c r="A3563" t="str">
        <f>"20190303170839373"</f>
        <v>20190303170839373</v>
      </c>
      <c r="B3563" t="str">
        <f>"1551604119366847"</f>
        <v>1551604119366847</v>
      </c>
      <c r="C3563" t="s">
        <v>40</v>
      </c>
      <c r="D3563">
        <v>4.7233479999999997</v>
      </c>
      <c r="E3563">
        <v>0.5476915</v>
      </c>
      <c r="F3563" t="s">
        <v>46</v>
      </c>
      <c r="G3563">
        <v>-469.81240000000003</v>
      </c>
      <c r="H3563">
        <v>-0.05</v>
      </c>
      <c r="I3563">
        <v>163.0582</v>
      </c>
      <c r="J3563">
        <v>-320.8691</v>
      </c>
      <c r="K3563">
        <v>1.121262</v>
      </c>
      <c r="L3563">
        <v>141.05279999999999</v>
      </c>
      <c r="M3563">
        <v>-0.99987890000000001</v>
      </c>
      <c r="N3563">
        <v>-1.55345E-2</v>
      </c>
      <c r="O3563">
        <v>-1.0276689999999999E-3</v>
      </c>
      <c r="P3563">
        <v>-0.97315510000000005</v>
      </c>
      <c r="Q3563">
        <v>0.22664480000000001</v>
      </c>
      <c r="R3563">
        <v>4.001942E-2</v>
      </c>
      <c r="S3563">
        <v>-3.0698240000000001</v>
      </c>
      <c r="T3563">
        <v>-2.4065019999999999E-2</v>
      </c>
      <c r="U3563">
        <v>0.45211790000000002</v>
      </c>
      <c r="V3563">
        <v>4.0905829999999997E-2</v>
      </c>
      <c r="W3563">
        <v>0.24175340000000001</v>
      </c>
      <c r="X3563">
        <v>0.96947519999999998</v>
      </c>
      <c r="Y3563">
        <v>0.1467097</v>
      </c>
      <c r="Z3563">
        <v>1.709849E-3</v>
      </c>
      <c r="AA3563">
        <v>0.98917809999999995</v>
      </c>
      <c r="AB3563">
        <v>45</v>
      </c>
      <c r="AC3563">
        <v>-148.94329999999999</v>
      </c>
      <c r="AD3563">
        <v>-1.171262</v>
      </c>
      <c r="AE3563">
        <v>22.005400000000002</v>
      </c>
      <c r="AF3563">
        <v>22.157130330098699</v>
      </c>
      <c r="AG3563">
        <v>-1.171262</v>
      </c>
      <c r="AH3563">
        <v>148.91159242747801</v>
      </c>
      <c r="AI3563">
        <v>90.445742768852398</v>
      </c>
      <c r="AJ3563">
        <v>81.536832480109695</v>
      </c>
      <c r="AK3563">
        <v>150.55554668767601</v>
      </c>
      <c r="AL3563">
        <v>76.009950536852003</v>
      </c>
      <c r="AM3563">
        <v>87.5839072111186</v>
      </c>
      <c r="AN3563">
        <v>1.00000007837729</v>
      </c>
    </row>
    <row r="3564" spans="1:40" x14ac:dyDescent="0.25">
      <c r="A3564" t="str">
        <f>"20190303170839396"</f>
        <v>20190303170839396</v>
      </c>
      <c r="B3564" t="str">
        <f>"1551604119387344"</f>
        <v>1551604119387344</v>
      </c>
      <c r="C3564" t="s">
        <v>40</v>
      </c>
      <c r="D3564">
        <v>4.7406300000000003</v>
      </c>
      <c r="E3564">
        <v>0.54802139999999999</v>
      </c>
      <c r="F3564" t="s">
        <v>46</v>
      </c>
      <c r="G3564">
        <v>-464.7167</v>
      </c>
      <c r="H3564">
        <v>-0.05</v>
      </c>
      <c r="I3564">
        <v>162.35599999999999</v>
      </c>
      <c r="J3564">
        <v>-321.34300000000002</v>
      </c>
      <c r="K3564">
        <v>1.121264</v>
      </c>
      <c r="L3564">
        <v>141.0522</v>
      </c>
      <c r="M3564">
        <v>-0.99987870000000001</v>
      </c>
      <c r="N3564">
        <v>-1.553093E-2</v>
      </c>
      <c r="O3564">
        <v>-1.215402E-3</v>
      </c>
      <c r="P3564">
        <v>-0.97341540000000004</v>
      </c>
      <c r="Q3564">
        <v>0.22561819999999999</v>
      </c>
      <c r="R3564">
        <v>3.948567E-2</v>
      </c>
      <c r="S3564">
        <v>-3.0698850000000002</v>
      </c>
      <c r="T3564">
        <v>-2.499616E-2</v>
      </c>
      <c r="U3564">
        <v>0.45463559999999997</v>
      </c>
      <c r="V3564">
        <v>4.0555040000000001E-2</v>
      </c>
      <c r="W3564">
        <v>0.24072750000000001</v>
      </c>
      <c r="X3564">
        <v>0.96974510000000003</v>
      </c>
      <c r="Y3564">
        <v>0.1476857</v>
      </c>
      <c r="Z3564">
        <v>1.7422449999999999E-3</v>
      </c>
      <c r="AA3564">
        <v>0.98903280000000005</v>
      </c>
      <c r="AB3564">
        <v>45</v>
      </c>
      <c r="AC3564">
        <v>-143.37370000000001</v>
      </c>
      <c r="AD3564">
        <v>-1.1712639999999901</v>
      </c>
      <c r="AE3564">
        <v>21.303799999999899</v>
      </c>
      <c r="AF3564">
        <v>21.4766596152209</v>
      </c>
      <c r="AG3564">
        <v>-1.1712639999999901</v>
      </c>
      <c r="AH3564">
        <v>143.33833886261399</v>
      </c>
      <c r="AI3564">
        <v>90.463003901554302</v>
      </c>
      <c r="AJ3564">
        <v>81.4786525560624</v>
      </c>
      <c r="AK3564">
        <v>144.94308591816099</v>
      </c>
      <c r="AL3564">
        <v>76.070518029202901</v>
      </c>
      <c r="AM3564">
        <v>87.605268209449605</v>
      </c>
      <c r="AN3564">
        <v>0.99999999974983</v>
      </c>
    </row>
    <row r="3565" spans="1:40" x14ac:dyDescent="0.25">
      <c r="A3565" t="str">
        <f>"20190303170839417"</f>
        <v>20190303170839417</v>
      </c>
      <c r="B3565" t="str">
        <f>"1551604119406863"</f>
        <v>1551604119406863</v>
      </c>
      <c r="C3565" t="s">
        <v>40</v>
      </c>
      <c r="D3565">
        <v>4.7136089999999999</v>
      </c>
      <c r="E3565">
        <v>0.54826070000000005</v>
      </c>
      <c r="F3565" t="s">
        <v>46</v>
      </c>
      <c r="G3565">
        <v>-455.30849999999998</v>
      </c>
      <c r="H3565">
        <v>-0.05</v>
      </c>
      <c r="I3565">
        <v>160.98079999999999</v>
      </c>
      <c r="J3565">
        <v>-321.76670000000001</v>
      </c>
      <c r="K3565">
        <v>1.121259</v>
      </c>
      <c r="L3565">
        <v>141.0515</v>
      </c>
      <c r="M3565">
        <v>-0.99987839999999995</v>
      </c>
      <c r="N3565">
        <v>-1.5527539999999999E-2</v>
      </c>
      <c r="O3565">
        <v>-1.3835780000000001E-3</v>
      </c>
      <c r="P3565">
        <v>-0.97361520000000001</v>
      </c>
      <c r="Q3565">
        <v>0.22492119999999999</v>
      </c>
      <c r="R3565">
        <v>3.851914E-2</v>
      </c>
      <c r="S3565">
        <v>-3.0696110000000001</v>
      </c>
      <c r="T3565">
        <v>-2.6837710000000001E-2</v>
      </c>
      <c r="U3565">
        <v>0.4566345</v>
      </c>
      <c r="V3565">
        <v>3.9752429999999998E-2</v>
      </c>
      <c r="W3565">
        <v>0.24002989999999999</v>
      </c>
      <c r="X3565">
        <v>0.96995120000000001</v>
      </c>
      <c r="Y3565">
        <v>0.1484934</v>
      </c>
      <c r="Z3565">
        <v>1.795549E-3</v>
      </c>
      <c r="AA3565">
        <v>0.98891169999999995</v>
      </c>
      <c r="AB3565">
        <v>45</v>
      </c>
      <c r="AC3565">
        <v>-133.541799999999</v>
      </c>
      <c r="AD3565">
        <v>-1.1712590000000001</v>
      </c>
      <c r="AE3565">
        <v>19.929299999999898</v>
      </c>
      <c r="AF3565">
        <v>20.112555244897301</v>
      </c>
      <c r="AG3565">
        <v>-1.1712590000000001</v>
      </c>
      <c r="AH3565">
        <v>133.50404893344299</v>
      </c>
      <c r="AI3565">
        <v>90.497046481386107</v>
      </c>
      <c r="AJ3565">
        <v>81.432743668573494</v>
      </c>
      <c r="AK3565">
        <v>135.01562060645901</v>
      </c>
      <c r="AL3565">
        <v>76.111694476803194</v>
      </c>
      <c r="AM3565">
        <v>87.653106150165897</v>
      </c>
      <c r="AN3565">
        <v>0.99999996948317704</v>
      </c>
    </row>
    <row r="3566" spans="1:40" x14ac:dyDescent="0.25">
      <c r="A3566" t="str">
        <f>"20190303170839441"</f>
        <v>20190303170839441</v>
      </c>
      <c r="B3566" t="str">
        <f>"1551604119426383"</f>
        <v>1551604119426383</v>
      </c>
      <c r="C3566" t="s">
        <v>40</v>
      </c>
      <c r="D3566">
        <v>4.7234030000000002</v>
      </c>
      <c r="E3566">
        <v>0.54846980000000001</v>
      </c>
      <c r="F3566" t="s">
        <v>58</v>
      </c>
      <c r="G3566">
        <v>-430.8451</v>
      </c>
      <c r="H3566">
        <v>7.9980839999999997E-2</v>
      </c>
      <c r="I3566">
        <v>157.221</v>
      </c>
      <c r="J3566">
        <v>-322.221</v>
      </c>
      <c r="K3566">
        <v>1.1212599999999999</v>
      </c>
      <c r="L3566">
        <v>141.05070000000001</v>
      </c>
      <c r="M3566">
        <v>-0.99987839999999995</v>
      </c>
      <c r="N3566">
        <v>-1.552366E-2</v>
      </c>
      <c r="O3566">
        <v>-1.5647390000000001E-3</v>
      </c>
      <c r="P3566">
        <v>-0.97378339999999997</v>
      </c>
      <c r="Q3566">
        <v>0.22427630000000001</v>
      </c>
      <c r="R3566">
        <v>3.8029790000000001E-2</v>
      </c>
      <c r="S3566">
        <v>-3.0700379999999998</v>
      </c>
      <c r="T3566">
        <v>-2.9307010000000001E-2</v>
      </c>
      <c r="U3566">
        <v>0.45509339999999998</v>
      </c>
      <c r="V3566">
        <v>3.9440049999999997E-2</v>
      </c>
      <c r="W3566">
        <v>0.2393837</v>
      </c>
      <c r="X3566">
        <v>0.97012359999999997</v>
      </c>
      <c r="Y3566">
        <v>0.14816489999999999</v>
      </c>
      <c r="Z3566">
        <v>1.8504579999999999E-3</v>
      </c>
      <c r="AA3566">
        <v>0.98896090000000003</v>
      </c>
      <c r="AB3566">
        <v>45</v>
      </c>
      <c r="AC3566">
        <v>-108.6241</v>
      </c>
      <c r="AD3566">
        <v>-1.04127916</v>
      </c>
      <c r="AE3566">
        <v>16.170299999999902</v>
      </c>
      <c r="AF3566">
        <v>16.3388001590023</v>
      </c>
      <c r="AG3566">
        <v>-1.04127916</v>
      </c>
      <c r="AH3566">
        <v>108.588899433039</v>
      </c>
      <c r="AI3566">
        <v>90.543287922148707</v>
      </c>
      <c r="AJ3566">
        <v>81.443194651199605</v>
      </c>
      <c r="AK3566">
        <v>109.816163350408</v>
      </c>
      <c r="AL3566">
        <v>76.149830397021603</v>
      </c>
      <c r="AM3566">
        <v>87.671941317710903</v>
      </c>
      <c r="AN3566">
        <v>0.99999993632332396</v>
      </c>
    </row>
    <row r="3567" spans="1:40" x14ac:dyDescent="0.25">
      <c r="A3567" t="str">
        <f>"20190303170839463"</f>
        <v>20190303170839463</v>
      </c>
      <c r="B3567" t="str">
        <f>"1551604119456638"</f>
        <v>1551604119456638</v>
      </c>
      <c r="C3567" t="s">
        <v>40</v>
      </c>
      <c r="D3567">
        <v>4.748869</v>
      </c>
      <c r="E3567">
        <v>0.54877779999999998</v>
      </c>
      <c r="F3567" t="s">
        <v>58</v>
      </c>
      <c r="G3567">
        <v>-429.95780000000002</v>
      </c>
      <c r="H3567">
        <v>2.629652E-2</v>
      </c>
      <c r="I3567">
        <v>157.0078</v>
      </c>
      <c r="J3567">
        <v>-322.65750000000003</v>
      </c>
      <c r="K3567">
        <v>1.121267</v>
      </c>
      <c r="L3567">
        <v>141.04990000000001</v>
      </c>
      <c r="M3567">
        <v>-0.99987800000000004</v>
      </c>
      <c r="N3567">
        <v>-1.5519720000000001E-2</v>
      </c>
      <c r="O3567">
        <v>-1.7382679999999901E-3</v>
      </c>
      <c r="P3567">
        <v>-0.97354470000000004</v>
      </c>
      <c r="Q3567">
        <v>0.22536519999999999</v>
      </c>
      <c r="R3567">
        <v>3.770478E-2</v>
      </c>
      <c r="S3567">
        <v>-3.07016</v>
      </c>
      <c r="T3567">
        <v>-3.120303E-2</v>
      </c>
      <c r="U3567">
        <v>0.4547272</v>
      </c>
      <c r="V3567">
        <v>3.9283199999999997E-2</v>
      </c>
      <c r="W3567">
        <v>0.24046509999999999</v>
      </c>
      <c r="X3567">
        <v>0.96986260000000002</v>
      </c>
      <c r="Y3567">
        <v>0.14821379999999901</v>
      </c>
      <c r="Z3567">
        <v>1.896308E-3</v>
      </c>
      <c r="AA3567">
        <v>0.98895350000000004</v>
      </c>
      <c r="AB3567">
        <v>44</v>
      </c>
      <c r="AC3567">
        <v>-107.30029999999999</v>
      </c>
      <c r="AD3567">
        <v>-1.09497048</v>
      </c>
      <c r="AE3567">
        <v>15.957899999999899</v>
      </c>
      <c r="AF3567">
        <v>16.142770364692801</v>
      </c>
      <c r="AG3567">
        <v>-1.09497048</v>
      </c>
      <c r="AH3567">
        <v>107.261467280473</v>
      </c>
      <c r="AI3567">
        <v>90.578366382674602</v>
      </c>
      <c r="AJ3567">
        <v>81.441260978978804</v>
      </c>
      <c r="AK3567">
        <v>108.474929631501</v>
      </c>
      <c r="AL3567">
        <v>76.086008130949395</v>
      </c>
      <c r="AM3567">
        <v>87.680566364633407</v>
      </c>
      <c r="AN3567">
        <v>1.0000000484995</v>
      </c>
    </row>
    <row r="3568" spans="1:40" x14ac:dyDescent="0.25">
      <c r="A3568" t="str">
        <f>"20190303170839485"</f>
        <v>20190303170839485</v>
      </c>
      <c r="B3568" t="str">
        <f>"1551604119477136"</f>
        <v>1551604119477136</v>
      </c>
      <c r="C3568" t="s">
        <v>40</v>
      </c>
      <c r="D3568">
        <v>4.812449</v>
      </c>
      <c r="E3568">
        <v>0.54886969999999902</v>
      </c>
      <c r="F3568" t="s">
        <v>46</v>
      </c>
      <c r="G3568">
        <v>-457.88350000000003</v>
      </c>
      <c r="H3568">
        <v>-0.05</v>
      </c>
      <c r="I3568">
        <v>161.16460000000001</v>
      </c>
      <c r="J3568">
        <v>-323.11270000000002</v>
      </c>
      <c r="K3568">
        <v>1.121275</v>
      </c>
      <c r="L3568">
        <v>141.0489</v>
      </c>
      <c r="M3568">
        <v>-0.99987789999999999</v>
      </c>
      <c r="N3568">
        <v>-1.551543E-2</v>
      </c>
      <c r="O3568">
        <v>-1.919781E-3</v>
      </c>
      <c r="P3568">
        <v>-0.97346549999999998</v>
      </c>
      <c r="Q3568">
        <v>0.22571669999999999</v>
      </c>
      <c r="R3568">
        <v>3.7645900000000003E-2</v>
      </c>
      <c r="S3568">
        <v>-3.0700379999999998</v>
      </c>
      <c r="T3568">
        <v>-2.6591299999999998E-2</v>
      </c>
      <c r="U3568">
        <v>0.45666499999999999</v>
      </c>
      <c r="V3568">
        <v>3.9400560000000001E-2</v>
      </c>
      <c r="W3568">
        <v>0.24081079999999999</v>
      </c>
      <c r="X3568">
        <v>0.96977199999999997</v>
      </c>
      <c r="Y3568">
        <v>0.14901349999999999</v>
      </c>
      <c r="Z3568">
        <v>1.791174E-3</v>
      </c>
      <c r="AA3568">
        <v>0.98883350000000003</v>
      </c>
      <c r="AB3568">
        <v>44</v>
      </c>
      <c r="AC3568">
        <v>-134.77080000000001</v>
      </c>
      <c r="AD3568">
        <v>-1.1712750000000001</v>
      </c>
      <c r="AE3568">
        <v>20.1157</v>
      </c>
      <c r="AF3568">
        <v>20.372919205461301</v>
      </c>
      <c r="AG3568">
        <v>-1.1712750000000001</v>
      </c>
      <c r="AH3568">
        <v>134.72197525267401</v>
      </c>
      <c r="AI3568">
        <v>90.492518507612402</v>
      </c>
      <c r="AJ3568">
        <v>81.400774985462306</v>
      </c>
      <c r="AK3568">
        <v>136.25871839284301</v>
      </c>
      <c r="AL3568">
        <v>76.065600476512799</v>
      </c>
      <c r="AM3568">
        <v>87.673427474851906</v>
      </c>
      <c r="AN3568">
        <v>0.99999998875447604</v>
      </c>
    </row>
    <row r="3569" spans="1:40" x14ac:dyDescent="0.25">
      <c r="A3569" t="str">
        <f>"20190303170839529"</f>
        <v>20190303170839529</v>
      </c>
      <c r="B3569" t="str">
        <f>"1551604119517151"</f>
        <v>1551604119517151</v>
      </c>
      <c r="C3569" t="s">
        <v>40</v>
      </c>
      <c r="D3569">
        <v>4.7792940000000002</v>
      </c>
      <c r="E3569">
        <v>0.51820959999999905</v>
      </c>
      <c r="F3569" t="s">
        <v>46</v>
      </c>
      <c r="G3569">
        <v>-463.3965</v>
      </c>
      <c r="H3569">
        <v>-0.05</v>
      </c>
      <c r="I3569">
        <v>161.9265</v>
      </c>
      <c r="J3569">
        <v>-323.97730000000001</v>
      </c>
      <c r="K3569">
        <v>1.121275</v>
      </c>
      <c r="L3569">
        <v>141.04689999999999</v>
      </c>
      <c r="M3569">
        <v>-0.99987729999999997</v>
      </c>
      <c r="N3569">
        <v>-1.550693E-2</v>
      </c>
      <c r="O3569">
        <v>-2.2640889999999999E-3</v>
      </c>
      <c r="P3569">
        <v>-0.97389539999999997</v>
      </c>
      <c r="Q3569">
        <v>0.2238713</v>
      </c>
      <c r="R3569">
        <v>3.754627E-2</v>
      </c>
      <c r="S3569">
        <v>-3.0700379999999998</v>
      </c>
      <c r="T3569">
        <v>-2.5632740000000001E-2</v>
      </c>
      <c r="U3569">
        <v>0.45689390000000002</v>
      </c>
      <c r="V3569">
        <v>3.963796E-2</v>
      </c>
      <c r="W3569">
        <v>0.23896419999999999</v>
      </c>
      <c r="X3569">
        <v>0.97021900000000005</v>
      </c>
      <c r="Y3569">
        <v>0.149426799999999</v>
      </c>
      <c r="Z3569">
        <v>1.7693100000000001E-3</v>
      </c>
      <c r="AA3569">
        <v>0.98877119999999996</v>
      </c>
      <c r="AB3569">
        <v>44</v>
      </c>
      <c r="AC3569">
        <v>-139.41919999999999</v>
      </c>
      <c r="AD3569">
        <v>-1.1712750000000001</v>
      </c>
      <c r="AE3569">
        <v>20.8796</v>
      </c>
      <c r="AF3569">
        <v>21.193778862773399</v>
      </c>
      <c r="AG3569">
        <v>-1.1712750000000001</v>
      </c>
      <c r="AH3569">
        <v>139.36194342840901</v>
      </c>
      <c r="AI3569">
        <v>90.476060821864607</v>
      </c>
      <c r="AJ3569">
        <v>81.352872225519306</v>
      </c>
      <c r="AK3569">
        <v>140.96914351641999</v>
      </c>
      <c r="AL3569">
        <v>76.174585070038603</v>
      </c>
      <c r="AM3569">
        <v>87.660501885796705</v>
      </c>
      <c r="AN3569">
        <v>0.99999998235779997</v>
      </c>
    </row>
    <row r="3570" spans="1:40" x14ac:dyDescent="0.25">
      <c r="A3570" t="str">
        <f>"20190303170839550"</f>
        <v>20190303170839550</v>
      </c>
      <c r="B3570" t="str">
        <f>"1551604119536671"</f>
        <v>1551604119536671</v>
      </c>
      <c r="C3570" t="s">
        <v>40</v>
      </c>
      <c r="D3570">
        <v>4.9501019999999896</v>
      </c>
      <c r="E3570">
        <v>0.517818</v>
      </c>
      <c r="F3570" t="s">
        <v>75</v>
      </c>
      <c r="G3570">
        <v>-511.92559999999997</v>
      </c>
      <c r="H3570">
        <v>1.1192690000000001</v>
      </c>
      <c r="I3570">
        <v>154.1559</v>
      </c>
      <c r="J3570">
        <v>-324.37900000000002</v>
      </c>
      <c r="K3570">
        <v>1.1212679999999999</v>
      </c>
      <c r="L3570">
        <v>141.04589999999999</v>
      </c>
      <c r="M3570">
        <v>-0.99987689999999996</v>
      </c>
      <c r="N3570">
        <v>-1.5502810000000001E-2</v>
      </c>
      <c r="O3570">
        <v>-2.424023E-3</v>
      </c>
      <c r="P3570">
        <v>-0.97398039999999997</v>
      </c>
      <c r="Q3570">
        <v>0.22362699999999999</v>
      </c>
      <c r="R3570">
        <v>3.6786430000000002E-2</v>
      </c>
      <c r="S3570">
        <v>-3.0722049999999999</v>
      </c>
      <c r="T3570" s="1">
        <v>-3.2067299999999997E-5</v>
      </c>
      <c r="U3570">
        <v>0.2142792</v>
      </c>
      <c r="V3570">
        <v>3.903438E-2</v>
      </c>
      <c r="W3570">
        <v>0.23871690000000001</v>
      </c>
      <c r="X3570">
        <v>0.97030439999999996</v>
      </c>
      <c r="Y3570">
        <v>7.1996580000000004E-2</v>
      </c>
      <c r="Z3570">
        <v>5.216509E-4</v>
      </c>
      <c r="AA3570">
        <v>0.99740479999999998</v>
      </c>
      <c r="AB3570">
        <v>44</v>
      </c>
      <c r="AC3570">
        <v>-187.54660000000001</v>
      </c>
      <c r="AD3570">
        <v>-1.9989999999998598E-3</v>
      </c>
      <c r="AE3570">
        <v>13.11</v>
      </c>
      <c r="AF3570">
        <v>13.564633378829599</v>
      </c>
      <c r="AG3570">
        <v>-1.9989999999998598E-3</v>
      </c>
      <c r="AH3570">
        <v>187.51426608358599</v>
      </c>
      <c r="AI3570">
        <v>90.000609211021697</v>
      </c>
      <c r="AJ3570">
        <v>85.862475848118393</v>
      </c>
      <c r="AK3570">
        <v>188.00425332306699</v>
      </c>
      <c r="AL3570">
        <v>76.189177353637206</v>
      </c>
      <c r="AM3570">
        <v>87.696290050466899</v>
      </c>
      <c r="AN3570">
        <v>1.0000000349134699</v>
      </c>
    </row>
    <row r="3571" spans="1:40" x14ac:dyDescent="0.25">
      <c r="A3571" t="str">
        <f>"20190303170839572"</f>
        <v>20190303170839572</v>
      </c>
      <c r="B3571" t="str">
        <f>"1551604119566928"</f>
        <v>1551604119566928</v>
      </c>
      <c r="C3571" t="s">
        <v>40</v>
      </c>
      <c r="D3571">
        <v>4.8308090000000004</v>
      </c>
      <c r="E3571">
        <v>0.51757449999999905</v>
      </c>
      <c r="F3571" t="s">
        <v>75</v>
      </c>
      <c r="G3571">
        <v>-511.92559999999997</v>
      </c>
      <c r="H3571">
        <v>1.3325720000000001</v>
      </c>
      <c r="I3571">
        <v>153.8775</v>
      </c>
      <c r="J3571">
        <v>-324.8372</v>
      </c>
      <c r="K3571">
        <v>1.121265</v>
      </c>
      <c r="L3571">
        <v>141.0446</v>
      </c>
      <c r="M3571">
        <v>-0.9998764</v>
      </c>
      <c r="N3571">
        <v>-1.5498069999999999E-2</v>
      </c>
      <c r="O3571">
        <v>-2.6067170000000001E-3</v>
      </c>
      <c r="P3571">
        <v>-0.97388169999999996</v>
      </c>
      <c r="Q3571">
        <v>0.22418930000000001</v>
      </c>
      <c r="R3571">
        <v>3.5966449999999997E-2</v>
      </c>
      <c r="S3571">
        <v>-3.0714419999999998</v>
      </c>
      <c r="T3571">
        <v>3.4612419999999998E-3</v>
      </c>
      <c r="U3571">
        <v>0.210144</v>
      </c>
      <c r="V3571">
        <v>3.8391799999999997E-2</v>
      </c>
      <c r="W3571">
        <v>0.2392725</v>
      </c>
      <c r="X3571">
        <v>0.97019310000000003</v>
      </c>
      <c r="Y3571">
        <v>7.0860039999999999E-2</v>
      </c>
      <c r="Z3571">
        <v>4.6660160000000002E-4</v>
      </c>
      <c r="AA3571">
        <v>0.99748619999999999</v>
      </c>
      <c r="AB3571">
        <v>44</v>
      </c>
      <c r="AC3571">
        <v>-187.08840000000001</v>
      </c>
      <c r="AD3571">
        <v>0.211306999999999</v>
      </c>
      <c r="AE3571">
        <v>12.832899999999899</v>
      </c>
      <c r="AF3571">
        <v>13.3205846176796</v>
      </c>
      <c r="AG3571">
        <v>0.211306999999999</v>
      </c>
      <c r="AH3571">
        <v>187.05407095619901</v>
      </c>
      <c r="AI3571">
        <v>89.935438925422204</v>
      </c>
      <c r="AJ3571">
        <v>85.926701586680807</v>
      </c>
      <c r="AK3571">
        <v>187.52788615694399</v>
      </c>
      <c r="AL3571">
        <v>76.156392657490002</v>
      </c>
      <c r="AM3571">
        <v>87.733913969647105</v>
      </c>
      <c r="AN3571">
        <v>0.99999995542554898</v>
      </c>
    </row>
    <row r="3572" spans="1:40" x14ac:dyDescent="0.25">
      <c r="A3572" t="str">
        <f>"20190303170839595"</f>
        <v>20190303170839595</v>
      </c>
      <c r="B3572" t="str">
        <f>"1551604119586447"</f>
        <v>1551604119586447</v>
      </c>
      <c r="C3572" t="s">
        <v>40</v>
      </c>
      <c r="D3572">
        <v>4.7009349999999896</v>
      </c>
      <c r="E3572">
        <v>0.51779589999999998</v>
      </c>
      <c r="F3572" t="s">
        <v>75</v>
      </c>
      <c r="G3572">
        <v>-511.05919999999998</v>
      </c>
      <c r="H3572">
        <v>1.529042</v>
      </c>
      <c r="I3572">
        <v>153.53649999999999</v>
      </c>
      <c r="J3572">
        <v>-325.28199999999998</v>
      </c>
      <c r="K3572">
        <v>1.12127</v>
      </c>
      <c r="L3572">
        <v>141.04329999999999</v>
      </c>
      <c r="M3572">
        <v>-0.99987610000000005</v>
      </c>
      <c r="N3572">
        <v>-1.5493369999999999E-2</v>
      </c>
      <c r="O3572">
        <v>-2.784403E-3</v>
      </c>
      <c r="P3572">
        <v>-0.97368920000000003</v>
      </c>
      <c r="Q3572">
        <v>0.22508539999999999</v>
      </c>
      <c r="R3572">
        <v>3.5580939999999998E-2</v>
      </c>
      <c r="S3572">
        <v>-3.0712890000000002</v>
      </c>
      <c r="T3572">
        <v>6.7260269999999999E-3</v>
      </c>
      <c r="U3572">
        <v>0.20602419999999999</v>
      </c>
      <c r="V3572">
        <v>3.8178620000000003E-2</v>
      </c>
      <c r="W3572">
        <v>0.24016090000000001</v>
      </c>
      <c r="X3572">
        <v>0.96998200000000001</v>
      </c>
      <c r="Y3572">
        <v>6.9709080000000007E-2</v>
      </c>
      <c r="Z3572">
        <v>4.1522059999999999E-4</v>
      </c>
      <c r="AA3572">
        <v>0.99756730000000005</v>
      </c>
      <c r="AB3572">
        <v>44</v>
      </c>
      <c r="AC3572">
        <v>-185.77719999999999</v>
      </c>
      <c r="AD3572">
        <v>0.40777199999999902</v>
      </c>
      <c r="AE3572">
        <v>12.4932</v>
      </c>
      <c r="AF3572">
        <v>13.010429845214301</v>
      </c>
      <c r="AG3572">
        <v>0.40777199999999902</v>
      </c>
      <c r="AH3572">
        <v>185.74079855461801</v>
      </c>
      <c r="AI3572">
        <v>89.8745215310433</v>
      </c>
      <c r="AJ3572">
        <v>85.993195144378305</v>
      </c>
      <c r="AK3572">
        <v>186.19635283879299</v>
      </c>
      <c r="AL3572">
        <v>76.103962610053998</v>
      </c>
      <c r="AM3572">
        <v>87.745994032438801</v>
      </c>
      <c r="AN3572">
        <v>0.99999997261895701</v>
      </c>
    </row>
    <row r="3573" spans="1:40" x14ac:dyDescent="0.25">
      <c r="A3573" t="str">
        <f>"20190303170839617"</f>
        <v>20190303170839617</v>
      </c>
      <c r="B3573" t="str">
        <f>"1551604119606942"</f>
        <v>1551604119606942</v>
      </c>
      <c r="C3573" t="s">
        <v>40</v>
      </c>
      <c r="D3573">
        <v>4.9446219999999999</v>
      </c>
      <c r="E3573">
        <v>0.51814059999999995</v>
      </c>
      <c r="F3573" t="s">
        <v>75</v>
      </c>
      <c r="G3573">
        <v>-511.05919999999998</v>
      </c>
      <c r="H3573">
        <v>1.7159770000000001</v>
      </c>
      <c r="I3573">
        <v>153.5147</v>
      </c>
      <c r="J3573">
        <v>-325.72179999999997</v>
      </c>
      <c r="K3573">
        <v>1.121281</v>
      </c>
      <c r="L3573">
        <v>141.0419</v>
      </c>
      <c r="M3573">
        <v>-0.99987570000000003</v>
      </c>
      <c r="N3573">
        <v>-1.548866E-2</v>
      </c>
      <c r="O3573">
        <v>-2.9601829999999999E-3</v>
      </c>
      <c r="P3573">
        <v>-0.97368330000000003</v>
      </c>
      <c r="Q3573">
        <v>0.2252371</v>
      </c>
      <c r="R3573">
        <v>3.4774590000000001E-2</v>
      </c>
      <c r="S3573">
        <v>-3.071259</v>
      </c>
      <c r="T3573">
        <v>9.8323820000000006E-3</v>
      </c>
      <c r="U3573">
        <v>0.20617679999999999</v>
      </c>
      <c r="V3573">
        <v>3.7543600000000003E-2</v>
      </c>
      <c r="W3573">
        <v>0.2403072</v>
      </c>
      <c r="X3573">
        <v>0.96997060000000002</v>
      </c>
      <c r="Y3573">
        <v>6.9934730000000001E-2</v>
      </c>
      <c r="Z3573">
        <v>3.7514969999999999E-4</v>
      </c>
      <c r="AA3573">
        <v>0.99755150000000004</v>
      </c>
      <c r="AB3573">
        <v>44</v>
      </c>
      <c r="AC3573">
        <v>-185.3374</v>
      </c>
      <c r="AD3573">
        <v>0.594696</v>
      </c>
      <c r="AE3573">
        <v>12.472799999999999</v>
      </c>
      <c r="AF3573">
        <v>13.021310297267</v>
      </c>
      <c r="AG3573">
        <v>0.594696</v>
      </c>
      <c r="AH3573">
        <v>185.297762374379</v>
      </c>
      <c r="AI3573">
        <v>89.816567488326896</v>
      </c>
      <c r="AJ3573">
        <v>85.980298603962197</v>
      </c>
      <c r="AK3573">
        <v>185.755669970372</v>
      </c>
      <c r="AL3573">
        <v>76.095328005492405</v>
      </c>
      <c r="AM3573">
        <v>87.783420883681899</v>
      </c>
      <c r="AN3573">
        <v>1.00000001856857</v>
      </c>
    </row>
    <row r="3574" spans="1:40" x14ac:dyDescent="0.25">
      <c r="A3574" t="str">
        <f>"20190303170839640"</f>
        <v>20190303170839640</v>
      </c>
      <c r="B3574" t="str">
        <f>"1551604119627439"</f>
        <v>1551604119627439</v>
      </c>
      <c r="C3574" t="s">
        <v>40</v>
      </c>
      <c r="D3574">
        <v>4.7284459999999999</v>
      </c>
      <c r="E3574">
        <v>0.51892199999999999</v>
      </c>
      <c r="F3574" t="s">
        <v>75</v>
      </c>
      <c r="G3574">
        <v>-511.05919999999998</v>
      </c>
      <c r="H3574">
        <v>1.7118469999999999</v>
      </c>
      <c r="I3574">
        <v>153.51429999999999</v>
      </c>
      <c r="J3574">
        <v>-326.15859999999998</v>
      </c>
      <c r="K3574">
        <v>1.121281</v>
      </c>
      <c r="L3574">
        <v>141.04040000000001</v>
      </c>
      <c r="M3574">
        <v>-0.99987519999999996</v>
      </c>
      <c r="N3574">
        <v>-1.548396E-2</v>
      </c>
      <c r="O3574">
        <v>-3.1347710000000002E-3</v>
      </c>
      <c r="P3574">
        <v>-0.97380029999999995</v>
      </c>
      <c r="Q3574">
        <v>0.2248812</v>
      </c>
      <c r="R3574">
        <v>3.3787810000000001E-2</v>
      </c>
      <c r="S3574">
        <v>-3.0714419999999998</v>
      </c>
      <c r="T3574">
        <v>9.7876790000000005E-3</v>
      </c>
      <c r="U3574">
        <v>0.20669560000000001</v>
      </c>
      <c r="V3574">
        <v>3.6727469999999998E-2</v>
      </c>
      <c r="W3574">
        <v>0.23994840000000001</v>
      </c>
      <c r="X3574">
        <v>0.97009060000000003</v>
      </c>
      <c r="Y3574">
        <v>7.0272660000000001E-2</v>
      </c>
      <c r="Z3574">
        <v>3.7438700000000001E-4</v>
      </c>
      <c r="AA3574">
        <v>0.99752779999999996</v>
      </c>
      <c r="AB3574">
        <v>44</v>
      </c>
      <c r="AC3574">
        <v>-184.9006</v>
      </c>
      <c r="AD3574">
        <v>0.59056600000000004</v>
      </c>
      <c r="AE3574">
        <v>12.473899999999899</v>
      </c>
      <c r="AF3574">
        <v>13.0533966717487</v>
      </c>
      <c r="AG3574">
        <v>0.59056600000000004</v>
      </c>
      <c r="AH3574">
        <v>184.85870650614299</v>
      </c>
      <c r="AI3574">
        <v>89.817413085542199</v>
      </c>
      <c r="AJ3574">
        <v>85.9608871165631</v>
      </c>
      <c r="AK3574">
        <v>185.319943082213</v>
      </c>
      <c r="AL3574">
        <v>76.116504480456896</v>
      </c>
      <c r="AM3574">
        <v>87.831826778175298</v>
      </c>
      <c r="AN3574">
        <v>0.99999995696175903</v>
      </c>
    </row>
    <row r="3575" spans="1:40" x14ac:dyDescent="0.25">
      <c r="A3575" t="str">
        <f>"20190303170839661"</f>
        <v>20190303170839661</v>
      </c>
      <c r="B3575" t="str">
        <f>"1551604119646959"</f>
        <v>1551604119646959</v>
      </c>
      <c r="C3575" t="s">
        <v>40</v>
      </c>
      <c r="D3575">
        <v>4.7627709999999999</v>
      </c>
      <c r="E3575">
        <v>0.51971319999999999</v>
      </c>
      <c r="F3575" t="s">
        <v>75</v>
      </c>
      <c r="G3575">
        <v>-511.92570000000001</v>
      </c>
      <c r="H3575">
        <v>1.5349159999999999</v>
      </c>
      <c r="I3575">
        <v>153.7432</v>
      </c>
      <c r="J3575">
        <v>-326.58839999999998</v>
      </c>
      <c r="K3575">
        <v>1.121286</v>
      </c>
      <c r="L3575">
        <v>141.03890000000001</v>
      </c>
      <c r="M3575">
        <v>-0.99987479999999995</v>
      </c>
      <c r="N3575">
        <v>-1.547926E-2</v>
      </c>
      <c r="O3575">
        <v>-3.3069729999999999E-3</v>
      </c>
      <c r="P3575">
        <v>-0.97389910000000002</v>
      </c>
      <c r="Q3575">
        <v>0.22447690000000001</v>
      </c>
      <c r="R3575">
        <v>3.363037E-2</v>
      </c>
      <c r="S3575">
        <v>-3.0718380000000001</v>
      </c>
      <c r="T3575">
        <v>6.8405870000000004E-3</v>
      </c>
      <c r="U3575">
        <v>0.2100525</v>
      </c>
      <c r="V3575">
        <v>3.6738470000000002E-2</v>
      </c>
      <c r="W3575">
        <v>0.23954059999999999</v>
      </c>
      <c r="X3575">
        <v>0.97019100000000003</v>
      </c>
      <c r="Y3575">
        <v>7.1520570000000006E-2</v>
      </c>
      <c r="Z3575">
        <v>4.161902E-4</v>
      </c>
      <c r="AA3575">
        <v>0.99743899999999996</v>
      </c>
      <c r="AB3575">
        <v>44</v>
      </c>
      <c r="AC3575">
        <v>-185.3373</v>
      </c>
      <c r="AD3575">
        <v>0.41363</v>
      </c>
      <c r="AE3575">
        <v>12.7042999999999</v>
      </c>
      <c r="AF3575">
        <v>13.3171433356415</v>
      </c>
      <c r="AG3575">
        <v>0.41363</v>
      </c>
      <c r="AH3575">
        <v>185.29334992424401</v>
      </c>
      <c r="AI3575">
        <v>89.872428004140005</v>
      </c>
      <c r="AJ3575">
        <v>85.889186478550698</v>
      </c>
      <c r="AK3575">
        <v>185.771749527606</v>
      </c>
      <c r="AL3575">
        <v>76.140572136168103</v>
      </c>
      <c r="AM3575">
        <v>87.831402248848093</v>
      </c>
      <c r="AN3575">
        <v>0.99999999535365003</v>
      </c>
    </row>
    <row r="3576" spans="1:40" x14ac:dyDescent="0.25">
      <c r="A3576" t="str">
        <f>"20190303170839686"</f>
        <v>20190303170839686</v>
      </c>
      <c r="B3576" t="str">
        <f>"1551604119677215"</f>
        <v>1551604119677215</v>
      </c>
      <c r="C3576" t="s">
        <v>40</v>
      </c>
      <c r="D3576">
        <v>4.7413589999999903</v>
      </c>
      <c r="E3576">
        <v>0.52015389999999995</v>
      </c>
      <c r="F3576" t="s">
        <v>75</v>
      </c>
      <c r="G3576">
        <v>-511.92559999999997</v>
      </c>
      <c r="H3576">
        <v>1.3442959999999999</v>
      </c>
      <c r="I3576">
        <v>154.06479999999999</v>
      </c>
      <c r="J3576">
        <v>-327.048</v>
      </c>
      <c r="K3576">
        <v>1.121299</v>
      </c>
      <c r="L3576">
        <v>141.03729999999999</v>
      </c>
      <c r="M3576">
        <v>-0.99987420000000005</v>
      </c>
      <c r="N3576">
        <v>-1.5474190000000001E-2</v>
      </c>
      <c r="O3576">
        <v>-3.4909730000000001E-3</v>
      </c>
      <c r="P3576">
        <v>-0.97361779999999998</v>
      </c>
      <c r="Q3576">
        <v>0.2257594</v>
      </c>
      <c r="R3576">
        <v>3.3184890000000002E-2</v>
      </c>
      <c r="S3576">
        <v>-3.0720830000000001</v>
      </c>
      <c r="T3576">
        <v>3.6972760000000002E-3</v>
      </c>
      <c r="U3576">
        <v>0.21591189999999999</v>
      </c>
      <c r="V3576">
        <v>3.6470820000000001E-2</v>
      </c>
      <c r="W3576">
        <v>0.24081350000000001</v>
      </c>
      <c r="X3576">
        <v>0.96988589999999997</v>
      </c>
      <c r="Y3576">
        <v>7.3591499999999893E-2</v>
      </c>
      <c r="Z3576">
        <v>4.6773689999999999E-4</v>
      </c>
      <c r="AA3576">
        <v>0.99728830000000002</v>
      </c>
      <c r="AB3576">
        <v>44</v>
      </c>
      <c r="AC3576">
        <v>-184.8776</v>
      </c>
      <c r="AD3576">
        <v>0.222996999999999</v>
      </c>
      <c r="AE3576">
        <v>13.0275</v>
      </c>
      <c r="AF3576">
        <v>13.6728807817651</v>
      </c>
      <c r="AG3576">
        <v>0.222996999999999</v>
      </c>
      <c r="AH3576">
        <v>184.83072151033099</v>
      </c>
      <c r="AI3576">
        <v>89.931061437362899</v>
      </c>
      <c r="AJ3576">
        <v>85.769242110261303</v>
      </c>
      <c r="AK3576">
        <v>185.33589239692299</v>
      </c>
      <c r="AL3576">
        <v>76.065440689340093</v>
      </c>
      <c r="AM3576">
        <v>87.8465095885431</v>
      </c>
      <c r="AN3576">
        <v>0.99999996075626496</v>
      </c>
    </row>
    <row r="3577" spans="1:40" x14ac:dyDescent="0.25">
      <c r="A3577" t="str">
        <f>"20190303170839709"</f>
        <v>20190303170839709</v>
      </c>
      <c r="B3577" t="str">
        <f>"1551604119696735"</f>
        <v>1551604119696735</v>
      </c>
      <c r="C3577" t="s">
        <v>40</v>
      </c>
      <c r="D3577">
        <v>4.8796780000000002</v>
      </c>
      <c r="E3577">
        <v>0.52029129999999901</v>
      </c>
      <c r="F3577" t="s">
        <v>75</v>
      </c>
      <c r="G3577">
        <v>-511.92570000000001</v>
      </c>
      <c r="H3577">
        <v>1.5949120000000001</v>
      </c>
      <c r="I3577">
        <v>154.15299999999999</v>
      </c>
      <c r="J3577">
        <v>-327.51240000000001</v>
      </c>
      <c r="K3577">
        <v>1.121302</v>
      </c>
      <c r="L3577">
        <v>141.03550000000001</v>
      </c>
      <c r="M3577">
        <v>-0.99987369999999998</v>
      </c>
      <c r="N3577">
        <v>-1.546906E-2</v>
      </c>
      <c r="O3577">
        <v>-3.6771180000000001E-3</v>
      </c>
      <c r="P3577">
        <v>-0.97329489999999996</v>
      </c>
      <c r="Q3577">
        <v>0.22722780000000001</v>
      </c>
      <c r="R3577">
        <v>3.2629110000000003E-2</v>
      </c>
      <c r="S3577">
        <v>-3.0720830000000001</v>
      </c>
      <c r="T3577">
        <v>7.8706739999999994E-3</v>
      </c>
      <c r="U3577">
        <v>0.2179413</v>
      </c>
      <c r="V3577">
        <v>3.6094649999999999E-2</v>
      </c>
      <c r="W3577">
        <v>0.24227199999999999</v>
      </c>
      <c r="X3577">
        <v>0.96953670000000003</v>
      </c>
      <c r="Y3577">
        <v>7.4433159999999998E-2</v>
      </c>
      <c r="Z3577">
        <v>4.1500819999999998E-4</v>
      </c>
      <c r="AA3577">
        <v>0.9972259</v>
      </c>
      <c r="AB3577">
        <v>44</v>
      </c>
      <c r="AC3577">
        <v>-184.41329999999999</v>
      </c>
      <c r="AD3577">
        <v>0.47360999999999998</v>
      </c>
      <c r="AE3577">
        <v>13.1174999999999</v>
      </c>
      <c r="AF3577">
        <v>13.7955112989097</v>
      </c>
      <c r="AG3577">
        <v>0.47360999999999998</v>
      </c>
      <c r="AH3577">
        <v>184.362602722714</v>
      </c>
      <c r="AI3577">
        <v>89.853223257525002</v>
      </c>
      <c r="AJ3577">
        <v>85.720638369152695</v>
      </c>
      <c r="AK3577">
        <v>184.87863511267</v>
      </c>
      <c r="AL3577">
        <v>75.979325173103305</v>
      </c>
      <c r="AM3577">
        <v>87.867933760279598</v>
      </c>
      <c r="AN3577">
        <v>0.99999997919475603</v>
      </c>
    </row>
    <row r="3578" spans="1:40" x14ac:dyDescent="0.25">
      <c r="A3578" t="str">
        <f>"20190303170839734"</f>
        <v>20190303170839734</v>
      </c>
      <c r="B3578" t="str">
        <f>"1551604119726991"</f>
        <v>1551604119726991</v>
      </c>
      <c r="C3578" t="s">
        <v>40</v>
      </c>
      <c r="D3578">
        <v>4.7488380000000001</v>
      </c>
      <c r="E3578">
        <v>0.52841919999999898</v>
      </c>
      <c r="F3578" t="s">
        <v>75</v>
      </c>
      <c r="G3578">
        <v>-511.92579999999998</v>
      </c>
      <c r="H3578">
        <v>1.8603430000000001</v>
      </c>
      <c r="I3578">
        <v>154.08500000000001</v>
      </c>
      <c r="J3578">
        <v>-328.01510000000002</v>
      </c>
      <c r="K3578">
        <v>1.1213059999999999</v>
      </c>
      <c r="L3578">
        <v>141.0334</v>
      </c>
      <c r="M3578">
        <v>-0.99987289999999995</v>
      </c>
      <c r="N3578">
        <v>-1.546341E-2</v>
      </c>
      <c r="O3578">
        <v>-3.8782809999999999E-3</v>
      </c>
      <c r="P3578">
        <v>-0.97335879999999997</v>
      </c>
      <c r="Q3578">
        <v>0.22709670000000001</v>
      </c>
      <c r="R3578">
        <v>3.161804E-2</v>
      </c>
      <c r="S3578">
        <v>-3.0721440000000002</v>
      </c>
      <c r="T3578">
        <v>1.2312409999999999E-2</v>
      </c>
      <c r="U3578">
        <v>0.217392</v>
      </c>
      <c r="V3578">
        <v>3.5279890000000001E-2</v>
      </c>
      <c r="W3578">
        <v>0.2421355</v>
      </c>
      <c r="X3578">
        <v>0.96960080000000004</v>
      </c>
      <c r="Y3578">
        <v>7.4455309999999997E-2</v>
      </c>
      <c r="Z3578">
        <v>3.5197929999999998E-4</v>
      </c>
      <c r="AA3578">
        <v>0.99722429999999995</v>
      </c>
      <c r="AB3578">
        <v>44</v>
      </c>
      <c r="AC3578">
        <v>-183.91069999999999</v>
      </c>
      <c r="AD3578">
        <v>0.73903700000000005</v>
      </c>
      <c r="AE3578">
        <v>13.051600000000001</v>
      </c>
      <c r="AF3578">
        <v>13.764623338033401</v>
      </c>
      <c r="AG3578">
        <v>0.73903700000000005</v>
      </c>
      <c r="AH3578">
        <v>183.85573870935599</v>
      </c>
      <c r="AI3578">
        <v>89.770334590474306</v>
      </c>
      <c r="AJ3578">
        <v>85.718456767740705</v>
      </c>
      <c r="AK3578">
        <v>184.37175403973399</v>
      </c>
      <c r="AL3578">
        <v>75.987386228073007</v>
      </c>
      <c r="AM3578">
        <v>87.916155349314494</v>
      </c>
      <c r="AN3578">
        <v>0.99999999117965099</v>
      </c>
    </row>
    <row r="3579" spans="1:40" x14ac:dyDescent="0.25">
      <c r="A3579" t="str">
        <f>"20190303170839752"</f>
        <v>20190303170839752</v>
      </c>
      <c r="B3579" t="str">
        <f>"1551604119736751"</f>
        <v>1551604119736751</v>
      </c>
      <c r="C3579" t="s">
        <v>40</v>
      </c>
      <c r="D3579">
        <v>4.8752219999999999</v>
      </c>
      <c r="E3579">
        <v>0.52841919999999898</v>
      </c>
      <c r="F3579" t="s">
        <v>75</v>
      </c>
      <c r="G3579">
        <v>-511.92540000000002</v>
      </c>
      <c r="H3579">
        <v>0.52650959999999902</v>
      </c>
      <c r="I3579">
        <v>157.68639999999999</v>
      </c>
      <c r="J3579">
        <v>-328.35489999999999</v>
      </c>
      <c r="K3579">
        <v>1.1213</v>
      </c>
      <c r="L3579">
        <v>141.03200000000001</v>
      </c>
      <c r="M3579">
        <v>-0.99987250000000005</v>
      </c>
      <c r="N3579">
        <v>-1.5459560000000001E-2</v>
      </c>
      <c r="O3579">
        <v>-4.0147309999999997E-3</v>
      </c>
      <c r="P3579">
        <v>-0.97367969999999904</v>
      </c>
      <c r="Q3579">
        <v>0.22593250000000001</v>
      </c>
      <c r="R3579">
        <v>3.0042340000000001E-2</v>
      </c>
      <c r="S3579">
        <v>-3.0753780000000002</v>
      </c>
      <c r="T3579">
        <v>-9.9455120000000001E-3</v>
      </c>
      <c r="U3579">
        <v>0.27847290000000002</v>
      </c>
      <c r="V3579">
        <v>3.3838960000000001E-2</v>
      </c>
      <c r="W3579">
        <v>0.24097180000000001</v>
      </c>
      <c r="X3579">
        <v>0.96994199999999997</v>
      </c>
      <c r="Y3579">
        <v>9.4175179999999997E-2</v>
      </c>
      <c r="Z3579">
        <v>8.3247669999999998E-4</v>
      </c>
      <c r="AA3579">
        <v>0.99555530000000003</v>
      </c>
      <c r="AB3579">
        <v>44</v>
      </c>
      <c r="AC3579">
        <v>-183.57050000000001</v>
      </c>
      <c r="AD3579">
        <v>-0.59479040000000005</v>
      </c>
      <c r="AE3579">
        <v>16.6543999999999</v>
      </c>
      <c r="AF3579">
        <v>17.391158873813101</v>
      </c>
      <c r="AG3579">
        <v>-0.59479040000000005</v>
      </c>
      <c r="AH3579">
        <v>183.50023858961799</v>
      </c>
      <c r="AI3579">
        <v>90.184887131728701</v>
      </c>
      <c r="AJ3579">
        <v>84.585987609312198</v>
      </c>
      <c r="AK3579">
        <v>184.32347583810599</v>
      </c>
      <c r="AL3579">
        <v>76.056095893147798</v>
      </c>
      <c r="AM3579">
        <v>88.001897481992103</v>
      </c>
      <c r="AN3579">
        <v>0.99999998348656005</v>
      </c>
    </row>
    <row r="3580" spans="1:40" x14ac:dyDescent="0.25">
      <c r="A3580" t="str">
        <f>"20190303170839773"</f>
        <v>20190303170839773</v>
      </c>
      <c r="B3580" t="str">
        <f>"1551604119767007"</f>
        <v>1551604119767007</v>
      </c>
      <c r="C3580" t="s">
        <v>40</v>
      </c>
      <c r="D3580">
        <v>4.7580439999999999</v>
      </c>
      <c r="E3580">
        <v>0.52841969999999905</v>
      </c>
      <c r="F3580" t="s">
        <v>75</v>
      </c>
      <c r="G3580">
        <v>-511.92529999999999</v>
      </c>
      <c r="H3580">
        <v>0.31362509999999999</v>
      </c>
      <c r="I3580">
        <v>157.38329999999999</v>
      </c>
      <c r="J3580">
        <v>-328.78309999999999</v>
      </c>
      <c r="K3580">
        <v>1.1212959999999901</v>
      </c>
      <c r="L3580">
        <v>141.0301</v>
      </c>
      <c r="M3580">
        <v>-0.99987190000000004</v>
      </c>
      <c r="N3580">
        <v>-1.5454620000000001E-2</v>
      </c>
      <c r="O3580">
        <v>-4.186454E-3</v>
      </c>
      <c r="P3580">
        <v>-0.97400540000000002</v>
      </c>
      <c r="Q3580">
        <v>0.22471679999999999</v>
      </c>
      <c r="R3580">
        <v>2.8565179999999999E-2</v>
      </c>
      <c r="S3580">
        <v>-3.0757750000000001</v>
      </c>
      <c r="T3580">
        <v>-1.353204E-2</v>
      </c>
      <c r="U3580">
        <v>0.27397159999999998</v>
      </c>
      <c r="V3580">
        <v>3.2531160000000003E-2</v>
      </c>
      <c r="W3580">
        <v>0.23975589999999999</v>
      </c>
      <c r="X3580">
        <v>0.97028800000000004</v>
      </c>
      <c r="Y3580">
        <v>9.2888070000000003E-2</v>
      </c>
      <c r="Z3580">
        <v>8.7698910000000004E-4</v>
      </c>
      <c r="AA3580">
        <v>0.99567620000000001</v>
      </c>
      <c r="AB3580">
        <v>44</v>
      </c>
      <c r="AC3580">
        <v>-183.1422</v>
      </c>
      <c r="AD3580">
        <v>-0.80767089999999897</v>
      </c>
      <c r="AE3580">
        <v>16.353199999999902</v>
      </c>
      <c r="AF3580">
        <v>17.119534242047799</v>
      </c>
      <c r="AG3580">
        <v>-0.80767089999999897</v>
      </c>
      <c r="AH3580">
        <v>183.06859231339701</v>
      </c>
      <c r="AI3580">
        <v>90.251680605919901</v>
      </c>
      <c r="AJ3580">
        <v>84.657561282035104</v>
      </c>
      <c r="AK3580">
        <v>183.86908461336401</v>
      </c>
      <c r="AL3580">
        <v>76.127865957891203</v>
      </c>
      <c r="AM3580">
        <v>88.079745137319904</v>
      </c>
      <c r="AN3580">
        <v>0.999999985449877</v>
      </c>
    </row>
    <row r="3581" spans="1:40" x14ac:dyDescent="0.25">
      <c r="A3581" t="str">
        <f>"20190303170839797"</f>
        <v>20190303170839797</v>
      </c>
      <c r="B3581" t="str">
        <f>"1551604119786527"</f>
        <v>1551604119786527</v>
      </c>
      <c r="C3581" t="s">
        <v>40</v>
      </c>
      <c r="D3581">
        <v>4.7743440000000001</v>
      </c>
      <c r="E3581">
        <v>0.52852849999999996</v>
      </c>
      <c r="F3581" t="s">
        <v>75</v>
      </c>
      <c r="G3581">
        <v>-511.92520000000002</v>
      </c>
      <c r="H3581">
        <v>0.15241199999999999</v>
      </c>
      <c r="I3581">
        <v>157.07299999999901</v>
      </c>
      <c r="J3581">
        <v>-329.23660000000001</v>
      </c>
      <c r="K3581">
        <v>1.121299</v>
      </c>
      <c r="L3581">
        <v>141.02809999999999</v>
      </c>
      <c r="M3581">
        <v>-0.99987110000000001</v>
      </c>
      <c r="N3581">
        <v>-1.54492E-2</v>
      </c>
      <c r="O3581">
        <v>-4.3686609999999898E-3</v>
      </c>
      <c r="P3581">
        <v>-0.9739565</v>
      </c>
      <c r="Q3581">
        <v>0.2251319</v>
      </c>
      <c r="R3581">
        <v>2.6914230000000001E-2</v>
      </c>
      <c r="S3581">
        <v>-3.0758670000000001</v>
      </c>
      <c r="T3581">
        <v>-1.6271589999999999E-2</v>
      </c>
      <c r="U3581">
        <v>0.2694397</v>
      </c>
      <c r="V3581">
        <v>3.1057689999999999E-2</v>
      </c>
      <c r="W3581">
        <v>0.24016460000000001</v>
      </c>
      <c r="X3581">
        <v>0.97023519999999996</v>
      </c>
      <c r="Y3581">
        <v>9.1610250000000004E-2</v>
      </c>
      <c r="Z3581">
        <v>9.0661660000000005E-4</v>
      </c>
      <c r="AA3581">
        <v>0.99579450000000003</v>
      </c>
      <c r="AB3581">
        <v>44</v>
      </c>
      <c r="AC3581">
        <v>-182.68860000000001</v>
      </c>
      <c r="AD3581">
        <v>-0.96888700000000005</v>
      </c>
      <c r="AE3581">
        <v>16.044899999999899</v>
      </c>
      <c r="AF3581">
        <v>16.842476582581799</v>
      </c>
      <c r="AG3581">
        <v>-0.96888700000000005</v>
      </c>
      <c r="AH3581">
        <v>182.61165615343401</v>
      </c>
      <c r="AI3581">
        <v>90.302707971264198</v>
      </c>
      <c r="AJ3581">
        <v>84.730454584211998</v>
      </c>
      <c r="AK3581">
        <v>183.38927101265699</v>
      </c>
      <c r="AL3581">
        <v>76.103744318223406</v>
      </c>
      <c r="AM3581">
        <v>88.166560912129199</v>
      </c>
      <c r="AN3581">
        <v>0.99999997926016704</v>
      </c>
    </row>
    <row r="3582" spans="1:40" x14ac:dyDescent="0.25">
      <c r="A3582" t="str">
        <f>"20190303170839843"</f>
        <v>20190303170839843</v>
      </c>
      <c r="B3582" t="str">
        <f>"1551604119837280"</f>
        <v>1551604119837280</v>
      </c>
      <c r="C3582" t="s">
        <v>40</v>
      </c>
      <c r="D3582">
        <v>4.8137749999999997</v>
      </c>
      <c r="E3582">
        <v>0.5293118</v>
      </c>
      <c r="F3582" t="s">
        <v>75</v>
      </c>
      <c r="G3582">
        <v>-511.92520000000002</v>
      </c>
      <c r="H3582">
        <v>0.15071029999999999</v>
      </c>
      <c r="I3582">
        <v>156.77160000000001</v>
      </c>
      <c r="J3582">
        <v>-330.13049999999998</v>
      </c>
      <c r="K3582">
        <v>1.1213150000000001</v>
      </c>
      <c r="L3582">
        <v>141.02379999999999</v>
      </c>
      <c r="M3582">
        <v>-0.99986969999999997</v>
      </c>
      <c r="N3582">
        <v>-1.5439130000000001E-2</v>
      </c>
      <c r="O3582">
        <v>-4.7277229999999996E-3</v>
      </c>
      <c r="P3582">
        <v>-0.97352640000000001</v>
      </c>
      <c r="Q3582">
        <v>0.2273414</v>
      </c>
      <c r="R3582">
        <v>2.3719130000000001E-2</v>
      </c>
      <c r="S3582">
        <v>-3.07666</v>
      </c>
      <c r="T3582">
        <v>-1.6344899999999999E-2</v>
      </c>
      <c r="U3582">
        <v>0.2651367</v>
      </c>
      <c r="V3582">
        <v>2.8209830000000002E-2</v>
      </c>
      <c r="W3582">
        <v>0.24235619999999999</v>
      </c>
      <c r="X3582">
        <v>0.96977709999999995</v>
      </c>
      <c r="Y3582">
        <v>9.056322E-2</v>
      </c>
      <c r="Z3582">
        <v>8.9278879999999999E-4</v>
      </c>
      <c r="AA3582">
        <v>0.99589030000000001</v>
      </c>
      <c r="AB3582">
        <v>44</v>
      </c>
      <c r="AC3582">
        <v>-181.79470000000001</v>
      </c>
      <c r="AD3582">
        <v>-0.97060469999999999</v>
      </c>
      <c r="AE3582">
        <v>15.7478</v>
      </c>
      <c r="AF3582">
        <v>16.606731493843299</v>
      </c>
      <c r="AG3582">
        <v>-0.97060469999999999</v>
      </c>
      <c r="AH3582">
        <v>181.71306655002201</v>
      </c>
      <c r="AI3582">
        <v>90.304767508039305</v>
      </c>
      <c r="AJ3582">
        <v>84.778252094218004</v>
      </c>
      <c r="AK3582">
        <v>182.47291349514001</v>
      </c>
      <c r="AL3582">
        <v>75.974352587733804</v>
      </c>
      <c r="AM3582">
        <v>88.333793876671294</v>
      </c>
      <c r="AN3582">
        <v>0.99999997293573895</v>
      </c>
    </row>
    <row r="3583" spans="1:40" x14ac:dyDescent="0.25">
      <c r="A3583" t="str">
        <f>"20190303170839864"</f>
        <v>20190303170839864</v>
      </c>
      <c r="B3583" t="str">
        <f>"1551604119856800"</f>
        <v>1551604119856800</v>
      </c>
      <c r="C3583" t="s">
        <v>40</v>
      </c>
      <c r="D3583">
        <v>4.8309150000000001</v>
      </c>
      <c r="E3583">
        <v>0.5298408</v>
      </c>
      <c r="F3583" t="s">
        <v>75</v>
      </c>
      <c r="G3583">
        <v>-511.92529999999999</v>
      </c>
      <c r="H3583">
        <v>0.43413600000000002</v>
      </c>
      <c r="I3583">
        <v>156.49100000000001</v>
      </c>
      <c r="J3583">
        <v>-330.53919999999999</v>
      </c>
      <c r="K3583">
        <v>1.121318</v>
      </c>
      <c r="L3583">
        <v>141.02170000000001</v>
      </c>
      <c r="M3583">
        <v>-0.99986889999999995</v>
      </c>
      <c r="N3583">
        <v>-1.5434659999999999E-2</v>
      </c>
      <c r="O3583">
        <v>-4.8918219999999997E-3</v>
      </c>
      <c r="P3583">
        <v>-0.97352490000000003</v>
      </c>
      <c r="Q3583">
        <v>0.2274234</v>
      </c>
      <c r="R3583">
        <v>2.2980090000000002E-2</v>
      </c>
      <c r="S3583">
        <v>-3.0779109999999998</v>
      </c>
      <c r="T3583">
        <v>-1.1633630000000001E-2</v>
      </c>
      <c r="U3583">
        <v>0.26187129999999997</v>
      </c>
      <c r="V3583">
        <v>2.763063E-2</v>
      </c>
      <c r="W3583">
        <v>0.2424335</v>
      </c>
      <c r="X3583">
        <v>0.96977449999999998</v>
      </c>
      <c r="Y3583">
        <v>8.9644769999999999E-2</v>
      </c>
      <c r="Z3583">
        <v>8.053178E-4</v>
      </c>
      <c r="AA3583">
        <v>0.99597349999999996</v>
      </c>
      <c r="AB3583">
        <v>44</v>
      </c>
      <c r="AC3583">
        <v>-181.3861</v>
      </c>
      <c r="AD3583">
        <v>-0.68718199999999996</v>
      </c>
      <c r="AE3583">
        <v>15.4693</v>
      </c>
      <c r="AF3583">
        <v>16.356296037570001</v>
      </c>
      <c r="AG3583">
        <v>-0.68718199999999996</v>
      </c>
      <c r="AH3583">
        <v>181.30566366667799</v>
      </c>
      <c r="AI3583">
        <v>90.216282241678798</v>
      </c>
      <c r="AJ3583">
        <v>84.845077004162306</v>
      </c>
      <c r="AK3583">
        <v>182.04324847899301</v>
      </c>
      <c r="AL3583">
        <v>75.969788116188795</v>
      </c>
      <c r="AM3583">
        <v>88.367981103000801</v>
      </c>
      <c r="AN3583">
        <v>1.0000000172433401</v>
      </c>
    </row>
    <row r="3584" spans="1:40" x14ac:dyDescent="0.25">
      <c r="A3584" t="str">
        <f>"20190303170839887"</f>
        <v>20190303170839887</v>
      </c>
      <c r="B3584" t="str">
        <f>"1551604119877295"</f>
        <v>1551604119877295</v>
      </c>
      <c r="C3584" t="s">
        <v>40</v>
      </c>
      <c r="D3584">
        <v>4.8288589999999996</v>
      </c>
      <c r="E3584">
        <v>0.53026580000000001</v>
      </c>
      <c r="F3584" t="s">
        <v>75</v>
      </c>
      <c r="G3584">
        <v>-511.92529999999999</v>
      </c>
      <c r="H3584">
        <v>0.43282969999999998</v>
      </c>
      <c r="I3584">
        <v>156.5719</v>
      </c>
      <c r="J3584">
        <v>-330.97620000000001</v>
      </c>
      <c r="K3584">
        <v>1.1213150000000001</v>
      </c>
      <c r="L3584">
        <v>141.01939999999999</v>
      </c>
      <c r="M3584">
        <v>-0.99986819999999998</v>
      </c>
      <c r="N3584">
        <v>-1.542986E-2</v>
      </c>
      <c r="O3584">
        <v>-5.0674800000000001E-3</v>
      </c>
      <c r="P3584">
        <v>-0.97376529999999994</v>
      </c>
      <c r="Q3584">
        <v>0.2264119</v>
      </c>
      <c r="R3584">
        <v>2.278138E-2</v>
      </c>
      <c r="S3584">
        <v>-3.0780940000000001</v>
      </c>
      <c r="T3584">
        <v>-1.168275E-2</v>
      </c>
      <c r="U3584">
        <v>0.2638855</v>
      </c>
      <c r="V3584">
        <v>2.7604790000000001E-2</v>
      </c>
      <c r="W3584">
        <v>0.24142069999999999</v>
      </c>
      <c r="X3584">
        <v>0.97002790000000005</v>
      </c>
      <c r="Y3584">
        <v>9.0461659999999999E-2</v>
      </c>
      <c r="Z3584">
        <v>8.1174399999999999E-4</v>
      </c>
      <c r="AA3584">
        <v>0.9958996</v>
      </c>
      <c r="AB3584">
        <v>43</v>
      </c>
      <c r="AC3584">
        <v>-180.94909999999999</v>
      </c>
      <c r="AD3584">
        <v>-0.68848529999999997</v>
      </c>
      <c r="AE3584">
        <v>15.5525</v>
      </c>
      <c r="AF3584">
        <v>16.469128626230301</v>
      </c>
      <c r="AG3584">
        <v>-0.68848529999999997</v>
      </c>
      <c r="AH3584">
        <v>180.86535557085301</v>
      </c>
      <c r="AI3584">
        <v>90.217203488042898</v>
      </c>
      <c r="AJ3584">
        <v>84.7971434979073</v>
      </c>
      <c r="AK3584">
        <v>181.61493070639</v>
      </c>
      <c r="AL3584">
        <v>76.029594353959794</v>
      </c>
      <c r="AM3584">
        <v>88.369932236390596</v>
      </c>
      <c r="AN3584">
        <v>1.0000000527989199</v>
      </c>
    </row>
    <row r="3585" spans="1:40" x14ac:dyDescent="0.25">
      <c r="A3585" t="str">
        <f>"20190303170839909"</f>
        <v>20190303170839909</v>
      </c>
      <c r="B3585" t="str">
        <f>"1551604119896816"</f>
        <v>1551604119896816</v>
      </c>
      <c r="C3585" t="s">
        <v>40</v>
      </c>
      <c r="D3585">
        <v>4.8373889999999999</v>
      </c>
      <c r="E3585">
        <v>0.53074909999999997</v>
      </c>
      <c r="F3585" t="s">
        <v>75</v>
      </c>
      <c r="G3585">
        <v>-511.92529999999999</v>
      </c>
      <c r="H3585">
        <v>0.2176034</v>
      </c>
      <c r="I3585">
        <v>156.70769999999999</v>
      </c>
      <c r="J3585">
        <v>-331.40769999999998</v>
      </c>
      <c r="K3585">
        <v>1.121313</v>
      </c>
      <c r="L3585">
        <v>141.017</v>
      </c>
      <c r="M3585">
        <v>-0.99986739999999996</v>
      </c>
      <c r="N3585">
        <v>-1.5425080000000001E-2</v>
      </c>
      <c r="O3585">
        <v>-5.2409919999999999E-3</v>
      </c>
      <c r="P3585">
        <v>-0.9738021</v>
      </c>
      <c r="Q3585">
        <v>0.22633729999999999</v>
      </c>
      <c r="R3585">
        <v>2.193531E-2</v>
      </c>
      <c r="S3585">
        <v>-3.0781559999999999</v>
      </c>
      <c r="T3585">
        <v>-1.53724E-2</v>
      </c>
      <c r="U3585">
        <v>0.26687620000000001</v>
      </c>
      <c r="V3585">
        <v>2.6928270000000001E-2</v>
      </c>
      <c r="W3585">
        <v>0.241342</v>
      </c>
      <c r="X3585">
        <v>0.9700664</v>
      </c>
      <c r="Y3585">
        <v>9.1591900000000004E-2</v>
      </c>
      <c r="Z3585">
        <v>8.8149829999999998E-4</v>
      </c>
      <c r="AA3585">
        <v>0.99579629999999997</v>
      </c>
      <c r="AB3585">
        <v>43</v>
      </c>
      <c r="AC3585">
        <v>-180.51759999999999</v>
      </c>
      <c r="AD3585">
        <v>-0.9037096</v>
      </c>
      <c r="AE3585">
        <v>15.6906999999999</v>
      </c>
      <c r="AF3585">
        <v>16.6362744038078</v>
      </c>
      <c r="AG3585">
        <v>-0.9037096</v>
      </c>
      <c r="AH3585">
        <v>180.428387536636</v>
      </c>
      <c r="AI3585">
        <v>90.285762183770601</v>
      </c>
      <c r="AJ3585">
        <v>84.7319776037682</v>
      </c>
      <c r="AK3585">
        <v>181.19598601003901</v>
      </c>
      <c r="AL3585">
        <v>76.034239557736996</v>
      </c>
      <c r="AM3585">
        <v>88.409923172319097</v>
      </c>
      <c r="AN3585">
        <v>0.99999995654907503</v>
      </c>
    </row>
    <row r="3586" spans="1:40" x14ac:dyDescent="0.25">
      <c r="A3586" t="str">
        <f>"20190303170839953"</f>
        <v>20190303170839953</v>
      </c>
      <c r="B3586" t="str">
        <f>"1551604119946591"</f>
        <v>1551604119946591</v>
      </c>
      <c r="C3586" t="s">
        <v>40</v>
      </c>
      <c r="D3586">
        <v>4.8355430000000004</v>
      </c>
      <c r="E3586">
        <v>0.53157140000000003</v>
      </c>
      <c r="F3586" t="s">
        <v>75</v>
      </c>
      <c r="G3586">
        <v>-511.92520000000002</v>
      </c>
      <c r="H3586">
        <v>0.13872770000000001</v>
      </c>
      <c r="I3586">
        <v>156.73820000000001</v>
      </c>
      <c r="J3586">
        <v>-332.24279999999999</v>
      </c>
      <c r="K3586">
        <v>1.1213249999999999</v>
      </c>
      <c r="L3586">
        <v>141.01230000000001</v>
      </c>
      <c r="M3586">
        <v>-0.99986569999999997</v>
      </c>
      <c r="N3586">
        <v>-1.5415359999999999E-2</v>
      </c>
      <c r="O3586">
        <v>-5.577289E-3</v>
      </c>
      <c r="P3586">
        <v>-0.97339960000000003</v>
      </c>
      <c r="Q3586">
        <v>0.2280951</v>
      </c>
      <c r="R3586">
        <v>2.1586589999999999E-2</v>
      </c>
      <c r="S3586">
        <v>-3.0785830000000001</v>
      </c>
      <c r="T3586">
        <v>-1.6756420000000001E-2</v>
      </c>
      <c r="U3586">
        <v>0.26811220000000002</v>
      </c>
      <c r="V3586">
        <v>2.6904419999999998E-2</v>
      </c>
      <c r="W3586">
        <v>0.24308340000000001</v>
      </c>
      <c r="X3586">
        <v>0.96963220000000006</v>
      </c>
      <c r="Y3586">
        <v>9.231114E-2</v>
      </c>
      <c r="Z3586">
        <v>9.0814110000000004E-4</v>
      </c>
      <c r="AA3586">
        <v>0.9957298</v>
      </c>
      <c r="AB3586">
        <v>43</v>
      </c>
      <c r="AC3586">
        <v>-179.6824</v>
      </c>
      <c r="AD3586">
        <v>-0.98259730000000001</v>
      </c>
      <c r="AE3586">
        <v>15.7258999999999</v>
      </c>
      <c r="AF3586">
        <v>16.727418613592899</v>
      </c>
      <c r="AG3586">
        <v>-0.98259730000000001</v>
      </c>
      <c r="AH3586">
        <v>179.58655673001999</v>
      </c>
      <c r="AI3586">
        <v>90.312136297918101</v>
      </c>
      <c r="AJ3586">
        <v>84.678592976935604</v>
      </c>
      <c r="AK3586">
        <v>180.366580577093</v>
      </c>
      <c r="AL3586">
        <v>75.931403061127597</v>
      </c>
      <c r="AM3586">
        <v>88.410619720420598</v>
      </c>
      <c r="AN3586">
        <v>0.99999999522396799</v>
      </c>
    </row>
    <row r="3587" spans="1:40" x14ac:dyDescent="0.25">
      <c r="A3587" t="str">
        <f>"20190303170839976"</f>
        <v>20190303170839976</v>
      </c>
      <c r="B3587" t="str">
        <f>"1551604119967088"</f>
        <v>1551604119967088</v>
      </c>
      <c r="C3587" t="s">
        <v>40</v>
      </c>
      <c r="D3587">
        <v>4.8666689999999999</v>
      </c>
      <c r="E3587">
        <v>0.53185179999999999</v>
      </c>
      <c r="F3587" t="s">
        <v>75</v>
      </c>
      <c r="G3587">
        <v>-511.92529999999999</v>
      </c>
      <c r="H3587">
        <v>0.2902189</v>
      </c>
      <c r="I3587">
        <v>157.00799999999899</v>
      </c>
      <c r="J3587">
        <v>-332.71280000000002</v>
      </c>
      <c r="K3587">
        <v>1.1213229999999901</v>
      </c>
      <c r="L3587">
        <v>141.0095</v>
      </c>
      <c r="M3587">
        <v>-0.99986459999999999</v>
      </c>
      <c r="N3587">
        <v>-1.540995E-2</v>
      </c>
      <c r="O3587">
        <v>-5.7665329999999999E-3</v>
      </c>
      <c r="P3587">
        <v>-0.97338409999999997</v>
      </c>
      <c r="Q3587">
        <v>0.2281888</v>
      </c>
      <c r="R3587">
        <v>2.1299760000000001E-2</v>
      </c>
      <c r="S3587">
        <v>-3.079285</v>
      </c>
      <c r="T3587">
        <v>-1.424217E-2</v>
      </c>
      <c r="U3587">
        <v>0.27412409999999998</v>
      </c>
      <c r="V3587">
        <v>2.6801990000000001E-2</v>
      </c>
      <c r="W3587">
        <v>0.24317169999999999</v>
      </c>
      <c r="X3587">
        <v>0.9696129</v>
      </c>
      <c r="Y3587">
        <v>9.4409670000000001E-2</v>
      </c>
      <c r="Z3587">
        <v>8.8474979999999897E-4</v>
      </c>
      <c r="AA3587">
        <v>0.995533</v>
      </c>
      <c r="AB3587">
        <v>43</v>
      </c>
      <c r="AC3587">
        <v>-179.21249999999901</v>
      </c>
      <c r="AD3587">
        <v>-0.83110409999999901</v>
      </c>
      <c r="AE3587">
        <v>15.9984999999999</v>
      </c>
      <c r="AF3587">
        <v>17.031428094476901</v>
      </c>
      <c r="AG3587">
        <v>-0.83110409999999901</v>
      </c>
      <c r="AH3587">
        <v>179.11343107574299</v>
      </c>
      <c r="AI3587">
        <v>90.264662418594298</v>
      </c>
      <c r="AJ3587">
        <v>84.5682254328119</v>
      </c>
      <c r="AK3587">
        <v>179.92326550140001</v>
      </c>
      <c r="AL3587">
        <v>75.926187398265796</v>
      </c>
      <c r="AM3587">
        <v>88.416636193034606</v>
      </c>
      <c r="AN3587">
        <v>0.99999999909762904</v>
      </c>
    </row>
    <row r="3588" spans="1:40" x14ac:dyDescent="0.25">
      <c r="A3588" t="str">
        <f>"20190303170839997"</f>
        <v>20190303170839997</v>
      </c>
      <c r="B3588" t="str">
        <f>"1551604119986608"</f>
        <v>1551604119986608</v>
      </c>
      <c r="C3588" t="s">
        <v>40</v>
      </c>
      <c r="D3588">
        <v>4.8583080000000001</v>
      </c>
      <c r="E3588">
        <v>0.53207859999999996</v>
      </c>
      <c r="F3588" t="s">
        <v>75</v>
      </c>
      <c r="G3588">
        <v>-511.92529999999999</v>
      </c>
      <c r="H3588">
        <v>0.29144940000000003</v>
      </c>
      <c r="I3588">
        <v>157.05449999999999</v>
      </c>
      <c r="J3588">
        <v>-333.10890000000001</v>
      </c>
      <c r="K3588">
        <v>1.1213249999999999</v>
      </c>
      <c r="L3588">
        <v>141.00710000000001</v>
      </c>
      <c r="M3588">
        <v>-0.99986379999999997</v>
      </c>
      <c r="N3588">
        <v>-1.5405449999999999E-2</v>
      </c>
      <c r="O3588">
        <v>-5.9261039999999997E-3</v>
      </c>
      <c r="P3588">
        <v>-0.97353210000000001</v>
      </c>
      <c r="Q3588">
        <v>0.2276077</v>
      </c>
      <c r="R3588">
        <v>2.0735139999999999E-2</v>
      </c>
      <c r="S3588">
        <v>-3.0793460000000001</v>
      </c>
      <c r="T3588">
        <v>-1.425862E-2</v>
      </c>
      <c r="U3588">
        <v>0.27569579999999999</v>
      </c>
      <c r="V3588">
        <v>2.639385E-2</v>
      </c>
      <c r="W3588">
        <v>0.24258840000000001</v>
      </c>
      <c r="X3588">
        <v>0.96977020000000003</v>
      </c>
      <c r="Y3588">
        <v>9.5070849999999998E-2</v>
      </c>
      <c r="Z3588">
        <v>8.8976889999999996E-4</v>
      </c>
      <c r="AA3588">
        <v>0.99547010000000002</v>
      </c>
      <c r="AB3588">
        <v>43</v>
      </c>
      <c r="AC3588">
        <v>-178.81639999999999</v>
      </c>
      <c r="AD3588">
        <v>-0.82987559999999905</v>
      </c>
      <c r="AE3588">
        <v>16.0473999999999</v>
      </c>
      <c r="AF3588">
        <v>17.106562963648098</v>
      </c>
      <c r="AG3588">
        <v>-0.82987559999999905</v>
      </c>
      <c r="AH3588">
        <v>178.71433103254699</v>
      </c>
      <c r="AI3588">
        <v>90.264845522974795</v>
      </c>
      <c r="AJ3588">
        <v>84.5322976560726</v>
      </c>
      <c r="AK3588">
        <v>179.53310365041699</v>
      </c>
      <c r="AL3588">
        <v>75.960639723912905</v>
      </c>
      <c r="AM3588">
        <v>88.440988413534797</v>
      </c>
      <c r="AN3588">
        <v>1.0000000039702099</v>
      </c>
    </row>
    <row r="3589" spans="1:40" x14ac:dyDescent="0.25">
      <c r="A3589" t="str">
        <f>"20190303170840030"</f>
        <v>20190303170840030</v>
      </c>
      <c r="B3589" t="str">
        <f>"1551604120016864"</f>
        <v>1551604120016864</v>
      </c>
      <c r="C3589" t="s">
        <v>40</v>
      </c>
      <c r="D3589">
        <v>4.8465389999999999</v>
      </c>
      <c r="E3589">
        <v>0.53237029999999996</v>
      </c>
      <c r="F3589" t="s">
        <v>75</v>
      </c>
      <c r="G3589">
        <v>-511.92520000000002</v>
      </c>
      <c r="H3589">
        <v>0.15179279999999901</v>
      </c>
      <c r="I3589">
        <v>157.02959999999999</v>
      </c>
      <c r="J3589">
        <v>-333.74279999999999</v>
      </c>
      <c r="K3589">
        <v>1.121329</v>
      </c>
      <c r="L3589">
        <v>141.00309999999999</v>
      </c>
      <c r="M3589">
        <v>-0.99986229999999998</v>
      </c>
      <c r="N3589">
        <v>-1.539854E-2</v>
      </c>
      <c r="O3589">
        <v>-6.1812530000000003E-3</v>
      </c>
      <c r="P3589">
        <v>-0.97347309999999998</v>
      </c>
      <c r="Q3589">
        <v>0.2279235</v>
      </c>
      <c r="R3589">
        <v>2.0024489999999999E-2</v>
      </c>
      <c r="S3589">
        <v>-3.07959</v>
      </c>
      <c r="T3589">
        <v>-1.6696570000000001E-2</v>
      </c>
      <c r="U3589">
        <v>0.27593990000000002</v>
      </c>
      <c r="V3589">
        <v>2.5931300000000001E-2</v>
      </c>
      <c r="W3589">
        <v>0.2428961</v>
      </c>
      <c r="X3589">
        <v>0.96970559999999995</v>
      </c>
      <c r="Y3589">
        <v>9.5395209999999994E-2</v>
      </c>
      <c r="Z3589">
        <v>9.325437E-4</v>
      </c>
      <c r="AA3589">
        <v>0.99543910000000002</v>
      </c>
      <c r="AB3589">
        <v>43</v>
      </c>
      <c r="AC3589">
        <v>-178.1824</v>
      </c>
      <c r="AD3589">
        <v>-0.96953619999999996</v>
      </c>
      <c r="AE3589">
        <v>16.026499999999999</v>
      </c>
      <c r="AF3589">
        <v>17.127211862333301</v>
      </c>
      <c r="AG3589">
        <v>-0.96953619999999996</v>
      </c>
      <c r="AH3589">
        <v>178.07468957649701</v>
      </c>
      <c r="AI3589">
        <v>90.310513659799</v>
      </c>
      <c r="AJ3589">
        <v>84.506194425024105</v>
      </c>
      <c r="AK3589">
        <v>178.89906778512301</v>
      </c>
      <c r="AL3589">
        <v>75.94246547326</v>
      </c>
      <c r="AM3589">
        <v>88.468194838413595</v>
      </c>
      <c r="AN3589">
        <v>0.99999994919312796</v>
      </c>
    </row>
    <row r="3590" spans="1:40" x14ac:dyDescent="0.25">
      <c r="A3590" t="str">
        <f>"20190303170840052"</f>
        <v>20190303170840052</v>
      </c>
      <c r="B3590" t="str">
        <f>"1551604120047123"</f>
        <v>1551604120047123</v>
      </c>
      <c r="C3590" t="s">
        <v>40</v>
      </c>
      <c r="D3590">
        <v>4.8696780000000004</v>
      </c>
      <c r="E3590">
        <v>0.53255050000000004</v>
      </c>
      <c r="F3590" t="s">
        <v>75</v>
      </c>
      <c r="G3590">
        <v>-511.92520000000002</v>
      </c>
      <c r="H3590">
        <v>0.14796010000000001</v>
      </c>
      <c r="I3590">
        <v>156.9109</v>
      </c>
      <c r="J3590">
        <v>-334.17919999999998</v>
      </c>
      <c r="K3590">
        <v>1.1213310000000001</v>
      </c>
      <c r="L3590">
        <v>141.00030000000001</v>
      </c>
      <c r="M3590">
        <v>-0.99986149999999996</v>
      </c>
      <c r="N3590">
        <v>-1.539365E-2</v>
      </c>
      <c r="O3590">
        <v>-6.3573880000000003E-3</v>
      </c>
      <c r="P3590">
        <v>-0.97341809999999995</v>
      </c>
      <c r="Q3590">
        <v>0.22813700000000001</v>
      </c>
      <c r="R3590">
        <v>2.0271649999999999E-2</v>
      </c>
      <c r="S3590">
        <v>-3.0800169999999998</v>
      </c>
      <c r="T3590">
        <v>-1.6824599999999999E-2</v>
      </c>
      <c r="U3590">
        <v>0.27497860000000002</v>
      </c>
      <c r="V3590">
        <v>2.6349750000000002E-2</v>
      </c>
      <c r="W3590">
        <v>0.24310419999999999</v>
      </c>
      <c r="X3590">
        <v>0.96964220000000001</v>
      </c>
      <c r="Y3590">
        <v>9.5250009999999996E-2</v>
      </c>
      <c r="Z3590">
        <v>9.312662E-4</v>
      </c>
      <c r="AA3590">
        <v>0.99545289999999997</v>
      </c>
      <c r="AB3590">
        <v>43</v>
      </c>
      <c r="AC3590">
        <v>-177.74600000000001</v>
      </c>
      <c r="AD3590">
        <v>-0.97337089999999904</v>
      </c>
      <c r="AE3590">
        <v>15.910599999999899</v>
      </c>
      <c r="AF3590">
        <v>17.0399054243438</v>
      </c>
      <c r="AG3590">
        <v>-0.97337089999999904</v>
      </c>
      <c r="AH3590">
        <v>177.635960644878</v>
      </c>
      <c r="AI3590">
        <v>90.312519260188395</v>
      </c>
      <c r="AJ3590">
        <v>84.520611309791605</v>
      </c>
      <c r="AK3590">
        <v>178.45402865166199</v>
      </c>
      <c r="AL3590">
        <v>75.9301742168674</v>
      </c>
      <c r="AM3590">
        <v>88.443386639643094</v>
      </c>
      <c r="AN3590">
        <v>0.99999997870177004</v>
      </c>
    </row>
    <row r="3591" spans="1:40" x14ac:dyDescent="0.25">
      <c r="A3591" t="str">
        <f>"20190303170840076"</f>
        <v>20190303170840076</v>
      </c>
      <c r="B3591" t="str">
        <f>"1551604120066475"</f>
        <v>1551604120066475</v>
      </c>
      <c r="C3591" t="s">
        <v>40</v>
      </c>
      <c r="D3591">
        <v>4.9930620000000001</v>
      </c>
      <c r="E3591">
        <v>0.53278049999999999</v>
      </c>
      <c r="F3591" t="s">
        <v>75</v>
      </c>
      <c r="G3591">
        <v>-511.92520000000002</v>
      </c>
      <c r="H3591">
        <v>0.1500513</v>
      </c>
      <c r="I3591">
        <v>156.98840000000001</v>
      </c>
      <c r="J3591">
        <v>-334.62389999999999</v>
      </c>
      <c r="K3591">
        <v>1.1213340000000001</v>
      </c>
      <c r="L3591">
        <v>140.9973</v>
      </c>
      <c r="M3591">
        <v>-0.99986030000000004</v>
      </c>
      <c r="N3591">
        <v>-1.538867E-2</v>
      </c>
      <c r="O3591">
        <v>-6.5367389999999997E-3</v>
      </c>
      <c r="P3591">
        <v>-0.97331230000000002</v>
      </c>
      <c r="Q3591">
        <v>0.22863420000000001</v>
      </c>
      <c r="R3591">
        <v>1.974499E-2</v>
      </c>
      <c r="S3591">
        <v>-3.0801090000000002</v>
      </c>
      <c r="T3591">
        <v>-1.6830210000000002E-2</v>
      </c>
      <c r="U3591">
        <v>0.27705380000000002</v>
      </c>
      <c r="V3591">
        <v>2.599711E-2</v>
      </c>
      <c r="W3591">
        <v>0.24359439999999999</v>
      </c>
      <c r="X3591">
        <v>0.96952870000000002</v>
      </c>
      <c r="Y3591">
        <v>9.6091200000000002E-2</v>
      </c>
      <c r="Z3591">
        <v>9.3816869999999999E-4</v>
      </c>
      <c r="AA3591">
        <v>0.99537209999999998</v>
      </c>
      <c r="AB3591">
        <v>43</v>
      </c>
      <c r="AC3591">
        <v>-177.3013</v>
      </c>
      <c r="AD3591">
        <v>-0.97128269999999906</v>
      </c>
      <c r="AE3591">
        <v>15.991099999999999</v>
      </c>
      <c r="AF3591">
        <v>17.149357255796499</v>
      </c>
      <c r="AG3591">
        <v>-0.97128269999999906</v>
      </c>
      <c r="AH3591">
        <v>177.18769458032699</v>
      </c>
      <c r="AI3591">
        <v>90.312612066677204</v>
      </c>
      <c r="AJ3591">
        <v>84.4717675453483</v>
      </c>
      <c r="AK3591">
        <v>178.018321964515</v>
      </c>
      <c r="AL3591">
        <v>75.901217517897393</v>
      </c>
      <c r="AM3591">
        <v>88.464029123512702</v>
      </c>
      <c r="AN3591">
        <v>0.99999999078170099</v>
      </c>
    </row>
    <row r="3592" spans="1:40" x14ac:dyDescent="0.25">
      <c r="A3592" t="str">
        <f>"20190303170840098"</f>
        <v>20190303170840098</v>
      </c>
      <c r="B3592" t="str">
        <f>"1551604120086948"</f>
        <v>1551604120086948</v>
      </c>
      <c r="C3592" t="s">
        <v>40</v>
      </c>
      <c r="D3592">
        <v>4.8579650000000001</v>
      </c>
      <c r="E3592">
        <v>0.53302430000000001</v>
      </c>
      <c r="F3592" t="s">
        <v>75</v>
      </c>
      <c r="G3592">
        <v>-511.92529999999999</v>
      </c>
      <c r="H3592">
        <v>0.20572190000000001</v>
      </c>
      <c r="I3592">
        <v>156.9777</v>
      </c>
      <c r="J3592">
        <v>-335.05930000000001</v>
      </c>
      <c r="K3592">
        <v>1.121329</v>
      </c>
      <c r="L3592">
        <v>140.99430000000001</v>
      </c>
      <c r="M3592">
        <v>-0.9998591</v>
      </c>
      <c r="N3592">
        <v>-1.538379E-2</v>
      </c>
      <c r="O3592">
        <v>-6.7127519999999998E-3</v>
      </c>
      <c r="P3592">
        <v>-0.9734256</v>
      </c>
      <c r="Q3592">
        <v>0.22816739999999999</v>
      </c>
      <c r="R3592">
        <v>1.9557740000000001E-2</v>
      </c>
      <c r="S3592">
        <v>-3.0803219999999998</v>
      </c>
      <c r="T3592">
        <v>-1.5906449999999999E-2</v>
      </c>
      <c r="U3592">
        <v>0.27763369999999998</v>
      </c>
      <c r="V3592">
        <v>2.598251E-2</v>
      </c>
      <c r="W3592">
        <v>0.24312500000000001</v>
      </c>
      <c r="X3592">
        <v>0.96964689999999998</v>
      </c>
      <c r="Y3592">
        <v>9.6446439999999994E-2</v>
      </c>
      <c r="Z3592">
        <v>9.2347139999999996E-4</v>
      </c>
      <c r="AA3592">
        <v>0.99533769999999999</v>
      </c>
      <c r="AB3592">
        <v>43</v>
      </c>
      <c r="AC3592">
        <v>-176.86600000000001</v>
      </c>
      <c r="AD3592">
        <v>-0.91560710000000001</v>
      </c>
      <c r="AE3592">
        <v>15.9833999999999</v>
      </c>
      <c r="AF3592">
        <v>17.169981517326001</v>
      </c>
      <c r="AG3592">
        <v>-0.91560710000000001</v>
      </c>
      <c r="AH3592">
        <v>176.75001035469401</v>
      </c>
      <c r="AI3592">
        <v>90.295412548875206</v>
      </c>
      <c r="AJ3592">
        <v>84.451539964688905</v>
      </c>
      <c r="AK3592">
        <v>177.584382089336</v>
      </c>
      <c r="AL3592">
        <v>75.928945673079696</v>
      </c>
      <c r="AM3592">
        <v>88.465078353540505</v>
      </c>
      <c r="AN3592">
        <v>0.99999998356525399</v>
      </c>
    </row>
    <row r="3593" spans="1:40" x14ac:dyDescent="0.25">
      <c r="A3593" t="str">
        <f>"20190303170840123"</f>
        <v>20190303170840123</v>
      </c>
      <c r="B3593" t="str">
        <f>"1551604120106467"</f>
        <v>1551604120106467</v>
      </c>
      <c r="C3593" t="s">
        <v>40</v>
      </c>
      <c r="D3593">
        <v>4.8910669999999996</v>
      </c>
      <c r="E3593">
        <v>0.5332694</v>
      </c>
      <c r="F3593" t="s">
        <v>75</v>
      </c>
      <c r="G3593">
        <v>-511.92520000000002</v>
      </c>
      <c r="H3593">
        <v>0.10858619999999999</v>
      </c>
      <c r="I3593">
        <v>157.02189999999999</v>
      </c>
      <c r="J3593">
        <v>-335.5068</v>
      </c>
      <c r="K3593">
        <v>1.1213219999999999</v>
      </c>
      <c r="L3593">
        <v>140.99109999999999</v>
      </c>
      <c r="M3593">
        <v>-0.99985809999999997</v>
      </c>
      <c r="N3593">
        <v>-1.537876E-2</v>
      </c>
      <c r="O3593">
        <v>-6.8942480000000004E-3</v>
      </c>
      <c r="P3593">
        <v>-0.97366940000000002</v>
      </c>
      <c r="Q3593">
        <v>0.22713630000000001</v>
      </c>
      <c r="R3593">
        <v>1.942754E-2</v>
      </c>
      <c r="S3593">
        <v>-3.0803829999999999</v>
      </c>
      <c r="T3593">
        <v>-1.7637610000000001E-2</v>
      </c>
      <c r="U3593">
        <v>0.27914430000000001</v>
      </c>
      <c r="V3593">
        <v>2.6031200000000001E-2</v>
      </c>
      <c r="W3593">
        <v>0.24209249999999999</v>
      </c>
      <c r="X3593">
        <v>0.96990390000000004</v>
      </c>
      <c r="Y3593">
        <v>9.7108760000000002E-2</v>
      </c>
      <c r="Z3593">
        <v>9.5932959999999996E-4</v>
      </c>
      <c r="AA3593">
        <v>0.99527330000000003</v>
      </c>
      <c r="AB3593">
        <v>43</v>
      </c>
      <c r="AC3593">
        <v>-176.41839999999999</v>
      </c>
      <c r="AD3593">
        <v>-1.0127358</v>
      </c>
      <c r="AE3593">
        <v>16.030799999999999</v>
      </c>
      <c r="AF3593">
        <v>17.246271152043899</v>
      </c>
      <c r="AG3593">
        <v>-1.0127358</v>
      </c>
      <c r="AH3593">
        <v>176.29791085406899</v>
      </c>
      <c r="AI3593">
        <v>90.327565952143701</v>
      </c>
      <c r="AJ3593">
        <v>84.412840893924596</v>
      </c>
      <c r="AK3593">
        <v>177.14235200527199</v>
      </c>
      <c r="AL3593">
        <v>75.989925458251193</v>
      </c>
      <c r="AM3593">
        <v>88.462610644164201</v>
      </c>
      <c r="AN3593">
        <v>0.99999998858244898</v>
      </c>
    </row>
    <row r="3594" spans="1:40" x14ac:dyDescent="0.25">
      <c r="A3594" t="str">
        <f>"20190303170840145"</f>
        <v>20190303170840145</v>
      </c>
      <c r="B3594" t="str">
        <f>"1551604120136723"</f>
        <v>1551604120136723</v>
      </c>
      <c r="C3594" t="s">
        <v>40</v>
      </c>
      <c r="D3594">
        <v>4.8367239999999896</v>
      </c>
      <c r="E3594">
        <v>0.53349199999999997</v>
      </c>
      <c r="F3594" t="s">
        <v>59</v>
      </c>
      <c r="G3594">
        <v>-498.4436</v>
      </c>
      <c r="H3594" s="1">
        <v>-3.6947509999999999E-6</v>
      </c>
      <c r="I3594">
        <v>155.8503</v>
      </c>
      <c r="J3594">
        <v>-335.94659999999999</v>
      </c>
      <c r="K3594">
        <v>1.1213169999999999</v>
      </c>
      <c r="L3594">
        <v>140.9879</v>
      </c>
      <c r="M3594">
        <v>-0.99985690000000005</v>
      </c>
      <c r="N3594">
        <v>-1.537379E-2</v>
      </c>
      <c r="O3594">
        <v>-7.0722889999999998E-3</v>
      </c>
      <c r="P3594">
        <v>-0.97370179999999995</v>
      </c>
      <c r="Q3594">
        <v>0.2270916</v>
      </c>
      <c r="R3594">
        <v>1.8292699999999999E-2</v>
      </c>
      <c r="S3594">
        <v>-3.080505</v>
      </c>
      <c r="T3594">
        <v>-2.119994E-2</v>
      </c>
      <c r="U3594">
        <v>0.2809296</v>
      </c>
      <c r="V3594">
        <v>2.5070470000000001E-2</v>
      </c>
      <c r="W3594">
        <v>0.24204349999999999</v>
      </c>
      <c r="X3594">
        <v>0.96994139999999995</v>
      </c>
      <c r="Y3594">
        <v>9.7852939999999999E-2</v>
      </c>
      <c r="Z3594">
        <v>1.029896E-3</v>
      </c>
      <c r="AA3594">
        <v>0.99520030000000004</v>
      </c>
      <c r="AB3594">
        <v>43</v>
      </c>
      <c r="AC3594">
        <v>-162.49700000000001</v>
      </c>
      <c r="AD3594">
        <v>-1.1213206947509999</v>
      </c>
      <c r="AE3594">
        <v>14.862399999999999</v>
      </c>
      <c r="AF3594">
        <v>16.010633625002001</v>
      </c>
      <c r="AG3594">
        <v>-1.1213206947509999</v>
      </c>
      <c r="AH3594">
        <v>162.38014352623799</v>
      </c>
      <c r="AI3594">
        <v>90.393742073539201</v>
      </c>
      <c r="AJ3594">
        <v>84.368854671994896</v>
      </c>
      <c r="AK3594">
        <v>163.171409140131</v>
      </c>
      <c r="AL3594">
        <v>75.992818483346198</v>
      </c>
      <c r="AM3594">
        <v>88.519382344462102</v>
      </c>
      <c r="AN3594">
        <v>0.99999995189611401</v>
      </c>
    </row>
    <row r="3595" spans="1:40" x14ac:dyDescent="0.25">
      <c r="A3595" t="str">
        <f>"20190303170840166"</f>
        <v>20190303170840166</v>
      </c>
      <c r="B3595" t="str">
        <f>"1551604120157220"</f>
        <v>1551604120157220</v>
      </c>
      <c r="C3595" t="s">
        <v>40</v>
      </c>
      <c r="D3595">
        <v>4.8586650000000002</v>
      </c>
      <c r="E3595">
        <v>0.53370699999999904</v>
      </c>
      <c r="F3595" t="s">
        <v>59</v>
      </c>
      <c r="G3595">
        <v>-497.91079999999999</v>
      </c>
      <c r="H3595" s="1">
        <v>-3.6069539999999999E-6</v>
      </c>
      <c r="I3595">
        <v>155.7089</v>
      </c>
      <c r="J3595">
        <v>-336.34829999999999</v>
      </c>
      <c r="K3595">
        <v>1.1213200000000001</v>
      </c>
      <c r="L3595">
        <v>140.98490000000001</v>
      </c>
      <c r="M3595">
        <v>-0.99985590000000002</v>
      </c>
      <c r="N3595">
        <v>-1.5369219999999999E-2</v>
      </c>
      <c r="O3595">
        <v>-7.2348389999999999E-3</v>
      </c>
      <c r="P3595">
        <v>-0.97358020000000001</v>
      </c>
      <c r="Q3595">
        <v>0.22772500000000001</v>
      </c>
      <c r="R3595">
        <v>1.6829170000000001E-2</v>
      </c>
      <c r="S3595">
        <v>-3.0807799999999999</v>
      </c>
      <c r="T3595">
        <v>-2.1329049999999999E-2</v>
      </c>
      <c r="U3595">
        <v>0.28001399999999999</v>
      </c>
      <c r="V3595">
        <v>2.3764110000000001E-2</v>
      </c>
      <c r="W3595">
        <v>0.24266989999999999</v>
      </c>
      <c r="X3595">
        <v>0.96981779999999995</v>
      </c>
      <c r="Y3595">
        <v>9.7713339999999996E-2</v>
      </c>
      <c r="Z3595">
        <v>1.0290779999999999E-3</v>
      </c>
      <c r="AA3595">
        <v>0.99521400000000004</v>
      </c>
      <c r="AB3595">
        <v>43</v>
      </c>
      <c r="AC3595">
        <v>-161.5625</v>
      </c>
      <c r="AD3595">
        <v>-1.121323606954</v>
      </c>
      <c r="AE3595">
        <v>14.723999999999901</v>
      </c>
      <c r="AF3595">
        <v>15.891871874935401</v>
      </c>
      <c r="AG3595">
        <v>-1.121323606954</v>
      </c>
      <c r="AH3595">
        <v>161.444019516032</v>
      </c>
      <c r="AI3595">
        <v>90.396032453578897</v>
      </c>
      <c r="AJ3595">
        <v>84.378155015801596</v>
      </c>
      <c r="AK3595">
        <v>162.228173865744</v>
      </c>
      <c r="AL3595">
        <v>75.955826077107602</v>
      </c>
      <c r="AM3595">
        <v>88.596323151678305</v>
      </c>
      <c r="AN3595">
        <v>0.99999998924347</v>
      </c>
    </row>
    <row r="3596" spans="1:40" x14ac:dyDescent="0.25">
      <c r="A3596" t="str">
        <f>"20190303170840186"</f>
        <v>20190303170840186</v>
      </c>
      <c r="B3596" t="str">
        <f>"1551604120176810"</f>
        <v>1551604120176810</v>
      </c>
      <c r="C3596" t="s">
        <v>40</v>
      </c>
      <c r="D3596">
        <v>4.8570089999999997</v>
      </c>
      <c r="E3596">
        <v>0.53773859999999996</v>
      </c>
      <c r="F3596" t="s">
        <v>59</v>
      </c>
      <c r="G3596">
        <v>-499.98770000000002</v>
      </c>
      <c r="H3596">
        <v>7.9894629999999994E-2</v>
      </c>
      <c r="I3596">
        <v>155.69229999999999</v>
      </c>
      <c r="J3596">
        <v>-336.7448</v>
      </c>
      <c r="K3596">
        <v>1.1213280000000001</v>
      </c>
      <c r="L3596">
        <v>140.9819</v>
      </c>
      <c r="M3596">
        <v>-0.99985460000000004</v>
      </c>
      <c r="N3596">
        <v>-1.536471E-2</v>
      </c>
      <c r="O3596">
        <v>-7.394889E-3</v>
      </c>
      <c r="P3596">
        <v>-0.97351969999999999</v>
      </c>
      <c r="Q3596">
        <v>0.22807240000000001</v>
      </c>
      <c r="R3596">
        <v>1.556983E-2</v>
      </c>
      <c r="S3596">
        <v>-3.0812379999999999</v>
      </c>
      <c r="T3596">
        <v>-1.960945E-2</v>
      </c>
      <c r="U3596">
        <v>0.27693179999999901</v>
      </c>
      <c r="V3596">
        <v>2.266023E-2</v>
      </c>
      <c r="W3596">
        <v>0.24301120000000001</v>
      </c>
      <c r="X3596">
        <v>0.96975869999999997</v>
      </c>
      <c r="Y3596">
        <v>9.6872609999999998E-2</v>
      </c>
      <c r="Z3596">
        <v>9.8698810000000009E-4</v>
      </c>
      <c r="AA3596">
        <v>0.99529630000000002</v>
      </c>
      <c r="AB3596">
        <v>43</v>
      </c>
      <c r="AC3596">
        <v>-163.24289999999999</v>
      </c>
      <c r="AD3596">
        <v>-1.04143337</v>
      </c>
      <c r="AE3596">
        <v>14.7103999999999</v>
      </c>
      <c r="AF3596">
        <v>15.9166607480674</v>
      </c>
      <c r="AG3596">
        <v>-1.04143337</v>
      </c>
      <c r="AH3596">
        <v>163.12305521791299</v>
      </c>
      <c r="AI3596">
        <v>90.3640619536163</v>
      </c>
      <c r="AJ3596">
        <v>84.427031064796296</v>
      </c>
      <c r="AK3596">
        <v>163.90105495834899</v>
      </c>
      <c r="AL3596">
        <v>75.935666797637296</v>
      </c>
      <c r="AM3596">
        <v>88.661420292054899</v>
      </c>
      <c r="AN3596">
        <v>0.99999993278738897</v>
      </c>
    </row>
    <row r="3597" spans="1:40" x14ac:dyDescent="0.25">
      <c r="A3597" t="str">
        <f>"20190303170840209"</f>
        <v>20190303170840209</v>
      </c>
      <c r="B3597" t="str">
        <f>"1551604120197306"</f>
        <v>1551604120197306</v>
      </c>
      <c r="C3597" t="s">
        <v>40</v>
      </c>
      <c r="D3597">
        <v>5.3024589999999998</v>
      </c>
      <c r="E3597">
        <v>0.53682019999999997</v>
      </c>
      <c r="F3597" t="s">
        <v>58</v>
      </c>
      <c r="G3597">
        <v>-425.8596</v>
      </c>
      <c r="H3597" s="1">
        <v>-1.442728E-5</v>
      </c>
      <c r="I3597">
        <v>149.75219999999999</v>
      </c>
      <c r="J3597">
        <v>-337.15730000000002</v>
      </c>
      <c r="K3597">
        <v>1.1213379999999999</v>
      </c>
      <c r="L3597">
        <v>140.9787</v>
      </c>
      <c r="M3597">
        <v>-0.99985349999999995</v>
      </c>
      <c r="N3597">
        <v>-1.536002E-2</v>
      </c>
      <c r="O3597">
        <v>-7.5618480000000004E-3</v>
      </c>
      <c r="P3597">
        <v>-0.97362870000000001</v>
      </c>
      <c r="Q3597">
        <v>0.22771140000000001</v>
      </c>
      <c r="R3597">
        <v>1.3956919999999999E-2</v>
      </c>
      <c r="S3597">
        <v>-3.0858460000000001</v>
      </c>
      <c r="T3597">
        <v>-3.8829570000000001E-2</v>
      </c>
      <c r="U3597">
        <v>0.30369570000000001</v>
      </c>
      <c r="V3597">
        <v>2.1210880000000001E-2</v>
      </c>
      <c r="W3597">
        <v>0.24264720000000001</v>
      </c>
      <c r="X3597">
        <v>0.96988269999999999</v>
      </c>
      <c r="Y3597">
        <v>0.1054476</v>
      </c>
      <c r="Z3597">
        <v>1.4527730000000001E-3</v>
      </c>
      <c r="AA3597">
        <v>0.99442379999999997</v>
      </c>
      <c r="AB3597">
        <v>43</v>
      </c>
      <c r="AC3597">
        <v>-88.702299999999894</v>
      </c>
      <c r="AD3597">
        <v>-1.12135242728</v>
      </c>
      <c r="AE3597">
        <v>8.7734999999999808</v>
      </c>
      <c r="AF3597">
        <v>9.4425870644882508</v>
      </c>
      <c r="AG3597">
        <v>-1.12135242728</v>
      </c>
      <c r="AH3597">
        <v>88.619386205476602</v>
      </c>
      <c r="AI3597">
        <v>90.720877787497102</v>
      </c>
      <c r="AJ3597">
        <v>83.917958836187296</v>
      </c>
      <c r="AK3597">
        <v>89.128084761045002</v>
      </c>
      <c r="AL3597">
        <v>75.957167036972507</v>
      </c>
      <c r="AM3597">
        <v>88.747167868297396</v>
      </c>
      <c r="AN3597">
        <v>1.0000000084287499</v>
      </c>
    </row>
    <row r="3598" spans="1:40" x14ac:dyDescent="0.25">
      <c r="A3598" t="str">
        <f>"20190303170840231"</f>
        <v>20190303170840231</v>
      </c>
      <c r="B3598" t="str">
        <f>"1551604120226587"</f>
        <v>1551604120226587</v>
      </c>
      <c r="C3598" t="s">
        <v>40</v>
      </c>
      <c r="D3598">
        <v>5.0349629999999896</v>
      </c>
      <c r="E3598">
        <v>0.4708463</v>
      </c>
      <c r="F3598" t="s">
        <v>58</v>
      </c>
      <c r="G3598">
        <v>-432.54950000000002</v>
      </c>
      <c r="H3598">
        <v>7.9982299999999895E-2</v>
      </c>
      <c r="I3598">
        <v>150.01140000000001</v>
      </c>
      <c r="J3598">
        <v>-337.58940000000001</v>
      </c>
      <c r="K3598">
        <v>1.1213379999999999</v>
      </c>
      <c r="L3598">
        <v>140.9753</v>
      </c>
      <c r="M3598">
        <v>-0.99985210000000002</v>
      </c>
      <c r="N3598">
        <v>-1.535505E-2</v>
      </c>
      <c r="O3598">
        <v>-7.7365519999999998E-3</v>
      </c>
      <c r="P3598">
        <v>-0.97368330000000003</v>
      </c>
      <c r="Q3598">
        <v>0.22758300000000001</v>
      </c>
      <c r="R3598">
        <v>1.212269E-2</v>
      </c>
      <c r="S3598">
        <v>-3.0849609999999998</v>
      </c>
      <c r="T3598">
        <v>-3.3677220000000001E-2</v>
      </c>
      <c r="U3598">
        <v>0.29211429999999999</v>
      </c>
      <c r="V3598">
        <v>1.9547720000000001E-2</v>
      </c>
      <c r="W3598">
        <v>0.24251400000000001</v>
      </c>
      <c r="X3598">
        <v>0.96995100000000001</v>
      </c>
      <c r="Y3598">
        <v>0.10195360000000001</v>
      </c>
      <c r="Z3598">
        <v>1.3055790000000001E-3</v>
      </c>
      <c r="AA3598">
        <v>0.99478829999999996</v>
      </c>
      <c r="AB3598">
        <v>43</v>
      </c>
      <c r="AC3598">
        <v>-94.960099999999997</v>
      </c>
      <c r="AD3598">
        <v>-1.0413557</v>
      </c>
      <c r="AE3598">
        <v>9.0360999999999994</v>
      </c>
      <c r="AF3598">
        <v>9.7694156241135293</v>
      </c>
      <c r="AG3598">
        <v>-1.0413557</v>
      </c>
      <c r="AH3598">
        <v>94.876033632609094</v>
      </c>
      <c r="AI3598">
        <v>90.625543746856493</v>
      </c>
      <c r="AJ3598">
        <v>84.120955057993896</v>
      </c>
      <c r="AK3598">
        <v>95.3833720371982</v>
      </c>
      <c r="AL3598">
        <v>75.965034371669901</v>
      </c>
      <c r="AM3598">
        <v>88.8454568732799</v>
      </c>
      <c r="AN3598">
        <v>1.0000000479770901</v>
      </c>
    </row>
    <row r="3599" spans="1:40" x14ac:dyDescent="0.25">
      <c r="A3599" t="str">
        <f>"20190303170840253"</f>
        <v>20190303170840253</v>
      </c>
      <c r="B3599" t="str">
        <f>"1551604120247083"</f>
        <v>1551604120247083</v>
      </c>
      <c r="C3599" t="s">
        <v>40</v>
      </c>
      <c r="D3599">
        <v>5.034376</v>
      </c>
      <c r="E3599">
        <v>0.45607500000000001</v>
      </c>
      <c r="F3599" t="s">
        <v>41</v>
      </c>
      <c r="G3599">
        <v>-500.70909999999998</v>
      </c>
      <c r="H3599">
        <v>2.31907</v>
      </c>
      <c r="I3599">
        <v>128.4222</v>
      </c>
      <c r="J3599">
        <v>-338.01749999999998</v>
      </c>
      <c r="K3599">
        <v>1.12134</v>
      </c>
      <c r="L3599">
        <v>140.9718</v>
      </c>
      <c r="M3599">
        <v>-0.99985100000000005</v>
      </c>
      <c r="N3599">
        <v>-1.535011E-2</v>
      </c>
      <c r="O3599">
        <v>-7.9099440000000003E-3</v>
      </c>
      <c r="P3599">
        <v>-0.97356719999999997</v>
      </c>
      <c r="Q3599">
        <v>0.22809950000000001</v>
      </c>
      <c r="R3599">
        <v>1.1742539999999999E-2</v>
      </c>
      <c r="S3599">
        <v>-3.0787049999999998</v>
      </c>
      <c r="T3599">
        <v>2.260649E-2</v>
      </c>
      <c r="U3599">
        <v>-0.2369232</v>
      </c>
      <c r="V3599">
        <v>1.9335580000000002E-2</v>
      </c>
      <c r="W3599">
        <v>0.24302370000000001</v>
      </c>
      <c r="X3599">
        <v>0.96982760000000001</v>
      </c>
      <c r="Y3599">
        <v>-6.8842719999999996E-2</v>
      </c>
      <c r="Z3599">
        <v>-4.5604180000000002E-4</v>
      </c>
      <c r="AA3599">
        <v>0.99762740000000005</v>
      </c>
      <c r="AB3599">
        <v>43</v>
      </c>
      <c r="AC3599">
        <v>-162.69159999999999</v>
      </c>
      <c r="AD3599">
        <v>1.19773</v>
      </c>
      <c r="AE3599">
        <v>-12.5495999999999</v>
      </c>
      <c r="AF3599">
        <v>-11.2615676096174</v>
      </c>
      <c r="AG3599">
        <v>1.19773</v>
      </c>
      <c r="AH3599">
        <v>162.77701736806799</v>
      </c>
      <c r="AI3599">
        <v>89.579424671151799</v>
      </c>
      <c r="AJ3599">
        <v>93.9576457792746</v>
      </c>
      <c r="AK3599">
        <v>163.17050850390601</v>
      </c>
      <c r="AL3599">
        <v>75.934929123764107</v>
      </c>
      <c r="AM3599">
        <v>88.857837849036002</v>
      </c>
      <c r="AN3599">
        <v>0.99999997856869305</v>
      </c>
    </row>
    <row r="3600" spans="1:40" x14ac:dyDescent="0.25">
      <c r="A3600" t="str">
        <f>"20190303170840276"</f>
        <v>20190303170840276</v>
      </c>
      <c r="B3600" t="str">
        <f>"1551604120266602"</f>
        <v>1551604120266602</v>
      </c>
      <c r="C3600" t="s">
        <v>40</v>
      </c>
      <c r="D3600">
        <v>5.0260720000000001</v>
      </c>
      <c r="E3600">
        <v>0.44839309999999899</v>
      </c>
      <c r="F3600" t="s">
        <v>45</v>
      </c>
      <c r="G3600">
        <v>0</v>
      </c>
      <c r="H3600">
        <v>0</v>
      </c>
      <c r="I3600">
        <v>0</v>
      </c>
      <c r="J3600">
        <v>-338.4425</v>
      </c>
      <c r="K3600">
        <v>1.1213360000000001</v>
      </c>
      <c r="L3600">
        <v>140.9683</v>
      </c>
      <c r="M3600">
        <v>-0.99984969999999995</v>
      </c>
      <c r="N3600">
        <v>-1.534522E-2</v>
      </c>
      <c r="O3600">
        <v>-8.0823809999999996E-3</v>
      </c>
      <c r="P3600">
        <v>-0.9733231</v>
      </c>
      <c r="Q3600">
        <v>0.2291501</v>
      </c>
      <c r="R3600">
        <v>1.1530459999999999E-2</v>
      </c>
      <c r="S3600">
        <v>-3.076263</v>
      </c>
      <c r="T3600">
        <v>4.0463449999999998E-2</v>
      </c>
      <c r="U3600">
        <v>-0.35557559999999999</v>
      </c>
      <c r="V3600">
        <v>1.928931E-2</v>
      </c>
      <c r="W3600">
        <v>0.2440657</v>
      </c>
      <c r="X3600">
        <v>0.96956679999999995</v>
      </c>
      <c r="Y3600">
        <v>-0.1067936</v>
      </c>
      <c r="Z3600">
        <v>-3.5172110000000002E-4</v>
      </c>
      <c r="AA3600">
        <v>0.99428119999999998</v>
      </c>
      <c r="AB3600">
        <v>43</v>
      </c>
      <c r="AC3600">
        <v>-3.076263</v>
      </c>
      <c r="AD3600">
        <v>4.0463449999999998E-2</v>
      </c>
      <c r="AE3600">
        <v>-0.35557559999999999</v>
      </c>
      <c r="AF3600">
        <v>-0.33064107734631798</v>
      </c>
      <c r="AG3600">
        <v>4.0463449999999998E-2</v>
      </c>
      <c r="AH3600">
        <v>3.0785111315872902</v>
      </c>
      <c r="AI3600">
        <v>89.251262559992298</v>
      </c>
      <c r="AJ3600">
        <v>96.130234417025903</v>
      </c>
      <c r="AK3600">
        <v>3.09648051828548</v>
      </c>
      <c r="AL3600">
        <v>75.873373209772296</v>
      </c>
      <c r="AM3600">
        <v>88.860263909175401</v>
      </c>
      <c r="AN3600">
        <v>0.99999996152950199</v>
      </c>
    </row>
    <row r="3601" spans="1:40" x14ac:dyDescent="0.25">
      <c r="A3601" t="str">
        <f>"20190303170840297"</f>
        <v>20190303170840297</v>
      </c>
      <c r="B3601" t="str">
        <f>"1551604120287099"</f>
        <v>1551604120287099</v>
      </c>
      <c r="C3601" t="s">
        <v>40</v>
      </c>
      <c r="D3601">
        <v>5.0364940000000002</v>
      </c>
      <c r="E3601">
        <v>0.44400990000000001</v>
      </c>
      <c r="F3601" t="s">
        <v>45</v>
      </c>
      <c r="G3601">
        <v>0</v>
      </c>
      <c r="H3601">
        <v>0</v>
      </c>
      <c r="I3601">
        <v>0</v>
      </c>
      <c r="J3601">
        <v>-338.8467</v>
      </c>
      <c r="K3601">
        <v>1.1213420000000001</v>
      </c>
      <c r="L3601">
        <v>140.9649</v>
      </c>
      <c r="M3601">
        <v>-0.99984839999999997</v>
      </c>
      <c r="N3601">
        <v>-1.534046E-2</v>
      </c>
      <c r="O3601">
        <v>-8.2464759999999904E-3</v>
      </c>
      <c r="P3601">
        <v>-0.97314979999999995</v>
      </c>
      <c r="Q3601">
        <v>0.2298936</v>
      </c>
      <c r="R3601">
        <v>1.134027E-2</v>
      </c>
      <c r="S3601">
        <v>-3.0748289999999998</v>
      </c>
      <c r="T3601">
        <v>5.2359940000000001E-2</v>
      </c>
      <c r="U3601">
        <v>-0.41780089999999998</v>
      </c>
      <c r="V3601">
        <v>1.9257300000000001E-2</v>
      </c>
      <c r="W3601">
        <v>0.24480180000000001</v>
      </c>
      <c r="X3601">
        <v>0.96938190000000002</v>
      </c>
      <c r="Y3601">
        <v>-0.1264662</v>
      </c>
      <c r="Z3601">
        <v>-1.6844479999999999E-4</v>
      </c>
      <c r="AA3601">
        <v>0.99197089999999999</v>
      </c>
      <c r="AB3601">
        <v>42</v>
      </c>
      <c r="AC3601">
        <v>-3.0748289999999998</v>
      </c>
      <c r="AD3601">
        <v>5.2359940000000001E-2</v>
      </c>
      <c r="AE3601">
        <v>-0.41780089999999998</v>
      </c>
      <c r="AF3601">
        <v>-0.39231550629225498</v>
      </c>
      <c r="AG3601">
        <v>5.2359940000000001E-2</v>
      </c>
      <c r="AH3601">
        <v>3.07729405955611</v>
      </c>
      <c r="AI3601">
        <v>89.033035292661197</v>
      </c>
      <c r="AJ3601">
        <v>97.265285015259707</v>
      </c>
      <c r="AK3601">
        <v>3.1026427040143498</v>
      </c>
      <c r="AL3601">
        <v>75.829879206874097</v>
      </c>
      <c r="AM3601">
        <v>88.861937791884401</v>
      </c>
      <c r="AN3601">
        <v>1.0000000164670699</v>
      </c>
    </row>
    <row r="3602" spans="1:40" x14ac:dyDescent="0.25">
      <c r="A3602" t="str">
        <f>"20190303170840321"</f>
        <v>20190303170840321</v>
      </c>
      <c r="B3602" t="str">
        <f>"1551604120306618"</f>
        <v>1551604120306618</v>
      </c>
      <c r="C3602" t="s">
        <v>40</v>
      </c>
      <c r="D3602">
        <v>5.0125799999999998</v>
      </c>
      <c r="E3602">
        <v>0.44091950000000002</v>
      </c>
      <c r="F3602" t="s">
        <v>45</v>
      </c>
      <c r="G3602">
        <v>0</v>
      </c>
      <c r="H3602">
        <v>0</v>
      </c>
      <c r="I3602">
        <v>0</v>
      </c>
      <c r="J3602">
        <v>-339.286</v>
      </c>
      <c r="K3602">
        <v>1.1213439999999999</v>
      </c>
      <c r="L3602">
        <v>140.96109999999999</v>
      </c>
      <c r="M3602">
        <v>-0.99984700000000004</v>
      </c>
      <c r="N3602">
        <v>-1.533518E-2</v>
      </c>
      <c r="O3602">
        <v>-8.4247519999999902E-3</v>
      </c>
      <c r="P3602">
        <v>-0.97317229999999999</v>
      </c>
      <c r="Q3602">
        <v>0.2298048</v>
      </c>
      <c r="R3602">
        <v>1.1217899999999999E-2</v>
      </c>
      <c r="S3602">
        <v>-3.0741879999999999</v>
      </c>
      <c r="T3602">
        <v>5.867708E-2</v>
      </c>
      <c r="U3602">
        <v>-0.4532776</v>
      </c>
      <c r="V3602">
        <v>1.930894E-2</v>
      </c>
      <c r="W3602">
        <v>0.24470790000000001</v>
      </c>
      <c r="X3602">
        <v>0.96940459999999995</v>
      </c>
      <c r="Y3602">
        <v>-0.1375287</v>
      </c>
      <c r="Z3602" s="1">
        <v>-4.3337699999999997E-5</v>
      </c>
      <c r="AA3602">
        <v>0.99049779999999998</v>
      </c>
      <c r="AB3602">
        <v>42</v>
      </c>
      <c r="AC3602">
        <v>-3.0741879999999999</v>
      </c>
      <c r="AD3602">
        <v>5.867708E-2</v>
      </c>
      <c r="AE3602">
        <v>-0.4532776</v>
      </c>
      <c r="AF3602">
        <v>-0.427206868796356</v>
      </c>
      <c r="AG3602">
        <v>5.867708E-2</v>
      </c>
      <c r="AH3602">
        <v>3.0768010034786299</v>
      </c>
      <c r="AI3602">
        <v>88.917834716253097</v>
      </c>
      <c r="AJ3602">
        <v>97.904849706553804</v>
      </c>
      <c r="AK3602">
        <v>3.1068719193863199</v>
      </c>
      <c r="AL3602">
        <v>75.835428316425293</v>
      </c>
      <c r="AM3602">
        <v>88.858913506072597</v>
      </c>
      <c r="AN3602">
        <v>1.0000000349937399</v>
      </c>
    </row>
    <row r="3603" spans="1:40" x14ac:dyDescent="0.25">
      <c r="A3603" t="str">
        <f>"20190303170840345"</f>
        <v>20190303170840345</v>
      </c>
      <c r="B3603" t="str">
        <f>"1551604120336874"</f>
        <v>1551604120336874</v>
      </c>
      <c r="C3603" t="s">
        <v>40</v>
      </c>
      <c r="D3603">
        <v>5.0369590000000004</v>
      </c>
      <c r="E3603">
        <v>0.43814740000000002</v>
      </c>
      <c r="F3603" t="s">
        <v>45</v>
      </c>
      <c r="G3603">
        <v>0</v>
      </c>
      <c r="H3603">
        <v>0</v>
      </c>
      <c r="I3603">
        <v>0</v>
      </c>
      <c r="J3603">
        <v>-339.74630000000002</v>
      </c>
      <c r="K3603">
        <v>1.12134</v>
      </c>
      <c r="L3603">
        <v>140.9571</v>
      </c>
      <c r="M3603">
        <v>-0.99984550000000005</v>
      </c>
      <c r="N3603">
        <v>-1.5329860000000001E-2</v>
      </c>
      <c r="O3603">
        <v>-8.6114920000000001E-3</v>
      </c>
      <c r="P3603">
        <v>-0.97338100000000005</v>
      </c>
      <c r="Q3603">
        <v>0.228911</v>
      </c>
      <c r="R3603">
        <v>1.13729E-2</v>
      </c>
      <c r="S3603">
        <v>-3.0737610000000002</v>
      </c>
      <c r="T3603">
        <v>6.1169029999999999E-2</v>
      </c>
      <c r="U3603">
        <v>-0.47775269999999997</v>
      </c>
      <c r="V3603">
        <v>1.964811E-2</v>
      </c>
      <c r="W3603">
        <v>0.24381269999999999</v>
      </c>
      <c r="X3603">
        <v>0.96962329999999997</v>
      </c>
      <c r="Y3603">
        <v>-0.14506830000000001</v>
      </c>
      <c r="Z3603" s="1">
        <v>1.450395E-5</v>
      </c>
      <c r="AA3603">
        <v>0.98942169999999896</v>
      </c>
      <c r="AB3603">
        <v>42</v>
      </c>
      <c r="AC3603">
        <v>-3.0737610000000002</v>
      </c>
      <c r="AD3603">
        <v>6.1169029999999999E-2</v>
      </c>
      <c r="AE3603">
        <v>-0.47775269999999997</v>
      </c>
      <c r="AF3603">
        <v>-0.45108777606772699</v>
      </c>
      <c r="AG3603">
        <v>6.1169029999999999E-2</v>
      </c>
      <c r="AH3603">
        <v>3.0765719857606801</v>
      </c>
      <c r="AI3603">
        <v>88.873029679555302</v>
      </c>
      <c r="AJ3603">
        <v>98.341288499114995</v>
      </c>
      <c r="AK3603">
        <v>3.1100670435725801</v>
      </c>
      <c r="AL3603">
        <v>75.888321328088296</v>
      </c>
      <c r="AM3603">
        <v>88.839137083105001</v>
      </c>
      <c r="AN3603">
        <v>1.0000000124053701</v>
      </c>
    </row>
    <row r="3604" spans="1:40" x14ac:dyDescent="0.25">
      <c r="A3604" t="str">
        <f>"20190303170840368"</f>
        <v>20190303170840368</v>
      </c>
      <c r="B3604" t="str">
        <f>"1551604120357370"</f>
        <v>1551604120357370</v>
      </c>
      <c r="C3604" t="s">
        <v>40</v>
      </c>
      <c r="D3604">
        <v>5.0150079999999999</v>
      </c>
      <c r="E3604">
        <v>0.43680140000000001</v>
      </c>
      <c r="F3604" t="s">
        <v>76</v>
      </c>
      <c r="G3604">
        <v>-470.8775</v>
      </c>
      <c r="H3604">
        <v>3.634544</v>
      </c>
      <c r="I3604">
        <v>119.65600000000001</v>
      </c>
      <c r="J3604">
        <v>-340.185</v>
      </c>
      <c r="K3604">
        <v>1.1213379999999999</v>
      </c>
      <c r="L3604">
        <v>140.95310000000001</v>
      </c>
      <c r="M3604">
        <v>-0.99984410000000001</v>
      </c>
      <c r="N3604">
        <v>-1.532498E-2</v>
      </c>
      <c r="O3604">
        <v>-8.7897730000000007E-3</v>
      </c>
      <c r="P3604">
        <v>-0.97340490000000002</v>
      </c>
      <c r="Q3604">
        <v>0.22880159999999999</v>
      </c>
      <c r="R3604">
        <v>1.154672E-2</v>
      </c>
      <c r="S3604">
        <v>-3.0740050000000001</v>
      </c>
      <c r="T3604">
        <v>5.8915620000000002E-2</v>
      </c>
      <c r="U3604">
        <v>-0.49934390000000001</v>
      </c>
      <c r="V3604">
        <v>1.9996E-2</v>
      </c>
      <c r="W3604">
        <v>0.243699</v>
      </c>
      <c r="X3604">
        <v>0.96964479999999997</v>
      </c>
      <c r="Y3604">
        <v>-0.15165590000000001</v>
      </c>
      <c r="Z3604" s="1">
        <v>-2.716575E-5</v>
      </c>
      <c r="AA3604">
        <v>0.98843340000000002</v>
      </c>
      <c r="AB3604">
        <v>42</v>
      </c>
      <c r="AC3604">
        <v>-130.6925</v>
      </c>
      <c r="AD3604">
        <v>2.5132059999999998</v>
      </c>
      <c r="AE3604">
        <v>-21.2971</v>
      </c>
      <c r="AF3604">
        <v>-20.140129990019499</v>
      </c>
      <c r="AG3604">
        <v>2.5132059999999998</v>
      </c>
      <c r="AH3604">
        <v>130.827541451786</v>
      </c>
      <c r="AI3604">
        <v>88.912289632703803</v>
      </c>
      <c r="AJ3604">
        <v>98.751645126433203</v>
      </c>
      <c r="AK3604">
        <v>132.39254753471599</v>
      </c>
      <c r="AL3604">
        <v>75.895038872702102</v>
      </c>
      <c r="AM3604">
        <v>88.818614773864198</v>
      </c>
      <c r="AN3604">
        <v>1.00000004039201</v>
      </c>
    </row>
    <row r="3605" spans="1:40" x14ac:dyDescent="0.25">
      <c r="A3605" t="str">
        <f>"20190303170840387"</f>
        <v>20190303170840387</v>
      </c>
      <c r="B3605" t="str">
        <f>"1551604120376891"</f>
        <v>1551604120376891</v>
      </c>
      <c r="C3605" t="s">
        <v>40</v>
      </c>
      <c r="D3605">
        <v>5.0207560000000004</v>
      </c>
      <c r="E3605">
        <v>0.43554799999999999</v>
      </c>
      <c r="F3605" t="s">
        <v>76</v>
      </c>
      <c r="G3605">
        <v>-470.28899999999999</v>
      </c>
      <c r="H3605">
        <v>3.6146340000000001</v>
      </c>
      <c r="I3605">
        <v>119.395</v>
      </c>
      <c r="J3605">
        <v>-340.53309999999999</v>
      </c>
      <c r="K3605">
        <v>1.1213409999999999</v>
      </c>
      <c r="L3605">
        <v>140.94990000000001</v>
      </c>
      <c r="M3605">
        <v>-0.99984280000000003</v>
      </c>
      <c r="N3605">
        <v>-1.532114E-2</v>
      </c>
      <c r="O3605">
        <v>-8.9313469999999992E-3</v>
      </c>
      <c r="P3605">
        <v>-0.97328769999999998</v>
      </c>
      <c r="Q3605">
        <v>0.22932130000000001</v>
      </c>
      <c r="R3605">
        <v>1.108992E-2</v>
      </c>
      <c r="S3605">
        <v>-3.0741580000000002</v>
      </c>
      <c r="T3605">
        <v>5.8913470000000003E-2</v>
      </c>
      <c r="U3605">
        <v>-0.50938419999999995</v>
      </c>
      <c r="V3605">
        <v>1.9675890000000001E-2</v>
      </c>
      <c r="W3605">
        <v>0.2442127</v>
      </c>
      <c r="X3605">
        <v>0.96952210000000005</v>
      </c>
      <c r="Y3605">
        <v>-0.15465110000000001</v>
      </c>
      <c r="Z3605" s="1">
        <v>-2.6997180000000002E-5</v>
      </c>
      <c r="AA3605">
        <v>0.98796919999999999</v>
      </c>
      <c r="AB3605">
        <v>42</v>
      </c>
      <c r="AC3605">
        <v>-129.7559</v>
      </c>
      <c r="AD3605">
        <v>2.4932929999999902</v>
      </c>
      <c r="AE3605">
        <v>-21.5549</v>
      </c>
      <c r="AF3605">
        <v>-20.387683626822401</v>
      </c>
      <c r="AG3605">
        <v>2.4932929999999902</v>
      </c>
      <c r="AH3605">
        <v>129.89658707199601</v>
      </c>
      <c r="AI3605">
        <v>88.913670135244004</v>
      </c>
      <c r="AJ3605">
        <v>98.919984513552293</v>
      </c>
      <c r="AK3605">
        <v>131.51044630220099</v>
      </c>
      <c r="AL3605">
        <v>75.864689089182903</v>
      </c>
      <c r="AM3605">
        <v>88.837374906080001</v>
      </c>
      <c r="AN3605">
        <v>1.0000000429384901</v>
      </c>
    </row>
    <row r="3606" spans="1:40" x14ac:dyDescent="0.25">
      <c r="A3606" t="str">
        <f>"20190303170840411"</f>
        <v>20190303170840411</v>
      </c>
      <c r="B3606" t="str">
        <f>"1551604120396410"</f>
        <v>1551604120396410</v>
      </c>
      <c r="C3606" t="s">
        <v>40</v>
      </c>
      <c r="D3606">
        <v>5.0239770000000004</v>
      </c>
      <c r="E3606">
        <v>0.43465619999999999</v>
      </c>
      <c r="F3606" t="s">
        <v>76</v>
      </c>
      <c r="G3606">
        <v>-467.68369999999999</v>
      </c>
      <c r="H3606">
        <v>3.6250209999999998</v>
      </c>
      <c r="I3606">
        <v>119.395</v>
      </c>
      <c r="J3606">
        <v>-340.96660000000003</v>
      </c>
      <c r="K3606">
        <v>1.121348</v>
      </c>
      <c r="L3606">
        <v>140.94589999999999</v>
      </c>
      <c r="M3606">
        <v>-0.99984130000000004</v>
      </c>
      <c r="N3606">
        <v>-1.5316349999999999E-2</v>
      </c>
      <c r="O3606">
        <v>-9.1073630000000003E-3</v>
      </c>
      <c r="P3606">
        <v>-0.97322200000000003</v>
      </c>
      <c r="Q3606">
        <v>0.22964000000000001</v>
      </c>
      <c r="R3606">
        <v>1.0236179999999999E-2</v>
      </c>
      <c r="S3606">
        <v>-3.074036</v>
      </c>
      <c r="T3606">
        <v>6.0530300000000002E-2</v>
      </c>
      <c r="U3606">
        <v>-0.52111819999999998</v>
      </c>
      <c r="V3606">
        <v>1.899315E-2</v>
      </c>
      <c r="W3606">
        <v>0.24452579999999999</v>
      </c>
      <c r="X3606">
        <v>0.96945680000000001</v>
      </c>
      <c r="Y3606">
        <v>-0.15814990000000001</v>
      </c>
      <c r="Z3606" s="1">
        <v>9.5376740000000007E-6</v>
      </c>
      <c r="AA3606">
        <v>0.98741509999999999</v>
      </c>
      <c r="AB3606">
        <v>42</v>
      </c>
      <c r="AC3606">
        <v>-126.71709999999899</v>
      </c>
      <c r="AD3606">
        <v>2.503673</v>
      </c>
      <c r="AE3606">
        <v>-21.550899999999999</v>
      </c>
      <c r="AF3606">
        <v>-20.388076778083299</v>
      </c>
      <c r="AG3606">
        <v>2.503673</v>
      </c>
      <c r="AH3606">
        <v>126.860007183733</v>
      </c>
      <c r="AI3606">
        <v>88.883694355789402</v>
      </c>
      <c r="AJ3606">
        <v>99.130115432945004</v>
      </c>
      <c r="AK3606">
        <v>128.51226974828799</v>
      </c>
      <c r="AL3606">
        <v>75.8461889535468</v>
      </c>
      <c r="AM3606">
        <v>88.877631127170801</v>
      </c>
      <c r="AN3606">
        <v>1.0000000468393999</v>
      </c>
    </row>
    <row r="3607" spans="1:40" x14ac:dyDescent="0.25">
      <c r="A3607" t="str">
        <f>"20190303170840433"</f>
        <v>20190303170840433</v>
      </c>
      <c r="B3607" t="str">
        <f>"1551604120426667"</f>
        <v>1551604120426667</v>
      </c>
      <c r="C3607" t="s">
        <v>40</v>
      </c>
      <c r="D3607">
        <v>5.0506580000000003</v>
      </c>
      <c r="E3607">
        <v>0.43342629999999999</v>
      </c>
      <c r="F3607" t="s">
        <v>76</v>
      </c>
      <c r="G3607">
        <v>-463.11590000000001</v>
      </c>
      <c r="H3607">
        <v>3.5621640000000001</v>
      </c>
      <c r="I3607">
        <v>119.8177</v>
      </c>
      <c r="J3607">
        <v>-341.3965</v>
      </c>
      <c r="K3607">
        <v>1.121351</v>
      </c>
      <c r="L3607">
        <v>140.9418</v>
      </c>
      <c r="M3607">
        <v>-0.99983979999999995</v>
      </c>
      <c r="N3607">
        <v>-1.531155E-2</v>
      </c>
      <c r="O3607">
        <v>-9.2824259999999999E-3</v>
      </c>
      <c r="P3607">
        <v>-0.97317010000000004</v>
      </c>
      <c r="Q3607">
        <v>0.2298782</v>
      </c>
      <c r="R3607">
        <v>9.8023969999999992E-3</v>
      </c>
      <c r="S3607">
        <v>-3.073639</v>
      </c>
      <c r="T3607">
        <v>6.1418769999999998E-2</v>
      </c>
      <c r="U3607">
        <v>-0.53164669999999903</v>
      </c>
      <c r="V3607">
        <v>1.8729340000000001E-2</v>
      </c>
      <c r="W3607">
        <v>0.24475830000000001</v>
      </c>
      <c r="X3607">
        <v>0.96940320000000002</v>
      </c>
      <c r="Y3607">
        <v>-0.1612827</v>
      </c>
      <c r="Z3607" s="1">
        <v>3.027916E-5</v>
      </c>
      <c r="AA3607">
        <v>0.98690829999999996</v>
      </c>
      <c r="AB3607">
        <v>42</v>
      </c>
      <c r="AC3607">
        <v>-121.71939999999999</v>
      </c>
      <c r="AD3607">
        <v>2.4408129999999999</v>
      </c>
      <c r="AE3607">
        <v>-21.124099999999999</v>
      </c>
      <c r="AF3607">
        <v>-19.9854046011815</v>
      </c>
      <c r="AG3607">
        <v>2.4408129999999999</v>
      </c>
      <c r="AH3607">
        <v>121.86269066865</v>
      </c>
      <c r="AI3607">
        <v>88.867686604219003</v>
      </c>
      <c r="AJ3607">
        <v>99.313563806462199</v>
      </c>
      <c r="AK3607">
        <v>123.514733300028</v>
      </c>
      <c r="AL3607">
        <v>75.832449374421202</v>
      </c>
      <c r="AM3607">
        <v>88.893155458132696</v>
      </c>
      <c r="AN3607">
        <v>0.99999998888298203</v>
      </c>
    </row>
    <row r="3608" spans="1:40" x14ac:dyDescent="0.25">
      <c r="A3608" t="str">
        <f>"20190303170840455"</f>
        <v>20190303170840455</v>
      </c>
      <c r="B3608" t="str">
        <f>"1551604120447164"</f>
        <v>1551604120447164</v>
      </c>
      <c r="C3608" t="s">
        <v>40</v>
      </c>
      <c r="D3608">
        <v>5.0624900000000004</v>
      </c>
      <c r="E3608">
        <v>0.43275370000000002</v>
      </c>
      <c r="F3608" t="s">
        <v>76</v>
      </c>
      <c r="G3608">
        <v>-461.03219999999999</v>
      </c>
      <c r="H3608">
        <v>3.5456699999999999</v>
      </c>
      <c r="I3608">
        <v>119.8081</v>
      </c>
      <c r="J3608">
        <v>-341.84230000000002</v>
      </c>
      <c r="K3608">
        <v>1.121348</v>
      </c>
      <c r="L3608">
        <v>140.9375</v>
      </c>
      <c r="M3608">
        <v>-0.99983809999999995</v>
      </c>
      <c r="N3608">
        <v>-1.530637E-2</v>
      </c>
      <c r="O3608">
        <v>-9.4636849999999995E-3</v>
      </c>
      <c r="P3608">
        <v>-0.97324560000000004</v>
      </c>
      <c r="Q3608">
        <v>0.22957250000000001</v>
      </c>
      <c r="R3608">
        <v>9.4675650000000007E-3</v>
      </c>
      <c r="S3608">
        <v>-3.0734249999999999</v>
      </c>
      <c r="T3608">
        <v>6.2281129999999997E-2</v>
      </c>
      <c r="U3608">
        <v>-0.54292299999999905</v>
      </c>
      <c r="V3608">
        <v>1.857207E-2</v>
      </c>
      <c r="W3608">
        <v>0.244449</v>
      </c>
      <c r="X3608">
        <v>0.96948429999999997</v>
      </c>
      <c r="Y3608">
        <v>-0.16462739999999901</v>
      </c>
      <c r="Z3608" s="1">
        <v>5.1354760000000002E-5</v>
      </c>
      <c r="AA3608">
        <v>0.9863558</v>
      </c>
      <c r="AB3608">
        <v>42</v>
      </c>
      <c r="AC3608">
        <v>-119.189899999999</v>
      </c>
      <c r="AD3608">
        <v>2.4243220000000001</v>
      </c>
      <c r="AE3608">
        <v>-21.1294</v>
      </c>
      <c r="AF3608">
        <v>-19.992326662556199</v>
      </c>
      <c r="AG3608">
        <v>2.4243220000000001</v>
      </c>
      <c r="AH3608">
        <v>119.33667950493199</v>
      </c>
      <c r="AI3608">
        <v>88.852188932982699</v>
      </c>
      <c r="AJ3608">
        <v>99.510375144715596</v>
      </c>
      <c r="AK3608">
        <v>121.024020499258</v>
      </c>
      <c r="AL3608">
        <v>75.850726623704503</v>
      </c>
      <c r="AM3608">
        <v>88.902539123616606</v>
      </c>
      <c r="AN3608">
        <v>1.0000000216657801</v>
      </c>
    </row>
    <row r="3609" spans="1:40" x14ac:dyDescent="0.25">
      <c r="A3609" t="str">
        <f>"20190303170840479"</f>
        <v>20190303170840479</v>
      </c>
      <c r="B3609" t="str">
        <f>"1551604120466682"</f>
        <v>1551604120466682</v>
      </c>
      <c r="C3609" t="s">
        <v>40</v>
      </c>
      <c r="D3609">
        <v>5.0514340000000004</v>
      </c>
      <c r="E3609">
        <v>0.43219030000000003</v>
      </c>
      <c r="F3609" t="s">
        <v>76</v>
      </c>
      <c r="G3609">
        <v>-461.03219999999999</v>
      </c>
      <c r="H3609">
        <v>3.4900630000000001</v>
      </c>
      <c r="I3609">
        <v>119.6472</v>
      </c>
      <c r="J3609">
        <v>-342.26749999999998</v>
      </c>
      <c r="K3609">
        <v>1.1213550000000001</v>
      </c>
      <c r="L3609">
        <v>140.93340000000001</v>
      </c>
      <c r="M3609">
        <v>-0.99983659999999996</v>
      </c>
      <c r="N3609">
        <v>-1.5301449999999999E-2</v>
      </c>
      <c r="O3609">
        <v>-9.6368400000000007E-3</v>
      </c>
      <c r="P3609">
        <v>-0.97333809999999998</v>
      </c>
      <c r="Q3609">
        <v>0.22920270000000001</v>
      </c>
      <c r="R3609">
        <v>8.9113270000000001E-3</v>
      </c>
      <c r="S3609">
        <v>-3.0733640000000002</v>
      </c>
      <c r="T3609">
        <v>6.1079029999999999E-2</v>
      </c>
      <c r="U3609">
        <v>-0.54898069999999999</v>
      </c>
      <c r="V3609">
        <v>1.8185630000000001E-2</v>
      </c>
      <c r="W3609">
        <v>0.2440754</v>
      </c>
      <c r="X3609">
        <v>0.96958569999999999</v>
      </c>
      <c r="Y3609">
        <v>-0.16634499999999999</v>
      </c>
      <c r="Z3609" s="1">
        <v>2.0781759999999999E-5</v>
      </c>
      <c r="AA3609">
        <v>0.98606760000000004</v>
      </c>
      <c r="AB3609">
        <v>42</v>
      </c>
      <c r="AC3609">
        <v>-118.7647</v>
      </c>
      <c r="AD3609">
        <v>2.3687079999999998</v>
      </c>
      <c r="AE3609">
        <v>-21.286200000000001</v>
      </c>
      <c r="AF3609">
        <v>-20.132801775686001</v>
      </c>
      <c r="AG3609">
        <v>2.3687079999999998</v>
      </c>
      <c r="AH3609">
        <v>118.918507802341</v>
      </c>
      <c r="AI3609">
        <v>88.874896460944996</v>
      </c>
      <c r="AJ3609">
        <v>99.6090127188521</v>
      </c>
      <c r="AK3609">
        <v>120.633958663653</v>
      </c>
      <c r="AL3609">
        <v>75.872800286105203</v>
      </c>
      <c r="AM3609">
        <v>88.925481585941597</v>
      </c>
      <c r="AN3609">
        <v>0.99999997383407302</v>
      </c>
    </row>
    <row r="3610" spans="1:40" x14ac:dyDescent="0.25">
      <c r="A3610" t="str">
        <f>"20190303170840499"</f>
        <v>20190303170840499</v>
      </c>
      <c r="B3610" t="str">
        <f>"1551604120487178"</f>
        <v>1551604120487178</v>
      </c>
      <c r="C3610" t="s">
        <v>40</v>
      </c>
      <c r="D3610">
        <v>5.0228359999999999</v>
      </c>
      <c r="E3610">
        <v>0.43166359999999898</v>
      </c>
      <c r="F3610" t="s">
        <v>76</v>
      </c>
      <c r="G3610">
        <v>-461.03219999999999</v>
      </c>
      <c r="H3610">
        <v>3.4159609999999998</v>
      </c>
      <c r="I3610">
        <v>119.483</v>
      </c>
      <c r="J3610">
        <v>-342.66</v>
      </c>
      <c r="K3610">
        <v>1.1213599999999999</v>
      </c>
      <c r="L3610">
        <v>140.92939999999999</v>
      </c>
      <c r="M3610">
        <v>-0.99983500000000003</v>
      </c>
      <c r="N3610">
        <v>-1.529695E-2</v>
      </c>
      <c r="O3610">
        <v>-9.7961720000000006E-3</v>
      </c>
      <c r="P3610">
        <v>-0.97308050000000001</v>
      </c>
      <c r="Q3610">
        <v>0.2302845</v>
      </c>
      <c r="R3610">
        <v>9.1463010000000008E-3</v>
      </c>
      <c r="S3610">
        <v>-3.0732729999999999</v>
      </c>
      <c r="T3610">
        <v>5.9378149999999998E-2</v>
      </c>
      <c r="U3610">
        <v>-0.55506899999999904</v>
      </c>
      <c r="V3610">
        <v>1.8572869999999998E-2</v>
      </c>
      <c r="W3610">
        <v>0.24514849999999999</v>
      </c>
      <c r="X3610">
        <v>0.96930760000000005</v>
      </c>
      <c r="Y3610">
        <v>-0.16808589999999901</v>
      </c>
      <c r="Z3610" s="1">
        <v>-2.1773160000000001E-5</v>
      </c>
      <c r="AA3610">
        <v>0.98577239999999999</v>
      </c>
      <c r="AB3610">
        <v>42</v>
      </c>
      <c r="AC3610">
        <v>-118.372199999999</v>
      </c>
      <c r="AD3610">
        <v>2.2946009999999899</v>
      </c>
      <c r="AE3610">
        <v>-21.446400000000001</v>
      </c>
      <c r="AF3610">
        <v>-20.278262888191399</v>
      </c>
      <c r="AG3610">
        <v>2.2946009999999899</v>
      </c>
      <c r="AH3610">
        <v>118.53351094319299</v>
      </c>
      <c r="AI3610">
        <v>88.906869717486103</v>
      </c>
      <c r="AJ3610">
        <v>99.707964511607898</v>
      </c>
      <c r="AK3610">
        <v>120.277455726466</v>
      </c>
      <c r="AL3610">
        <v>75.809389940844895</v>
      </c>
      <c r="AM3610">
        <v>88.902291840197194</v>
      </c>
      <c r="AN3610">
        <v>0.99999998098502296</v>
      </c>
    </row>
    <row r="3611" spans="1:40" x14ac:dyDescent="0.25">
      <c r="A3611" t="str">
        <f>"20190303170840523"</f>
        <v>20190303170840523</v>
      </c>
      <c r="B3611" t="str">
        <f>"1551604120506698"</f>
        <v>1551604120506698</v>
      </c>
      <c r="C3611" t="s">
        <v>40</v>
      </c>
      <c r="D3611">
        <v>5.0215239999999897</v>
      </c>
      <c r="E3611">
        <v>0.43121619999999999</v>
      </c>
      <c r="F3611" t="s">
        <v>76</v>
      </c>
      <c r="G3611">
        <v>-461.03219999999999</v>
      </c>
      <c r="H3611">
        <v>3.5311499999999998</v>
      </c>
      <c r="I3611">
        <v>119.4132</v>
      </c>
      <c r="J3611">
        <v>-343.08449999999999</v>
      </c>
      <c r="K3611">
        <v>1.121362</v>
      </c>
      <c r="L3611">
        <v>140.92509999999999</v>
      </c>
      <c r="M3611">
        <v>-0.99983350000000004</v>
      </c>
      <c r="N3611">
        <v>-1.5292190000000001E-2</v>
      </c>
      <c r="O3611">
        <v>-9.9690920000000006E-3</v>
      </c>
      <c r="P3611">
        <v>-0.97286910000000004</v>
      </c>
      <c r="Q3611">
        <v>0.23118359999999999</v>
      </c>
      <c r="R3611">
        <v>8.9531890000000003E-3</v>
      </c>
      <c r="S3611">
        <v>-3.0734560000000002</v>
      </c>
      <c r="T3611">
        <v>6.2569260000000002E-2</v>
      </c>
      <c r="U3611">
        <v>-0.55865480000000001</v>
      </c>
      <c r="V3611">
        <v>1.8545699999999998E-2</v>
      </c>
      <c r="W3611">
        <v>0.2460397</v>
      </c>
      <c r="X3611">
        <v>0.96908229999999995</v>
      </c>
      <c r="Y3611">
        <v>-0.1690171</v>
      </c>
      <c r="Z3611" s="1">
        <v>5.0878850000000002E-5</v>
      </c>
      <c r="AA3611">
        <v>0.98561310000000002</v>
      </c>
      <c r="AB3611">
        <v>42</v>
      </c>
      <c r="AC3611">
        <v>-117.9477</v>
      </c>
      <c r="AD3611">
        <v>2.4097879999999998</v>
      </c>
      <c r="AE3611">
        <v>-21.511899999999901</v>
      </c>
      <c r="AF3611">
        <v>-20.326650239233899</v>
      </c>
      <c r="AG3611">
        <v>2.4097879999999998</v>
      </c>
      <c r="AH3611">
        <v>118.108602331513</v>
      </c>
      <c r="AI3611">
        <v>88.848077737700507</v>
      </c>
      <c r="AJ3611">
        <v>99.765021399667006</v>
      </c>
      <c r="AK3611">
        <v>119.869185918886</v>
      </c>
      <c r="AL3611">
        <v>75.7567147789957</v>
      </c>
      <c r="AM3611">
        <v>88.903642502008694</v>
      </c>
      <c r="AN3611">
        <v>0.99999999056893496</v>
      </c>
    </row>
    <row r="3612" spans="1:40" x14ac:dyDescent="0.25">
      <c r="A3612" t="str">
        <f>"20190303170840548"</f>
        <v>20190303170840548</v>
      </c>
      <c r="B3612" t="str">
        <f>"1551604120536955"</f>
        <v>1551604120536955</v>
      </c>
      <c r="C3612" t="s">
        <v>40</v>
      </c>
      <c r="D3612">
        <v>5.0276529999999999</v>
      </c>
      <c r="E3612">
        <v>0.43062590000000001</v>
      </c>
      <c r="F3612" t="s">
        <v>76</v>
      </c>
      <c r="G3612">
        <v>-460.54919999999998</v>
      </c>
      <c r="H3612">
        <v>3.6286260000000001</v>
      </c>
      <c r="I3612">
        <v>119.395</v>
      </c>
      <c r="J3612">
        <v>-343.55860000000001</v>
      </c>
      <c r="K3612">
        <v>1.1213550000000001</v>
      </c>
      <c r="L3612">
        <v>140.92019999999999</v>
      </c>
      <c r="M3612">
        <v>-0.99983160000000004</v>
      </c>
      <c r="N3612">
        <v>-1.528676E-2</v>
      </c>
      <c r="O3612">
        <v>-1.016215E-2</v>
      </c>
      <c r="P3612">
        <v>-0.97292350000000005</v>
      </c>
      <c r="Q3612">
        <v>0.23096169999999999</v>
      </c>
      <c r="R3612">
        <v>8.7737830000000003E-3</v>
      </c>
      <c r="S3612">
        <v>-3.073242</v>
      </c>
      <c r="T3612">
        <v>6.5598489999999995E-2</v>
      </c>
      <c r="U3612">
        <v>-0.5632935</v>
      </c>
      <c r="V3612">
        <v>1.8555169999999999E-2</v>
      </c>
      <c r="W3612">
        <v>0.2458137</v>
      </c>
      <c r="X3612">
        <v>0.96913950000000004</v>
      </c>
      <c r="Y3612">
        <v>-0.1702767</v>
      </c>
      <c r="Z3612">
        <v>1.205907E-4</v>
      </c>
      <c r="AA3612">
        <v>0.9853963</v>
      </c>
      <c r="AB3612">
        <v>42</v>
      </c>
      <c r="AC3612">
        <v>-116.99059999999901</v>
      </c>
      <c r="AD3612">
        <v>2.5072709999999998</v>
      </c>
      <c r="AE3612">
        <v>-21.525200000000002</v>
      </c>
      <c r="AF3612">
        <v>-20.326043265722301</v>
      </c>
      <c r="AG3612">
        <v>2.5072709999999998</v>
      </c>
      <c r="AH3612">
        <v>117.151279320182</v>
      </c>
      <c r="AI3612">
        <v>88.791985456796795</v>
      </c>
      <c r="AJ3612">
        <v>99.842975145742301</v>
      </c>
      <c r="AK3612">
        <v>118.927947468469</v>
      </c>
      <c r="AL3612">
        <v>75.7700743319987</v>
      </c>
      <c r="AM3612">
        <v>88.903147530990495</v>
      </c>
      <c r="AN3612">
        <v>1.0000000199508301</v>
      </c>
    </row>
    <row r="3613" spans="1:40" x14ac:dyDescent="0.25">
      <c r="A3613" t="str">
        <f>"20190303170840567"</f>
        <v>20190303170840567</v>
      </c>
      <c r="B3613" t="str">
        <f>"1551604120556476"</f>
        <v>1551604120556476</v>
      </c>
      <c r="C3613" t="s">
        <v>40</v>
      </c>
      <c r="D3613">
        <v>5.0260490000000004</v>
      </c>
      <c r="E3613">
        <v>0.43026959999999997</v>
      </c>
      <c r="F3613" t="s">
        <v>76</v>
      </c>
      <c r="G3613">
        <v>-459.78519999999997</v>
      </c>
      <c r="H3613">
        <v>3.5701649999999998</v>
      </c>
      <c r="I3613">
        <v>119.395</v>
      </c>
      <c r="J3613">
        <v>-343.92430000000002</v>
      </c>
      <c r="K3613">
        <v>1.121353</v>
      </c>
      <c r="L3613">
        <v>140.91640000000001</v>
      </c>
      <c r="M3613">
        <v>-0.9998302</v>
      </c>
      <c r="N3613">
        <v>-1.5282520000000001E-2</v>
      </c>
      <c r="O3613">
        <v>-1.0311229999999999E-2</v>
      </c>
      <c r="P3613">
        <v>-0.97294139999999996</v>
      </c>
      <c r="Q3613">
        <v>0.2308992</v>
      </c>
      <c r="R3613">
        <v>8.4380489999999995E-3</v>
      </c>
      <c r="S3613">
        <v>-3.0731809999999999</v>
      </c>
      <c r="T3613">
        <v>6.4750189999999999E-2</v>
      </c>
      <c r="U3613">
        <v>-0.56915280000000001</v>
      </c>
      <c r="V3613">
        <v>1.8364990000000001E-2</v>
      </c>
      <c r="W3613">
        <v>0.2457471</v>
      </c>
      <c r="X3613">
        <v>0.96916000000000002</v>
      </c>
      <c r="Y3613">
        <v>-0.17195060000000001</v>
      </c>
      <c r="Z3613" s="1">
        <v>9.9259200000000007E-5</v>
      </c>
      <c r="AA3613">
        <v>0.98510560000000003</v>
      </c>
      <c r="AB3613">
        <v>42</v>
      </c>
      <c r="AC3613">
        <v>-115.86089999999901</v>
      </c>
      <c r="AD3613">
        <v>2.44881199999999</v>
      </c>
      <c r="AE3613">
        <v>-21.5214</v>
      </c>
      <c r="AF3613">
        <v>-20.316674677250699</v>
      </c>
      <c r="AG3613">
        <v>2.44881199999999</v>
      </c>
      <c r="AH3613">
        <v>116.026574285527</v>
      </c>
      <c r="AI3613">
        <v>88.809032057612001</v>
      </c>
      <c r="AJ3613">
        <v>99.932006696899194</v>
      </c>
      <c r="AK3613">
        <v>117.817358188798</v>
      </c>
      <c r="AL3613">
        <v>75.774010809189406</v>
      </c>
      <c r="AM3613">
        <v>88.914409901903198</v>
      </c>
      <c r="AN3613">
        <v>1.00000000780805</v>
      </c>
    </row>
    <row r="3614" spans="1:40" x14ac:dyDescent="0.25">
      <c r="A3614" t="str">
        <f>"20190303170840588"</f>
        <v>20190303170840588</v>
      </c>
      <c r="B3614" t="str">
        <f>"1551604120576971"</f>
        <v>1551604120576971</v>
      </c>
      <c r="C3614" t="s">
        <v>40</v>
      </c>
      <c r="D3614">
        <v>4.9993720000000001</v>
      </c>
      <c r="E3614">
        <v>0.42998419999999998</v>
      </c>
      <c r="F3614" t="s">
        <v>76</v>
      </c>
      <c r="G3614">
        <v>-459.59870000000001</v>
      </c>
      <c r="H3614">
        <v>3.49858</v>
      </c>
      <c r="I3614">
        <v>119.395</v>
      </c>
      <c r="J3614">
        <v>-344.3159</v>
      </c>
      <c r="K3614">
        <v>1.1213610000000001</v>
      </c>
      <c r="L3614">
        <v>140.91220000000001</v>
      </c>
      <c r="M3614">
        <v>-0.99982859999999996</v>
      </c>
      <c r="N3614">
        <v>-1.527795E-2</v>
      </c>
      <c r="O3614">
        <v>-1.047092E-2</v>
      </c>
      <c r="P3614">
        <v>-0.97300249999999999</v>
      </c>
      <c r="Q3614">
        <v>0.23066819999999999</v>
      </c>
      <c r="R3614">
        <v>7.6340669999999996E-3</v>
      </c>
      <c r="S3614">
        <v>-3.0733950000000001</v>
      </c>
      <c r="T3614">
        <v>6.3162090000000004E-2</v>
      </c>
      <c r="U3614">
        <v>-0.57180790000000004</v>
      </c>
      <c r="V3614">
        <v>1.7717159999999999E-2</v>
      </c>
      <c r="W3614">
        <v>0.2455128</v>
      </c>
      <c r="X3614">
        <v>0.96923139999999997</v>
      </c>
      <c r="Y3614">
        <v>-0.1726046</v>
      </c>
      <c r="Z3614" s="1">
        <v>5.6583899999999999E-5</v>
      </c>
      <c r="AA3614">
        <v>0.98499119999999996</v>
      </c>
      <c r="AB3614">
        <v>42</v>
      </c>
      <c r="AC3614">
        <v>-115.28279999999999</v>
      </c>
      <c r="AD3614">
        <v>2.37721899999999</v>
      </c>
      <c r="AE3614">
        <v>-21.517199999999999</v>
      </c>
      <c r="AF3614">
        <v>-20.300420943140701</v>
      </c>
      <c r="AG3614">
        <v>2.37721899999999</v>
      </c>
      <c r="AH3614">
        <v>115.454369355453</v>
      </c>
      <c r="AI3614">
        <v>88.838256640261505</v>
      </c>
      <c r="AJ3614">
        <v>99.972419496418794</v>
      </c>
      <c r="AK3614">
        <v>117.249604109814</v>
      </c>
      <c r="AL3614">
        <v>75.787858930279597</v>
      </c>
      <c r="AM3614">
        <v>88.952772835801198</v>
      </c>
      <c r="AN3614">
        <v>0.99999996973413197</v>
      </c>
    </row>
    <row r="3615" spans="1:40" x14ac:dyDescent="0.25">
      <c r="A3615" t="str">
        <f>"20190303170840622"</f>
        <v>20190303170840622</v>
      </c>
      <c r="B3615" t="str">
        <f>"1551604120616987"</f>
        <v>1551604120616987</v>
      </c>
      <c r="C3615" t="s">
        <v>40</v>
      </c>
      <c r="D3615">
        <v>5.0409569999999997</v>
      </c>
      <c r="E3615">
        <v>0.42944919999999998</v>
      </c>
      <c r="F3615" t="s">
        <v>76</v>
      </c>
      <c r="G3615">
        <v>-459.06299999999999</v>
      </c>
      <c r="H3615">
        <v>3.4332069999999999</v>
      </c>
      <c r="I3615">
        <v>119.395</v>
      </c>
      <c r="J3615">
        <v>-344.94159999999999</v>
      </c>
      <c r="K3615">
        <v>1.1213679999999999</v>
      </c>
      <c r="L3615">
        <v>140.90539999999999</v>
      </c>
      <c r="M3615">
        <v>-0.99982579999999999</v>
      </c>
      <c r="N3615">
        <v>-1.527065E-2</v>
      </c>
      <c r="O3615">
        <v>-1.0726299999999999E-2</v>
      </c>
      <c r="P3615">
        <v>-0.97252059999999996</v>
      </c>
      <c r="Q3615">
        <v>0.23272329999999999</v>
      </c>
      <c r="R3615">
        <v>6.5987809999999997E-3</v>
      </c>
      <c r="S3615">
        <v>-3.073029</v>
      </c>
      <c r="T3615">
        <v>6.1913969999999999E-2</v>
      </c>
      <c r="U3615">
        <v>-0.57624819999999999</v>
      </c>
      <c r="V3615">
        <v>1.69249E-2</v>
      </c>
      <c r="W3615">
        <v>0.24755260000000001</v>
      </c>
      <c r="X3615">
        <v>0.96872659999999999</v>
      </c>
      <c r="Y3615">
        <v>-0.17374999999999999</v>
      </c>
      <c r="Z3615" s="1">
        <v>2.0246719999999998E-5</v>
      </c>
      <c r="AA3615">
        <v>0.98478980000000005</v>
      </c>
      <c r="AB3615">
        <v>42</v>
      </c>
      <c r="AC3615">
        <v>-114.12139999999999</v>
      </c>
      <c r="AD3615">
        <v>2.311839</v>
      </c>
      <c r="AE3615">
        <v>-21.510399999999901</v>
      </c>
      <c r="AF3615">
        <v>-20.276883410318501</v>
      </c>
      <c r="AG3615">
        <v>2.311839</v>
      </c>
      <c r="AH3615">
        <v>114.30029044989701</v>
      </c>
      <c r="AI3615">
        <v>88.859101496050698</v>
      </c>
      <c r="AJ3615">
        <v>100.05962045867599</v>
      </c>
      <c r="AK3615">
        <v>116.107936840375</v>
      </c>
      <c r="AL3615">
        <v>75.667264972958904</v>
      </c>
      <c r="AM3615">
        <v>88.999070853907398</v>
      </c>
      <c r="AN3615">
        <v>0.99999998377716404</v>
      </c>
    </row>
    <row r="3616" spans="1:40" x14ac:dyDescent="0.25">
      <c r="A3616" t="str">
        <f>"20190303170840645"</f>
        <v>20190303170840645</v>
      </c>
      <c r="B3616" t="str">
        <f>"1551604120636506"</f>
        <v>1551604120636506</v>
      </c>
      <c r="C3616" t="s">
        <v>40</v>
      </c>
      <c r="D3616">
        <v>5.079142</v>
      </c>
      <c r="E3616">
        <v>0.42932609999999899</v>
      </c>
      <c r="F3616" t="s">
        <v>76</v>
      </c>
      <c r="G3616">
        <v>-458.18689999999998</v>
      </c>
      <c r="H3616">
        <v>3.6159289999999999</v>
      </c>
      <c r="I3616">
        <v>119.395</v>
      </c>
      <c r="J3616">
        <v>-345.36930000000001</v>
      </c>
      <c r="K3616">
        <v>1.121378</v>
      </c>
      <c r="L3616">
        <v>140.9006</v>
      </c>
      <c r="M3616">
        <v>-0.99982400000000005</v>
      </c>
      <c r="N3616">
        <v>-1.526565E-2</v>
      </c>
      <c r="O3616">
        <v>-1.0900999999999999E-2</v>
      </c>
      <c r="P3616">
        <v>-0.97227810000000003</v>
      </c>
      <c r="Q3616">
        <v>0.23374629999999999</v>
      </c>
      <c r="R3616">
        <v>6.1610559999999998E-3</v>
      </c>
      <c r="S3616">
        <v>-3.0725709999999999</v>
      </c>
      <c r="T3616">
        <v>6.7683099999999996E-2</v>
      </c>
      <c r="U3616">
        <v>-0.58361819999999998</v>
      </c>
      <c r="V3616">
        <v>1.6654289999999999E-2</v>
      </c>
      <c r="W3616">
        <v>0.24856700000000001</v>
      </c>
      <c r="X3616">
        <v>0.96847150000000004</v>
      </c>
      <c r="Y3616">
        <v>-0.1758815</v>
      </c>
      <c r="Z3616">
        <v>1.624222E-4</v>
      </c>
      <c r="AA3616">
        <v>0.98441140000000005</v>
      </c>
      <c r="AB3616">
        <v>42</v>
      </c>
      <c r="AC3616">
        <v>-112.817599999999</v>
      </c>
      <c r="AD3616">
        <v>2.494551</v>
      </c>
      <c r="AE3616">
        <v>-21.505600000000001</v>
      </c>
      <c r="AF3616">
        <v>-20.264793532251002</v>
      </c>
      <c r="AG3616">
        <v>2.494551</v>
      </c>
      <c r="AH3616">
        <v>112.99204873113401</v>
      </c>
      <c r="AI3616">
        <v>88.755129579798094</v>
      </c>
      <c r="AJ3616">
        <v>100.167733840588</v>
      </c>
      <c r="AK3616">
        <v>114.82198273003</v>
      </c>
      <c r="AL3616">
        <v>75.607268919759093</v>
      </c>
      <c r="AM3616">
        <v>89.014812016421303</v>
      </c>
      <c r="AN3616">
        <v>0.99999998258832601</v>
      </c>
    </row>
    <row r="3617" spans="1:40" x14ac:dyDescent="0.25">
      <c r="A3617" t="str">
        <f>"20190303170840666"</f>
        <v>20190303170840666</v>
      </c>
      <c r="B3617" t="str">
        <f>"1551604120657003"</f>
        <v>1551604120657003</v>
      </c>
      <c r="C3617" t="s">
        <v>40</v>
      </c>
      <c r="D3617">
        <v>5.0020059999999997</v>
      </c>
      <c r="E3617">
        <v>0.45449669999999998</v>
      </c>
      <c r="F3617" t="s">
        <v>76</v>
      </c>
      <c r="G3617">
        <v>-457.79469999999998</v>
      </c>
      <c r="H3617">
        <v>3.7667160000000002</v>
      </c>
      <c r="I3617">
        <v>119.395</v>
      </c>
      <c r="J3617">
        <v>-345.76170000000002</v>
      </c>
      <c r="K3617">
        <v>1.121383</v>
      </c>
      <c r="L3617">
        <v>140.89619999999999</v>
      </c>
      <c r="M3617">
        <v>-0.99982249999999995</v>
      </c>
      <c r="N3617">
        <v>-1.526108E-2</v>
      </c>
      <c r="O3617">
        <v>-1.1061410000000001E-2</v>
      </c>
      <c r="P3617">
        <v>-0.97231480000000003</v>
      </c>
      <c r="Q3617">
        <v>0.2335777</v>
      </c>
      <c r="R3617">
        <v>6.7867350000000003E-3</v>
      </c>
      <c r="S3617">
        <v>-3.0718990000000002</v>
      </c>
      <c r="T3617">
        <v>7.2281600000000001E-2</v>
      </c>
      <c r="U3617">
        <v>-0.58761600000000003</v>
      </c>
      <c r="V3617">
        <v>1.7436739999999999E-2</v>
      </c>
      <c r="W3617">
        <v>0.2483947</v>
      </c>
      <c r="X3617">
        <v>0.96850190000000003</v>
      </c>
      <c r="Y3617">
        <v>-0.17699589999999901</v>
      </c>
      <c r="Z3617">
        <v>2.7537649999999998E-4</v>
      </c>
      <c r="AA3617">
        <v>0.98421159999999996</v>
      </c>
      <c r="AB3617">
        <v>42</v>
      </c>
      <c r="AC3617">
        <v>-112.03299999999901</v>
      </c>
      <c r="AD3617">
        <v>2.6453329999999999</v>
      </c>
      <c r="AE3617">
        <v>-21.501200000000001</v>
      </c>
      <c r="AF3617">
        <v>-20.249608445023298</v>
      </c>
      <c r="AG3617">
        <v>2.6453329999999999</v>
      </c>
      <c r="AH3617">
        <v>112.203670864478</v>
      </c>
      <c r="AI3617">
        <v>88.670898236584193</v>
      </c>
      <c r="AJ3617">
        <v>100.230160304196</v>
      </c>
      <c r="AK3617">
        <v>114.046956050224</v>
      </c>
      <c r="AL3617">
        <v>75.617460127820095</v>
      </c>
      <c r="AM3617">
        <v>88.968568169041106</v>
      </c>
      <c r="AN3617">
        <v>0.999999948596762</v>
      </c>
    </row>
    <row r="3618" spans="1:40" x14ac:dyDescent="0.25">
      <c r="A3618" t="str">
        <f>"20190303170840688"</f>
        <v>20190303170840688</v>
      </c>
      <c r="B3618" t="str">
        <f>"1551604120676523"</f>
        <v>1551604120676523</v>
      </c>
      <c r="C3618" t="s">
        <v>40</v>
      </c>
      <c r="D3618">
        <v>4.9978339999999903</v>
      </c>
      <c r="E3618">
        <v>0.46056180000000002</v>
      </c>
      <c r="F3618" t="s">
        <v>45</v>
      </c>
      <c r="G3618">
        <v>0</v>
      </c>
      <c r="H3618">
        <v>0</v>
      </c>
      <c r="I3618">
        <v>0</v>
      </c>
      <c r="J3618">
        <v>-346.17520000000002</v>
      </c>
      <c r="K3618">
        <v>1.1213789999999999</v>
      </c>
      <c r="L3618">
        <v>140.89150000000001</v>
      </c>
      <c r="M3618">
        <v>-0.99982059999999995</v>
      </c>
      <c r="N3618">
        <v>-1.5256230000000001E-2</v>
      </c>
      <c r="O3618">
        <v>-1.1230270000000001E-2</v>
      </c>
      <c r="P3618">
        <v>-0.97252539999999998</v>
      </c>
      <c r="Q3618">
        <v>0.23271639999999999</v>
      </c>
      <c r="R3618">
        <v>6.1342669999999997E-3</v>
      </c>
      <c r="S3618">
        <v>-3.0841059999999998</v>
      </c>
      <c r="T3618">
        <v>1.6812560000000001E-2</v>
      </c>
      <c r="U3618">
        <v>-0.38798519999999997</v>
      </c>
      <c r="V3618">
        <v>1.6951299999999999E-2</v>
      </c>
      <c r="W3618">
        <v>0.2475318</v>
      </c>
      <c r="X3618">
        <v>0.96873149999999997</v>
      </c>
      <c r="Y3618">
        <v>-0.11367149999999999</v>
      </c>
      <c r="Z3618">
        <v>-7.9359359999999998E-4</v>
      </c>
      <c r="AA3618">
        <v>0.99351809999999996</v>
      </c>
      <c r="AB3618">
        <v>42</v>
      </c>
      <c r="AC3618">
        <v>-3.0841059999999998</v>
      </c>
      <c r="AD3618">
        <v>1.6812560000000001E-2</v>
      </c>
      <c r="AE3618">
        <v>-0.38798519999999997</v>
      </c>
      <c r="AF3618">
        <v>-0.35331101879298199</v>
      </c>
      <c r="AG3618">
        <v>1.6812560000000001E-2</v>
      </c>
      <c r="AH3618">
        <v>3.0881788094463101</v>
      </c>
      <c r="AI3618">
        <v>89.690096852994003</v>
      </c>
      <c r="AJ3618">
        <v>96.526693193703906</v>
      </c>
      <c r="AK3618">
        <v>3.1083692987300502</v>
      </c>
      <c r="AL3618">
        <v>75.668495667014895</v>
      </c>
      <c r="AM3618">
        <v>88.997514960729603</v>
      </c>
      <c r="AN3618">
        <v>1.0000000288375801</v>
      </c>
    </row>
    <row r="3619" spans="1:40" x14ac:dyDescent="0.25">
      <c r="A3619" t="str">
        <f>"20190303170840711"</f>
        <v>20190303170840711</v>
      </c>
      <c r="B3619" t="str">
        <f>"1551604120697020"</f>
        <v>1551604120697020</v>
      </c>
      <c r="C3619" t="s">
        <v>40</v>
      </c>
      <c r="D3619">
        <v>4.9962150000000003</v>
      </c>
      <c r="E3619">
        <v>0.46371519999999999</v>
      </c>
      <c r="F3619" t="s">
        <v>45</v>
      </c>
      <c r="G3619">
        <v>0</v>
      </c>
      <c r="H3619">
        <v>0</v>
      </c>
      <c r="I3619">
        <v>0</v>
      </c>
      <c r="J3619">
        <v>-346.59300000000002</v>
      </c>
      <c r="K3619">
        <v>1.1213799999999901</v>
      </c>
      <c r="L3619">
        <v>140.88659999999999</v>
      </c>
      <c r="M3619">
        <v>-0.99981869999999995</v>
      </c>
      <c r="N3619">
        <v>-1.5251320000000001E-2</v>
      </c>
      <c r="O3619">
        <v>-1.140068E-2</v>
      </c>
      <c r="P3619">
        <v>-0.97251699999999996</v>
      </c>
      <c r="Q3619">
        <v>0.2327458</v>
      </c>
      <c r="R3619">
        <v>6.3693519999999896E-3</v>
      </c>
      <c r="S3619">
        <v>-3.0862120000000002</v>
      </c>
      <c r="T3619">
        <v>3.04842E-3</v>
      </c>
      <c r="U3619">
        <v>-0.34127809999999997</v>
      </c>
      <c r="V3619">
        <v>1.7352590000000001E-2</v>
      </c>
      <c r="W3619">
        <v>0.24755630000000001</v>
      </c>
      <c r="X3619">
        <v>0.96871810000000003</v>
      </c>
      <c r="Y3619">
        <v>-9.8573649999999999E-2</v>
      </c>
      <c r="Z3619">
        <v>-8.9009110000000001E-4</v>
      </c>
      <c r="AA3619">
        <v>0.99512929999999999</v>
      </c>
      <c r="AB3619">
        <v>42</v>
      </c>
      <c r="AC3619">
        <v>-3.0862120000000002</v>
      </c>
      <c r="AD3619">
        <v>3.04842E-3</v>
      </c>
      <c r="AE3619">
        <v>-0.34127809999999997</v>
      </c>
      <c r="AF3619">
        <v>-0.306066612216853</v>
      </c>
      <c r="AG3619">
        <v>3.04842E-3</v>
      </c>
      <c r="AH3619">
        <v>3.08989965754028</v>
      </c>
      <c r="AI3619">
        <v>89.943748679089694</v>
      </c>
      <c r="AJ3619">
        <v>95.656917306209706</v>
      </c>
      <c r="AK3619">
        <v>3.1050226984107501</v>
      </c>
      <c r="AL3619">
        <v>75.667046341983706</v>
      </c>
      <c r="AM3619">
        <v>88.973773845661199</v>
      </c>
      <c r="AN3619">
        <v>0.99999999565850395</v>
      </c>
    </row>
    <row r="3620" spans="1:40" x14ac:dyDescent="0.25">
      <c r="A3620" t="str">
        <f>"20190303170840734"</f>
        <v>20190303170840734</v>
      </c>
      <c r="B3620" t="str">
        <f>"1551604120727275"</f>
        <v>1551604120727275</v>
      </c>
      <c r="C3620" t="s">
        <v>40</v>
      </c>
      <c r="D3620">
        <v>5.0052709999999996</v>
      </c>
      <c r="E3620">
        <v>0.46573359999999903</v>
      </c>
      <c r="F3620" t="s">
        <v>45</v>
      </c>
      <c r="G3620">
        <v>0</v>
      </c>
      <c r="H3620">
        <v>0</v>
      </c>
      <c r="I3620">
        <v>0</v>
      </c>
      <c r="J3620">
        <v>-347.01929999999999</v>
      </c>
      <c r="K3620">
        <v>1.1213850000000001</v>
      </c>
      <c r="L3620">
        <v>140.88159999999999</v>
      </c>
      <c r="M3620">
        <v>-0.99981679999999995</v>
      </c>
      <c r="N3620">
        <v>-1.5246300000000001E-2</v>
      </c>
      <c r="O3620">
        <v>-1.157359E-2</v>
      </c>
      <c r="P3620">
        <v>-0.97229659999999996</v>
      </c>
      <c r="Q3620">
        <v>0.2336348</v>
      </c>
      <c r="R3620">
        <v>7.3644180000000002E-3</v>
      </c>
      <c r="S3620">
        <v>-3.087402</v>
      </c>
      <c r="T3620">
        <v>-2.1669860000000001E-3</v>
      </c>
      <c r="U3620">
        <v>-0.31523129999999999</v>
      </c>
      <c r="V3620">
        <v>1.8513169999999999E-2</v>
      </c>
      <c r="W3620">
        <v>0.2484372</v>
      </c>
      <c r="X3620">
        <v>0.96847110000000003</v>
      </c>
      <c r="Y3620">
        <v>-9.0053170000000002E-2</v>
      </c>
      <c r="Z3620">
        <v>-8.877682E-4</v>
      </c>
      <c r="AA3620">
        <v>0.99593659999999995</v>
      </c>
      <c r="AB3620">
        <v>41</v>
      </c>
      <c r="AC3620">
        <v>-3.087402</v>
      </c>
      <c r="AD3620">
        <v>-2.1669860000000001E-3</v>
      </c>
      <c r="AE3620">
        <v>-0.31523129999999999</v>
      </c>
      <c r="AF3620">
        <v>-0.27947356776466897</v>
      </c>
      <c r="AG3620">
        <v>-2.1669860000000001E-3</v>
      </c>
      <c r="AH3620">
        <v>3.09084244428194</v>
      </c>
      <c r="AI3620">
        <v>90.040006787169403</v>
      </c>
      <c r="AJ3620">
        <v>95.1666270688211</v>
      </c>
      <c r="AK3620">
        <v>3.1034524623847899</v>
      </c>
      <c r="AL3620">
        <v>75.614947388475599</v>
      </c>
      <c r="AM3620">
        <v>88.904874567369006</v>
      </c>
      <c r="AN3620">
        <v>1.00000002567124</v>
      </c>
    </row>
    <row r="3621" spans="1:40" x14ac:dyDescent="0.25">
      <c r="A3621" t="str">
        <f>"20190303170840762"</f>
        <v>20190303170840762</v>
      </c>
      <c r="B3621" t="str">
        <f>"1551604120756554"</f>
        <v>1551604120756554</v>
      </c>
      <c r="C3621" t="s">
        <v>40</v>
      </c>
      <c r="D3621">
        <v>4.9897640000000001</v>
      </c>
      <c r="E3621">
        <v>0.4668543</v>
      </c>
      <c r="F3621" t="s">
        <v>45</v>
      </c>
      <c r="G3621">
        <v>0</v>
      </c>
      <c r="H3621">
        <v>0</v>
      </c>
      <c r="I3621">
        <v>0</v>
      </c>
      <c r="J3621">
        <v>-347.53449999999998</v>
      </c>
      <c r="K3621">
        <v>1.1213879999999901</v>
      </c>
      <c r="L3621">
        <v>140.87549999999999</v>
      </c>
      <c r="M3621">
        <v>-0.99981450000000005</v>
      </c>
      <c r="N3621">
        <v>-1.524026E-2</v>
      </c>
      <c r="O3621">
        <v>-1.1779960000000001E-2</v>
      </c>
      <c r="P3621">
        <v>-0.97208539999999999</v>
      </c>
      <c r="Q3621">
        <v>0.23449200000000001</v>
      </c>
      <c r="R3621">
        <v>7.9811340000000008E-3</v>
      </c>
      <c r="S3621">
        <v>-3.0877690000000002</v>
      </c>
      <c r="T3621" s="1">
        <v>-6.7830089999999999E-5</v>
      </c>
      <c r="U3621">
        <v>-0.29621890000000001</v>
      </c>
      <c r="V3621">
        <v>1.9328950000000001E-2</v>
      </c>
      <c r="W3621">
        <v>0.24928510000000001</v>
      </c>
      <c r="X3621">
        <v>0.96823720000000002</v>
      </c>
      <c r="Y3621">
        <v>-8.3761779999999994E-2</v>
      </c>
      <c r="Z3621">
        <v>-8.1959149999999903E-4</v>
      </c>
      <c r="AA3621">
        <v>0.99648550000000002</v>
      </c>
      <c r="AB3621">
        <v>41</v>
      </c>
      <c r="AC3621">
        <v>-3.0877690000000002</v>
      </c>
      <c r="AD3621" s="1">
        <v>-6.7830089999999999E-5</v>
      </c>
      <c r="AE3621">
        <v>-0.29621890000000001</v>
      </c>
      <c r="AF3621">
        <v>-0.25982032260865101</v>
      </c>
      <c r="AG3621" s="1">
        <v>-6.7830089999999999E-5</v>
      </c>
      <c r="AH3621">
        <v>3.0910445523861201</v>
      </c>
      <c r="AI3621">
        <v>90.001252884184396</v>
      </c>
      <c r="AJ3621">
        <v>94.804749878050302</v>
      </c>
      <c r="AK3621">
        <v>3.10194503972544</v>
      </c>
      <c r="AL3621">
        <v>75.564787463149798</v>
      </c>
      <c r="AM3621">
        <v>88.856354439116004</v>
      </c>
      <c r="AN3621">
        <v>0.99999997242697503</v>
      </c>
    </row>
    <row r="3622" spans="1:40" x14ac:dyDescent="0.25">
      <c r="A3622" t="str">
        <f>"20190303170840779"</f>
        <v>20190303170840779</v>
      </c>
      <c r="B3622" t="str">
        <f>"1551604120767290"</f>
        <v>1551604120767290</v>
      </c>
      <c r="C3622" t="s">
        <v>40</v>
      </c>
      <c r="D3622">
        <v>5.0187989999999996</v>
      </c>
      <c r="E3622">
        <v>0.46708660000000002</v>
      </c>
      <c r="F3622" t="s">
        <v>45</v>
      </c>
      <c r="G3622">
        <v>0</v>
      </c>
      <c r="H3622">
        <v>0</v>
      </c>
      <c r="I3622">
        <v>0</v>
      </c>
      <c r="J3622">
        <v>-347.8365</v>
      </c>
      <c r="K3622">
        <v>1.121381</v>
      </c>
      <c r="L3622">
        <v>140.87180000000001</v>
      </c>
      <c r="M3622">
        <v>-0.99981299999999995</v>
      </c>
      <c r="N3622">
        <v>-1.5236710000000001E-2</v>
      </c>
      <c r="O3622">
        <v>-1.189898E-2</v>
      </c>
      <c r="P3622">
        <v>-0.97249640000000004</v>
      </c>
      <c r="Q3622">
        <v>0.2327814</v>
      </c>
      <c r="R3622">
        <v>7.9782719999999998E-3</v>
      </c>
      <c r="S3622">
        <v>-3.088654</v>
      </c>
      <c r="T3622">
        <v>-8.3041189999999996E-4</v>
      </c>
      <c r="U3622">
        <v>-0.28536990000000001</v>
      </c>
      <c r="V3622">
        <v>1.9448630000000001E-2</v>
      </c>
      <c r="W3622">
        <v>0.24757799999999999</v>
      </c>
      <c r="X3622">
        <v>0.9686728</v>
      </c>
      <c r="Y3622">
        <v>-8.0145859999999999E-2</v>
      </c>
      <c r="Z3622">
        <v>-8.0042729999999895E-4</v>
      </c>
      <c r="AA3622">
        <v>0.99678279999999997</v>
      </c>
      <c r="AB3622">
        <v>41</v>
      </c>
      <c r="AC3622">
        <v>-3.088654</v>
      </c>
      <c r="AD3622">
        <v>-8.3041189999999996E-4</v>
      </c>
      <c r="AE3622">
        <v>-0.28536990000000001</v>
      </c>
      <c r="AF3622">
        <v>-0.24859357151935799</v>
      </c>
      <c r="AG3622">
        <v>-8.3041189999999996E-4</v>
      </c>
      <c r="AH3622">
        <v>3.09183107051041</v>
      </c>
      <c r="AI3622">
        <v>90.0153391450973</v>
      </c>
      <c r="AJ3622">
        <v>94.596883733020803</v>
      </c>
      <c r="AK3622">
        <v>3.10180895961666</v>
      </c>
      <c r="AL3622">
        <v>75.665763936139797</v>
      </c>
      <c r="AM3622">
        <v>88.849792498912507</v>
      </c>
      <c r="AN3622">
        <v>1.0000000543763501</v>
      </c>
    </row>
    <row r="3623" spans="1:40" x14ac:dyDescent="0.25">
      <c r="A3623" t="str">
        <f>"20190303170840800"</f>
        <v>20190303170840800</v>
      </c>
      <c r="B3623" t="str">
        <f>"1551604120786811"</f>
        <v>1551604120786811</v>
      </c>
      <c r="C3623" t="s">
        <v>40</v>
      </c>
      <c r="D3623">
        <v>5.0012299999999996</v>
      </c>
      <c r="E3623">
        <v>0.46729730000000003</v>
      </c>
      <c r="F3623" t="s">
        <v>49</v>
      </c>
      <c r="G3623">
        <v>-921.32650000000001</v>
      </c>
      <c r="H3623">
        <v>-0.1</v>
      </c>
      <c r="I3623">
        <v>88.294929999999994</v>
      </c>
      <c r="J3623">
        <v>-348.2398</v>
      </c>
      <c r="K3623">
        <v>1.121373</v>
      </c>
      <c r="L3623">
        <v>140.86680000000001</v>
      </c>
      <c r="M3623">
        <v>-0.99981140000000002</v>
      </c>
      <c r="N3623">
        <v>-1.5231959999999999E-2</v>
      </c>
      <c r="O3623">
        <v>-1.205576E-2</v>
      </c>
      <c r="P3623">
        <v>-0.97288050000000004</v>
      </c>
      <c r="Q3623">
        <v>0.23118420000000001</v>
      </c>
      <c r="R3623">
        <v>7.5855419999999998E-3</v>
      </c>
      <c r="S3623">
        <v>-3.0887449999999999</v>
      </c>
      <c r="T3623">
        <v>-6.5782069999999896E-3</v>
      </c>
      <c r="U3623">
        <v>-0.283172599999999</v>
      </c>
      <c r="V3623">
        <v>1.921523E-2</v>
      </c>
      <c r="W3623">
        <v>0.24598149999999999</v>
      </c>
      <c r="X3623">
        <v>0.96908399999999995</v>
      </c>
      <c r="Y3623">
        <v>-7.928209E-2</v>
      </c>
      <c r="Z3623">
        <v>-8.4703449999999896E-4</v>
      </c>
      <c r="AA3623">
        <v>0.99685190000000001</v>
      </c>
      <c r="AB3623">
        <v>41</v>
      </c>
      <c r="AC3623">
        <v>-573.08669999999995</v>
      </c>
      <c r="AD3623">
        <v>-1.221373</v>
      </c>
      <c r="AE3623">
        <v>-52.571869999999997</v>
      </c>
      <c r="AF3623">
        <v>-45.6580462035338</v>
      </c>
      <c r="AG3623">
        <v>-1.221373</v>
      </c>
      <c r="AH3623">
        <v>573.67632560984202</v>
      </c>
      <c r="AI3623">
        <v>90.121599621492393</v>
      </c>
      <c r="AJ3623">
        <v>94.550494006444197</v>
      </c>
      <c r="AK3623">
        <v>575.49168152140896</v>
      </c>
      <c r="AL3623">
        <v>75.760154698493295</v>
      </c>
      <c r="AM3623">
        <v>88.8640743915321</v>
      </c>
      <c r="AN3623">
        <v>0.99999996123110002</v>
      </c>
    </row>
    <row r="3624" spans="1:40" x14ac:dyDescent="0.25">
      <c r="A3624" t="str">
        <f>"20190303170840824"</f>
        <v>20190303170840824</v>
      </c>
      <c r="B3624" t="str">
        <f>"1551604120817067"</f>
        <v>1551604120817067</v>
      </c>
      <c r="C3624" t="s">
        <v>40</v>
      </c>
      <c r="D3624">
        <v>4.9930649999999996</v>
      </c>
      <c r="E3624">
        <v>0.46767710000000001</v>
      </c>
      <c r="F3624" t="s">
        <v>49</v>
      </c>
      <c r="G3624">
        <v>-679.08040000000005</v>
      </c>
      <c r="H3624">
        <v>-0.1</v>
      </c>
      <c r="I3624">
        <v>110.6271</v>
      </c>
      <c r="J3624">
        <v>-348.68549999999999</v>
      </c>
      <c r="K3624">
        <v>1.1213630000000001</v>
      </c>
      <c r="L3624">
        <v>140.8613</v>
      </c>
      <c r="M3624">
        <v>-0.99980939999999996</v>
      </c>
      <c r="N3624">
        <v>-1.5226730000000001E-2</v>
      </c>
      <c r="O3624">
        <v>-1.222648E-2</v>
      </c>
      <c r="P3624">
        <v>-0.97308709999999998</v>
      </c>
      <c r="Q3624">
        <v>0.23033590000000001</v>
      </c>
      <c r="R3624">
        <v>6.8705329999999998E-3</v>
      </c>
      <c r="S3624">
        <v>-3.088562</v>
      </c>
      <c r="T3624">
        <v>-1.140213E-2</v>
      </c>
      <c r="U3624">
        <v>-0.28230290000000002</v>
      </c>
      <c r="V3624">
        <v>1.8671090000000001E-2</v>
      </c>
      <c r="W3624">
        <v>0.24513090000000001</v>
      </c>
      <c r="X3624">
        <v>0.96931020000000001</v>
      </c>
      <c r="Y3624">
        <v>-7.8837359999999995E-2</v>
      </c>
      <c r="Z3624">
        <v>-8.8751990000000001E-4</v>
      </c>
      <c r="AA3624">
        <v>0.99688710000000003</v>
      </c>
      <c r="AB3624">
        <v>41</v>
      </c>
      <c r="AC3624">
        <v>-330.39490000000001</v>
      </c>
      <c r="AD3624">
        <v>-1.221363</v>
      </c>
      <c r="AE3624">
        <v>-30.234200000000001</v>
      </c>
      <c r="AF3624">
        <v>-26.191549983283299</v>
      </c>
      <c r="AG3624">
        <v>-1.221363</v>
      </c>
      <c r="AH3624">
        <v>330.73541707929297</v>
      </c>
      <c r="AI3624">
        <v>90.210924569740001</v>
      </c>
      <c r="AJ3624">
        <v>94.527909264609605</v>
      </c>
      <c r="AK3624">
        <v>331.773122975202</v>
      </c>
      <c r="AL3624">
        <v>75.810430587744605</v>
      </c>
      <c r="AM3624">
        <v>88.896491156552301</v>
      </c>
      <c r="AN3624">
        <v>1.0000000157803099</v>
      </c>
    </row>
    <row r="3625" spans="1:40" x14ac:dyDescent="0.25">
      <c r="A3625" t="str">
        <f>"20190303170840846"</f>
        <v>20190303170840846</v>
      </c>
      <c r="B3625" t="str">
        <f>"1551604120836587"</f>
        <v>1551604120836587</v>
      </c>
      <c r="C3625" t="s">
        <v>40</v>
      </c>
      <c r="D3625">
        <v>4.9969409999999996</v>
      </c>
      <c r="E3625">
        <v>0.46793509999999999</v>
      </c>
      <c r="F3625" t="s">
        <v>49</v>
      </c>
      <c r="G3625">
        <v>-613.07389999999998</v>
      </c>
      <c r="H3625">
        <v>-0.1</v>
      </c>
      <c r="I3625">
        <v>116.8138</v>
      </c>
      <c r="J3625">
        <v>-349.09539999999998</v>
      </c>
      <c r="K3625">
        <v>1.121364</v>
      </c>
      <c r="L3625">
        <v>140.8561</v>
      </c>
      <c r="M3625">
        <v>-0.99980749999999996</v>
      </c>
      <c r="N3625">
        <v>-1.5221739999999999E-2</v>
      </c>
      <c r="O3625">
        <v>-1.238124E-2</v>
      </c>
      <c r="P3625">
        <v>-0.97325399999999995</v>
      </c>
      <c r="Q3625">
        <v>0.22966919999999999</v>
      </c>
      <c r="R3625">
        <v>5.3705119999999896E-3</v>
      </c>
      <c r="S3625">
        <v>-3.0883180000000001</v>
      </c>
      <c r="T3625">
        <v>-1.426673E-2</v>
      </c>
      <c r="U3625">
        <v>-0.28089899999999901</v>
      </c>
      <c r="V3625">
        <v>1.7325509999999999E-2</v>
      </c>
      <c r="W3625">
        <v>0.24446200000000001</v>
      </c>
      <c r="X3625">
        <v>0.96950409999999998</v>
      </c>
      <c r="Y3625">
        <v>-7.8239820000000002E-2</v>
      </c>
      <c r="Z3625">
        <v>-9.0814270000000004E-4</v>
      </c>
      <c r="AA3625">
        <v>0.99693419999999999</v>
      </c>
      <c r="AB3625">
        <v>41</v>
      </c>
      <c r="AC3625">
        <v>-263.9785</v>
      </c>
      <c r="AD3625">
        <v>-1.2213639999999999</v>
      </c>
      <c r="AE3625">
        <v>-24.042300000000001</v>
      </c>
      <c r="AF3625">
        <v>-20.771255910830501</v>
      </c>
      <c r="AG3625">
        <v>-1.2213639999999999</v>
      </c>
      <c r="AH3625">
        <v>264.25035896739001</v>
      </c>
      <c r="AI3625">
        <v>90.264004625862498</v>
      </c>
      <c r="AJ3625">
        <v>94.494462239073002</v>
      </c>
      <c r="AK3625">
        <v>265.06827236870203</v>
      </c>
      <c r="AL3625">
        <v>75.849958468429904</v>
      </c>
      <c r="AM3625">
        <v>88.976205516718807</v>
      </c>
      <c r="AN3625">
        <v>1.0000000213287801</v>
      </c>
    </row>
    <row r="3626" spans="1:40" x14ac:dyDescent="0.25">
      <c r="A3626" t="str">
        <f>"20190303170840868"</f>
        <v>20190303170840868</v>
      </c>
      <c r="B3626" t="str">
        <f>"1551604120857083"</f>
        <v>1551604120857083</v>
      </c>
      <c r="C3626" t="s">
        <v>40</v>
      </c>
      <c r="D3626">
        <v>4.9813539999999996</v>
      </c>
      <c r="E3626">
        <v>0.46809420000000002</v>
      </c>
      <c r="F3626" t="s">
        <v>46</v>
      </c>
      <c r="G3626">
        <v>-549.05099999999902</v>
      </c>
      <c r="H3626">
        <v>-0.05</v>
      </c>
      <c r="I3626">
        <v>122.54940000000001</v>
      </c>
      <c r="J3626">
        <v>-349.49540000000002</v>
      </c>
      <c r="K3626">
        <v>1.121367</v>
      </c>
      <c r="L3626">
        <v>140.851</v>
      </c>
      <c r="M3626">
        <v>-0.99980579999999997</v>
      </c>
      <c r="N3626">
        <v>-1.521699E-2</v>
      </c>
      <c r="O3626">
        <v>-1.2531240000000001E-2</v>
      </c>
      <c r="P3626">
        <v>-0.97337340000000006</v>
      </c>
      <c r="Q3626">
        <v>0.22920080000000001</v>
      </c>
      <c r="R3626">
        <v>3.370624E-3</v>
      </c>
      <c r="S3626">
        <v>-3.0882869999999998</v>
      </c>
      <c r="T3626">
        <v>-1.809156E-2</v>
      </c>
      <c r="U3626">
        <v>-0.28274539999999998</v>
      </c>
      <c r="V3626">
        <v>1.5474450000000001E-2</v>
      </c>
      <c r="W3626">
        <v>0.24399029999999999</v>
      </c>
      <c r="X3626">
        <v>0.96965420000000002</v>
      </c>
      <c r="Y3626">
        <v>-7.8680810000000004E-2</v>
      </c>
      <c r="Z3626">
        <v>-9.4701379999999997E-4</v>
      </c>
      <c r="AA3626">
        <v>0.99689939999999999</v>
      </c>
      <c r="AB3626">
        <v>41</v>
      </c>
      <c r="AC3626">
        <v>-199.555599999999</v>
      </c>
      <c r="AD3626">
        <v>-1.171367</v>
      </c>
      <c r="AE3626">
        <v>-18.301600000000001</v>
      </c>
      <c r="AF3626">
        <v>-15.798654424648801</v>
      </c>
      <c r="AG3626">
        <v>-1.171367</v>
      </c>
      <c r="AH3626">
        <v>199.7624702281</v>
      </c>
      <c r="AI3626">
        <v>90.334921317944506</v>
      </c>
      <c r="AJ3626">
        <v>94.521950501355903</v>
      </c>
      <c r="AK3626">
        <v>200.389655655952</v>
      </c>
      <c r="AL3626">
        <v>75.877828489506697</v>
      </c>
      <c r="AM3626">
        <v>89.085709711479694</v>
      </c>
      <c r="AN3626">
        <v>0.999999996337266</v>
      </c>
    </row>
    <row r="3627" spans="1:40" x14ac:dyDescent="0.25">
      <c r="A3627" t="str">
        <f>"20190303170840892"</f>
        <v>20190303170840892</v>
      </c>
      <c r="B3627" t="str">
        <f>"1551604120887339"</f>
        <v>1551604120887339</v>
      </c>
      <c r="C3627" t="s">
        <v>40</v>
      </c>
      <c r="D3627">
        <v>5.0002300000000002</v>
      </c>
      <c r="E3627">
        <v>0.46834599999999998</v>
      </c>
      <c r="F3627" t="s">
        <v>59</v>
      </c>
      <c r="G3627">
        <v>-498.35739999999998</v>
      </c>
      <c r="H3627">
        <v>7.998769E-2</v>
      </c>
      <c r="I3627">
        <v>127.0245</v>
      </c>
      <c r="J3627">
        <v>-349.91629999999998</v>
      </c>
      <c r="K3627">
        <v>1.1213649999999999</v>
      </c>
      <c r="L3627">
        <v>140.84559999999999</v>
      </c>
      <c r="M3627">
        <v>-0.99980369999999996</v>
      </c>
      <c r="N3627">
        <v>-1.521226E-2</v>
      </c>
      <c r="O3627">
        <v>-1.2687810000000001E-2</v>
      </c>
      <c r="P3627">
        <v>-0.97338720000000001</v>
      </c>
      <c r="Q3627">
        <v>0.22916139999999999</v>
      </c>
      <c r="R3627">
        <v>1.524786E-3</v>
      </c>
      <c r="S3627">
        <v>-3.088165</v>
      </c>
      <c r="T3627">
        <v>-2.1603580000000001E-2</v>
      </c>
      <c r="U3627">
        <v>-0.2868347</v>
      </c>
      <c r="V3627">
        <v>1.3782330000000001E-2</v>
      </c>
      <c r="W3627">
        <v>0.24394640000000001</v>
      </c>
      <c r="X3627">
        <v>0.96969079999999996</v>
      </c>
      <c r="Y3627">
        <v>-7.9835710000000004E-2</v>
      </c>
      <c r="Z3627">
        <v>-9.9133979999999999E-4</v>
      </c>
      <c r="AA3627">
        <v>0.99680749999999996</v>
      </c>
      <c r="AB3627">
        <v>41</v>
      </c>
      <c r="AC3627">
        <v>-148.44110000000001</v>
      </c>
      <c r="AD3627">
        <v>-1.0413773099999999</v>
      </c>
      <c r="AE3627">
        <v>-13.8210999999999</v>
      </c>
      <c r="AF3627">
        <v>-11.9357942583935</v>
      </c>
      <c r="AG3627">
        <v>-1.0413773099999999</v>
      </c>
      <c r="AH3627">
        <v>148.59727795343699</v>
      </c>
      <c r="AI3627">
        <v>90.400236170572498</v>
      </c>
      <c r="AJ3627">
        <v>94.592315420701794</v>
      </c>
      <c r="AK3627">
        <v>149.07950451504601</v>
      </c>
      <c r="AL3627">
        <v>75.880422532682601</v>
      </c>
      <c r="AM3627">
        <v>89.185703140752693</v>
      </c>
      <c r="AN3627">
        <v>1.0000000231489099</v>
      </c>
    </row>
    <row r="3628" spans="1:40" x14ac:dyDescent="0.25">
      <c r="A3628" t="str">
        <f>"20190303170840913"</f>
        <v>20190303170840913</v>
      </c>
      <c r="B3628" t="str">
        <f>"1551604120906860"</f>
        <v>1551604120906860</v>
      </c>
      <c r="C3628" t="s">
        <v>40</v>
      </c>
      <c r="D3628">
        <v>5.0024540000000002</v>
      </c>
      <c r="E3628">
        <v>0.46857300000000002</v>
      </c>
      <c r="F3628" t="s">
        <v>59</v>
      </c>
      <c r="G3628">
        <v>-495.84739999999999</v>
      </c>
      <c r="H3628">
        <v>7.9987699999999995E-2</v>
      </c>
      <c r="I3628">
        <v>127.14870000000001</v>
      </c>
      <c r="J3628">
        <v>-350.30520000000001</v>
      </c>
      <c r="K3628">
        <v>1.121353</v>
      </c>
      <c r="L3628">
        <v>140.84049999999999</v>
      </c>
      <c r="M3628">
        <v>-0.99980210000000003</v>
      </c>
      <c r="N3628">
        <v>-1.5207969999999999E-2</v>
      </c>
      <c r="O3628">
        <v>-1.2832110000000001E-2</v>
      </c>
      <c r="P3628">
        <v>-0.97344209999999998</v>
      </c>
      <c r="Q3628">
        <v>0.22893279999999999</v>
      </c>
      <c r="R3628">
        <v>-6.0205670000000003E-4</v>
      </c>
      <c r="S3628">
        <v>-3.0877080000000001</v>
      </c>
      <c r="T3628">
        <v>-2.2034169999999999E-2</v>
      </c>
      <c r="U3628">
        <v>-0.28981020000000002</v>
      </c>
      <c r="V3628">
        <v>1.1797520000000001E-2</v>
      </c>
      <c r="W3628">
        <v>0.24371380000000001</v>
      </c>
      <c r="X3628">
        <v>0.96977539999999995</v>
      </c>
      <c r="Y3628">
        <v>-8.0657499999999993E-2</v>
      </c>
      <c r="Z3628">
        <v>-1.005295E-3</v>
      </c>
      <c r="AA3628">
        <v>0.9967414</v>
      </c>
      <c r="AB3628">
        <v>41</v>
      </c>
      <c r="AC3628">
        <v>-145.54219999999901</v>
      </c>
      <c r="AD3628">
        <v>-1.0413653</v>
      </c>
      <c r="AE3628">
        <v>-13.691799999999899</v>
      </c>
      <c r="AF3628">
        <v>-11.822243136676899</v>
      </c>
      <c r="AG3628">
        <v>-1.0413653</v>
      </c>
      <c r="AH3628">
        <v>145.698535397591</v>
      </c>
      <c r="AI3628">
        <v>90.408167283983104</v>
      </c>
      <c r="AJ3628">
        <v>94.638920296981496</v>
      </c>
      <c r="AK3628">
        <v>146.181096902007</v>
      </c>
      <c r="AL3628">
        <v>75.894163406036597</v>
      </c>
      <c r="AM3628">
        <v>89.303019273696094</v>
      </c>
      <c r="AN3628">
        <v>0.99999996211687403</v>
      </c>
    </row>
    <row r="3629" spans="1:40" x14ac:dyDescent="0.25">
      <c r="A3629" t="str">
        <f>"20190303170840941"</f>
        <v>20190303170840941</v>
      </c>
      <c r="B3629" t="str">
        <f>"1551604120927355"</f>
        <v>1551604120927355</v>
      </c>
      <c r="C3629" t="s">
        <v>40</v>
      </c>
      <c r="D3629">
        <v>4.985792</v>
      </c>
      <c r="E3629">
        <v>0.46868939999999998</v>
      </c>
      <c r="F3629" t="s">
        <v>59</v>
      </c>
      <c r="G3629">
        <v>-487.3032</v>
      </c>
      <c r="H3629">
        <v>7.9986570000000007E-2</v>
      </c>
      <c r="I3629">
        <v>127.7687</v>
      </c>
      <c r="J3629">
        <v>-350.83539999999999</v>
      </c>
      <c r="K3629">
        <v>1.121353</v>
      </c>
      <c r="L3629">
        <v>140.83349999999999</v>
      </c>
      <c r="M3629">
        <v>-0.99979969999999996</v>
      </c>
      <c r="N3629">
        <v>-1.5202179999999999E-2</v>
      </c>
      <c r="O3629">
        <v>-1.302824E-2</v>
      </c>
      <c r="P3629">
        <v>-0.97379009999999999</v>
      </c>
      <c r="Q3629">
        <v>0.22741690000000001</v>
      </c>
      <c r="R3629">
        <v>-3.8194930000000002E-3</v>
      </c>
      <c r="S3629">
        <v>-3.0872190000000002</v>
      </c>
      <c r="T3629">
        <v>-2.3466939999999999E-2</v>
      </c>
      <c r="U3629">
        <v>-0.29457090000000002</v>
      </c>
      <c r="V3629">
        <v>8.777333E-3</v>
      </c>
      <c r="W3629">
        <v>0.24219750000000001</v>
      </c>
      <c r="X3629">
        <v>0.97018720000000003</v>
      </c>
      <c r="Y3629">
        <v>-8.1999240000000001E-2</v>
      </c>
      <c r="Z3629">
        <v>-1.0345689999999999E-3</v>
      </c>
      <c r="AA3629">
        <v>0.99663190000000002</v>
      </c>
      <c r="AB3629">
        <v>41</v>
      </c>
      <c r="AC3629">
        <v>-136.46780000000001</v>
      </c>
      <c r="AD3629">
        <v>-1.0413664300000001</v>
      </c>
      <c r="AE3629">
        <v>-13.0647999999999</v>
      </c>
      <c r="AF3629">
        <v>-11.284899286089299</v>
      </c>
      <c r="AG3629">
        <v>-1.0413664300000001</v>
      </c>
      <c r="AH3629">
        <v>136.61856310035699</v>
      </c>
      <c r="AI3629">
        <v>90.435242777128195</v>
      </c>
      <c r="AJ3629">
        <v>94.721997829355701</v>
      </c>
      <c r="AK3629">
        <v>137.08780098734101</v>
      </c>
      <c r="AL3629">
        <v>75.983724131886902</v>
      </c>
      <c r="AM3629">
        <v>89.481656306948494</v>
      </c>
      <c r="AN3629">
        <v>0.99999993681233901</v>
      </c>
    </row>
    <row r="3630" spans="1:40" x14ac:dyDescent="0.25">
      <c r="A3630" t="str">
        <f>"20190303170840964"</f>
        <v>20190303170840964</v>
      </c>
      <c r="B3630" t="str">
        <f>"1551604120956635"</f>
        <v>1551604120956635</v>
      </c>
      <c r="C3630" t="s">
        <v>40</v>
      </c>
      <c r="D3630">
        <v>4.980092</v>
      </c>
      <c r="E3630">
        <v>0.46887760000000001</v>
      </c>
      <c r="F3630" t="s">
        <v>43</v>
      </c>
      <c r="G3630">
        <v>-464.92169999999999</v>
      </c>
      <c r="H3630">
        <v>4.9431280000000001E-2</v>
      </c>
      <c r="I3630">
        <v>129.6163</v>
      </c>
      <c r="J3630">
        <v>-351.23809999999997</v>
      </c>
      <c r="K3630">
        <v>1.1213500000000001</v>
      </c>
      <c r="L3630">
        <v>140.82810000000001</v>
      </c>
      <c r="M3630">
        <v>-0.99979779999999996</v>
      </c>
      <c r="N3630">
        <v>-1.5197759999999999E-2</v>
      </c>
      <c r="O3630">
        <v>-1.3177670000000001E-2</v>
      </c>
      <c r="P3630">
        <v>-0.97387579999999996</v>
      </c>
      <c r="Q3630">
        <v>0.22695699999999999</v>
      </c>
      <c r="R3630">
        <v>-7.53806099999999E-3</v>
      </c>
      <c r="S3630">
        <v>-3.0863040000000002</v>
      </c>
      <c r="T3630">
        <v>-2.8998019999999999E-2</v>
      </c>
      <c r="U3630">
        <v>-0.30345149999999999</v>
      </c>
      <c r="V3630">
        <v>5.2066049999999996E-3</v>
      </c>
      <c r="W3630">
        <v>0.241734</v>
      </c>
      <c r="X3630">
        <v>0.97032859999999999</v>
      </c>
      <c r="Y3630">
        <v>-8.4716189999999997E-2</v>
      </c>
      <c r="Z3630">
        <v>-1.1187390000000001E-3</v>
      </c>
      <c r="AA3630">
        <v>0.99640450000000003</v>
      </c>
      <c r="AB3630">
        <v>41</v>
      </c>
      <c r="AC3630">
        <v>-113.6836</v>
      </c>
      <c r="AD3630">
        <v>-1.07191872</v>
      </c>
      <c r="AE3630">
        <v>-11.2118</v>
      </c>
      <c r="AF3630">
        <v>-9.7117133512344704</v>
      </c>
      <c r="AG3630">
        <v>-1.07191872</v>
      </c>
      <c r="AH3630">
        <v>113.811468121497</v>
      </c>
      <c r="AI3630">
        <v>90.537663171721803</v>
      </c>
      <c r="AJ3630">
        <v>94.877324725173494</v>
      </c>
      <c r="AK3630">
        <v>114.230104009098</v>
      </c>
      <c r="AL3630">
        <v>76.011095127978706</v>
      </c>
      <c r="AM3630">
        <v>89.692564323982694</v>
      </c>
      <c r="AN3630">
        <v>1.00000001373479</v>
      </c>
    </row>
    <row r="3631" spans="1:40" x14ac:dyDescent="0.25">
      <c r="A3631" t="str">
        <f>"20190303170840983"</f>
        <v>20190303170840983</v>
      </c>
      <c r="B3631" t="str">
        <f>"1551604120977131"</f>
        <v>1551604120977131</v>
      </c>
      <c r="C3631" t="s">
        <v>40</v>
      </c>
      <c r="D3631">
        <v>4.9630489999999998</v>
      </c>
      <c r="E3631">
        <v>0.46894999999999998</v>
      </c>
      <c r="F3631" t="s">
        <v>43</v>
      </c>
      <c r="G3631">
        <v>-462.07220000000001</v>
      </c>
      <c r="H3631">
        <v>8.1200719999999903E-3</v>
      </c>
      <c r="I3631">
        <v>129.6163</v>
      </c>
      <c r="J3631">
        <v>-351.58980000000003</v>
      </c>
      <c r="K3631">
        <v>1.1213519999999999</v>
      </c>
      <c r="L3631">
        <v>140.82339999999999</v>
      </c>
      <c r="M3631">
        <v>-0.99979600000000002</v>
      </c>
      <c r="N3631">
        <v>-1.5193740000000001E-2</v>
      </c>
      <c r="O3631">
        <v>-1.3308149999999999E-2</v>
      </c>
      <c r="P3631">
        <v>-0.97359010000000001</v>
      </c>
      <c r="Q3631">
        <v>0.22809660000000001</v>
      </c>
      <c r="R3631">
        <v>-9.712086E-3</v>
      </c>
      <c r="S3631">
        <v>-3.0852970000000002</v>
      </c>
      <c r="T3631">
        <v>-3.0989050000000001E-2</v>
      </c>
      <c r="U3631">
        <v>-0.31210329999999997</v>
      </c>
      <c r="V3631">
        <v>3.1560939999999999E-3</v>
      </c>
      <c r="W3631">
        <v>0.24286460000000001</v>
      </c>
      <c r="X3631">
        <v>0.970055</v>
      </c>
      <c r="Y3631">
        <v>-8.7382760000000004E-2</v>
      </c>
      <c r="Z3631">
        <v>-1.1717570000000001E-3</v>
      </c>
      <c r="AA3631">
        <v>0.99617409999999995</v>
      </c>
      <c r="AB3631">
        <v>41</v>
      </c>
      <c r="AC3631">
        <v>-110.482399999999</v>
      </c>
      <c r="AD3631">
        <v>-1.113231928</v>
      </c>
      <c r="AE3631">
        <v>-11.207099999999899</v>
      </c>
      <c r="AF3631">
        <v>-9.7346429352944703</v>
      </c>
      <c r="AG3631">
        <v>-1.113231928</v>
      </c>
      <c r="AH3631">
        <v>110.61066101426501</v>
      </c>
      <c r="AI3631">
        <v>90.574409120831703</v>
      </c>
      <c r="AJ3631">
        <v>95.029538644373503</v>
      </c>
      <c r="AK3631">
        <v>111.04377915225901</v>
      </c>
      <c r="AL3631">
        <v>75.9443258545774</v>
      </c>
      <c r="AM3631">
        <v>89.813587654416295</v>
      </c>
      <c r="AN3631">
        <v>0.99999993894374595</v>
      </c>
    </row>
    <row r="3632" spans="1:40" x14ac:dyDescent="0.25">
      <c r="A3632" t="str">
        <f>"20190303170841001"</f>
        <v>20190303170841001</v>
      </c>
      <c r="B3632" t="str">
        <f>"1551604120996650"</f>
        <v>1551604120996650</v>
      </c>
      <c r="C3632" t="s">
        <v>40</v>
      </c>
      <c r="D3632">
        <v>4.9870720000000004</v>
      </c>
      <c r="E3632">
        <v>0.46921099999999999</v>
      </c>
      <c r="F3632" t="s">
        <v>59</v>
      </c>
      <c r="G3632">
        <v>-470.01670000000001</v>
      </c>
      <c r="H3632">
        <v>7.9987290000000003E-2</v>
      </c>
      <c r="I3632">
        <v>128.60470000000001</v>
      </c>
      <c r="J3632">
        <v>-351.92509999999999</v>
      </c>
      <c r="K3632">
        <v>1.121359</v>
      </c>
      <c r="L3632">
        <v>140.81880000000001</v>
      </c>
      <c r="M3632">
        <v>-0.99979439999999997</v>
      </c>
      <c r="N3632">
        <v>-1.518984E-2</v>
      </c>
      <c r="O3632">
        <v>-1.3432680000000001E-2</v>
      </c>
      <c r="P3632">
        <v>-0.97344790000000003</v>
      </c>
      <c r="Q3632">
        <v>0.22864490000000001</v>
      </c>
      <c r="R3632">
        <v>-1.100394E-2</v>
      </c>
      <c r="S3632">
        <v>-3.0845950000000002</v>
      </c>
      <c r="T3632">
        <v>-2.7123810000000002E-2</v>
      </c>
      <c r="U3632">
        <v>-0.3182526</v>
      </c>
      <c r="V3632">
        <v>1.9839520000000002E-3</v>
      </c>
      <c r="W3632">
        <v>0.24340709999999999</v>
      </c>
      <c r="X3632">
        <v>0.96992219999999996</v>
      </c>
      <c r="Y3632">
        <v>-8.9248359999999999E-2</v>
      </c>
      <c r="Z3632">
        <v>-1.156827E-3</v>
      </c>
      <c r="AA3632">
        <v>0.99600880000000003</v>
      </c>
      <c r="AB3632">
        <v>41</v>
      </c>
      <c r="AC3632">
        <v>-118.0916</v>
      </c>
      <c r="AD3632">
        <v>-1.04137171</v>
      </c>
      <c r="AE3632">
        <v>-12.2141</v>
      </c>
      <c r="AF3632">
        <v>-10.6257105165685</v>
      </c>
      <c r="AG3632">
        <v>-1.04137171</v>
      </c>
      <c r="AH3632">
        <v>118.235932971324</v>
      </c>
      <c r="AI3632">
        <v>90.502598357680995</v>
      </c>
      <c r="AJ3632">
        <v>95.135302426452</v>
      </c>
      <c r="AK3632">
        <v>118.71699972885</v>
      </c>
      <c r="AL3632">
        <v>75.912282374860794</v>
      </c>
      <c r="AM3632">
        <v>89.8828030559322</v>
      </c>
      <c r="AN3632">
        <v>1.00000001322439</v>
      </c>
    </row>
    <row r="3633" spans="1:40" x14ac:dyDescent="0.25">
      <c r="A3633" t="str">
        <f>"20190303170841024"</f>
        <v>20190303170841024</v>
      </c>
      <c r="B3633" t="str">
        <f>"1551604121017147"</f>
        <v>1551604121017147</v>
      </c>
      <c r="C3633" t="s">
        <v>40</v>
      </c>
      <c r="D3633">
        <v>4.9429749999999997</v>
      </c>
      <c r="E3633">
        <v>0.4879117</v>
      </c>
      <c r="F3633" t="s">
        <v>59</v>
      </c>
      <c r="G3633">
        <v>-479.93849999999998</v>
      </c>
      <c r="H3633">
        <v>7.9986570000000007E-2</v>
      </c>
      <c r="I3633">
        <v>127.4473</v>
      </c>
      <c r="J3633">
        <v>-352.3494</v>
      </c>
      <c r="K3633">
        <v>1.1213660000000001</v>
      </c>
      <c r="L3633">
        <v>140.81290000000001</v>
      </c>
      <c r="M3633">
        <v>-0.99979240000000003</v>
      </c>
      <c r="N3633">
        <v>-1.5184919999999999E-2</v>
      </c>
      <c r="O3633">
        <v>-1.3590090000000001E-2</v>
      </c>
      <c r="P3633">
        <v>-0.97367320000000002</v>
      </c>
      <c r="Q3633">
        <v>0.22757830000000001</v>
      </c>
      <c r="R3633">
        <v>-1.2992439999999999E-2</v>
      </c>
      <c r="S3633">
        <v>-3.084076</v>
      </c>
      <c r="T3633">
        <v>-2.5088550000000001E-2</v>
      </c>
      <c r="U3633">
        <v>-0.32214359999999997</v>
      </c>
      <c r="V3633">
        <v>1.5256929999999999E-4</v>
      </c>
      <c r="W3633">
        <v>0.24233859999999999</v>
      </c>
      <c r="X3633">
        <v>0.97019169999999999</v>
      </c>
      <c r="Y3633">
        <v>-9.0352699999999994E-2</v>
      </c>
      <c r="Z3633">
        <v>-1.1500639999999999E-3</v>
      </c>
      <c r="AA3633">
        <v>0.99590919999999905</v>
      </c>
      <c r="AB3633">
        <v>41</v>
      </c>
      <c r="AC3633">
        <v>-127.58909999999899</v>
      </c>
      <c r="AD3633">
        <v>-1.0413794300000001</v>
      </c>
      <c r="AE3633">
        <v>-13.365600000000001</v>
      </c>
      <c r="AF3633">
        <v>-11.6294518934649</v>
      </c>
      <c r="AG3633">
        <v>-1.0413794300000001</v>
      </c>
      <c r="AH3633">
        <v>127.7505570358</v>
      </c>
      <c r="AI3633">
        <v>90.465122361104704</v>
      </c>
      <c r="AJ3633">
        <v>95.201441385315604</v>
      </c>
      <c r="AK3633">
        <v>128.28302087734301</v>
      </c>
      <c r="AL3633">
        <v>75.975392044060399</v>
      </c>
      <c r="AM3633">
        <v>89.990989845716797</v>
      </c>
      <c r="AN3633">
        <v>0.99999997753811998</v>
      </c>
    </row>
    <row r="3634" spans="1:40" x14ac:dyDescent="0.25">
      <c r="A3634" t="str">
        <f>"20190303170841046"</f>
        <v>20190303170841046</v>
      </c>
      <c r="B3634" t="str">
        <f>"1551604121036667"</f>
        <v>1551604121036667</v>
      </c>
      <c r="C3634" t="s">
        <v>40</v>
      </c>
      <c r="D3634">
        <v>4.8863409999999998</v>
      </c>
      <c r="E3634">
        <v>0.48751620000000001</v>
      </c>
      <c r="F3634" t="s">
        <v>43</v>
      </c>
      <c r="G3634">
        <v>-384.76350000000002</v>
      </c>
      <c r="H3634" s="1">
        <v>-2.3572230000000001E-6</v>
      </c>
      <c r="I3634">
        <v>138.892</v>
      </c>
      <c r="J3634">
        <v>-352.74079999999998</v>
      </c>
      <c r="K3634">
        <v>1.1213630000000001</v>
      </c>
      <c r="L3634">
        <v>140.8075</v>
      </c>
      <c r="M3634">
        <v>-0.99979039999999997</v>
      </c>
      <c r="N3634">
        <v>-1.518042E-2</v>
      </c>
      <c r="O3634">
        <v>-1.3735239999999999E-2</v>
      </c>
      <c r="P3634">
        <v>-0.97395929999999997</v>
      </c>
      <c r="Q3634">
        <v>0.22614110000000001</v>
      </c>
      <c r="R3634">
        <v>-1.6227599999999998E-2</v>
      </c>
      <c r="S3634">
        <v>-3.1037599999999999</v>
      </c>
      <c r="T3634">
        <v>-0.107375</v>
      </c>
      <c r="U3634">
        <v>-0.18392939999999999</v>
      </c>
      <c r="V3634">
        <v>-2.936255E-3</v>
      </c>
      <c r="W3634">
        <v>0.240901</v>
      </c>
      <c r="X3634">
        <v>0.9705452</v>
      </c>
      <c r="Y3634">
        <v>-4.540168E-2</v>
      </c>
      <c r="Z3634">
        <v>-8.6326679999999996E-4</v>
      </c>
      <c r="AA3634">
        <v>0.99896839999999998</v>
      </c>
      <c r="AB3634">
        <v>41</v>
      </c>
      <c r="AC3634">
        <v>-32.0227</v>
      </c>
      <c r="AD3634">
        <v>-1.12136535722299</v>
      </c>
      <c r="AE3634">
        <v>-1.9155</v>
      </c>
      <c r="AF3634">
        <v>-1.4736285020656199</v>
      </c>
      <c r="AG3634">
        <v>-1.12136535722299</v>
      </c>
      <c r="AH3634">
        <v>32.006882946228103</v>
      </c>
      <c r="AI3634">
        <v>92.004422860383599</v>
      </c>
      <c r="AJ3634">
        <v>92.636092689048695</v>
      </c>
      <c r="AK3634">
        <v>32.060405442851597</v>
      </c>
      <c r="AL3634">
        <v>76.0602750778</v>
      </c>
      <c r="AM3634">
        <v>90.173340206927705</v>
      </c>
      <c r="AN3634">
        <v>0.99999994931873104</v>
      </c>
    </row>
    <row r="3635" spans="1:40" x14ac:dyDescent="0.25">
      <c r="A3635" t="str">
        <f>"20190303170841067"</f>
        <v>20190303170841067</v>
      </c>
      <c r="B3635" t="str">
        <f>"1551604121057163"</f>
        <v>1551604121057163</v>
      </c>
      <c r="C3635" t="s">
        <v>40</v>
      </c>
      <c r="D3635">
        <v>4.8938129999999997</v>
      </c>
      <c r="E3635">
        <v>0.48693140000000001</v>
      </c>
      <c r="F3635" t="s">
        <v>43</v>
      </c>
      <c r="G3635">
        <v>-387.1223</v>
      </c>
      <c r="H3635" s="1">
        <v>-1.3893880000000001E-6</v>
      </c>
      <c r="I3635">
        <v>138.64340000000001</v>
      </c>
      <c r="J3635">
        <v>-353.13139999999999</v>
      </c>
      <c r="K3635">
        <v>1.1213660000000001</v>
      </c>
      <c r="L3635">
        <v>140.80199999999999</v>
      </c>
      <c r="M3635">
        <v>-0.99978849999999997</v>
      </c>
      <c r="N3635">
        <v>-1.5175950000000001E-2</v>
      </c>
      <c r="O3635">
        <v>-1.388026E-2</v>
      </c>
      <c r="P3635">
        <v>-0.97380239999999996</v>
      </c>
      <c r="Q3635">
        <v>0.22666839999999999</v>
      </c>
      <c r="R3635">
        <v>-1.8174849999999999E-2</v>
      </c>
      <c r="S3635">
        <v>-3.1004640000000001</v>
      </c>
      <c r="T3635">
        <v>-0.101123</v>
      </c>
      <c r="U3635">
        <v>-0.1951447</v>
      </c>
      <c r="V3635">
        <v>-4.7437460000000001E-3</v>
      </c>
      <c r="W3635">
        <v>0.24142159999999999</v>
      </c>
      <c r="X3635">
        <v>0.97040870000000001</v>
      </c>
      <c r="Y3635">
        <v>-4.891976E-2</v>
      </c>
      <c r="Z3635">
        <v>-9.2686950000000004E-4</v>
      </c>
      <c r="AA3635">
        <v>0.99880230000000003</v>
      </c>
      <c r="AB3635">
        <v>41</v>
      </c>
      <c r="AC3635">
        <v>-33.990900000000003</v>
      </c>
      <c r="AD3635">
        <v>-1.1213673893880001</v>
      </c>
      <c r="AE3635">
        <v>-2.1585999999999999</v>
      </c>
      <c r="AF3635">
        <v>-1.68470894056253</v>
      </c>
      <c r="AG3635">
        <v>-1.1213673893880001</v>
      </c>
      <c r="AH3635">
        <v>33.980755527530597</v>
      </c>
      <c r="AI3635">
        <v>91.887761999603896</v>
      </c>
      <c r="AJ3635">
        <v>92.838304771493299</v>
      </c>
      <c r="AK3635">
        <v>34.040967307910002</v>
      </c>
      <c r="AL3635">
        <v>76.029540015132099</v>
      </c>
      <c r="AM3635">
        <v>90.280082464142296</v>
      </c>
      <c r="AN3635">
        <v>0.99999996855418005</v>
      </c>
    </row>
    <row r="3636" spans="1:40" x14ac:dyDescent="0.25">
      <c r="A3636" t="str">
        <f>"20190303170841091"</f>
        <v>20190303170841091</v>
      </c>
      <c r="B3636" t="str">
        <f>"1551604121086443"</f>
        <v>1551604121086443</v>
      </c>
      <c r="C3636" t="s">
        <v>40</v>
      </c>
      <c r="D3636">
        <v>4.2681490000000002</v>
      </c>
      <c r="E3636">
        <v>0.48758410000000002</v>
      </c>
      <c r="F3636" t="s">
        <v>43</v>
      </c>
      <c r="G3636">
        <v>-391.6019</v>
      </c>
      <c r="H3636" s="1">
        <v>-3.8280800000000001E-6</v>
      </c>
      <c r="I3636">
        <v>138.24610000000001</v>
      </c>
      <c r="J3636">
        <v>-353.55189999999999</v>
      </c>
      <c r="K3636">
        <v>1.121378</v>
      </c>
      <c r="L3636">
        <v>140.79599999999999</v>
      </c>
      <c r="M3636">
        <v>-0.99978659999999997</v>
      </c>
      <c r="N3636">
        <v>-1.51711E-2</v>
      </c>
      <c r="O3636">
        <v>-1.403625E-2</v>
      </c>
      <c r="P3636">
        <v>-0.97329500000000002</v>
      </c>
      <c r="Q3636">
        <v>0.22882240000000001</v>
      </c>
      <c r="R3636">
        <v>-1.8372309999999999E-2</v>
      </c>
      <c r="S3636">
        <v>-3.097931</v>
      </c>
      <c r="T3636">
        <v>-9.0301160000000005E-2</v>
      </c>
      <c r="U3636">
        <v>-0.20581050000000001</v>
      </c>
      <c r="V3636">
        <v>-4.7970879999999997E-3</v>
      </c>
      <c r="W3636">
        <v>0.24356259999999999</v>
      </c>
      <c r="X3636">
        <v>0.96987330000000005</v>
      </c>
      <c r="Y3636">
        <v>-5.224293E-2</v>
      </c>
      <c r="Z3636">
        <v>-9.6147509999999997E-4</v>
      </c>
      <c r="AA3636">
        <v>0.99863389999999996</v>
      </c>
      <c r="AB3636">
        <v>41</v>
      </c>
      <c r="AC3636">
        <v>-38.049999999999997</v>
      </c>
      <c r="AD3636">
        <v>-1.1213818280800001</v>
      </c>
      <c r="AE3636">
        <v>-2.5498999999999801</v>
      </c>
      <c r="AF3636">
        <v>-2.0137668227441998</v>
      </c>
      <c r="AG3636">
        <v>-1.1213818280800001</v>
      </c>
      <c r="AH3636">
        <v>38.049145811677398</v>
      </c>
      <c r="AI3636">
        <v>91.685770658900793</v>
      </c>
      <c r="AJ3636">
        <v>93.029576288759998</v>
      </c>
      <c r="AK3636">
        <v>38.118896246074897</v>
      </c>
      <c r="AL3636">
        <v>75.903096022933795</v>
      </c>
      <c r="AM3636">
        <v>90.283388206544998</v>
      </c>
      <c r="AN3636">
        <v>0.99999998511246402</v>
      </c>
    </row>
    <row r="3637" spans="1:40" x14ac:dyDescent="0.25">
      <c r="A3637" t="str">
        <f>"20190303170841114"</f>
        <v>20190303170841114</v>
      </c>
      <c r="B3637" t="str">
        <f>"1551604121106939"</f>
        <v>1551604121106939</v>
      </c>
      <c r="C3637" t="s">
        <v>40</v>
      </c>
      <c r="D3637">
        <v>4.9586399999999999</v>
      </c>
      <c r="E3637">
        <v>0.48793900000000001</v>
      </c>
      <c r="F3637" t="s">
        <v>43</v>
      </c>
      <c r="G3637">
        <v>-396.86540000000002</v>
      </c>
      <c r="H3637" s="1">
        <v>-1.6208870000000001E-6</v>
      </c>
      <c r="I3637">
        <v>137.95959999999999</v>
      </c>
      <c r="J3637">
        <v>-353.97770000000003</v>
      </c>
      <c r="K3637">
        <v>1.1213820000000001</v>
      </c>
      <c r="L3637">
        <v>140.78980000000001</v>
      </c>
      <c r="M3637">
        <v>-0.99978440000000002</v>
      </c>
      <c r="N3637">
        <v>-1.516613E-2</v>
      </c>
      <c r="O3637">
        <v>-1.419486E-2</v>
      </c>
      <c r="P3637">
        <v>-0.97322359999999997</v>
      </c>
      <c r="Q3637">
        <v>0.22901289999999999</v>
      </c>
      <c r="R3637">
        <v>-1.9730729999999998E-2</v>
      </c>
      <c r="S3637">
        <v>-3.0973510000000002</v>
      </c>
      <c r="T3637">
        <v>-8.0189940000000001E-2</v>
      </c>
      <c r="U3637">
        <v>-0.20281979999999999</v>
      </c>
      <c r="V3637">
        <v>-6.001536E-3</v>
      </c>
      <c r="W3637">
        <v>0.24374750000000001</v>
      </c>
      <c r="X3637">
        <v>0.96982009999999996</v>
      </c>
      <c r="Y3637">
        <v>-5.1142739999999999E-2</v>
      </c>
      <c r="Z3637">
        <v>-8.9766110000000004E-4</v>
      </c>
      <c r="AA3637">
        <v>0.998691</v>
      </c>
      <c r="AB3637">
        <v>41</v>
      </c>
      <c r="AC3637">
        <v>-42.887700000000002</v>
      </c>
      <c r="AD3637">
        <v>-1.1213836208869901</v>
      </c>
      <c r="AE3637">
        <v>-2.8302000000000098</v>
      </c>
      <c r="AF3637">
        <v>-2.2195491229669999</v>
      </c>
      <c r="AG3637">
        <v>-1.1213836208869901</v>
      </c>
      <c r="AH3637">
        <v>42.894358698841302</v>
      </c>
      <c r="AI3637">
        <v>91.495537753306806</v>
      </c>
      <c r="AJ3637">
        <v>92.962102317355402</v>
      </c>
      <c r="AK3637">
        <v>42.966381133618</v>
      </c>
      <c r="AL3637">
        <v>75.892172241418095</v>
      </c>
      <c r="AM3637">
        <v>90.354558844558397</v>
      </c>
      <c r="AN3637">
        <v>0.99999994427730798</v>
      </c>
    </row>
    <row r="3638" spans="1:40" x14ac:dyDescent="0.25">
      <c r="A3638" t="str">
        <f>"20190303170841139"</f>
        <v>20190303170841139</v>
      </c>
      <c r="B3638" t="str">
        <f>"1551604121127436"</f>
        <v>1551604121127436</v>
      </c>
      <c r="C3638" t="s">
        <v>40</v>
      </c>
      <c r="D3638">
        <v>4.9614960000000004</v>
      </c>
      <c r="E3638">
        <v>0.48852099999999998</v>
      </c>
      <c r="F3638" t="s">
        <v>43</v>
      </c>
      <c r="G3638">
        <v>-397.75839999999999</v>
      </c>
      <c r="H3638" s="1">
        <v>-1.2473169999999999E-6</v>
      </c>
      <c r="I3638">
        <v>137.9058</v>
      </c>
      <c r="J3638">
        <v>-354.42290000000003</v>
      </c>
      <c r="K3638">
        <v>1.121373</v>
      </c>
      <c r="L3638">
        <v>140.7834</v>
      </c>
      <c r="M3638">
        <v>-0.99978199999999995</v>
      </c>
      <c r="N3638">
        <v>-1.516093E-2</v>
      </c>
      <c r="O3638">
        <v>-1.436074E-2</v>
      </c>
      <c r="P3638">
        <v>-0.97357159999999998</v>
      </c>
      <c r="Q3638">
        <v>0.22733909999999999</v>
      </c>
      <c r="R3638">
        <v>-2.1809459999999999E-2</v>
      </c>
      <c r="S3638">
        <v>-3.0970759999999999</v>
      </c>
      <c r="T3638">
        <v>-7.9327339999999996E-2</v>
      </c>
      <c r="U3638">
        <v>-0.20401</v>
      </c>
      <c r="V3638">
        <v>-7.9125310000000004E-3</v>
      </c>
      <c r="W3638">
        <v>0.24207400000000001</v>
      </c>
      <c r="X3638">
        <v>0.97022549999999996</v>
      </c>
      <c r="Y3638">
        <v>-5.1365279999999999E-2</v>
      </c>
      <c r="Z3638">
        <v>-8.9712050000000001E-4</v>
      </c>
      <c r="AA3638">
        <v>0.99867950000000005</v>
      </c>
      <c r="AB3638">
        <v>41</v>
      </c>
      <c r="AC3638">
        <v>-43.335499999999897</v>
      </c>
      <c r="AD3638">
        <v>-1.1213742473170001</v>
      </c>
      <c r="AE3638">
        <v>-2.8776000000000002</v>
      </c>
      <c r="AF3638">
        <v>-2.2533996038378801</v>
      </c>
      <c r="AG3638">
        <v>-1.1213742473170001</v>
      </c>
      <c r="AH3638">
        <v>43.343464150004003</v>
      </c>
      <c r="AI3638">
        <v>91.480017491870598</v>
      </c>
      <c r="AJ3638">
        <v>92.976092331695696</v>
      </c>
      <c r="AK3638">
        <v>43.416485054640297</v>
      </c>
      <c r="AL3638">
        <v>75.991017734305004</v>
      </c>
      <c r="AM3638">
        <v>90.4672569223642</v>
      </c>
      <c r="AN3638">
        <v>0.99999997523653705</v>
      </c>
    </row>
    <row r="3639" spans="1:40" x14ac:dyDescent="0.25">
      <c r="A3639" t="str">
        <f>"20190303170841165"</f>
        <v>20190303170841165</v>
      </c>
      <c r="B3639" t="str">
        <f>"1551604121156715"</f>
        <v>1551604121156715</v>
      </c>
      <c r="C3639" t="s">
        <v>40</v>
      </c>
      <c r="D3639">
        <v>4.9994310000000004</v>
      </c>
      <c r="E3639">
        <v>0.48952449999999997</v>
      </c>
      <c r="F3639" t="s">
        <v>43</v>
      </c>
      <c r="G3639">
        <v>-395.00389999999999</v>
      </c>
      <c r="H3639" s="1">
        <v>-2.3932089999999998E-6</v>
      </c>
      <c r="I3639">
        <v>138.10769999999999</v>
      </c>
      <c r="J3639">
        <v>-354.88749999999999</v>
      </c>
      <c r="K3639">
        <v>1.1213649999999999</v>
      </c>
      <c r="L3639">
        <v>140.7765</v>
      </c>
      <c r="M3639">
        <v>-0.99977959999999999</v>
      </c>
      <c r="N3639">
        <v>-1.515552E-2</v>
      </c>
      <c r="O3639">
        <v>-1.4533529999999999E-2</v>
      </c>
      <c r="P3639">
        <v>-0.97380880000000003</v>
      </c>
      <c r="Q3639">
        <v>0.22617889999999999</v>
      </c>
      <c r="R3639">
        <v>-2.3232760000000002E-2</v>
      </c>
      <c r="S3639">
        <v>-3.096832</v>
      </c>
      <c r="T3639">
        <v>-8.5574869999999997E-2</v>
      </c>
      <c r="U3639">
        <v>-0.2041779</v>
      </c>
      <c r="V3639">
        <v>-9.1634560000000004E-3</v>
      </c>
      <c r="W3639">
        <v>0.24091209999999999</v>
      </c>
      <c r="X3639">
        <v>0.97050369999999997</v>
      </c>
      <c r="Y3639">
        <v>-5.1248630000000003E-2</v>
      </c>
      <c r="Z3639">
        <v>-9.1509809999999997E-4</v>
      </c>
      <c r="AA3639">
        <v>0.9986855</v>
      </c>
      <c r="AB3639">
        <v>40</v>
      </c>
      <c r="AC3639">
        <v>-40.116399999999999</v>
      </c>
      <c r="AD3639">
        <v>-1.121367393209</v>
      </c>
      <c r="AE3639">
        <v>-2.6688000000000001</v>
      </c>
      <c r="AF3639">
        <v>-2.0837972137928902</v>
      </c>
      <c r="AG3639">
        <v>-1.121367393209</v>
      </c>
      <c r="AH3639">
        <v>40.119743686684203</v>
      </c>
      <c r="AI3639">
        <v>91.598875483143601</v>
      </c>
      <c r="AJ3639">
        <v>92.973239257937806</v>
      </c>
      <c r="AK3639">
        <v>40.189470127683897</v>
      </c>
      <c r="AL3639">
        <v>76.059620804707393</v>
      </c>
      <c r="AM3639">
        <v>90.540968316991197</v>
      </c>
      <c r="AN3639">
        <v>1.00000002028298</v>
      </c>
    </row>
    <row r="3640" spans="1:40" x14ac:dyDescent="0.25">
      <c r="A3640" t="str">
        <f>"20190303170841203"</f>
        <v>20190303170841203</v>
      </c>
      <c r="B3640" t="str">
        <f>"1551604121196731"</f>
        <v>1551604121196731</v>
      </c>
      <c r="C3640" t="s">
        <v>40</v>
      </c>
      <c r="D3640">
        <v>5.0078839999999998</v>
      </c>
      <c r="E3640">
        <v>0.49000779999999999</v>
      </c>
      <c r="F3640" t="s">
        <v>43</v>
      </c>
      <c r="G3640">
        <v>-390.54689999999999</v>
      </c>
      <c r="H3640" s="1">
        <v>-4.2422230000000002E-6</v>
      </c>
      <c r="I3640">
        <v>138.46299999999999</v>
      </c>
      <c r="J3640">
        <v>-355.56720000000001</v>
      </c>
      <c r="K3640">
        <v>1.121378</v>
      </c>
      <c r="L3640">
        <v>140.7663</v>
      </c>
      <c r="M3640">
        <v>-0.99977609999999995</v>
      </c>
      <c r="N3640">
        <v>-1.5147590000000001E-2</v>
      </c>
      <c r="O3640">
        <v>-1.4786290000000001E-2</v>
      </c>
      <c r="P3640">
        <v>-0.9736612</v>
      </c>
      <c r="Q3640">
        <v>0.22646379999999999</v>
      </c>
      <c r="R3640">
        <v>-2.642158E-2</v>
      </c>
      <c r="S3640">
        <v>-3.0984799999999999</v>
      </c>
      <c r="T3640">
        <v>-9.7436900000000007E-2</v>
      </c>
      <c r="U3640">
        <v>-0.20101930000000001</v>
      </c>
      <c r="V3640">
        <v>-1.2107639999999999E-2</v>
      </c>
      <c r="W3640">
        <v>0.2411865</v>
      </c>
      <c r="X3640">
        <v>0.97040329999999997</v>
      </c>
      <c r="Y3640">
        <v>-4.994208E-2</v>
      </c>
      <c r="Z3640">
        <v>-9.224964E-4</v>
      </c>
      <c r="AA3640">
        <v>0.99875170000000002</v>
      </c>
      <c r="AB3640">
        <v>40</v>
      </c>
      <c r="AC3640">
        <v>-34.979699999999902</v>
      </c>
      <c r="AD3640">
        <v>-1.121382242223</v>
      </c>
      <c r="AE3640">
        <v>-2.3033000000000001</v>
      </c>
      <c r="AF3640">
        <v>-1.7839434071907301</v>
      </c>
      <c r="AG3640">
        <v>-1.121382242223</v>
      </c>
      <c r="AH3640">
        <v>34.974147705227601</v>
      </c>
      <c r="AI3640">
        <v>91.834072765299496</v>
      </c>
      <c r="AJ3640">
        <v>92.919983151747203</v>
      </c>
      <c r="AK3640">
        <v>35.0375649827483</v>
      </c>
      <c r="AL3640">
        <v>76.0434214954509</v>
      </c>
      <c r="AM3640">
        <v>90.714837508772405</v>
      </c>
      <c r="AN3640">
        <v>1.00000004368975</v>
      </c>
    </row>
    <row r="3641" spans="1:40" x14ac:dyDescent="0.25">
      <c r="A3641" t="str">
        <f>"20190303170841226"</f>
        <v>20190303170841226</v>
      </c>
      <c r="B3641" t="str">
        <f>"1551604121217227"</f>
        <v>1551604121217227</v>
      </c>
      <c r="C3641" t="s">
        <v>40</v>
      </c>
      <c r="D3641">
        <v>5.0151700000000003</v>
      </c>
      <c r="E3641">
        <v>0.49029529999999899</v>
      </c>
      <c r="F3641" t="s">
        <v>43</v>
      </c>
      <c r="G3641">
        <v>-391.36829999999998</v>
      </c>
      <c r="H3641" s="1">
        <v>-3.9027720000000002E-6</v>
      </c>
      <c r="I3641">
        <v>138.38990000000001</v>
      </c>
      <c r="J3641">
        <v>-355.98540000000003</v>
      </c>
      <c r="K3641">
        <v>1.121383</v>
      </c>
      <c r="L3641">
        <v>140.76</v>
      </c>
      <c r="M3641">
        <v>-0.99977369999999999</v>
      </c>
      <c r="N3641">
        <v>-1.51427E-2</v>
      </c>
      <c r="O3641">
        <v>-1.4941919999999999E-2</v>
      </c>
      <c r="P3641">
        <v>-0.97344600000000003</v>
      </c>
      <c r="Q3641">
        <v>0.22712889999999999</v>
      </c>
      <c r="R3641">
        <v>-2.85592E-2</v>
      </c>
      <c r="S3641">
        <v>-3.0981749999999999</v>
      </c>
      <c r="T3641">
        <v>-9.704256E-2</v>
      </c>
      <c r="U3641">
        <v>-0.20564270000000001</v>
      </c>
      <c r="V3641">
        <v>-1.4096340000000001E-2</v>
      </c>
      <c r="W3641">
        <v>0.24184359999999999</v>
      </c>
      <c r="X3641">
        <v>0.97021290000000004</v>
      </c>
      <c r="Y3641">
        <v>-5.1276240000000001E-2</v>
      </c>
      <c r="Z3641">
        <v>-9.4950389999999996E-4</v>
      </c>
      <c r="AA3641">
        <v>0.99868400000000002</v>
      </c>
      <c r="AB3641">
        <v>40</v>
      </c>
      <c r="AC3641">
        <v>-35.3828999999999</v>
      </c>
      <c r="AD3641">
        <v>-1.121386902772</v>
      </c>
      <c r="AE3641">
        <v>-2.3700999999999701</v>
      </c>
      <c r="AF3641">
        <v>-1.83924710493462</v>
      </c>
      <c r="AG3641">
        <v>-1.121386902772</v>
      </c>
      <c r="AH3641">
        <v>35.378989621848199</v>
      </c>
      <c r="AI3641">
        <v>91.813015931961601</v>
      </c>
      <c r="AJ3641">
        <v>92.975955938969093</v>
      </c>
      <c r="AK3641">
        <v>35.444509379614203</v>
      </c>
      <c r="AL3641">
        <v>76.004624043529006</v>
      </c>
      <c r="AM3641">
        <v>90.832398708196806</v>
      </c>
      <c r="AN3641">
        <v>1.00000005249438</v>
      </c>
    </row>
    <row r="3642" spans="1:40" x14ac:dyDescent="0.25">
      <c r="A3642" t="str">
        <f>"20190303170841247"</f>
        <v>20190303170841247</v>
      </c>
      <c r="B3642" t="str">
        <f>"1551604121236747"</f>
        <v>1551604121236747</v>
      </c>
      <c r="C3642" t="s">
        <v>40</v>
      </c>
      <c r="D3642">
        <v>5.052524</v>
      </c>
      <c r="E3642">
        <v>0.49038490000000001</v>
      </c>
      <c r="F3642" t="s">
        <v>43</v>
      </c>
      <c r="G3642">
        <v>-392.01909999999998</v>
      </c>
      <c r="H3642" s="1">
        <v>-3.6323470000000002E-6</v>
      </c>
      <c r="I3642">
        <v>138.3407</v>
      </c>
      <c r="J3642">
        <v>-356.37189999999998</v>
      </c>
      <c r="K3642">
        <v>1.1213820000000001</v>
      </c>
      <c r="L3642">
        <v>140.75409999999999</v>
      </c>
      <c r="M3642">
        <v>-0.99977169999999904</v>
      </c>
      <c r="N3642">
        <v>-1.5138169999999999E-2</v>
      </c>
      <c r="O3642">
        <v>-1.5085879999999999E-2</v>
      </c>
      <c r="P3642">
        <v>-0.97349569999999996</v>
      </c>
      <c r="Q3642">
        <v>0.2269379</v>
      </c>
      <c r="R3642">
        <v>-2.8381610000000002E-2</v>
      </c>
      <c r="S3642">
        <v>-3.098236</v>
      </c>
      <c r="T3642">
        <v>-9.6418859999999995E-2</v>
      </c>
      <c r="U3642">
        <v>-0.20800779999999999</v>
      </c>
      <c r="V3642">
        <v>-1.377781E-2</v>
      </c>
      <c r="W3642">
        <v>0.24164840000000001</v>
      </c>
      <c r="X3642">
        <v>0.97026599999999996</v>
      </c>
      <c r="Y3642">
        <v>-5.189005E-2</v>
      </c>
      <c r="Z3642">
        <v>-9.5905540000000003E-4</v>
      </c>
      <c r="AA3642">
        <v>0.99865230000000005</v>
      </c>
      <c r="AB3642">
        <v>40</v>
      </c>
      <c r="AC3642">
        <v>-35.647199999999998</v>
      </c>
      <c r="AD3642">
        <v>-1.1213856323469999</v>
      </c>
      <c r="AE3642">
        <v>-2.41339999999999</v>
      </c>
      <c r="AF3642">
        <v>-1.8734488355599701</v>
      </c>
      <c r="AG3642">
        <v>-1.1213856323469999</v>
      </c>
      <c r="AH3642">
        <v>35.644442158028099</v>
      </c>
      <c r="AI3642">
        <v>91.799467192002695</v>
      </c>
      <c r="AJ3642">
        <v>93.008660706552206</v>
      </c>
      <c r="AK3642">
        <v>35.711252750819398</v>
      </c>
      <c r="AL3642">
        <v>76.016148497478</v>
      </c>
      <c r="AM3642">
        <v>90.813547327430797</v>
      </c>
      <c r="AN3642">
        <v>0.99999994401347603</v>
      </c>
    </row>
    <row r="3643" spans="1:40" x14ac:dyDescent="0.25">
      <c r="A3643" t="str">
        <f>"20190303170841268"</f>
        <v>20190303170841268</v>
      </c>
      <c r="B3643" t="str">
        <f>"1551604121257244"</f>
        <v>1551604121257244</v>
      </c>
      <c r="C3643" t="s">
        <v>40</v>
      </c>
      <c r="D3643">
        <v>5.0305989999999996</v>
      </c>
      <c r="E3643">
        <v>0.49066330000000002</v>
      </c>
      <c r="F3643" t="s">
        <v>43</v>
      </c>
      <c r="G3643">
        <v>-392.50150000000002</v>
      </c>
      <c r="H3643" s="1">
        <v>-3.428168E-6</v>
      </c>
      <c r="I3643">
        <v>138.32499999999999</v>
      </c>
      <c r="J3643">
        <v>-356.76339999999999</v>
      </c>
      <c r="K3643">
        <v>1.1213789999999999</v>
      </c>
      <c r="L3643">
        <v>140.74799999999999</v>
      </c>
      <c r="M3643">
        <v>-0.99976940000000003</v>
      </c>
      <c r="N3643">
        <v>-1.5133600000000001E-2</v>
      </c>
      <c r="O3643">
        <v>-1.5231740000000001E-2</v>
      </c>
      <c r="P3643">
        <v>-0.97390670000000001</v>
      </c>
      <c r="Q3643">
        <v>0.2250615</v>
      </c>
      <c r="R3643">
        <v>-2.9205780000000001E-2</v>
      </c>
      <c r="S3643">
        <v>-3.0980219999999998</v>
      </c>
      <c r="T3643">
        <v>-9.6156000000000005E-2</v>
      </c>
      <c r="U3643">
        <v>-0.20828250000000001</v>
      </c>
      <c r="V3643">
        <v>-1.4452349999999999E-2</v>
      </c>
      <c r="W3643">
        <v>0.2397744</v>
      </c>
      <c r="X3643">
        <v>0.9707211</v>
      </c>
      <c r="Y3643">
        <v>-5.1837300000000003E-2</v>
      </c>
      <c r="Z3643">
        <v>-9.5443939999999999E-4</v>
      </c>
      <c r="AA3643">
        <v>0.99865510000000002</v>
      </c>
      <c r="AB3643">
        <v>40</v>
      </c>
      <c r="AC3643">
        <v>-35.738100000000003</v>
      </c>
      <c r="AD3643">
        <v>-1.121382428168</v>
      </c>
      <c r="AE3643">
        <v>-2.423</v>
      </c>
      <c r="AF3643">
        <v>-1.8764639712666999</v>
      </c>
      <c r="AG3643">
        <v>-1.121382428168</v>
      </c>
      <c r="AH3643">
        <v>35.735840537507897</v>
      </c>
      <c r="AI3643">
        <v>91.794867447510995</v>
      </c>
      <c r="AJ3643">
        <v>93.005800745116801</v>
      </c>
      <c r="AK3643">
        <v>35.802638373559297</v>
      </c>
      <c r="AL3643">
        <v>76.126774962177507</v>
      </c>
      <c r="AM3643">
        <v>90.852971553407798</v>
      </c>
      <c r="AN3643">
        <v>1.0000000436505401</v>
      </c>
    </row>
    <row r="3644" spans="1:40" x14ac:dyDescent="0.25">
      <c r="A3644" t="str">
        <f>"20190303170841291"</f>
        <v>20190303170841291</v>
      </c>
      <c r="B3644" t="str">
        <f>"1551604121287499"</f>
        <v>1551604121287499</v>
      </c>
      <c r="C3644" t="s">
        <v>40</v>
      </c>
      <c r="D3644">
        <v>5.0730709999999997</v>
      </c>
      <c r="E3644">
        <v>0.49116310000000002</v>
      </c>
      <c r="F3644" t="s">
        <v>43</v>
      </c>
      <c r="G3644">
        <v>-390.23250000000002</v>
      </c>
      <c r="H3644" s="1">
        <v>-4.3735550000000002E-6</v>
      </c>
      <c r="I3644">
        <v>138.483</v>
      </c>
      <c r="J3644">
        <v>-357.166</v>
      </c>
      <c r="K3644">
        <v>1.1213839999999999</v>
      </c>
      <c r="L3644">
        <v>140.74170000000001</v>
      </c>
      <c r="M3644">
        <v>-0.99976719999999997</v>
      </c>
      <c r="N3644">
        <v>-1.5128900000000001E-2</v>
      </c>
      <c r="O3644">
        <v>-1.538189E-2</v>
      </c>
      <c r="P3644">
        <v>-0.97407619999999895</v>
      </c>
      <c r="Q3644">
        <v>0.22411710000000001</v>
      </c>
      <c r="R3644">
        <v>-3.0774269999999999E-2</v>
      </c>
      <c r="S3644">
        <v>-3.0980829999999999</v>
      </c>
      <c r="T3644">
        <v>-0.10380159999999999</v>
      </c>
      <c r="U3644">
        <v>-0.2096558</v>
      </c>
      <c r="V3644">
        <v>-1.5871159999999999E-2</v>
      </c>
      <c r="W3644">
        <v>0.23882809999999999</v>
      </c>
      <c r="X3644">
        <v>0.97093220000000002</v>
      </c>
      <c r="Y3644">
        <v>-5.2122040000000001E-2</v>
      </c>
      <c r="Z3644">
        <v>-9.8474660000000009E-4</v>
      </c>
      <c r="AA3644">
        <v>0.99864019999999998</v>
      </c>
      <c r="AB3644">
        <v>40</v>
      </c>
      <c r="AC3644">
        <v>-33.066499999999998</v>
      </c>
      <c r="AD3644">
        <v>-1.1213883735550001</v>
      </c>
      <c r="AE3644">
        <v>-2.2587000000000002</v>
      </c>
      <c r="AF3644">
        <v>-1.7477484667954399</v>
      </c>
      <c r="AG3644">
        <v>-1.1213883735550001</v>
      </c>
      <c r="AH3644">
        <v>33.059488978640303</v>
      </c>
      <c r="AI3644">
        <v>91.940039042934302</v>
      </c>
      <c r="AJ3644">
        <v>93.026225682915495</v>
      </c>
      <c r="AK3644">
        <v>33.124642611149298</v>
      </c>
      <c r="AL3644">
        <v>76.182616444558505</v>
      </c>
      <c r="AM3644">
        <v>90.936491243743802</v>
      </c>
      <c r="AN3644">
        <v>1.00000004603309</v>
      </c>
    </row>
    <row r="3645" spans="1:40" x14ac:dyDescent="0.25">
      <c r="A3645" t="str">
        <f>"20190303170841314"</f>
        <v>20190303170841314</v>
      </c>
      <c r="B3645" t="str">
        <f>"1551604121307019"</f>
        <v>1551604121307019</v>
      </c>
      <c r="C3645" t="s">
        <v>40</v>
      </c>
      <c r="D3645">
        <v>5.1100279999999998</v>
      </c>
      <c r="E3645">
        <v>0.49135309999999999</v>
      </c>
      <c r="F3645" t="s">
        <v>43</v>
      </c>
      <c r="G3645">
        <v>-389.01580000000001</v>
      </c>
      <c r="H3645" s="1">
        <v>-5.8929980000000003E-7</v>
      </c>
      <c r="I3645">
        <v>138.6078</v>
      </c>
      <c r="J3645">
        <v>-357.57240000000002</v>
      </c>
      <c r="K3645">
        <v>1.1213839999999999</v>
      </c>
      <c r="L3645">
        <v>140.7353</v>
      </c>
      <c r="M3645">
        <v>-0.99976489999999996</v>
      </c>
      <c r="N3645">
        <v>-1.5124179999999999E-2</v>
      </c>
      <c r="O3645">
        <v>-1.5533470000000001E-2</v>
      </c>
      <c r="P3645">
        <v>-0.97373370000000004</v>
      </c>
      <c r="Q3645">
        <v>0.2254437</v>
      </c>
      <c r="R3645">
        <v>-3.1905459999999997E-2</v>
      </c>
      <c r="S3645">
        <v>-3.0983890000000001</v>
      </c>
      <c r="T3645">
        <v>-0.1090899</v>
      </c>
      <c r="U3645">
        <v>-0.2075806</v>
      </c>
      <c r="V3645">
        <v>-1.685998E-2</v>
      </c>
      <c r="W3645">
        <v>0.24014469999999999</v>
      </c>
      <c r="X3645">
        <v>0.97059070000000003</v>
      </c>
      <c r="Y3645">
        <v>-5.12957E-2</v>
      </c>
      <c r="Z3645">
        <v>-9.7889989999999996E-4</v>
      </c>
      <c r="AA3645">
        <v>0.99868299999999999</v>
      </c>
      <c r="AB3645">
        <v>40</v>
      </c>
      <c r="AC3645">
        <v>-31.4434</v>
      </c>
      <c r="AD3645">
        <v>-1.1213845892998</v>
      </c>
      <c r="AE3645">
        <v>-2.1274999999999902</v>
      </c>
      <c r="AF3645">
        <v>-1.6366900392200701</v>
      </c>
      <c r="AG3645">
        <v>-1.1213845892998</v>
      </c>
      <c r="AH3645">
        <v>31.432859670085598</v>
      </c>
      <c r="AI3645">
        <v>92.040430163150106</v>
      </c>
      <c r="AJ3645">
        <v>92.980664868723693</v>
      </c>
      <c r="AK3645">
        <v>31.495411169262301</v>
      </c>
      <c r="AL3645">
        <v>76.104919475401601</v>
      </c>
      <c r="AM3645">
        <v>90.995175980361097</v>
      </c>
      <c r="AN3645">
        <v>1.0000000213950899</v>
      </c>
    </row>
    <row r="3646" spans="1:40" x14ac:dyDescent="0.25">
      <c r="A3646" t="str">
        <f>"20190303170841341"</f>
        <v>20190303170841341</v>
      </c>
      <c r="B3646" t="str">
        <f>"1551604121326539"</f>
        <v>1551604121326539</v>
      </c>
      <c r="C3646" t="s">
        <v>40</v>
      </c>
      <c r="D3646">
        <v>5.0531420000000002</v>
      </c>
      <c r="E3646">
        <v>0.49162519999999998</v>
      </c>
      <c r="F3646" t="s">
        <v>43</v>
      </c>
      <c r="G3646">
        <v>-390.56509999999997</v>
      </c>
      <c r="H3646" s="1">
        <v>-4.223297E-6</v>
      </c>
      <c r="I3646">
        <v>138.5256</v>
      </c>
      <c r="J3646">
        <v>-358.04059999999998</v>
      </c>
      <c r="K3646">
        <v>1.121386</v>
      </c>
      <c r="L3646">
        <v>140.72790000000001</v>
      </c>
      <c r="M3646">
        <v>-0.99976229999999999</v>
      </c>
      <c r="N3646">
        <v>-1.511883E-2</v>
      </c>
      <c r="O3646">
        <v>-1.570794E-2</v>
      </c>
      <c r="P3646">
        <v>-0.97346359999999998</v>
      </c>
      <c r="Q3646">
        <v>0.2267306</v>
      </c>
      <c r="R3646">
        <v>-3.101197E-2</v>
      </c>
      <c r="S3646">
        <v>-3.0985109999999998</v>
      </c>
      <c r="T3646">
        <v>-0.1053153</v>
      </c>
      <c r="U3646">
        <v>-0.2075195</v>
      </c>
      <c r="V3646">
        <v>-1.580144E-2</v>
      </c>
      <c r="W3646">
        <v>0.2414221</v>
      </c>
      <c r="X3646">
        <v>0.97029160000000003</v>
      </c>
      <c r="Y3646">
        <v>-5.1101679999999997E-2</v>
      </c>
      <c r="Z3646">
        <v>-9.5831449999999999E-4</v>
      </c>
      <c r="AA3646">
        <v>0.99869300000000005</v>
      </c>
      <c r="AB3646">
        <v>40</v>
      </c>
      <c r="AC3646">
        <v>-32.524499999999897</v>
      </c>
      <c r="AD3646">
        <v>-1.1213902232970001</v>
      </c>
      <c r="AE3646">
        <v>-2.2023000000000001</v>
      </c>
      <c r="AF3646">
        <v>-1.68907818767089</v>
      </c>
      <c r="AG3646">
        <v>-1.1213902232970001</v>
      </c>
      <c r="AH3646">
        <v>32.5166059957646</v>
      </c>
      <c r="AI3646">
        <v>91.972501896560004</v>
      </c>
      <c r="AJ3646">
        <v>92.9735621180305</v>
      </c>
      <c r="AK3646">
        <v>32.579750868304103</v>
      </c>
      <c r="AL3646">
        <v>76.029511689909896</v>
      </c>
      <c r="AM3646">
        <v>90.932993544099403</v>
      </c>
      <c r="AN3646">
        <v>1.0000000524525201</v>
      </c>
    </row>
    <row r="3647" spans="1:40" x14ac:dyDescent="0.25">
      <c r="A3647" t="str">
        <f>"20190303170841363"</f>
        <v>20190303170841363</v>
      </c>
      <c r="B3647" t="str">
        <f>"1551604121357772"</f>
        <v>1551604121357772</v>
      </c>
      <c r="C3647" t="s">
        <v>40</v>
      </c>
      <c r="D3647">
        <v>5.1143879999999999</v>
      </c>
      <c r="E3647">
        <v>0.49185050000000002</v>
      </c>
      <c r="F3647" t="s">
        <v>43</v>
      </c>
      <c r="G3647">
        <v>-391.98820000000001</v>
      </c>
      <c r="H3647" s="1">
        <v>-3.616822E-6</v>
      </c>
      <c r="I3647">
        <v>138.50280000000001</v>
      </c>
      <c r="J3647">
        <v>-358.45510000000002</v>
      </c>
      <c r="K3647">
        <v>1.1213759999999999</v>
      </c>
      <c r="L3647">
        <v>140.72120000000001</v>
      </c>
      <c r="M3647">
        <v>-0.99976010000000004</v>
      </c>
      <c r="N3647">
        <v>-1.511412E-2</v>
      </c>
      <c r="O3647">
        <v>-1.586274E-2</v>
      </c>
      <c r="P3647">
        <v>-0.97356640000000005</v>
      </c>
      <c r="Q3647">
        <v>0.2264861</v>
      </c>
      <c r="R3647">
        <v>-2.9545330000000002E-2</v>
      </c>
      <c r="S3647">
        <v>-3.0992130000000002</v>
      </c>
      <c r="T3647">
        <v>-0.1023761</v>
      </c>
      <c r="U3647">
        <v>-0.203125</v>
      </c>
      <c r="V3647">
        <v>-1.4182510000000001E-2</v>
      </c>
      <c r="W3647">
        <v>0.241175</v>
      </c>
      <c r="X3647">
        <v>0.97037799999999996</v>
      </c>
      <c r="Y3647">
        <v>-4.9525E-2</v>
      </c>
      <c r="Z3647">
        <v>-9.0802060000000004E-4</v>
      </c>
      <c r="AA3647">
        <v>0.9987724</v>
      </c>
      <c r="AB3647">
        <v>40</v>
      </c>
      <c r="AC3647">
        <v>-33.533099999999898</v>
      </c>
      <c r="AD3647">
        <v>-1.1213796168219901</v>
      </c>
      <c r="AE3647">
        <v>-2.2183999999999999</v>
      </c>
      <c r="AF3647">
        <v>-1.68425799048158</v>
      </c>
      <c r="AG3647">
        <v>-1.1213796168219901</v>
      </c>
      <c r="AH3647">
        <v>33.526744232744797</v>
      </c>
      <c r="AI3647">
        <v>91.913264981854994</v>
      </c>
      <c r="AJ3647">
        <v>92.875907584525706</v>
      </c>
      <c r="AK3647">
        <v>33.587747707630101</v>
      </c>
      <c r="AL3647">
        <v>76.044099725229401</v>
      </c>
      <c r="AM3647">
        <v>90.837343914710203</v>
      </c>
      <c r="AN3647">
        <v>0.99999999354945002</v>
      </c>
    </row>
    <row r="3648" spans="1:40" x14ac:dyDescent="0.25">
      <c r="A3648" t="str">
        <f>"20190303170841386"</f>
        <v>20190303170841386</v>
      </c>
      <c r="B3648" t="str">
        <f>"1551604121376435"</f>
        <v>1551604121376435</v>
      </c>
      <c r="C3648" t="s">
        <v>40</v>
      </c>
      <c r="D3648">
        <v>5.0910760000000002</v>
      </c>
      <c r="E3648">
        <v>0.4921373</v>
      </c>
      <c r="F3648" t="s">
        <v>43</v>
      </c>
      <c r="G3648">
        <v>-392.25729999999999</v>
      </c>
      <c r="H3648" s="1">
        <v>-3.491587E-6</v>
      </c>
      <c r="I3648">
        <v>138.5581</v>
      </c>
      <c r="J3648">
        <v>-358.8571</v>
      </c>
      <c r="K3648">
        <v>1.1213690000000001</v>
      </c>
      <c r="L3648">
        <v>140.71469999999999</v>
      </c>
      <c r="M3648">
        <v>-0.99975769999999997</v>
      </c>
      <c r="N3648">
        <v>-1.510941E-2</v>
      </c>
      <c r="O3648">
        <v>-1.6013010000000001E-2</v>
      </c>
      <c r="P3648">
        <v>-0.9740548</v>
      </c>
      <c r="Q3648">
        <v>0.2243502</v>
      </c>
      <c r="R3648">
        <v>-2.974096E-2</v>
      </c>
      <c r="S3648">
        <v>-3.0993650000000001</v>
      </c>
      <c r="T3648">
        <v>-0.1028208</v>
      </c>
      <c r="U3648">
        <v>-0.1983337</v>
      </c>
      <c r="V3648">
        <v>-1.4222159999999999E-2</v>
      </c>
      <c r="W3648">
        <v>0.23904239999999999</v>
      </c>
      <c r="X3648">
        <v>0.97090489999999996</v>
      </c>
      <c r="Y3648">
        <v>-4.783519E-2</v>
      </c>
      <c r="Z3648">
        <v>-8.6560939999999996E-4</v>
      </c>
      <c r="AA3648">
        <v>0.99885489999999999</v>
      </c>
      <c r="AB3648">
        <v>40</v>
      </c>
      <c r="AC3648">
        <v>-33.400199999999899</v>
      </c>
      <c r="AD3648">
        <v>-1.121372491587</v>
      </c>
      <c r="AE3648">
        <v>-2.1565999999999899</v>
      </c>
      <c r="AF3648">
        <v>-1.61960662948472</v>
      </c>
      <c r="AG3648">
        <v>-1.121372491587</v>
      </c>
      <c r="AH3648">
        <v>33.3929698251102</v>
      </c>
      <c r="AI3648">
        <v>91.921075721677099</v>
      </c>
      <c r="AJ3648">
        <v>92.776750998597507</v>
      </c>
      <c r="AK3648">
        <v>33.451024433339597</v>
      </c>
      <c r="AL3648">
        <v>76.169970100506305</v>
      </c>
      <c r="AM3648">
        <v>90.839228916951498</v>
      </c>
      <c r="AN3648">
        <v>0.99999993183841496</v>
      </c>
    </row>
    <row r="3649" spans="1:40" x14ac:dyDescent="0.25">
      <c r="A3649" t="str">
        <f>"20190303170841405"</f>
        <v>20190303170841405</v>
      </c>
      <c r="B3649" t="str">
        <f>"1551604121396931"</f>
        <v>1551604121396931</v>
      </c>
      <c r="C3649" t="s">
        <v>40</v>
      </c>
      <c r="D3649">
        <v>5.0478899999999998</v>
      </c>
      <c r="E3649">
        <v>0.49225550000000001</v>
      </c>
      <c r="F3649" t="s">
        <v>43</v>
      </c>
      <c r="G3649">
        <v>-390.37830000000002</v>
      </c>
      <c r="H3649" s="1">
        <v>-4.2669489999999996E-6</v>
      </c>
      <c r="I3649">
        <v>138.73140000000001</v>
      </c>
      <c r="J3649">
        <v>-359.18970000000002</v>
      </c>
      <c r="K3649">
        <v>1.1213740000000001</v>
      </c>
      <c r="L3649">
        <v>140.70930000000001</v>
      </c>
      <c r="M3649">
        <v>-0.99975570000000002</v>
      </c>
      <c r="N3649">
        <v>-1.510542E-2</v>
      </c>
      <c r="O3649">
        <v>-1.6137180000000001E-2</v>
      </c>
      <c r="P3649">
        <v>-0.97431080000000003</v>
      </c>
      <c r="Q3649">
        <v>0.2231475</v>
      </c>
      <c r="R3649">
        <v>-3.039124E-2</v>
      </c>
      <c r="S3649">
        <v>-3.0993650000000001</v>
      </c>
      <c r="T3649">
        <v>-0.1102607</v>
      </c>
      <c r="U3649">
        <v>-0.19500729999999999</v>
      </c>
      <c r="V3649">
        <v>-1.474701E-2</v>
      </c>
      <c r="W3649">
        <v>0.23783979999999999</v>
      </c>
      <c r="X3649">
        <v>0.97119239999999996</v>
      </c>
      <c r="Y3649">
        <v>-4.6640399999999999E-2</v>
      </c>
      <c r="Z3649">
        <v>-8.5161079999999999E-4</v>
      </c>
      <c r="AA3649">
        <v>0.9989114</v>
      </c>
      <c r="AB3649">
        <v>40</v>
      </c>
      <c r="AC3649">
        <v>-31.188600000000001</v>
      </c>
      <c r="AD3649">
        <v>-1.12137826694899</v>
      </c>
      <c r="AE3649">
        <v>-1.9779</v>
      </c>
      <c r="AF3649">
        <v>-1.47239311972389</v>
      </c>
      <c r="AG3649">
        <v>-1.12137826694899</v>
      </c>
      <c r="AH3649">
        <v>31.176317733340099</v>
      </c>
      <c r="AI3649">
        <v>92.057687292717901</v>
      </c>
      <c r="AJ3649">
        <v>92.703952199011994</v>
      </c>
      <c r="AK3649">
        <v>31.231205838500301</v>
      </c>
      <c r="AL3649">
        <v>76.240920851773296</v>
      </c>
      <c r="AM3649">
        <v>90.869937309893203</v>
      </c>
      <c r="AN3649">
        <v>0.99999996129286906</v>
      </c>
    </row>
    <row r="3650" spans="1:40" x14ac:dyDescent="0.25">
      <c r="A3650" t="str">
        <f>"20190303170841427"</f>
        <v>20190303170841427</v>
      </c>
      <c r="B3650" t="str">
        <f>"1551604121417427"</f>
        <v>1551604121417427</v>
      </c>
      <c r="C3650" t="s">
        <v>40</v>
      </c>
      <c r="D3650">
        <v>5.4050539999999998</v>
      </c>
      <c r="E3650">
        <v>0.49284050000000001</v>
      </c>
      <c r="F3650" t="s">
        <v>43</v>
      </c>
      <c r="G3650">
        <v>-389.66609999999997</v>
      </c>
      <c r="H3650" s="1">
        <v>-3.1549690000000002E-7</v>
      </c>
      <c r="I3650">
        <v>138.80500000000001</v>
      </c>
      <c r="J3650">
        <v>-359.59379999999999</v>
      </c>
      <c r="K3650">
        <v>1.1213839999999999</v>
      </c>
      <c r="L3650">
        <v>140.70259999999999</v>
      </c>
      <c r="M3650">
        <v>-0.99975329999999996</v>
      </c>
      <c r="N3650">
        <v>-1.510071E-2</v>
      </c>
      <c r="O3650">
        <v>-1.6287690000000001E-2</v>
      </c>
      <c r="P3650">
        <v>-0.97416449999999999</v>
      </c>
      <c r="Q3650">
        <v>0.22380829999999999</v>
      </c>
      <c r="R3650">
        <v>-3.0220460000000001E-2</v>
      </c>
      <c r="S3650">
        <v>-3.0991520000000001</v>
      </c>
      <c r="T3650">
        <v>-0.1140327</v>
      </c>
      <c r="U3650">
        <v>-0.193634</v>
      </c>
      <c r="V3650">
        <v>-1.443203E-2</v>
      </c>
      <c r="W3650">
        <v>0.23849419999999999</v>
      </c>
      <c r="X3650">
        <v>0.97103669999999997</v>
      </c>
      <c r="Y3650">
        <v>-4.6051960000000003E-2</v>
      </c>
      <c r="Z3650">
        <v>-8.4165830000000001E-4</v>
      </c>
      <c r="AA3650">
        <v>0.99893869999999896</v>
      </c>
      <c r="AB3650">
        <v>40</v>
      </c>
      <c r="AC3650">
        <v>-30.072299999999899</v>
      </c>
      <c r="AD3650">
        <v>-1.1213843154969001</v>
      </c>
      <c r="AE3650">
        <v>-1.89759999999998</v>
      </c>
      <c r="AF3650">
        <v>-1.40553739024626</v>
      </c>
      <c r="AG3650">
        <v>-1.1213843154969001</v>
      </c>
      <c r="AH3650">
        <v>30.057591177959502</v>
      </c>
      <c r="AI3650">
        <v>92.134261837695604</v>
      </c>
      <c r="AJ3650">
        <v>92.677285057093599</v>
      </c>
      <c r="AK3650">
        <v>30.1113238759071</v>
      </c>
      <c r="AL3650">
        <v>76.202316418529193</v>
      </c>
      <c r="AM3650">
        <v>90.851495655712398</v>
      </c>
      <c r="AN3650">
        <v>1.0000000198352199</v>
      </c>
    </row>
    <row r="3651" spans="1:40" x14ac:dyDescent="0.25">
      <c r="A3651" t="str">
        <f>"20190303170841452"</f>
        <v>20190303170841452</v>
      </c>
      <c r="B3651" t="str">
        <f>"1551604121446707"</f>
        <v>1551604121446707</v>
      </c>
      <c r="C3651" t="s">
        <v>40</v>
      </c>
      <c r="D3651">
        <v>5.0565660000000001</v>
      </c>
      <c r="E3651">
        <v>0.54563729999999999</v>
      </c>
      <c r="F3651" t="s">
        <v>43</v>
      </c>
      <c r="G3651">
        <v>-390.22809999999998</v>
      </c>
      <c r="H3651" s="1">
        <v>-4.3131850000000003E-6</v>
      </c>
      <c r="I3651">
        <v>138.8339</v>
      </c>
      <c r="J3651">
        <v>-360.02330000000001</v>
      </c>
      <c r="K3651">
        <v>1.1213959999999901</v>
      </c>
      <c r="L3651">
        <v>140.69550000000001</v>
      </c>
      <c r="M3651">
        <v>-0.9997509</v>
      </c>
      <c r="N3651">
        <v>-1.509605E-2</v>
      </c>
      <c r="O3651">
        <v>-1.6448210000000001E-2</v>
      </c>
      <c r="P3651">
        <v>-0.97363909999999998</v>
      </c>
      <c r="Q3651">
        <v>0.2263201</v>
      </c>
      <c r="R3651">
        <v>-2.8396850000000001E-2</v>
      </c>
      <c r="S3651">
        <v>-3.0997919999999999</v>
      </c>
      <c r="T3651">
        <v>-0.1134701</v>
      </c>
      <c r="U3651">
        <v>-0.1890869</v>
      </c>
      <c r="V3651">
        <v>-1.246132E-2</v>
      </c>
      <c r="W3651">
        <v>0.24099309999999999</v>
      </c>
      <c r="X3651">
        <v>0.97044680000000005</v>
      </c>
      <c r="Y3651">
        <v>-4.4420759999999997E-2</v>
      </c>
      <c r="Z3651">
        <v>-7.9461289999999997E-4</v>
      </c>
      <c r="AA3651">
        <v>0.99901260000000003</v>
      </c>
      <c r="AB3651">
        <v>40</v>
      </c>
      <c r="AC3651">
        <v>-30.204799999999899</v>
      </c>
      <c r="AD3651">
        <v>-1.1214003131850001</v>
      </c>
      <c r="AE3651">
        <v>-1.8616000000000099</v>
      </c>
      <c r="AF3651">
        <v>-1.3626055816523801</v>
      </c>
      <c r="AG3651">
        <v>-1.1214003131850001</v>
      </c>
      <c r="AH3651">
        <v>30.189880709620699</v>
      </c>
      <c r="AI3651">
        <v>92.125106937125494</v>
      </c>
      <c r="AJ3651">
        <v>92.584263270410901</v>
      </c>
      <c r="AK3651">
        <v>30.241414151700798</v>
      </c>
      <c r="AL3651">
        <v>76.054838316991393</v>
      </c>
      <c r="AM3651">
        <v>90.735683610004003</v>
      </c>
      <c r="AN3651">
        <v>0.99999997518699502</v>
      </c>
    </row>
    <row r="3652" spans="1:40" x14ac:dyDescent="0.25">
      <c r="A3652" t="str">
        <f>"20190303170841477"</f>
        <v>20190303170841477</v>
      </c>
      <c r="B3652" t="str">
        <f>"1551604121467203"</f>
        <v>1551604121467203</v>
      </c>
      <c r="C3652" t="s">
        <v>40</v>
      </c>
      <c r="D3652">
        <v>5.0356040000000002</v>
      </c>
      <c r="E3652">
        <v>0.55316169999999998</v>
      </c>
      <c r="F3652" t="s">
        <v>58</v>
      </c>
      <c r="G3652">
        <v>-400.57170000000002</v>
      </c>
      <c r="H3652" s="1">
        <v>-7.337714E-6</v>
      </c>
      <c r="I3652">
        <v>143.79669999999999</v>
      </c>
      <c r="J3652">
        <v>-360.49180000000001</v>
      </c>
      <c r="K3652">
        <v>1.1213959999999901</v>
      </c>
      <c r="L3652">
        <v>140.6876</v>
      </c>
      <c r="M3652">
        <v>-0.99974790000000002</v>
      </c>
      <c r="N3652">
        <v>-1.5091159999999999E-2</v>
      </c>
      <c r="O3652">
        <v>-1.6623160000000001E-2</v>
      </c>
      <c r="P3652">
        <v>-0.97341319999999998</v>
      </c>
      <c r="Q3652">
        <v>0.22744</v>
      </c>
      <c r="R3652">
        <v>-2.7166389999999999E-2</v>
      </c>
      <c r="S3652">
        <v>-3.1081850000000002</v>
      </c>
      <c r="T3652">
        <v>-8.5959670000000002E-2</v>
      </c>
      <c r="U3652">
        <v>0.2377167</v>
      </c>
      <c r="V3652">
        <v>-1.106482E-2</v>
      </c>
      <c r="W3652">
        <v>0.24210499999999999</v>
      </c>
      <c r="X3652">
        <v>0.97018689999999996</v>
      </c>
      <c r="Y3652">
        <v>9.2768359999999994E-2</v>
      </c>
      <c r="Z3652">
        <v>2.1905100000000001E-3</v>
      </c>
      <c r="AA3652">
        <v>0.9956853</v>
      </c>
      <c r="AB3652">
        <v>40</v>
      </c>
      <c r="AC3652">
        <v>-40.079900000000002</v>
      </c>
      <c r="AD3652">
        <v>-1.12140333771399</v>
      </c>
      <c r="AE3652">
        <v>3.1090999999999802</v>
      </c>
      <c r="AF3652">
        <v>3.7720655532230598</v>
      </c>
      <c r="AG3652">
        <v>-1.12140333771399</v>
      </c>
      <c r="AH3652">
        <v>39.991552233380297</v>
      </c>
      <c r="AI3652">
        <v>91.599116517884696</v>
      </c>
      <c r="AJ3652">
        <v>84.611714082604806</v>
      </c>
      <c r="AK3652">
        <v>40.184701989921898</v>
      </c>
      <c r="AL3652">
        <v>75.989186623177304</v>
      </c>
      <c r="AM3652">
        <v>90.653420492950502</v>
      </c>
      <c r="AN3652">
        <v>0.99999994109911905</v>
      </c>
    </row>
    <row r="3653" spans="1:40" x14ac:dyDescent="0.25">
      <c r="A3653" t="str">
        <f>"20190303170841498"</f>
        <v>20190303170841498</v>
      </c>
      <c r="B3653" t="str">
        <f>"1551604121486723"</f>
        <v>1551604121486723</v>
      </c>
      <c r="C3653" t="s">
        <v>40</v>
      </c>
      <c r="D3653">
        <v>5.013312</v>
      </c>
      <c r="E3653">
        <v>0.5566063</v>
      </c>
      <c r="F3653" t="s">
        <v>58</v>
      </c>
      <c r="G3653">
        <v>-410.16660000000002</v>
      </c>
      <c r="H3653" s="1">
        <v>-1.278025E-5</v>
      </c>
      <c r="I3653">
        <v>145.49510000000001</v>
      </c>
      <c r="J3653">
        <v>-360.84960000000001</v>
      </c>
      <c r="K3653">
        <v>1.1213959999999901</v>
      </c>
      <c r="L3653">
        <v>140.6816</v>
      </c>
      <c r="M3653">
        <v>-0.99974589999999997</v>
      </c>
      <c r="N3653">
        <v>-1.5087420000000001E-2</v>
      </c>
      <c r="O3653">
        <v>-1.6757230000000001E-2</v>
      </c>
      <c r="P3653">
        <v>-0.9734853</v>
      </c>
      <c r="Q3653">
        <v>0.2272246</v>
      </c>
      <c r="R3653">
        <v>-2.6374970000000001E-2</v>
      </c>
      <c r="S3653">
        <v>-3.1066889999999998</v>
      </c>
      <c r="T3653">
        <v>-7.013345E-2</v>
      </c>
      <c r="U3653">
        <v>0.30065920000000002</v>
      </c>
      <c r="V3653">
        <v>-1.0141529999999999E-2</v>
      </c>
      <c r="W3653">
        <v>0.24188760000000001</v>
      </c>
      <c r="X3653">
        <v>0.97025130000000004</v>
      </c>
      <c r="Y3653">
        <v>0.1129474</v>
      </c>
      <c r="Z3653">
        <v>2.2512500000000002E-3</v>
      </c>
      <c r="AA3653">
        <v>0.99359839999999999</v>
      </c>
      <c r="AB3653">
        <v>40</v>
      </c>
      <c r="AC3653">
        <v>-49.317</v>
      </c>
      <c r="AD3653">
        <v>-1.1214087802499999</v>
      </c>
      <c r="AE3653">
        <v>4.8135000000000003</v>
      </c>
      <c r="AF3653">
        <v>5.6364473970265703</v>
      </c>
      <c r="AG3653">
        <v>-1.1214087802499999</v>
      </c>
      <c r="AH3653">
        <v>49.204202540324999</v>
      </c>
      <c r="AI3653">
        <v>91.297117348060894</v>
      </c>
      <c r="AJ3653">
        <v>83.465129639049593</v>
      </c>
      <c r="AK3653">
        <v>49.538678268007899</v>
      </c>
      <c r="AL3653">
        <v>76.002025474109402</v>
      </c>
      <c r="AM3653">
        <v>90.598861044394695</v>
      </c>
      <c r="AN3653">
        <v>1.0000000234080899</v>
      </c>
    </row>
    <row r="3654" spans="1:40" x14ac:dyDescent="0.25">
      <c r="A3654" t="str">
        <f>"20190303170841518"</f>
        <v>20190303170841518</v>
      </c>
      <c r="B3654" t="str">
        <f>"1551604121507220"</f>
        <v>1551604121507220</v>
      </c>
      <c r="C3654" t="s">
        <v>40</v>
      </c>
      <c r="D3654">
        <v>4.9993030000000003</v>
      </c>
      <c r="E3654">
        <v>0.55808649999999904</v>
      </c>
      <c r="F3654" t="s">
        <v>58</v>
      </c>
      <c r="G3654">
        <v>-414.60039999999998</v>
      </c>
      <c r="H3654" s="1">
        <v>-1.2666E-5</v>
      </c>
      <c r="I3654">
        <v>146.38059999999999</v>
      </c>
      <c r="J3654">
        <v>-361.20440000000002</v>
      </c>
      <c r="K3654">
        <v>1.1213959999999901</v>
      </c>
      <c r="L3654">
        <v>140.6755</v>
      </c>
      <c r="M3654">
        <v>-0.99974379999999996</v>
      </c>
      <c r="N3654">
        <v>-1.50837E-2</v>
      </c>
      <c r="O3654">
        <v>-1.6889870000000001E-2</v>
      </c>
      <c r="P3654">
        <v>-0.97385679999999997</v>
      </c>
      <c r="Q3654">
        <v>0.22569120000000001</v>
      </c>
      <c r="R3654">
        <v>-2.582889E-2</v>
      </c>
      <c r="S3654">
        <v>-3.105804</v>
      </c>
      <c r="T3654">
        <v>-6.4796690000000004E-2</v>
      </c>
      <c r="U3654">
        <v>0.32929989999999998</v>
      </c>
      <c r="V3654">
        <v>-9.4586589999999995E-3</v>
      </c>
      <c r="W3654">
        <v>0.24035619999999999</v>
      </c>
      <c r="X3654">
        <v>0.97063869999999997</v>
      </c>
      <c r="Y3654">
        <v>0.12217310000000001</v>
      </c>
      <c r="Z3654">
        <v>2.2923750000000001E-3</v>
      </c>
      <c r="AA3654">
        <v>0.99250609999999995</v>
      </c>
      <c r="AB3654">
        <v>40</v>
      </c>
      <c r="AC3654">
        <v>-53.395999999999901</v>
      </c>
      <c r="AD3654">
        <v>-1.12140866599999</v>
      </c>
      <c r="AE3654">
        <v>5.7050999999999803</v>
      </c>
      <c r="AF3654">
        <v>6.6033602338412498</v>
      </c>
      <c r="AG3654">
        <v>-1.12140866599999</v>
      </c>
      <c r="AH3654">
        <v>53.268782087872097</v>
      </c>
      <c r="AI3654">
        <v>91.196848311872799</v>
      </c>
      <c r="AJ3654">
        <v>82.933490403247802</v>
      </c>
      <c r="AK3654">
        <v>53.688220951147699</v>
      </c>
      <c r="AL3654">
        <v>76.092435869544104</v>
      </c>
      <c r="AM3654">
        <v>90.558317000091293</v>
      </c>
      <c r="AN3654">
        <v>1.0000000275231</v>
      </c>
    </row>
    <row r="3655" spans="1:40" x14ac:dyDescent="0.25">
      <c r="A3655" t="str">
        <f>"20190303170841542"</f>
        <v>20190303170841542</v>
      </c>
      <c r="B3655" t="str">
        <f>"1551604121526739"</f>
        <v>1551604121526739</v>
      </c>
      <c r="C3655" t="s">
        <v>40</v>
      </c>
      <c r="D3655">
        <v>5.0065569999999999</v>
      </c>
      <c r="E3655">
        <v>0.55934539999999999</v>
      </c>
      <c r="F3655" t="s">
        <v>58</v>
      </c>
      <c r="G3655">
        <v>-412.2885</v>
      </c>
      <c r="H3655" s="1">
        <v>-1.2866540000000001E-5</v>
      </c>
      <c r="I3655">
        <v>146.3091</v>
      </c>
      <c r="J3655">
        <v>-361.61529999999999</v>
      </c>
      <c r="K3655">
        <v>1.1213900000000001</v>
      </c>
      <c r="L3655">
        <v>140.66839999999999</v>
      </c>
      <c r="M3655">
        <v>-0.99974110000000005</v>
      </c>
      <c r="N3655">
        <v>-1.5079270000000001E-2</v>
      </c>
      <c r="O3655">
        <v>-1.7043599999999999E-2</v>
      </c>
      <c r="P3655">
        <v>-0.97401910000000003</v>
      </c>
      <c r="Q3655">
        <v>0.22492029999999999</v>
      </c>
      <c r="R3655">
        <v>-2.64186E-2</v>
      </c>
      <c r="S3655">
        <v>-3.1054080000000002</v>
      </c>
      <c r="T3655">
        <v>-6.8170549999999996E-2</v>
      </c>
      <c r="U3655">
        <v>0.3424683</v>
      </c>
      <c r="V3655">
        <v>-9.8956700000000005E-3</v>
      </c>
      <c r="W3655">
        <v>0.23958370000000001</v>
      </c>
      <c r="X3655">
        <v>0.9708253</v>
      </c>
      <c r="Y3655">
        <v>0.1264922</v>
      </c>
      <c r="Z3655">
        <v>2.4577240000000001E-3</v>
      </c>
      <c r="AA3655">
        <v>0.99196459999999997</v>
      </c>
      <c r="AB3655">
        <v>40</v>
      </c>
      <c r="AC3655">
        <v>-50.673200000000001</v>
      </c>
      <c r="AD3655">
        <v>-1.12140286654</v>
      </c>
      <c r="AE3655">
        <v>5.6407000000000096</v>
      </c>
      <c r="AF3655">
        <v>6.5004877952390503</v>
      </c>
      <c r="AG3655">
        <v>-1.12140286654</v>
      </c>
      <c r="AH3655">
        <v>50.545238036828202</v>
      </c>
      <c r="AI3655">
        <v>91.260583919257996</v>
      </c>
      <c r="AJ3655">
        <v>82.671570148110703</v>
      </c>
      <c r="AK3655">
        <v>50.973865599587</v>
      </c>
      <c r="AL3655">
        <v>76.138028948812803</v>
      </c>
      <c r="AM3655">
        <v>90.583998471812606</v>
      </c>
      <c r="AN3655">
        <v>1.00000001835526</v>
      </c>
    </row>
    <row r="3656" spans="1:40" x14ac:dyDescent="0.25">
      <c r="A3656" t="str">
        <f>"20190303170841563"</f>
        <v>20190303170841563</v>
      </c>
      <c r="B3656" t="str">
        <f>"1551604121556995"</f>
        <v>1551604121556995</v>
      </c>
      <c r="C3656" t="s">
        <v>40</v>
      </c>
      <c r="D3656">
        <v>5.0176949999999998</v>
      </c>
      <c r="E3656">
        <v>0.56059999999999999</v>
      </c>
      <c r="F3656" t="s">
        <v>58</v>
      </c>
      <c r="G3656">
        <v>-411.69600000000003</v>
      </c>
      <c r="H3656" s="1">
        <v>-1.29345E-5</v>
      </c>
      <c r="I3656">
        <v>146.33670000000001</v>
      </c>
      <c r="J3656">
        <v>-362.00450000000001</v>
      </c>
      <c r="K3656">
        <v>1.121389</v>
      </c>
      <c r="L3656">
        <v>140.66159999999999</v>
      </c>
      <c r="M3656">
        <v>-0.99973880000000004</v>
      </c>
      <c r="N3656">
        <v>-1.507498E-2</v>
      </c>
      <c r="O3656">
        <v>-1.7189340000000001E-2</v>
      </c>
      <c r="P3656">
        <v>-0.97365550000000001</v>
      </c>
      <c r="Q3656">
        <v>0.2264573</v>
      </c>
      <c r="R3656">
        <v>-2.6689879999999999E-2</v>
      </c>
      <c r="S3656">
        <v>-3.1056210000000002</v>
      </c>
      <c r="T3656">
        <v>-6.9540859999999996E-2</v>
      </c>
      <c r="U3656">
        <v>0.35150150000000002</v>
      </c>
      <c r="V3656">
        <v>-1.0031099999999999E-2</v>
      </c>
      <c r="W3656">
        <v>0.24111060000000001</v>
      </c>
      <c r="X3656">
        <v>0.97044580000000003</v>
      </c>
      <c r="Y3656">
        <v>0.12947549999999999</v>
      </c>
      <c r="Z3656">
        <v>2.5495499999999998E-3</v>
      </c>
      <c r="AA3656">
        <v>0.9915794</v>
      </c>
      <c r="AB3656">
        <v>40</v>
      </c>
      <c r="AC3656">
        <v>-49.691499999999898</v>
      </c>
      <c r="AD3656">
        <v>-1.1214019344999999</v>
      </c>
      <c r="AE3656">
        <v>5.6751000000000102</v>
      </c>
      <c r="AF3656">
        <v>6.5252419175230596</v>
      </c>
      <c r="AG3656">
        <v>-1.1214019344999999</v>
      </c>
      <c r="AH3656">
        <v>49.561678350350199</v>
      </c>
      <c r="AI3656">
        <v>91.285089259928995</v>
      </c>
      <c r="AJ3656">
        <v>82.499632755513005</v>
      </c>
      <c r="AK3656">
        <v>50.001962814318297</v>
      </c>
      <c r="AL3656">
        <v>76.0479018304558</v>
      </c>
      <c r="AM3656">
        <v>90.592221869387501</v>
      </c>
      <c r="AN3656">
        <v>0.99999999756860503</v>
      </c>
    </row>
    <row r="3657" spans="1:40" x14ac:dyDescent="0.25">
      <c r="A3657" t="str">
        <f>"20190303170841589"</f>
        <v>20190303170841589</v>
      </c>
      <c r="B3657" t="str">
        <f>"1551604121576515"</f>
        <v>1551604121576515</v>
      </c>
      <c r="C3657" t="s">
        <v>40</v>
      </c>
      <c r="D3657">
        <v>5.0180860000000003</v>
      </c>
      <c r="E3657">
        <v>0.56109240000000005</v>
      </c>
      <c r="F3657" t="s">
        <v>58</v>
      </c>
      <c r="G3657">
        <v>-417.54219999999998</v>
      </c>
      <c r="H3657" s="1">
        <v>-1.264274E-5</v>
      </c>
      <c r="I3657">
        <v>147.11109999999999</v>
      </c>
      <c r="J3657">
        <v>-362.44749999999999</v>
      </c>
      <c r="K3657">
        <v>1.1213900000000001</v>
      </c>
      <c r="L3657">
        <v>140.65389999999999</v>
      </c>
      <c r="M3657">
        <v>-0.99973590000000001</v>
      </c>
      <c r="N3657">
        <v>-1.5070119999999999E-2</v>
      </c>
      <c r="O3657">
        <v>-1.735511E-2</v>
      </c>
      <c r="P3657">
        <v>-0.97338069999999999</v>
      </c>
      <c r="Q3657">
        <v>0.22765479999999999</v>
      </c>
      <c r="R3657">
        <v>-2.6525710000000001E-2</v>
      </c>
      <c r="S3657">
        <v>-3.1056819999999998</v>
      </c>
      <c r="T3657">
        <v>-6.2709089999999995E-2</v>
      </c>
      <c r="U3657">
        <v>0.3606567</v>
      </c>
      <c r="V3657">
        <v>-9.7106950000000001E-3</v>
      </c>
      <c r="W3657">
        <v>0.2422993</v>
      </c>
      <c r="X3657">
        <v>0.97015300000000004</v>
      </c>
      <c r="Y3657">
        <v>0.1325297</v>
      </c>
      <c r="Z3657">
        <v>2.4242579999999999E-3</v>
      </c>
      <c r="AA3657">
        <v>0.9911761</v>
      </c>
      <c r="AB3657">
        <v>40</v>
      </c>
      <c r="AC3657">
        <v>-55.094699999999897</v>
      </c>
      <c r="AD3657">
        <v>-1.1214026427399999</v>
      </c>
      <c r="AE3657">
        <v>6.4572000000000003</v>
      </c>
      <c r="AF3657">
        <v>7.4094822688222797</v>
      </c>
      <c r="AG3657">
        <v>-1.1214026427399999</v>
      </c>
      <c r="AH3657">
        <v>54.951864623558201</v>
      </c>
      <c r="AI3657">
        <v>91.158590976891901</v>
      </c>
      <c r="AJ3657">
        <v>82.320788278572806</v>
      </c>
      <c r="AK3657">
        <v>55.460485004956404</v>
      </c>
      <c r="AL3657">
        <v>75.977713916804404</v>
      </c>
      <c r="AM3657">
        <v>90.573479914649496</v>
      </c>
      <c r="AN3657">
        <v>1.0000000458934299</v>
      </c>
    </row>
    <row r="3658" spans="1:40" x14ac:dyDescent="0.25">
      <c r="A3658" t="str">
        <f>"20190303170841606"</f>
        <v>20190303170841606</v>
      </c>
      <c r="B3658" t="str">
        <f>"1551604121597011"</f>
        <v>1551604121597011</v>
      </c>
      <c r="C3658" t="s">
        <v>40</v>
      </c>
      <c r="D3658">
        <v>5.0151849999999998</v>
      </c>
      <c r="E3658">
        <v>0.56159199999999998</v>
      </c>
      <c r="F3658" t="s">
        <v>58</v>
      </c>
      <c r="G3658">
        <v>-420.59699999999998</v>
      </c>
      <c r="H3658" s="1">
        <v>-1.266123E-5</v>
      </c>
      <c r="I3658">
        <v>147.4451</v>
      </c>
      <c r="J3658">
        <v>-362.76549999999997</v>
      </c>
      <c r="K3658">
        <v>1.1213930000000001</v>
      </c>
      <c r="L3658">
        <v>140.6482</v>
      </c>
      <c r="M3658">
        <v>-0.99973380000000001</v>
      </c>
      <c r="N3658">
        <v>-1.5066649999999999E-2</v>
      </c>
      <c r="O3658">
        <v>-1.7474279999999998E-2</v>
      </c>
      <c r="P3658">
        <v>-0.97342660000000003</v>
      </c>
      <c r="Q3658">
        <v>0.22736590000000001</v>
      </c>
      <c r="R3658">
        <v>-2.7301180000000001E-2</v>
      </c>
      <c r="S3658">
        <v>-3.105988</v>
      </c>
      <c r="T3658">
        <v>-5.9898380000000001E-2</v>
      </c>
      <c r="U3658">
        <v>0.36274719999999999</v>
      </c>
      <c r="V3658">
        <v>-1.0368830000000001E-2</v>
      </c>
      <c r="W3658">
        <v>0.2420078</v>
      </c>
      <c r="X3658">
        <v>0.9702189</v>
      </c>
      <c r="Y3658">
        <v>0.13329779999999999</v>
      </c>
      <c r="Z3658">
        <v>2.3621879999999999E-3</v>
      </c>
      <c r="AA3658">
        <v>0.99107319999999999</v>
      </c>
      <c r="AB3658">
        <v>39</v>
      </c>
      <c r="AC3658">
        <v>-57.831499999999998</v>
      </c>
      <c r="AD3658">
        <v>-1.1214056612299901</v>
      </c>
      <c r="AE3658">
        <v>6.7968999999999902</v>
      </c>
      <c r="AF3658">
        <v>7.8036462472011001</v>
      </c>
      <c r="AG3658">
        <v>-1.1214056612299901</v>
      </c>
      <c r="AH3658">
        <v>57.682489928234702</v>
      </c>
      <c r="AI3658">
        <v>91.103695520362805</v>
      </c>
      <c r="AJ3658">
        <v>82.295446950433998</v>
      </c>
      <c r="AK3658">
        <v>58.218760633745802</v>
      </c>
      <c r="AL3658">
        <v>75.994927318337403</v>
      </c>
      <c r="AM3658">
        <v>90.612302626959504</v>
      </c>
      <c r="AN3658">
        <v>1.0000000009068</v>
      </c>
    </row>
    <row r="3659" spans="1:40" x14ac:dyDescent="0.25">
      <c r="A3659" t="str">
        <f>"20190303170841626"</f>
        <v>20190303170841626</v>
      </c>
      <c r="B3659" t="str">
        <f>"1551604121616530"</f>
        <v>1551604121616530</v>
      </c>
      <c r="C3659" t="s">
        <v>40</v>
      </c>
      <c r="D3659">
        <v>5.0300779999999996</v>
      </c>
      <c r="E3659">
        <v>0.56208910000000001</v>
      </c>
      <c r="F3659" t="s">
        <v>58</v>
      </c>
      <c r="G3659">
        <v>-420.84050000000002</v>
      </c>
      <c r="H3659" s="1">
        <v>-1.2703E-5</v>
      </c>
      <c r="I3659">
        <v>147.44110000000001</v>
      </c>
      <c r="J3659">
        <v>-363.1114</v>
      </c>
      <c r="K3659">
        <v>1.121399</v>
      </c>
      <c r="L3659">
        <v>140.6421</v>
      </c>
      <c r="M3659">
        <v>-0.9997317</v>
      </c>
      <c r="N3659">
        <v>-1.5062870000000001E-2</v>
      </c>
      <c r="O3659">
        <v>-1.7603939999999998E-2</v>
      </c>
      <c r="P3659">
        <v>-0.97370869999999998</v>
      </c>
      <c r="Q3659">
        <v>0.22583120000000001</v>
      </c>
      <c r="R3659">
        <v>-2.9862659999999999E-2</v>
      </c>
      <c r="S3659">
        <v>-3.1060789999999998</v>
      </c>
      <c r="T3659">
        <v>-5.9977290000000003E-2</v>
      </c>
      <c r="U3659">
        <v>0.36331180000000002</v>
      </c>
      <c r="V3659">
        <v>-1.279804E-2</v>
      </c>
      <c r="W3659">
        <v>0.24047379999999999</v>
      </c>
      <c r="X3659">
        <v>0.97057130000000003</v>
      </c>
      <c r="Y3659">
        <v>0.13360050000000001</v>
      </c>
      <c r="Z3659">
        <v>2.3698299999999999E-3</v>
      </c>
      <c r="AA3659">
        <v>0.99103240000000004</v>
      </c>
      <c r="AB3659">
        <v>39</v>
      </c>
      <c r="AC3659">
        <v>-57.729100000000003</v>
      </c>
      <c r="AD3659">
        <v>-1.1214117029999999</v>
      </c>
      <c r="AE3659">
        <v>6.7990000000000004</v>
      </c>
      <c r="AF3659">
        <v>7.8114136830632797</v>
      </c>
      <c r="AG3659">
        <v>-1.1214117029999999</v>
      </c>
      <c r="AH3659">
        <v>57.579019435095503</v>
      </c>
      <c r="AI3659">
        <v>91.1056287561223</v>
      </c>
      <c r="AJ3659">
        <v>82.274178796503605</v>
      </c>
      <c r="AK3659">
        <v>58.117288538288499</v>
      </c>
      <c r="AL3659">
        <v>76.085494515562004</v>
      </c>
      <c r="AM3659">
        <v>90.755463492122701</v>
      </c>
      <c r="AN3659">
        <v>1.00000004334898</v>
      </c>
    </row>
    <row r="3660" spans="1:40" x14ac:dyDescent="0.25">
      <c r="A3660" t="str">
        <f>"20190303170841649"</f>
        <v>20190303170841649</v>
      </c>
      <c r="B3660" t="str">
        <f>"1551604121637028"</f>
        <v>1551604121637028</v>
      </c>
      <c r="C3660" t="s">
        <v>40</v>
      </c>
      <c r="D3660">
        <v>5.0155320000000003</v>
      </c>
      <c r="E3660">
        <v>0.5624981</v>
      </c>
      <c r="F3660" t="s">
        <v>58</v>
      </c>
      <c r="G3660">
        <v>-417.51159999999999</v>
      </c>
      <c r="H3660" s="1">
        <v>-1.2593409999999999E-5</v>
      </c>
      <c r="I3660">
        <v>146.96299999999999</v>
      </c>
      <c r="J3660">
        <v>-363.50560000000002</v>
      </c>
      <c r="K3660">
        <v>1.1214010000000001</v>
      </c>
      <c r="L3660">
        <v>140.63499999999999</v>
      </c>
      <c r="M3660">
        <v>-0.99972919999999998</v>
      </c>
      <c r="N3660">
        <v>-1.5058520000000001E-2</v>
      </c>
      <c r="O3660">
        <v>-1.7751590000000001E-2</v>
      </c>
      <c r="P3660">
        <v>-0.97363520000000003</v>
      </c>
      <c r="Q3660">
        <v>0.22576979999999999</v>
      </c>
      <c r="R3660">
        <v>-3.2596390000000003E-2</v>
      </c>
      <c r="S3660">
        <v>-3.1069640000000001</v>
      </c>
      <c r="T3660">
        <v>-6.4047339999999994E-2</v>
      </c>
      <c r="U3660">
        <v>0.36100769999999999</v>
      </c>
      <c r="V3660">
        <v>-1.5388570000000001E-2</v>
      </c>
      <c r="W3660">
        <v>0.2404067</v>
      </c>
      <c r="X3660">
        <v>0.97055020000000003</v>
      </c>
      <c r="Y3660">
        <v>0.13298460000000001</v>
      </c>
      <c r="Z3660">
        <v>2.469195E-3</v>
      </c>
      <c r="AA3660">
        <v>0.99111499999999997</v>
      </c>
      <c r="AB3660">
        <v>39</v>
      </c>
      <c r="AC3660">
        <v>-54.005999999999901</v>
      </c>
      <c r="AD3660">
        <v>-1.12141359341</v>
      </c>
      <c r="AE3660">
        <v>6.3280000000000003</v>
      </c>
      <c r="AF3660">
        <v>7.2827060245172497</v>
      </c>
      <c r="AG3660">
        <v>-1.12141359341</v>
      </c>
      <c r="AH3660">
        <v>53.862234262971299</v>
      </c>
      <c r="AI3660">
        <v>91.181975565410596</v>
      </c>
      <c r="AJ3660">
        <v>82.299742773891296</v>
      </c>
      <c r="AK3660">
        <v>54.363918689570397</v>
      </c>
      <c r="AL3660">
        <v>76.089453789598906</v>
      </c>
      <c r="AM3660">
        <v>90.908377783264797</v>
      </c>
      <c r="AN3660">
        <v>0.99999994010578497</v>
      </c>
    </row>
    <row r="3661" spans="1:40" x14ac:dyDescent="0.25">
      <c r="A3661" t="str">
        <f>"20190303170841672"</f>
        <v>20190303170841672</v>
      </c>
      <c r="B3661" t="str">
        <f>"1551604121656549"</f>
        <v>1551604121656549</v>
      </c>
      <c r="C3661" t="s">
        <v>40</v>
      </c>
      <c r="D3661">
        <v>5.0084850000000003</v>
      </c>
      <c r="E3661">
        <v>0.56282730000000003</v>
      </c>
      <c r="F3661" t="s">
        <v>58</v>
      </c>
      <c r="G3661">
        <v>-419.06180000000001</v>
      </c>
      <c r="H3661" s="1">
        <v>-1.248393E-5</v>
      </c>
      <c r="I3661">
        <v>147.03899999999999</v>
      </c>
      <c r="J3661">
        <v>-363.89330000000001</v>
      </c>
      <c r="K3661">
        <v>1.121402</v>
      </c>
      <c r="L3661">
        <v>140.62790000000001</v>
      </c>
      <c r="M3661">
        <v>-0.99972669999999997</v>
      </c>
      <c r="N3661">
        <v>-1.50542E-2</v>
      </c>
      <c r="O3661">
        <v>-1.789721E-2</v>
      </c>
      <c r="P3661">
        <v>-0.97303360000000005</v>
      </c>
      <c r="Q3661">
        <v>0.22832279999999999</v>
      </c>
      <c r="R3661">
        <v>-3.2780690000000001E-2</v>
      </c>
      <c r="S3661">
        <v>-3.1078489999999999</v>
      </c>
      <c r="T3661">
        <v>-6.2732579999999996E-2</v>
      </c>
      <c r="U3661">
        <v>0.3582458</v>
      </c>
      <c r="V3661">
        <v>-1.544237E-2</v>
      </c>
      <c r="W3661">
        <v>0.242946</v>
      </c>
      <c r="X3661">
        <v>0.96991689999999997</v>
      </c>
      <c r="Y3661">
        <v>0.13222929999999999</v>
      </c>
      <c r="Z3661">
        <v>2.4204389999999999E-3</v>
      </c>
      <c r="AA3661">
        <v>0.99121619999999999</v>
      </c>
      <c r="AB3661">
        <v>39</v>
      </c>
      <c r="AC3661">
        <v>-55.168500000000002</v>
      </c>
      <c r="AD3661">
        <v>-1.12141448393</v>
      </c>
      <c r="AE3661">
        <v>6.41109999999997</v>
      </c>
      <c r="AF3661">
        <v>7.3945322058901004</v>
      </c>
      <c r="AG3661">
        <v>-1.12141448393</v>
      </c>
      <c r="AH3661">
        <v>55.0224761826194</v>
      </c>
      <c r="AI3661">
        <v>91.157184776596097</v>
      </c>
      <c r="AJ3661">
        <v>82.345816817760806</v>
      </c>
      <c r="AK3661">
        <v>55.528457229204903</v>
      </c>
      <c r="AL3661">
        <v>75.939518991753999</v>
      </c>
      <c r="AM3661">
        <v>90.912148120324105</v>
      </c>
      <c r="AN3661">
        <v>1.0000000093064101</v>
      </c>
    </row>
    <row r="3662" spans="1:40" x14ac:dyDescent="0.25">
      <c r="A3662" t="str">
        <f>"20190303170841694"</f>
        <v>20190303170841694</v>
      </c>
      <c r="B3662" t="str">
        <f>"1551604121686803"</f>
        <v>1551604121686803</v>
      </c>
      <c r="C3662" t="s">
        <v>40</v>
      </c>
      <c r="D3662">
        <v>5.0325300000000004</v>
      </c>
      <c r="E3662">
        <v>0.56333999999999995</v>
      </c>
      <c r="F3662" t="s">
        <v>58</v>
      </c>
      <c r="G3662">
        <v>-426.84100000000001</v>
      </c>
      <c r="H3662" s="1">
        <v>-1.3927999999999999E-5</v>
      </c>
      <c r="I3662">
        <v>147.89850000000001</v>
      </c>
      <c r="J3662">
        <v>-364.31849999999997</v>
      </c>
      <c r="K3662">
        <v>1.121407</v>
      </c>
      <c r="L3662">
        <v>140.62010000000001</v>
      </c>
      <c r="M3662">
        <v>-0.9997239</v>
      </c>
      <c r="N3662">
        <v>-1.5049460000000001E-2</v>
      </c>
      <c r="O3662">
        <v>-1.805679E-2</v>
      </c>
      <c r="P3662">
        <v>-0.97248230000000002</v>
      </c>
      <c r="Q3662">
        <v>0.2309418</v>
      </c>
      <c r="R3662">
        <v>-3.0730830000000001E-2</v>
      </c>
      <c r="S3662">
        <v>-3.1082459999999998</v>
      </c>
      <c r="T3662">
        <v>-5.5373550000000001E-2</v>
      </c>
      <c r="U3662">
        <v>0.35900880000000002</v>
      </c>
      <c r="V3662">
        <v>-1.3248080000000001E-2</v>
      </c>
      <c r="W3662">
        <v>0.24555250000000001</v>
      </c>
      <c r="X3662">
        <v>0.96929279999999995</v>
      </c>
      <c r="Y3662">
        <v>0.1326215</v>
      </c>
      <c r="Z3662">
        <v>2.2286369999999999E-3</v>
      </c>
      <c r="AA3662">
        <v>0.9911643</v>
      </c>
      <c r="AB3662">
        <v>39</v>
      </c>
      <c r="AC3662">
        <v>-62.522500000000001</v>
      </c>
      <c r="AD3662">
        <v>-1.121420928</v>
      </c>
      <c r="AE3662">
        <v>7.2784000000000004</v>
      </c>
      <c r="AF3662">
        <v>8.4036289876547592</v>
      </c>
      <c r="AG3662">
        <v>-1.121420928</v>
      </c>
      <c r="AH3662">
        <v>62.361070868374703</v>
      </c>
      <c r="AI3662">
        <v>91.020995479151793</v>
      </c>
      <c r="AJ3662">
        <v>82.325191906439301</v>
      </c>
      <c r="AK3662">
        <v>62.9347417958504</v>
      </c>
      <c r="AL3662">
        <v>75.785513434660999</v>
      </c>
      <c r="AM3662">
        <v>90.783057307140496</v>
      </c>
      <c r="AN3662">
        <v>1.0000000370058799</v>
      </c>
    </row>
    <row r="3663" spans="1:40" x14ac:dyDescent="0.25">
      <c r="A3663" t="str">
        <f>"20190303170841717"</f>
        <v>20190303170841717</v>
      </c>
      <c r="B3663" t="str">
        <f>"1551604121707299"</f>
        <v>1551604121707299</v>
      </c>
      <c r="C3663" t="s">
        <v>40</v>
      </c>
      <c r="D3663">
        <v>4.9963649999999999</v>
      </c>
      <c r="E3663">
        <v>0.56366419999999995</v>
      </c>
      <c r="F3663" t="s">
        <v>58</v>
      </c>
      <c r="G3663">
        <v>-436.82389999999998</v>
      </c>
      <c r="H3663" s="1">
        <v>-1.188826E-5</v>
      </c>
      <c r="I3663">
        <v>149.1867</v>
      </c>
      <c r="J3663">
        <v>-364.6979</v>
      </c>
      <c r="K3663">
        <v>1.121407</v>
      </c>
      <c r="L3663">
        <v>140.61320000000001</v>
      </c>
      <c r="M3663">
        <v>-0.99972119999999998</v>
      </c>
      <c r="N3663">
        <v>-1.504526E-2</v>
      </c>
      <c r="O3663">
        <v>-1.8199079999999999E-2</v>
      </c>
      <c r="P3663">
        <v>-0.97259989999999996</v>
      </c>
      <c r="Q3663">
        <v>0.23048730000000001</v>
      </c>
      <c r="R3663">
        <v>-3.041727E-2</v>
      </c>
      <c r="S3663">
        <v>-3.10791</v>
      </c>
      <c r="T3663">
        <v>-4.806912E-2</v>
      </c>
      <c r="U3663">
        <v>0.3672028</v>
      </c>
      <c r="V3663">
        <v>-1.2793880000000001E-2</v>
      </c>
      <c r="W3663">
        <v>0.2450958</v>
      </c>
      <c r="X3663">
        <v>0.96941440000000001</v>
      </c>
      <c r="Y3663">
        <v>0.13535920000000001</v>
      </c>
      <c r="Z3663">
        <v>2.072791E-3</v>
      </c>
      <c r="AA3663">
        <v>0.99079439999999996</v>
      </c>
      <c r="AB3663">
        <v>39</v>
      </c>
      <c r="AC3663">
        <v>-72.125999999999905</v>
      </c>
      <c r="AD3663">
        <v>-1.12141888826</v>
      </c>
      <c r="AE3663">
        <v>8.5734999999999904</v>
      </c>
      <c r="AF3663">
        <v>9.88249943575617</v>
      </c>
      <c r="AG3663">
        <v>-1.12141888826</v>
      </c>
      <c r="AH3663">
        <v>71.940855718731001</v>
      </c>
      <c r="AI3663">
        <v>90.884750657603504</v>
      </c>
      <c r="AJ3663">
        <v>82.178246300104504</v>
      </c>
      <c r="AK3663">
        <v>72.625120288808702</v>
      </c>
      <c r="AL3663">
        <v>75.812504093899605</v>
      </c>
      <c r="AM3663">
        <v>90.756119130533506</v>
      </c>
      <c r="AN3663">
        <v>0.99999995673522601</v>
      </c>
    </row>
    <row r="3664" spans="1:40" x14ac:dyDescent="0.25">
      <c r="A3664" t="str">
        <f>"20190303170841742"</f>
        <v>20190303170841742</v>
      </c>
      <c r="B3664" t="str">
        <f>"1551604121726819"</f>
        <v>1551604121726819</v>
      </c>
      <c r="C3664" t="s">
        <v>40</v>
      </c>
      <c r="D3664">
        <v>4.9924289999999996</v>
      </c>
      <c r="E3664">
        <v>0.56408849999999999</v>
      </c>
      <c r="F3664" t="s">
        <v>58</v>
      </c>
      <c r="G3664">
        <v>-435.35590000000002</v>
      </c>
      <c r="H3664" s="1">
        <v>-1.249346E-5</v>
      </c>
      <c r="I3664">
        <v>149.0564</v>
      </c>
      <c r="J3664">
        <v>-365.12759999999997</v>
      </c>
      <c r="K3664">
        <v>1.121394</v>
      </c>
      <c r="L3664">
        <v>140.6052</v>
      </c>
      <c r="M3664">
        <v>-0.99971840000000001</v>
      </c>
      <c r="N3664">
        <v>-1.5040390000000001E-2</v>
      </c>
      <c r="O3664">
        <v>-1.8360669999999999E-2</v>
      </c>
      <c r="P3664">
        <v>-0.97318159999999998</v>
      </c>
      <c r="Q3664">
        <v>0.22782369999999999</v>
      </c>
      <c r="R3664">
        <v>-3.184534E-2</v>
      </c>
      <c r="S3664">
        <v>-3.1078190000000001</v>
      </c>
      <c r="T3664">
        <v>-4.9324510000000002E-2</v>
      </c>
      <c r="U3664">
        <v>0.37136839999999999</v>
      </c>
      <c r="V3664">
        <v>-1.405256E-2</v>
      </c>
      <c r="W3664">
        <v>0.2424367</v>
      </c>
      <c r="X3664">
        <v>0.97006539999999997</v>
      </c>
      <c r="Y3664">
        <v>0.13683049999999999</v>
      </c>
      <c r="Z3664">
        <v>2.1300289999999999E-3</v>
      </c>
      <c r="AA3664">
        <v>0.99059219999999903</v>
      </c>
      <c r="AB3664">
        <v>39</v>
      </c>
      <c r="AC3664">
        <v>-70.228300000000004</v>
      </c>
      <c r="AD3664">
        <v>-1.1214064934600001</v>
      </c>
      <c r="AE3664">
        <v>8.4512</v>
      </c>
      <c r="AF3664">
        <v>9.7369121709933193</v>
      </c>
      <c r="AG3664">
        <v>-1.1214064934600001</v>
      </c>
      <c r="AH3664">
        <v>70.043666998171801</v>
      </c>
      <c r="AI3664">
        <v>90.908498525892597</v>
      </c>
      <c r="AJ3664">
        <v>82.085915606430504</v>
      </c>
      <c r="AK3664">
        <v>70.726093471221702</v>
      </c>
      <c r="AL3664">
        <v>75.9695982279666</v>
      </c>
      <c r="AM3664">
        <v>90.829939987602302</v>
      </c>
      <c r="AN3664">
        <v>0.9999999541133</v>
      </c>
    </row>
    <row r="3665" spans="1:40" x14ac:dyDescent="0.25">
      <c r="A3665" t="str">
        <f>"20190303170841765"</f>
        <v>20190303170841765</v>
      </c>
      <c r="B3665" t="str">
        <f>"1551604121757074"</f>
        <v>1551604121757074</v>
      </c>
      <c r="C3665" t="s">
        <v>40</v>
      </c>
      <c r="D3665">
        <v>4.9655079999999998</v>
      </c>
      <c r="E3665">
        <v>0.56452950000000002</v>
      </c>
      <c r="F3665" t="s">
        <v>58</v>
      </c>
      <c r="G3665">
        <v>-427.88630000000001</v>
      </c>
      <c r="H3665" s="1">
        <v>-1.4196410000000001E-5</v>
      </c>
      <c r="I3665">
        <v>148.13489999999999</v>
      </c>
      <c r="J3665">
        <v>-365.53530000000001</v>
      </c>
      <c r="K3665">
        <v>1.1213869999999999</v>
      </c>
      <c r="L3665">
        <v>140.5975</v>
      </c>
      <c r="M3665">
        <v>-0.99971560000000004</v>
      </c>
      <c r="N3665">
        <v>-1.5035750000000001E-2</v>
      </c>
      <c r="O3665">
        <v>-1.851357E-2</v>
      </c>
      <c r="P3665">
        <v>-0.97324469999999996</v>
      </c>
      <c r="Q3665">
        <v>0.22761799999999999</v>
      </c>
      <c r="R3665">
        <v>-3.1378929999999999E-2</v>
      </c>
      <c r="S3665">
        <v>-3.1078800000000002</v>
      </c>
      <c r="T3665">
        <v>-5.5533409999999998E-2</v>
      </c>
      <c r="U3665">
        <v>0.37287900000000002</v>
      </c>
      <c r="V3665">
        <v>-1.343622E-2</v>
      </c>
      <c r="W3665">
        <v>0.24222759999999999</v>
      </c>
      <c r="X3665">
        <v>0.97012640000000006</v>
      </c>
      <c r="Y3665">
        <v>0.1374475</v>
      </c>
      <c r="Z3665">
        <v>2.3130889999999999E-3</v>
      </c>
      <c r="AA3665">
        <v>0.99050640000000001</v>
      </c>
      <c r="AB3665">
        <v>39</v>
      </c>
      <c r="AC3665">
        <v>-62.350999999999999</v>
      </c>
      <c r="AD3665">
        <v>-1.1214011964099999</v>
      </c>
      <c r="AE3665">
        <v>7.5373999999999901</v>
      </c>
      <c r="AF3665">
        <v>8.6878081366269502</v>
      </c>
      <c r="AG3665">
        <v>-1.1214011964099999</v>
      </c>
      <c r="AH3665">
        <v>62.180927224513297</v>
      </c>
      <c r="AI3665">
        <v>91.023250938802306</v>
      </c>
      <c r="AJ3665">
        <v>82.046224968569902</v>
      </c>
      <c r="AK3665">
        <v>62.7949302202206</v>
      </c>
      <c r="AL3665">
        <v>75.981947318855504</v>
      </c>
      <c r="AM3665">
        <v>90.793494002812807</v>
      </c>
      <c r="AN3665">
        <v>0.99999998709330395</v>
      </c>
    </row>
    <row r="3666" spans="1:40" x14ac:dyDescent="0.25">
      <c r="A3666" t="str">
        <f>"20190303170841787"</f>
        <v>20190303170841787</v>
      </c>
      <c r="B3666" t="str">
        <f>"1551604121777196"</f>
        <v>1551604121777196</v>
      </c>
      <c r="C3666" t="s">
        <v>40</v>
      </c>
      <c r="D3666">
        <v>5.2163690000000003</v>
      </c>
      <c r="E3666">
        <v>0.56456759999999995</v>
      </c>
      <c r="F3666" t="s">
        <v>58</v>
      </c>
      <c r="G3666">
        <v>-427.21960000000001</v>
      </c>
      <c r="H3666" s="1">
        <v>-1.4067310000000001E-5</v>
      </c>
      <c r="I3666">
        <v>148.10399999999899</v>
      </c>
      <c r="J3666">
        <v>-365.93680000000001</v>
      </c>
      <c r="K3666">
        <v>1.1213900000000001</v>
      </c>
      <c r="L3666">
        <v>140.59</v>
      </c>
      <c r="M3666">
        <v>-0.99971279999999996</v>
      </c>
      <c r="N3666">
        <v>-1.503114E-2</v>
      </c>
      <c r="O3666">
        <v>-1.8664210000000001E-2</v>
      </c>
      <c r="P3666">
        <v>-0.97293269999999998</v>
      </c>
      <c r="Q3666">
        <v>0.22915669999999999</v>
      </c>
      <c r="R3666">
        <v>-2.9819089999999999E-2</v>
      </c>
      <c r="S3666">
        <v>-3.10791</v>
      </c>
      <c r="T3666">
        <v>-5.6500790000000002E-2</v>
      </c>
      <c r="U3666">
        <v>0.37820429999999999</v>
      </c>
      <c r="V3666">
        <v>-1.17357E-2</v>
      </c>
      <c r="W3666">
        <v>0.24375720000000001</v>
      </c>
      <c r="X3666">
        <v>0.96976530000000005</v>
      </c>
      <c r="Y3666">
        <v>0.13926649999999999</v>
      </c>
      <c r="Z3666">
        <v>2.3705419999999998E-3</v>
      </c>
      <c r="AA3666">
        <v>0.99025209999999997</v>
      </c>
      <c r="AB3666">
        <v>39</v>
      </c>
      <c r="AC3666">
        <v>-61.282800000000002</v>
      </c>
      <c r="AD3666">
        <v>-1.1214040673100001</v>
      </c>
      <c r="AE3666">
        <v>7.5139999999999798</v>
      </c>
      <c r="AF3666">
        <v>8.6537603558619303</v>
      </c>
      <c r="AG3666">
        <v>-1.1214040673100001</v>
      </c>
      <c r="AH3666">
        <v>61.111703898525697</v>
      </c>
      <c r="AI3666">
        <v>91.0408817594232</v>
      </c>
      <c r="AJ3666">
        <v>81.9401830981123</v>
      </c>
      <c r="AK3666">
        <v>61.731559746696398</v>
      </c>
      <c r="AL3666">
        <v>75.891600251337195</v>
      </c>
      <c r="AM3666">
        <v>90.693336066205106</v>
      </c>
      <c r="AN3666">
        <v>1.0000000181452</v>
      </c>
    </row>
    <row r="3667" spans="1:40" x14ac:dyDescent="0.25">
      <c r="A3667" t="str">
        <f>"20190303170841810"</f>
        <v>20190303170841810</v>
      </c>
      <c r="B3667" t="str">
        <f>"1551604121796718"</f>
        <v>1551604121796718</v>
      </c>
      <c r="C3667" t="s">
        <v>40</v>
      </c>
      <c r="D3667">
        <v>5.1164829999999997</v>
      </c>
      <c r="E3667">
        <v>0.51237529999999998</v>
      </c>
      <c r="F3667" t="s">
        <v>58</v>
      </c>
      <c r="G3667">
        <v>-431.44900000000001</v>
      </c>
      <c r="H3667" s="1">
        <v>-1.4044089999999999E-5</v>
      </c>
      <c r="I3667">
        <v>148.63249999999999</v>
      </c>
      <c r="J3667">
        <v>-366.31209999999999</v>
      </c>
      <c r="K3667">
        <v>1.121399</v>
      </c>
      <c r="L3667">
        <v>140.58279999999999</v>
      </c>
      <c r="M3667">
        <v>-0.9997104</v>
      </c>
      <c r="N3667">
        <v>-1.5026869999999999E-2</v>
      </c>
      <c r="O3667">
        <v>-1.88053E-2</v>
      </c>
      <c r="P3667">
        <v>-0.97279939999999998</v>
      </c>
      <c r="Q3667">
        <v>0.22972870000000001</v>
      </c>
      <c r="R3667">
        <v>-2.977436E-2</v>
      </c>
      <c r="S3667">
        <v>-3.1076969999999999</v>
      </c>
      <c r="T3667">
        <v>-5.3195949999999999E-2</v>
      </c>
      <c r="U3667">
        <v>0.38151550000000001</v>
      </c>
      <c r="V3667">
        <v>-1.1556439999999999E-2</v>
      </c>
      <c r="W3667">
        <v>0.24432280000000001</v>
      </c>
      <c r="X3667">
        <v>0.96962510000000002</v>
      </c>
      <c r="Y3667">
        <v>0.14045729999999901</v>
      </c>
      <c r="Z3667">
        <v>2.2963010000000002E-3</v>
      </c>
      <c r="AA3667">
        <v>0.99008410000000002</v>
      </c>
      <c r="AB3667">
        <v>39</v>
      </c>
      <c r="AC3667">
        <v>-65.136899999999997</v>
      </c>
      <c r="AD3667">
        <v>-1.1214130440899901</v>
      </c>
      <c r="AE3667">
        <v>8.0496999999999996</v>
      </c>
      <c r="AF3667">
        <v>9.2706267999653704</v>
      </c>
      <c r="AG3667">
        <v>-1.1214130440899901</v>
      </c>
      <c r="AH3667">
        <v>64.955021799557898</v>
      </c>
      <c r="AI3667">
        <v>90.979161577289801</v>
      </c>
      <c r="AJ3667">
        <v>81.877385608872402</v>
      </c>
      <c r="AK3667">
        <v>65.622838596488094</v>
      </c>
      <c r="AL3667">
        <v>75.858183262594196</v>
      </c>
      <c r="AM3667">
        <v>90.682845244849901</v>
      </c>
      <c r="AN3667">
        <v>1.0000000082276601</v>
      </c>
    </row>
    <row r="3668" spans="1:40" x14ac:dyDescent="0.25">
      <c r="A3668" t="str">
        <f>"20190303170841831"</f>
        <v>20190303170841831</v>
      </c>
      <c r="B3668" t="str">
        <f>"1551604121826973"</f>
        <v>1551604121826973</v>
      </c>
      <c r="C3668" t="s">
        <v>40</v>
      </c>
      <c r="D3668">
        <v>5.0915850000000002</v>
      </c>
      <c r="E3668">
        <v>0.48920750000000002</v>
      </c>
      <c r="F3668" t="s">
        <v>58</v>
      </c>
      <c r="G3668">
        <v>-423.68060000000003</v>
      </c>
      <c r="H3668" s="1">
        <v>-1.0449699999999999E-5</v>
      </c>
      <c r="I3668">
        <v>139.91829999999999</v>
      </c>
      <c r="J3668">
        <v>-366.6986</v>
      </c>
      <c r="K3668">
        <v>1.121399</v>
      </c>
      <c r="L3668">
        <v>140.5754</v>
      </c>
      <c r="M3668">
        <v>-0.99970760000000003</v>
      </c>
      <c r="N3668">
        <v>-1.502244E-2</v>
      </c>
      <c r="O3668">
        <v>-1.895034E-2</v>
      </c>
      <c r="P3668">
        <v>-0.97303070000000003</v>
      </c>
      <c r="Q3668">
        <v>0.22838330000000001</v>
      </c>
      <c r="R3668">
        <v>-3.2442260000000001E-2</v>
      </c>
      <c r="S3668">
        <v>-3.0970759999999999</v>
      </c>
      <c r="T3668">
        <v>-6.0539959999999997E-2</v>
      </c>
      <c r="U3668">
        <v>-3.5873410000000001E-2</v>
      </c>
      <c r="V3668">
        <v>-1.4077889999999999E-2</v>
      </c>
      <c r="W3668">
        <v>0.24297650000000001</v>
      </c>
      <c r="X3668">
        <v>0.96992999999999996</v>
      </c>
      <c r="Y3668">
        <v>7.3683859999999898E-3</v>
      </c>
      <c r="Z3668">
        <v>2.130224E-4</v>
      </c>
      <c r="AA3668">
        <v>0.9999728</v>
      </c>
      <c r="AB3668">
        <v>39</v>
      </c>
      <c r="AC3668">
        <v>-56.981999999999999</v>
      </c>
      <c r="AD3668">
        <v>-1.1214094497</v>
      </c>
      <c r="AE3668">
        <v>-0.65710000000001401</v>
      </c>
      <c r="AF3668">
        <v>0.42280439076888299</v>
      </c>
      <c r="AG3668">
        <v>-1.1214094497</v>
      </c>
      <c r="AH3668">
        <v>56.962160095784299</v>
      </c>
      <c r="AI3668">
        <v>91.127800637728697</v>
      </c>
      <c r="AJ3668">
        <v>89.574727112868104</v>
      </c>
      <c r="AK3668">
        <v>56.974766392539898</v>
      </c>
      <c r="AL3668">
        <v>75.937717151787297</v>
      </c>
      <c r="AM3668">
        <v>90.831551810230593</v>
      </c>
      <c r="AN3668">
        <v>0.99999998571954996</v>
      </c>
    </row>
    <row r="3669" spans="1:40" x14ac:dyDescent="0.25">
      <c r="A3669" t="str">
        <f>"20190303170841852"</f>
        <v>20190303170841852</v>
      </c>
      <c r="B3669" t="str">
        <f>"1551604121847469"</f>
        <v>1551604121847469</v>
      </c>
      <c r="C3669" t="s">
        <v>40</v>
      </c>
      <c r="D3669">
        <v>5.1130870000000002</v>
      </c>
      <c r="E3669">
        <v>0.48254930000000001</v>
      </c>
      <c r="F3669" t="s">
        <v>58</v>
      </c>
      <c r="G3669">
        <v>-425.28789999999998</v>
      </c>
      <c r="H3669" s="1">
        <v>-9.2013639999999995E-6</v>
      </c>
      <c r="I3669">
        <v>136.27010000000001</v>
      </c>
      <c r="J3669">
        <v>-367.0573</v>
      </c>
      <c r="K3669">
        <v>1.1213900000000001</v>
      </c>
      <c r="L3669">
        <v>140.5685</v>
      </c>
      <c r="M3669">
        <v>-0.99970519999999996</v>
      </c>
      <c r="N3669">
        <v>-1.501835E-2</v>
      </c>
      <c r="O3669">
        <v>-1.908524E-2</v>
      </c>
      <c r="P3669">
        <v>-0.97323780000000004</v>
      </c>
      <c r="Q3669">
        <v>0.22723499999999999</v>
      </c>
      <c r="R3669">
        <v>-3.4243969999999999E-2</v>
      </c>
      <c r="S3669">
        <v>-3.0894469999999998</v>
      </c>
      <c r="T3669">
        <v>-5.9132459999999998E-2</v>
      </c>
      <c r="U3669">
        <v>-0.22702030000000001</v>
      </c>
      <c r="V3669">
        <v>-1.5742900000000001E-2</v>
      </c>
      <c r="W3669">
        <v>0.24182780000000001</v>
      </c>
      <c r="X3669">
        <v>0.97019149999999998</v>
      </c>
      <c r="Y3669">
        <v>-5.4217979999999999E-2</v>
      </c>
      <c r="Z3669">
        <v>-8.475221E-4</v>
      </c>
      <c r="AA3669">
        <v>0.99852879999999999</v>
      </c>
      <c r="AB3669">
        <v>39</v>
      </c>
      <c r="AC3669">
        <v>-58.230599999999903</v>
      </c>
      <c r="AD3669">
        <v>-1.121399201364</v>
      </c>
      <c r="AE3669">
        <v>-4.2983999999999796</v>
      </c>
      <c r="AF3669">
        <v>-3.1849719429898999</v>
      </c>
      <c r="AG3669">
        <v>-1.121399201364</v>
      </c>
      <c r="AH3669">
        <v>58.280539558015597</v>
      </c>
      <c r="AI3669">
        <v>91.100673059402396</v>
      </c>
      <c r="AJ3669">
        <v>93.128044309346393</v>
      </c>
      <c r="AK3669">
        <v>58.3782739863031</v>
      </c>
      <c r="AL3669">
        <v>76.005556763060994</v>
      </c>
      <c r="AM3669">
        <v>90.929633555276993</v>
      </c>
      <c r="AN3669">
        <v>1.0000000352127401</v>
      </c>
    </row>
    <row r="3670" spans="1:40" x14ac:dyDescent="0.25">
      <c r="A3670" t="str">
        <f>"20190303170841873"</f>
        <v>20190303170841873</v>
      </c>
      <c r="B3670" t="str">
        <f>"1551604121866989"</f>
        <v>1551604121866989</v>
      </c>
      <c r="C3670" t="s">
        <v>40</v>
      </c>
      <c r="D3670">
        <v>5.0475859999999999</v>
      </c>
      <c r="E3670">
        <v>0.47868549999999899</v>
      </c>
      <c r="F3670" t="s">
        <v>58</v>
      </c>
      <c r="G3670">
        <v>-425.89789999999999</v>
      </c>
      <c r="H3670" s="1">
        <v>-8.8292589999999998E-6</v>
      </c>
      <c r="I3670">
        <v>135.12819999999999</v>
      </c>
      <c r="J3670">
        <v>-367.42630000000003</v>
      </c>
      <c r="K3670">
        <v>1.1213930000000001</v>
      </c>
      <c r="L3670">
        <v>140.56129999999999</v>
      </c>
      <c r="M3670">
        <v>-0.9997026</v>
      </c>
      <c r="N3670">
        <v>-1.5014130000000001E-2</v>
      </c>
      <c r="O3670">
        <v>-1.922395E-2</v>
      </c>
      <c r="P3670">
        <v>-0.97315770000000001</v>
      </c>
      <c r="Q3670">
        <v>0.22758020000000001</v>
      </c>
      <c r="R3670">
        <v>-3.4227729999999998E-2</v>
      </c>
      <c r="S3670">
        <v>-3.086182</v>
      </c>
      <c r="T3670">
        <v>-5.8817269999999998E-2</v>
      </c>
      <c r="U3670">
        <v>-0.28533940000000002</v>
      </c>
      <c r="V3670">
        <v>-1.5593040000000001E-2</v>
      </c>
      <c r="W3670">
        <v>0.24216750000000001</v>
      </c>
      <c r="X3670">
        <v>0.9701092</v>
      </c>
      <c r="Y3670">
        <v>-7.2879550000000001E-2</v>
      </c>
      <c r="Z3670">
        <v>-1.1639739999999999E-3</v>
      </c>
      <c r="AA3670">
        <v>0.99734009999999995</v>
      </c>
      <c r="AB3670">
        <v>39</v>
      </c>
      <c r="AC3670">
        <v>-58.471599999999903</v>
      </c>
      <c r="AD3670">
        <v>-1.121401829259</v>
      </c>
      <c r="AE3670">
        <v>-5.4330999999999898</v>
      </c>
      <c r="AF3670">
        <v>-4.30634368410277</v>
      </c>
      <c r="AG3670">
        <v>-1.121401829259</v>
      </c>
      <c r="AH3670">
        <v>58.543900427036696</v>
      </c>
      <c r="AI3670">
        <v>91.094403982137493</v>
      </c>
      <c r="AJ3670">
        <v>94.206958390618396</v>
      </c>
      <c r="AK3670">
        <v>58.712778976974498</v>
      </c>
      <c r="AL3670">
        <v>75.985497370001099</v>
      </c>
      <c r="AM3670">
        <v>90.920863809605294</v>
      </c>
      <c r="AN3670">
        <v>1.0000000504386599</v>
      </c>
    </row>
    <row r="3671" spans="1:40" x14ac:dyDescent="0.25">
      <c r="A3671" t="str">
        <f>"20190303170841897"</f>
        <v>20190303170841897</v>
      </c>
      <c r="B3671" t="str">
        <f>"1551604121887082"</f>
        <v>1551604121887082</v>
      </c>
      <c r="C3671" t="s">
        <v>40</v>
      </c>
      <c r="D3671">
        <v>5.0535740000000002</v>
      </c>
      <c r="E3671">
        <v>0.4761302</v>
      </c>
      <c r="F3671" t="s">
        <v>58</v>
      </c>
      <c r="G3671">
        <v>-427.80529999999999</v>
      </c>
      <c r="H3671" s="1">
        <v>-8.8219070000000002E-6</v>
      </c>
      <c r="I3671">
        <v>134.35480000000001</v>
      </c>
      <c r="J3671">
        <v>-367.84879999999998</v>
      </c>
      <c r="K3671">
        <v>1.121399</v>
      </c>
      <c r="L3671">
        <v>140.553</v>
      </c>
      <c r="M3671">
        <v>-0.99969949999999996</v>
      </c>
      <c r="N3671">
        <v>-1.500927E-2</v>
      </c>
      <c r="O3671">
        <v>-1.9382690000000001E-2</v>
      </c>
      <c r="P3671">
        <v>-0.97284939999999998</v>
      </c>
      <c r="Q3671">
        <v>0.22894519999999999</v>
      </c>
      <c r="R3671">
        <v>-3.3881170000000002E-2</v>
      </c>
      <c r="S3671">
        <v>-3.0849609999999998</v>
      </c>
      <c r="T3671">
        <v>-5.7296039999999999E-2</v>
      </c>
      <c r="U3671">
        <v>-0.31710820000000001</v>
      </c>
      <c r="V3671">
        <v>-1.509833E-2</v>
      </c>
      <c r="W3671">
        <v>0.2435232</v>
      </c>
      <c r="X3671">
        <v>0.96977749999999996</v>
      </c>
      <c r="Y3671">
        <v>-8.2924769999999995E-2</v>
      </c>
      <c r="Z3671">
        <v>-1.3234129999999901E-3</v>
      </c>
      <c r="AA3671">
        <v>0.99655490000000002</v>
      </c>
      <c r="AB3671">
        <v>39</v>
      </c>
      <c r="AC3671">
        <v>-59.956499999999998</v>
      </c>
      <c r="AD3671">
        <v>-1.1214078219069901</v>
      </c>
      <c r="AE3671">
        <v>-6.1981999999999804</v>
      </c>
      <c r="AF3671">
        <v>-5.0330441075015999</v>
      </c>
      <c r="AG3671">
        <v>-1.1214078219069901</v>
      </c>
      <c r="AH3671">
        <v>60.044602061488703</v>
      </c>
      <c r="AI3671">
        <v>91.066207535104695</v>
      </c>
      <c r="AJ3671">
        <v>94.7914322435591</v>
      </c>
      <c r="AK3671">
        <v>60.265606486731897</v>
      </c>
      <c r="AL3671">
        <v>75.905423110998896</v>
      </c>
      <c r="AM3671">
        <v>90.891957899840804</v>
      </c>
      <c r="AN3671">
        <v>0.99999995400663799</v>
      </c>
    </row>
    <row r="3672" spans="1:40" x14ac:dyDescent="0.25">
      <c r="A3672" t="str">
        <f>"20190303170841920"</f>
        <v>20190303170841920</v>
      </c>
      <c r="B3672" t="str">
        <f>"1551604121906602"</f>
        <v>1551604121906602</v>
      </c>
      <c r="C3672" t="s">
        <v>40</v>
      </c>
      <c r="D3672">
        <v>5.0270219999999997</v>
      </c>
      <c r="E3672">
        <v>0.47440310000000002</v>
      </c>
      <c r="F3672" t="s">
        <v>58</v>
      </c>
      <c r="G3672">
        <v>-435.38869999999997</v>
      </c>
      <c r="H3672" s="1">
        <v>-6.5299769999999997E-6</v>
      </c>
      <c r="I3672">
        <v>133.15520000000001</v>
      </c>
      <c r="J3672">
        <v>-368.226</v>
      </c>
      <c r="K3672">
        <v>1.121405</v>
      </c>
      <c r="L3672">
        <v>140.54560000000001</v>
      </c>
      <c r="M3672">
        <v>-0.99969669999999999</v>
      </c>
      <c r="N3672">
        <v>-1.500495E-2</v>
      </c>
      <c r="O3672">
        <v>-1.9524739999999999E-2</v>
      </c>
      <c r="P3672">
        <v>-0.97287369999999995</v>
      </c>
      <c r="Q3672">
        <v>0.2288288</v>
      </c>
      <c r="R3672">
        <v>-3.3966290000000003E-2</v>
      </c>
      <c r="S3672">
        <v>-3.084015</v>
      </c>
      <c r="T3672">
        <v>-5.1205750000000001E-2</v>
      </c>
      <c r="U3672">
        <v>-0.33779910000000002</v>
      </c>
      <c r="V3672">
        <v>-1.504423E-2</v>
      </c>
      <c r="W3672">
        <v>0.24340339999999999</v>
      </c>
      <c r="X3672">
        <v>0.96980849999999996</v>
      </c>
      <c r="Y3672">
        <v>-8.9426149999999996E-2</v>
      </c>
      <c r="Z3672">
        <v>-1.382288E-3</v>
      </c>
      <c r="AA3672">
        <v>0.99599249999999995</v>
      </c>
      <c r="AB3672">
        <v>39</v>
      </c>
      <c r="AC3672">
        <v>-67.162699999999901</v>
      </c>
      <c r="AD3672">
        <v>-1.121411529977</v>
      </c>
      <c r="AE3672">
        <v>-7.3903999999999996</v>
      </c>
      <c r="AF3672">
        <v>-6.0758352794236696</v>
      </c>
      <c r="AG3672">
        <v>-1.121411529977</v>
      </c>
      <c r="AH3672">
        <v>67.275674803632498</v>
      </c>
      <c r="AI3672">
        <v>90.951099052063697</v>
      </c>
      <c r="AJ3672">
        <v>95.160525887481398</v>
      </c>
      <c r="AK3672">
        <v>67.558787425814401</v>
      </c>
      <c r="AL3672">
        <v>75.912501260585302</v>
      </c>
      <c r="AM3672">
        <v>90.888733964927596</v>
      </c>
      <c r="AN3672">
        <v>1.00000003533005</v>
      </c>
    </row>
    <row r="3673" spans="1:40" x14ac:dyDescent="0.25">
      <c r="A3673" t="str">
        <f>"20190303170841940"</f>
        <v>20190303170841940</v>
      </c>
      <c r="B3673" t="str">
        <f>"1551604121927099"</f>
        <v>1551604121927099</v>
      </c>
      <c r="C3673" t="s">
        <v>40</v>
      </c>
      <c r="D3673">
        <v>5.0454030000000003</v>
      </c>
      <c r="E3673">
        <v>0.47301009999999999</v>
      </c>
      <c r="F3673" t="s">
        <v>58</v>
      </c>
      <c r="G3673">
        <v>-435.733</v>
      </c>
      <c r="H3673" s="1">
        <v>-6.2590959999999998E-6</v>
      </c>
      <c r="I3673">
        <v>132.86500000000001</v>
      </c>
      <c r="J3673">
        <v>-368.59699999999998</v>
      </c>
      <c r="K3673">
        <v>1.1214059999999999</v>
      </c>
      <c r="L3673">
        <v>140.53819999999999</v>
      </c>
      <c r="M3673">
        <v>-0.99969419999999998</v>
      </c>
      <c r="N3673">
        <v>-1.500072E-2</v>
      </c>
      <c r="O3673">
        <v>-1.9664640000000001E-2</v>
      </c>
      <c r="P3673">
        <v>-0.97319330000000004</v>
      </c>
      <c r="Q3673">
        <v>0.22736700000000001</v>
      </c>
      <c r="R3673">
        <v>-3.4630099999999997E-2</v>
      </c>
      <c r="S3673">
        <v>-3.083405</v>
      </c>
      <c r="T3673">
        <v>-5.1220889999999998E-2</v>
      </c>
      <c r="U3673">
        <v>-0.35081479999999998</v>
      </c>
      <c r="V3673">
        <v>-1.5565259999999999E-2</v>
      </c>
      <c r="W3673">
        <v>0.24194209999999999</v>
      </c>
      <c r="X3673">
        <v>0.97016579999999997</v>
      </c>
      <c r="Y3673">
        <v>-9.3458849999999996E-2</v>
      </c>
      <c r="Z3673">
        <v>-1.4457319999999999E-3</v>
      </c>
      <c r="AA3673">
        <v>0.99562209999999995</v>
      </c>
      <c r="AB3673">
        <v>39</v>
      </c>
      <c r="AC3673">
        <v>-67.135999999999996</v>
      </c>
      <c r="AD3673">
        <v>-1.1214122590959901</v>
      </c>
      <c r="AE3673">
        <v>-7.67319999999998</v>
      </c>
      <c r="AF3673">
        <v>-6.3496134631404502</v>
      </c>
      <c r="AG3673">
        <v>-1.1214122590959901</v>
      </c>
      <c r="AH3673">
        <v>67.255399863983598</v>
      </c>
      <c r="AI3673">
        <v>90.951029424979794</v>
      </c>
      <c r="AJ3673">
        <v>95.393334801083796</v>
      </c>
      <c r="AK3673">
        <v>67.563777036593095</v>
      </c>
      <c r="AL3673">
        <v>75.998806477708499</v>
      </c>
      <c r="AM3673">
        <v>90.919169894671299</v>
      </c>
      <c r="AN3673">
        <v>0.99999996828045801</v>
      </c>
    </row>
    <row r="3674" spans="1:40" x14ac:dyDescent="0.25">
      <c r="A3674" t="str">
        <f>"20190303170841985"</f>
        <v>20190303170841985</v>
      </c>
      <c r="B3674" t="str">
        <f>"1551604121976891"</f>
        <v>1551604121976891</v>
      </c>
      <c r="C3674" t="s">
        <v>40</v>
      </c>
      <c r="D3674">
        <v>4.972728</v>
      </c>
      <c r="E3674">
        <v>0.47048329999999999</v>
      </c>
      <c r="F3674" t="s">
        <v>58</v>
      </c>
      <c r="G3674">
        <v>-430.56900000000002</v>
      </c>
      <c r="H3674" s="1">
        <v>-8.4949549999999994E-6</v>
      </c>
      <c r="I3674">
        <v>133.2577</v>
      </c>
      <c r="J3674">
        <v>-369.35860000000002</v>
      </c>
      <c r="K3674">
        <v>1.1214</v>
      </c>
      <c r="L3674">
        <v>140.52289999999999</v>
      </c>
      <c r="M3674">
        <v>-0.99968860000000004</v>
      </c>
      <c r="N3674">
        <v>-1.499179E-2</v>
      </c>
      <c r="O3674">
        <v>-1.9951719999999999E-2</v>
      </c>
      <c r="P3674">
        <v>-0.97294130000000001</v>
      </c>
      <c r="Q3674">
        <v>0.2286194</v>
      </c>
      <c r="R3674">
        <v>-3.3446190000000001E-2</v>
      </c>
      <c r="S3674">
        <v>-3.0827939999999998</v>
      </c>
      <c r="T3674">
        <v>-5.57847E-2</v>
      </c>
      <c r="U3674">
        <v>-0.36216739999999997</v>
      </c>
      <c r="V3674">
        <v>-1.4106280000000001E-2</v>
      </c>
      <c r="W3674">
        <v>0.24318229999999999</v>
      </c>
      <c r="X3674">
        <v>0.96987800000000002</v>
      </c>
      <c r="Y3674">
        <v>-9.6808249999999998E-2</v>
      </c>
      <c r="Z3674">
        <v>-1.5396800000000001E-3</v>
      </c>
      <c r="AA3674">
        <v>0.99530180000000001</v>
      </c>
      <c r="AB3674">
        <v>39</v>
      </c>
      <c r="AC3674">
        <v>-61.2103999999999</v>
      </c>
      <c r="AD3674">
        <v>-1.1214084949550001</v>
      </c>
      <c r="AE3674">
        <v>-7.2651999999999903</v>
      </c>
      <c r="AF3674">
        <v>-6.0403643073495497</v>
      </c>
      <c r="AG3674">
        <v>-1.1214084949550001</v>
      </c>
      <c r="AH3674">
        <v>61.322885877435503</v>
      </c>
      <c r="AI3674">
        <v>91.042603663831201</v>
      </c>
      <c r="AJ3674">
        <v>95.625543384716295</v>
      </c>
      <c r="AK3674">
        <v>61.629862001427803</v>
      </c>
      <c r="AL3674">
        <v>75.925560943548405</v>
      </c>
      <c r="AM3674">
        <v>90.833273179795995</v>
      </c>
      <c r="AN3674">
        <v>0.99999997652636397</v>
      </c>
    </row>
    <row r="3675" spans="1:40" x14ac:dyDescent="0.25">
      <c r="A3675" t="str">
        <f>"20190303170842006"</f>
        <v>20190303170842006</v>
      </c>
      <c r="B3675" t="str">
        <f>"1551604121997373"</f>
        <v>1551604121997373</v>
      </c>
      <c r="C3675" t="s">
        <v>40</v>
      </c>
      <c r="D3675">
        <v>4.9933509999999997</v>
      </c>
      <c r="E3675">
        <v>0.46969230000000001</v>
      </c>
      <c r="F3675" t="s">
        <v>58</v>
      </c>
      <c r="G3675">
        <v>-435.59800000000001</v>
      </c>
      <c r="H3675" s="1">
        <v>-6.1201470000000003E-6</v>
      </c>
      <c r="I3675">
        <v>132.3768</v>
      </c>
      <c r="J3675">
        <v>-369.72649999999999</v>
      </c>
      <c r="K3675">
        <v>1.121391</v>
      </c>
      <c r="L3675">
        <v>140.5154</v>
      </c>
      <c r="M3675">
        <v>-0.99968590000000002</v>
      </c>
      <c r="N3675">
        <v>-1.498769E-2</v>
      </c>
      <c r="O3675">
        <v>-2.0090670000000001E-2</v>
      </c>
      <c r="P3675">
        <v>-0.97321840000000004</v>
      </c>
      <c r="Q3675">
        <v>0.22750529999999999</v>
      </c>
      <c r="R3675">
        <v>-3.297945E-2</v>
      </c>
      <c r="S3675">
        <v>-3.0826720000000001</v>
      </c>
      <c r="T3675">
        <v>-5.2188400000000003E-2</v>
      </c>
      <c r="U3675">
        <v>-0.37910460000000001</v>
      </c>
      <c r="V3675">
        <v>-1.349876E-2</v>
      </c>
      <c r="W3675">
        <v>0.2420689</v>
      </c>
      <c r="X3675">
        <v>0.9701651</v>
      </c>
      <c r="Y3675">
        <v>-0.102065</v>
      </c>
      <c r="Z3675">
        <v>-1.5899320000000001E-3</v>
      </c>
      <c r="AA3675">
        <v>0.99477649999999995</v>
      </c>
      <c r="AB3675">
        <v>39</v>
      </c>
      <c r="AC3675">
        <v>-65.871499999999997</v>
      </c>
      <c r="AD3675">
        <v>-1.1213971201469899</v>
      </c>
      <c r="AE3675">
        <v>-8.1385999999999896</v>
      </c>
      <c r="AF3675">
        <v>-6.8114614346139897</v>
      </c>
      <c r="AG3675">
        <v>-1.1213971201469899</v>
      </c>
      <c r="AH3675">
        <v>66.002888791667004</v>
      </c>
      <c r="AI3675">
        <v>90.968227391496001</v>
      </c>
      <c r="AJ3675">
        <v>95.892034703575305</v>
      </c>
      <c r="AK3675">
        <v>66.362902793816005</v>
      </c>
      <c r="AL3675">
        <v>75.991318468612704</v>
      </c>
      <c r="AM3675">
        <v>90.797155115125094</v>
      </c>
      <c r="AN3675">
        <v>0.99999994506337697</v>
      </c>
    </row>
    <row r="3676" spans="1:40" x14ac:dyDescent="0.25">
      <c r="A3676" t="str">
        <f>"20190303170842027"</f>
        <v>20190303170842027</v>
      </c>
      <c r="B3676" t="str">
        <f>"1551604122016894"</f>
        <v>1551604122016894</v>
      </c>
      <c r="C3676" t="s">
        <v>40</v>
      </c>
      <c r="D3676">
        <v>4.97959</v>
      </c>
      <c r="E3676">
        <v>0.46903060000000002</v>
      </c>
      <c r="F3676" t="s">
        <v>58</v>
      </c>
      <c r="G3676">
        <v>-432.77429999999998</v>
      </c>
      <c r="H3676" s="1">
        <v>-7.3906199999999997E-6</v>
      </c>
      <c r="I3676">
        <v>132.64609999999999</v>
      </c>
      <c r="J3676">
        <v>-370.0872</v>
      </c>
      <c r="K3676">
        <v>1.1213869999999999</v>
      </c>
      <c r="L3676">
        <v>140.50810000000001</v>
      </c>
      <c r="M3676">
        <v>-0.99968310000000005</v>
      </c>
      <c r="N3676">
        <v>-1.498379E-2</v>
      </c>
      <c r="O3676">
        <v>-2.0226649999999999E-2</v>
      </c>
      <c r="P3676">
        <v>-0.97360290000000005</v>
      </c>
      <c r="Q3676">
        <v>0.22568360000000001</v>
      </c>
      <c r="R3676">
        <v>-3.412221E-2</v>
      </c>
      <c r="S3676">
        <v>-3.0823360000000002</v>
      </c>
      <c r="T3676">
        <v>-5.4823879999999998E-2</v>
      </c>
      <c r="U3676">
        <v>-0.3847198</v>
      </c>
      <c r="V3676">
        <v>-1.450012E-2</v>
      </c>
      <c r="W3676">
        <v>0.2402493</v>
      </c>
      <c r="X3676">
        <v>0.97060290000000005</v>
      </c>
      <c r="Y3676">
        <v>-0.10372489999999999</v>
      </c>
      <c r="Z3676">
        <v>-1.6428829999999999E-3</v>
      </c>
      <c r="AA3676">
        <v>0.99460459999999995</v>
      </c>
      <c r="AB3676">
        <v>39</v>
      </c>
      <c r="AC3676">
        <v>-62.687100000000001</v>
      </c>
      <c r="AD3676">
        <v>-1.1213943906199999</v>
      </c>
      <c r="AE3676">
        <v>-7.8620000000000196</v>
      </c>
      <c r="AF3676">
        <v>-6.5902225354271797</v>
      </c>
      <c r="AG3676">
        <v>-1.1213943906199999</v>
      </c>
      <c r="AH3676">
        <v>62.813522864459401</v>
      </c>
      <c r="AI3676">
        <v>91.017196864372806</v>
      </c>
      <c r="AJ3676">
        <v>95.989403794379498</v>
      </c>
      <c r="AK3676">
        <v>63.168245290570901</v>
      </c>
      <c r="AL3676">
        <v>76.098745069025099</v>
      </c>
      <c r="AM3676">
        <v>90.855894702532296</v>
      </c>
      <c r="AN3676">
        <v>0.99999998455945704</v>
      </c>
    </row>
    <row r="3677" spans="1:40" x14ac:dyDescent="0.25">
      <c r="A3677" t="str">
        <f>"20190303170842054"</f>
        <v>20190303170842054</v>
      </c>
      <c r="B3677" t="str">
        <f>"1551604122047150"</f>
        <v>1551604122047150</v>
      </c>
      <c r="C3677" t="s">
        <v>40</v>
      </c>
      <c r="D3677">
        <v>4.9933160000000001</v>
      </c>
      <c r="E3677">
        <v>0.46829730000000003</v>
      </c>
      <c r="F3677" t="s">
        <v>58</v>
      </c>
      <c r="G3677">
        <v>-427.76519999999999</v>
      </c>
      <c r="H3677" s="1">
        <v>-8.3420340000000004E-6</v>
      </c>
      <c r="I3677">
        <v>133.155</v>
      </c>
      <c r="J3677">
        <v>-370.54500000000002</v>
      </c>
      <c r="K3677">
        <v>1.1213930000000001</v>
      </c>
      <c r="L3677">
        <v>140.49860000000001</v>
      </c>
      <c r="M3677">
        <v>-0.99967969999999895</v>
      </c>
      <c r="N3677">
        <v>-1.497887E-2</v>
      </c>
      <c r="O3677">
        <v>-2.0399569999999999E-2</v>
      </c>
      <c r="P3677">
        <v>-0.9736089</v>
      </c>
      <c r="Q3677">
        <v>0.22553909999999999</v>
      </c>
      <c r="R3677">
        <v>-3.4897900000000003E-2</v>
      </c>
      <c r="S3677">
        <v>-3.0814509999999999</v>
      </c>
      <c r="T3677">
        <v>-5.9910659999999998E-2</v>
      </c>
      <c r="U3677">
        <v>-0.39283750000000001</v>
      </c>
      <c r="V3677">
        <v>-1.510652E-2</v>
      </c>
      <c r="W3677">
        <v>0.24010029999999999</v>
      </c>
      <c r="X3677">
        <v>0.97063049999999995</v>
      </c>
      <c r="Y3677">
        <v>-0.1061617</v>
      </c>
      <c r="Z3677">
        <v>-1.735859E-3</v>
      </c>
      <c r="AA3677">
        <v>0.99434730000000005</v>
      </c>
      <c r="AB3677">
        <v>39</v>
      </c>
      <c r="AC3677">
        <v>-57.220199999999899</v>
      </c>
      <c r="AD3677">
        <v>-1.1214013420340001</v>
      </c>
      <c r="AE3677">
        <v>-7.3436000000000003</v>
      </c>
      <c r="AF3677">
        <v>-6.1723408004398799</v>
      </c>
      <c r="AG3677">
        <v>-1.1214013420340001</v>
      </c>
      <c r="AH3677">
        <v>57.336448275949401</v>
      </c>
      <c r="AI3677">
        <v>91.114028186713696</v>
      </c>
      <c r="AJ3677">
        <v>96.144300654083693</v>
      </c>
      <c r="AK3677">
        <v>57.678623707811497</v>
      </c>
      <c r="AL3677">
        <v>76.107539270489497</v>
      </c>
      <c r="AM3677">
        <v>90.891657498738795</v>
      </c>
      <c r="AN3677">
        <v>0.99999996426842397</v>
      </c>
    </row>
    <row r="3678" spans="1:40" x14ac:dyDescent="0.25">
      <c r="A3678" t="str">
        <f>"20190303170842076"</f>
        <v>20190303170842076</v>
      </c>
      <c r="B3678" t="str">
        <f>"1551604122066670"</f>
        <v>1551604122066670</v>
      </c>
      <c r="C3678" t="s">
        <v>40</v>
      </c>
      <c r="D3678">
        <v>5.0175400000000003</v>
      </c>
      <c r="E3678">
        <v>0.4678099</v>
      </c>
      <c r="F3678" t="s">
        <v>58</v>
      </c>
      <c r="G3678">
        <v>-427.51179999999999</v>
      </c>
      <c r="H3678" s="1">
        <v>-8.2844559999999997E-6</v>
      </c>
      <c r="I3678">
        <v>133.10939999999999</v>
      </c>
      <c r="J3678">
        <v>-370.923</v>
      </c>
      <c r="K3678">
        <v>1.1214059999999999</v>
      </c>
      <c r="L3678">
        <v>140.49080000000001</v>
      </c>
      <c r="M3678">
        <v>-0.99967689999999998</v>
      </c>
      <c r="N3678">
        <v>-1.497476E-2</v>
      </c>
      <c r="O3678">
        <v>-2.054245E-2</v>
      </c>
      <c r="P3678">
        <v>-0.97325090000000003</v>
      </c>
      <c r="Q3678">
        <v>0.22719980000000001</v>
      </c>
      <c r="R3678">
        <v>-3.4098950000000003E-2</v>
      </c>
      <c r="S3678">
        <v>-3.0810240000000002</v>
      </c>
      <c r="T3678">
        <v>-6.0650469999999998E-2</v>
      </c>
      <c r="U3678">
        <v>-0.39964290000000002</v>
      </c>
      <c r="V3678">
        <v>-1.417672E-2</v>
      </c>
      <c r="W3678">
        <v>0.24175150000000001</v>
      </c>
      <c r="X3678">
        <v>0.97023459999999995</v>
      </c>
      <c r="Y3678">
        <v>-0.108195899999999</v>
      </c>
      <c r="Z3678">
        <v>-1.778012E-3</v>
      </c>
      <c r="AA3678">
        <v>0.99412800000000001</v>
      </c>
      <c r="AB3678">
        <v>38</v>
      </c>
      <c r="AC3678">
        <v>-56.5887999999999</v>
      </c>
      <c r="AD3678">
        <v>-1.121414284456</v>
      </c>
      <c r="AE3678">
        <v>-7.38140000000001</v>
      </c>
      <c r="AF3678">
        <v>-6.2148393719698003</v>
      </c>
      <c r="AG3678">
        <v>-1.121414284456</v>
      </c>
      <c r="AH3678">
        <v>56.706608424663202</v>
      </c>
      <c r="AI3678">
        <v>91.126176379659697</v>
      </c>
      <c r="AJ3678">
        <v>96.254448607747094</v>
      </c>
      <c r="AK3678">
        <v>57.057175161804601</v>
      </c>
      <c r="AL3678">
        <v>76.010061223646204</v>
      </c>
      <c r="AM3678">
        <v>90.837125809001193</v>
      </c>
      <c r="AN3678">
        <v>0.99999997308968303</v>
      </c>
    </row>
    <row r="3679" spans="1:40" x14ac:dyDescent="0.25">
      <c r="A3679" t="str">
        <f>"20190303170842096"</f>
        <v>20190303170842096</v>
      </c>
      <c r="B3679" t="str">
        <f>"1551604122087164"</f>
        <v>1551604122087164</v>
      </c>
      <c r="C3679" t="s">
        <v>40</v>
      </c>
      <c r="D3679">
        <v>4.9967480000000002</v>
      </c>
      <c r="E3679">
        <v>0.46740789999999999</v>
      </c>
      <c r="F3679" t="s">
        <v>58</v>
      </c>
      <c r="G3679">
        <v>-434.27089999999998</v>
      </c>
      <c r="H3679" s="1">
        <v>-6.6138939999999997E-6</v>
      </c>
      <c r="I3679">
        <v>132.2148</v>
      </c>
      <c r="J3679">
        <v>-371.26580000000001</v>
      </c>
      <c r="K3679">
        <v>1.1214109999999999</v>
      </c>
      <c r="L3679">
        <v>140.4836</v>
      </c>
      <c r="M3679">
        <v>-0.99967430000000002</v>
      </c>
      <c r="N3679">
        <v>-1.497095E-2</v>
      </c>
      <c r="O3679">
        <v>-2.0671999999999999E-2</v>
      </c>
      <c r="P3679">
        <v>-0.97311709999999996</v>
      </c>
      <c r="Q3679">
        <v>0.22804240000000001</v>
      </c>
      <c r="R3679">
        <v>-3.2254089999999999E-2</v>
      </c>
      <c r="S3679">
        <v>-3.0810849999999999</v>
      </c>
      <c r="T3679">
        <v>-5.4542779999999999E-2</v>
      </c>
      <c r="U3679">
        <v>-0.40252690000000002</v>
      </c>
      <c r="V3679">
        <v>-1.220828E-2</v>
      </c>
      <c r="W3679">
        <v>0.242588</v>
      </c>
      <c r="X3679">
        <v>0.97005260000000004</v>
      </c>
      <c r="Y3679">
        <v>-0.1089847</v>
      </c>
      <c r="Z3679">
        <v>-1.723989E-3</v>
      </c>
      <c r="AA3679">
        <v>0.99404190000000003</v>
      </c>
      <c r="AB3679">
        <v>38</v>
      </c>
      <c r="AC3679">
        <v>-63.005099999999899</v>
      </c>
      <c r="AD3679">
        <v>-1.121417613894</v>
      </c>
      <c r="AE3679">
        <v>-8.2687999999999899</v>
      </c>
      <c r="AF3679">
        <v>-6.96227706163749</v>
      </c>
      <c r="AG3679">
        <v>-1.121417613894</v>
      </c>
      <c r="AH3679">
        <v>63.142920403706903</v>
      </c>
      <c r="AI3679">
        <v>91.011337547956202</v>
      </c>
      <c r="AJ3679">
        <v>96.292141185198801</v>
      </c>
      <c r="AK3679">
        <v>63.535496192731699</v>
      </c>
      <c r="AL3679">
        <v>75.960663481639102</v>
      </c>
      <c r="AM3679">
        <v>90.721039243699494</v>
      </c>
      <c r="AN3679">
        <v>1.0000000133056499</v>
      </c>
    </row>
    <row r="3680" spans="1:40" x14ac:dyDescent="0.25">
      <c r="A3680" t="str">
        <f>"20190303170842117"</f>
        <v>20190303170842117</v>
      </c>
      <c r="B3680" t="str">
        <f>"1551604122106685"</f>
        <v>1551604122106685</v>
      </c>
      <c r="C3680" t="s">
        <v>40</v>
      </c>
      <c r="D3680">
        <v>5.0355980000000002</v>
      </c>
      <c r="E3680">
        <v>0.46703850000000002</v>
      </c>
      <c r="F3680" t="s">
        <v>43</v>
      </c>
      <c r="G3680">
        <v>-440.22230000000002</v>
      </c>
      <c r="H3680" s="1">
        <v>-4.6088889999999999E-6</v>
      </c>
      <c r="I3680">
        <v>131.46870000000001</v>
      </c>
      <c r="J3680">
        <v>-371.6234</v>
      </c>
      <c r="K3680">
        <v>1.121399</v>
      </c>
      <c r="L3680">
        <v>140.4761</v>
      </c>
      <c r="M3680">
        <v>-0.99967159999999999</v>
      </c>
      <c r="N3680">
        <v>-1.496687E-2</v>
      </c>
      <c r="O3680">
        <v>-2.0807860000000001E-2</v>
      </c>
      <c r="P3680">
        <v>-0.9734604</v>
      </c>
      <c r="Q3680">
        <v>0.2266505</v>
      </c>
      <c r="R3680">
        <v>-3.1698450000000003E-2</v>
      </c>
      <c r="S3680">
        <v>-3.0812379999999999</v>
      </c>
      <c r="T3680">
        <v>-5.0109149999999998E-2</v>
      </c>
      <c r="U3680">
        <v>-0.40281679999999997</v>
      </c>
      <c r="V3680">
        <v>-1.151347E-2</v>
      </c>
      <c r="W3680">
        <v>0.24119760000000001</v>
      </c>
      <c r="X3680">
        <v>0.97040769999999998</v>
      </c>
      <c r="Y3680">
        <v>-0.10893899999999999</v>
      </c>
      <c r="Z3680">
        <v>-1.674294E-3</v>
      </c>
      <c r="AA3680">
        <v>0.99404700000000001</v>
      </c>
      <c r="AB3680">
        <v>38</v>
      </c>
      <c r="AC3680">
        <v>-68.5989</v>
      </c>
      <c r="AD3680">
        <v>-1.121403608889</v>
      </c>
      <c r="AE3680">
        <v>-9.0073999999999899</v>
      </c>
      <c r="AF3680">
        <v>-7.5759031768761096</v>
      </c>
      <c r="AG3680">
        <v>-1.121403608889</v>
      </c>
      <c r="AH3680">
        <v>68.753428464727406</v>
      </c>
      <c r="AI3680">
        <v>90.928819904331306</v>
      </c>
      <c r="AJ3680">
        <v>96.288023766155703</v>
      </c>
      <c r="AK3680">
        <v>69.178651191345296</v>
      </c>
      <c r="AL3680">
        <v>76.042765161907298</v>
      </c>
      <c r="AM3680">
        <v>90.679757886847796</v>
      </c>
      <c r="AN3680">
        <v>0.99999997322824496</v>
      </c>
    </row>
    <row r="3681" spans="1:40" x14ac:dyDescent="0.25">
      <c r="A3681" t="str">
        <f>"20190303170842140"</f>
        <v>20190303170842140</v>
      </c>
      <c r="B3681" t="str">
        <f>"1551604122127181"</f>
        <v>1551604122127181</v>
      </c>
      <c r="C3681" t="s">
        <v>40</v>
      </c>
      <c r="D3681">
        <v>5.0256980000000002</v>
      </c>
      <c r="E3681">
        <v>0.46682600000000002</v>
      </c>
      <c r="F3681" t="s">
        <v>58</v>
      </c>
      <c r="G3681">
        <v>-435.85410000000002</v>
      </c>
      <c r="H3681" s="1">
        <v>-5.8708160000000002E-6</v>
      </c>
      <c r="I3681">
        <v>132.0436</v>
      </c>
      <c r="J3681">
        <v>-372.02229999999997</v>
      </c>
      <c r="K3681">
        <v>1.121389</v>
      </c>
      <c r="L3681">
        <v>140.46770000000001</v>
      </c>
      <c r="M3681">
        <v>-0.99966840000000001</v>
      </c>
      <c r="N3681">
        <v>-1.4962359999999999E-2</v>
      </c>
      <c r="O3681">
        <v>-2.0962209999999998E-2</v>
      </c>
      <c r="P3681">
        <v>-0.97387550000000001</v>
      </c>
      <c r="Q3681">
        <v>0.224659</v>
      </c>
      <c r="R3681">
        <v>-3.3091049999999997E-2</v>
      </c>
      <c r="S3681">
        <v>-3.0811459999999999</v>
      </c>
      <c r="T3681">
        <v>-5.3793790000000001E-2</v>
      </c>
      <c r="U3681">
        <v>-0.4045105</v>
      </c>
      <c r="V3681">
        <v>-1.2746149999999999E-2</v>
      </c>
      <c r="W3681">
        <v>0.23920820000000001</v>
      </c>
      <c r="X3681">
        <v>0.97088459999999999</v>
      </c>
      <c r="Y3681">
        <v>-0.1093234</v>
      </c>
      <c r="Z3681">
        <v>-1.71991299999999E-3</v>
      </c>
      <c r="AA3681">
        <v>0.99400469999999996</v>
      </c>
      <c r="AB3681">
        <v>38</v>
      </c>
      <c r="AC3681">
        <v>-63.831800000000001</v>
      </c>
      <c r="AD3681">
        <v>-1.121394870816</v>
      </c>
      <c r="AE3681">
        <v>-8.4241000000000099</v>
      </c>
      <c r="AF3681">
        <v>-7.0818949882863604</v>
      </c>
      <c r="AG3681">
        <v>-1.121394870816</v>
      </c>
      <c r="AH3681">
        <v>63.974971719114201</v>
      </c>
      <c r="AI3681">
        <v>90.998119186002896</v>
      </c>
      <c r="AJ3681">
        <v>96.316804126694805</v>
      </c>
      <c r="AK3681">
        <v>64.375521508900206</v>
      </c>
      <c r="AL3681">
        <v>76.160187123438007</v>
      </c>
      <c r="AM3681">
        <v>90.752158029383594</v>
      </c>
      <c r="AN3681">
        <v>0.99999996690211002</v>
      </c>
    </row>
    <row r="3682" spans="1:40" x14ac:dyDescent="0.25">
      <c r="A3682" t="str">
        <f>"20190303170842164"</f>
        <v>20190303170842164</v>
      </c>
      <c r="B3682" t="str">
        <f>"1551604122146701"</f>
        <v>1551604122146701</v>
      </c>
      <c r="C3682" t="s">
        <v>40</v>
      </c>
      <c r="D3682">
        <v>5.1053420000000003</v>
      </c>
      <c r="E3682">
        <v>0.4391292</v>
      </c>
      <c r="F3682" t="s">
        <v>58</v>
      </c>
      <c r="G3682">
        <v>-429.43459999999999</v>
      </c>
      <c r="H3682" s="1">
        <v>-8.4772540000000001E-6</v>
      </c>
      <c r="I3682">
        <v>132.83699999999999</v>
      </c>
      <c r="J3682">
        <v>-372.41460000000001</v>
      </c>
      <c r="K3682">
        <v>1.1213839999999999</v>
      </c>
      <c r="L3682">
        <v>140.45930000000001</v>
      </c>
      <c r="M3682">
        <v>-0.99966509999999997</v>
      </c>
      <c r="N3682">
        <v>-1.4957989999999999E-2</v>
      </c>
      <c r="O3682">
        <v>-2.1118020000000001E-2</v>
      </c>
      <c r="P3682">
        <v>-0.97371390000000002</v>
      </c>
      <c r="Q3682">
        <v>0.22527700000000001</v>
      </c>
      <c r="R3682">
        <v>-3.3641749999999998E-2</v>
      </c>
      <c r="S3682">
        <v>-3.080444</v>
      </c>
      <c r="T3682">
        <v>-6.0168390000000002E-2</v>
      </c>
      <c r="U3682">
        <v>-0.4094238</v>
      </c>
      <c r="V3682">
        <v>-1.3149650000000001E-2</v>
      </c>
      <c r="W3682">
        <v>0.23981930000000001</v>
      </c>
      <c r="X3682">
        <v>0.97072849999999999</v>
      </c>
      <c r="Y3682">
        <v>-0.11074970000000001</v>
      </c>
      <c r="Z3682">
        <v>-1.8130380000000001E-3</v>
      </c>
      <c r="AA3682">
        <v>0.99384669999999997</v>
      </c>
      <c r="AB3682">
        <v>38</v>
      </c>
      <c r="AC3682">
        <v>-57.019999999999897</v>
      </c>
      <c r="AD3682">
        <v>-1.121392477254</v>
      </c>
      <c r="AE3682">
        <v>-7.6222999999999903</v>
      </c>
      <c r="AF3682">
        <v>-6.4138783612042998</v>
      </c>
      <c r="AG3682">
        <v>-1.121392477254</v>
      </c>
      <c r="AH3682">
        <v>57.1465520594232</v>
      </c>
      <c r="AI3682">
        <v>91.117163954201203</v>
      </c>
      <c r="AJ3682">
        <v>96.403827415347905</v>
      </c>
      <c r="AK3682">
        <v>57.5162913355923</v>
      </c>
      <c r="AL3682">
        <v>76.124124665171806</v>
      </c>
      <c r="AM3682">
        <v>90.776090707479199</v>
      </c>
      <c r="AN3682">
        <v>1.00000001532993</v>
      </c>
    </row>
    <row r="3683" spans="1:40" x14ac:dyDescent="0.25">
      <c r="A3683" t="str">
        <f>"20190303170842186"</f>
        <v>20190303170842186</v>
      </c>
      <c r="B3683" t="str">
        <f>"1551604122176957"</f>
        <v>1551604122176957</v>
      </c>
      <c r="C3683" t="s">
        <v>40</v>
      </c>
      <c r="D3683">
        <v>4.9666499999999996</v>
      </c>
      <c r="E3683">
        <v>0.38269619999999999</v>
      </c>
      <c r="F3683" t="s">
        <v>43</v>
      </c>
      <c r="G3683">
        <v>-444.52080000000001</v>
      </c>
      <c r="H3683">
        <v>7.9986689999999999E-2</v>
      </c>
      <c r="I3683">
        <v>125.649</v>
      </c>
      <c r="J3683">
        <v>-372.80739999999997</v>
      </c>
      <c r="K3683">
        <v>1.121405</v>
      </c>
      <c r="L3683">
        <v>140.45089999999999</v>
      </c>
      <c r="M3683">
        <v>-0.99966169999999999</v>
      </c>
      <c r="N3683">
        <v>-1.4953610000000001E-2</v>
      </c>
      <c r="O3683">
        <v>-2.128594E-2</v>
      </c>
      <c r="P3683">
        <v>-0.97312140000000003</v>
      </c>
      <c r="Q3683">
        <v>0.22789980000000001</v>
      </c>
      <c r="R3683">
        <v>-3.3114900000000003E-2</v>
      </c>
      <c r="S3683">
        <v>-3.069458</v>
      </c>
      <c r="T3683">
        <v>-4.4330840000000003E-2</v>
      </c>
      <c r="U3683">
        <v>-0.63044739999999999</v>
      </c>
      <c r="V3683">
        <v>-1.247707E-2</v>
      </c>
      <c r="W3683">
        <v>0.2424288</v>
      </c>
      <c r="X3683">
        <v>0.97008899999999998</v>
      </c>
      <c r="Y3683">
        <v>-0.18025759999999999</v>
      </c>
      <c r="Z3683">
        <v>-2.6612430000000002E-3</v>
      </c>
      <c r="AA3683">
        <v>0.98361580000000004</v>
      </c>
      <c r="AB3683">
        <v>38</v>
      </c>
      <c r="AC3683">
        <v>-71.713399999999993</v>
      </c>
      <c r="AD3683">
        <v>-1.0414183100000001</v>
      </c>
      <c r="AE3683">
        <v>-14.8018999999999</v>
      </c>
      <c r="AF3683">
        <v>-13.269203943235301</v>
      </c>
      <c r="AG3683">
        <v>-1.0414183100000001</v>
      </c>
      <c r="AH3683">
        <v>71.997692766011696</v>
      </c>
      <c r="AI3683">
        <v>90.814979544024794</v>
      </c>
      <c r="AJ3683">
        <v>100.442455935065</v>
      </c>
      <c r="AK3683">
        <v>73.217648753648007</v>
      </c>
      <c r="AL3683">
        <v>75.970065928474597</v>
      </c>
      <c r="AM3683">
        <v>90.736885002977004</v>
      </c>
      <c r="AN3683">
        <v>1.0000000341331099</v>
      </c>
    </row>
    <row r="3684" spans="1:40" x14ac:dyDescent="0.25">
      <c r="A3684" t="str">
        <f>"20190303170842210"</f>
        <v>20190303170842210</v>
      </c>
      <c r="B3684" t="str">
        <f>"1551604122197453"</f>
        <v>1551604122197453</v>
      </c>
      <c r="C3684" t="s">
        <v>40</v>
      </c>
      <c r="D3684">
        <v>4.954663</v>
      </c>
      <c r="E3684">
        <v>0.37886239999999999</v>
      </c>
      <c r="F3684" t="s">
        <v>76</v>
      </c>
      <c r="G3684">
        <v>-440.75</v>
      </c>
      <c r="H3684">
        <v>4.1012420000000001</v>
      </c>
      <c r="I3684">
        <v>116.3293</v>
      </c>
      <c r="J3684">
        <v>-373.17270000000002</v>
      </c>
      <c r="K3684">
        <v>1.121426</v>
      </c>
      <c r="L3684">
        <v>140.44290000000001</v>
      </c>
      <c r="M3684">
        <v>-0.99965769999999998</v>
      </c>
      <c r="N3684">
        <v>-1.4949520000000001E-2</v>
      </c>
      <c r="O3684">
        <v>-2.14711E-2</v>
      </c>
      <c r="P3684">
        <v>-0.97282709999999994</v>
      </c>
      <c r="Q3684">
        <v>0.22932810000000001</v>
      </c>
      <c r="R3684">
        <v>-3.1874560000000003E-2</v>
      </c>
      <c r="S3684">
        <v>-3.0155029999999998</v>
      </c>
      <c r="T3684">
        <v>0.13225519999999999</v>
      </c>
      <c r="U3684">
        <v>-1.070587</v>
      </c>
      <c r="V3684">
        <v>-1.107325E-2</v>
      </c>
      <c r="W3684">
        <v>0.24384839999999999</v>
      </c>
      <c r="X3684">
        <v>0.96975020000000001</v>
      </c>
      <c r="Y3684">
        <v>-0.31411899999999998</v>
      </c>
      <c r="Z3684">
        <v>3.0386219999999999E-3</v>
      </c>
      <c r="AA3684">
        <v>0.94937879999999997</v>
      </c>
      <c r="AB3684">
        <v>38</v>
      </c>
      <c r="AC3684">
        <v>-67.577299999999894</v>
      </c>
      <c r="AD3684">
        <v>2.979816</v>
      </c>
      <c r="AE3684">
        <v>-24.113600000000002</v>
      </c>
      <c r="AF3684">
        <v>-22.617908391870301</v>
      </c>
      <c r="AG3684">
        <v>2.979816</v>
      </c>
      <c r="AH3684">
        <v>67.9623030204705</v>
      </c>
      <c r="AI3684">
        <v>87.617767041056297</v>
      </c>
      <c r="AJ3684">
        <v>108.407483394802</v>
      </c>
      <c r="AK3684">
        <v>71.689076680224801</v>
      </c>
      <c r="AL3684">
        <v>75.886212820760605</v>
      </c>
      <c r="AM3684">
        <v>90.654212722199205</v>
      </c>
      <c r="AN3684">
        <v>1.0000000547240699</v>
      </c>
    </row>
    <row r="3685" spans="1:40" x14ac:dyDescent="0.25">
      <c r="A3685" t="str">
        <f>"20190303170842229"</f>
        <v>20190303170842229</v>
      </c>
      <c r="B3685" t="str">
        <f>"1551604122216973"</f>
        <v>1551604122216973</v>
      </c>
      <c r="C3685" t="s">
        <v>40</v>
      </c>
      <c r="D3685">
        <v>4.9741160000000004</v>
      </c>
      <c r="E3685">
        <v>0.37696459999999998</v>
      </c>
      <c r="F3685" t="s">
        <v>76</v>
      </c>
      <c r="G3685">
        <v>-440.75</v>
      </c>
      <c r="H3685">
        <v>4.531968</v>
      </c>
      <c r="I3685">
        <v>115.82429999999999</v>
      </c>
      <c r="J3685">
        <v>-373.5342</v>
      </c>
      <c r="K3685">
        <v>1.121451</v>
      </c>
      <c r="L3685">
        <v>140.435</v>
      </c>
      <c r="M3685">
        <v>-0.99965269999999995</v>
      </c>
      <c r="N3685">
        <v>-1.4945490000000001E-2</v>
      </c>
      <c r="O3685">
        <v>-2.17106E-2</v>
      </c>
      <c r="P3685">
        <v>-0.9731554</v>
      </c>
      <c r="Q3685">
        <v>0.22787080000000001</v>
      </c>
      <c r="R3685">
        <v>-3.230773E-2</v>
      </c>
      <c r="S3685">
        <v>-3.0119929999999999</v>
      </c>
      <c r="T3685">
        <v>0.15201219999999999</v>
      </c>
      <c r="U3685">
        <v>-1.097275</v>
      </c>
      <c r="V3685">
        <v>-1.1286050000000001E-2</v>
      </c>
      <c r="W3685">
        <v>0.24239140000000001</v>
      </c>
      <c r="X3685">
        <v>0.97011289999999994</v>
      </c>
      <c r="Y3685">
        <v>-0.3216098</v>
      </c>
      <c r="Z3685">
        <v>4.004769E-3</v>
      </c>
      <c r="AA3685">
        <v>0.94686380000000003</v>
      </c>
      <c r="AB3685">
        <v>38</v>
      </c>
      <c r="AC3685">
        <v>-67.215800000000002</v>
      </c>
      <c r="AD3685">
        <v>3.410517</v>
      </c>
      <c r="AE3685">
        <v>-24.610700000000001</v>
      </c>
      <c r="AF3685">
        <v>-23.093014333421401</v>
      </c>
      <c r="AG3685">
        <v>3.410517</v>
      </c>
      <c r="AH3685">
        <v>67.580905138814302</v>
      </c>
      <c r="AI3685">
        <v>87.265939568132197</v>
      </c>
      <c r="AJ3685">
        <v>108.86576771475301</v>
      </c>
      <c r="AK3685">
        <v>71.4989347934101</v>
      </c>
      <c r="AL3685">
        <v>75.972274212064207</v>
      </c>
      <c r="AM3685">
        <v>90.666534649351107</v>
      </c>
      <c r="AN3685">
        <v>1.00000000223248</v>
      </c>
    </row>
    <row r="3686" spans="1:40" x14ac:dyDescent="0.25">
      <c r="A3686" t="str">
        <f>"20190303170842253"</f>
        <v>20190303170842253</v>
      </c>
      <c r="B3686" t="str">
        <f>"1551604122247230"</f>
        <v>1551604122247230</v>
      </c>
      <c r="C3686" t="s">
        <v>40</v>
      </c>
      <c r="D3686">
        <v>4.9752890000000001</v>
      </c>
      <c r="E3686">
        <v>0.37573240000000002</v>
      </c>
      <c r="F3686" t="s">
        <v>76</v>
      </c>
      <c r="G3686">
        <v>-440.75</v>
      </c>
      <c r="H3686">
        <v>4.6831699999999996</v>
      </c>
      <c r="I3686">
        <v>115.5647</v>
      </c>
      <c r="J3686">
        <v>-373.93959999999998</v>
      </c>
      <c r="K3686">
        <v>1.121518</v>
      </c>
      <c r="L3686">
        <v>140.42580000000001</v>
      </c>
      <c r="M3686">
        <v>-0.99964430000000004</v>
      </c>
      <c r="N3686">
        <v>-1.4941019999999999E-2</v>
      </c>
      <c r="O3686">
        <v>-2.2093040000000001E-2</v>
      </c>
      <c r="P3686">
        <v>-0.97363319999999998</v>
      </c>
      <c r="Q3686">
        <v>0.22581219999999999</v>
      </c>
      <c r="R3686">
        <v>-3.2360979999999998E-2</v>
      </c>
      <c r="S3686">
        <v>-3.0084529999999998</v>
      </c>
      <c r="T3686">
        <v>0.15941669999999999</v>
      </c>
      <c r="U3686">
        <v>-1.1131439999999999</v>
      </c>
      <c r="V3686">
        <v>-1.09981E-2</v>
      </c>
      <c r="W3686">
        <v>0.24033399999999999</v>
      </c>
      <c r="X3686">
        <v>0.97062800000000005</v>
      </c>
      <c r="Y3686">
        <v>-0.32597310000000002</v>
      </c>
      <c r="Z3686">
        <v>4.3890179999999997E-3</v>
      </c>
      <c r="AA3686">
        <v>0.94536889999999996</v>
      </c>
      <c r="AB3686">
        <v>38</v>
      </c>
      <c r="AC3686">
        <v>-66.810400000000001</v>
      </c>
      <c r="AD3686">
        <v>3.561652</v>
      </c>
      <c r="AE3686">
        <v>-24.8611</v>
      </c>
      <c r="AF3686">
        <v>-23.320606145412199</v>
      </c>
      <c r="AG3686">
        <v>3.561652</v>
      </c>
      <c r="AH3686">
        <v>67.175718261681496</v>
      </c>
      <c r="AI3686">
        <v>87.132592447556405</v>
      </c>
      <c r="AJ3686">
        <v>109.14486744313901</v>
      </c>
      <c r="AK3686">
        <v>71.197704737802795</v>
      </c>
      <c r="AL3686">
        <v>76.093746594467206</v>
      </c>
      <c r="AM3686">
        <v>90.649185626975594</v>
      </c>
      <c r="AN3686">
        <v>1.0000000520718</v>
      </c>
    </row>
    <row r="3687" spans="1:40" x14ac:dyDescent="0.25">
      <c r="A3687" t="str">
        <f>"20190303170842275"</f>
        <v>20190303170842275</v>
      </c>
      <c r="B3687" t="str">
        <f>"1551604122266750"</f>
        <v>1551604122266750</v>
      </c>
      <c r="C3687" t="s">
        <v>40</v>
      </c>
      <c r="D3687">
        <v>4.9929290000000002</v>
      </c>
      <c r="E3687">
        <v>0.3751871</v>
      </c>
      <c r="F3687" t="s">
        <v>76</v>
      </c>
      <c r="G3687">
        <v>-440.75</v>
      </c>
      <c r="H3687">
        <v>4.6441889999999999</v>
      </c>
      <c r="I3687">
        <v>115.45910000000001</v>
      </c>
      <c r="J3687">
        <v>-374.31849999999997</v>
      </c>
      <c r="K3687">
        <v>1.121602</v>
      </c>
      <c r="L3687">
        <v>140.4171</v>
      </c>
      <c r="M3687">
        <v>-0.99963420000000003</v>
      </c>
      <c r="N3687">
        <v>-1.4937280000000001E-2</v>
      </c>
      <c r="O3687">
        <v>-2.2550819999999999E-2</v>
      </c>
      <c r="P3687">
        <v>-0.97368659999999996</v>
      </c>
      <c r="Q3687">
        <v>0.22562869999999999</v>
      </c>
      <c r="R3687">
        <v>-3.2033819999999998E-2</v>
      </c>
      <c r="S3687">
        <v>-3.00705</v>
      </c>
      <c r="T3687">
        <v>0.15855169999999999</v>
      </c>
      <c r="U3687">
        <v>-1.123718</v>
      </c>
      <c r="V3687">
        <v>-1.027288E-2</v>
      </c>
      <c r="W3687">
        <v>0.2401461</v>
      </c>
      <c r="X3687">
        <v>0.97068239999999995</v>
      </c>
      <c r="Y3687">
        <v>-0.32860519999999999</v>
      </c>
      <c r="Z3687">
        <v>4.3650909999999998E-3</v>
      </c>
      <c r="AA3687">
        <v>0.94445730000000006</v>
      </c>
      <c r="AB3687">
        <v>38</v>
      </c>
      <c r="AC3687">
        <v>-66.4315</v>
      </c>
      <c r="AD3687">
        <v>3.5225870000000001</v>
      </c>
      <c r="AE3687">
        <v>-24.957999999999998</v>
      </c>
      <c r="AF3687">
        <v>-23.395753688140701</v>
      </c>
      <c r="AG3687">
        <v>3.5225870000000001</v>
      </c>
      <c r="AH3687">
        <v>66.812864404296803</v>
      </c>
      <c r="AI3687">
        <v>87.1512770409539</v>
      </c>
      <c r="AJ3687">
        <v>109.298641304074</v>
      </c>
      <c r="AK3687">
        <v>70.878267189002798</v>
      </c>
      <c r="AL3687">
        <v>76.104836561801704</v>
      </c>
      <c r="AM3687">
        <v>90.606347343047105</v>
      </c>
      <c r="AN3687">
        <v>1.0000000015392301</v>
      </c>
    </row>
    <row r="3688" spans="1:40" x14ac:dyDescent="0.25">
      <c r="A3688" t="str">
        <f>"20190303170842296"</f>
        <v>20190303170842296</v>
      </c>
      <c r="B3688" t="str">
        <f>"1551604122287245"</f>
        <v>1551604122287245</v>
      </c>
      <c r="C3688" t="s">
        <v>40</v>
      </c>
      <c r="D3688">
        <v>4.9827490000000001</v>
      </c>
      <c r="E3688">
        <v>0.37476930000000003</v>
      </c>
      <c r="F3688" t="s">
        <v>76</v>
      </c>
      <c r="G3688">
        <v>-440.75</v>
      </c>
      <c r="H3688">
        <v>4.7339789999999997</v>
      </c>
      <c r="I3688">
        <v>115.4632</v>
      </c>
      <c r="J3688">
        <v>-374.66910000000001</v>
      </c>
      <c r="K3688">
        <v>1.121702</v>
      </c>
      <c r="L3688">
        <v>140.40870000000001</v>
      </c>
      <c r="M3688">
        <v>-0.99962169999999895</v>
      </c>
      <c r="N3688">
        <v>-1.4934090000000001E-2</v>
      </c>
      <c r="O3688">
        <v>-2.3095540000000001E-2</v>
      </c>
      <c r="P3688">
        <v>-0.97361920000000002</v>
      </c>
      <c r="Q3688">
        <v>0.2258706</v>
      </c>
      <c r="R3688">
        <v>-3.2376509999999997E-2</v>
      </c>
      <c r="S3688">
        <v>-3.0060419999999999</v>
      </c>
      <c r="T3688">
        <v>0.16346169999999999</v>
      </c>
      <c r="U3688">
        <v>-1.1291659999999999</v>
      </c>
      <c r="V3688">
        <v>-1.0143589999999999E-2</v>
      </c>
      <c r="W3688">
        <v>0.2403817</v>
      </c>
      <c r="X3688">
        <v>0.97062550000000003</v>
      </c>
      <c r="Y3688">
        <v>-0.32967610000000003</v>
      </c>
      <c r="Z3688">
        <v>4.5719510000000003E-3</v>
      </c>
      <c r="AA3688">
        <v>0.94408300000000001</v>
      </c>
      <c r="AB3688">
        <v>38</v>
      </c>
      <c r="AC3688">
        <v>-66.0808999999999</v>
      </c>
      <c r="AD3688">
        <v>3.6122770000000002</v>
      </c>
      <c r="AE3688">
        <v>-24.945499999999999</v>
      </c>
      <c r="AF3688">
        <v>-23.351425068697701</v>
      </c>
      <c r="AG3688">
        <v>3.6122770000000002</v>
      </c>
      <c r="AH3688">
        <v>66.465624204572606</v>
      </c>
      <c r="AI3688">
        <v>87.064698276170901</v>
      </c>
      <c r="AJ3688">
        <v>109.357949231177</v>
      </c>
      <c r="AK3688">
        <v>70.5408874254301</v>
      </c>
      <c r="AL3688">
        <v>76.090931125902699</v>
      </c>
      <c r="AM3688">
        <v>90.5987517735458</v>
      </c>
      <c r="AN3688">
        <v>1.0000000576816099</v>
      </c>
    </row>
    <row r="3689" spans="1:40" x14ac:dyDescent="0.25">
      <c r="A3689" t="str">
        <f>"20190303170842318"</f>
        <v>20190303170842318</v>
      </c>
      <c r="B3689" t="str">
        <f>"1551604122306765"</f>
        <v>1551604122306765</v>
      </c>
      <c r="C3689" t="s">
        <v>40</v>
      </c>
      <c r="D3689">
        <v>5.0084150000000003</v>
      </c>
      <c r="E3689">
        <v>0.37438779999999999</v>
      </c>
      <c r="F3689" t="s">
        <v>76</v>
      </c>
      <c r="G3689">
        <v>-440.75</v>
      </c>
      <c r="H3689">
        <v>4.7636789999999998</v>
      </c>
      <c r="I3689">
        <v>115.46639999999999</v>
      </c>
      <c r="J3689">
        <v>-375.04750000000001</v>
      </c>
      <c r="K3689">
        <v>1.1218410000000001</v>
      </c>
      <c r="L3689">
        <v>140.39920000000001</v>
      </c>
      <c r="M3689">
        <v>-0.99960360000000004</v>
      </c>
      <c r="N3689">
        <v>-1.4931089999999999E-2</v>
      </c>
      <c r="O3689">
        <v>-2.387164E-2</v>
      </c>
      <c r="P3689">
        <v>-0.97349330000000001</v>
      </c>
      <c r="Q3689">
        <v>0.2261473</v>
      </c>
      <c r="R3689">
        <v>-3.4180740000000001E-2</v>
      </c>
      <c r="S3689">
        <v>-3.005188</v>
      </c>
      <c r="T3689">
        <v>0.16562839999999901</v>
      </c>
      <c r="U3689">
        <v>-1.1343080000000001</v>
      </c>
      <c r="V3689">
        <v>-1.1275820000000001E-2</v>
      </c>
      <c r="W3689">
        <v>0.24064920000000001</v>
      </c>
      <c r="X3689">
        <v>0.97054669999999998</v>
      </c>
      <c r="Y3689">
        <v>-0.33043860000000003</v>
      </c>
      <c r="Z3689">
        <v>4.6322630000000002E-3</v>
      </c>
      <c r="AA3689">
        <v>0.94381610000000005</v>
      </c>
      <c r="AB3689">
        <v>38</v>
      </c>
      <c r="AC3689">
        <v>-65.702499999999901</v>
      </c>
      <c r="AD3689">
        <v>3.6418379999999999</v>
      </c>
      <c r="AE3689">
        <v>-24.9328</v>
      </c>
      <c r="AF3689">
        <v>-23.294531230406299</v>
      </c>
      <c r="AG3689">
        <v>3.6418379999999999</v>
      </c>
      <c r="AH3689">
        <v>66.101500335821001</v>
      </c>
      <c r="AI3689">
        <v>87.025446874170498</v>
      </c>
      <c r="AJ3689">
        <v>109.412737162836</v>
      </c>
      <c r="AK3689">
        <v>70.180528039543603</v>
      </c>
      <c r="AL3689">
        <v>76.075140729130297</v>
      </c>
      <c r="AM3689">
        <v>90.665632917048995</v>
      </c>
      <c r="AN3689">
        <v>1.0000000392291</v>
      </c>
    </row>
    <row r="3690" spans="1:40" x14ac:dyDescent="0.25">
      <c r="A3690" t="str">
        <f>"20190303170842343"</f>
        <v>20190303170842343</v>
      </c>
      <c r="B3690" t="str">
        <f>"1551604122337021"</f>
        <v>1551604122337021</v>
      </c>
      <c r="C3690" t="s">
        <v>40</v>
      </c>
      <c r="D3690">
        <v>5.0136339999999997</v>
      </c>
      <c r="E3690">
        <v>0.37413089999999999</v>
      </c>
      <c r="F3690" t="s">
        <v>76</v>
      </c>
      <c r="G3690">
        <v>-440.75</v>
      </c>
      <c r="H3690">
        <v>4.8043399999999998</v>
      </c>
      <c r="I3690">
        <v>115.3797</v>
      </c>
      <c r="J3690">
        <v>-375.45830000000001</v>
      </c>
      <c r="K3690">
        <v>1.122031</v>
      </c>
      <c r="L3690">
        <v>140.38839999999999</v>
      </c>
      <c r="M3690">
        <v>-0.99957640000000003</v>
      </c>
      <c r="N3690">
        <v>-1.492863E-2</v>
      </c>
      <c r="O3690">
        <v>-2.4987209999999999E-2</v>
      </c>
      <c r="P3690">
        <v>-0.97346960000000005</v>
      </c>
      <c r="Q3690">
        <v>0.22588939999999999</v>
      </c>
      <c r="R3690">
        <v>-3.6486339999999999E-2</v>
      </c>
      <c r="S3690">
        <v>-3.0024410000000001</v>
      </c>
      <c r="T3690">
        <v>0.16828189999999901</v>
      </c>
      <c r="U3690">
        <v>-1.1433260000000001</v>
      </c>
      <c r="V3690">
        <v>-1.2609510000000001E-2</v>
      </c>
      <c r="W3690">
        <v>0.24038209999999999</v>
      </c>
      <c r="X3690">
        <v>0.97059640000000003</v>
      </c>
      <c r="Y3690">
        <v>-0.3321383</v>
      </c>
      <c r="Z3690">
        <v>4.7111000000000002E-3</v>
      </c>
      <c r="AA3690">
        <v>0.94321889999999997</v>
      </c>
      <c r="AB3690">
        <v>38</v>
      </c>
      <c r="AC3690">
        <v>-65.291699999999906</v>
      </c>
      <c r="AD3690">
        <v>3.6823089999999898</v>
      </c>
      <c r="AE3690">
        <v>-25.008699999999902</v>
      </c>
      <c r="AF3690">
        <v>-23.304609168722301</v>
      </c>
      <c r="AG3690">
        <v>3.6823089999999898</v>
      </c>
      <c r="AH3690">
        <v>65.714001346349903</v>
      </c>
      <c r="AI3690">
        <v>86.976866384419907</v>
      </c>
      <c r="AJ3690">
        <v>109.52638408419899</v>
      </c>
      <c r="AK3690">
        <v>69.821158548297205</v>
      </c>
      <c r="AL3690">
        <v>76.090906167858606</v>
      </c>
      <c r="AM3690">
        <v>90.744316651869596</v>
      </c>
      <c r="AN3690">
        <v>0.99999996271790403</v>
      </c>
    </row>
    <row r="3691" spans="1:40" x14ac:dyDescent="0.25">
      <c r="A3691" t="str">
        <f>"20190303170842365"</f>
        <v>20190303170842365</v>
      </c>
      <c r="B3691" t="str">
        <f>"1551604122357518"</f>
        <v>1551604122357518</v>
      </c>
      <c r="C3691" t="s">
        <v>40</v>
      </c>
      <c r="D3691">
        <v>5.0247070000000003</v>
      </c>
      <c r="E3691">
        <v>0.3737859</v>
      </c>
      <c r="F3691" t="s">
        <v>76</v>
      </c>
      <c r="G3691">
        <v>-440.75</v>
      </c>
      <c r="H3691">
        <v>4.7779780000000001</v>
      </c>
      <c r="I3691">
        <v>115.2914</v>
      </c>
      <c r="J3691">
        <v>-375.83080000000001</v>
      </c>
      <c r="K3691">
        <v>1.1222570000000001</v>
      </c>
      <c r="L3691">
        <v>140.37790000000001</v>
      </c>
      <c r="M3691">
        <v>-0.99954290000000001</v>
      </c>
      <c r="N3691">
        <v>-1.4928E-2</v>
      </c>
      <c r="O3691">
        <v>-2.6290750000000002E-2</v>
      </c>
      <c r="P3691">
        <v>-0.97326489999999999</v>
      </c>
      <c r="Q3691">
        <v>0.22625770000000001</v>
      </c>
      <c r="R3691">
        <v>-3.9536010000000003E-2</v>
      </c>
      <c r="S3691">
        <v>-2.9995419999999999</v>
      </c>
      <c r="T3691">
        <v>0.167957299999999</v>
      </c>
      <c r="U3691">
        <v>-1.1529689999999999</v>
      </c>
      <c r="V3691">
        <v>-1.452608E-2</v>
      </c>
      <c r="W3691">
        <v>0.2407367</v>
      </c>
      <c r="X3691">
        <v>0.97048179999999995</v>
      </c>
      <c r="Y3691">
        <v>-0.3338583</v>
      </c>
      <c r="Z3691">
        <v>4.6420280000000003E-3</v>
      </c>
      <c r="AA3691">
        <v>0.9426118</v>
      </c>
      <c r="AB3691">
        <v>38</v>
      </c>
      <c r="AC3691">
        <v>-64.919199999999904</v>
      </c>
      <c r="AD3691">
        <v>3.6557210000000002</v>
      </c>
      <c r="AE3691">
        <v>-25.086500000000001</v>
      </c>
      <c r="AF3691">
        <v>-23.306558474948201</v>
      </c>
      <c r="AG3691">
        <v>3.6557210000000002</v>
      </c>
      <c r="AH3691">
        <v>65.375996840707302</v>
      </c>
      <c r="AI3691">
        <v>86.984936580607496</v>
      </c>
      <c r="AJ3691">
        <v>109.621163167888</v>
      </c>
      <c r="AK3691">
        <v>69.502380728232595</v>
      </c>
      <c r="AL3691">
        <v>76.069975578595304</v>
      </c>
      <c r="AM3691">
        <v>90.8575337845825</v>
      </c>
      <c r="AN3691">
        <v>1.00000004492914</v>
      </c>
    </row>
    <row r="3692" spans="1:40" x14ac:dyDescent="0.25">
      <c r="A3692" t="str">
        <f>"20190303170842409"</f>
        <v>20190303170842409</v>
      </c>
      <c r="B3692" t="str">
        <f>"1551604122396557"</f>
        <v>1551604122396557</v>
      </c>
      <c r="C3692" t="s">
        <v>40</v>
      </c>
      <c r="D3692">
        <v>5.0296349999999999</v>
      </c>
      <c r="E3692">
        <v>0.37311670000000002</v>
      </c>
      <c r="F3692" t="s">
        <v>76</v>
      </c>
      <c r="G3692">
        <v>-440.75</v>
      </c>
      <c r="H3692">
        <v>4.830114</v>
      </c>
      <c r="I3692">
        <v>115.11320000000001</v>
      </c>
      <c r="J3692">
        <v>-376.55770000000001</v>
      </c>
      <c r="K3692">
        <v>1.122816</v>
      </c>
      <c r="L3692">
        <v>140.35509999999999</v>
      </c>
      <c r="M3692">
        <v>-0.99944529999999998</v>
      </c>
      <c r="N3692">
        <v>-1.493238E-2</v>
      </c>
      <c r="O3692">
        <v>-2.9770319999999999E-2</v>
      </c>
      <c r="P3692">
        <v>-0.97279020000000005</v>
      </c>
      <c r="Q3692">
        <v>0.22727220000000001</v>
      </c>
      <c r="R3692">
        <v>-4.50213E-2</v>
      </c>
      <c r="S3692">
        <v>-2.9953310000000002</v>
      </c>
      <c r="T3692">
        <v>0.17107900000000001</v>
      </c>
      <c r="U3692">
        <v>-1.1656949999999999</v>
      </c>
      <c r="V3692">
        <v>-1.6953090000000001E-2</v>
      </c>
      <c r="W3692">
        <v>0.2417242</v>
      </c>
      <c r="X3692">
        <v>0.97019690000000003</v>
      </c>
      <c r="Y3692">
        <v>-0.33449810000000002</v>
      </c>
      <c r="Z3692">
        <v>4.5563189999999996E-3</v>
      </c>
      <c r="AA3692">
        <v>0.94238540000000004</v>
      </c>
      <c r="AB3692">
        <v>38</v>
      </c>
      <c r="AC3692">
        <v>-64.192299999999904</v>
      </c>
      <c r="AD3692">
        <v>3.7072980000000002</v>
      </c>
      <c r="AE3692">
        <v>-25.241899999999902</v>
      </c>
      <c r="AF3692">
        <v>-23.252301337665099</v>
      </c>
      <c r="AG3692">
        <v>3.7072980000000002</v>
      </c>
      <c r="AH3692">
        <v>64.728401126358193</v>
      </c>
      <c r="AI3692">
        <v>86.914614095651004</v>
      </c>
      <c r="AJ3692">
        <v>109.75974624799299</v>
      </c>
      <c r="AK3692">
        <v>68.878004386981999</v>
      </c>
      <c r="AL3692">
        <v>76.011673740551601</v>
      </c>
      <c r="AM3692">
        <v>91.001076856750402</v>
      </c>
      <c r="AN3692">
        <v>1.0000000104478901</v>
      </c>
    </row>
    <row r="3693" spans="1:40" x14ac:dyDescent="0.25">
      <c r="A3693" t="str">
        <f>"20190303170842431"</f>
        <v>20190303170842431</v>
      </c>
      <c r="B3693" t="str">
        <f>"1551604122417053"</f>
        <v>1551604122417053</v>
      </c>
      <c r="C3693" t="s">
        <v>40</v>
      </c>
      <c r="D3693">
        <v>5.0531459999999999</v>
      </c>
      <c r="E3693">
        <v>0.3730426</v>
      </c>
      <c r="F3693" t="s">
        <v>76</v>
      </c>
      <c r="G3693">
        <v>-440.75</v>
      </c>
      <c r="H3693">
        <v>4.9648329999999996</v>
      </c>
      <c r="I3693">
        <v>114.8039</v>
      </c>
      <c r="J3693">
        <v>-376.93639999999999</v>
      </c>
      <c r="K3693">
        <v>1.123108</v>
      </c>
      <c r="L3693">
        <v>140.3417</v>
      </c>
      <c r="M3693">
        <v>-0.99937410000000004</v>
      </c>
      <c r="N3693">
        <v>-1.493718E-2</v>
      </c>
      <c r="O3693">
        <v>-3.2073259999999999E-2</v>
      </c>
      <c r="P3693">
        <v>-0.97261629999999999</v>
      </c>
      <c r="Q3693">
        <v>0.22733809999999999</v>
      </c>
      <c r="R3693">
        <v>-4.8327439999999999E-2</v>
      </c>
      <c r="S3693">
        <v>-2.9871219999999998</v>
      </c>
      <c r="T3693">
        <v>0.178785</v>
      </c>
      <c r="U3693">
        <v>-1.188995</v>
      </c>
      <c r="V3693">
        <v>-1.8187579999999998E-2</v>
      </c>
      <c r="W3693">
        <v>0.2417774</v>
      </c>
      <c r="X3693">
        <v>0.9701613</v>
      </c>
      <c r="Y3693">
        <v>-0.33952670000000001</v>
      </c>
      <c r="Z3693">
        <v>4.8424879999999998E-3</v>
      </c>
      <c r="AA3693">
        <v>0.94058390000000003</v>
      </c>
      <c r="AB3693">
        <v>38</v>
      </c>
      <c r="AC3693">
        <v>-63.813600000000001</v>
      </c>
      <c r="AD3693">
        <v>3.8417249999999998</v>
      </c>
      <c r="AE3693">
        <v>-25.537800000000001</v>
      </c>
      <c r="AF3693">
        <v>-23.4046044444367</v>
      </c>
      <c r="AG3693">
        <v>3.8417249999999998</v>
      </c>
      <c r="AH3693">
        <v>64.398752382188604</v>
      </c>
      <c r="AI3693">
        <v>86.790940149397599</v>
      </c>
      <c r="AJ3693">
        <v>109.972793296341</v>
      </c>
      <c r="AK3693">
        <v>68.627499361106103</v>
      </c>
      <c r="AL3693">
        <v>76.008532616693998</v>
      </c>
      <c r="AM3693">
        <v>91.073996170595095</v>
      </c>
      <c r="AN3693">
        <v>1.0000000236173501</v>
      </c>
    </row>
    <row r="3694" spans="1:40" x14ac:dyDescent="0.25">
      <c r="A3694" t="str">
        <f>"20190303170842454"</f>
        <v>20190303170842454</v>
      </c>
      <c r="B3694" t="str">
        <f>"1551604122447311"</f>
        <v>1551604122447311</v>
      </c>
      <c r="C3694" t="s">
        <v>40</v>
      </c>
      <c r="D3694">
        <v>5.2975700000000003</v>
      </c>
      <c r="E3694">
        <v>0.4157979</v>
      </c>
      <c r="F3694" t="s">
        <v>76</v>
      </c>
      <c r="G3694">
        <v>-440.75</v>
      </c>
      <c r="H3694">
        <v>4.9293399999999998</v>
      </c>
      <c r="I3694">
        <v>114.6836</v>
      </c>
      <c r="J3694">
        <v>-377.32049999999998</v>
      </c>
      <c r="K3694">
        <v>1.1233900000000001</v>
      </c>
      <c r="L3694">
        <v>140.32679999999999</v>
      </c>
      <c r="M3694">
        <v>-0.99928419999999896</v>
      </c>
      <c r="N3694">
        <v>-1.4941970000000001E-2</v>
      </c>
      <c r="O3694">
        <v>-3.4755229999999998E-2</v>
      </c>
      <c r="P3694">
        <v>-0.97244390000000003</v>
      </c>
      <c r="Q3694">
        <v>0.2273307</v>
      </c>
      <c r="R3694">
        <v>-5.1709730000000002E-2</v>
      </c>
      <c r="S3694">
        <v>-2.983276</v>
      </c>
      <c r="T3694">
        <v>0.17794160000000001</v>
      </c>
      <c r="U3694">
        <v>-1.1995089999999999</v>
      </c>
      <c r="V3694">
        <v>-1.9127689999999999E-2</v>
      </c>
      <c r="W3694">
        <v>0.241758</v>
      </c>
      <c r="X3694">
        <v>0.97014800000000001</v>
      </c>
      <c r="Y3694">
        <v>-0.34028509999999901</v>
      </c>
      <c r="Z3694">
        <v>4.6310769999999999E-3</v>
      </c>
      <c r="AA3694">
        <v>0.94031100000000001</v>
      </c>
      <c r="AB3694">
        <v>38</v>
      </c>
      <c r="AC3694">
        <v>-63.429499999999997</v>
      </c>
      <c r="AD3694">
        <v>3.8059500000000002</v>
      </c>
      <c r="AE3694">
        <v>-25.6432</v>
      </c>
      <c r="AF3694">
        <v>-23.3506912871139</v>
      </c>
      <c r="AG3694">
        <v>3.8059500000000002</v>
      </c>
      <c r="AH3694">
        <v>64.084193104934997</v>
      </c>
      <c r="AI3694">
        <v>86.806154503769406</v>
      </c>
      <c r="AJ3694">
        <v>110.020486424618</v>
      </c>
      <c r="AK3694">
        <v>68.311959750099405</v>
      </c>
      <c r="AL3694">
        <v>76.009677379320394</v>
      </c>
      <c r="AM3694">
        <v>91.129512130001203</v>
      </c>
      <c r="AN3694">
        <v>0.99999997049636702</v>
      </c>
    </row>
    <row r="3695" spans="1:40" x14ac:dyDescent="0.25">
      <c r="A3695" t="str">
        <f>"20190303170842477"</f>
        <v>20190303170842477</v>
      </c>
      <c r="B3695" t="str">
        <f>"1551604122466829"</f>
        <v>1551604122466829</v>
      </c>
      <c r="C3695" t="s">
        <v>40</v>
      </c>
      <c r="D3695">
        <v>5.1080480000000001</v>
      </c>
      <c r="E3695">
        <v>0.47270889999999999</v>
      </c>
      <c r="F3695" t="s">
        <v>76</v>
      </c>
      <c r="G3695">
        <v>-449.28660000000002</v>
      </c>
      <c r="H3695">
        <v>2.022923</v>
      </c>
      <c r="I3695">
        <v>119.395</v>
      </c>
      <c r="J3695">
        <v>-377.70699999999999</v>
      </c>
      <c r="K3695">
        <v>1.123667</v>
      </c>
      <c r="L3695">
        <v>140.31059999999999</v>
      </c>
      <c r="M3695">
        <v>-0.9991757</v>
      </c>
      <c r="N3695">
        <v>-1.494667E-2</v>
      </c>
      <c r="O3695">
        <v>-3.7743409999999998E-2</v>
      </c>
      <c r="P3695">
        <v>-0.97212050000000005</v>
      </c>
      <c r="Q3695">
        <v>0.22794420000000001</v>
      </c>
      <c r="R3695">
        <v>-5.498542E-2</v>
      </c>
      <c r="S3695">
        <v>-3.0292970000000001</v>
      </c>
      <c r="T3695">
        <v>3.7865759999999998E-2</v>
      </c>
      <c r="U3695">
        <v>-0.88108829999999905</v>
      </c>
      <c r="V3695">
        <v>-1.9660799999999999E-2</v>
      </c>
      <c r="W3695">
        <v>0.24235899999999999</v>
      </c>
      <c r="X3695">
        <v>0.96998740000000006</v>
      </c>
      <c r="Y3695">
        <v>-0.24285499999999999</v>
      </c>
      <c r="Z3695">
        <v>-1.3799420000000001E-3</v>
      </c>
      <c r="AA3695">
        <v>0.97006170000000003</v>
      </c>
      <c r="AB3695">
        <v>38</v>
      </c>
      <c r="AC3695">
        <v>-71.579599999999999</v>
      </c>
      <c r="AD3695">
        <v>0.89925599999999895</v>
      </c>
      <c r="AE3695">
        <v>-20.915600000000001</v>
      </c>
      <c r="AF3695">
        <v>-18.1960876241405</v>
      </c>
      <c r="AG3695">
        <v>0.89925599999999895</v>
      </c>
      <c r="AH3695">
        <v>72.307585250033796</v>
      </c>
      <c r="AI3695">
        <v>89.309016527761699</v>
      </c>
      <c r="AJ3695">
        <v>104.125099246095</v>
      </c>
      <c r="AK3695">
        <v>74.567373233002101</v>
      </c>
      <c r="AL3695">
        <v>75.974187531906196</v>
      </c>
      <c r="AM3695">
        <v>91.161176560611395</v>
      </c>
      <c r="AN3695">
        <v>0.99999999404819995</v>
      </c>
    </row>
    <row r="3696" spans="1:40" x14ac:dyDescent="0.25">
      <c r="A3696" t="str">
        <f>"20190303170842499"</f>
        <v>20190303170842499</v>
      </c>
      <c r="B3696" t="str">
        <f>"1551604122476589"</f>
        <v>1551604122476589</v>
      </c>
      <c r="C3696" t="s">
        <v>40</v>
      </c>
      <c r="D3696">
        <v>5.0923509999999998</v>
      </c>
      <c r="E3696">
        <v>0.47754980000000002</v>
      </c>
      <c r="F3696" t="s">
        <v>58</v>
      </c>
      <c r="G3696">
        <v>-430.9556</v>
      </c>
      <c r="H3696" s="1">
        <v>-8.0813330000000003E-6</v>
      </c>
      <c r="I3696">
        <v>132.57849999999999</v>
      </c>
      <c r="J3696">
        <v>-378.06310000000002</v>
      </c>
      <c r="K3696">
        <v>1.123891</v>
      </c>
      <c r="L3696">
        <v>140.2944</v>
      </c>
      <c r="M3696">
        <v>-0.99905869999999997</v>
      </c>
      <c r="N3696">
        <v>-1.4950359999999999E-2</v>
      </c>
      <c r="O3696">
        <v>-4.071951E-2</v>
      </c>
      <c r="P3696">
        <v>-0.97187509999999999</v>
      </c>
      <c r="Q3696">
        <v>0.22819300000000001</v>
      </c>
      <c r="R3696">
        <v>-5.8195469999999999E-2</v>
      </c>
      <c r="S3696">
        <v>-3.0759889999999999</v>
      </c>
      <c r="T3696">
        <v>-6.4910889999999999E-2</v>
      </c>
      <c r="U3696">
        <v>-0.44665529999999998</v>
      </c>
      <c r="V3696">
        <v>-2.0110989999999999E-2</v>
      </c>
      <c r="W3696">
        <v>0.2425977</v>
      </c>
      <c r="X3696">
        <v>0.96991850000000002</v>
      </c>
      <c r="Y3696">
        <v>-0.1032414</v>
      </c>
      <c r="Z3696">
        <v>-1.6117709999999999E-3</v>
      </c>
      <c r="AA3696">
        <v>0.99465499999999996</v>
      </c>
      <c r="AB3696">
        <v>38</v>
      </c>
      <c r="AC3696">
        <v>-52.892499999999899</v>
      </c>
      <c r="AD3696">
        <v>-1.1238990813330001</v>
      </c>
      <c r="AE3696">
        <v>-7.7159000000000004</v>
      </c>
      <c r="AF3696">
        <v>-5.5530465724254103</v>
      </c>
      <c r="AG3696">
        <v>-1.1238990813330001</v>
      </c>
      <c r="AH3696">
        <v>53.139351886011099</v>
      </c>
      <c r="AI3696">
        <v>91.205067060792601</v>
      </c>
      <c r="AJ3696">
        <v>95.9657392441882</v>
      </c>
      <c r="AK3696">
        <v>53.440529509407497</v>
      </c>
      <c r="AL3696">
        <v>75.960090355953199</v>
      </c>
      <c r="AM3696">
        <v>91.187841823218506</v>
      </c>
      <c r="AN3696">
        <v>0.99999999630316005</v>
      </c>
    </row>
    <row r="3697" spans="1:40" x14ac:dyDescent="0.25">
      <c r="A3697" t="str">
        <f>"20190303170842522"</f>
        <v>20190303170842522</v>
      </c>
      <c r="B3697" t="str">
        <f>"1551604122516605"</f>
        <v>1551604122516605</v>
      </c>
      <c r="C3697" t="s">
        <v>40</v>
      </c>
      <c r="D3697">
        <v>5.0840050000000003</v>
      </c>
      <c r="E3697">
        <v>0.48166759999999997</v>
      </c>
      <c r="F3697" t="s">
        <v>58</v>
      </c>
      <c r="G3697">
        <v>-423.06259999999997</v>
      </c>
      <c r="H3697" s="1">
        <v>-8.0264059999999997E-6</v>
      </c>
      <c r="I3697">
        <v>134.16999999999999</v>
      </c>
      <c r="J3697">
        <v>-378.45429999999999</v>
      </c>
      <c r="K3697">
        <v>1.1241049999999999</v>
      </c>
      <c r="L3697">
        <v>140.27520000000001</v>
      </c>
      <c r="M3697">
        <v>-0.99891059999999998</v>
      </c>
      <c r="N3697">
        <v>-1.4953640000000001E-2</v>
      </c>
      <c r="O3697">
        <v>-4.4204069999999998E-2</v>
      </c>
      <c r="P3697">
        <v>-0.97190900000000002</v>
      </c>
      <c r="Q3697">
        <v>0.22720129999999999</v>
      </c>
      <c r="R3697">
        <v>-6.141887E-2</v>
      </c>
      <c r="S3697">
        <v>-3.0798030000000001</v>
      </c>
      <c r="T3697">
        <v>-7.6920509999999997E-2</v>
      </c>
      <c r="U3697">
        <v>-0.4191589</v>
      </c>
      <c r="V3697">
        <v>-2.005877E-2</v>
      </c>
      <c r="W3697">
        <v>0.2416035</v>
      </c>
      <c r="X3697">
        <v>0.97016769999999997</v>
      </c>
      <c r="Y3697">
        <v>-9.0876419999999999E-2</v>
      </c>
      <c r="Z3697">
        <v>-1.3731920000000001E-3</v>
      </c>
      <c r="AA3697">
        <v>0.9958612</v>
      </c>
      <c r="AB3697">
        <v>37</v>
      </c>
      <c r="AC3697">
        <v>-44.6082999999999</v>
      </c>
      <c r="AD3697">
        <v>-1.124113026406</v>
      </c>
      <c r="AE3697">
        <v>-6.1052000000000204</v>
      </c>
      <c r="AF3697">
        <v>-4.1245710137426901</v>
      </c>
      <c r="AG3697">
        <v>-1.124113026406</v>
      </c>
      <c r="AH3697">
        <v>44.806661455222901</v>
      </c>
      <c r="AI3697">
        <v>91.4310915420062</v>
      </c>
      <c r="AJ3697">
        <v>95.259405076501096</v>
      </c>
      <c r="AK3697">
        <v>45.010139156711098</v>
      </c>
      <c r="AL3697">
        <v>76.018800228713005</v>
      </c>
      <c r="AM3697">
        <v>91.184454131362997</v>
      </c>
      <c r="AN3697">
        <v>0.99999998579472604</v>
      </c>
    </row>
    <row r="3698" spans="1:40" x14ac:dyDescent="0.25">
      <c r="A3698" t="str">
        <f>"20190303170842542"</f>
        <v>20190303170842542</v>
      </c>
      <c r="B3698" t="str">
        <f>"1551604122537102"</f>
        <v>1551604122537102</v>
      </c>
      <c r="C3698" t="s">
        <v>40</v>
      </c>
      <c r="D3698">
        <v>5.0671679999999997</v>
      </c>
      <c r="E3698">
        <v>0.4829697</v>
      </c>
      <c r="F3698" t="s">
        <v>58</v>
      </c>
      <c r="G3698">
        <v>-422.29790000000003</v>
      </c>
      <c r="H3698" s="1">
        <v>-8.1084360000000003E-6</v>
      </c>
      <c r="I3698">
        <v>134.64099999999999</v>
      </c>
      <c r="J3698">
        <v>-378.80169999999998</v>
      </c>
      <c r="K3698">
        <v>1.124271</v>
      </c>
      <c r="L3698">
        <v>140.25700000000001</v>
      </c>
      <c r="M3698">
        <v>-0.99876120000000002</v>
      </c>
      <c r="N3698">
        <v>-1.495588E-2</v>
      </c>
      <c r="O3698">
        <v>-4.74568E-2</v>
      </c>
      <c r="P3698">
        <v>-0.9719738</v>
      </c>
      <c r="Q3698">
        <v>0.22616249999999999</v>
      </c>
      <c r="R3698">
        <v>-6.4168829999999996E-2</v>
      </c>
      <c r="S3698">
        <v>-3.0802</v>
      </c>
      <c r="T3698">
        <v>-7.8973650000000006E-2</v>
      </c>
      <c r="U3698">
        <v>-0.39582820000000002</v>
      </c>
      <c r="V3698">
        <v>-1.972908E-2</v>
      </c>
      <c r="W3698">
        <v>0.240565</v>
      </c>
      <c r="X3698">
        <v>0.97043250000000003</v>
      </c>
      <c r="Y3698">
        <v>-8.0201939999999999E-2</v>
      </c>
      <c r="Z3698">
        <v>-1.1234400000000001E-3</v>
      </c>
      <c r="AA3698">
        <v>0.99677800000000005</v>
      </c>
      <c r="AB3698">
        <v>37</v>
      </c>
      <c r="AC3698">
        <v>-43.496200000000002</v>
      </c>
      <c r="AD3698">
        <v>-1.124279108436</v>
      </c>
      <c r="AE3698">
        <v>-5.6160000000000103</v>
      </c>
      <c r="AF3698">
        <v>-3.5429211436998802</v>
      </c>
      <c r="AG3698">
        <v>-1.124279108436</v>
      </c>
      <c r="AH3698">
        <v>43.685021036108502</v>
      </c>
      <c r="AI3698">
        <v>91.469418130325707</v>
      </c>
      <c r="AJ3698">
        <v>94.636626236304394</v>
      </c>
      <c r="AK3698">
        <v>43.8428712183564</v>
      </c>
      <c r="AL3698">
        <v>76.080110441022597</v>
      </c>
      <c r="AM3698">
        <v>91.164673812447106</v>
      </c>
      <c r="AN3698">
        <v>0.99999999643944804</v>
      </c>
    </row>
    <row r="3699" spans="1:40" x14ac:dyDescent="0.25">
      <c r="A3699" t="str">
        <f>"20190303170842567"</f>
        <v>20190303170842567</v>
      </c>
      <c r="B3699" t="str">
        <f>"1551604122556621"</f>
        <v>1551604122556621</v>
      </c>
      <c r="C3699" t="s">
        <v>40</v>
      </c>
      <c r="D3699">
        <v>5.0581709999999998</v>
      </c>
      <c r="E3699">
        <v>0.48373050000000001</v>
      </c>
      <c r="F3699" t="s">
        <v>58</v>
      </c>
      <c r="G3699">
        <v>-420.95569999999998</v>
      </c>
      <c r="H3699" s="1">
        <v>-8.0093960000000007E-6</v>
      </c>
      <c r="I3699">
        <v>134.87110000000001</v>
      </c>
      <c r="J3699">
        <v>-379.1961</v>
      </c>
      <c r="K3699">
        <v>1.124449</v>
      </c>
      <c r="L3699">
        <v>140.2347</v>
      </c>
      <c r="M3699">
        <v>-0.9985716</v>
      </c>
      <c r="N3699">
        <v>-1.49579E-2</v>
      </c>
      <c r="O3699">
        <v>-5.1292749999999998E-2</v>
      </c>
      <c r="P3699">
        <v>-0.97180670000000002</v>
      </c>
      <c r="Q3699">
        <v>0.22628390000000001</v>
      </c>
      <c r="R3699">
        <v>-6.623706E-2</v>
      </c>
      <c r="S3699">
        <v>-3.0796510000000001</v>
      </c>
      <c r="T3699">
        <v>-8.2136630000000002E-2</v>
      </c>
      <c r="U3699">
        <v>-0.39347840000000001</v>
      </c>
      <c r="V3699">
        <v>-1.8169959999999999E-2</v>
      </c>
      <c r="W3699">
        <v>0.2406923</v>
      </c>
      <c r="X3699">
        <v>0.97043140000000006</v>
      </c>
      <c r="Y3699">
        <v>-7.5647179999999994E-2</v>
      </c>
      <c r="Z3699">
        <v>-9.7707289999999993E-4</v>
      </c>
      <c r="AA3699">
        <v>0.99713410000000002</v>
      </c>
      <c r="AB3699">
        <v>37</v>
      </c>
      <c r="AC3699">
        <v>-41.759599999999899</v>
      </c>
      <c r="AD3699">
        <v>-1.124457009396</v>
      </c>
      <c r="AE3699">
        <v>-5.3635999999999902</v>
      </c>
      <c r="AF3699">
        <v>-3.2120425140505402</v>
      </c>
      <c r="AG3699">
        <v>-1.124457009396</v>
      </c>
      <c r="AH3699">
        <v>41.949839999335502</v>
      </c>
      <c r="AI3699">
        <v>91.530955052870297</v>
      </c>
      <c r="AJ3699">
        <v>94.378516956683995</v>
      </c>
      <c r="AK3699">
        <v>42.087654919796798</v>
      </c>
      <c r="AL3699">
        <v>76.072596173943893</v>
      </c>
      <c r="AM3699">
        <v>91.072657368138493</v>
      </c>
      <c r="AN3699">
        <v>1.00000001641582</v>
      </c>
    </row>
    <row r="3700" spans="1:40" x14ac:dyDescent="0.25">
      <c r="A3700" t="str">
        <f>"20190303170842590"</f>
        <v>20190303170842590</v>
      </c>
      <c r="B3700" t="str">
        <f>"1551604122577118"</f>
        <v>1551604122577118</v>
      </c>
      <c r="C3700" t="s">
        <v>40</v>
      </c>
      <c r="D3700">
        <v>4.8395710000000003</v>
      </c>
      <c r="E3700">
        <v>0.48438750000000003</v>
      </c>
      <c r="F3700" t="s">
        <v>58</v>
      </c>
      <c r="G3700">
        <v>-421.69490000000002</v>
      </c>
      <c r="H3700" s="1">
        <v>-8.0860199999999999E-6</v>
      </c>
      <c r="I3700">
        <v>134.79859999999999</v>
      </c>
      <c r="J3700">
        <v>-379.59550000000002</v>
      </c>
      <c r="K3700">
        <v>1.1246130000000001</v>
      </c>
      <c r="L3700">
        <v>140.2105</v>
      </c>
      <c r="M3700">
        <v>-0.99835719999999994</v>
      </c>
      <c r="N3700">
        <v>-1.495966E-2</v>
      </c>
      <c r="O3700">
        <v>-5.5309619999999997E-2</v>
      </c>
      <c r="P3700">
        <v>-0.97149399999999997</v>
      </c>
      <c r="Q3700">
        <v>0.226798</v>
      </c>
      <c r="R3700">
        <v>-6.9009070000000006E-2</v>
      </c>
      <c r="S3700">
        <v>-3.079132</v>
      </c>
      <c r="T3700">
        <v>-8.1469539999999993E-2</v>
      </c>
      <c r="U3700">
        <v>-0.39385989999999999</v>
      </c>
      <c r="V3700">
        <v>-1.7134859999999998E-2</v>
      </c>
      <c r="W3700">
        <v>0.2412087</v>
      </c>
      <c r="X3700">
        <v>0.97032200000000002</v>
      </c>
      <c r="Y3700">
        <v>-7.1780549999999999E-2</v>
      </c>
      <c r="Z3700">
        <v>-8.5455440000000002E-4</v>
      </c>
      <c r="AA3700">
        <v>0.99742010000000003</v>
      </c>
      <c r="AB3700">
        <v>37</v>
      </c>
      <c r="AC3700">
        <v>-42.099400000000003</v>
      </c>
      <c r="AD3700">
        <v>-1.1246210860200001</v>
      </c>
      <c r="AE3700">
        <v>-5.4119000000000002</v>
      </c>
      <c r="AF3700">
        <v>-3.0726944702101799</v>
      </c>
      <c r="AG3700">
        <v>-1.1246210860200001</v>
      </c>
      <c r="AH3700">
        <v>42.304607392592402</v>
      </c>
      <c r="AI3700">
        <v>91.5187870973092</v>
      </c>
      <c r="AJ3700">
        <v>94.154247585024393</v>
      </c>
      <c r="AK3700">
        <v>42.430956040793703</v>
      </c>
      <c r="AL3700">
        <v>76.042110382439802</v>
      </c>
      <c r="AM3700">
        <v>91.011677700843705</v>
      </c>
      <c r="AN3700">
        <v>1.00000001203345</v>
      </c>
    </row>
    <row r="3701" spans="1:40" x14ac:dyDescent="0.25">
      <c r="A3701" t="str">
        <f>"20190303170842632"</f>
        <v>20190303170842632</v>
      </c>
      <c r="B3701" t="str">
        <f>"1551604122626894"</f>
        <v>1551604122626894</v>
      </c>
      <c r="C3701" t="s">
        <v>40</v>
      </c>
      <c r="D3701">
        <v>5.0115059999999998</v>
      </c>
      <c r="E3701">
        <v>0.48530329999999999</v>
      </c>
      <c r="F3701" t="s">
        <v>58</v>
      </c>
      <c r="G3701">
        <v>-423.22859999999997</v>
      </c>
      <c r="H3701" s="1">
        <v>-8.2167330000000007E-6</v>
      </c>
      <c r="I3701">
        <v>134.5787</v>
      </c>
      <c r="J3701">
        <v>-380.2869</v>
      </c>
      <c r="K3701">
        <v>1.124814</v>
      </c>
      <c r="L3701">
        <v>140.1645</v>
      </c>
      <c r="M3701">
        <v>-0.99793259999999995</v>
      </c>
      <c r="N3701">
        <v>-1.496167E-2</v>
      </c>
      <c r="O3701">
        <v>-6.2505290000000005E-2</v>
      </c>
      <c r="P3701">
        <v>-0.97159890000000004</v>
      </c>
      <c r="Q3701">
        <v>0.22416340000000001</v>
      </c>
      <c r="R3701">
        <v>-7.5808139999999996E-2</v>
      </c>
      <c r="S3701">
        <v>-3.0783390000000002</v>
      </c>
      <c r="T3701">
        <v>-7.9342480000000007E-2</v>
      </c>
      <c r="U3701">
        <v>-0.3973236</v>
      </c>
      <c r="V3701">
        <v>-1.700049E-2</v>
      </c>
      <c r="W3701">
        <v>0.2385785</v>
      </c>
      <c r="X3701">
        <v>0.97097440000000002</v>
      </c>
      <c r="Y3701">
        <v>-6.5730049999999998E-2</v>
      </c>
      <c r="Z3701">
        <v>-6.6832440000000001E-4</v>
      </c>
      <c r="AA3701">
        <v>0.99783719999999998</v>
      </c>
      <c r="AB3701">
        <v>37</v>
      </c>
      <c r="AC3701">
        <v>-42.941699999999898</v>
      </c>
      <c r="AD3701">
        <v>-1.124822216733</v>
      </c>
      <c r="AE3701">
        <v>-5.5857999999999999</v>
      </c>
      <c r="AF3701">
        <v>-2.88854274971975</v>
      </c>
      <c r="AG3701">
        <v>-1.124822216733</v>
      </c>
      <c r="AH3701">
        <v>43.177762679218603</v>
      </c>
      <c r="AI3701">
        <v>91.488945973594596</v>
      </c>
      <c r="AJ3701">
        <v>93.827318998529506</v>
      </c>
      <c r="AK3701">
        <v>43.288891117920002</v>
      </c>
      <c r="AL3701">
        <v>76.197342554562198</v>
      </c>
      <c r="AM3701">
        <v>91.003071565286206</v>
      </c>
      <c r="AN3701">
        <v>1.0000000013889201</v>
      </c>
    </row>
    <row r="3702" spans="1:40" x14ac:dyDescent="0.25">
      <c r="A3702" t="str">
        <f>"20190303170842655"</f>
        <v>20190303170842655</v>
      </c>
      <c r="B3702" t="str">
        <f>"1551604122647390"</f>
        <v>1551604122647390</v>
      </c>
      <c r="C3702" t="s">
        <v>40</v>
      </c>
      <c r="D3702">
        <v>5.0396830000000001</v>
      </c>
      <c r="E3702">
        <v>0.48595260000000001</v>
      </c>
      <c r="F3702" t="s">
        <v>58</v>
      </c>
      <c r="G3702">
        <v>-420.66419999999999</v>
      </c>
      <c r="H3702" s="1">
        <v>-7.9301099999999995E-6</v>
      </c>
      <c r="I3702">
        <v>134.7792</v>
      </c>
      <c r="J3702">
        <v>-380.66809999999998</v>
      </c>
      <c r="K3702">
        <v>1.1248959999999999</v>
      </c>
      <c r="L3702">
        <v>140.13669999999999</v>
      </c>
      <c r="M3702">
        <v>-0.99766980000000005</v>
      </c>
      <c r="N3702">
        <v>-1.496194E-2</v>
      </c>
      <c r="O3702">
        <v>-6.6568580000000002E-2</v>
      </c>
      <c r="P3702">
        <v>-0.97172020000000003</v>
      </c>
      <c r="Q3702">
        <v>0.22224099999999999</v>
      </c>
      <c r="R3702">
        <v>-7.9805999999999905E-2</v>
      </c>
      <c r="S3702">
        <v>-3.0754700000000001</v>
      </c>
      <c r="T3702">
        <v>-8.5675719999999997E-2</v>
      </c>
      <c r="U3702">
        <v>-0.41018680000000002</v>
      </c>
      <c r="V3702">
        <v>-1.7051790000000001E-2</v>
      </c>
      <c r="W3702">
        <v>0.23665949999999999</v>
      </c>
      <c r="X3702">
        <v>0.97144299999999995</v>
      </c>
      <c r="Y3702">
        <v>-6.5884670000000006E-2</v>
      </c>
      <c r="Z3702">
        <v>-5.5907410000000004E-4</v>
      </c>
      <c r="AA3702">
        <v>0.99782709999999997</v>
      </c>
      <c r="AB3702">
        <v>37</v>
      </c>
      <c r="AC3702">
        <v>-39.996099999999998</v>
      </c>
      <c r="AD3702">
        <v>-1.1249039301099999</v>
      </c>
      <c r="AE3702">
        <v>-5.3574999999999804</v>
      </c>
      <c r="AF3702">
        <v>-2.6807491330992002</v>
      </c>
      <c r="AG3702">
        <v>-1.1249039301099999</v>
      </c>
      <c r="AH3702">
        <v>40.2327793571814</v>
      </c>
      <c r="AI3702">
        <v>91.5980246225363</v>
      </c>
      <c r="AJ3702">
        <v>93.812038637545697</v>
      </c>
      <c r="AK3702">
        <v>40.337679154485699</v>
      </c>
      <c r="AL3702">
        <v>76.310535064595797</v>
      </c>
      <c r="AM3702">
        <v>91.005612555854597</v>
      </c>
      <c r="AN3702">
        <v>0.99999999236572701</v>
      </c>
    </row>
    <row r="3703" spans="1:40" x14ac:dyDescent="0.25">
      <c r="A3703" t="str">
        <f>"20190303170842677"</f>
        <v>20190303170842677</v>
      </c>
      <c r="B3703" t="str">
        <f>"1551604122666911"</f>
        <v>1551604122666911</v>
      </c>
      <c r="C3703" t="s">
        <v>40</v>
      </c>
      <c r="D3703">
        <v>4.9542820000000001</v>
      </c>
      <c r="E3703">
        <v>0.48656159999999998</v>
      </c>
      <c r="F3703" t="s">
        <v>58</v>
      </c>
      <c r="G3703">
        <v>-419.17259999999999</v>
      </c>
      <c r="H3703" s="1">
        <v>-7.9292239999999992E-6</v>
      </c>
      <c r="I3703">
        <v>134.91419999999999</v>
      </c>
      <c r="J3703">
        <v>-381.02339999999998</v>
      </c>
      <c r="K3703">
        <v>1.1249640000000001</v>
      </c>
      <c r="L3703">
        <v>140.1095</v>
      </c>
      <c r="M3703">
        <v>-0.99740589999999996</v>
      </c>
      <c r="N3703">
        <v>-1.496198E-2</v>
      </c>
      <c r="O3703">
        <v>-7.0408830000000006E-2</v>
      </c>
      <c r="P3703">
        <v>-0.97148129999999999</v>
      </c>
      <c r="Q3703">
        <v>0.22194990000000001</v>
      </c>
      <c r="R3703">
        <v>-8.3439879999999994E-2</v>
      </c>
      <c r="S3703">
        <v>-3.0736080000000001</v>
      </c>
      <c r="T3703">
        <v>-8.9794869999999999E-2</v>
      </c>
      <c r="U3703">
        <v>-0.41688540000000002</v>
      </c>
      <c r="V3703">
        <v>-1.698262E-2</v>
      </c>
      <c r="W3703">
        <v>0.2363672</v>
      </c>
      <c r="X3703">
        <v>0.97151540000000003</v>
      </c>
      <c r="Y3703">
        <v>-6.4257850000000005E-2</v>
      </c>
      <c r="Z3703">
        <v>-4.2429190000000002E-4</v>
      </c>
      <c r="AA3703">
        <v>0.99793319999999996</v>
      </c>
      <c r="AB3703">
        <v>37</v>
      </c>
      <c r="AC3703">
        <v>-38.1492</v>
      </c>
      <c r="AD3703">
        <v>-1.1249719292239999</v>
      </c>
      <c r="AE3703">
        <v>-5.1952999999999996</v>
      </c>
      <c r="AF3703">
        <v>-2.4939327927547401</v>
      </c>
      <c r="AG3703">
        <v>-1.1249719292239999</v>
      </c>
      <c r="AH3703">
        <v>38.387563298742599</v>
      </c>
      <c r="AI3703">
        <v>91.675079490875106</v>
      </c>
      <c r="AJ3703">
        <v>93.717123005898003</v>
      </c>
      <c r="AK3703">
        <v>38.484935736353897</v>
      </c>
      <c r="AL3703">
        <v>76.327772004235001</v>
      </c>
      <c r="AM3703">
        <v>91.001459533797501</v>
      </c>
      <c r="AN3703">
        <v>1.0000000175275301</v>
      </c>
    </row>
    <row r="3704" spans="1:40" x14ac:dyDescent="0.25">
      <c r="A3704" t="str">
        <f>"20190303170842698"</f>
        <v>20190303170842698</v>
      </c>
      <c r="B3704" t="str">
        <f>"1551604122687405"</f>
        <v>1551604122687405</v>
      </c>
      <c r="C3704" t="s">
        <v>40</v>
      </c>
      <c r="D3704">
        <v>4.9537040000000001</v>
      </c>
      <c r="E3704">
        <v>0.48720989999999997</v>
      </c>
      <c r="F3704" t="s">
        <v>58</v>
      </c>
      <c r="G3704">
        <v>-419.7473</v>
      </c>
      <c r="H3704" s="1">
        <v>-7.8313879999999998E-6</v>
      </c>
      <c r="I3704">
        <v>134.7559</v>
      </c>
      <c r="J3704">
        <v>-381.36590000000001</v>
      </c>
      <c r="K3704">
        <v>1.12503</v>
      </c>
      <c r="L3704">
        <v>140.08189999999999</v>
      </c>
      <c r="M3704">
        <v>-0.99713430000000003</v>
      </c>
      <c r="N3704">
        <v>-1.496195E-2</v>
      </c>
      <c r="O3704">
        <v>-7.4158210000000002E-2</v>
      </c>
      <c r="P3704">
        <v>-0.97112189999999998</v>
      </c>
      <c r="Q3704">
        <v>0.22211690000000001</v>
      </c>
      <c r="R3704">
        <v>-8.7100929999999993E-2</v>
      </c>
      <c r="S3704">
        <v>-3.07193</v>
      </c>
      <c r="T3704">
        <v>-8.9242940000000007E-2</v>
      </c>
      <c r="U3704">
        <v>-0.42469790000000002</v>
      </c>
      <c r="V3704">
        <v>-1.7035660000000001E-2</v>
      </c>
      <c r="W3704">
        <v>0.23653070000000001</v>
      </c>
      <c r="X3704">
        <v>0.97147459999999997</v>
      </c>
      <c r="Y3704">
        <v>-6.3071100000000005E-2</v>
      </c>
      <c r="Z3704">
        <v>-3.5276730000000003E-4</v>
      </c>
      <c r="AA3704">
        <v>0.99800900000000003</v>
      </c>
      <c r="AB3704">
        <v>37</v>
      </c>
      <c r="AC3704">
        <v>-38.3813999999999</v>
      </c>
      <c r="AD3704">
        <v>-1.1250378313879901</v>
      </c>
      <c r="AE3704">
        <v>-5.3259999999999899</v>
      </c>
      <c r="AF3704">
        <v>-2.4626411933579799</v>
      </c>
      <c r="AG3704">
        <v>-1.1250378313879901</v>
      </c>
      <c r="AH3704">
        <v>38.638132943016203</v>
      </c>
      <c r="AI3704">
        <v>91.664451356497295</v>
      </c>
      <c r="AJ3704">
        <v>93.646872641809395</v>
      </c>
      <c r="AK3704">
        <v>38.732875301111697</v>
      </c>
      <c r="AL3704">
        <v>76.318129704316306</v>
      </c>
      <c r="AM3704">
        <v>91.0046288272205</v>
      </c>
      <c r="AN3704">
        <v>0.99999994209964105</v>
      </c>
    </row>
    <row r="3705" spans="1:40" x14ac:dyDescent="0.25">
      <c r="A3705" t="str">
        <f>"20190303170842724"</f>
        <v>20190303170842724</v>
      </c>
      <c r="B3705" t="str">
        <f>"1551604122716685"</f>
        <v>1551604122716685</v>
      </c>
      <c r="C3705" t="s">
        <v>40</v>
      </c>
      <c r="D3705">
        <v>4.8989750000000001</v>
      </c>
      <c r="E3705">
        <v>0.48805809999999999</v>
      </c>
      <c r="F3705" t="s">
        <v>58</v>
      </c>
      <c r="G3705">
        <v>-420.40960000000001</v>
      </c>
      <c r="H3705" s="1">
        <v>-7.8167779999999992E-6</v>
      </c>
      <c r="I3705">
        <v>134.5907</v>
      </c>
      <c r="J3705">
        <v>-381.79309999999998</v>
      </c>
      <c r="K3705">
        <v>1.1251119999999999</v>
      </c>
      <c r="L3705">
        <v>140.04560000000001</v>
      </c>
      <c r="M3705">
        <v>-0.9967703</v>
      </c>
      <c r="N3705">
        <v>-1.496226E-2</v>
      </c>
      <c r="O3705">
        <v>-7.8900040000000005E-2</v>
      </c>
      <c r="P3705">
        <v>-0.97097840000000002</v>
      </c>
      <c r="Q3705">
        <v>0.22068650000000001</v>
      </c>
      <c r="R3705">
        <v>-9.2187240000000004E-2</v>
      </c>
      <c r="S3705">
        <v>-3.0707089999999999</v>
      </c>
      <c r="T3705">
        <v>-8.8482019999999995E-2</v>
      </c>
      <c r="U3705">
        <v>-0.43186950000000002</v>
      </c>
      <c r="V3705">
        <v>-1.7513959999999999E-2</v>
      </c>
      <c r="W3705">
        <v>0.2350979</v>
      </c>
      <c r="X3705">
        <v>0.97181390000000001</v>
      </c>
      <c r="Y3705">
        <v>-6.0666499999999998E-2</v>
      </c>
      <c r="Z3705">
        <v>-2.4606779999999999E-4</v>
      </c>
      <c r="AA3705">
        <v>0.99815799999999999</v>
      </c>
      <c r="AB3705">
        <v>37</v>
      </c>
      <c r="AC3705">
        <v>-38.616500000000002</v>
      </c>
      <c r="AD3705">
        <v>-1.1251198167780001</v>
      </c>
      <c r="AE3705">
        <v>-5.4549000000000003</v>
      </c>
      <c r="AF3705">
        <v>-2.3887183029252599</v>
      </c>
      <c r="AG3705">
        <v>-1.1251198167780001</v>
      </c>
      <c r="AH3705">
        <v>38.894156362750003</v>
      </c>
      <c r="AI3705">
        <v>91.653860555645096</v>
      </c>
      <c r="AJ3705">
        <v>93.514455628719006</v>
      </c>
      <c r="AK3705">
        <v>38.9836795198052</v>
      </c>
      <c r="AL3705">
        <v>76.402606409987797</v>
      </c>
      <c r="AM3705">
        <v>91.032468636340994</v>
      </c>
      <c r="AN3705">
        <v>1.00000000880625</v>
      </c>
    </row>
    <row r="3706" spans="1:40" x14ac:dyDescent="0.25">
      <c r="A3706" t="str">
        <f>"20190303170842744"</f>
        <v>20190303170842744</v>
      </c>
      <c r="B3706" t="str">
        <f>"1551604122737182"</f>
        <v>1551604122737182</v>
      </c>
      <c r="C3706" t="s">
        <v>40</v>
      </c>
      <c r="D3706">
        <v>4.8615339999999998</v>
      </c>
      <c r="E3706">
        <v>0.4887127</v>
      </c>
      <c r="F3706" t="s">
        <v>58</v>
      </c>
      <c r="G3706">
        <v>-419.27260000000001</v>
      </c>
      <c r="H3706" s="1">
        <v>-7.8228749999999992E-6</v>
      </c>
      <c r="I3706">
        <v>134.66739999999999</v>
      </c>
      <c r="J3706">
        <v>-382.12090000000001</v>
      </c>
      <c r="K3706">
        <v>1.125165</v>
      </c>
      <c r="L3706">
        <v>140.0163</v>
      </c>
      <c r="M3706">
        <v>-0.99647090000000005</v>
      </c>
      <c r="N3706">
        <v>-1.49626E-2</v>
      </c>
      <c r="O3706">
        <v>-8.2595370000000001E-2</v>
      </c>
      <c r="P3706">
        <v>-0.97091000000000005</v>
      </c>
      <c r="Q3706">
        <v>0.2191852</v>
      </c>
      <c r="R3706">
        <v>-9.6393800000000002E-2</v>
      </c>
      <c r="S3706">
        <v>-3.0687869999999999</v>
      </c>
      <c r="T3706">
        <v>-9.2123869999999997E-2</v>
      </c>
      <c r="U3706">
        <v>-0.4403687</v>
      </c>
      <c r="V3706">
        <v>-1.811664E-2</v>
      </c>
      <c r="W3706">
        <v>0.23359369999999999</v>
      </c>
      <c r="X3706">
        <v>0.97216550000000002</v>
      </c>
      <c r="Y3706">
        <v>-5.9761120000000001E-2</v>
      </c>
      <c r="Z3706">
        <v>-1.1357749999999999E-4</v>
      </c>
      <c r="AA3706">
        <v>0.99821269999999995</v>
      </c>
      <c r="AB3706">
        <v>37</v>
      </c>
      <c r="AC3706">
        <v>-37.151699999999998</v>
      </c>
      <c r="AD3706">
        <v>-1.125172822875</v>
      </c>
      <c r="AE3706">
        <v>-5.3489000000000102</v>
      </c>
      <c r="AF3706">
        <v>-2.2596872582351999</v>
      </c>
      <c r="AG3706">
        <v>-1.125172822875</v>
      </c>
      <c r="AH3706">
        <v>37.432936549275801</v>
      </c>
      <c r="AI3706">
        <v>91.718572399269505</v>
      </c>
      <c r="AJ3706">
        <v>93.454541119236694</v>
      </c>
      <c r="AK3706">
        <v>37.5179548894723</v>
      </c>
      <c r="AL3706">
        <v>76.491259225501906</v>
      </c>
      <c r="AM3706">
        <v>91.067603075448901</v>
      </c>
      <c r="AN3706">
        <v>0.99999999435741405</v>
      </c>
    </row>
    <row r="3707" spans="1:40" x14ac:dyDescent="0.25">
      <c r="A3707" t="str">
        <f>"20190303170842766"</f>
        <v>20190303170842766</v>
      </c>
      <c r="B3707" t="str">
        <f>"1551604122756703"</f>
        <v>1551604122756703</v>
      </c>
      <c r="C3707" t="s">
        <v>40</v>
      </c>
      <c r="D3707">
        <v>4.8702880000000004</v>
      </c>
      <c r="E3707">
        <v>0.48944989999999999</v>
      </c>
      <c r="F3707" t="s">
        <v>58</v>
      </c>
      <c r="G3707">
        <v>-418.59</v>
      </c>
      <c r="H3707" s="1">
        <v>-7.8743959999999994E-6</v>
      </c>
      <c r="I3707">
        <v>134.69659999999999</v>
      </c>
      <c r="J3707">
        <v>-382.49020000000002</v>
      </c>
      <c r="K3707">
        <v>1.12523</v>
      </c>
      <c r="L3707">
        <v>139.98179999999999</v>
      </c>
      <c r="M3707">
        <v>-0.99611190000000005</v>
      </c>
      <c r="N3707">
        <v>-1.4963260000000001E-2</v>
      </c>
      <c r="O3707">
        <v>-8.6817729999999996E-2</v>
      </c>
      <c r="P3707">
        <v>-0.97059969999999995</v>
      </c>
      <c r="Q3707">
        <v>0.2186854</v>
      </c>
      <c r="R3707">
        <v>-0.10056229999999999</v>
      </c>
      <c r="S3707">
        <v>-3.0668329999999999</v>
      </c>
      <c r="T3707">
        <v>-9.4620350000000006E-2</v>
      </c>
      <c r="U3707">
        <v>-0.44735720000000001</v>
      </c>
      <c r="V3707">
        <v>-1.819631E-2</v>
      </c>
      <c r="W3707">
        <v>0.23309289999999999</v>
      </c>
      <c r="X3707">
        <v>0.97228419999999904</v>
      </c>
      <c r="Y3707">
        <v>-5.7848940000000001E-2</v>
      </c>
      <c r="Z3707" s="1">
        <v>3.8950269999999997E-5</v>
      </c>
      <c r="AA3707">
        <v>0.99832529999999997</v>
      </c>
      <c r="AB3707">
        <v>37</v>
      </c>
      <c r="AC3707">
        <v>-36.099799999999902</v>
      </c>
      <c r="AD3707">
        <v>-1.1252378743960001</v>
      </c>
      <c r="AE3707">
        <v>-5.2851999999999997</v>
      </c>
      <c r="AF3707">
        <v>-2.1287614722008499</v>
      </c>
      <c r="AG3707">
        <v>-1.1252378743960001</v>
      </c>
      <c r="AH3707">
        <v>36.387752907226698</v>
      </c>
      <c r="AI3707">
        <v>91.768202153002505</v>
      </c>
      <c r="AJ3707">
        <v>93.348109648858497</v>
      </c>
      <c r="AK3707">
        <v>36.467332604906602</v>
      </c>
      <c r="AL3707">
        <v>76.520767427206195</v>
      </c>
      <c r="AM3707">
        <v>91.072166009131706</v>
      </c>
      <c r="AN3707">
        <v>0.99999998564883197</v>
      </c>
    </row>
    <row r="3708" spans="1:40" x14ac:dyDescent="0.25">
      <c r="A3708" t="str">
        <f>"20190303170842790"</f>
        <v>20190303170842790</v>
      </c>
      <c r="B3708" t="str">
        <f>"1551604122777198"</f>
        <v>1551604122777198</v>
      </c>
      <c r="C3708" t="s">
        <v>40</v>
      </c>
      <c r="D3708">
        <v>4.9397279999999997</v>
      </c>
      <c r="E3708">
        <v>0.49984770000000001</v>
      </c>
      <c r="F3708" t="s">
        <v>58</v>
      </c>
      <c r="G3708">
        <v>-419.26060000000001</v>
      </c>
      <c r="H3708" s="1">
        <v>-7.7649980000000006E-6</v>
      </c>
      <c r="I3708">
        <v>134.52359999999999</v>
      </c>
      <c r="J3708">
        <v>-382.88040000000001</v>
      </c>
      <c r="K3708">
        <v>1.125308</v>
      </c>
      <c r="L3708">
        <v>139.9435</v>
      </c>
      <c r="M3708">
        <v>-0.99570639999999999</v>
      </c>
      <c r="N3708">
        <v>-1.49642E-2</v>
      </c>
      <c r="O3708">
        <v>-9.1352089999999997E-2</v>
      </c>
      <c r="P3708">
        <v>-0.9701398</v>
      </c>
      <c r="Q3708">
        <v>0.21845800000000001</v>
      </c>
      <c r="R3708">
        <v>-0.10538069999999999</v>
      </c>
      <c r="S3708">
        <v>-3.06488</v>
      </c>
      <c r="T3708">
        <v>-9.3790650000000003E-2</v>
      </c>
      <c r="U3708">
        <v>-0.45495609999999997</v>
      </c>
      <c r="V3708">
        <v>-1.863132E-2</v>
      </c>
      <c r="W3708">
        <v>0.2328597</v>
      </c>
      <c r="X3708">
        <v>0.97233190000000003</v>
      </c>
      <c r="Y3708">
        <v>-5.5819170000000001E-2</v>
      </c>
      <c r="Z3708">
        <v>1.395286E-4</v>
      </c>
      <c r="AA3708">
        <v>0.99844089999999996</v>
      </c>
      <c r="AB3708">
        <v>37</v>
      </c>
      <c r="AC3708">
        <v>-36.380200000000002</v>
      </c>
      <c r="AD3708">
        <v>-1.1253157649979999</v>
      </c>
      <c r="AE3708">
        <v>-5.4199000000000099</v>
      </c>
      <c r="AF3708">
        <v>-2.0715146187014799</v>
      </c>
      <c r="AG3708">
        <v>-1.1253157649979999</v>
      </c>
      <c r="AH3708">
        <v>36.688880817008702</v>
      </c>
      <c r="AI3708">
        <v>91.754024776882503</v>
      </c>
      <c r="AJ3708">
        <v>93.231582955855103</v>
      </c>
      <c r="AK3708">
        <v>36.764541123086502</v>
      </c>
      <c r="AL3708">
        <v>76.534507692175097</v>
      </c>
      <c r="AM3708">
        <v>91.097737699859096</v>
      </c>
      <c r="AN3708">
        <v>1.0000000448633199</v>
      </c>
    </row>
    <row r="3709" spans="1:40" x14ac:dyDescent="0.25">
      <c r="A3709" t="str">
        <f>"20190303170842814"</f>
        <v>20190303170842814</v>
      </c>
      <c r="B3709" t="str">
        <f>"1551604122807453"</f>
        <v>1551604122807453</v>
      </c>
      <c r="C3709" t="s">
        <v>40</v>
      </c>
      <c r="D3709">
        <v>4.7613799999999999</v>
      </c>
      <c r="E3709">
        <v>0.49988959999999999</v>
      </c>
      <c r="F3709" t="s">
        <v>43</v>
      </c>
      <c r="G3709">
        <v>-465.53919999999999</v>
      </c>
      <c r="H3709">
        <v>6.3174540000000001E-2</v>
      </c>
      <c r="I3709">
        <v>129.60310000000001</v>
      </c>
      <c r="J3709">
        <v>-383.25850000000003</v>
      </c>
      <c r="K3709">
        <v>1.12537</v>
      </c>
      <c r="L3709">
        <v>139.90459999999999</v>
      </c>
      <c r="M3709">
        <v>-0.99528680000000003</v>
      </c>
      <c r="N3709">
        <v>-1.496513E-2</v>
      </c>
      <c r="O3709">
        <v>-9.5814579999999996E-2</v>
      </c>
      <c r="P3709">
        <v>-0.96956739999999997</v>
      </c>
      <c r="Q3709">
        <v>0.2186294</v>
      </c>
      <c r="R3709">
        <v>-0.1101854</v>
      </c>
      <c r="S3709">
        <v>-3.059631</v>
      </c>
      <c r="T3709">
        <v>-3.9315099999999999E-2</v>
      </c>
      <c r="U3709">
        <v>-0.38275150000000002</v>
      </c>
      <c r="V3709">
        <v>-1.9131749999999999E-2</v>
      </c>
      <c r="W3709">
        <v>0.2330238</v>
      </c>
      <c r="X3709">
        <v>0.9722828</v>
      </c>
      <c r="Y3709">
        <v>-2.846953E-2</v>
      </c>
      <c r="Z3709">
        <v>-6.0516789999999997E-4</v>
      </c>
      <c r="AA3709">
        <v>0.99959439999999999</v>
      </c>
      <c r="AB3709">
        <v>37</v>
      </c>
      <c r="AC3709">
        <v>-82.280699999999896</v>
      </c>
      <c r="AD3709">
        <v>-1.0621954600000001</v>
      </c>
      <c r="AE3709">
        <v>-10.3014999999999</v>
      </c>
      <c r="AF3709">
        <v>-2.36913263543242</v>
      </c>
      <c r="AG3709">
        <v>-1.0621954600000001</v>
      </c>
      <c r="AH3709">
        <v>82.875604022904895</v>
      </c>
      <c r="AI3709">
        <v>90.734005354847397</v>
      </c>
      <c r="AJ3709">
        <v>91.637446208240604</v>
      </c>
      <c r="AK3709">
        <v>82.916263729143296</v>
      </c>
      <c r="AL3709">
        <v>76.524838588098504</v>
      </c>
      <c r="AM3709">
        <v>91.1272719083114</v>
      </c>
      <c r="AN3709">
        <v>0.99999997920017103</v>
      </c>
    </row>
    <row r="3710" spans="1:40" x14ac:dyDescent="0.25">
      <c r="A3710" t="str">
        <f>"20190303170842837"</f>
        <v>20190303170842837</v>
      </c>
      <c r="B3710" t="str">
        <f>"1551604122826974"</f>
        <v>1551604122826974</v>
      </c>
      <c r="C3710" t="s">
        <v>40</v>
      </c>
      <c r="D3710">
        <v>4.9499490000000002</v>
      </c>
      <c r="E3710">
        <v>0.471223</v>
      </c>
      <c r="F3710" t="s">
        <v>43</v>
      </c>
      <c r="G3710">
        <v>-466.37970000000001</v>
      </c>
      <c r="H3710">
        <v>7.9987150000000007E-2</v>
      </c>
      <c r="I3710">
        <v>129.0934</v>
      </c>
      <c r="J3710">
        <v>-383.64879999999999</v>
      </c>
      <c r="K3710">
        <v>1.1254219999999999</v>
      </c>
      <c r="L3710">
        <v>139.86250000000001</v>
      </c>
      <c r="M3710">
        <v>-0.99482669999999995</v>
      </c>
      <c r="N3710">
        <v>-1.4965849999999999E-2</v>
      </c>
      <c r="O3710">
        <v>-0.10047730000000001</v>
      </c>
      <c r="P3710">
        <v>-0.96909800000000001</v>
      </c>
      <c r="Q3710">
        <v>0.2176795</v>
      </c>
      <c r="R3710">
        <v>-0.1160373</v>
      </c>
      <c r="S3710">
        <v>-3.057617</v>
      </c>
      <c r="T3710">
        <v>-3.8454410000000001E-2</v>
      </c>
      <c r="U3710">
        <v>-0.39768979999999998</v>
      </c>
      <c r="V3710">
        <v>-2.0449080000000001E-2</v>
      </c>
      <c r="W3710">
        <v>0.23206199999999999</v>
      </c>
      <c r="X3710">
        <v>0.97248599999999996</v>
      </c>
      <c r="Y3710">
        <v>-2.8672199999999998E-2</v>
      </c>
      <c r="Z3710">
        <v>-6.4222439999999997E-4</v>
      </c>
      <c r="AA3710">
        <v>0.9995887</v>
      </c>
      <c r="AB3710">
        <v>37</v>
      </c>
      <c r="AC3710">
        <v>-82.730900000000005</v>
      </c>
      <c r="AD3710">
        <v>-1.0454348499999999</v>
      </c>
      <c r="AE3710">
        <v>-10.7691</v>
      </c>
      <c r="AF3710">
        <v>-2.40070290763801</v>
      </c>
      <c r="AG3710">
        <v>-1.0454348499999999</v>
      </c>
      <c r="AH3710">
        <v>83.381212523297407</v>
      </c>
      <c r="AI3710">
        <v>90.718040148297504</v>
      </c>
      <c r="AJ3710">
        <v>91.649198311577294</v>
      </c>
      <c r="AK3710">
        <v>83.422316620504006</v>
      </c>
      <c r="AL3710">
        <v>76.581498941794194</v>
      </c>
      <c r="AM3710">
        <v>91.204617176164504</v>
      </c>
      <c r="AN3710">
        <v>0.99999997845642297</v>
      </c>
    </row>
    <row r="3711" spans="1:40" x14ac:dyDescent="0.25">
      <c r="A3711" t="str">
        <f>"20190303170842855"</f>
        <v>20190303170842855</v>
      </c>
      <c r="B3711" t="str">
        <f>"1551604122847470"</f>
        <v>1551604122847470</v>
      </c>
      <c r="C3711" t="s">
        <v>40</v>
      </c>
      <c r="D3711">
        <v>4.8913779999999996</v>
      </c>
      <c r="E3711">
        <v>0.45157120000000001</v>
      </c>
      <c r="F3711" t="s">
        <v>46</v>
      </c>
      <c r="G3711">
        <v>-519.07029999999997</v>
      </c>
      <c r="H3711">
        <v>-0.05</v>
      </c>
      <c r="I3711">
        <v>111.1387</v>
      </c>
      <c r="J3711">
        <v>-383.94569999999999</v>
      </c>
      <c r="K3711">
        <v>1.125454</v>
      </c>
      <c r="L3711">
        <v>139.82919999999999</v>
      </c>
      <c r="M3711">
        <v>-0.99445919999999999</v>
      </c>
      <c r="N3711">
        <v>-1.4965900000000001E-2</v>
      </c>
      <c r="O3711">
        <v>-0.1040526</v>
      </c>
      <c r="P3711">
        <v>-0.96864070000000002</v>
      </c>
      <c r="Q3711">
        <v>0.21730730000000001</v>
      </c>
      <c r="R3711">
        <v>-0.1204691</v>
      </c>
      <c r="S3711">
        <v>-3.024689</v>
      </c>
      <c r="T3711">
        <v>-2.6253459999999999E-2</v>
      </c>
      <c r="U3711">
        <v>-0.64155580000000001</v>
      </c>
      <c r="V3711">
        <v>-2.1410499999999999E-2</v>
      </c>
      <c r="W3711">
        <v>0.2316793</v>
      </c>
      <c r="X3711">
        <v>0.97255659999999999</v>
      </c>
      <c r="Y3711">
        <v>-0.1045556</v>
      </c>
      <c r="Z3711">
        <v>-1.8969099999999999E-3</v>
      </c>
      <c r="AA3711">
        <v>0.99451719999999999</v>
      </c>
      <c r="AB3711">
        <v>37</v>
      </c>
      <c r="AC3711">
        <v>-135.12459999999999</v>
      </c>
      <c r="AD3711">
        <v>-1.175454</v>
      </c>
      <c r="AE3711">
        <v>-28.690499999999901</v>
      </c>
      <c r="AF3711">
        <v>-14.4720385772052</v>
      </c>
      <c r="AG3711">
        <v>-1.175454</v>
      </c>
      <c r="AH3711">
        <v>137.36666018626499</v>
      </c>
      <c r="AI3711">
        <v>90.487572875000396</v>
      </c>
      <c r="AJ3711">
        <v>96.014117213616601</v>
      </c>
      <c r="AK3711">
        <v>138.13189683565199</v>
      </c>
      <c r="AL3711">
        <v>76.604040986979598</v>
      </c>
      <c r="AM3711">
        <v>91.261143226446805</v>
      </c>
      <c r="AN3711">
        <v>1.00000002388114</v>
      </c>
    </row>
    <row r="3712" spans="1:40" x14ac:dyDescent="0.25">
      <c r="A3712" t="str">
        <f>"20190303170842877"</f>
        <v>20190303170842877</v>
      </c>
      <c r="B3712" t="str">
        <f>"1551604122866990"</f>
        <v>1551604122866990</v>
      </c>
      <c r="C3712" t="s">
        <v>40</v>
      </c>
      <c r="D3712">
        <v>4.8193530000000004</v>
      </c>
      <c r="E3712">
        <v>0.40302680000000002</v>
      </c>
      <c r="F3712" t="s">
        <v>76</v>
      </c>
      <c r="G3712">
        <v>-459.65750000000003</v>
      </c>
      <c r="H3712">
        <v>1.0566549999999999</v>
      </c>
      <c r="I3712">
        <v>119.395</v>
      </c>
      <c r="J3712">
        <v>-384.2989</v>
      </c>
      <c r="K3712">
        <v>1.1254839999999999</v>
      </c>
      <c r="L3712">
        <v>139.78819999999999</v>
      </c>
      <c r="M3712">
        <v>-0.9940021</v>
      </c>
      <c r="N3712">
        <v>-1.4965350000000001E-2</v>
      </c>
      <c r="O3712">
        <v>-0.1083326</v>
      </c>
      <c r="P3712">
        <v>-0.96780279999999996</v>
      </c>
      <c r="Q3712">
        <v>0.21833710000000001</v>
      </c>
      <c r="R3712">
        <v>-0.12524679999999999</v>
      </c>
      <c r="S3712">
        <v>-2.9971009999999998</v>
      </c>
      <c r="T3712">
        <v>-2.7222629999999999E-3</v>
      </c>
      <c r="U3712">
        <v>-0.80889889999999998</v>
      </c>
      <c r="V3712">
        <v>-2.2075569999999999E-2</v>
      </c>
      <c r="W3712">
        <v>0.23269690000000001</v>
      </c>
      <c r="X3712">
        <v>0.97229869999999996</v>
      </c>
      <c r="Y3712">
        <v>-0.1544431</v>
      </c>
      <c r="Z3712">
        <v>-2.749909E-3</v>
      </c>
      <c r="AA3712">
        <v>0.98799780000000004</v>
      </c>
      <c r="AB3712">
        <v>37</v>
      </c>
      <c r="AC3712">
        <v>-75.358599999999996</v>
      </c>
      <c r="AD3712">
        <v>-6.8829000000000001E-2</v>
      </c>
      <c r="AE3712">
        <v>-20.3932</v>
      </c>
      <c r="AF3712">
        <v>-12.108436596355499</v>
      </c>
      <c r="AG3712">
        <v>-6.8829000000000001E-2</v>
      </c>
      <c r="AH3712">
        <v>77.124428610788399</v>
      </c>
      <c r="AI3712">
        <v>90.050514323954701</v>
      </c>
      <c r="AJ3712">
        <v>98.922530508179506</v>
      </c>
      <c r="AK3712">
        <v>78.069177418362699</v>
      </c>
      <c r="AL3712">
        <v>76.5440978915409</v>
      </c>
      <c r="AM3712">
        <v>91.300649398690496</v>
      </c>
      <c r="AN3712">
        <v>0.999999970041061</v>
      </c>
    </row>
    <row r="3713" spans="1:40" x14ac:dyDescent="0.25">
      <c r="A3713" t="str">
        <f>"20190303170842899"</f>
        <v>20190303170842899</v>
      </c>
      <c r="B3713" t="str">
        <f>"1551604122887486"</f>
        <v>1551604122887486</v>
      </c>
      <c r="C3713" t="s">
        <v>40</v>
      </c>
      <c r="D3713">
        <v>4.8330129999999896</v>
      </c>
      <c r="E3713">
        <v>0.40322459999999999</v>
      </c>
      <c r="F3713" t="s">
        <v>76</v>
      </c>
      <c r="G3713">
        <v>-440.75</v>
      </c>
      <c r="H3713">
        <v>2.5945550000000002</v>
      </c>
      <c r="I3713">
        <v>116.5972</v>
      </c>
      <c r="J3713">
        <v>-384.6499</v>
      </c>
      <c r="K3713">
        <v>1.1255029999999999</v>
      </c>
      <c r="L3713">
        <v>139.74590000000001</v>
      </c>
      <c r="M3713">
        <v>-0.99352720000000005</v>
      </c>
      <c r="N3713">
        <v>-1.496426E-2</v>
      </c>
      <c r="O3713">
        <v>-0.1126041</v>
      </c>
      <c r="P3713">
        <v>-0.96719390000000005</v>
      </c>
      <c r="Q3713">
        <v>0.2189769</v>
      </c>
      <c r="R3713">
        <v>-0.1287835</v>
      </c>
      <c r="S3713">
        <v>-2.9270019999999999</v>
      </c>
      <c r="T3713">
        <v>7.6172950000000003E-2</v>
      </c>
      <c r="U3713">
        <v>-1.2024539999999999</v>
      </c>
      <c r="V3713">
        <v>-2.148197E-2</v>
      </c>
      <c r="W3713">
        <v>0.23333860000000001</v>
      </c>
      <c r="X3713">
        <v>0.97215819999999997</v>
      </c>
      <c r="Y3713">
        <v>-0.27346320000000002</v>
      </c>
      <c r="Z3713">
        <v>-3.1342179999999998E-3</v>
      </c>
      <c r="AA3713">
        <v>0.96187730000000005</v>
      </c>
      <c r="AB3713">
        <v>37</v>
      </c>
      <c r="AC3713">
        <v>-56.100099999999998</v>
      </c>
      <c r="AD3713">
        <v>1.46905199999999</v>
      </c>
      <c r="AE3713">
        <v>-23.148700000000002</v>
      </c>
      <c r="AF3713">
        <v>-16.673860560075401</v>
      </c>
      <c r="AG3713">
        <v>1.46905199999999</v>
      </c>
      <c r="AH3713">
        <v>58.315979532745999</v>
      </c>
      <c r="AI3713">
        <v>88.612530275777303</v>
      </c>
      <c r="AJ3713">
        <v>105.956433725403</v>
      </c>
      <c r="AK3713">
        <v>60.670661844248897</v>
      </c>
      <c r="AL3713">
        <v>76.506290463480198</v>
      </c>
      <c r="AM3713">
        <v>91.265870044131901</v>
      </c>
      <c r="AN3713">
        <v>0.99999997155613995</v>
      </c>
    </row>
    <row r="3714" spans="1:40" x14ac:dyDescent="0.25">
      <c r="A3714" t="str">
        <f>"20190303170842924"</f>
        <v>20190303170842924</v>
      </c>
      <c r="B3714" t="str">
        <f>"1551604122916766"</f>
        <v>1551604122916766</v>
      </c>
      <c r="C3714" t="s">
        <v>40</v>
      </c>
      <c r="D3714">
        <v>4.7987780000000004</v>
      </c>
      <c r="E3714">
        <v>0.40416800000000003</v>
      </c>
      <c r="F3714" t="s">
        <v>76</v>
      </c>
      <c r="G3714">
        <v>-440.75</v>
      </c>
      <c r="H3714">
        <v>2.7554020000000001</v>
      </c>
      <c r="I3714">
        <v>116.4712</v>
      </c>
      <c r="J3714">
        <v>-385.0385</v>
      </c>
      <c r="K3714">
        <v>1.125507</v>
      </c>
      <c r="L3714">
        <v>139.69730000000001</v>
      </c>
      <c r="M3714">
        <v>-0.99297849999999999</v>
      </c>
      <c r="N3714">
        <v>-1.4962400000000001E-2</v>
      </c>
      <c r="O3714">
        <v>-0.1173449</v>
      </c>
      <c r="P3714">
        <v>-0.96684879999999995</v>
      </c>
      <c r="Q3714">
        <v>0.21822569999999999</v>
      </c>
      <c r="R3714">
        <v>-0.13259299999999999</v>
      </c>
      <c r="S3714">
        <v>-2.921173</v>
      </c>
      <c r="T3714">
        <v>8.4871169999999996E-2</v>
      </c>
      <c r="U3714">
        <v>-1.211929</v>
      </c>
      <c r="V3714">
        <v>-2.064947E-2</v>
      </c>
      <c r="W3714">
        <v>0.2325972</v>
      </c>
      <c r="X3714">
        <v>0.97235389999999999</v>
      </c>
      <c r="Y3714">
        <v>-0.27221430000000002</v>
      </c>
      <c r="Z3714">
        <v>-3.2690100000000001E-3</v>
      </c>
      <c r="AA3714">
        <v>0.96223110000000001</v>
      </c>
      <c r="AB3714">
        <v>37</v>
      </c>
      <c r="AC3714">
        <v>-55.711500000000001</v>
      </c>
      <c r="AD3714">
        <v>1.6298950000000001</v>
      </c>
      <c r="AE3714">
        <v>-23.226099999999999</v>
      </c>
      <c r="AF3714">
        <v>-16.515365026663101</v>
      </c>
      <c r="AG3714">
        <v>1.6298950000000001</v>
      </c>
      <c r="AH3714">
        <v>58.009985017570997</v>
      </c>
      <c r="AI3714">
        <v>88.452073740476607</v>
      </c>
      <c r="AJ3714">
        <v>105.891582214663</v>
      </c>
      <c r="AK3714">
        <v>60.337154402687602</v>
      </c>
      <c r="AL3714">
        <v>76.549971614049795</v>
      </c>
      <c r="AM3714">
        <v>91.216583455720695</v>
      </c>
      <c r="AN3714">
        <v>0.99999998245216504</v>
      </c>
    </row>
    <row r="3715" spans="1:40" x14ac:dyDescent="0.25">
      <c r="A3715" t="str">
        <f>"20190303170842945"</f>
        <v>20190303170842945</v>
      </c>
      <c r="B3715" t="str">
        <f>"1551604122937261"</f>
        <v>1551604122937261</v>
      </c>
      <c r="C3715" t="s">
        <v>40</v>
      </c>
      <c r="D3715">
        <v>4.837688</v>
      </c>
      <c r="E3715">
        <v>0.40460970000000002</v>
      </c>
      <c r="F3715" t="s">
        <v>76</v>
      </c>
      <c r="G3715">
        <v>-440.75</v>
      </c>
      <c r="H3715">
        <v>2.6100249999999998</v>
      </c>
      <c r="I3715">
        <v>116.4746</v>
      </c>
      <c r="J3715">
        <v>-385.38209999999998</v>
      </c>
      <c r="K3715">
        <v>1.125507</v>
      </c>
      <c r="L3715">
        <v>139.65280000000001</v>
      </c>
      <c r="M3715">
        <v>-0.9924733</v>
      </c>
      <c r="N3715">
        <v>-1.49604E-2</v>
      </c>
      <c r="O3715">
        <v>-0.1215446</v>
      </c>
      <c r="P3715">
        <v>-0.9665397</v>
      </c>
      <c r="Q3715">
        <v>0.21752079999999999</v>
      </c>
      <c r="R3715">
        <v>-0.135963</v>
      </c>
      <c r="S3715">
        <v>-2.918488</v>
      </c>
      <c r="T3715">
        <v>7.7768799999999999E-2</v>
      </c>
      <c r="U3715">
        <v>-1.216537</v>
      </c>
      <c r="V3715">
        <v>-1.990128E-2</v>
      </c>
      <c r="W3715">
        <v>0.2319001</v>
      </c>
      <c r="X3715">
        <v>0.97253599999999996</v>
      </c>
      <c r="Y3715">
        <v>-0.26975500000000002</v>
      </c>
      <c r="Z3715">
        <v>-3.4934660000000002E-3</v>
      </c>
      <c r="AA3715">
        <v>0.96292259999999996</v>
      </c>
      <c r="AB3715">
        <v>37</v>
      </c>
      <c r="AC3715">
        <v>-55.367899999999999</v>
      </c>
      <c r="AD3715">
        <v>1.48451799999999</v>
      </c>
      <c r="AE3715">
        <v>-23.1782</v>
      </c>
      <c r="AF3715">
        <v>-16.265945999947501</v>
      </c>
      <c r="AG3715">
        <v>1.48451799999999</v>
      </c>
      <c r="AH3715">
        <v>57.739490470293603</v>
      </c>
      <c r="AI3715">
        <v>88.5823698202028</v>
      </c>
      <c r="AJ3715">
        <v>105.733200684501</v>
      </c>
      <c r="AK3715">
        <v>60.005279373857299</v>
      </c>
      <c r="AL3715">
        <v>76.591035493593793</v>
      </c>
      <c r="AM3715">
        <v>91.172296173316795</v>
      </c>
      <c r="AN3715">
        <v>0.99999999431082398</v>
      </c>
    </row>
    <row r="3716" spans="1:40" x14ac:dyDescent="0.25">
      <c r="A3716" t="str">
        <f>"20190303170842978"</f>
        <v>20190303170842978</v>
      </c>
      <c r="B3716" t="str">
        <f>"1551604122966542"</f>
        <v>1551604122966542</v>
      </c>
      <c r="C3716" t="s">
        <v>40</v>
      </c>
      <c r="D3716">
        <v>4.8633959999999998</v>
      </c>
      <c r="E3716">
        <v>0.40523120000000001</v>
      </c>
      <c r="F3716" t="s">
        <v>76</v>
      </c>
      <c r="G3716">
        <v>-440.75</v>
      </c>
      <c r="H3716">
        <v>2.5587019999999998</v>
      </c>
      <c r="I3716">
        <v>116.41849999999999</v>
      </c>
      <c r="J3716">
        <v>-385.91180000000003</v>
      </c>
      <c r="K3716">
        <v>1.125521</v>
      </c>
      <c r="L3716">
        <v>139.58109999999999</v>
      </c>
      <c r="M3716">
        <v>-0.99165859999999995</v>
      </c>
      <c r="N3716">
        <v>-1.4956850000000001E-2</v>
      </c>
      <c r="O3716">
        <v>-0.1280212</v>
      </c>
      <c r="P3716">
        <v>-0.96556520000000001</v>
      </c>
      <c r="Q3716">
        <v>0.21792929999999999</v>
      </c>
      <c r="R3716">
        <v>-0.1420931</v>
      </c>
      <c r="S3716">
        <v>-2.9147949999999998</v>
      </c>
      <c r="T3716">
        <v>7.5450539999999996E-2</v>
      </c>
      <c r="U3716">
        <v>-1.2231449999999999</v>
      </c>
      <c r="V3716">
        <v>-1.9742579999999999E-2</v>
      </c>
      <c r="W3716">
        <v>0.2323055</v>
      </c>
      <c r="X3716">
        <v>0.97244249999999999</v>
      </c>
      <c r="Y3716">
        <v>-0.26576159999999999</v>
      </c>
      <c r="Z3716">
        <v>-3.7744160000000001E-3</v>
      </c>
      <c r="AA3716">
        <v>0.96403139999999998</v>
      </c>
      <c r="AB3716">
        <v>37</v>
      </c>
      <c r="AC3716">
        <v>-54.838199999999901</v>
      </c>
      <c r="AD3716">
        <v>1.433181</v>
      </c>
      <c r="AE3716">
        <v>-23.162600000000001</v>
      </c>
      <c r="AF3716">
        <v>-15.941484300140701</v>
      </c>
      <c r="AG3716">
        <v>1.433181</v>
      </c>
      <c r="AH3716">
        <v>57.3192711887082</v>
      </c>
      <c r="AI3716">
        <v>88.620058198833405</v>
      </c>
      <c r="AJ3716">
        <v>105.54217222715</v>
      </c>
      <c r="AK3716">
        <v>59.512047344004799</v>
      </c>
      <c r="AL3716">
        <v>76.567155943239797</v>
      </c>
      <c r="AM3716">
        <v>91.163062224117894</v>
      </c>
      <c r="AN3716">
        <v>1.00000001530077</v>
      </c>
    </row>
    <row r="3717" spans="1:40" x14ac:dyDescent="0.25">
      <c r="A3717" t="str">
        <f>"20190303170843024"</f>
        <v>20190303170843024</v>
      </c>
      <c r="B3717" t="str">
        <f>"1551604123017294"</f>
        <v>1551604123017294</v>
      </c>
      <c r="C3717" t="s">
        <v>40</v>
      </c>
      <c r="D3717">
        <v>4.875248</v>
      </c>
      <c r="E3717">
        <v>0.40592040000000001</v>
      </c>
      <c r="F3717" t="s">
        <v>76</v>
      </c>
      <c r="G3717">
        <v>-440.75</v>
      </c>
      <c r="H3717">
        <v>2.5300479999999999</v>
      </c>
      <c r="I3717">
        <v>116.2509</v>
      </c>
      <c r="J3717">
        <v>-386.63749999999999</v>
      </c>
      <c r="K3717">
        <v>1.1255250000000001</v>
      </c>
      <c r="L3717">
        <v>139.47720000000001</v>
      </c>
      <c r="M3717">
        <v>-0.99047200000000002</v>
      </c>
      <c r="N3717">
        <v>-1.495136E-2</v>
      </c>
      <c r="O3717">
        <v>-0.13690050000000001</v>
      </c>
      <c r="P3717">
        <v>-0.96430020000000005</v>
      </c>
      <c r="Q3717">
        <v>0.2169181</v>
      </c>
      <c r="R3717">
        <v>-0.151894</v>
      </c>
      <c r="S3717">
        <v>-2.9081419999999998</v>
      </c>
      <c r="T3717">
        <v>7.4485060000000006E-2</v>
      </c>
      <c r="U3717">
        <v>-1.237228</v>
      </c>
      <c r="V3717">
        <v>-2.0871339999999999E-2</v>
      </c>
      <c r="W3717">
        <v>0.23127990000000001</v>
      </c>
      <c r="X3717">
        <v>0.97266330000000001</v>
      </c>
      <c r="Y3717">
        <v>-0.26187510000000003</v>
      </c>
      <c r="Z3717">
        <v>-4.1356919999999998E-3</v>
      </c>
      <c r="AA3717">
        <v>0.96509290000000003</v>
      </c>
      <c r="AB3717">
        <v>36</v>
      </c>
      <c r="AC3717">
        <v>-54.112499999999997</v>
      </c>
      <c r="AD3717">
        <v>1.40452299999999</v>
      </c>
      <c r="AE3717">
        <v>-23.226299999999998</v>
      </c>
      <c r="AF3717">
        <v>-15.589845674279699</v>
      </c>
      <c r="AG3717">
        <v>1.40452299999999</v>
      </c>
      <c r="AH3717">
        <v>56.750668491459301</v>
      </c>
      <c r="AI3717">
        <v>88.632900657195904</v>
      </c>
      <c r="AJ3717">
        <v>105.360680071617</v>
      </c>
      <c r="AK3717">
        <v>58.869808452490297</v>
      </c>
      <c r="AL3717">
        <v>76.627562801067995</v>
      </c>
      <c r="AM3717">
        <v>91.2292601220921</v>
      </c>
      <c r="AN3717">
        <v>0.99999995007214604</v>
      </c>
    </row>
    <row r="3718" spans="1:40" x14ac:dyDescent="0.25">
      <c r="A3718" t="str">
        <f>"20190303170843044"</f>
        <v>20190303170843044</v>
      </c>
      <c r="B3718" t="str">
        <f>"1551604123036814"</f>
        <v>1551604123036814</v>
      </c>
      <c r="C3718" t="s">
        <v>40</v>
      </c>
      <c r="D3718">
        <v>4.8857809999999997</v>
      </c>
      <c r="E3718">
        <v>0.40609960000000001</v>
      </c>
      <c r="F3718" t="s">
        <v>76</v>
      </c>
      <c r="G3718">
        <v>-440.75</v>
      </c>
      <c r="H3718">
        <v>2.3815379999999999</v>
      </c>
      <c r="I3718">
        <v>115.94199999999999</v>
      </c>
      <c r="J3718">
        <v>-386.98559999999998</v>
      </c>
      <c r="K3718">
        <v>1.1255170000000001</v>
      </c>
      <c r="L3718">
        <v>139.42509999999999</v>
      </c>
      <c r="M3718">
        <v>-0.98987409999999998</v>
      </c>
      <c r="N3718">
        <v>-1.494853E-2</v>
      </c>
      <c r="O3718">
        <v>-0.1411598</v>
      </c>
      <c r="P3718">
        <v>-0.96360159999999995</v>
      </c>
      <c r="Q3718">
        <v>0.216393</v>
      </c>
      <c r="R3718">
        <v>-0.15699060000000001</v>
      </c>
      <c r="S3718">
        <v>-2.8974609999999998</v>
      </c>
      <c r="T3718">
        <v>6.7254659999999994E-2</v>
      </c>
      <c r="U3718">
        <v>-1.2601929999999999</v>
      </c>
      <c r="V3718">
        <v>-2.180967E-2</v>
      </c>
      <c r="W3718">
        <v>0.23074359999999999</v>
      </c>
      <c r="X3718">
        <v>0.97277020000000003</v>
      </c>
      <c r="Y3718">
        <v>-0.26545340000000001</v>
      </c>
      <c r="Z3718">
        <v>-4.2667829999999997E-3</v>
      </c>
      <c r="AA3718">
        <v>0.96411420000000003</v>
      </c>
      <c r="AB3718">
        <v>36</v>
      </c>
      <c r="AC3718">
        <v>-53.764400000000002</v>
      </c>
      <c r="AD3718">
        <v>1.2560209999999901</v>
      </c>
      <c r="AE3718">
        <v>-23.483099999999901</v>
      </c>
      <c r="AF3718">
        <v>-15.650514803816</v>
      </c>
      <c r="AG3718">
        <v>1.2560209999999901</v>
      </c>
      <c r="AH3718">
        <v>56.515264041370202</v>
      </c>
      <c r="AI3718">
        <v>88.7730058324574</v>
      </c>
      <c r="AJ3718">
        <v>105.478764332895</v>
      </c>
      <c r="AK3718">
        <v>58.655701104348701</v>
      </c>
      <c r="AL3718">
        <v>76.659146371817698</v>
      </c>
      <c r="AM3718">
        <v>91.284365752669203</v>
      </c>
      <c r="AN3718">
        <v>1.0000000663272499</v>
      </c>
    </row>
    <row r="3719" spans="1:40" x14ac:dyDescent="0.25">
      <c r="A3719" t="str">
        <f>"20190303170843066"</f>
        <v>20190303170843066</v>
      </c>
      <c r="B3719" t="str">
        <f>"1551604123057310"</f>
        <v>1551604123057310</v>
      </c>
      <c r="C3719" t="s">
        <v>40</v>
      </c>
      <c r="D3719">
        <v>4.8936159999999997</v>
      </c>
      <c r="E3719">
        <v>0.40626099999999998</v>
      </c>
      <c r="F3719" t="s">
        <v>76</v>
      </c>
      <c r="G3719">
        <v>-440.75</v>
      </c>
      <c r="H3719">
        <v>2.362873</v>
      </c>
      <c r="I3719">
        <v>115.72920000000001</v>
      </c>
      <c r="J3719">
        <v>-387.32979999999998</v>
      </c>
      <c r="K3719">
        <v>1.125515</v>
      </c>
      <c r="L3719">
        <v>139.37190000000001</v>
      </c>
      <c r="M3719">
        <v>-0.98926369999999997</v>
      </c>
      <c r="N3719">
        <v>-1.494563E-2</v>
      </c>
      <c r="O3719">
        <v>-0.14537539999999999</v>
      </c>
      <c r="P3719">
        <v>-0.96290549999999997</v>
      </c>
      <c r="Q3719">
        <v>0.2158543</v>
      </c>
      <c r="R3719">
        <v>-0.16192670000000001</v>
      </c>
      <c r="S3719">
        <v>-2.8908079999999998</v>
      </c>
      <c r="T3719">
        <v>6.6531419999999994E-2</v>
      </c>
      <c r="U3719">
        <v>-1.274078</v>
      </c>
      <c r="V3719">
        <v>-2.2628140000000001E-2</v>
      </c>
      <c r="W3719">
        <v>0.23019510000000001</v>
      </c>
      <c r="X3719">
        <v>0.97288140000000001</v>
      </c>
      <c r="Y3719">
        <v>-0.266044</v>
      </c>
      <c r="Z3719">
        <v>-4.4147149999999996E-3</v>
      </c>
      <c r="AA3719">
        <v>0.9639508</v>
      </c>
      <c r="AB3719">
        <v>36</v>
      </c>
      <c r="AC3719">
        <v>-53.420200000000001</v>
      </c>
      <c r="AD3719">
        <v>1.237358</v>
      </c>
      <c r="AE3719">
        <v>-23.642700000000001</v>
      </c>
      <c r="AF3719">
        <v>-15.617620105961601</v>
      </c>
      <c r="AG3719">
        <v>1.237358</v>
      </c>
      <c r="AH3719">
        <v>56.2647751558507</v>
      </c>
      <c r="AI3719">
        <v>88.786054843360503</v>
      </c>
      <c r="AJ3719">
        <v>105.513253602723</v>
      </c>
      <c r="AK3719">
        <v>58.405188433329599</v>
      </c>
      <c r="AL3719">
        <v>76.691441871107003</v>
      </c>
      <c r="AM3719">
        <v>91.332395916802994</v>
      </c>
      <c r="AN3719">
        <v>1.00000001762491</v>
      </c>
    </row>
    <row r="3720" spans="1:40" x14ac:dyDescent="0.25">
      <c r="A3720" t="str">
        <f>"20190303170843090"</f>
        <v>20190303170843090</v>
      </c>
      <c r="B3720" t="str">
        <f>"1551604123076830"</f>
        <v>1551604123076830</v>
      </c>
      <c r="C3720" t="s">
        <v>40</v>
      </c>
      <c r="D3720">
        <v>4.8789930000000004</v>
      </c>
      <c r="E3720">
        <v>0.40653450000000002</v>
      </c>
      <c r="F3720" t="s">
        <v>76</v>
      </c>
      <c r="G3720">
        <v>-440.75</v>
      </c>
      <c r="H3720">
        <v>2.3309090000000001</v>
      </c>
      <c r="I3720">
        <v>115.5141</v>
      </c>
      <c r="J3720">
        <v>-387.70269999999999</v>
      </c>
      <c r="K3720">
        <v>1.125513</v>
      </c>
      <c r="L3720">
        <v>139.31270000000001</v>
      </c>
      <c r="M3720">
        <v>-0.98858190000000001</v>
      </c>
      <c r="N3720">
        <v>-1.494238E-2</v>
      </c>
      <c r="O3720">
        <v>-0.149942299999999</v>
      </c>
      <c r="P3720">
        <v>-0.96197940000000004</v>
      </c>
      <c r="Q3720">
        <v>0.2161844</v>
      </c>
      <c r="R3720">
        <v>-0.1669129</v>
      </c>
      <c r="S3720">
        <v>-2.8843380000000001</v>
      </c>
      <c r="T3720">
        <v>6.5084699999999995E-2</v>
      </c>
      <c r="U3720">
        <v>-1.288162</v>
      </c>
      <c r="V3720">
        <v>-2.318858E-2</v>
      </c>
      <c r="W3720">
        <v>0.23051569999999999</v>
      </c>
      <c r="X3720">
        <v>0.97279230000000005</v>
      </c>
      <c r="Y3720">
        <v>-0.26632319999999998</v>
      </c>
      <c r="Z3720">
        <v>-4.5706430000000001E-3</v>
      </c>
      <c r="AA3720">
        <v>0.96387299999999998</v>
      </c>
      <c r="AB3720">
        <v>36</v>
      </c>
      <c r="AC3720">
        <v>-53.0473</v>
      </c>
      <c r="AD3720">
        <v>1.2053959999999999</v>
      </c>
      <c r="AE3720">
        <v>-23.7986</v>
      </c>
      <c r="AF3720">
        <v>-15.5678772571564</v>
      </c>
      <c r="AG3720">
        <v>1.2053959999999999</v>
      </c>
      <c r="AH3720">
        <v>55.992200442871997</v>
      </c>
      <c r="AI3720">
        <v>88.811789520857403</v>
      </c>
      <c r="AJ3720">
        <v>105.53787362828</v>
      </c>
      <c r="AK3720">
        <v>58.128635733564799</v>
      </c>
      <c r="AL3720">
        <v>76.672565334030395</v>
      </c>
      <c r="AM3720">
        <v>91.365508557570607</v>
      </c>
      <c r="AN3720">
        <v>1.00000002856409</v>
      </c>
    </row>
    <row r="3721" spans="1:40" x14ac:dyDescent="0.25">
      <c r="A3721" t="str">
        <f>"20190303170843113"</f>
        <v>20190303170843113</v>
      </c>
      <c r="B3721" t="str">
        <f>"1551604123107086"</f>
        <v>1551604123107086</v>
      </c>
      <c r="C3721" t="s">
        <v>40</v>
      </c>
      <c r="D3721">
        <v>4.8969680000000002</v>
      </c>
      <c r="E3721">
        <v>0.40701789999999999</v>
      </c>
      <c r="F3721" t="s">
        <v>76</v>
      </c>
      <c r="G3721">
        <v>-440.75</v>
      </c>
      <c r="H3721">
        <v>2.3073990000000002</v>
      </c>
      <c r="I3721">
        <v>115.3395</v>
      </c>
      <c r="J3721">
        <v>-388.07530000000003</v>
      </c>
      <c r="K3721">
        <v>1.125502</v>
      </c>
      <c r="L3721">
        <v>139.2516</v>
      </c>
      <c r="M3721">
        <v>-0.98787840000000005</v>
      </c>
      <c r="N3721">
        <v>-1.493889E-2</v>
      </c>
      <c r="O3721">
        <v>-0.15450990000000001</v>
      </c>
      <c r="P3721">
        <v>-0.96101460000000005</v>
      </c>
      <c r="Q3721">
        <v>0.21661569999999999</v>
      </c>
      <c r="R3721">
        <v>-0.1718392</v>
      </c>
      <c r="S3721">
        <v>-2.8784480000000001</v>
      </c>
      <c r="T3721">
        <v>6.4132690000000006E-2</v>
      </c>
      <c r="U3721">
        <v>-1.300827</v>
      </c>
      <c r="V3721">
        <v>-2.369361E-2</v>
      </c>
      <c r="W3721">
        <v>0.230937</v>
      </c>
      <c r="X3721">
        <v>0.97268019999999999</v>
      </c>
      <c r="Y3721">
        <v>-0.26613170000000003</v>
      </c>
      <c r="Z3721">
        <v>-4.7269019999999998E-3</v>
      </c>
      <c r="AA3721">
        <v>0.96392509999999998</v>
      </c>
      <c r="AB3721">
        <v>36</v>
      </c>
      <c r="AC3721">
        <v>-52.674699999999902</v>
      </c>
      <c r="AD3721">
        <v>1.181897</v>
      </c>
      <c r="AE3721">
        <v>-23.912099999999899</v>
      </c>
      <c r="AF3721">
        <v>-15.4787495914233</v>
      </c>
      <c r="AG3721">
        <v>1.181897</v>
      </c>
      <c r="AH3721">
        <v>55.713811975663504</v>
      </c>
      <c r="AI3721">
        <v>88.829063610989493</v>
      </c>
      <c r="AJ3721">
        <v>105.52667985838001</v>
      </c>
      <c r="AK3721">
        <v>57.836125512452703</v>
      </c>
      <c r="AL3721">
        <v>76.647757264646103</v>
      </c>
      <c r="AM3721">
        <v>91.395397421887907</v>
      </c>
      <c r="AN3721">
        <v>1.00000002829793</v>
      </c>
    </row>
    <row r="3722" spans="1:40" x14ac:dyDescent="0.25">
      <c r="A3722" t="str">
        <f>"20190303170843136"</f>
        <v>20190303170843136</v>
      </c>
      <c r="B3722" t="str">
        <f>"1551604123126607"</f>
        <v>1551604123126607</v>
      </c>
      <c r="C3722" t="s">
        <v>40</v>
      </c>
      <c r="D3722">
        <v>4.9126849999999997</v>
      </c>
      <c r="E3722">
        <v>0.40735329999999997</v>
      </c>
      <c r="F3722" t="s">
        <v>76</v>
      </c>
      <c r="G3722">
        <v>-440.75</v>
      </c>
      <c r="H3722">
        <v>2.273161</v>
      </c>
      <c r="I3722">
        <v>115.202</v>
      </c>
      <c r="J3722">
        <v>-388.43790000000001</v>
      </c>
      <c r="K3722">
        <v>1.1254930000000001</v>
      </c>
      <c r="L3722">
        <v>139.19049999999999</v>
      </c>
      <c r="M3722">
        <v>-0.98717270000000001</v>
      </c>
      <c r="N3722">
        <v>-1.493534E-2</v>
      </c>
      <c r="O3722">
        <v>-0.15895670000000001</v>
      </c>
      <c r="P3722">
        <v>-0.96033820000000003</v>
      </c>
      <c r="Q3722">
        <v>0.21620020000000001</v>
      </c>
      <c r="R3722">
        <v>-0.17609179999999999</v>
      </c>
      <c r="S3722">
        <v>-2.8730470000000001</v>
      </c>
      <c r="T3722">
        <v>6.2598230000000005E-2</v>
      </c>
      <c r="U3722">
        <v>-1.3117369999999999</v>
      </c>
      <c r="V3722">
        <v>-2.359582E-2</v>
      </c>
      <c r="W3722">
        <v>0.2305208</v>
      </c>
      <c r="X3722">
        <v>0.97278120000000001</v>
      </c>
      <c r="Y3722">
        <v>-0.26550570000000001</v>
      </c>
      <c r="Z3722">
        <v>-4.8725119999999999E-3</v>
      </c>
      <c r="AA3722">
        <v>0.96409699999999998</v>
      </c>
      <c r="AB3722">
        <v>36</v>
      </c>
      <c r="AC3722">
        <v>-52.312100000000001</v>
      </c>
      <c r="AD3722">
        <v>1.1476679999999999</v>
      </c>
      <c r="AE3722">
        <v>-23.988499999999899</v>
      </c>
      <c r="AF3722">
        <v>-15.361036848708</v>
      </c>
      <c r="AG3722">
        <v>1.1476679999999999</v>
      </c>
      <c r="AH3722">
        <v>55.438342079421901</v>
      </c>
      <c r="AI3722">
        <v>88.857099152605201</v>
      </c>
      <c r="AJ3722">
        <v>105.487162228153</v>
      </c>
      <c r="AK3722">
        <v>57.538581555514497</v>
      </c>
      <c r="AL3722">
        <v>76.672263734258294</v>
      </c>
      <c r="AM3722">
        <v>91.389496274281996</v>
      </c>
      <c r="AN3722">
        <v>0.99999993251377395</v>
      </c>
    </row>
    <row r="3723" spans="1:40" x14ac:dyDescent="0.25">
      <c r="A3723" t="str">
        <f>"20190303170843157"</f>
        <v>20190303170843157</v>
      </c>
      <c r="B3723" t="str">
        <f>"1551604123147102"</f>
        <v>1551604123147102</v>
      </c>
      <c r="C3723" t="s">
        <v>40</v>
      </c>
      <c r="D3723">
        <v>4.9505739999999996</v>
      </c>
      <c r="E3723">
        <v>0.40750609999999998</v>
      </c>
      <c r="F3723" t="s">
        <v>76</v>
      </c>
      <c r="G3723">
        <v>-440.75</v>
      </c>
      <c r="H3723">
        <v>2.213187</v>
      </c>
      <c r="I3723">
        <v>115.0844</v>
      </c>
      <c r="J3723">
        <v>-388.76609999999999</v>
      </c>
      <c r="K3723">
        <v>1.125481</v>
      </c>
      <c r="L3723">
        <v>139.13380000000001</v>
      </c>
      <c r="M3723">
        <v>-0.98651599999999995</v>
      </c>
      <c r="N3723">
        <v>-1.4931969999999999E-2</v>
      </c>
      <c r="O3723">
        <v>-0.162982399999999</v>
      </c>
      <c r="P3723">
        <v>-0.95962789999999998</v>
      </c>
      <c r="Q3723">
        <v>0.21584</v>
      </c>
      <c r="R3723">
        <v>-0.1803543</v>
      </c>
      <c r="S3723">
        <v>-2.8681640000000002</v>
      </c>
      <c r="T3723">
        <v>5.9637309999999999E-2</v>
      </c>
      <c r="U3723">
        <v>-1.3216859999999999</v>
      </c>
      <c r="V3723">
        <v>-2.392683E-2</v>
      </c>
      <c r="W3723">
        <v>0.2301552</v>
      </c>
      <c r="X3723">
        <v>0.97285969999999999</v>
      </c>
      <c r="Y3723">
        <v>-0.26495469999999999</v>
      </c>
      <c r="Z3723">
        <v>-4.9853019999999996E-3</v>
      </c>
      <c r="AA3723">
        <v>0.96424799999999999</v>
      </c>
      <c r="AB3723">
        <v>36</v>
      </c>
      <c r="AC3723">
        <v>-51.983899999999998</v>
      </c>
      <c r="AD3723">
        <v>1.0877059999999901</v>
      </c>
      <c r="AE3723">
        <v>-24.049399999999999</v>
      </c>
      <c r="AF3723">
        <v>-15.2488583158962</v>
      </c>
      <c r="AG3723">
        <v>1.0877059999999901</v>
      </c>
      <c r="AH3723">
        <v>55.188829397849503</v>
      </c>
      <c r="AI3723">
        <v>88.911683322251207</v>
      </c>
      <c r="AJ3723">
        <v>105.445654068637</v>
      </c>
      <c r="AK3723">
        <v>57.267073214768402</v>
      </c>
      <c r="AL3723">
        <v>76.693790168585807</v>
      </c>
      <c r="AM3723">
        <v>91.408867141570596</v>
      </c>
      <c r="AN3723">
        <v>0.99999995258248797</v>
      </c>
    </row>
    <row r="3724" spans="1:40" x14ac:dyDescent="0.25">
      <c r="A3724" t="str">
        <f>"20190303170843180"</f>
        <v>20190303170843180</v>
      </c>
      <c r="B3724" t="str">
        <f>"1551604123166621"</f>
        <v>1551604123166621</v>
      </c>
      <c r="C3724" t="s">
        <v>40</v>
      </c>
      <c r="D3724">
        <v>4.9043210000000004</v>
      </c>
      <c r="E3724">
        <v>0.40788639999999998</v>
      </c>
      <c r="F3724" t="s">
        <v>76</v>
      </c>
      <c r="G3724">
        <v>-440.75</v>
      </c>
      <c r="H3724">
        <v>2.1775880000000001</v>
      </c>
      <c r="I3724">
        <v>114.9243</v>
      </c>
      <c r="J3724">
        <v>-389.12130000000002</v>
      </c>
      <c r="K3724">
        <v>1.125472</v>
      </c>
      <c r="L3724">
        <v>139.07079999999999</v>
      </c>
      <c r="M3724">
        <v>-0.98578580000000005</v>
      </c>
      <c r="N3724">
        <v>-1.492807E-2</v>
      </c>
      <c r="O3724">
        <v>-0.1673422</v>
      </c>
      <c r="P3724">
        <v>-0.95863849999999995</v>
      </c>
      <c r="Q3724">
        <v>0.21613289999999999</v>
      </c>
      <c r="R3724">
        <v>-0.18519949999999999</v>
      </c>
      <c r="S3724">
        <v>-2.8626399999999999</v>
      </c>
      <c r="T3724">
        <v>5.7938580000000003E-2</v>
      </c>
      <c r="U3724">
        <v>-1.3331599999999999</v>
      </c>
      <c r="V3724">
        <v>-2.4551859999999998E-2</v>
      </c>
      <c r="W3724">
        <v>0.23043739999999999</v>
      </c>
      <c r="X3724">
        <v>0.97277740000000001</v>
      </c>
      <c r="Y3724">
        <v>-0.2645805</v>
      </c>
      <c r="Z3724">
        <v>-5.1141779999999996E-3</v>
      </c>
      <c r="AA3724">
        <v>0.96435000000000004</v>
      </c>
      <c r="AB3724">
        <v>36</v>
      </c>
      <c r="AC3724">
        <v>-51.628699999999903</v>
      </c>
      <c r="AD3724">
        <v>1.0521160000000001</v>
      </c>
      <c r="AE3724">
        <v>-24.1464999999999</v>
      </c>
      <c r="AF3724">
        <v>-15.160141386195599</v>
      </c>
      <c r="AG3724">
        <v>1.0521160000000001</v>
      </c>
      <c r="AH3724">
        <v>54.922977650479702</v>
      </c>
      <c r="AI3724">
        <v>88.942115293485202</v>
      </c>
      <c r="AJ3724">
        <v>105.430861712392</v>
      </c>
      <c r="AK3724">
        <v>56.986580077435697</v>
      </c>
      <c r="AL3724">
        <v>76.677175728024295</v>
      </c>
      <c r="AM3724">
        <v>91.445777190678896</v>
      </c>
      <c r="AN3724">
        <v>1.00000002954948</v>
      </c>
    </row>
    <row r="3725" spans="1:40" x14ac:dyDescent="0.25">
      <c r="A3725" t="str">
        <f>"20190303170843203"</f>
        <v>20190303170843203</v>
      </c>
      <c r="B3725" t="str">
        <f>"1551604123187118"</f>
        <v>1551604123187118</v>
      </c>
      <c r="C3725" t="s">
        <v>40</v>
      </c>
      <c r="D3725">
        <v>4.9117810000000004</v>
      </c>
      <c r="E3725">
        <v>0.4071226</v>
      </c>
      <c r="F3725" t="s">
        <v>76</v>
      </c>
      <c r="G3725">
        <v>-440.75</v>
      </c>
      <c r="H3725">
        <v>2.1585399999999999</v>
      </c>
      <c r="I3725">
        <v>114.7799</v>
      </c>
      <c r="J3725">
        <v>-389.48750000000001</v>
      </c>
      <c r="K3725">
        <v>1.1254649999999999</v>
      </c>
      <c r="L3725">
        <v>139.0042</v>
      </c>
      <c r="M3725">
        <v>-0.98501229999999995</v>
      </c>
      <c r="N3725">
        <v>-1.4924079999999999E-2</v>
      </c>
      <c r="O3725">
        <v>-0.17183699999999999</v>
      </c>
      <c r="P3725">
        <v>-0.95752809999999999</v>
      </c>
      <c r="Q3725">
        <v>0.21595829999999999</v>
      </c>
      <c r="R3725">
        <v>-0.19105510000000001</v>
      </c>
      <c r="S3725">
        <v>-2.856903</v>
      </c>
      <c r="T3725">
        <v>5.7166700000000001E-2</v>
      </c>
      <c r="U3725">
        <v>-1.344147</v>
      </c>
      <c r="V3725">
        <v>-2.6051310000000001E-2</v>
      </c>
      <c r="W3725">
        <v>0.23024339999999999</v>
      </c>
      <c r="X3725">
        <v>0.97278430000000005</v>
      </c>
      <c r="Y3725">
        <v>-0.263964799999999</v>
      </c>
      <c r="Z3725">
        <v>-5.2544480000000001E-3</v>
      </c>
      <c r="AA3725">
        <v>0.96451799999999999</v>
      </c>
      <c r="AB3725">
        <v>36</v>
      </c>
      <c r="AC3725">
        <v>-51.262499999999903</v>
      </c>
      <c r="AD3725">
        <v>1.033075</v>
      </c>
      <c r="AE3725">
        <v>-24.224299999999999</v>
      </c>
      <c r="AF3725">
        <v>-15.049120277350699</v>
      </c>
      <c r="AG3725">
        <v>1.033075</v>
      </c>
      <c r="AH3725">
        <v>54.644772578792498</v>
      </c>
      <c r="AI3725">
        <v>88.955801674766704</v>
      </c>
      <c r="AJ3725">
        <v>105.39750722282101</v>
      </c>
      <c r="AK3725">
        <v>56.688574115651797</v>
      </c>
      <c r="AL3725">
        <v>76.688597779728596</v>
      </c>
      <c r="AM3725">
        <v>91.534022949237098</v>
      </c>
      <c r="AN3725">
        <v>0.99999999416138297</v>
      </c>
    </row>
    <row r="3726" spans="1:40" x14ac:dyDescent="0.25">
      <c r="A3726" t="str">
        <f>"20190303170843229"</f>
        <v>20190303170843229</v>
      </c>
      <c r="B3726" t="str">
        <f>"1551604123217374"</f>
        <v>1551604123217374</v>
      </c>
      <c r="C3726" t="s">
        <v>40</v>
      </c>
      <c r="D3726">
        <v>4.919079</v>
      </c>
      <c r="E3726">
        <v>0.4052617</v>
      </c>
      <c r="F3726" t="s">
        <v>76</v>
      </c>
      <c r="G3726">
        <v>-440.75</v>
      </c>
      <c r="H3726">
        <v>2.162633</v>
      </c>
      <c r="I3726">
        <v>114.379</v>
      </c>
      <c r="J3726">
        <v>-389.88729999999998</v>
      </c>
      <c r="K3726">
        <v>1.125467</v>
      </c>
      <c r="L3726">
        <v>138.92959999999999</v>
      </c>
      <c r="M3726">
        <v>-0.98414310000000005</v>
      </c>
      <c r="N3726">
        <v>-1.491991E-2</v>
      </c>
      <c r="O3726">
        <v>-0.1767474</v>
      </c>
      <c r="P3726">
        <v>-0.95638630000000002</v>
      </c>
      <c r="Q3726">
        <v>0.21580079999999999</v>
      </c>
      <c r="R3726">
        <v>-0.19686390000000001</v>
      </c>
      <c r="S3726">
        <v>-2.8471679999999999</v>
      </c>
      <c r="T3726">
        <v>5.7606459999999998E-2</v>
      </c>
      <c r="U3726">
        <v>-1.3677060000000001</v>
      </c>
      <c r="V3726">
        <v>-2.7094719999999999E-2</v>
      </c>
      <c r="W3726">
        <v>0.23007169999999999</v>
      </c>
      <c r="X3726">
        <v>0.97279640000000001</v>
      </c>
      <c r="Y3726">
        <v>-0.26693099999999997</v>
      </c>
      <c r="Z3726">
        <v>-5.4164510000000001E-3</v>
      </c>
      <c r="AA3726">
        <v>0.96370040000000001</v>
      </c>
      <c r="AB3726">
        <v>36</v>
      </c>
      <c r="AC3726">
        <v>-50.862699999999997</v>
      </c>
      <c r="AD3726">
        <v>1.037166</v>
      </c>
      <c r="AE3726">
        <v>-24.550599999999999</v>
      </c>
      <c r="AF3726">
        <v>-15.1680280671993</v>
      </c>
      <c r="AG3726">
        <v>1.037166</v>
      </c>
      <c r="AH3726">
        <v>54.383148101359303</v>
      </c>
      <c r="AI3726">
        <v>88.947576760661093</v>
      </c>
      <c r="AJ3726">
        <v>105.584341676267</v>
      </c>
      <c r="AK3726">
        <v>56.468323741486103</v>
      </c>
      <c r="AL3726">
        <v>76.698706578856999</v>
      </c>
      <c r="AM3726">
        <v>91.595412830796604</v>
      </c>
      <c r="AN3726">
        <v>0.99999997342286295</v>
      </c>
    </row>
    <row r="3727" spans="1:40" x14ac:dyDescent="0.25">
      <c r="A3727" t="str">
        <f>"20190303170843247"</f>
        <v>20190303170843247</v>
      </c>
      <c r="B3727" t="str">
        <f>"1551604123236896"</f>
        <v>1551604123236896</v>
      </c>
      <c r="C3727" t="s">
        <v>40</v>
      </c>
      <c r="D3727">
        <v>4.90923</v>
      </c>
      <c r="E3727">
        <v>0.40415329999999999</v>
      </c>
      <c r="F3727" t="s">
        <v>76</v>
      </c>
      <c r="G3727">
        <v>-440.75</v>
      </c>
      <c r="H3727">
        <v>2.2126679999999999</v>
      </c>
      <c r="I3727">
        <v>113.8199</v>
      </c>
      <c r="J3727">
        <v>-390.18619999999999</v>
      </c>
      <c r="K3727">
        <v>1.1254660000000001</v>
      </c>
      <c r="L3727">
        <v>138.8724</v>
      </c>
      <c r="M3727">
        <v>-0.98347680000000004</v>
      </c>
      <c r="N3727">
        <v>-1.4916810000000001E-2</v>
      </c>
      <c r="O3727">
        <v>-0.18041840000000001</v>
      </c>
      <c r="P3727">
        <v>-0.95529010000000003</v>
      </c>
      <c r="Q3727">
        <v>0.21640799999999999</v>
      </c>
      <c r="R3727">
        <v>-0.20146510000000001</v>
      </c>
      <c r="S3727">
        <v>-2.8350219999999999</v>
      </c>
      <c r="T3727">
        <v>6.0600519999999998E-2</v>
      </c>
      <c r="U3727">
        <v>-1.3995820000000001</v>
      </c>
      <c r="V3727">
        <v>-2.8177489999999999E-2</v>
      </c>
      <c r="W3727">
        <v>0.2306628</v>
      </c>
      <c r="X3727">
        <v>0.97262570000000004</v>
      </c>
      <c r="Y3727">
        <v>-0.27369369999999998</v>
      </c>
      <c r="Z3727">
        <v>-5.5659209999999997E-3</v>
      </c>
      <c r="AA3727">
        <v>0.96180080000000001</v>
      </c>
      <c r="AB3727">
        <v>36</v>
      </c>
      <c r="AC3727">
        <v>-50.563800000000001</v>
      </c>
      <c r="AD3727">
        <v>1.08720199999999</v>
      </c>
      <c r="AE3727">
        <v>-25.052499999999899</v>
      </c>
      <c r="AF3727">
        <v>-15.511881784749599</v>
      </c>
      <c r="AG3727">
        <v>1.08720199999999</v>
      </c>
      <c r="AH3727">
        <v>54.234163120919398</v>
      </c>
      <c r="AI3727">
        <v>88.895841169414993</v>
      </c>
      <c r="AJ3727">
        <v>105.96141927493601</v>
      </c>
      <c r="AK3727">
        <v>56.419366658261403</v>
      </c>
      <c r="AL3727">
        <v>76.663903659712702</v>
      </c>
      <c r="AM3727">
        <v>91.659425425626196</v>
      </c>
      <c r="AN3727">
        <v>1.00000002527351</v>
      </c>
    </row>
    <row r="3728" spans="1:40" x14ac:dyDescent="0.25">
      <c r="A3728" t="str">
        <f>"20190303170843268"</f>
        <v>20190303170843268</v>
      </c>
      <c r="B3728" t="str">
        <f>"1551604123257390"</f>
        <v>1551604123257390</v>
      </c>
      <c r="C3728" t="s">
        <v>40</v>
      </c>
      <c r="D3728">
        <v>4.9722030000000004</v>
      </c>
      <c r="E3728">
        <v>0.4032345</v>
      </c>
      <c r="F3728" t="s">
        <v>76</v>
      </c>
      <c r="G3728">
        <v>-440.75</v>
      </c>
      <c r="H3728">
        <v>2.2768799999999998</v>
      </c>
      <c r="I3728">
        <v>113.4312</v>
      </c>
      <c r="J3728">
        <v>-390.50569999999999</v>
      </c>
      <c r="K3728">
        <v>1.1254580000000001</v>
      </c>
      <c r="L3728">
        <v>138.81</v>
      </c>
      <c r="M3728">
        <v>-0.98274830000000002</v>
      </c>
      <c r="N3728">
        <v>-1.491348E-2</v>
      </c>
      <c r="O3728">
        <v>-0.1843458</v>
      </c>
      <c r="P3728">
        <v>-0.95445279999999999</v>
      </c>
      <c r="Q3728">
        <v>0.2164391</v>
      </c>
      <c r="R3728">
        <v>-0.20536409999999999</v>
      </c>
      <c r="S3728">
        <v>-2.825958</v>
      </c>
      <c r="T3728">
        <v>6.4352510000000002E-2</v>
      </c>
      <c r="U3728">
        <v>-1.421875</v>
      </c>
      <c r="V3728">
        <v>-2.826031E-2</v>
      </c>
      <c r="W3728">
        <v>0.23069020000000001</v>
      </c>
      <c r="X3728">
        <v>0.97261679999999995</v>
      </c>
      <c r="Y3728">
        <v>-0.27715220000000002</v>
      </c>
      <c r="Z3728">
        <v>-5.7447849999999996E-3</v>
      </c>
      <c r="AA3728">
        <v>0.96080889999999997</v>
      </c>
      <c r="AB3728">
        <v>36</v>
      </c>
      <c r="AC3728">
        <v>-50.244300000000003</v>
      </c>
      <c r="AD3728">
        <v>1.15142199999999</v>
      </c>
      <c r="AE3728">
        <v>-25.378799999999998</v>
      </c>
      <c r="AF3728">
        <v>-15.673832534335199</v>
      </c>
      <c r="AG3728">
        <v>1.15142199999999</v>
      </c>
      <c r="AH3728">
        <v>54.039376972773603</v>
      </c>
      <c r="AI3728">
        <v>88.8276795240387</v>
      </c>
      <c r="AJ3728">
        <v>106.17451913142899</v>
      </c>
      <c r="AK3728">
        <v>56.278317872356602</v>
      </c>
      <c r="AL3728">
        <v>76.662290259943106</v>
      </c>
      <c r="AM3728">
        <v>91.664315332954104</v>
      </c>
      <c r="AN3728">
        <v>1.0000000265697799</v>
      </c>
    </row>
    <row r="3729" spans="1:40" x14ac:dyDescent="0.25">
      <c r="A3729" t="str">
        <f>"20190303170843290"</f>
        <v>20190303170843290</v>
      </c>
      <c r="B3729" t="str">
        <f>"1551604123276910"</f>
        <v>1551604123276910</v>
      </c>
      <c r="C3729" t="s">
        <v>40</v>
      </c>
      <c r="D3729">
        <v>4.9433829999999999</v>
      </c>
      <c r="E3729">
        <v>0.4024607</v>
      </c>
      <c r="F3729" t="s">
        <v>76</v>
      </c>
      <c r="G3729">
        <v>-440.75</v>
      </c>
      <c r="H3729">
        <v>2.2929659999999998</v>
      </c>
      <c r="I3729">
        <v>113.1396</v>
      </c>
      <c r="J3729">
        <v>-390.86110000000002</v>
      </c>
      <c r="K3729">
        <v>1.125443</v>
      </c>
      <c r="L3729">
        <v>138.7389</v>
      </c>
      <c r="M3729">
        <v>-0.98191899999999999</v>
      </c>
      <c r="N3729">
        <v>-1.490987E-2</v>
      </c>
      <c r="O3729">
        <v>-0.1887142</v>
      </c>
      <c r="P3729">
        <v>-0.95347850000000001</v>
      </c>
      <c r="Q3729">
        <v>0.21617919999999999</v>
      </c>
      <c r="R3729">
        <v>-0.2101092</v>
      </c>
      <c r="S3729">
        <v>-2.8185120000000001</v>
      </c>
      <c r="T3729">
        <v>6.5494060000000007E-2</v>
      </c>
      <c r="U3729">
        <v>-1.440002</v>
      </c>
      <c r="V3729">
        <v>-2.8755650000000001E-2</v>
      </c>
      <c r="W3729">
        <v>0.23042299999999999</v>
      </c>
      <c r="X3729">
        <v>0.97266560000000002</v>
      </c>
      <c r="Y3729">
        <v>-0.2788139</v>
      </c>
      <c r="Z3729">
        <v>-5.9107119999999898E-3</v>
      </c>
      <c r="AA3729">
        <v>0.96032700000000004</v>
      </c>
      <c r="AB3729">
        <v>36</v>
      </c>
      <c r="AC3729">
        <v>-49.8888999999999</v>
      </c>
      <c r="AD3729">
        <v>1.1675230000000001</v>
      </c>
      <c r="AE3729">
        <v>-25.599299999999999</v>
      </c>
      <c r="AF3729">
        <v>-15.7166272279079</v>
      </c>
      <c r="AG3729">
        <v>1.1675230000000001</v>
      </c>
      <c r="AH3729">
        <v>53.800461746925102</v>
      </c>
      <c r="AI3729">
        <v>88.806680875189997</v>
      </c>
      <c r="AJ3729">
        <v>106.28456766228101</v>
      </c>
      <c r="AK3729">
        <v>56.0612626111729</v>
      </c>
      <c r="AL3729">
        <v>76.6780233105478</v>
      </c>
      <c r="AM3729">
        <v>91.693385302049705</v>
      </c>
      <c r="AN3729">
        <v>1.0000000078796401</v>
      </c>
    </row>
    <row r="3730" spans="1:40" x14ac:dyDescent="0.25">
      <c r="A3730" t="str">
        <f>"20190303170843313"</f>
        <v>20190303170843313</v>
      </c>
      <c r="B3730" t="str">
        <f>"1551604123297406"</f>
        <v>1551604123297406</v>
      </c>
      <c r="C3730" t="s">
        <v>40</v>
      </c>
      <c r="D3730">
        <v>4.94923</v>
      </c>
      <c r="E3730">
        <v>0.40175499999999997</v>
      </c>
      <c r="F3730" t="s">
        <v>76</v>
      </c>
      <c r="G3730">
        <v>-440.75</v>
      </c>
      <c r="H3730">
        <v>2.298657</v>
      </c>
      <c r="I3730">
        <v>112.8043</v>
      </c>
      <c r="J3730">
        <v>-391.20510000000002</v>
      </c>
      <c r="K3730">
        <v>1.1254329999999999</v>
      </c>
      <c r="L3730">
        <v>138.66849999999999</v>
      </c>
      <c r="M3730">
        <v>-0.98109610000000003</v>
      </c>
      <c r="N3730">
        <v>-1.4906269999999999E-2</v>
      </c>
      <c r="O3730">
        <v>-0.19294610000000001</v>
      </c>
      <c r="P3730">
        <v>-0.95240480000000005</v>
      </c>
      <c r="Q3730">
        <v>0.21665799999999999</v>
      </c>
      <c r="R3730">
        <v>-0.21443970000000001</v>
      </c>
      <c r="S3730">
        <v>-2.8095400000000001</v>
      </c>
      <c r="T3730">
        <v>6.6071989999999997E-2</v>
      </c>
      <c r="U3730">
        <v>-1.460526</v>
      </c>
      <c r="V3730">
        <v>-2.9003689999999999E-2</v>
      </c>
      <c r="W3730">
        <v>0.2308944</v>
      </c>
      <c r="X3730">
        <v>0.97254649999999998</v>
      </c>
      <c r="Y3730">
        <v>-0.28145559999999997</v>
      </c>
      <c r="Z3730">
        <v>-6.0618740000000001E-3</v>
      </c>
      <c r="AA3730">
        <v>0.95955509999999999</v>
      </c>
      <c r="AB3730">
        <v>36</v>
      </c>
      <c r="AC3730">
        <v>-49.544899999999899</v>
      </c>
      <c r="AD3730">
        <v>1.173224</v>
      </c>
      <c r="AE3730">
        <v>-25.8642</v>
      </c>
      <c r="AF3730">
        <v>-15.8105612941249</v>
      </c>
      <c r="AG3730">
        <v>1.173224</v>
      </c>
      <c r="AH3730">
        <v>53.581050929070699</v>
      </c>
      <c r="AI3730">
        <v>88.796905865607002</v>
      </c>
      <c r="AJ3730">
        <v>106.44014282963199</v>
      </c>
      <c r="AK3730">
        <v>55.877359651768899</v>
      </c>
      <c r="AL3730">
        <v>76.650266379775402</v>
      </c>
      <c r="AM3730">
        <v>91.708192500688796</v>
      </c>
      <c r="AN3730">
        <v>1.0000000663236099</v>
      </c>
    </row>
    <row r="3731" spans="1:40" x14ac:dyDescent="0.25">
      <c r="A3731" t="str">
        <f>"20190303170843335"</f>
        <v>20190303170843335</v>
      </c>
      <c r="B3731" t="str">
        <f>"1551604123326686"</f>
        <v>1551604123326686</v>
      </c>
      <c r="C3731" t="s">
        <v>40</v>
      </c>
      <c r="D3731">
        <v>4.969875</v>
      </c>
      <c r="E3731">
        <v>0.4008524</v>
      </c>
      <c r="F3731" t="s">
        <v>76</v>
      </c>
      <c r="G3731">
        <v>-440.75</v>
      </c>
      <c r="H3731">
        <v>2.3368030000000002</v>
      </c>
      <c r="I3731">
        <v>112.5184</v>
      </c>
      <c r="J3731">
        <v>-391.56139999999999</v>
      </c>
      <c r="K3731">
        <v>1.125426</v>
      </c>
      <c r="L3731">
        <v>138.59399999999999</v>
      </c>
      <c r="M3731">
        <v>-0.98022379999999998</v>
      </c>
      <c r="N3731">
        <v>-1.4902230000000001E-2</v>
      </c>
      <c r="O3731">
        <v>-0.19733039999999999</v>
      </c>
      <c r="P3731">
        <v>-0.95138619999999996</v>
      </c>
      <c r="Q3731">
        <v>0.21716050000000001</v>
      </c>
      <c r="R3731">
        <v>-0.21841559999999999</v>
      </c>
      <c r="S3731">
        <v>-2.801453</v>
      </c>
      <c r="T3731">
        <v>6.8496699999999994E-2</v>
      </c>
      <c r="U3731">
        <v>-1.4786220000000001</v>
      </c>
      <c r="V3731">
        <v>-2.8738630000000001E-2</v>
      </c>
      <c r="W3731">
        <v>0.23139489999999999</v>
      </c>
      <c r="X3731">
        <v>0.97243539999999995</v>
      </c>
      <c r="Y3731">
        <v>-0.28316350000000001</v>
      </c>
      <c r="Z3731">
        <v>-6.2548559999999996E-3</v>
      </c>
      <c r="AA3731">
        <v>0.95905130000000005</v>
      </c>
      <c r="AB3731">
        <v>36</v>
      </c>
      <c r="AC3731">
        <v>-49.188600000000001</v>
      </c>
      <c r="AD3731">
        <v>1.2113769999999899</v>
      </c>
      <c r="AE3731">
        <v>-26.075599999999898</v>
      </c>
      <c r="AF3731">
        <v>-15.847774645233001</v>
      </c>
      <c r="AG3731">
        <v>1.2113769999999899</v>
      </c>
      <c r="AH3731">
        <v>53.342014759407398</v>
      </c>
      <c r="AI3731">
        <v>88.7529144519265</v>
      </c>
      <c r="AJ3731">
        <v>106.54654836725101</v>
      </c>
      <c r="AK3731">
        <v>55.659589776022102</v>
      </c>
      <c r="AL3731">
        <v>76.620791535309905</v>
      </c>
      <c r="AM3731">
        <v>91.692783994811506</v>
      </c>
      <c r="AN3731">
        <v>1.0000000578867201</v>
      </c>
    </row>
    <row r="3732" spans="1:40" x14ac:dyDescent="0.25">
      <c r="A3732" t="str">
        <f>"20190303170843357"</f>
        <v>20190303170843357</v>
      </c>
      <c r="B3732" t="str">
        <f>"1551604123347183"</f>
        <v>1551604123347183</v>
      </c>
      <c r="C3732" t="s">
        <v>40</v>
      </c>
      <c r="D3732">
        <v>4.9707780000000001</v>
      </c>
      <c r="E3732">
        <v>0.4003292</v>
      </c>
      <c r="F3732" t="s">
        <v>76</v>
      </c>
      <c r="G3732">
        <v>-440.75</v>
      </c>
      <c r="H3732">
        <v>2.3573780000000002</v>
      </c>
      <c r="I3732">
        <v>112.24120000000001</v>
      </c>
      <c r="J3732">
        <v>-391.9</v>
      </c>
      <c r="K3732">
        <v>1.1254120000000001</v>
      </c>
      <c r="L3732">
        <v>138.52170000000001</v>
      </c>
      <c r="M3732">
        <v>-0.97937580000000002</v>
      </c>
      <c r="N3732">
        <v>-1.4898369999999999E-2</v>
      </c>
      <c r="O3732">
        <v>-0.2014977</v>
      </c>
      <c r="P3732">
        <v>-0.95043279999999997</v>
      </c>
      <c r="Q3732">
        <v>0.2175935</v>
      </c>
      <c r="R3732">
        <v>-0.2221062</v>
      </c>
      <c r="S3732">
        <v>-2.793701</v>
      </c>
      <c r="T3732">
        <v>6.9970850000000001E-2</v>
      </c>
      <c r="U3732">
        <v>-1.4967189999999999</v>
      </c>
      <c r="V3732">
        <v>-2.8394349999999999E-2</v>
      </c>
      <c r="W3732">
        <v>0.23182729999999999</v>
      </c>
      <c r="X3732">
        <v>0.9723425</v>
      </c>
      <c r="Y3732">
        <v>-0.28502539999999998</v>
      </c>
      <c r="Z3732">
        <v>-6.4267459999999997E-3</v>
      </c>
      <c r="AA3732">
        <v>0.95849839999999997</v>
      </c>
      <c r="AB3732">
        <v>36</v>
      </c>
      <c r="AC3732">
        <v>-48.85</v>
      </c>
      <c r="AD3732">
        <v>1.2319659999999899</v>
      </c>
      <c r="AE3732">
        <v>-26.2805</v>
      </c>
      <c r="AF3732">
        <v>-15.8892480539206</v>
      </c>
      <c r="AG3732">
        <v>1.2319659999999899</v>
      </c>
      <c r="AH3732">
        <v>53.117659403485803</v>
      </c>
      <c r="AI3732">
        <v>88.727079691748301</v>
      </c>
      <c r="AJ3732">
        <v>106.65366277844301</v>
      </c>
      <c r="AK3732">
        <v>55.456935404409997</v>
      </c>
      <c r="AL3732">
        <v>76.595324060502094</v>
      </c>
      <c r="AM3732">
        <v>91.672676253514098</v>
      </c>
      <c r="AN3732">
        <v>1.0000000367217301</v>
      </c>
    </row>
    <row r="3733" spans="1:40" x14ac:dyDescent="0.25">
      <c r="A3733" t="str">
        <f>"20190303170843402"</f>
        <v>20190303170843402</v>
      </c>
      <c r="B3733" t="str">
        <f>"1551604123387199"</f>
        <v>1551604123387199</v>
      </c>
      <c r="C3733" t="s">
        <v>40</v>
      </c>
      <c r="D3733">
        <v>4.9699369999999998</v>
      </c>
      <c r="E3733">
        <v>0.3994318</v>
      </c>
      <c r="F3733" t="s">
        <v>76</v>
      </c>
      <c r="G3733">
        <v>-440.75</v>
      </c>
      <c r="H3733">
        <v>2.3732160000000002</v>
      </c>
      <c r="I3733">
        <v>112.024</v>
      </c>
      <c r="J3733">
        <v>-392.59379999999999</v>
      </c>
      <c r="K3733">
        <v>1.125405</v>
      </c>
      <c r="L3733">
        <v>138.36869999999999</v>
      </c>
      <c r="M3733">
        <v>-0.97757910000000003</v>
      </c>
      <c r="N3733">
        <v>-1.4890199999999999E-2</v>
      </c>
      <c r="O3733">
        <v>-0.21004220000000001</v>
      </c>
      <c r="P3733">
        <v>-0.94886029999999999</v>
      </c>
      <c r="Q3733">
        <v>0.2158197</v>
      </c>
      <c r="R3733">
        <v>-0.23040389999999999</v>
      </c>
      <c r="S3733">
        <v>-2.7869570000000001</v>
      </c>
      <c r="T3733">
        <v>7.1190000000000003E-2</v>
      </c>
      <c r="U3733">
        <v>-1.511719</v>
      </c>
      <c r="V3733">
        <v>-2.8287420000000001E-2</v>
      </c>
      <c r="W3733">
        <v>0.2300536</v>
      </c>
      <c r="X3733">
        <v>0.97276680000000004</v>
      </c>
      <c r="Y3733">
        <v>-0.28161969999999997</v>
      </c>
      <c r="Z3733">
        <v>-6.7805089999999997E-3</v>
      </c>
      <c r="AA3733">
        <v>0.95950219999999997</v>
      </c>
      <c r="AB3733">
        <v>36</v>
      </c>
      <c r="AC3733">
        <v>-48.156199999999998</v>
      </c>
      <c r="AD3733">
        <v>1.24781099999999</v>
      </c>
      <c r="AE3733">
        <v>-26.3446999999999</v>
      </c>
      <c r="AF3733">
        <v>-15.632846854070999</v>
      </c>
      <c r="AG3733">
        <v>1.24781099999999</v>
      </c>
      <c r="AH3733">
        <v>52.588641961555403</v>
      </c>
      <c r="AI3733">
        <v>88.6970827071858</v>
      </c>
      <c r="AJ3733">
        <v>106.555455426915</v>
      </c>
      <c r="AK3733">
        <v>54.877210173397302</v>
      </c>
      <c r="AL3733">
        <v>76.699773147465706</v>
      </c>
      <c r="AM3733">
        <v>91.665654266961198</v>
      </c>
      <c r="AN3733">
        <v>1.00000004209272</v>
      </c>
    </row>
    <row r="3734" spans="1:40" x14ac:dyDescent="0.25">
      <c r="A3734" t="str">
        <f>"20190303170843426"</f>
        <v>20190303170843426</v>
      </c>
      <c r="B3734" t="str">
        <f>"1551604123417455"</f>
        <v>1551604123417455</v>
      </c>
      <c r="C3734" t="s">
        <v>40</v>
      </c>
      <c r="D3734">
        <v>4.9786130000000002</v>
      </c>
      <c r="E3734">
        <v>0.39883370000000001</v>
      </c>
      <c r="F3734" t="s">
        <v>76</v>
      </c>
      <c r="G3734">
        <v>-440.75</v>
      </c>
      <c r="H3734">
        <v>2.2667470000000001</v>
      </c>
      <c r="I3734">
        <v>111.5699</v>
      </c>
      <c r="J3734">
        <v>-392.96370000000002</v>
      </c>
      <c r="K3734">
        <v>1.125389</v>
      </c>
      <c r="L3734">
        <v>138.28460000000001</v>
      </c>
      <c r="M3734">
        <v>-0.97658849999999997</v>
      </c>
      <c r="N3734">
        <v>-1.488576E-2</v>
      </c>
      <c r="O3734">
        <v>-0.21460019999999999</v>
      </c>
      <c r="P3734">
        <v>-0.94745840000000003</v>
      </c>
      <c r="Q3734">
        <v>0.21558279999999999</v>
      </c>
      <c r="R3734">
        <v>-0.23631959999999999</v>
      </c>
      <c r="S3734">
        <v>-2.772125</v>
      </c>
      <c r="T3734">
        <v>6.5703029999999996E-2</v>
      </c>
      <c r="U3734">
        <v>-1.5426789999999999</v>
      </c>
      <c r="V3734">
        <v>-2.980418E-2</v>
      </c>
      <c r="W3734">
        <v>0.2297979</v>
      </c>
      <c r="X3734">
        <v>0.97278189999999998</v>
      </c>
      <c r="Y3734">
        <v>-0.28750439999999999</v>
      </c>
      <c r="Z3734">
        <v>-6.8030959999999998E-3</v>
      </c>
      <c r="AA3734">
        <v>0.95775509999999997</v>
      </c>
      <c r="AB3734">
        <v>36</v>
      </c>
      <c r="AC3734">
        <v>-47.786299999999898</v>
      </c>
      <c r="AD3734">
        <v>1.1413580000000001</v>
      </c>
      <c r="AE3734">
        <v>-26.714700000000001</v>
      </c>
      <c r="AF3734">
        <v>-15.829194477967899</v>
      </c>
      <c r="AG3734">
        <v>1.1413580000000001</v>
      </c>
      <c r="AH3734">
        <v>52.383571541189802</v>
      </c>
      <c r="AI3734">
        <v>88.805153807650797</v>
      </c>
      <c r="AJ3734">
        <v>106.813693591411</v>
      </c>
      <c r="AK3734">
        <v>54.734857845037403</v>
      </c>
      <c r="AL3734">
        <v>76.714826353682895</v>
      </c>
      <c r="AM3734">
        <v>91.754884322937798</v>
      </c>
      <c r="AN3734">
        <v>0.99999999447874599</v>
      </c>
    </row>
    <row r="3735" spans="1:40" x14ac:dyDescent="0.25">
      <c r="A3735" t="str">
        <f>"20190303170843450"</f>
        <v>20190303170843450</v>
      </c>
      <c r="B3735" t="str">
        <f>"1551604123436974"</f>
        <v>1551604123436974</v>
      </c>
      <c r="C3735" t="s">
        <v>40</v>
      </c>
      <c r="D3735">
        <v>4.9640659999999999</v>
      </c>
      <c r="E3735">
        <v>0.39848479999999997</v>
      </c>
      <c r="F3735" t="s">
        <v>76</v>
      </c>
      <c r="G3735">
        <v>-440.75</v>
      </c>
      <c r="H3735">
        <v>2.2491789999999998</v>
      </c>
      <c r="I3735">
        <v>111.21</v>
      </c>
      <c r="J3735">
        <v>-393.31740000000002</v>
      </c>
      <c r="K3735">
        <v>1.125373</v>
      </c>
      <c r="L3735">
        <v>138.20249999999999</v>
      </c>
      <c r="M3735">
        <v>-0.97562040000000005</v>
      </c>
      <c r="N3735">
        <v>-1.4881429999999999E-2</v>
      </c>
      <c r="O3735">
        <v>-0.21895999999999999</v>
      </c>
      <c r="P3735">
        <v>-0.94595379999999996</v>
      </c>
      <c r="Q3735">
        <v>0.21641630000000001</v>
      </c>
      <c r="R3735">
        <v>-0.24152699999999999</v>
      </c>
      <c r="S3735">
        <v>-2.7613530000000002</v>
      </c>
      <c r="T3735">
        <v>6.4940090000000006E-2</v>
      </c>
      <c r="U3735">
        <v>-1.564514</v>
      </c>
      <c r="V3735">
        <v>-3.08575E-2</v>
      </c>
      <c r="W3735">
        <v>0.2306136</v>
      </c>
      <c r="X3735">
        <v>0.97255599999999998</v>
      </c>
      <c r="Y3735">
        <v>-0.29056490000000001</v>
      </c>
      <c r="Z3735">
        <v>-6.9298249999999997E-3</v>
      </c>
      <c r="AA3735">
        <v>0.95683019999999996</v>
      </c>
      <c r="AB3735">
        <v>36</v>
      </c>
      <c r="AC3735">
        <v>-47.432599999999901</v>
      </c>
      <c r="AD3735">
        <v>1.1238060000000001</v>
      </c>
      <c r="AE3735">
        <v>-26.9925</v>
      </c>
      <c r="AF3735">
        <v>-15.9435964769261</v>
      </c>
      <c r="AG3735">
        <v>1.1238060000000001</v>
      </c>
      <c r="AH3735">
        <v>52.170145257526201</v>
      </c>
      <c r="AI3735">
        <v>88.819837642395896</v>
      </c>
      <c r="AJ3735">
        <v>106.993554156664</v>
      </c>
      <c r="AK3735">
        <v>54.563589184877401</v>
      </c>
      <c r="AL3735">
        <v>76.666800313241495</v>
      </c>
      <c r="AM3735">
        <v>91.817285176094103</v>
      </c>
      <c r="AN3735">
        <v>0.99999999547360396</v>
      </c>
    </row>
    <row r="3736" spans="1:40" x14ac:dyDescent="0.25">
      <c r="A3736" t="str">
        <f>"20190303170843472"</f>
        <v>20190303170843472</v>
      </c>
      <c r="B3736" t="str">
        <f>"1551604123457471"</f>
        <v>1551604123457471</v>
      </c>
      <c r="C3736" t="s">
        <v>40</v>
      </c>
      <c r="D3736">
        <v>4.979171</v>
      </c>
      <c r="E3736">
        <v>0.39811550000000001</v>
      </c>
      <c r="F3736" t="s">
        <v>76</v>
      </c>
      <c r="G3736">
        <v>-440.75</v>
      </c>
      <c r="H3736">
        <v>2.289317</v>
      </c>
      <c r="I3736">
        <v>110.9263</v>
      </c>
      <c r="J3736">
        <v>-393.66860000000003</v>
      </c>
      <c r="K3736">
        <v>1.1253649999999999</v>
      </c>
      <c r="L3736">
        <v>138.11920000000001</v>
      </c>
      <c r="M3736">
        <v>-0.97463820000000001</v>
      </c>
      <c r="N3736">
        <v>-1.487722E-2</v>
      </c>
      <c r="O3736">
        <v>-0.22329180000000001</v>
      </c>
      <c r="P3736">
        <v>-0.94454000000000005</v>
      </c>
      <c r="Q3736">
        <v>0.2175501</v>
      </c>
      <c r="R3736">
        <v>-0.24600069999999999</v>
      </c>
      <c r="S3736">
        <v>-2.751862</v>
      </c>
      <c r="T3736">
        <v>6.7528959999999999E-2</v>
      </c>
      <c r="U3736">
        <v>-1.5824579999999999</v>
      </c>
      <c r="V3736">
        <v>-3.1204639999999999E-2</v>
      </c>
      <c r="W3736">
        <v>0.23173630000000001</v>
      </c>
      <c r="X3736">
        <v>0.97227799999999998</v>
      </c>
      <c r="Y3736">
        <v>-0.292435</v>
      </c>
      <c r="Z3736">
        <v>-7.1396250000000001E-3</v>
      </c>
      <c r="AA3736">
        <v>0.95625879999999996</v>
      </c>
      <c r="AB3736">
        <v>35</v>
      </c>
      <c r="AC3736">
        <v>-47.081399999999903</v>
      </c>
      <c r="AD3736">
        <v>1.1639520000000001</v>
      </c>
      <c r="AE3736">
        <v>-27.192900000000002</v>
      </c>
      <c r="AF3736">
        <v>-15.984791172013001</v>
      </c>
      <c r="AG3736">
        <v>1.1639520000000001</v>
      </c>
      <c r="AH3736">
        <v>51.941224288547801</v>
      </c>
      <c r="AI3736">
        <v>88.773041548510307</v>
      </c>
      <c r="AJ3736">
        <v>107.10562703658201</v>
      </c>
      <c r="AK3736">
        <v>54.357695992972303</v>
      </c>
      <c r="AL3736">
        <v>76.600683105800897</v>
      </c>
      <c r="AM3736">
        <v>91.838240379915902</v>
      </c>
      <c r="AN3736">
        <v>0.99999997578960897</v>
      </c>
    </row>
    <row r="3737" spans="1:40" x14ac:dyDescent="0.25">
      <c r="A3737" t="str">
        <f>"20190303170843494"</f>
        <v>20190303170843494</v>
      </c>
      <c r="B3737" t="str">
        <f>"1551604123487590"</f>
        <v>1551604123487590</v>
      </c>
      <c r="C3737" t="s">
        <v>40</v>
      </c>
      <c r="D3737">
        <v>4.943562</v>
      </c>
      <c r="E3737">
        <v>0.39762320000000001</v>
      </c>
      <c r="F3737" t="s">
        <v>76</v>
      </c>
      <c r="G3737">
        <v>-440.75</v>
      </c>
      <c r="H3737">
        <v>2.353164</v>
      </c>
      <c r="I3737">
        <v>110.6788</v>
      </c>
      <c r="J3737">
        <v>-393.99810000000002</v>
      </c>
      <c r="K3737">
        <v>1.1253690000000001</v>
      </c>
      <c r="L3737">
        <v>138.03960000000001</v>
      </c>
      <c r="M3737">
        <v>-0.97369799999999995</v>
      </c>
      <c r="N3737">
        <v>-1.48731E-2</v>
      </c>
      <c r="O3737">
        <v>-0.22735659999999999</v>
      </c>
      <c r="P3737">
        <v>-0.94354340000000003</v>
      </c>
      <c r="Q3737">
        <v>0.21723110000000001</v>
      </c>
      <c r="R3737">
        <v>-0.25007299999999999</v>
      </c>
      <c r="S3737">
        <v>-2.7432859999999999</v>
      </c>
      <c r="T3737">
        <v>7.1541309999999997E-2</v>
      </c>
      <c r="U3737">
        <v>-1.598862</v>
      </c>
      <c r="V3737">
        <v>-3.1317440000000002E-2</v>
      </c>
      <c r="W3737">
        <v>0.23141390000000001</v>
      </c>
      <c r="X3737">
        <v>0.97235119999999997</v>
      </c>
      <c r="Y3737">
        <v>-0.29402109999999998</v>
      </c>
      <c r="Z3737">
        <v>-7.3824169999999996E-3</v>
      </c>
      <c r="AA3737">
        <v>0.95577040000000002</v>
      </c>
      <c r="AB3737">
        <v>35</v>
      </c>
      <c r="AC3737">
        <v>-46.7518999999999</v>
      </c>
      <c r="AD3737">
        <v>1.227795</v>
      </c>
      <c r="AE3737">
        <v>-27.360800000000001</v>
      </c>
      <c r="AF3737">
        <v>-16.005351748000201</v>
      </c>
      <c r="AG3737">
        <v>1.227795</v>
      </c>
      <c r="AH3737">
        <v>51.722041783900799</v>
      </c>
      <c r="AI3737">
        <v>88.700905036325196</v>
      </c>
      <c r="AJ3737">
        <v>107.19464744443</v>
      </c>
      <c r="AK3737">
        <v>54.155778744606998</v>
      </c>
      <c r="AL3737">
        <v>76.619671967871398</v>
      </c>
      <c r="AM3737">
        <v>91.844741964620496</v>
      </c>
      <c r="AN3737">
        <v>1.0000000156514</v>
      </c>
    </row>
    <row r="3738" spans="1:40" x14ac:dyDescent="0.25">
      <c r="A3738" t="str">
        <f>"20190303170843536"</f>
        <v>20190303170843536</v>
      </c>
      <c r="B3738" t="str">
        <f>"1551604123526630"</f>
        <v>1551604123526630</v>
      </c>
      <c r="C3738" t="s">
        <v>40</v>
      </c>
      <c r="D3738">
        <v>4.9300769999999998</v>
      </c>
      <c r="E3738">
        <v>0.39705610000000002</v>
      </c>
      <c r="F3738" t="s">
        <v>76</v>
      </c>
      <c r="G3738">
        <v>-440.75</v>
      </c>
      <c r="H3738">
        <v>2.3267359999999999</v>
      </c>
      <c r="I3738">
        <v>110.45229999999999</v>
      </c>
      <c r="J3738">
        <v>-394.64789999999999</v>
      </c>
      <c r="K3738">
        <v>1.125353</v>
      </c>
      <c r="L3738">
        <v>137.87819999999999</v>
      </c>
      <c r="M3738">
        <v>-0.97179059999999995</v>
      </c>
      <c r="N3738">
        <v>-1.4865059999999999E-2</v>
      </c>
      <c r="O3738">
        <v>-0.23537669999999999</v>
      </c>
      <c r="P3738">
        <v>-0.94175240000000005</v>
      </c>
      <c r="Q3738">
        <v>0.21581620000000001</v>
      </c>
      <c r="R3738">
        <v>-0.25792700000000002</v>
      </c>
      <c r="S3738">
        <v>-2.7355040000000002</v>
      </c>
      <c r="T3738">
        <v>7.0294620000000002E-2</v>
      </c>
      <c r="U3738">
        <v>-1.6141509999999999</v>
      </c>
      <c r="V3738">
        <v>-3.130227E-2</v>
      </c>
      <c r="W3738">
        <v>0.22999790000000001</v>
      </c>
      <c r="X3738">
        <v>0.97268759999999999</v>
      </c>
      <c r="Y3738">
        <v>-0.29129690000000003</v>
      </c>
      <c r="Z3738">
        <v>-7.6561049999999999E-3</v>
      </c>
      <c r="AA3738">
        <v>0.95660210000000001</v>
      </c>
      <c r="AB3738">
        <v>35</v>
      </c>
      <c r="AC3738">
        <v>-46.1021</v>
      </c>
      <c r="AD3738">
        <v>1.2013830000000001</v>
      </c>
      <c r="AE3738">
        <v>-27.425899999999999</v>
      </c>
      <c r="AF3738">
        <v>-15.7946944596373</v>
      </c>
      <c r="AG3738">
        <v>1.2013830000000001</v>
      </c>
      <c r="AH3738">
        <v>51.236966833203702</v>
      </c>
      <c r="AI3738">
        <v>88.716383628487193</v>
      </c>
      <c r="AJ3738">
        <v>107.132832780226</v>
      </c>
      <c r="AK3738">
        <v>53.629678951610501</v>
      </c>
      <c r="AL3738">
        <v>76.703052113985095</v>
      </c>
      <c r="AM3738">
        <v>91.8432117508478</v>
      </c>
      <c r="AN3738">
        <v>1.0000000166526599</v>
      </c>
    </row>
    <row r="3739" spans="1:40" x14ac:dyDescent="0.25">
      <c r="A3739" t="str">
        <f>"20190303170843557"</f>
        <v>20190303170843557</v>
      </c>
      <c r="B3739" t="str">
        <f>"1551604123547126"</f>
        <v>1551604123547126</v>
      </c>
      <c r="C3739" t="s">
        <v>40</v>
      </c>
      <c r="D3739">
        <v>4.9157950000000001</v>
      </c>
      <c r="E3739">
        <v>0.3968255</v>
      </c>
      <c r="F3739" t="s">
        <v>76</v>
      </c>
      <c r="G3739">
        <v>-440.75</v>
      </c>
      <c r="H3739">
        <v>2.2060089999999999</v>
      </c>
      <c r="I3739">
        <v>110.102</v>
      </c>
      <c r="J3739">
        <v>-394.97300000000001</v>
      </c>
      <c r="K3739">
        <v>1.1253500000000001</v>
      </c>
      <c r="L3739">
        <v>137.7954</v>
      </c>
      <c r="M3739">
        <v>-0.97080949999999999</v>
      </c>
      <c r="N3739">
        <v>-1.486095E-2</v>
      </c>
      <c r="O3739">
        <v>-0.2393914</v>
      </c>
      <c r="P3739">
        <v>-0.94066329999999998</v>
      </c>
      <c r="Q3739">
        <v>0.2162731</v>
      </c>
      <c r="R3739">
        <v>-0.26149339999999999</v>
      </c>
      <c r="S3739">
        <v>-2.721832</v>
      </c>
      <c r="T3739">
        <v>6.3802360000000002E-2</v>
      </c>
      <c r="U3739">
        <v>-1.639877</v>
      </c>
      <c r="V3739">
        <v>-3.0990879999999998E-2</v>
      </c>
      <c r="W3739">
        <v>0.23045260000000001</v>
      </c>
      <c r="X3739">
        <v>0.97258990000000001</v>
      </c>
      <c r="Y3739">
        <v>-0.29609429999999998</v>
      </c>
      <c r="Z3739">
        <v>-7.5965390000000002E-3</v>
      </c>
      <c r="AA3739">
        <v>0.95512850000000005</v>
      </c>
      <c r="AB3739">
        <v>35</v>
      </c>
      <c r="AC3739">
        <v>-45.777000000000001</v>
      </c>
      <c r="AD3739">
        <v>1.08065899999999</v>
      </c>
      <c r="AE3739">
        <v>-27.6934</v>
      </c>
      <c r="AF3739">
        <v>-15.921657529839701</v>
      </c>
      <c r="AG3739">
        <v>1.08065899999999</v>
      </c>
      <c r="AH3739">
        <v>51.055114678952201</v>
      </c>
      <c r="AI3739">
        <v>88.842396626415507</v>
      </c>
      <c r="AJ3739">
        <v>107.320212221576</v>
      </c>
      <c r="AK3739">
        <v>53.491043523684802</v>
      </c>
      <c r="AL3739">
        <v>76.676279997534195</v>
      </c>
      <c r="AM3739">
        <v>91.825071426266405</v>
      </c>
      <c r="AN3739">
        <v>0.999999974535971</v>
      </c>
    </row>
    <row r="3740" spans="1:40" x14ac:dyDescent="0.25">
      <c r="A3740" t="str">
        <f>"20190303170843604"</f>
        <v>20190303170843604</v>
      </c>
      <c r="B3740" t="str">
        <f>"1551604123597439"</f>
        <v>1551604123597439</v>
      </c>
      <c r="C3740" t="s">
        <v>40</v>
      </c>
      <c r="D3740">
        <v>4.9820960000000003</v>
      </c>
      <c r="E3740">
        <v>0.41517110000000002</v>
      </c>
      <c r="F3740" t="s">
        <v>76</v>
      </c>
      <c r="G3740">
        <v>-440.75</v>
      </c>
      <c r="H3740">
        <v>2.2208839999999999</v>
      </c>
      <c r="I3740">
        <v>109.9383</v>
      </c>
      <c r="J3740">
        <v>-395.66269999999997</v>
      </c>
      <c r="K3740">
        <v>1.1253280000000001</v>
      </c>
      <c r="L3740">
        <v>137.61490000000001</v>
      </c>
      <c r="M3740">
        <v>-0.96866819999999998</v>
      </c>
      <c r="N3740">
        <v>-1.485243E-2</v>
      </c>
      <c r="O3740">
        <v>-0.24791350000000001</v>
      </c>
      <c r="P3740">
        <v>-0.93827059999999995</v>
      </c>
      <c r="Q3740">
        <v>0.21690809999999999</v>
      </c>
      <c r="R3740">
        <v>-0.26944179999999901</v>
      </c>
      <c r="S3740">
        <v>-2.7150270000000001</v>
      </c>
      <c r="T3740">
        <v>6.4977289999999993E-2</v>
      </c>
      <c r="U3740">
        <v>-1.652191</v>
      </c>
      <c r="V3740">
        <v>-3.0702810000000001E-2</v>
      </c>
      <c r="W3740">
        <v>0.2310818</v>
      </c>
      <c r="X3740">
        <v>0.97244980000000003</v>
      </c>
      <c r="Y3740">
        <v>-0.29192869999999999</v>
      </c>
      <c r="Z3740">
        <v>-7.9416859999999999E-3</v>
      </c>
      <c r="AA3740">
        <v>0.95640709999999995</v>
      </c>
      <c r="AB3740">
        <v>35</v>
      </c>
      <c r="AC3740">
        <v>-45.087299999999999</v>
      </c>
      <c r="AD3740">
        <v>1.09555599999999</v>
      </c>
      <c r="AE3740">
        <v>-27.676600000000001</v>
      </c>
      <c r="AF3740">
        <v>-15.6267168446455</v>
      </c>
      <c r="AG3740">
        <v>1.09555599999999</v>
      </c>
      <c r="AH3740">
        <v>50.519952363772497</v>
      </c>
      <c r="AI3740">
        <v>88.813163765422502</v>
      </c>
      <c r="AJ3740">
        <v>107.18776527604</v>
      </c>
      <c r="AK3740">
        <v>52.892911709696101</v>
      </c>
      <c r="AL3740">
        <v>76.639230312457599</v>
      </c>
      <c r="AM3740">
        <v>91.808378446744797</v>
      </c>
      <c r="AN3740">
        <v>1.00000003717658</v>
      </c>
    </row>
    <row r="3741" spans="1:40" x14ac:dyDescent="0.25">
      <c r="A3741" t="str">
        <f>"20190303170843629"</f>
        <v>20190303170843629</v>
      </c>
      <c r="B3741" t="str">
        <f>"1551604123616959"</f>
        <v>1551604123616959</v>
      </c>
      <c r="C3741" t="s">
        <v>40</v>
      </c>
      <c r="D3741">
        <v>4.943295</v>
      </c>
      <c r="E3741">
        <v>0.41866979999999998</v>
      </c>
      <c r="F3741" t="s">
        <v>76</v>
      </c>
      <c r="G3741">
        <v>-440.75</v>
      </c>
      <c r="H3741">
        <v>1.1808689999999999</v>
      </c>
      <c r="I3741">
        <v>112.36920000000001</v>
      </c>
      <c r="J3741">
        <v>-396.05169999999998</v>
      </c>
      <c r="K3741">
        <v>1.125319</v>
      </c>
      <c r="L3741">
        <v>137.5103</v>
      </c>
      <c r="M3741">
        <v>-0.96742470000000003</v>
      </c>
      <c r="N3741">
        <v>-1.4847580000000001E-2</v>
      </c>
      <c r="O3741">
        <v>-0.25272289999999997</v>
      </c>
      <c r="P3741">
        <v>-0.9370193</v>
      </c>
      <c r="Q3741">
        <v>0.21610409999999999</v>
      </c>
      <c r="R3741">
        <v>-0.2743969</v>
      </c>
      <c r="S3741">
        <v>-2.753784</v>
      </c>
      <c r="T3741">
        <v>3.393769E-3</v>
      </c>
      <c r="U3741">
        <v>-1.5419160000000001</v>
      </c>
      <c r="V3741">
        <v>-3.0950950000000001E-2</v>
      </c>
      <c r="W3741">
        <v>0.23027400000000001</v>
      </c>
      <c r="X3741">
        <v>0.97263350000000004</v>
      </c>
      <c r="Y3741">
        <v>-0.25218370000000001</v>
      </c>
      <c r="Z3741">
        <v>-5.732198E-3</v>
      </c>
      <c r="AA3741">
        <v>0.96766240000000003</v>
      </c>
      <c r="AB3741">
        <v>35</v>
      </c>
      <c r="AC3741">
        <v>-44.698300000000003</v>
      </c>
      <c r="AD3741">
        <v>5.5549999999999898E-2</v>
      </c>
      <c r="AE3741">
        <v>-25.141099999999899</v>
      </c>
      <c r="AF3741">
        <v>-13.0272587332441</v>
      </c>
      <c r="AG3741">
        <v>5.5549999999999898E-2</v>
      </c>
      <c r="AH3741">
        <v>49.601383956528601</v>
      </c>
      <c r="AI3741">
        <v>89.937937667545697</v>
      </c>
      <c r="AJ3741">
        <v>104.715755278966</v>
      </c>
      <c r="AK3741">
        <v>51.283621618489001</v>
      </c>
      <c r="AL3741">
        <v>76.686796207919002</v>
      </c>
      <c r="AM3741">
        <v>91.822639860389202</v>
      </c>
      <c r="AN3741">
        <v>1.00000000085207</v>
      </c>
    </row>
    <row r="3742" spans="1:40" x14ac:dyDescent="0.25">
      <c r="A3742" t="str">
        <f>"20190303170843651"</f>
        <v>20190303170843651</v>
      </c>
      <c r="B3742" t="str">
        <f>"1551604123637456"</f>
        <v>1551604123637456</v>
      </c>
      <c r="C3742" t="s">
        <v>40</v>
      </c>
      <c r="D3742">
        <v>4.9427399999999997</v>
      </c>
      <c r="E3742">
        <v>0.42016920000000002</v>
      </c>
      <c r="F3742" t="s">
        <v>76</v>
      </c>
      <c r="G3742">
        <v>-440.75</v>
      </c>
      <c r="H3742">
        <v>1.1059859999999999</v>
      </c>
      <c r="I3742">
        <v>112.6932</v>
      </c>
      <c r="J3742">
        <v>-396.38330000000002</v>
      </c>
      <c r="K3742">
        <v>1.1253010000000001</v>
      </c>
      <c r="L3742">
        <v>137.41929999999999</v>
      </c>
      <c r="M3742">
        <v>-0.96634419999999999</v>
      </c>
      <c r="N3742">
        <v>-1.4843429999999999E-2</v>
      </c>
      <c r="O3742">
        <v>-0.2568241</v>
      </c>
      <c r="P3742">
        <v>-0.93597280000000005</v>
      </c>
      <c r="Q3742">
        <v>0.21528929999999999</v>
      </c>
      <c r="R3742">
        <v>-0.27857749999999998</v>
      </c>
      <c r="S3742">
        <v>-2.754089</v>
      </c>
      <c r="T3742">
        <v>-1.1895899999999999E-3</v>
      </c>
      <c r="U3742">
        <v>-1.529099</v>
      </c>
      <c r="V3742">
        <v>-3.110692E-2</v>
      </c>
      <c r="W3742">
        <v>0.2294572</v>
      </c>
      <c r="X3742">
        <v>0.97282150000000001</v>
      </c>
      <c r="Y3742">
        <v>-0.2445832</v>
      </c>
      <c r="Z3742">
        <v>-5.5422279999999997E-3</v>
      </c>
      <c r="AA3742">
        <v>0.96961249999999999</v>
      </c>
      <c r="AB3742">
        <v>35</v>
      </c>
      <c r="AC3742">
        <v>-44.366699999999902</v>
      </c>
      <c r="AD3742">
        <v>-1.9314999999999902E-2</v>
      </c>
      <c r="AE3742">
        <v>-24.726099999999899</v>
      </c>
      <c r="AF3742">
        <v>-12.5008605690788</v>
      </c>
      <c r="AG3742">
        <v>-1.9314999999999902E-2</v>
      </c>
      <c r="AH3742">
        <v>49.229176602845598</v>
      </c>
      <c r="AI3742">
        <v>90.021788418417302</v>
      </c>
      <c r="AJ3742">
        <v>104.248078386153</v>
      </c>
      <c r="AK3742">
        <v>50.791571318782097</v>
      </c>
      <c r="AL3742">
        <v>76.734882487797293</v>
      </c>
      <c r="AM3742">
        <v>91.8314646194044</v>
      </c>
      <c r="AN3742">
        <v>0.99999995898298699</v>
      </c>
    </row>
    <row r="3743" spans="1:40" x14ac:dyDescent="0.25">
      <c r="A3743" t="str">
        <f>"20190303170843693"</f>
        <v>20190303170843693</v>
      </c>
      <c r="B3743" t="str">
        <f>"1551604123686823"</f>
        <v>1551604123686823</v>
      </c>
      <c r="C3743" t="s">
        <v>40</v>
      </c>
      <c r="D3743">
        <v>4.9390900000000002</v>
      </c>
      <c r="E3743">
        <v>0.42225269999999998</v>
      </c>
      <c r="F3743" t="s">
        <v>76</v>
      </c>
      <c r="G3743">
        <v>-440.75</v>
      </c>
      <c r="H3743">
        <v>1.051579</v>
      </c>
      <c r="I3743">
        <v>112.7414</v>
      </c>
      <c r="J3743">
        <v>-397.01170000000002</v>
      </c>
      <c r="K3743">
        <v>1.1252899999999999</v>
      </c>
      <c r="L3743">
        <v>137.24289999999999</v>
      </c>
      <c r="M3743">
        <v>-0.9642442</v>
      </c>
      <c r="N3743">
        <v>-1.483548E-2</v>
      </c>
      <c r="O3743">
        <v>-0.2646</v>
      </c>
      <c r="P3743">
        <v>-0.93348059999999999</v>
      </c>
      <c r="Q3743">
        <v>0.21581510000000001</v>
      </c>
      <c r="R3743">
        <v>-0.28642260000000003</v>
      </c>
      <c r="S3743">
        <v>-2.7508539999999999</v>
      </c>
      <c r="T3743">
        <v>-4.569292E-3</v>
      </c>
      <c r="U3743">
        <v>-1.53009</v>
      </c>
      <c r="V3743">
        <v>-3.1462959999999998E-2</v>
      </c>
      <c r="W3743">
        <v>0.22997100000000001</v>
      </c>
      <c r="X3743">
        <v>0.97268869999999996</v>
      </c>
      <c r="Y3743">
        <v>-0.2375119</v>
      </c>
      <c r="Z3743">
        <v>-5.4340719999999999E-3</v>
      </c>
      <c r="AA3743">
        <v>0.97136940000000005</v>
      </c>
      <c r="AB3743">
        <v>35</v>
      </c>
      <c r="AC3743">
        <v>-43.738299999999903</v>
      </c>
      <c r="AD3743">
        <v>-7.3710999999999804E-2</v>
      </c>
      <c r="AE3743">
        <v>-24.5015</v>
      </c>
      <c r="AF3743">
        <v>-12.053574773842399</v>
      </c>
      <c r="AG3743">
        <v>-7.3710999999999804E-2</v>
      </c>
      <c r="AH3743">
        <v>48.6627460972311</v>
      </c>
      <c r="AI3743">
        <v>90.084241871304002</v>
      </c>
      <c r="AJ3743">
        <v>103.911940064391</v>
      </c>
      <c r="AK3743">
        <v>50.1333916253799</v>
      </c>
      <c r="AL3743">
        <v>76.704634824294004</v>
      </c>
      <c r="AM3743">
        <v>91.852665195435804</v>
      </c>
      <c r="AN3743">
        <v>0.99999994290032401</v>
      </c>
    </row>
    <row r="3744" spans="1:40" x14ac:dyDescent="0.25">
      <c r="A3744" t="str">
        <f>"20190303170843715"</f>
        <v>20190303170843715</v>
      </c>
      <c r="B3744" t="str">
        <f>"1551604123707302"</f>
        <v>1551604123707302</v>
      </c>
      <c r="C3744" t="s">
        <v>40</v>
      </c>
      <c r="D3744">
        <v>4.9282050000000002</v>
      </c>
      <c r="E3744">
        <v>0.42281400000000002</v>
      </c>
      <c r="F3744" t="s">
        <v>76</v>
      </c>
      <c r="G3744">
        <v>-440.75</v>
      </c>
      <c r="H3744">
        <v>1.0606869999999999</v>
      </c>
      <c r="I3744">
        <v>112.7239</v>
      </c>
      <c r="J3744">
        <v>-397.3338</v>
      </c>
      <c r="K3744">
        <v>1.125281</v>
      </c>
      <c r="L3744">
        <v>137.15029999999999</v>
      </c>
      <c r="M3744">
        <v>-0.96314109999999997</v>
      </c>
      <c r="N3744">
        <v>-1.483142E-2</v>
      </c>
      <c r="O3744">
        <v>-0.26858739999999998</v>
      </c>
      <c r="P3744">
        <v>-0.93230539999999995</v>
      </c>
      <c r="Q3744">
        <v>0.21563080000000001</v>
      </c>
      <c r="R3744">
        <v>-0.2903616</v>
      </c>
      <c r="S3744">
        <v>-2.7428889999999999</v>
      </c>
      <c r="T3744">
        <v>-4.0497780000000004E-3</v>
      </c>
      <c r="U3744">
        <v>-1.5376129999999999</v>
      </c>
      <c r="V3744">
        <v>-3.1527479999999997E-2</v>
      </c>
      <c r="W3744">
        <v>0.22978299999999999</v>
      </c>
      <c r="X3744">
        <v>0.97273109999999996</v>
      </c>
      <c r="Y3744">
        <v>-0.2367205</v>
      </c>
      <c r="Z3744">
        <v>-5.5022689999999997E-3</v>
      </c>
      <c r="AA3744">
        <v>0.97156220000000004</v>
      </c>
      <c r="AB3744">
        <v>35</v>
      </c>
      <c r="AC3744">
        <v>-43.416200000000003</v>
      </c>
      <c r="AD3744">
        <v>-6.4593999999999804E-2</v>
      </c>
      <c r="AE3744">
        <v>-24.426399999999902</v>
      </c>
      <c r="AF3744">
        <v>-11.866311084653301</v>
      </c>
      <c r="AG3744">
        <v>-6.4593999999999804E-2</v>
      </c>
      <c r="AH3744">
        <v>48.381791573830697</v>
      </c>
      <c r="AI3744">
        <v>90.074293027601598</v>
      </c>
      <c r="AJ3744">
        <v>103.780568650964</v>
      </c>
      <c r="AK3744">
        <v>49.815773275501797</v>
      </c>
      <c r="AL3744">
        <v>76.7157036221938</v>
      </c>
      <c r="AM3744">
        <v>91.856380871895198</v>
      </c>
      <c r="AN3744">
        <v>1.00000000099568</v>
      </c>
    </row>
    <row r="3745" spans="1:40" x14ac:dyDescent="0.25">
      <c r="A3745" t="str">
        <f>"20190303170843736"</f>
        <v>20190303170843736</v>
      </c>
      <c r="B3745" t="str">
        <f>"1551604123726822"</f>
        <v>1551604123726822</v>
      </c>
      <c r="C3745" t="s">
        <v>40</v>
      </c>
      <c r="D3745">
        <v>4.9267120000000002</v>
      </c>
      <c r="E3745">
        <v>0.42346640000000002</v>
      </c>
      <c r="F3745" t="s">
        <v>76</v>
      </c>
      <c r="G3745">
        <v>-440.75</v>
      </c>
      <c r="H3745">
        <v>1.0307770000000001</v>
      </c>
      <c r="I3745">
        <v>112.64790000000001</v>
      </c>
      <c r="J3745">
        <v>-397.6549</v>
      </c>
      <c r="K3745">
        <v>1.125273</v>
      </c>
      <c r="L3745">
        <v>137.0565</v>
      </c>
      <c r="M3745">
        <v>-0.96202330000000003</v>
      </c>
      <c r="N3745">
        <v>-1.4827399999999999E-2</v>
      </c>
      <c r="O3745">
        <v>-0.27256439999999998</v>
      </c>
      <c r="P3745">
        <v>-0.93106310000000003</v>
      </c>
      <c r="Q3745">
        <v>0.2148996</v>
      </c>
      <c r="R3745">
        <v>-0.2948559</v>
      </c>
      <c r="S3745">
        <v>-2.737946</v>
      </c>
      <c r="T3745">
        <v>-5.9580800000000001E-3</v>
      </c>
      <c r="U3745">
        <v>-1.5451809999999999</v>
      </c>
      <c r="V3745">
        <v>-3.2144560000000003E-2</v>
      </c>
      <c r="W3745">
        <v>0.2290441</v>
      </c>
      <c r="X3745">
        <v>0.97288509999999995</v>
      </c>
      <c r="Y3745">
        <v>-0.23549059999999999</v>
      </c>
      <c r="Z3745">
        <v>-5.4467300000000003E-3</v>
      </c>
      <c r="AA3745">
        <v>0.97186139999999999</v>
      </c>
      <c r="AB3745">
        <v>35</v>
      </c>
      <c r="AC3745">
        <v>-43.095100000000002</v>
      </c>
      <c r="AD3745">
        <v>-9.44959999999999E-2</v>
      </c>
      <c r="AE3745">
        <v>-24.4086</v>
      </c>
      <c r="AF3745">
        <v>-11.736699166147</v>
      </c>
      <c r="AG3745">
        <v>-9.44959999999999E-2</v>
      </c>
      <c r="AH3745">
        <v>48.116519323022999</v>
      </c>
      <c r="AI3745">
        <v>90.109317885731897</v>
      </c>
      <c r="AJ3745">
        <v>103.70804304055</v>
      </c>
      <c r="AK3745">
        <v>49.5273507122428</v>
      </c>
      <c r="AL3745">
        <v>76.759198799984006</v>
      </c>
      <c r="AM3745">
        <v>91.892389827577901</v>
      </c>
      <c r="AN3745">
        <v>0.99999994514220503</v>
      </c>
    </row>
    <row r="3746" spans="1:40" x14ac:dyDescent="0.25">
      <c r="A3746" t="str">
        <f>"20190303170843759"</f>
        <v>20190303170843759</v>
      </c>
      <c r="B3746" t="str">
        <f>"1551604123747318"</f>
        <v>1551604123747318</v>
      </c>
      <c r="C3746" t="s">
        <v>40</v>
      </c>
      <c r="D3746">
        <v>4.9057019999999998</v>
      </c>
      <c r="E3746">
        <v>0.42400009999999999</v>
      </c>
      <c r="F3746" t="s">
        <v>76</v>
      </c>
      <c r="G3746">
        <v>-440.75</v>
      </c>
      <c r="H3746">
        <v>0.95564179999999999</v>
      </c>
      <c r="I3746">
        <v>112.55970000000001</v>
      </c>
      <c r="J3746">
        <v>-397.988</v>
      </c>
      <c r="K3746">
        <v>1.1252679999999999</v>
      </c>
      <c r="L3746">
        <v>136.95779999999999</v>
      </c>
      <c r="M3746">
        <v>-0.96084429999999998</v>
      </c>
      <c r="N3746">
        <v>-1.482319E-2</v>
      </c>
      <c r="O3746">
        <v>-0.2766922</v>
      </c>
      <c r="P3746">
        <v>-0.92974570000000001</v>
      </c>
      <c r="Q3746">
        <v>0.21425520000000001</v>
      </c>
      <c r="R3746">
        <v>-0.2994462</v>
      </c>
      <c r="S3746">
        <v>-2.7326969999999999</v>
      </c>
      <c r="T3746">
        <v>-1.075459E-2</v>
      </c>
      <c r="U3746">
        <v>-1.5533600000000001</v>
      </c>
      <c r="V3746">
        <v>-3.2717049999999998E-2</v>
      </c>
      <c r="W3746">
        <v>0.22839329999999999</v>
      </c>
      <c r="X3746">
        <v>0.97301910000000003</v>
      </c>
      <c r="Y3746">
        <v>-0.23430989999999999</v>
      </c>
      <c r="Z3746">
        <v>-5.238192E-3</v>
      </c>
      <c r="AA3746">
        <v>0.97214780000000001</v>
      </c>
      <c r="AB3746">
        <v>35</v>
      </c>
      <c r="AC3746">
        <v>-42.761999999999901</v>
      </c>
      <c r="AD3746">
        <v>-0.16962619999999901</v>
      </c>
      <c r="AE3746">
        <v>-24.3980999999999</v>
      </c>
      <c r="AF3746">
        <v>-11.6120010333991</v>
      </c>
      <c r="AG3746">
        <v>-0.16962619999999901</v>
      </c>
      <c r="AH3746">
        <v>47.843074885917702</v>
      </c>
      <c r="AI3746">
        <v>90.197408387604796</v>
      </c>
      <c r="AJ3746">
        <v>103.642467163532</v>
      </c>
      <c r="AK3746">
        <v>49.232379137991302</v>
      </c>
      <c r="AL3746">
        <v>76.797503455489803</v>
      </c>
      <c r="AM3746">
        <v>91.925802805469999</v>
      </c>
      <c r="AN3746">
        <v>1.0000000369052</v>
      </c>
    </row>
    <row r="3747" spans="1:40" x14ac:dyDescent="0.25">
      <c r="A3747" t="str">
        <f>"20190303170843783"</f>
        <v>20190303170843783</v>
      </c>
      <c r="B3747" t="str">
        <f>"1551604123777574"</f>
        <v>1551604123777574</v>
      </c>
      <c r="C3747" t="s">
        <v>40</v>
      </c>
      <c r="D3747">
        <v>4.8989010000000004</v>
      </c>
      <c r="E3747">
        <v>0.42454799999999998</v>
      </c>
      <c r="F3747" t="s">
        <v>76</v>
      </c>
      <c r="G3747">
        <v>-440.75</v>
      </c>
      <c r="H3747">
        <v>0.89371319999999999</v>
      </c>
      <c r="I3747">
        <v>112.45269999999999</v>
      </c>
      <c r="J3747">
        <v>-398.34629999999999</v>
      </c>
      <c r="K3747">
        <v>1.1252519999999999</v>
      </c>
      <c r="L3747">
        <v>136.84979999999999</v>
      </c>
      <c r="M3747">
        <v>-0.95955469999999998</v>
      </c>
      <c r="N3747">
        <v>-1.4818400000000001E-2</v>
      </c>
      <c r="O3747">
        <v>-0.28113189999999999</v>
      </c>
      <c r="P3747">
        <v>-0.92851379999999994</v>
      </c>
      <c r="Q3747">
        <v>0.2141517</v>
      </c>
      <c r="R3747">
        <v>-0.30331740000000001</v>
      </c>
      <c r="S3747">
        <v>-2.726807</v>
      </c>
      <c r="T3747">
        <v>-1.476395E-2</v>
      </c>
      <c r="U3747">
        <v>-1.5626070000000001</v>
      </c>
      <c r="V3747">
        <v>-3.2258040000000002E-2</v>
      </c>
      <c r="W3747">
        <v>0.2282903</v>
      </c>
      <c r="X3747">
        <v>0.9730586</v>
      </c>
      <c r="Y3747">
        <v>-0.23319519999999999</v>
      </c>
      <c r="Z3747">
        <v>-5.0599759999999999E-3</v>
      </c>
      <c r="AA3747">
        <v>0.97241679999999997</v>
      </c>
      <c r="AB3747">
        <v>35</v>
      </c>
      <c r="AC3747">
        <v>-42.403700000000001</v>
      </c>
      <c r="AD3747">
        <v>-0.23153879999999999</v>
      </c>
      <c r="AE3747">
        <v>-24.397099999999899</v>
      </c>
      <c r="AF3747">
        <v>-11.490323759719301</v>
      </c>
      <c r="AG3747">
        <v>-0.23153879999999999</v>
      </c>
      <c r="AH3747">
        <v>47.551629889705602</v>
      </c>
      <c r="AI3747">
        <v>90.271178358487305</v>
      </c>
      <c r="AJ3747">
        <v>103.584488322702</v>
      </c>
      <c r="AK3747">
        <v>48.920738501034698</v>
      </c>
      <c r="AL3747">
        <v>76.803565111944096</v>
      </c>
      <c r="AM3747">
        <v>91.898727289025601</v>
      </c>
      <c r="AN3747">
        <v>1.0000000406263401</v>
      </c>
    </row>
    <row r="3748" spans="1:40" x14ac:dyDescent="0.25">
      <c r="A3748" t="str">
        <f>"20190303170843806"</f>
        <v>20190303170843806</v>
      </c>
      <c r="B3748" t="str">
        <f>"1551604123797094"</f>
        <v>1551604123797094</v>
      </c>
      <c r="C3748" t="s">
        <v>40</v>
      </c>
      <c r="D3748">
        <v>4.903251</v>
      </c>
      <c r="E3748">
        <v>0.42486180000000001</v>
      </c>
      <c r="F3748" t="s">
        <v>76</v>
      </c>
      <c r="G3748">
        <v>-440.75</v>
      </c>
      <c r="H3748">
        <v>0.86081260000000004</v>
      </c>
      <c r="I3748">
        <v>112.3961</v>
      </c>
      <c r="J3748">
        <v>-398.68549999999999</v>
      </c>
      <c r="K3748">
        <v>1.1252500000000001</v>
      </c>
      <c r="L3748">
        <v>136.74600000000001</v>
      </c>
      <c r="M3748">
        <v>-0.95831239999999995</v>
      </c>
      <c r="N3748">
        <v>-1.4813939999999999E-2</v>
      </c>
      <c r="O3748">
        <v>-0.2853388</v>
      </c>
      <c r="P3748">
        <v>-0.92697980000000002</v>
      </c>
      <c r="Q3748">
        <v>0.21496699999999999</v>
      </c>
      <c r="R3748">
        <v>-0.3074055</v>
      </c>
      <c r="S3748">
        <v>-2.7220759999999999</v>
      </c>
      <c r="T3748">
        <v>-1.6973849999999999E-2</v>
      </c>
      <c r="U3748">
        <v>-1.5697779999999999</v>
      </c>
      <c r="V3748">
        <v>-3.2332949999999999E-2</v>
      </c>
      <c r="W3748">
        <v>0.22909889999999999</v>
      </c>
      <c r="X3748">
        <v>0.97286600000000001</v>
      </c>
      <c r="Y3748">
        <v>-0.2315789</v>
      </c>
      <c r="Z3748">
        <v>-4.9604810000000001E-3</v>
      </c>
      <c r="AA3748">
        <v>0.97280350000000004</v>
      </c>
      <c r="AB3748">
        <v>35</v>
      </c>
      <c r="AC3748">
        <v>-42.064500000000002</v>
      </c>
      <c r="AD3748">
        <v>-0.26443739999999999</v>
      </c>
      <c r="AE3748">
        <v>-24.349900000000002</v>
      </c>
      <c r="AF3748">
        <v>-11.333083406847701</v>
      </c>
      <c r="AG3748">
        <v>-0.26443739999999999</v>
      </c>
      <c r="AH3748">
        <v>47.262682559138</v>
      </c>
      <c r="AI3748">
        <v>90.3117330855452</v>
      </c>
      <c r="AJ3748">
        <v>103.48431552666101</v>
      </c>
      <c r="AK3748">
        <v>48.603187851528098</v>
      </c>
      <c r="AL3748">
        <v>76.755973823829606</v>
      </c>
      <c r="AM3748">
        <v>91.903509786711496</v>
      </c>
      <c r="AN3748">
        <v>0.99999998979645599</v>
      </c>
    </row>
    <row r="3749" spans="1:40" x14ac:dyDescent="0.25">
      <c r="A3749" t="str">
        <f>"20190303170843831"</f>
        <v>20190303170843831</v>
      </c>
      <c r="B3749" t="str">
        <f>"1551604123817590"</f>
        <v>1551604123817590</v>
      </c>
      <c r="C3749" t="s">
        <v>40</v>
      </c>
      <c r="D3749">
        <v>4.8770300000000004</v>
      </c>
      <c r="E3749">
        <v>0.42978870000000002</v>
      </c>
      <c r="F3749" t="s">
        <v>76</v>
      </c>
      <c r="G3749">
        <v>-440.75</v>
      </c>
      <c r="H3749">
        <v>0.88125159999999902</v>
      </c>
      <c r="I3749">
        <v>112.2908</v>
      </c>
      <c r="J3749">
        <v>-399.04719999999998</v>
      </c>
      <c r="K3749">
        <v>1.1252409999999999</v>
      </c>
      <c r="L3749">
        <v>136.63339999999999</v>
      </c>
      <c r="M3749">
        <v>-0.95696530000000002</v>
      </c>
      <c r="N3749">
        <v>-1.480922E-2</v>
      </c>
      <c r="O3749">
        <v>-0.28982459999999999</v>
      </c>
      <c r="P3749">
        <v>-0.92539490000000002</v>
      </c>
      <c r="Q3749">
        <v>0.2159384</v>
      </c>
      <c r="R3749">
        <v>-0.311473</v>
      </c>
      <c r="S3749">
        <v>-2.7162480000000002</v>
      </c>
      <c r="T3749">
        <v>-1.5753980000000001E-2</v>
      </c>
      <c r="U3749">
        <v>-1.5791470000000001</v>
      </c>
      <c r="V3749">
        <v>-3.2116199999999998E-2</v>
      </c>
      <c r="W3749">
        <v>0.23006570000000001</v>
      </c>
      <c r="X3749">
        <v>0.97264499999999998</v>
      </c>
      <c r="Y3749">
        <v>-0.23043859999999999</v>
      </c>
      <c r="Z3749">
        <v>-5.0551349999999997E-3</v>
      </c>
      <c r="AA3749">
        <v>0.97307379999999999</v>
      </c>
      <c r="AB3749">
        <v>35</v>
      </c>
      <c r="AC3749">
        <v>-41.702800000000003</v>
      </c>
      <c r="AD3749">
        <v>-0.2439894</v>
      </c>
      <c r="AE3749">
        <v>-24.342599999999901</v>
      </c>
      <c r="AF3749">
        <v>-11.2094681758802</v>
      </c>
      <c r="AG3749">
        <v>-0.2439894</v>
      </c>
      <c r="AH3749">
        <v>46.967163728703397</v>
      </c>
      <c r="AI3749">
        <v>90.289511605902902</v>
      </c>
      <c r="AJ3749">
        <v>103.423445158837</v>
      </c>
      <c r="AK3749">
        <v>48.286915166867097</v>
      </c>
      <c r="AL3749">
        <v>76.699060004433605</v>
      </c>
      <c r="AM3749">
        <v>91.891187842524502</v>
      </c>
      <c r="AN3749">
        <v>0.99999998632196496</v>
      </c>
    </row>
    <row r="3750" spans="1:40" x14ac:dyDescent="0.25">
      <c r="A3750" t="str">
        <f>"20190303170843871"</f>
        <v>20190303170843871</v>
      </c>
      <c r="B3750" t="str">
        <f>"1551604123857607"</f>
        <v>1551604123857607</v>
      </c>
      <c r="C3750" t="s">
        <v>40</v>
      </c>
      <c r="D3750">
        <v>4.8216830000000002</v>
      </c>
      <c r="E3750">
        <v>0.43047089999999999</v>
      </c>
      <c r="F3750" t="s">
        <v>76</v>
      </c>
      <c r="G3750">
        <v>-440.75</v>
      </c>
      <c r="H3750">
        <v>0.71685379999999999</v>
      </c>
      <c r="I3750">
        <v>112.8137</v>
      </c>
      <c r="J3750">
        <v>-399.63319999999999</v>
      </c>
      <c r="K3750">
        <v>1.1252279999999999</v>
      </c>
      <c r="L3750">
        <v>136.44710000000001</v>
      </c>
      <c r="M3750">
        <v>-0.95473260000000004</v>
      </c>
      <c r="N3750">
        <v>-1.480186E-2</v>
      </c>
      <c r="O3750">
        <v>-0.29709730000000001</v>
      </c>
      <c r="P3750">
        <v>-0.92297030000000002</v>
      </c>
      <c r="Q3750">
        <v>0.21456239999999999</v>
      </c>
      <c r="R3750">
        <v>-0.31951469999999998</v>
      </c>
      <c r="S3750">
        <v>-2.7243650000000001</v>
      </c>
      <c r="T3750">
        <v>-2.6677369999999999E-2</v>
      </c>
      <c r="U3750">
        <v>-1.5560909999999999</v>
      </c>
      <c r="V3750">
        <v>-3.3065999999999998E-2</v>
      </c>
      <c r="W3750">
        <v>0.2286784</v>
      </c>
      <c r="X3750">
        <v>0.97294029999999998</v>
      </c>
      <c r="Y3750">
        <v>-0.21554499999999999</v>
      </c>
      <c r="Z3750">
        <v>-4.2986350000000003E-3</v>
      </c>
      <c r="AA3750">
        <v>0.97648449999999998</v>
      </c>
      <c r="AB3750">
        <v>35</v>
      </c>
      <c r="AC3750">
        <v>-41.116799999999998</v>
      </c>
      <c r="AD3750">
        <v>-0.40837420000000002</v>
      </c>
      <c r="AE3750">
        <v>-23.633400000000002</v>
      </c>
      <c r="AF3750">
        <v>-10.348252395794299</v>
      </c>
      <c r="AG3750">
        <v>-0.40837420000000002</v>
      </c>
      <c r="AH3750">
        <v>46.278602056154703</v>
      </c>
      <c r="AI3750">
        <v>90.493395549586594</v>
      </c>
      <c r="AJ3750">
        <v>102.60443262559799</v>
      </c>
      <c r="AK3750">
        <v>47.423223270948398</v>
      </c>
      <c r="AL3750">
        <v>76.780723871590197</v>
      </c>
      <c r="AM3750">
        <v>91.946484626708596</v>
      </c>
      <c r="AN3750">
        <v>0.99999999917332405</v>
      </c>
    </row>
    <row r="3751" spans="1:40" x14ac:dyDescent="0.25">
      <c r="A3751" t="str">
        <f>"20190303170843893"</f>
        <v>20190303170843893</v>
      </c>
      <c r="B3751" t="str">
        <f>"1551604123886886"</f>
        <v>1551604123886886</v>
      </c>
      <c r="C3751" t="s">
        <v>40</v>
      </c>
      <c r="D3751">
        <v>4.8195040000000002</v>
      </c>
      <c r="E3751">
        <v>0.43115340000000002</v>
      </c>
      <c r="F3751" t="s">
        <v>76</v>
      </c>
      <c r="G3751">
        <v>-440.75</v>
      </c>
      <c r="H3751">
        <v>0.63968449999999999</v>
      </c>
      <c r="I3751">
        <v>112.575</v>
      </c>
      <c r="J3751">
        <v>-399.97680000000003</v>
      </c>
      <c r="K3751">
        <v>1.125213</v>
      </c>
      <c r="L3751">
        <v>136.33539999999999</v>
      </c>
      <c r="M3751">
        <v>-0.95339450000000003</v>
      </c>
      <c r="N3751">
        <v>-1.479755E-2</v>
      </c>
      <c r="O3751">
        <v>-0.3013634</v>
      </c>
      <c r="P3751">
        <v>-0.92151090000000002</v>
      </c>
      <c r="Q3751">
        <v>0.21494279999999999</v>
      </c>
      <c r="R3751">
        <v>-0.32344620000000002</v>
      </c>
      <c r="S3751">
        <v>-2.7126769999999998</v>
      </c>
      <c r="T3751">
        <v>-3.203189E-2</v>
      </c>
      <c r="U3751">
        <v>-1.574951</v>
      </c>
      <c r="V3751">
        <v>-3.2887180000000002E-2</v>
      </c>
      <c r="W3751">
        <v>0.2290558</v>
      </c>
      <c r="X3751">
        <v>0.97285759999999999</v>
      </c>
      <c r="Y3751">
        <v>-0.21807199999999999</v>
      </c>
      <c r="Z3751">
        <v>-4.0143150000000001E-3</v>
      </c>
      <c r="AA3751">
        <v>0.97592440000000003</v>
      </c>
      <c r="AB3751">
        <v>35</v>
      </c>
      <c r="AC3751">
        <v>-40.773199999999903</v>
      </c>
      <c r="AD3751">
        <v>-0.48552849999999997</v>
      </c>
      <c r="AE3751">
        <v>-23.760399999999901</v>
      </c>
      <c r="AF3751">
        <v>-10.365522619895399</v>
      </c>
      <c r="AG3751">
        <v>-0.48552849999999997</v>
      </c>
      <c r="AH3751">
        <v>46.033628862155098</v>
      </c>
      <c r="AI3751">
        <v>90.589531310525203</v>
      </c>
      <c r="AJ3751">
        <v>102.689808576453</v>
      </c>
      <c r="AK3751">
        <v>47.188714575908001</v>
      </c>
      <c r="AL3751">
        <v>76.758511113123404</v>
      </c>
      <c r="AM3751">
        <v>91.936130570470496</v>
      </c>
      <c r="AN3751">
        <v>1.00000001799987</v>
      </c>
    </row>
    <row r="3752" spans="1:40" x14ac:dyDescent="0.25">
      <c r="A3752" t="str">
        <f>"20190303170843938"</f>
        <v>20190303170843938</v>
      </c>
      <c r="B3752" t="str">
        <f>"1551604123926902"</f>
        <v>1551604123926902</v>
      </c>
      <c r="C3752" t="s">
        <v>40</v>
      </c>
      <c r="D3752">
        <v>4.7867749999999996</v>
      </c>
      <c r="E3752">
        <v>0.43194830000000001</v>
      </c>
      <c r="F3752" t="s">
        <v>76</v>
      </c>
      <c r="G3752">
        <v>-440.75</v>
      </c>
      <c r="H3752">
        <v>0.60964739999999995</v>
      </c>
      <c r="I3752">
        <v>112.52160000000001</v>
      </c>
      <c r="J3752">
        <v>-400.61599999999999</v>
      </c>
      <c r="K3752">
        <v>1.1252089999999999</v>
      </c>
      <c r="L3752">
        <v>136.1233</v>
      </c>
      <c r="M3752">
        <v>-0.95084809999999997</v>
      </c>
      <c r="N3752">
        <v>-1.478958E-2</v>
      </c>
      <c r="O3752">
        <v>-0.30930429999999998</v>
      </c>
      <c r="P3752">
        <v>-0.91905859999999995</v>
      </c>
      <c r="Q3752">
        <v>0.21630179999999999</v>
      </c>
      <c r="R3752">
        <v>-0.32946150000000002</v>
      </c>
      <c r="S3752">
        <v>-2.7083439999999999</v>
      </c>
      <c r="T3752">
        <v>-3.4244299999999998E-2</v>
      </c>
      <c r="U3752">
        <v>-1.5818179999999999</v>
      </c>
      <c r="V3752">
        <v>-3.1226710000000001E-2</v>
      </c>
      <c r="W3752">
        <v>0.2304206</v>
      </c>
      <c r="X3752">
        <v>0.97258999999999995</v>
      </c>
      <c r="Y3752">
        <v>-0.21245149999999999</v>
      </c>
      <c r="Z3752">
        <v>-3.8248930000000002E-3</v>
      </c>
      <c r="AA3752">
        <v>0.97716409999999998</v>
      </c>
      <c r="AB3752">
        <v>35</v>
      </c>
      <c r="AC3752">
        <v>-40.134</v>
      </c>
      <c r="AD3752">
        <v>-0.51556159999999895</v>
      </c>
      <c r="AE3752">
        <v>-23.601699999999902</v>
      </c>
      <c r="AF3752">
        <v>-10.027880196831299</v>
      </c>
      <c r="AG3752">
        <v>-0.51556159999999895</v>
      </c>
      <c r="AH3752">
        <v>45.460843677613497</v>
      </c>
      <c r="AI3752">
        <v>90.634499475293396</v>
      </c>
      <c r="AJ3752">
        <v>102.439265059053</v>
      </c>
      <c r="AK3752">
        <v>46.556551557066697</v>
      </c>
      <c r="AL3752">
        <v>76.678164980258003</v>
      </c>
      <c r="AM3752">
        <v>91.838949906950901</v>
      </c>
      <c r="AN3752">
        <v>1.0000000342108899</v>
      </c>
    </row>
    <row r="3753" spans="1:40" x14ac:dyDescent="0.25">
      <c r="A3753" t="str">
        <f>"20190303170843963"</f>
        <v>20190303170843963</v>
      </c>
      <c r="B3753" t="str">
        <f>"1551604123957158"</f>
        <v>1551604123957158</v>
      </c>
      <c r="C3753" t="s">
        <v>40</v>
      </c>
      <c r="D3753">
        <v>4.7761069999999997</v>
      </c>
      <c r="E3753">
        <v>0.43252780000000002</v>
      </c>
      <c r="F3753" t="s">
        <v>76</v>
      </c>
      <c r="G3753">
        <v>-440.75</v>
      </c>
      <c r="H3753">
        <v>0.6556514</v>
      </c>
      <c r="I3753">
        <v>112.43170000000001</v>
      </c>
      <c r="J3753">
        <v>-400.96749999999997</v>
      </c>
      <c r="K3753">
        <v>1.125202</v>
      </c>
      <c r="L3753">
        <v>136.00409999999999</v>
      </c>
      <c r="M3753">
        <v>-0.94941629999999999</v>
      </c>
      <c r="N3753">
        <v>-1.478522E-2</v>
      </c>
      <c r="O3753">
        <v>-0.31367240000000002</v>
      </c>
      <c r="P3753">
        <v>-0.9177111</v>
      </c>
      <c r="Q3753">
        <v>0.2156507</v>
      </c>
      <c r="R3753">
        <v>-0.33361869999999999</v>
      </c>
      <c r="S3753">
        <v>-2.7002259999999998</v>
      </c>
      <c r="T3753">
        <v>-3.1590100000000003E-2</v>
      </c>
      <c r="U3753">
        <v>-1.5939639999999999</v>
      </c>
      <c r="V3753">
        <v>-3.109806E-2</v>
      </c>
      <c r="W3753">
        <v>0.22976959999999999</v>
      </c>
      <c r="X3753">
        <v>0.9727481</v>
      </c>
      <c r="Y3753">
        <v>-0.21250749999999999</v>
      </c>
      <c r="Z3753">
        <v>-4.0152269999999997E-3</v>
      </c>
      <c r="AA3753">
        <v>0.9771512</v>
      </c>
      <c r="AB3753">
        <v>34</v>
      </c>
      <c r="AC3753">
        <v>-39.782499999999999</v>
      </c>
      <c r="AD3753">
        <v>-0.46955059999999899</v>
      </c>
      <c r="AE3753">
        <v>-23.572399999999899</v>
      </c>
      <c r="AF3753">
        <v>-9.90140859862667</v>
      </c>
      <c r="AG3753">
        <v>-0.46955059999999899</v>
      </c>
      <c r="AH3753">
        <v>45.164439202000899</v>
      </c>
      <c r="AI3753">
        <v>90.581835237116806</v>
      </c>
      <c r="AJ3753">
        <v>102.36534110644099</v>
      </c>
      <c r="AK3753">
        <v>46.239430559146797</v>
      </c>
      <c r="AL3753">
        <v>76.7164926451414</v>
      </c>
      <c r="AM3753">
        <v>91.831081391494607</v>
      </c>
      <c r="AN3753">
        <v>1.00000001223676</v>
      </c>
    </row>
    <row r="3754" spans="1:40" x14ac:dyDescent="0.25">
      <c r="A3754" t="str">
        <f>"20190303170843982"</f>
        <v>20190303170843982</v>
      </c>
      <c r="B3754" t="str">
        <f>"1551604123977654"</f>
        <v>1551604123977654</v>
      </c>
      <c r="C3754" t="s">
        <v>40</v>
      </c>
      <c r="D3754">
        <v>4.8064119999999999</v>
      </c>
      <c r="E3754">
        <v>0.43291039999999997</v>
      </c>
      <c r="F3754" t="s">
        <v>76</v>
      </c>
      <c r="G3754">
        <v>-440.75</v>
      </c>
      <c r="H3754">
        <v>0.58229149999999996</v>
      </c>
      <c r="I3754">
        <v>112.3793</v>
      </c>
      <c r="J3754">
        <v>-401.26459999999997</v>
      </c>
      <c r="K3754">
        <v>1.1251960000000001</v>
      </c>
      <c r="L3754">
        <v>135.90190000000001</v>
      </c>
      <c r="M3754">
        <v>-0.9481868</v>
      </c>
      <c r="N3754">
        <v>-1.47815E-2</v>
      </c>
      <c r="O3754">
        <v>-0.31736940000000002</v>
      </c>
      <c r="P3754">
        <v>-0.91591440000000002</v>
      </c>
      <c r="Q3754">
        <v>0.21540980000000001</v>
      </c>
      <c r="R3754">
        <v>-0.33867309999999901</v>
      </c>
      <c r="S3754">
        <v>-2.6956790000000002</v>
      </c>
      <c r="T3754">
        <v>-3.6785959999999999E-2</v>
      </c>
      <c r="U3754">
        <v>-1.6008150000000001</v>
      </c>
      <c r="V3754">
        <v>-3.2651630000000001E-2</v>
      </c>
      <c r="W3754">
        <v>0.2295111</v>
      </c>
      <c r="X3754">
        <v>0.97275820000000002</v>
      </c>
      <c r="Y3754">
        <v>-0.21125160000000001</v>
      </c>
      <c r="Z3754">
        <v>-3.6541479999999999E-3</v>
      </c>
      <c r="AA3754">
        <v>0.97742490000000004</v>
      </c>
      <c r="AB3754">
        <v>34</v>
      </c>
      <c r="AC3754">
        <v>-39.485399999999998</v>
      </c>
      <c r="AD3754">
        <v>-0.54290449999999901</v>
      </c>
      <c r="AE3754">
        <v>-23.522600000000001</v>
      </c>
      <c r="AF3754">
        <v>-9.7720652065810807</v>
      </c>
      <c r="AG3754">
        <v>-0.54290449999999901</v>
      </c>
      <c r="AH3754">
        <v>44.903528795417699</v>
      </c>
      <c r="AI3754">
        <v>90.676857748458005</v>
      </c>
      <c r="AJ3754">
        <v>102.27747916077401</v>
      </c>
      <c r="AK3754">
        <v>45.9577512719965</v>
      </c>
      <c r="AL3754">
        <v>76.731710051643702</v>
      </c>
      <c r="AM3754">
        <v>91.922470014631202</v>
      </c>
      <c r="AN3754">
        <v>0.99999999481605295</v>
      </c>
    </row>
    <row r="3755" spans="1:40" x14ac:dyDescent="0.25">
      <c r="A3755" t="str">
        <f>"20190303170844009"</f>
        <v>20190303170844009</v>
      </c>
      <c r="B3755" t="str">
        <f>"1551604123997174"</f>
        <v>1551604123997174</v>
      </c>
      <c r="C3755" t="s">
        <v>40</v>
      </c>
      <c r="D3755">
        <v>4.7861510000000003</v>
      </c>
      <c r="E3755">
        <v>0.43315910000000002</v>
      </c>
      <c r="F3755" t="s">
        <v>76</v>
      </c>
      <c r="G3755">
        <v>-440.75</v>
      </c>
      <c r="H3755">
        <v>0.52820319999999898</v>
      </c>
      <c r="I3755">
        <v>112.24169999999999</v>
      </c>
      <c r="J3755">
        <v>-401.64890000000003</v>
      </c>
      <c r="K3755">
        <v>1.1251979999999999</v>
      </c>
      <c r="L3755">
        <v>135.768</v>
      </c>
      <c r="M3755">
        <v>-0.94656960000000001</v>
      </c>
      <c r="N3755">
        <v>-1.477666E-2</v>
      </c>
      <c r="O3755">
        <v>-0.3221617</v>
      </c>
      <c r="P3755">
        <v>-0.91383040000000004</v>
      </c>
      <c r="Q3755">
        <v>0.21695400000000001</v>
      </c>
      <c r="R3755">
        <v>-0.34328649999999999</v>
      </c>
      <c r="S3755">
        <v>-2.6891479999999999</v>
      </c>
      <c r="T3755">
        <v>-4.0656089999999999E-2</v>
      </c>
      <c r="U3755">
        <v>-1.6113740000000001</v>
      </c>
      <c r="V3755">
        <v>-3.2764189999999999E-2</v>
      </c>
      <c r="W3755">
        <v>0.23104420000000001</v>
      </c>
      <c r="X3755">
        <v>0.97239140000000002</v>
      </c>
      <c r="Y3755">
        <v>-0.2101722</v>
      </c>
      <c r="Z3755">
        <v>-3.3744690000000002E-3</v>
      </c>
      <c r="AA3755">
        <v>0.97765860000000004</v>
      </c>
      <c r="AB3755">
        <v>34</v>
      </c>
      <c r="AC3755">
        <v>-39.101099999999903</v>
      </c>
      <c r="AD3755">
        <v>-0.59699480000000005</v>
      </c>
      <c r="AE3755">
        <v>-23.526299999999999</v>
      </c>
      <c r="AF3755">
        <v>-9.6718018387041003</v>
      </c>
      <c r="AG3755">
        <v>-0.59699480000000005</v>
      </c>
      <c r="AH3755">
        <v>44.588411492955998</v>
      </c>
      <c r="AI3755">
        <v>90.749656715527294</v>
      </c>
      <c r="AJ3755">
        <v>102.23859775813099</v>
      </c>
      <c r="AK3755">
        <v>45.629229590949201</v>
      </c>
      <c r="AL3755">
        <v>76.6414437029525</v>
      </c>
      <c r="AM3755">
        <v>91.929819480061596</v>
      </c>
      <c r="AN3755">
        <v>0.99999997464697699</v>
      </c>
    </row>
    <row r="3756" spans="1:40" x14ac:dyDescent="0.25">
      <c r="A3756" t="str">
        <f>"20190303170844032"</f>
        <v>20190303170844032</v>
      </c>
      <c r="B3756" t="str">
        <f>"1551604124027430"</f>
        <v>1551604124027430</v>
      </c>
      <c r="C3756" t="s">
        <v>40</v>
      </c>
      <c r="D3756">
        <v>4.8026169999999997</v>
      </c>
      <c r="E3756">
        <v>0.4368882</v>
      </c>
      <c r="F3756" t="s">
        <v>76</v>
      </c>
      <c r="G3756">
        <v>-440.75</v>
      </c>
      <c r="H3756">
        <v>0.58752769999999899</v>
      </c>
      <c r="I3756">
        <v>112.1097</v>
      </c>
      <c r="J3756">
        <v>-401.97230000000002</v>
      </c>
      <c r="K3756">
        <v>1.1252150000000001</v>
      </c>
      <c r="L3756">
        <v>135.6534</v>
      </c>
      <c r="M3756">
        <v>-0.94517549999999995</v>
      </c>
      <c r="N3756">
        <v>-1.4773390000000001E-2</v>
      </c>
      <c r="O3756">
        <v>-0.32622879999999999</v>
      </c>
      <c r="P3756">
        <v>-0.91227259999999999</v>
      </c>
      <c r="Q3756">
        <v>0.217695</v>
      </c>
      <c r="R3756">
        <v>-0.34694069999999999</v>
      </c>
      <c r="S3756">
        <v>-2.682007</v>
      </c>
      <c r="T3756">
        <v>-3.6877630000000002E-2</v>
      </c>
      <c r="U3756">
        <v>-1.622757</v>
      </c>
      <c r="V3756">
        <v>-3.2542710000000002E-2</v>
      </c>
      <c r="W3756">
        <v>0.2317813</v>
      </c>
      <c r="X3756">
        <v>0.97222339999999996</v>
      </c>
      <c r="Y3756">
        <v>-0.21016380000000001</v>
      </c>
      <c r="Z3756">
        <v>-3.6480890000000002E-3</v>
      </c>
      <c r="AA3756">
        <v>0.97765939999999996</v>
      </c>
      <c r="AB3756">
        <v>34</v>
      </c>
      <c r="AC3756">
        <v>-38.777699999999903</v>
      </c>
      <c r="AD3756">
        <v>-0.53768729999999998</v>
      </c>
      <c r="AE3756">
        <v>-23.543700000000001</v>
      </c>
      <c r="AF3756">
        <v>-9.6022240315100493</v>
      </c>
      <c r="AG3756">
        <v>-0.53768729999999998</v>
      </c>
      <c r="AH3756">
        <v>44.330971421582902</v>
      </c>
      <c r="AI3756">
        <v>90.679154714777198</v>
      </c>
      <c r="AJ3756">
        <v>102.22164161059</v>
      </c>
      <c r="AK3756">
        <v>45.362174122996898</v>
      </c>
      <c r="AL3756">
        <v>76.598032542753103</v>
      </c>
      <c r="AM3756">
        <v>91.917114986291807</v>
      </c>
      <c r="AN3756">
        <v>0.99999996925569601</v>
      </c>
    </row>
    <row r="3757" spans="1:40" x14ac:dyDescent="0.25">
      <c r="A3757" t="str">
        <f>"20190303170844054"</f>
        <v>20190303170844054</v>
      </c>
      <c r="B3757" t="str">
        <f>"1551604124046950"</f>
        <v>1551604124046950</v>
      </c>
      <c r="C3757" t="s">
        <v>40</v>
      </c>
      <c r="D3757">
        <v>4.8260860000000001</v>
      </c>
      <c r="E3757">
        <v>0.43672699999999998</v>
      </c>
      <c r="F3757" t="s">
        <v>76</v>
      </c>
      <c r="G3757">
        <v>-440.75</v>
      </c>
      <c r="H3757">
        <v>0.39530799999999999</v>
      </c>
      <c r="I3757">
        <v>112.435</v>
      </c>
      <c r="J3757">
        <v>-402.3075</v>
      </c>
      <c r="K3757">
        <v>1.1252340000000001</v>
      </c>
      <c r="L3757">
        <v>135.53290000000001</v>
      </c>
      <c r="M3757">
        <v>-0.94369689999999995</v>
      </c>
      <c r="N3757">
        <v>-1.477063E-2</v>
      </c>
      <c r="O3757">
        <v>-0.330482</v>
      </c>
      <c r="P3757">
        <v>-0.91072370000000002</v>
      </c>
      <c r="Q3757">
        <v>0.21762509999999999</v>
      </c>
      <c r="R3757">
        <v>-0.35103030000000002</v>
      </c>
      <c r="S3757">
        <v>-2.6883539999999999</v>
      </c>
      <c r="T3757">
        <v>-5.0600529999999998E-2</v>
      </c>
      <c r="U3757">
        <v>-1.6096649999999999</v>
      </c>
      <c r="V3757">
        <v>-3.2530320000000001E-2</v>
      </c>
      <c r="W3757">
        <v>0.231708</v>
      </c>
      <c r="X3757">
        <v>0.97224129999999997</v>
      </c>
      <c r="Y3757">
        <v>-0.20121559999999999</v>
      </c>
      <c r="Z3757">
        <v>-2.5115509999999999E-3</v>
      </c>
      <c r="AA3757">
        <v>0.97954370000000002</v>
      </c>
      <c r="AB3757">
        <v>34</v>
      </c>
      <c r="AC3757">
        <v>-38.442500000000003</v>
      </c>
      <c r="AD3757">
        <v>-0.72992599999999996</v>
      </c>
      <c r="AE3757">
        <v>-23.097899999999999</v>
      </c>
      <c r="AF3757">
        <v>-9.0914444842923494</v>
      </c>
      <c r="AG3757">
        <v>-0.72992599999999996</v>
      </c>
      <c r="AH3757">
        <v>43.904661109830599</v>
      </c>
      <c r="AI3757">
        <v>90.932686122171603</v>
      </c>
      <c r="AJ3757">
        <v>101.699031791012</v>
      </c>
      <c r="AK3757">
        <v>44.842016256469996</v>
      </c>
      <c r="AL3757">
        <v>76.602350031939295</v>
      </c>
      <c r="AM3757">
        <v>91.916350370232706</v>
      </c>
      <c r="AN3757">
        <v>0.99999998220449604</v>
      </c>
    </row>
    <row r="3758" spans="1:40" x14ac:dyDescent="0.25">
      <c r="A3758" t="str">
        <f>"20190303170844074"</f>
        <v>20190303170844074</v>
      </c>
      <c r="B3758" t="str">
        <f>"1551604124067447"</f>
        <v>1551604124067447</v>
      </c>
      <c r="C3758" t="s">
        <v>40</v>
      </c>
      <c r="D3758">
        <v>4.8224790000000004</v>
      </c>
      <c r="E3758">
        <v>0.43662060000000003</v>
      </c>
      <c r="F3758" t="s">
        <v>76</v>
      </c>
      <c r="G3758">
        <v>-440.75</v>
      </c>
      <c r="H3758">
        <v>0.36882140000000002</v>
      </c>
      <c r="I3758">
        <v>112.2587</v>
      </c>
      <c r="J3758">
        <v>-402.5684</v>
      </c>
      <c r="K3758">
        <v>1.125254</v>
      </c>
      <c r="L3758">
        <v>135.43799999999999</v>
      </c>
      <c r="M3758">
        <v>-0.94251560000000001</v>
      </c>
      <c r="N3758">
        <v>-1.4768949999999999E-2</v>
      </c>
      <c r="O3758">
        <v>-0.33383590000000002</v>
      </c>
      <c r="P3758">
        <v>-0.90941950000000005</v>
      </c>
      <c r="Q3758">
        <v>0.2166662</v>
      </c>
      <c r="R3758">
        <v>-0.35498190000000002</v>
      </c>
      <c r="S3758">
        <v>-2.6810299999999998</v>
      </c>
      <c r="T3758">
        <v>-5.2751180000000002E-2</v>
      </c>
      <c r="U3758">
        <v>-1.6231690000000001</v>
      </c>
      <c r="V3758">
        <v>-3.3227050000000001E-2</v>
      </c>
      <c r="W3758">
        <v>0.23074169999999999</v>
      </c>
      <c r="X3758">
        <v>0.97244759999999997</v>
      </c>
      <c r="Y3758">
        <v>-0.20252609999999999</v>
      </c>
      <c r="Z3758">
        <v>-2.3601770000000002E-3</v>
      </c>
      <c r="AA3758">
        <v>0.97927399999999998</v>
      </c>
      <c r="AB3758">
        <v>34</v>
      </c>
      <c r="AC3758">
        <v>-38.181600000000003</v>
      </c>
      <c r="AD3758">
        <v>-0.75643259999999901</v>
      </c>
      <c r="AE3758">
        <v>-23.179299999999898</v>
      </c>
      <c r="AF3758">
        <v>-9.0988453575478996</v>
      </c>
      <c r="AG3758">
        <v>-0.75643259999999901</v>
      </c>
      <c r="AH3758">
        <v>43.717063622454098</v>
      </c>
      <c r="AI3758">
        <v>90.9704919865042</v>
      </c>
      <c r="AJ3758">
        <v>101.757139164013</v>
      </c>
      <c r="AK3758">
        <v>44.660304845450902</v>
      </c>
      <c r="AL3758">
        <v>76.659258056329605</v>
      </c>
      <c r="AM3758">
        <v>91.956947989053305</v>
      </c>
      <c r="AN3758">
        <v>1.00000005185817</v>
      </c>
    </row>
    <row r="3759" spans="1:40" x14ac:dyDescent="0.25">
      <c r="A3759" t="str">
        <f>"20190303170844096"</f>
        <v>20190303170844096</v>
      </c>
      <c r="B3759" t="str">
        <f>"1551604124086966"</f>
        <v>1551604124086966</v>
      </c>
      <c r="C3759" t="s">
        <v>40</v>
      </c>
      <c r="D3759">
        <v>4.8252199999999998</v>
      </c>
      <c r="E3759">
        <v>0.43685089999999999</v>
      </c>
      <c r="F3759" t="s">
        <v>76</v>
      </c>
      <c r="G3759">
        <v>-440.75</v>
      </c>
      <c r="H3759">
        <v>0.28853010000000001</v>
      </c>
      <c r="I3759">
        <v>112.09829999999999</v>
      </c>
      <c r="J3759">
        <v>-402.90069999999997</v>
      </c>
      <c r="K3759">
        <v>1.1253070000000001</v>
      </c>
      <c r="L3759">
        <v>135.31540000000001</v>
      </c>
      <c r="M3759">
        <v>-0.94095689999999998</v>
      </c>
      <c r="N3759">
        <v>-1.4768099999999999E-2</v>
      </c>
      <c r="O3759">
        <v>-0.33820420000000001</v>
      </c>
      <c r="P3759">
        <v>-0.90814499999999998</v>
      </c>
      <c r="Q3759">
        <v>0.2162896</v>
      </c>
      <c r="R3759">
        <v>-0.35845700000000003</v>
      </c>
      <c r="S3759">
        <v>-2.6745610000000002</v>
      </c>
      <c r="T3759">
        <v>-5.8609010000000003E-2</v>
      </c>
      <c r="U3759">
        <v>-1.634903</v>
      </c>
      <c r="V3759">
        <v>-3.2430100000000003E-2</v>
      </c>
      <c r="W3759">
        <v>0.23036960000000001</v>
      </c>
      <c r="X3759">
        <v>0.9725627</v>
      </c>
      <c r="Y3759">
        <v>-0.20215949999999999</v>
      </c>
      <c r="Z3759">
        <v>-1.888565E-3</v>
      </c>
      <c r="AA3759">
        <v>0.97935079999999997</v>
      </c>
      <c r="AB3759">
        <v>34</v>
      </c>
      <c r="AC3759">
        <v>-37.849299999999999</v>
      </c>
      <c r="AD3759">
        <v>-0.83677690000000005</v>
      </c>
      <c r="AE3759">
        <v>-23.217099999999999</v>
      </c>
      <c r="AF3759">
        <v>-9.0432728489566099</v>
      </c>
      <c r="AG3759">
        <v>-0.83677690000000005</v>
      </c>
      <c r="AH3759">
        <v>43.455987085421199</v>
      </c>
      <c r="AI3759">
        <v>91.080003892438199</v>
      </c>
      <c r="AJ3759">
        <v>101.75557898274801</v>
      </c>
      <c r="AK3759">
        <v>44.3948622361793</v>
      </c>
      <c r="AL3759">
        <v>76.681167857405498</v>
      </c>
      <c r="AM3759">
        <v>91.909819951435907</v>
      </c>
      <c r="AN3759">
        <v>1.0000000347107201</v>
      </c>
    </row>
    <row r="3760" spans="1:40" x14ac:dyDescent="0.25">
      <c r="A3760" t="str">
        <f>"20190303170844122"</f>
        <v>20190303170844122</v>
      </c>
      <c r="B3760" t="str">
        <f>"1551604124117223"</f>
        <v>1551604124117223</v>
      </c>
      <c r="C3760" t="s">
        <v>40</v>
      </c>
      <c r="D3760">
        <v>4.8449859999999996</v>
      </c>
      <c r="E3760">
        <v>0.43696239999999997</v>
      </c>
      <c r="F3760" t="s">
        <v>76</v>
      </c>
      <c r="G3760">
        <v>-440.75</v>
      </c>
      <c r="H3760">
        <v>0.23530139999999999</v>
      </c>
      <c r="I3760">
        <v>112.02030000000001</v>
      </c>
      <c r="J3760">
        <v>-403.24599999999998</v>
      </c>
      <c r="K3760">
        <v>1.1253879999999901</v>
      </c>
      <c r="L3760">
        <v>135.18600000000001</v>
      </c>
      <c r="M3760">
        <v>-0.93926330000000002</v>
      </c>
      <c r="N3760">
        <v>-1.4769300000000001E-2</v>
      </c>
      <c r="O3760">
        <v>-0.3428794</v>
      </c>
      <c r="P3760">
        <v>-0.90652540000000004</v>
      </c>
      <c r="Q3760">
        <v>0.21717149999999999</v>
      </c>
      <c r="R3760">
        <v>-0.3620061</v>
      </c>
      <c r="S3760">
        <v>-2.6698</v>
      </c>
      <c r="T3760">
        <v>-6.2776680000000001E-2</v>
      </c>
      <c r="U3760">
        <v>-1.643173</v>
      </c>
      <c r="V3760">
        <v>-3.1524549999999998E-2</v>
      </c>
      <c r="W3760">
        <v>0.2312525</v>
      </c>
      <c r="X3760">
        <v>0.97238290000000005</v>
      </c>
      <c r="Y3760">
        <v>-0.2002649</v>
      </c>
      <c r="Z3760">
        <v>-1.5051870000000001E-3</v>
      </c>
      <c r="AA3760">
        <v>0.97974059999999996</v>
      </c>
      <c r="AB3760">
        <v>34</v>
      </c>
      <c r="AC3760">
        <v>-37.503999999999998</v>
      </c>
      <c r="AD3760">
        <v>-0.89008659999999895</v>
      </c>
      <c r="AE3760">
        <v>-23.165700000000001</v>
      </c>
      <c r="AF3760">
        <v>-8.8966865239304802</v>
      </c>
      <c r="AG3760">
        <v>-0.89008659999999895</v>
      </c>
      <c r="AH3760">
        <v>43.156286929805702</v>
      </c>
      <c r="AI3760">
        <v>91.157215255283603</v>
      </c>
      <c r="AJ3760">
        <v>101.648367574311</v>
      </c>
      <c r="AK3760">
        <v>44.072762414311001</v>
      </c>
      <c r="AL3760">
        <v>76.629177268390507</v>
      </c>
      <c r="AM3760">
        <v>91.856872693528402</v>
      </c>
      <c r="AN3760">
        <v>1.0000000101106801</v>
      </c>
    </row>
    <row r="3761" spans="1:40" x14ac:dyDescent="0.25">
      <c r="A3761" t="str">
        <f>"20190303170844139"</f>
        <v>20190303170844139</v>
      </c>
      <c r="B3761" t="str">
        <f>"1551604124126982"</f>
        <v>1551604124126982</v>
      </c>
      <c r="C3761" t="s">
        <v>40</v>
      </c>
      <c r="D3761">
        <v>4.8576009999999998</v>
      </c>
      <c r="E3761">
        <v>0.4370116</v>
      </c>
      <c r="F3761" t="s">
        <v>76</v>
      </c>
      <c r="G3761">
        <v>-440.75</v>
      </c>
      <c r="H3761">
        <v>0.3012399</v>
      </c>
      <c r="I3761">
        <v>111.8917</v>
      </c>
      <c r="J3761">
        <v>-403.51080000000002</v>
      </c>
      <c r="K3761">
        <v>1.1254759999999999</v>
      </c>
      <c r="L3761">
        <v>135.08529999999999</v>
      </c>
      <c r="M3761">
        <v>-0.93790370000000001</v>
      </c>
      <c r="N3761">
        <v>-1.477172E-2</v>
      </c>
      <c r="O3761">
        <v>-0.34658129999999998</v>
      </c>
      <c r="P3761">
        <v>-0.90562589999999998</v>
      </c>
      <c r="Q3761">
        <v>0.21805669999999999</v>
      </c>
      <c r="R3761">
        <v>-0.36372149999999998</v>
      </c>
      <c r="S3761">
        <v>-2.6628720000000001</v>
      </c>
      <c r="T3761">
        <v>-5.8514240000000002E-2</v>
      </c>
      <c r="U3761">
        <v>-1.6539459999999999</v>
      </c>
      <c r="V3761">
        <v>-2.9654489999999999E-2</v>
      </c>
      <c r="W3761">
        <v>0.232151</v>
      </c>
      <c r="X3761">
        <v>0.97222759999999997</v>
      </c>
      <c r="Y3761">
        <v>-0.20040769999999999</v>
      </c>
      <c r="Z3761">
        <v>-1.826135E-3</v>
      </c>
      <c r="AA3761">
        <v>0.97971090000000005</v>
      </c>
      <c r="AB3761">
        <v>34</v>
      </c>
      <c r="AC3761">
        <v>-37.239199999999897</v>
      </c>
      <c r="AD3761">
        <v>-0.82423609999999903</v>
      </c>
      <c r="AE3761">
        <v>-23.193599999999901</v>
      </c>
      <c r="AF3761">
        <v>-8.8447956519358701</v>
      </c>
      <c r="AG3761">
        <v>-0.82423609999999903</v>
      </c>
      <c r="AH3761">
        <v>42.954774778016699</v>
      </c>
      <c r="AI3761">
        <v>91.076700110946305</v>
      </c>
      <c r="AJ3761">
        <v>101.63512545605499</v>
      </c>
      <c r="AK3761">
        <v>43.863680323283297</v>
      </c>
      <c r="AL3761">
        <v>76.576256616771502</v>
      </c>
      <c r="AM3761">
        <v>91.747070854632994</v>
      </c>
      <c r="AN3761">
        <v>0.99999999088996006</v>
      </c>
    </row>
    <row r="3762" spans="1:40" x14ac:dyDescent="0.25">
      <c r="A3762" t="str">
        <f>"20190303170844162"</f>
        <v>20190303170844162</v>
      </c>
      <c r="B3762" t="str">
        <f>"1551604124157239"</f>
        <v>1551604124157239</v>
      </c>
      <c r="C3762" t="s">
        <v>40</v>
      </c>
      <c r="D3762">
        <v>4.8158849999999997</v>
      </c>
      <c r="E3762">
        <v>0.43719789999999997</v>
      </c>
      <c r="F3762" t="s">
        <v>76</v>
      </c>
      <c r="G3762">
        <v>-440.75</v>
      </c>
      <c r="H3762">
        <v>0.35612949999999999</v>
      </c>
      <c r="I3762">
        <v>111.82550000000001</v>
      </c>
      <c r="J3762">
        <v>-403.82499999999999</v>
      </c>
      <c r="K3762">
        <v>1.1256029999999999</v>
      </c>
      <c r="L3762">
        <v>134.96420000000001</v>
      </c>
      <c r="M3762">
        <v>-0.93621239999999994</v>
      </c>
      <c r="N3762">
        <v>-1.4776030000000001E-2</v>
      </c>
      <c r="O3762">
        <v>-0.35112459999999901</v>
      </c>
      <c r="P3762">
        <v>-0.9047461</v>
      </c>
      <c r="Q3762">
        <v>0.2175165</v>
      </c>
      <c r="R3762">
        <v>-0.3662263</v>
      </c>
      <c r="S3762">
        <v>-2.6588440000000002</v>
      </c>
      <c r="T3762">
        <v>-5.4928539999999998E-2</v>
      </c>
      <c r="U3762">
        <v>-1.6607209999999999</v>
      </c>
      <c r="V3762">
        <v>-2.7642239999999998E-2</v>
      </c>
      <c r="W3762">
        <v>0.23163059999999999</v>
      </c>
      <c r="X3762">
        <v>0.97241100000000003</v>
      </c>
      <c r="Y3762">
        <v>-0.19812469999999999</v>
      </c>
      <c r="Z3762">
        <v>-2.0624609999999998E-3</v>
      </c>
      <c r="AA3762">
        <v>0.98017469999999995</v>
      </c>
      <c r="AB3762">
        <v>34</v>
      </c>
      <c r="AC3762">
        <v>-36.924999999999997</v>
      </c>
      <c r="AD3762">
        <v>-0.76947350000000003</v>
      </c>
      <c r="AE3762">
        <v>-23.1387</v>
      </c>
      <c r="AF3762">
        <v>-8.6956981229267694</v>
      </c>
      <c r="AG3762">
        <v>-0.76947350000000003</v>
      </c>
      <c r="AH3762">
        <v>42.685551086352099</v>
      </c>
      <c r="AI3762">
        <v>91.011953665676799</v>
      </c>
      <c r="AJ3762">
        <v>101.51446691045599</v>
      </c>
      <c r="AK3762">
        <v>43.569066169219802</v>
      </c>
      <c r="AL3762">
        <v>76.6069088616226</v>
      </c>
      <c r="AM3762">
        <v>91.628279908916397</v>
      </c>
      <c r="AN3762">
        <v>0.99999999060478795</v>
      </c>
    </row>
    <row r="3763" spans="1:40" x14ac:dyDescent="0.25">
      <c r="A3763" t="str">
        <f>"20190303170844185"</f>
        <v>20190303170844185</v>
      </c>
      <c r="B3763" t="str">
        <f>"1551604124176758"</f>
        <v>1551604124176758</v>
      </c>
      <c r="C3763" t="s">
        <v>40</v>
      </c>
      <c r="D3763">
        <v>4.8239400000000003</v>
      </c>
      <c r="E3763">
        <v>0.4390346</v>
      </c>
      <c r="F3763" t="s">
        <v>76</v>
      </c>
      <c r="G3763">
        <v>-440.75</v>
      </c>
      <c r="H3763">
        <v>0.31830849999999999</v>
      </c>
      <c r="I3763">
        <v>111.7597</v>
      </c>
      <c r="J3763">
        <v>-404.14949999999999</v>
      </c>
      <c r="K3763">
        <v>1.125753</v>
      </c>
      <c r="L3763">
        <v>134.83709999999999</v>
      </c>
      <c r="M3763">
        <v>-0.93436600000000003</v>
      </c>
      <c r="N3763">
        <v>-1.4782150000000001E-2</v>
      </c>
      <c r="O3763">
        <v>-0.35600779999999999</v>
      </c>
      <c r="P3763">
        <v>-0.90333589999999997</v>
      </c>
      <c r="Q3763">
        <v>0.21568799999999999</v>
      </c>
      <c r="R3763">
        <v>-0.37075979999999997</v>
      </c>
      <c r="S3763">
        <v>-2.654541</v>
      </c>
      <c r="T3763">
        <v>-5.8034179999999998E-2</v>
      </c>
      <c r="U3763">
        <v>-1.66816699999999</v>
      </c>
      <c r="V3763">
        <v>-2.7346949999999998E-2</v>
      </c>
      <c r="W3763">
        <v>0.22980900000000001</v>
      </c>
      <c r="X3763">
        <v>0.97285149999999998</v>
      </c>
      <c r="Y3763">
        <v>-0.1956909</v>
      </c>
      <c r="Z3763">
        <v>-1.7473089999999901E-3</v>
      </c>
      <c r="AA3763">
        <v>0.98066410000000004</v>
      </c>
      <c r="AB3763">
        <v>34</v>
      </c>
      <c r="AC3763">
        <v>-36.600499999999997</v>
      </c>
      <c r="AD3763">
        <v>-0.80744450000000001</v>
      </c>
      <c r="AE3763">
        <v>-23.077400000000001</v>
      </c>
      <c r="AF3763">
        <v>-8.53063659304987</v>
      </c>
      <c r="AG3763">
        <v>-0.80744450000000001</v>
      </c>
      <c r="AH3763">
        <v>42.403867487499099</v>
      </c>
      <c r="AI3763">
        <v>91.069459291048403</v>
      </c>
      <c r="AJ3763">
        <v>101.374701099002</v>
      </c>
      <c r="AK3763">
        <v>43.260972078776099</v>
      </c>
      <c r="AL3763">
        <v>76.714173451612098</v>
      </c>
      <c r="AM3763">
        <v>91.610165901620704</v>
      </c>
      <c r="AN3763">
        <v>1.00000003660377</v>
      </c>
    </row>
    <row r="3764" spans="1:40" x14ac:dyDescent="0.25">
      <c r="A3764" t="str">
        <f>"20190303170844211"</f>
        <v>20190303170844211</v>
      </c>
      <c r="B3764" t="str">
        <f>"1551604124207014"</f>
        <v>1551604124207014</v>
      </c>
      <c r="C3764" t="s">
        <v>40</v>
      </c>
      <c r="D3764">
        <v>4.8297439999999998</v>
      </c>
      <c r="E3764">
        <v>0.43948910000000002</v>
      </c>
      <c r="F3764" t="s">
        <v>46</v>
      </c>
      <c r="G3764">
        <v>-443.04880000000003</v>
      </c>
      <c r="H3764">
        <v>-0.05</v>
      </c>
      <c r="I3764">
        <v>110.3643</v>
      </c>
      <c r="J3764">
        <v>-404.50889999999998</v>
      </c>
      <c r="K3764">
        <v>1.125915</v>
      </c>
      <c r="L3764">
        <v>134.6936</v>
      </c>
      <c r="M3764">
        <v>-0.93219070000000004</v>
      </c>
      <c r="N3764">
        <v>-1.479079E-2</v>
      </c>
      <c r="O3764">
        <v>-0.36166559999999998</v>
      </c>
      <c r="P3764">
        <v>-0.90153629999999996</v>
      </c>
      <c r="Q3764">
        <v>0.21391969999999999</v>
      </c>
      <c r="R3764">
        <v>-0.37612630000000002</v>
      </c>
      <c r="S3764">
        <v>-2.6546940000000001</v>
      </c>
      <c r="T3764">
        <v>-8.0239649999999996E-2</v>
      </c>
      <c r="U3764">
        <v>-1.6701509999999999</v>
      </c>
      <c r="V3764">
        <v>-2.7160440000000001E-2</v>
      </c>
      <c r="W3764">
        <v>0.2280461</v>
      </c>
      <c r="X3764">
        <v>0.97327140000000001</v>
      </c>
      <c r="Y3764">
        <v>-0.19022549999999999</v>
      </c>
      <c r="Z3764">
        <v>2.8885400000000001E-4</v>
      </c>
      <c r="AA3764">
        <v>0.98174039999999996</v>
      </c>
      <c r="AB3764">
        <v>34</v>
      </c>
      <c r="AC3764">
        <v>-38.539900000000003</v>
      </c>
      <c r="AD3764">
        <v>-1.175915</v>
      </c>
      <c r="AE3764">
        <v>-24.3293</v>
      </c>
      <c r="AF3764">
        <v>-8.7361307508502204</v>
      </c>
      <c r="AG3764">
        <v>-1.175915</v>
      </c>
      <c r="AH3764">
        <v>44.7007377661646</v>
      </c>
      <c r="AI3764">
        <v>91.478930938780195</v>
      </c>
      <c r="AJ3764">
        <v>101.05826963311399</v>
      </c>
      <c r="AK3764">
        <v>45.561592525092799</v>
      </c>
      <c r="AL3764">
        <v>76.817934808770005</v>
      </c>
      <c r="AM3764">
        <v>91.598500485330703</v>
      </c>
      <c r="AN3764">
        <v>0.99999996564208105</v>
      </c>
    </row>
    <row r="3765" spans="1:40" x14ac:dyDescent="0.25">
      <c r="A3765" t="str">
        <f>"20190303170844235"</f>
        <v>20190303170844235</v>
      </c>
      <c r="B3765" t="str">
        <f>"1551604124227510"</f>
        <v>1551604124227510</v>
      </c>
      <c r="C3765" t="s">
        <v>40</v>
      </c>
      <c r="D3765">
        <v>4.8092860000000002</v>
      </c>
      <c r="E3765">
        <v>0.43968180000000001</v>
      </c>
      <c r="F3765" t="s">
        <v>46</v>
      </c>
      <c r="G3765">
        <v>-439.8854</v>
      </c>
      <c r="H3765">
        <v>-0.05</v>
      </c>
      <c r="I3765">
        <v>112.2144</v>
      </c>
      <c r="J3765">
        <v>-404.8426</v>
      </c>
      <c r="K3765">
        <v>1.1260790000000001</v>
      </c>
      <c r="L3765">
        <v>134.55779999999999</v>
      </c>
      <c r="M3765">
        <v>-0.93003360000000002</v>
      </c>
      <c r="N3765">
        <v>-1.480092E-2</v>
      </c>
      <c r="O3765">
        <v>-0.36717670000000002</v>
      </c>
      <c r="P3765">
        <v>-0.89959549999999999</v>
      </c>
      <c r="Q3765">
        <v>0.21351800000000001</v>
      </c>
      <c r="R3765">
        <v>-0.38097009999999998</v>
      </c>
      <c r="S3765">
        <v>-2.64682</v>
      </c>
      <c r="T3765">
        <v>-8.7980509999999998E-2</v>
      </c>
      <c r="U3765">
        <v>-1.68187</v>
      </c>
      <c r="V3765">
        <v>-2.6688199999999999E-2</v>
      </c>
      <c r="W3765">
        <v>0.2276514</v>
      </c>
      <c r="X3765">
        <v>0.97337689999999999</v>
      </c>
      <c r="Y3765">
        <v>-0.18882869999999999</v>
      </c>
      <c r="Z3765">
        <v>1.067211E-3</v>
      </c>
      <c r="AA3765">
        <v>0.98200949999999998</v>
      </c>
      <c r="AB3765">
        <v>34</v>
      </c>
      <c r="AC3765">
        <v>-35.0428</v>
      </c>
      <c r="AD3765">
        <v>-1.1760790000000001</v>
      </c>
      <c r="AE3765">
        <v>-22.3433999999999</v>
      </c>
      <c r="AF3765">
        <v>-7.9077462974832899</v>
      </c>
      <c r="AG3765">
        <v>-1.1760790000000001</v>
      </c>
      <c r="AH3765">
        <v>40.766774457014201</v>
      </c>
      <c r="AI3765">
        <v>91.622244072838598</v>
      </c>
      <c r="AJ3765">
        <v>100.97763648614701</v>
      </c>
      <c r="AK3765">
        <v>41.543296847369596</v>
      </c>
      <c r="AL3765">
        <v>76.841160889684701</v>
      </c>
      <c r="AM3765">
        <v>91.570551161167003</v>
      </c>
      <c r="AN3765">
        <v>1.0000000046974</v>
      </c>
    </row>
    <row r="3766" spans="1:40" x14ac:dyDescent="0.25">
      <c r="A3766" t="str">
        <f>"20190303170844257"</f>
        <v>20190303170844257</v>
      </c>
      <c r="B3766" t="str">
        <f>"1551604124247031"</f>
        <v>1551604124247031</v>
      </c>
      <c r="C3766" t="s">
        <v>40</v>
      </c>
      <c r="D3766">
        <v>4.8041309999999999</v>
      </c>
      <c r="E3766">
        <v>0.43960440000000001</v>
      </c>
      <c r="F3766" t="s">
        <v>46</v>
      </c>
      <c r="G3766">
        <v>-439.47570000000002</v>
      </c>
      <c r="H3766">
        <v>-0.05</v>
      </c>
      <c r="I3766">
        <v>112.315</v>
      </c>
      <c r="J3766">
        <v>-405.15249999999997</v>
      </c>
      <c r="K3766">
        <v>1.1262380000000001</v>
      </c>
      <c r="L3766">
        <v>134.42939999999999</v>
      </c>
      <c r="M3766">
        <v>-0.92792399999999997</v>
      </c>
      <c r="N3766">
        <v>-1.481063E-2</v>
      </c>
      <c r="O3766">
        <v>-0.37247530000000001</v>
      </c>
      <c r="P3766">
        <v>-0.89751489999999901</v>
      </c>
      <c r="Q3766">
        <v>0.2145669</v>
      </c>
      <c r="R3766">
        <v>-0.3852642</v>
      </c>
      <c r="S3766">
        <v>-2.6384889999999999</v>
      </c>
      <c r="T3766">
        <v>-8.9598419999999998E-2</v>
      </c>
      <c r="U3766">
        <v>-1.69455</v>
      </c>
      <c r="V3766">
        <v>-2.5974710000000002E-2</v>
      </c>
      <c r="W3766">
        <v>0.22870670000000001</v>
      </c>
      <c r="X3766">
        <v>0.97314880000000004</v>
      </c>
      <c r="Y3766">
        <v>-0.18797849999999999</v>
      </c>
      <c r="Z3766">
        <v>1.3061220000000001E-3</v>
      </c>
      <c r="AA3766">
        <v>0.9821723</v>
      </c>
      <c r="AB3766">
        <v>34</v>
      </c>
      <c r="AC3766">
        <v>-34.3232</v>
      </c>
      <c r="AD3766">
        <v>-1.1762379999999999</v>
      </c>
      <c r="AE3766">
        <v>-22.1143999999999</v>
      </c>
      <c r="AF3766">
        <v>-7.7303709227410797</v>
      </c>
      <c r="AG3766">
        <v>-1.1762379999999999</v>
      </c>
      <c r="AH3766">
        <v>40.057539615876998</v>
      </c>
      <c r="AI3766">
        <v>91.651479704018001</v>
      </c>
      <c r="AJ3766">
        <v>100.92276133813699</v>
      </c>
      <c r="AK3766">
        <v>40.813584141966203</v>
      </c>
      <c r="AL3766">
        <v>76.779058453853693</v>
      </c>
      <c r="AM3766">
        <v>91.528941909932001</v>
      </c>
      <c r="AN3766">
        <v>1.0000000135629501</v>
      </c>
    </row>
    <row r="3767" spans="1:40" x14ac:dyDescent="0.25">
      <c r="A3767" t="str">
        <f>"20190303170844277"</f>
        <v>20190303170844277</v>
      </c>
      <c r="B3767" t="str">
        <f>"1551604124267527"</f>
        <v>1551604124267527</v>
      </c>
      <c r="C3767" t="s">
        <v>40</v>
      </c>
      <c r="D3767">
        <v>4.8039160000000001</v>
      </c>
      <c r="E3767">
        <v>0.43968059999999998</v>
      </c>
      <c r="F3767" t="s">
        <v>46</v>
      </c>
      <c r="G3767">
        <v>-441.0847</v>
      </c>
      <c r="H3767">
        <v>-0.05</v>
      </c>
      <c r="I3767">
        <v>111.0852</v>
      </c>
      <c r="J3767">
        <v>-405.42329999999998</v>
      </c>
      <c r="K3767">
        <v>1.126374</v>
      </c>
      <c r="L3767">
        <v>134.31540000000001</v>
      </c>
      <c r="M3767">
        <v>-0.92598829999999999</v>
      </c>
      <c r="N3767">
        <v>-1.481885E-2</v>
      </c>
      <c r="O3767">
        <v>-0.37726159999999997</v>
      </c>
      <c r="P3767">
        <v>-0.89576840000000002</v>
      </c>
      <c r="Q3767">
        <v>0.2150763</v>
      </c>
      <c r="R3767">
        <v>-0.38902589999999998</v>
      </c>
      <c r="S3767">
        <v>-2.6297299999999999</v>
      </c>
      <c r="T3767">
        <v>-8.6084010000000002E-2</v>
      </c>
      <c r="U3767">
        <v>-1.708466</v>
      </c>
      <c r="V3767">
        <v>-2.5155770000000001E-2</v>
      </c>
      <c r="W3767">
        <v>0.22922519999999999</v>
      </c>
      <c r="X3767">
        <v>0.97304829999999998</v>
      </c>
      <c r="Y3767">
        <v>-0.1880587</v>
      </c>
      <c r="Z3767">
        <v>1.0497729999999999E-3</v>
      </c>
      <c r="AA3767">
        <v>0.98215719999999995</v>
      </c>
      <c r="AB3767">
        <v>34</v>
      </c>
      <c r="AC3767">
        <v>-35.6614</v>
      </c>
      <c r="AD3767">
        <v>-1.176374</v>
      </c>
      <c r="AE3767">
        <v>-23.2302</v>
      </c>
      <c r="AF3767">
        <v>-8.05194889318871</v>
      </c>
      <c r="AG3767">
        <v>-1.176374</v>
      </c>
      <c r="AH3767">
        <v>41.758582566117497</v>
      </c>
      <c r="AI3767">
        <v>91.584471689918999</v>
      </c>
      <c r="AJ3767">
        <v>100.913908657527</v>
      </c>
      <c r="AK3767">
        <v>42.544058982396699</v>
      </c>
      <c r="AL3767">
        <v>76.748539659782296</v>
      </c>
      <c r="AM3767">
        <v>91.480911560423294</v>
      </c>
      <c r="AN3767">
        <v>0.99999999960611097</v>
      </c>
    </row>
    <row r="3768" spans="1:40" x14ac:dyDescent="0.25">
      <c r="A3768" t="str">
        <f>"20190303170844317"</f>
        <v>20190303170844317</v>
      </c>
      <c r="B3768" t="str">
        <f>"1551604124307543"</f>
        <v>1551604124307543</v>
      </c>
      <c r="C3768" t="s">
        <v>40</v>
      </c>
      <c r="D3768">
        <v>4.8095990000000004</v>
      </c>
      <c r="E3768">
        <v>0.43986639999999999</v>
      </c>
      <c r="F3768" t="s">
        <v>46</v>
      </c>
      <c r="G3768">
        <v>-440.98250000000002</v>
      </c>
      <c r="H3768">
        <v>-0.05</v>
      </c>
      <c r="I3768">
        <v>111.0155</v>
      </c>
      <c r="J3768">
        <v>-405.97730000000001</v>
      </c>
      <c r="K3768">
        <v>1.1266590000000001</v>
      </c>
      <c r="L3768">
        <v>134.07640000000001</v>
      </c>
      <c r="M3768">
        <v>-0.92172189999999998</v>
      </c>
      <c r="N3768">
        <v>-1.4839120000000001E-2</v>
      </c>
      <c r="O3768">
        <v>-0.38756770000000001</v>
      </c>
      <c r="P3768">
        <v>-0.89153549999999904</v>
      </c>
      <c r="Q3768">
        <v>0.21233189999999999</v>
      </c>
      <c r="R3768">
        <v>-0.40010010000000001</v>
      </c>
      <c r="S3768">
        <v>-2.623383</v>
      </c>
      <c r="T3768">
        <v>-8.6786989999999994E-2</v>
      </c>
      <c r="U3768">
        <v>-1.7189479999999999</v>
      </c>
      <c r="V3768">
        <v>-2.624628E-2</v>
      </c>
      <c r="W3768">
        <v>0.2264784</v>
      </c>
      <c r="X3768">
        <v>0.97366249999999999</v>
      </c>
      <c r="Y3768">
        <v>-0.18093770000000001</v>
      </c>
      <c r="Z3768">
        <v>1.396722E-3</v>
      </c>
      <c r="AA3768">
        <v>0.98349359999999997</v>
      </c>
      <c r="AB3768">
        <v>34</v>
      </c>
      <c r="AC3768">
        <v>-35.005200000000002</v>
      </c>
      <c r="AD3768">
        <v>-1.1766589999999999</v>
      </c>
      <c r="AE3768">
        <v>-23.0609</v>
      </c>
      <c r="AF3768">
        <v>-7.6836435164424604</v>
      </c>
      <c r="AG3768">
        <v>-1.1766589999999999</v>
      </c>
      <c r="AH3768">
        <v>41.174809952843297</v>
      </c>
      <c r="AI3768">
        <v>91.609141827133001</v>
      </c>
      <c r="AJ3768">
        <v>100.570402395152</v>
      </c>
      <c r="AK3768">
        <v>41.902122604264498</v>
      </c>
      <c r="AL3768">
        <v>76.910171340246393</v>
      </c>
      <c r="AM3768">
        <v>91.544104852074796</v>
      </c>
      <c r="AN3768">
        <v>0.99999999839332399</v>
      </c>
    </row>
    <row r="3769" spans="1:40" x14ac:dyDescent="0.25">
      <c r="A3769" t="str">
        <f>"20190303170844341"</f>
        <v>20190303170844341</v>
      </c>
      <c r="B3769" t="str">
        <f>"1551604124327063"</f>
        <v>1551604124327063</v>
      </c>
      <c r="C3769" t="s">
        <v>40</v>
      </c>
      <c r="D3769">
        <v>4.7773139999999996</v>
      </c>
      <c r="E3769">
        <v>0.44008359999999902</v>
      </c>
      <c r="F3769" t="s">
        <v>43</v>
      </c>
      <c r="G3769">
        <v>-433.90780000000001</v>
      </c>
      <c r="H3769">
        <v>7.9986790000000002E-2</v>
      </c>
      <c r="I3769">
        <v>115.3032</v>
      </c>
      <c r="J3769">
        <v>-406.3014</v>
      </c>
      <c r="K3769">
        <v>1.126844</v>
      </c>
      <c r="L3769">
        <v>133.93279999999999</v>
      </c>
      <c r="M3769">
        <v>-0.91902360000000005</v>
      </c>
      <c r="N3769">
        <v>-1.485498E-2</v>
      </c>
      <c r="O3769">
        <v>-0.39392260000000001</v>
      </c>
      <c r="P3769">
        <v>-0.88872099999999898</v>
      </c>
      <c r="Q3769">
        <v>0.211394</v>
      </c>
      <c r="R3769">
        <v>-0.4068022</v>
      </c>
      <c r="S3769">
        <v>-2.6030579999999999</v>
      </c>
      <c r="T3769">
        <v>-9.7547529999999993E-2</v>
      </c>
      <c r="U3769">
        <v>-1.74961899999999</v>
      </c>
      <c r="V3769">
        <v>-2.686467E-2</v>
      </c>
      <c r="W3769">
        <v>0.2255392</v>
      </c>
      <c r="X3769">
        <v>0.97386360000000005</v>
      </c>
      <c r="Y3769">
        <v>-0.18567639999999999</v>
      </c>
      <c r="Z3769">
        <v>2.4416500000000001E-3</v>
      </c>
      <c r="AA3769">
        <v>0.98260789999999998</v>
      </c>
      <c r="AB3769">
        <v>34</v>
      </c>
      <c r="AC3769">
        <v>-27.606400000000001</v>
      </c>
      <c r="AD3769">
        <v>-1.04685721</v>
      </c>
      <c r="AE3769">
        <v>-18.6295999999999</v>
      </c>
      <c r="AF3769">
        <v>-6.2407801517455903</v>
      </c>
      <c r="AG3769">
        <v>-1.04685721</v>
      </c>
      <c r="AH3769">
        <v>32.680872147439402</v>
      </c>
      <c r="AI3769">
        <v>91.802169421455005</v>
      </c>
      <c r="AJ3769">
        <v>100.811114243475</v>
      </c>
      <c r="AK3769">
        <v>33.2878754389317</v>
      </c>
      <c r="AL3769">
        <v>76.965412607052102</v>
      </c>
      <c r="AM3769">
        <v>91.580141152593299</v>
      </c>
      <c r="AN3769">
        <v>0.99999997631790405</v>
      </c>
    </row>
    <row r="3770" spans="1:40" x14ac:dyDescent="0.25">
      <c r="A3770" t="str">
        <f>"20190303170844363"</f>
        <v>20190303170844363</v>
      </c>
      <c r="B3770" t="str">
        <f>"1551604124357319"</f>
        <v>1551604124357319</v>
      </c>
      <c r="C3770" t="s">
        <v>40</v>
      </c>
      <c r="D3770">
        <v>4.7687470000000003</v>
      </c>
      <c r="E3770">
        <v>0.44027070000000001</v>
      </c>
      <c r="F3770" t="s">
        <v>43</v>
      </c>
      <c r="G3770">
        <v>-433.14580000000001</v>
      </c>
      <c r="H3770">
        <v>7.9986660000000001E-2</v>
      </c>
      <c r="I3770">
        <v>115.6103</v>
      </c>
      <c r="J3770">
        <v>-406.59570000000002</v>
      </c>
      <c r="K3770">
        <v>1.1270230000000001</v>
      </c>
      <c r="L3770">
        <v>133.7998</v>
      </c>
      <c r="M3770">
        <v>-0.91643280000000005</v>
      </c>
      <c r="N3770">
        <v>-1.48702E-2</v>
      </c>
      <c r="O3770">
        <v>-0.39991209999999999</v>
      </c>
      <c r="P3770">
        <v>-0.88615849999999996</v>
      </c>
      <c r="Q3770">
        <v>0.21084700000000001</v>
      </c>
      <c r="R3770">
        <v>-0.41263369999999999</v>
      </c>
      <c r="S3770">
        <v>-2.590363</v>
      </c>
      <c r="T3770">
        <v>-0.1010166</v>
      </c>
      <c r="U3770">
        <v>-1.7680359999999999</v>
      </c>
      <c r="V3770">
        <v>-2.695264E-2</v>
      </c>
      <c r="W3770">
        <v>0.22499659999999999</v>
      </c>
      <c r="X3770">
        <v>0.97398669999999998</v>
      </c>
      <c r="Y3770">
        <v>-0.18627099999999999</v>
      </c>
      <c r="Z3770">
        <v>2.8772670000000002E-3</v>
      </c>
      <c r="AA3770">
        <v>0.98249419999999998</v>
      </c>
      <c r="AB3770">
        <v>34</v>
      </c>
      <c r="AC3770">
        <v>-26.550099999999901</v>
      </c>
      <c r="AD3770">
        <v>-1.04703633999999</v>
      </c>
      <c r="AE3770">
        <v>-18.189499999999999</v>
      </c>
      <c r="AF3770">
        <v>-6.0460184259565004</v>
      </c>
      <c r="AG3770">
        <v>-1.04703633999999</v>
      </c>
      <c r="AH3770">
        <v>31.575659729832399</v>
      </c>
      <c r="AI3770">
        <v>91.865346731657297</v>
      </c>
      <c r="AJ3770">
        <v>100.839632432858</v>
      </c>
      <c r="AK3770">
        <v>32.1663319525003</v>
      </c>
      <c r="AL3770">
        <v>76.997321812767794</v>
      </c>
      <c r="AM3770">
        <v>91.585112523105906</v>
      </c>
      <c r="AN3770">
        <v>1.0000000032956999</v>
      </c>
    </row>
    <row r="3771" spans="1:40" x14ac:dyDescent="0.25">
      <c r="A3771" t="str">
        <f>"20190303170844387"</f>
        <v>20190303170844387</v>
      </c>
      <c r="B3771" t="str">
        <f>"1551604124376839"</f>
        <v>1551604124376839</v>
      </c>
      <c r="C3771" t="s">
        <v>40</v>
      </c>
      <c r="D3771">
        <v>4.7631949999999996</v>
      </c>
      <c r="E3771">
        <v>0.44042730000000002</v>
      </c>
      <c r="F3771" t="s">
        <v>43</v>
      </c>
      <c r="G3771">
        <v>-432.95420000000001</v>
      </c>
      <c r="H3771">
        <v>7.9986680000000004E-2</v>
      </c>
      <c r="I3771">
        <v>115.54949999999999</v>
      </c>
      <c r="J3771">
        <v>-406.9248</v>
      </c>
      <c r="K3771">
        <v>1.1272580000000001</v>
      </c>
      <c r="L3771">
        <v>133.6481</v>
      </c>
      <c r="M3771">
        <v>-0.91335</v>
      </c>
      <c r="N3771">
        <v>-1.4889060000000001E-2</v>
      </c>
      <c r="O3771">
        <v>-0.40690340000000003</v>
      </c>
      <c r="P3771">
        <v>-0.88305469999999897</v>
      </c>
      <c r="Q3771">
        <v>0.2103285</v>
      </c>
      <c r="R3771">
        <v>-0.41949560000000002</v>
      </c>
      <c r="S3771">
        <v>-2.57843</v>
      </c>
      <c r="T3771">
        <v>-0.1024231</v>
      </c>
      <c r="U3771">
        <v>-1.7852779999999999</v>
      </c>
      <c r="V3771">
        <v>-2.7138470000000001E-2</v>
      </c>
      <c r="W3771">
        <v>0.22448170000000001</v>
      </c>
      <c r="X3771">
        <v>0.97410039999999998</v>
      </c>
      <c r="Y3771">
        <v>-0.18533350000000001</v>
      </c>
      <c r="Z3771">
        <v>3.1677900000000002E-3</v>
      </c>
      <c r="AA3771">
        <v>0.98267059999999995</v>
      </c>
      <c r="AB3771">
        <v>34</v>
      </c>
      <c r="AC3771">
        <v>-26.029399999999999</v>
      </c>
      <c r="AD3771">
        <v>-1.0472713199999999</v>
      </c>
      <c r="AE3771">
        <v>-18.098600000000001</v>
      </c>
      <c r="AF3771">
        <v>-5.9330881695265703</v>
      </c>
      <c r="AG3771">
        <v>-1.0472713199999999</v>
      </c>
      <c r="AH3771">
        <v>31.107836342779599</v>
      </c>
      <c r="AI3771">
        <v>91.894065524015502</v>
      </c>
      <c r="AJ3771">
        <v>100.79813576571</v>
      </c>
      <c r="AK3771">
        <v>31.685892671253999</v>
      </c>
      <c r="AL3771">
        <v>77.027598648672793</v>
      </c>
      <c r="AM3771">
        <v>91.595849545602604</v>
      </c>
      <c r="AN3771">
        <v>1.00000005973449</v>
      </c>
    </row>
    <row r="3772" spans="1:40" x14ac:dyDescent="0.25">
      <c r="A3772" t="str">
        <f>"20190303170844411"</f>
        <v>20190303170844411</v>
      </c>
      <c r="B3772" t="str">
        <f>"1551604124407095"</f>
        <v>1551604124407095</v>
      </c>
      <c r="C3772" t="s">
        <v>40</v>
      </c>
      <c r="D3772">
        <v>4.7565280000000003</v>
      </c>
      <c r="E3772">
        <v>0.44402770000000003</v>
      </c>
      <c r="F3772" t="s">
        <v>43</v>
      </c>
      <c r="G3772">
        <v>-432.56880000000001</v>
      </c>
      <c r="H3772">
        <v>7.9986650000000006E-2</v>
      </c>
      <c r="I3772">
        <v>115.6028</v>
      </c>
      <c r="J3772">
        <v>-407.2527</v>
      </c>
      <c r="K3772">
        <v>1.1275189999999999</v>
      </c>
      <c r="L3772">
        <v>133.49340000000001</v>
      </c>
      <c r="M3772">
        <v>-0.9100454</v>
      </c>
      <c r="N3772">
        <v>-1.4913940000000001E-2</v>
      </c>
      <c r="O3772">
        <v>-0.41424050000000001</v>
      </c>
      <c r="P3772">
        <v>-0.87934619999999997</v>
      </c>
      <c r="Q3772">
        <v>0.20950170000000001</v>
      </c>
      <c r="R3772">
        <v>-0.42762149999999999</v>
      </c>
      <c r="S3772">
        <v>-2.56488</v>
      </c>
      <c r="T3772">
        <v>-0.1047466</v>
      </c>
      <c r="U3772">
        <v>-1.8048709999999999</v>
      </c>
      <c r="V3772">
        <v>-2.8339159999999999E-2</v>
      </c>
      <c r="W3772">
        <v>0.22364709999999999</v>
      </c>
      <c r="X3772">
        <v>0.97425810000000002</v>
      </c>
      <c r="Y3772">
        <v>-0.1848901</v>
      </c>
      <c r="Z3772">
        <v>3.5537089999999999E-3</v>
      </c>
      <c r="AA3772">
        <v>0.98275279999999998</v>
      </c>
      <c r="AB3772">
        <v>34</v>
      </c>
      <c r="AC3772">
        <v>-25.316099999999999</v>
      </c>
      <c r="AD3772">
        <v>-1.04753235</v>
      </c>
      <c r="AE3772">
        <v>-17.890599999999999</v>
      </c>
      <c r="AF3772">
        <v>-5.7883385027588199</v>
      </c>
      <c r="AG3772">
        <v>-1.04753235</v>
      </c>
      <c r="AH3772">
        <v>30.418460352678501</v>
      </c>
      <c r="AI3772">
        <v>91.937596197472104</v>
      </c>
      <c r="AJ3772">
        <v>100.774020681135</v>
      </c>
      <c r="AK3772">
        <v>30.982009568042699</v>
      </c>
      <c r="AL3772">
        <v>77.076664330736193</v>
      </c>
      <c r="AM3772">
        <v>91.666146321301298</v>
      </c>
      <c r="AN3772">
        <v>0.99999998937176204</v>
      </c>
    </row>
    <row r="3773" spans="1:40" x14ac:dyDescent="0.25">
      <c r="A3773" t="str">
        <f>"20190303170844454"</f>
        <v>20190303170844454</v>
      </c>
      <c r="B3773" t="str">
        <f>"1551604124447110"</f>
        <v>1551604124447110</v>
      </c>
      <c r="C3773" t="s">
        <v>40</v>
      </c>
      <c r="D3773">
        <v>4.7520619999999996</v>
      </c>
      <c r="E3773">
        <v>0.44443480000000002</v>
      </c>
      <c r="F3773" t="s">
        <v>43</v>
      </c>
      <c r="G3773">
        <v>-430.13589999999999</v>
      </c>
      <c r="H3773">
        <v>7.9986009999999996E-2</v>
      </c>
      <c r="I3773">
        <v>117.3694</v>
      </c>
      <c r="J3773">
        <v>-407.81659999999999</v>
      </c>
      <c r="K3773">
        <v>1.1279950000000001</v>
      </c>
      <c r="L3773">
        <v>133.21850000000001</v>
      </c>
      <c r="M3773">
        <v>-0.90378979999999998</v>
      </c>
      <c r="N3773">
        <v>-1.4968240000000001E-2</v>
      </c>
      <c r="O3773">
        <v>-0.42771490000000001</v>
      </c>
      <c r="P3773">
        <v>-0.87206489999999903</v>
      </c>
      <c r="Q3773">
        <v>0.2067128</v>
      </c>
      <c r="R3773">
        <v>-0.4435905</v>
      </c>
      <c r="S3773">
        <v>-2.5617679999999998</v>
      </c>
      <c r="T3773">
        <v>-0.11727079999999999</v>
      </c>
      <c r="U3773">
        <v>-1.8050839999999999</v>
      </c>
      <c r="V3773">
        <v>-3.1586139999999999E-2</v>
      </c>
      <c r="W3773">
        <v>0.22083530000000001</v>
      </c>
      <c r="X3773">
        <v>0.97479950000000004</v>
      </c>
      <c r="Y3773">
        <v>-0.1709041</v>
      </c>
      <c r="Z3773">
        <v>5.5224080000000004E-3</v>
      </c>
      <c r="AA3773">
        <v>0.98527220000000004</v>
      </c>
      <c r="AB3773">
        <v>33</v>
      </c>
      <c r="AC3773">
        <v>-22.319299999999998</v>
      </c>
      <c r="AD3773">
        <v>-1.04800899</v>
      </c>
      <c r="AE3773">
        <v>-15.8491</v>
      </c>
      <c r="AF3773">
        <v>-4.7714992459007002</v>
      </c>
      <c r="AG3773">
        <v>-1.04800899</v>
      </c>
      <c r="AH3773">
        <v>26.9144216472965</v>
      </c>
      <c r="AI3773">
        <v>92.195685386451004</v>
      </c>
      <c r="AJ3773">
        <v>100.05317705059601</v>
      </c>
      <c r="AK3773">
        <v>27.354188353983702</v>
      </c>
      <c r="AL3773">
        <v>77.241900956817602</v>
      </c>
      <c r="AM3773">
        <v>91.855888864831101</v>
      </c>
      <c r="AN3773">
        <v>0.99999998958321901</v>
      </c>
    </row>
    <row r="3774" spans="1:40" x14ac:dyDescent="0.25">
      <c r="A3774" t="str">
        <f>"20190303170844481"</f>
        <v>20190303170844481</v>
      </c>
      <c r="B3774" t="str">
        <f>"1551604124467608"</f>
        <v>1551604124467608</v>
      </c>
      <c r="C3774" t="s">
        <v>40</v>
      </c>
      <c r="D3774">
        <v>4.7527080000000002</v>
      </c>
      <c r="E3774">
        <v>0.44806810000000002</v>
      </c>
      <c r="F3774" t="s">
        <v>43</v>
      </c>
      <c r="G3774">
        <v>-429.79989999999998</v>
      </c>
      <c r="H3774" s="1">
        <v>-5.1970029999999901E-6</v>
      </c>
      <c r="I3774">
        <v>117.1502</v>
      </c>
      <c r="J3774">
        <v>-408.16879999999998</v>
      </c>
      <c r="K3774">
        <v>1.1282749999999999</v>
      </c>
      <c r="L3774">
        <v>133.04079999999999</v>
      </c>
      <c r="M3774">
        <v>-0.89951159999999997</v>
      </c>
      <c r="N3774">
        <v>-1.5002440000000001E-2</v>
      </c>
      <c r="O3774">
        <v>-0.436639</v>
      </c>
      <c r="P3774">
        <v>-0.86661919999999903</v>
      </c>
      <c r="Q3774">
        <v>0.2064423</v>
      </c>
      <c r="R3774">
        <v>-0.45426030000000001</v>
      </c>
      <c r="S3774">
        <v>-2.530151</v>
      </c>
      <c r="T3774">
        <v>-0.1298262</v>
      </c>
      <c r="U3774">
        <v>-1.8493649999999999</v>
      </c>
      <c r="V3774">
        <v>-3.4031499999999999E-2</v>
      </c>
      <c r="W3774">
        <v>0.22053629999999999</v>
      </c>
      <c r="X3774">
        <v>0.97478489999999995</v>
      </c>
      <c r="Y3774">
        <v>-0.178256</v>
      </c>
      <c r="Z3774">
        <v>6.9703519999999904E-3</v>
      </c>
      <c r="AA3774">
        <v>0.98395940000000004</v>
      </c>
      <c r="AB3774">
        <v>33</v>
      </c>
      <c r="AC3774">
        <v>-21.6311</v>
      </c>
      <c r="AD3774">
        <v>-1.1282801970030001</v>
      </c>
      <c r="AE3774">
        <v>-15.8905999999999</v>
      </c>
      <c r="AF3774">
        <v>-4.8407894274571097</v>
      </c>
      <c r="AG3774">
        <v>-1.1282801970030001</v>
      </c>
      <c r="AH3774">
        <v>26.352288581798401</v>
      </c>
      <c r="AI3774">
        <v>92.411338930118504</v>
      </c>
      <c r="AJ3774">
        <v>100.408916811479</v>
      </c>
      <c r="AK3774">
        <v>26.816960528410299</v>
      </c>
      <c r="AL3774">
        <v>77.2594656085883</v>
      </c>
      <c r="AM3774">
        <v>91.999486977584993</v>
      </c>
      <c r="AN3774">
        <v>1.0000000019389701</v>
      </c>
    </row>
    <row r="3775" spans="1:40" x14ac:dyDescent="0.25">
      <c r="A3775" t="str">
        <f>"20190303170844502"</f>
        <v>20190303170844502</v>
      </c>
      <c r="B3775" t="str">
        <f>"1551604124496886"</f>
        <v>1551604124496886</v>
      </c>
      <c r="C3775" t="s">
        <v>40</v>
      </c>
      <c r="D3775">
        <v>4.7116490000000004</v>
      </c>
      <c r="E3775">
        <v>0.4490382</v>
      </c>
      <c r="F3775" t="s">
        <v>43</v>
      </c>
      <c r="G3775">
        <v>-428.2826</v>
      </c>
      <c r="H3775" s="1">
        <v>-5.2999949999999997E-6</v>
      </c>
      <c r="I3775">
        <v>118.24379999999999</v>
      </c>
      <c r="J3775">
        <v>-408.45659999999998</v>
      </c>
      <c r="K3775">
        <v>1.128493</v>
      </c>
      <c r="L3775">
        <v>132.892</v>
      </c>
      <c r="M3775">
        <v>-0.89579399999999998</v>
      </c>
      <c r="N3775">
        <v>-1.5029239999999999E-2</v>
      </c>
      <c r="O3775">
        <v>-0.44421529999999998</v>
      </c>
      <c r="P3775">
        <v>-0.8612689</v>
      </c>
      <c r="Q3775">
        <v>0.20655409999999999</v>
      </c>
      <c r="R3775">
        <v>-0.46427479999999899</v>
      </c>
      <c r="S3775">
        <v>-2.5227050000000002</v>
      </c>
      <c r="T3775">
        <v>-0.1415111</v>
      </c>
      <c r="U3775">
        <v>-1.8558650000000001</v>
      </c>
      <c r="V3775">
        <v>-3.7248219999999999E-2</v>
      </c>
      <c r="W3775">
        <v>0.22059809999999999</v>
      </c>
      <c r="X3775">
        <v>0.97465329999999994</v>
      </c>
      <c r="Y3775">
        <v>-0.17299719999999999</v>
      </c>
      <c r="Z3775">
        <v>8.6859989999999998E-3</v>
      </c>
      <c r="AA3775">
        <v>0.98488399999999998</v>
      </c>
      <c r="AB3775">
        <v>33</v>
      </c>
      <c r="AC3775">
        <v>-19.826000000000001</v>
      </c>
      <c r="AD3775">
        <v>-1.128498299995</v>
      </c>
      <c r="AE3775">
        <v>-14.648199999999999</v>
      </c>
      <c r="AF3775">
        <v>-4.3062194263258204</v>
      </c>
      <c r="AG3775">
        <v>-1.128498299995</v>
      </c>
      <c r="AH3775">
        <v>24.2189488109859</v>
      </c>
      <c r="AI3775">
        <v>92.626668137980502</v>
      </c>
      <c r="AJ3775">
        <v>100.082039358101</v>
      </c>
      <c r="AK3775">
        <v>24.624672904830899</v>
      </c>
      <c r="AL3775">
        <v>77.255835340971601</v>
      </c>
      <c r="AM3775">
        <v>92.1886015313695</v>
      </c>
      <c r="AN3775">
        <v>1.0000000034088301</v>
      </c>
    </row>
    <row r="3776" spans="1:40" x14ac:dyDescent="0.25">
      <c r="A3776" t="str">
        <f>"20190303170844527"</f>
        <v>20190303170844527</v>
      </c>
      <c r="B3776" t="str">
        <f>"1551604124517382"</f>
        <v>1551604124517382</v>
      </c>
      <c r="C3776" t="s">
        <v>40</v>
      </c>
      <c r="D3776">
        <v>4.6914150000000001</v>
      </c>
      <c r="E3776">
        <v>0.44976559999999999</v>
      </c>
      <c r="F3776" t="s">
        <v>43</v>
      </c>
      <c r="G3776">
        <v>-428.52010000000001</v>
      </c>
      <c r="H3776" s="1">
        <v>-5.2076199999999996E-6</v>
      </c>
      <c r="I3776">
        <v>117.8485</v>
      </c>
      <c r="J3776">
        <v>-408.76949999999999</v>
      </c>
      <c r="K3776">
        <v>1.1287590000000001</v>
      </c>
      <c r="L3776">
        <v>132.72659999999999</v>
      </c>
      <c r="M3776">
        <v>-0.89148769999999999</v>
      </c>
      <c r="N3776">
        <v>-1.5060789999999999E-2</v>
      </c>
      <c r="O3776">
        <v>-0.45279439999999999</v>
      </c>
      <c r="P3776">
        <v>-0.85547989999999996</v>
      </c>
      <c r="Q3776">
        <v>0.20658860000000001</v>
      </c>
      <c r="R3776">
        <v>-0.47484229999999999</v>
      </c>
      <c r="S3776">
        <v>-2.5046689999999998</v>
      </c>
      <c r="T3776">
        <v>-0.1408787</v>
      </c>
      <c r="U3776">
        <v>-1.877991</v>
      </c>
      <c r="V3776">
        <v>-4.0046409999999998E-2</v>
      </c>
      <c r="W3776">
        <v>0.2205888</v>
      </c>
      <c r="X3776">
        <v>0.97454439999999998</v>
      </c>
      <c r="Y3776">
        <v>-0.1725141</v>
      </c>
      <c r="Z3776">
        <v>8.8948829999999993E-3</v>
      </c>
      <c r="AA3776">
        <v>0.98496689999999998</v>
      </c>
      <c r="AB3776">
        <v>33</v>
      </c>
      <c r="AC3776">
        <v>-19.750599999999999</v>
      </c>
      <c r="AD3776">
        <v>-1.12876420762</v>
      </c>
      <c r="AE3776">
        <v>-14.8780999999999</v>
      </c>
      <c r="AF3776">
        <v>-4.3121867593152201</v>
      </c>
      <c r="AG3776">
        <v>-1.12876420762</v>
      </c>
      <c r="AH3776">
        <v>24.296271953231201</v>
      </c>
      <c r="AI3776">
        <v>92.619080725205194</v>
      </c>
      <c r="AJ3776">
        <v>100.064251419073</v>
      </c>
      <c r="AK3776">
        <v>24.701779168897701</v>
      </c>
      <c r="AL3776">
        <v>77.256381094922602</v>
      </c>
      <c r="AM3776">
        <v>92.353099664802897</v>
      </c>
      <c r="AN3776">
        <v>0.99999996060534302</v>
      </c>
    </row>
    <row r="3777" spans="1:40" x14ac:dyDescent="0.25">
      <c r="A3777" t="str">
        <f>"20190303170844546"</f>
        <v>20190303170844546</v>
      </c>
      <c r="B3777" t="str">
        <f>"1551604124536902"</f>
        <v>1551604124536902</v>
      </c>
      <c r="C3777" t="s">
        <v>40</v>
      </c>
      <c r="D3777">
        <v>4.6952170000000004</v>
      </c>
      <c r="E3777">
        <v>0.45082630000000001</v>
      </c>
      <c r="F3777" t="s">
        <v>43</v>
      </c>
      <c r="G3777">
        <v>-428.69569999999999</v>
      </c>
      <c r="H3777" s="1">
        <v>-5.1018409999999997E-6</v>
      </c>
      <c r="I3777">
        <v>117.4462</v>
      </c>
      <c r="J3777">
        <v>-409.03199999999998</v>
      </c>
      <c r="K3777">
        <v>1.129</v>
      </c>
      <c r="L3777">
        <v>132.58439999999999</v>
      </c>
      <c r="M3777">
        <v>-0.88763709999999996</v>
      </c>
      <c r="N3777">
        <v>-1.509346E-2</v>
      </c>
      <c r="O3777">
        <v>-0.4602965</v>
      </c>
      <c r="P3777">
        <v>-0.84957349999999998</v>
      </c>
      <c r="Q3777">
        <v>0.2054501</v>
      </c>
      <c r="R3777">
        <v>-0.48581419999999997</v>
      </c>
      <c r="S3777">
        <v>-2.4836429999999998</v>
      </c>
      <c r="T3777">
        <v>-0.14069179999999901</v>
      </c>
      <c r="U3777">
        <v>-1.904587</v>
      </c>
      <c r="V3777">
        <v>-4.4368030000000003E-2</v>
      </c>
      <c r="W3777">
        <v>0.2193794</v>
      </c>
      <c r="X3777">
        <v>0.9746302</v>
      </c>
      <c r="Y3777">
        <v>-0.17487239999999901</v>
      </c>
      <c r="Z3777">
        <v>9.0384780000000008E-3</v>
      </c>
      <c r="AA3777">
        <v>0.98454960000000002</v>
      </c>
      <c r="AB3777">
        <v>33</v>
      </c>
      <c r="AC3777">
        <v>-19.663699999999999</v>
      </c>
      <c r="AD3777">
        <v>-1.1290051018409999</v>
      </c>
      <c r="AE3777">
        <v>-15.1381999999999</v>
      </c>
      <c r="AF3777">
        <v>-4.3775339577052401</v>
      </c>
      <c r="AG3777">
        <v>-1.1290051018409999</v>
      </c>
      <c r="AH3777">
        <v>24.374617565728901</v>
      </c>
      <c r="AI3777">
        <v>92.610278418816904</v>
      </c>
      <c r="AJ3777">
        <v>100.18143755339599</v>
      </c>
      <c r="AK3777">
        <v>24.7903093475331</v>
      </c>
      <c r="AL3777">
        <v>77.327414366282397</v>
      </c>
      <c r="AM3777">
        <v>92.606472705142195</v>
      </c>
      <c r="AN3777">
        <v>0.99999993499123796</v>
      </c>
    </row>
    <row r="3778" spans="1:40" x14ac:dyDescent="0.25">
      <c r="A3778" t="str">
        <f>"20190303170844566"</f>
        <v>20190303170844566</v>
      </c>
      <c r="B3778" t="str">
        <f>"1551604124557399"</f>
        <v>1551604124557399</v>
      </c>
      <c r="C3778" t="s">
        <v>40</v>
      </c>
      <c r="D3778">
        <v>4.6949870000000002</v>
      </c>
      <c r="E3778">
        <v>0.4559762</v>
      </c>
      <c r="F3778" t="s">
        <v>43</v>
      </c>
      <c r="G3778">
        <v>-427.91629999999998</v>
      </c>
      <c r="H3778" s="1">
        <v>-5.0867620000000004E-6</v>
      </c>
      <c r="I3778">
        <v>117.8081</v>
      </c>
      <c r="J3778">
        <v>-409.2826</v>
      </c>
      <c r="K3778">
        <v>1.129243</v>
      </c>
      <c r="L3778">
        <v>132.44550000000001</v>
      </c>
      <c r="M3778">
        <v>-0.88374830000000004</v>
      </c>
      <c r="N3778">
        <v>-1.512904E-2</v>
      </c>
      <c r="O3778">
        <v>-0.46771780000000002</v>
      </c>
      <c r="P3778">
        <v>-0.84276369999999901</v>
      </c>
      <c r="Q3778">
        <v>0.20355999999999999</v>
      </c>
      <c r="R3778">
        <v>-0.49830940000000001</v>
      </c>
      <c r="S3778">
        <v>-2.4642029999999999</v>
      </c>
      <c r="T3778">
        <v>-0.1473235</v>
      </c>
      <c r="U3778">
        <v>-1.9281459999999999</v>
      </c>
      <c r="V3778">
        <v>-5.0498330000000001E-2</v>
      </c>
      <c r="W3778">
        <v>0.21738089999999999</v>
      </c>
      <c r="X3778">
        <v>0.97477970000000003</v>
      </c>
      <c r="Y3778">
        <v>-0.1762367</v>
      </c>
      <c r="Z3778">
        <v>1.005292E-2</v>
      </c>
      <c r="AA3778">
        <v>0.98429650000000002</v>
      </c>
      <c r="AB3778">
        <v>33</v>
      </c>
      <c r="AC3778">
        <v>-18.633699999999902</v>
      </c>
      <c r="AD3778">
        <v>-1.1292480867620001</v>
      </c>
      <c r="AE3778">
        <v>-14.6374</v>
      </c>
      <c r="AF3778">
        <v>-4.2113826751519703</v>
      </c>
      <c r="AG3778">
        <v>-1.1292480867620001</v>
      </c>
      <c r="AH3778">
        <v>23.263507267123199</v>
      </c>
      <c r="AI3778">
        <v>92.734668462468505</v>
      </c>
      <c r="AJ3778">
        <v>100.261102068596</v>
      </c>
      <c r="AK3778">
        <v>23.668580769567001</v>
      </c>
      <c r="AL3778">
        <v>77.444752935333895</v>
      </c>
      <c r="AM3778">
        <v>92.965549049044895</v>
      </c>
      <c r="AN3778">
        <v>1.0000000002748399</v>
      </c>
    </row>
    <row r="3779" spans="1:40" x14ac:dyDescent="0.25">
      <c r="A3779" t="str">
        <f>"20190303170844593"</f>
        <v>20190303170844593</v>
      </c>
      <c r="B3779" t="str">
        <f>"1551604124576919"</f>
        <v>1551604124576919</v>
      </c>
      <c r="C3779" t="s">
        <v>40</v>
      </c>
      <c r="D3779">
        <v>4.70207</v>
      </c>
      <c r="E3779">
        <v>0.42860920000000002</v>
      </c>
      <c r="F3779" t="s">
        <v>43</v>
      </c>
      <c r="G3779">
        <v>-426.26589999999999</v>
      </c>
      <c r="H3779" s="1">
        <v>-5.2447989999999999E-6</v>
      </c>
      <c r="I3779">
        <v>119.1328</v>
      </c>
      <c r="J3779">
        <v>-409.57960000000003</v>
      </c>
      <c r="K3779">
        <v>1.1295539999999999</v>
      </c>
      <c r="L3779">
        <v>132.27719999999999</v>
      </c>
      <c r="M3779">
        <v>-0.87886830000000005</v>
      </c>
      <c r="N3779">
        <v>-1.517432E-2</v>
      </c>
      <c r="O3779">
        <v>-0.4768232</v>
      </c>
      <c r="P3779">
        <v>-0.83495889999999995</v>
      </c>
      <c r="Q3779">
        <v>0.20419799999999999</v>
      </c>
      <c r="R3779">
        <v>-0.51102539999999996</v>
      </c>
      <c r="S3779">
        <v>-2.45932</v>
      </c>
      <c r="T3779">
        <v>-0.16352449999999999</v>
      </c>
      <c r="U3779">
        <v>-1.9277949999999999</v>
      </c>
      <c r="V3779">
        <v>-5.5464739999999998E-2</v>
      </c>
      <c r="W3779">
        <v>0.2179217</v>
      </c>
      <c r="X3779">
        <v>0.97438899999999995</v>
      </c>
      <c r="Y3779">
        <v>-0.16696459999999999</v>
      </c>
      <c r="Z3779">
        <v>1.271459E-2</v>
      </c>
      <c r="AA3779">
        <v>0.98588089999999995</v>
      </c>
      <c r="AB3779">
        <v>33</v>
      </c>
      <c r="AC3779">
        <v>-16.6862999999999</v>
      </c>
      <c r="AD3779">
        <v>-1.1295592447989999</v>
      </c>
      <c r="AE3779">
        <v>-13.1443999999999</v>
      </c>
      <c r="AF3779">
        <v>-3.58605489612559</v>
      </c>
      <c r="AG3779">
        <v>-1.1295592447989999</v>
      </c>
      <c r="AH3779">
        <v>20.8759920557954</v>
      </c>
      <c r="AI3779">
        <v>93.0525198174671</v>
      </c>
      <c r="AJ3779">
        <v>99.747076572498301</v>
      </c>
      <c r="AK3779">
        <v>21.211853717183001</v>
      </c>
      <c r="AL3779">
        <v>77.413007117887105</v>
      </c>
      <c r="AM3779">
        <v>93.257908138039298</v>
      </c>
      <c r="AN3779">
        <v>1.0000000640175699</v>
      </c>
    </row>
    <row r="3780" spans="1:40" x14ac:dyDescent="0.25">
      <c r="A3780" t="str">
        <f>"20190303170844631"</f>
        <v>20190303170844631</v>
      </c>
      <c r="B3780" t="str">
        <f>"1551604124617395"</f>
        <v>1551604124617395</v>
      </c>
      <c r="C3780" t="s">
        <v>40</v>
      </c>
      <c r="D3780">
        <v>4.556978</v>
      </c>
      <c r="E3780">
        <v>0.40312619999999999</v>
      </c>
      <c r="F3780" t="s">
        <v>46</v>
      </c>
      <c r="G3780">
        <v>-442.01369999999997</v>
      </c>
      <c r="H3780">
        <v>-0.05</v>
      </c>
      <c r="I3780">
        <v>102.1883</v>
      </c>
      <c r="J3780">
        <v>-410.09370000000001</v>
      </c>
      <c r="K3780">
        <v>1.1300619999999999</v>
      </c>
      <c r="L3780">
        <v>131.97470000000001</v>
      </c>
      <c r="M3780">
        <v>-0.86966270000000001</v>
      </c>
      <c r="N3780">
        <v>-1.5256850000000001E-2</v>
      </c>
      <c r="O3780">
        <v>-0.49341069999999998</v>
      </c>
      <c r="P3780">
        <v>-0.82064490000000001</v>
      </c>
      <c r="Q3780">
        <v>0.20739360000000001</v>
      </c>
      <c r="R3780">
        <v>-0.53247529999999998</v>
      </c>
      <c r="S3780">
        <v>-2.30484</v>
      </c>
      <c r="T3780">
        <v>-8.3821649999999998E-2</v>
      </c>
      <c r="U3780">
        <v>-2.1381839999999999</v>
      </c>
      <c r="V3780">
        <v>-6.2964919999999994E-2</v>
      </c>
      <c r="W3780">
        <v>0.22095670000000001</v>
      </c>
      <c r="X3780">
        <v>0.97324900000000003</v>
      </c>
      <c r="Y3780">
        <v>-0.22967070000000001</v>
      </c>
      <c r="Z3780">
        <v>1.3815679999999999E-3</v>
      </c>
      <c r="AA3780">
        <v>0.9732674</v>
      </c>
      <c r="AB3780">
        <v>33</v>
      </c>
      <c r="AC3780">
        <v>-31.919999999999899</v>
      </c>
      <c r="AD3780">
        <v>-1.1800619999999999</v>
      </c>
      <c r="AE3780">
        <v>-29.7864</v>
      </c>
      <c r="AF3780">
        <v>-10.148219065773301</v>
      </c>
      <c r="AG3780">
        <v>-1.1800619999999999</v>
      </c>
      <c r="AH3780">
        <v>42.430503546177398</v>
      </c>
      <c r="AI3780">
        <v>91.549401869994497</v>
      </c>
      <c r="AJ3780">
        <v>103.45090690160001</v>
      </c>
      <c r="AK3780">
        <v>43.643172750304799</v>
      </c>
      <c r="AL3780">
        <v>77.234769600208395</v>
      </c>
      <c r="AM3780">
        <v>93.701625704461804</v>
      </c>
      <c r="AN3780">
        <v>1.0000000302132399</v>
      </c>
    </row>
    <row r="3781" spans="1:40" x14ac:dyDescent="0.25">
      <c r="A3781" t="str">
        <f>"20190303170844656"</f>
        <v>20190303170844656</v>
      </c>
      <c r="B3781" t="str">
        <f>"1551604124647651"</f>
        <v>1551604124647651</v>
      </c>
      <c r="C3781" t="s">
        <v>40</v>
      </c>
      <c r="D3781">
        <v>4.5478480000000001</v>
      </c>
      <c r="E3781">
        <v>0.3980284</v>
      </c>
      <c r="F3781" t="s">
        <v>76</v>
      </c>
      <c r="G3781">
        <v>-440.20710000000003</v>
      </c>
      <c r="H3781">
        <v>1.503625</v>
      </c>
      <c r="I3781">
        <v>98.586780000000005</v>
      </c>
      <c r="J3781">
        <v>-410.4067</v>
      </c>
      <c r="K3781">
        <v>1.130315</v>
      </c>
      <c r="L3781">
        <v>131.78319999999999</v>
      </c>
      <c r="M3781">
        <v>-0.8635815</v>
      </c>
      <c r="N3781">
        <v>-1.530493E-2</v>
      </c>
      <c r="O3781">
        <v>-0.5039768</v>
      </c>
      <c r="P3781">
        <v>-0.8119807</v>
      </c>
      <c r="Q3781">
        <v>0.20682909999999999</v>
      </c>
      <c r="R3781">
        <v>-0.54581049999999998</v>
      </c>
      <c r="S3781">
        <v>-2.1222530000000002</v>
      </c>
      <c r="T3781">
        <v>2.6328440000000002E-2</v>
      </c>
      <c r="U3781">
        <v>-2.3530120000000001</v>
      </c>
      <c r="V3781">
        <v>-6.7070420000000006E-2</v>
      </c>
      <c r="W3781">
        <v>0.22030749999999999</v>
      </c>
      <c r="X3781">
        <v>0.97312189999999998</v>
      </c>
      <c r="Y3781">
        <v>-0.30386570000000002</v>
      </c>
      <c r="Z3781">
        <v>-1.2841419999999999E-2</v>
      </c>
      <c r="AA3781">
        <v>0.95262829999999998</v>
      </c>
      <c r="AB3781">
        <v>33</v>
      </c>
      <c r="AC3781">
        <v>-29.8004</v>
      </c>
      <c r="AD3781">
        <v>0.37330999999999998</v>
      </c>
      <c r="AE3781">
        <v>-33.196419999999897</v>
      </c>
      <c r="AF3781">
        <v>-13.649747888452801</v>
      </c>
      <c r="AG3781">
        <v>0.37330999999999998</v>
      </c>
      <c r="AH3781">
        <v>42.467303094504601</v>
      </c>
      <c r="AI3781">
        <v>89.520510861612493</v>
      </c>
      <c r="AJ3781">
        <v>107.81833047131499</v>
      </c>
      <c r="AK3781">
        <v>44.6085956951678</v>
      </c>
      <c r="AL3781">
        <v>77.272905855878506</v>
      </c>
      <c r="AM3781">
        <v>93.942758137294106</v>
      </c>
      <c r="AN3781">
        <v>1.00000003402741</v>
      </c>
    </row>
    <row r="3782" spans="1:40" x14ac:dyDescent="0.25">
      <c r="A3782" t="str">
        <f>"20190303170844681"</f>
        <v>20190303170844681</v>
      </c>
      <c r="B3782" t="str">
        <f>"1551604124676932"</f>
        <v>1551604124676932</v>
      </c>
      <c r="C3782" t="s">
        <v>40</v>
      </c>
      <c r="D3782">
        <v>4.5081769999999999</v>
      </c>
      <c r="E3782">
        <v>0.39632489999999998</v>
      </c>
      <c r="F3782" t="s">
        <v>76</v>
      </c>
      <c r="G3782">
        <v>-440.20710000000003</v>
      </c>
      <c r="H3782">
        <v>1.7931379999999999</v>
      </c>
      <c r="I3782">
        <v>96.821089999999998</v>
      </c>
      <c r="J3782">
        <v>-410.71890000000002</v>
      </c>
      <c r="K3782">
        <v>1.1305559999999999</v>
      </c>
      <c r="L3782">
        <v>131.58670000000001</v>
      </c>
      <c r="M3782">
        <v>-0.85716369999999897</v>
      </c>
      <c r="N3782">
        <v>-1.5349969999999999E-2</v>
      </c>
      <c r="O3782">
        <v>-0.51481529999999998</v>
      </c>
      <c r="P3782">
        <v>-0.80355529999999997</v>
      </c>
      <c r="Q3782">
        <v>0.20596690000000001</v>
      </c>
      <c r="R3782">
        <v>-0.55845940000000005</v>
      </c>
      <c r="S3782">
        <v>-2.059113</v>
      </c>
      <c r="T3782">
        <v>4.580033E-2</v>
      </c>
      <c r="U3782">
        <v>-2.415756</v>
      </c>
      <c r="V3782">
        <v>-7.0059410000000003E-2</v>
      </c>
      <c r="W3782">
        <v>0.21938360000000001</v>
      </c>
      <c r="X3782">
        <v>0.97311999999999999</v>
      </c>
      <c r="Y3782">
        <v>-0.31857229999999997</v>
      </c>
      <c r="Z3782">
        <v>-1.5459189999999999E-2</v>
      </c>
      <c r="AA3782">
        <v>0.94777250000000002</v>
      </c>
      <c r="AB3782">
        <v>33</v>
      </c>
      <c r="AC3782">
        <v>-29.488199999999999</v>
      </c>
      <c r="AD3782">
        <v>0.662582</v>
      </c>
      <c r="AE3782">
        <v>-34.765610000000002</v>
      </c>
      <c r="AF3782">
        <v>-14.617476856791299</v>
      </c>
      <c r="AG3782">
        <v>0.662582</v>
      </c>
      <c r="AH3782">
        <v>43.170049763509503</v>
      </c>
      <c r="AI3782">
        <v>89.167125485015603</v>
      </c>
      <c r="AJ3782">
        <v>108.706217067363</v>
      </c>
      <c r="AK3782">
        <v>45.582483929130603</v>
      </c>
      <c r="AL3782">
        <v>77.327168677103302</v>
      </c>
      <c r="AM3782">
        <v>94.117883357770907</v>
      </c>
      <c r="AN3782">
        <v>1.0000000096392501</v>
      </c>
    </row>
    <row r="3783" spans="1:40" x14ac:dyDescent="0.25">
      <c r="A3783" t="str">
        <f>"20190303170844704"</f>
        <v>20190303170844704</v>
      </c>
      <c r="B3783" t="str">
        <f>"1551604124697428"</f>
        <v>1551604124697428</v>
      </c>
      <c r="C3783" t="s">
        <v>40</v>
      </c>
      <c r="D3783">
        <v>4.4909990000000004</v>
      </c>
      <c r="E3783">
        <v>0.39605319999999999</v>
      </c>
      <c r="F3783" t="s">
        <v>76</v>
      </c>
      <c r="G3783">
        <v>-440.75</v>
      </c>
      <c r="H3783">
        <v>1.8908259999999999</v>
      </c>
      <c r="I3783">
        <v>94.930530000000005</v>
      </c>
      <c r="J3783">
        <v>-410.99380000000002</v>
      </c>
      <c r="K3783">
        <v>1.1307720000000001</v>
      </c>
      <c r="L3783">
        <v>131.40899999999999</v>
      </c>
      <c r="M3783">
        <v>-0.85118179999999999</v>
      </c>
      <c r="N3783">
        <v>-1.53905E-2</v>
      </c>
      <c r="O3783">
        <v>-0.52464540000000004</v>
      </c>
      <c r="P3783">
        <v>-0.79519740000000005</v>
      </c>
      <c r="Q3783">
        <v>0.20628060000000001</v>
      </c>
      <c r="R3783">
        <v>-0.57018389999999997</v>
      </c>
      <c r="S3783">
        <v>-2.0128780000000002</v>
      </c>
      <c r="T3783">
        <v>5.0959709999999998E-2</v>
      </c>
      <c r="U3783">
        <v>-2.4569239999999999</v>
      </c>
      <c r="V3783">
        <v>-7.3312899999999903E-2</v>
      </c>
      <c r="W3783">
        <v>0.21962000000000001</v>
      </c>
      <c r="X3783">
        <v>0.972827</v>
      </c>
      <c r="Y3783">
        <v>-0.32614120000000002</v>
      </c>
      <c r="Z3783">
        <v>-1.639798E-2</v>
      </c>
      <c r="AA3783">
        <v>0.94517879999999999</v>
      </c>
      <c r="AB3783">
        <v>33</v>
      </c>
      <c r="AC3783">
        <v>-29.7561999999999</v>
      </c>
      <c r="AD3783">
        <v>0.76005400000000001</v>
      </c>
      <c r="AE3783">
        <v>-36.478469999999902</v>
      </c>
      <c r="AF3783">
        <v>-15.436160321831499</v>
      </c>
      <c r="AG3783">
        <v>0.76005400000000001</v>
      </c>
      <c r="AH3783">
        <v>44.459872401264597</v>
      </c>
      <c r="AI3783">
        <v>89.074776091989193</v>
      </c>
      <c r="AJ3783">
        <v>109.146647696202</v>
      </c>
      <c r="AK3783">
        <v>47.069448493698403</v>
      </c>
      <c r="AL3783">
        <v>77.313285875485207</v>
      </c>
      <c r="AM3783">
        <v>94.309702375575398</v>
      </c>
      <c r="AN3783">
        <v>1.0000000488177001</v>
      </c>
    </row>
    <row r="3784" spans="1:40" x14ac:dyDescent="0.25">
      <c r="A3784" t="str">
        <f>"20190303170844726"</f>
        <v>20190303170844726</v>
      </c>
      <c r="B3784" t="str">
        <f>"1551604124716948"</f>
        <v>1551604124716948</v>
      </c>
      <c r="C3784" t="s">
        <v>40</v>
      </c>
      <c r="D3784">
        <v>4.5009309999999996</v>
      </c>
      <c r="E3784">
        <v>0.3960881</v>
      </c>
      <c r="F3784" t="s">
        <v>76</v>
      </c>
      <c r="G3784">
        <v>-440.75</v>
      </c>
      <c r="H3784">
        <v>1.958647</v>
      </c>
      <c r="I3784">
        <v>93.915499999999994</v>
      </c>
      <c r="J3784">
        <v>-411.26429999999999</v>
      </c>
      <c r="K3784">
        <v>1.131016</v>
      </c>
      <c r="L3784">
        <v>131.2294</v>
      </c>
      <c r="M3784">
        <v>-0.84496159999999998</v>
      </c>
      <c r="N3784">
        <v>-1.543543E-2</v>
      </c>
      <c r="O3784">
        <v>-0.53460430000000003</v>
      </c>
      <c r="P3784">
        <v>-0.78576999999999997</v>
      </c>
      <c r="Q3784">
        <v>0.20770050000000001</v>
      </c>
      <c r="R3784">
        <v>-0.58260290000000003</v>
      </c>
      <c r="S3784">
        <v>-1.9744870000000001</v>
      </c>
      <c r="T3784">
        <v>5.4934980000000001E-2</v>
      </c>
      <c r="U3784">
        <v>-2.4878849999999999</v>
      </c>
      <c r="V3784">
        <v>-7.754192E-2</v>
      </c>
      <c r="W3784">
        <v>0.22093389999999999</v>
      </c>
      <c r="X3784">
        <v>0.97220130000000005</v>
      </c>
      <c r="Y3784">
        <v>-0.32973010000000003</v>
      </c>
      <c r="Z3784">
        <v>-1.7230499999999999E-2</v>
      </c>
      <c r="AA3784">
        <v>0.94391800000000003</v>
      </c>
      <c r="AB3784">
        <v>33</v>
      </c>
      <c r="AC3784">
        <v>-29.485700000000001</v>
      </c>
      <c r="AD3784">
        <v>0.82763099999999901</v>
      </c>
      <c r="AE3784">
        <v>-37.313899999999997</v>
      </c>
      <c r="AF3784">
        <v>-15.762734369473399</v>
      </c>
      <c r="AG3784">
        <v>0.82763099999999901</v>
      </c>
      <c r="AH3784">
        <v>44.854214058888203</v>
      </c>
      <c r="AI3784">
        <v>89.002698901394197</v>
      </c>
      <c r="AJ3784">
        <v>109.362570746491</v>
      </c>
      <c r="AK3784">
        <v>47.550491971327801</v>
      </c>
      <c r="AL3784">
        <v>77.236108039697996</v>
      </c>
      <c r="AM3784">
        <v>94.560207348663894</v>
      </c>
      <c r="AN3784">
        <v>0.99999995262409203</v>
      </c>
    </row>
    <row r="3785" spans="1:40" x14ac:dyDescent="0.25">
      <c r="A3785" t="str">
        <f>"20190303170844749"</f>
        <v>20190303170844749</v>
      </c>
      <c r="B3785" t="str">
        <f>"1551604124737444"</f>
        <v>1551604124737444</v>
      </c>
      <c r="C3785" t="s">
        <v>40</v>
      </c>
      <c r="D3785">
        <v>4.4739309999999897</v>
      </c>
      <c r="E3785">
        <v>0.39628829999999998</v>
      </c>
      <c r="F3785" t="s">
        <v>76</v>
      </c>
      <c r="G3785">
        <v>-440.75</v>
      </c>
      <c r="H3785">
        <v>2.087526</v>
      </c>
      <c r="I3785">
        <v>92.827979999999997</v>
      </c>
      <c r="J3785">
        <v>-411.52600000000001</v>
      </c>
      <c r="K3785">
        <v>1.1312580000000001</v>
      </c>
      <c r="L3785">
        <v>131.05090000000001</v>
      </c>
      <c r="M3785">
        <v>-0.83861669999999999</v>
      </c>
      <c r="N3785">
        <v>-1.548398E-2</v>
      </c>
      <c r="O3785">
        <v>-0.54450229999999999</v>
      </c>
      <c r="P3785">
        <v>-0.77687640000000002</v>
      </c>
      <c r="Q3785">
        <v>0.2095185</v>
      </c>
      <c r="R3785">
        <v>-0.59377219999999997</v>
      </c>
      <c r="S3785">
        <v>-1.933899</v>
      </c>
      <c r="T3785">
        <v>6.2736390000000003E-2</v>
      </c>
      <c r="U3785">
        <v>-2.5186459999999999</v>
      </c>
      <c r="V3785">
        <v>-8.0453540000000004E-2</v>
      </c>
      <c r="W3785">
        <v>0.22267519999999999</v>
      </c>
      <c r="X3785">
        <v>0.97156730000000002</v>
      </c>
      <c r="Y3785">
        <v>-0.3337907</v>
      </c>
      <c r="Z3785">
        <v>-1.8571000000000001E-2</v>
      </c>
      <c r="AA3785">
        <v>0.94246430000000003</v>
      </c>
      <c r="AB3785">
        <v>33</v>
      </c>
      <c r="AC3785">
        <v>-29.223999999999901</v>
      </c>
      <c r="AD3785">
        <v>0.95626800000000001</v>
      </c>
      <c r="AE3785">
        <v>-38.222920000000002</v>
      </c>
      <c r="AF3785">
        <v>-16.1374009982129</v>
      </c>
      <c r="AG3785">
        <v>0.95626800000000001</v>
      </c>
      <c r="AH3785">
        <v>45.307728528769303</v>
      </c>
      <c r="AI3785">
        <v>88.860962861437102</v>
      </c>
      <c r="AJ3785">
        <v>109.60453905852</v>
      </c>
      <c r="AK3785">
        <v>48.105305569153302</v>
      </c>
      <c r="AL3785">
        <v>77.133791110316295</v>
      </c>
      <c r="AM3785">
        <v>94.733748301333904</v>
      </c>
      <c r="AN3785">
        <v>1.0000000176114301</v>
      </c>
    </row>
    <row r="3786" spans="1:40" x14ac:dyDescent="0.25">
      <c r="A3786" t="str">
        <f>"20190303170844768"</f>
        <v>20190303170844768</v>
      </c>
      <c r="B3786" t="str">
        <f>"1551604124756963"</f>
        <v>1551604124756963</v>
      </c>
      <c r="C3786" t="s">
        <v>40</v>
      </c>
      <c r="D3786">
        <v>4.4729340000000004</v>
      </c>
      <c r="E3786">
        <v>0.39678560000000002</v>
      </c>
      <c r="F3786" t="s">
        <v>76</v>
      </c>
      <c r="G3786">
        <v>-440.75</v>
      </c>
      <c r="H3786">
        <v>2.1962220000000001</v>
      </c>
      <c r="I3786">
        <v>91.85754</v>
      </c>
      <c r="J3786">
        <v>-411.7629</v>
      </c>
      <c r="K3786">
        <v>1.131475</v>
      </c>
      <c r="L3786">
        <v>130.88499999999999</v>
      </c>
      <c r="M3786">
        <v>-0.83256819999999898</v>
      </c>
      <c r="N3786">
        <v>-1.5530850000000001E-2</v>
      </c>
      <c r="O3786">
        <v>-0.55370459999999999</v>
      </c>
      <c r="P3786">
        <v>-0.76813229999999999</v>
      </c>
      <c r="Q3786">
        <v>0.2096546</v>
      </c>
      <c r="R3786">
        <v>-0.60499399999999903</v>
      </c>
      <c r="S3786">
        <v>-1.8977360000000001</v>
      </c>
      <c r="T3786">
        <v>6.9157120000000002E-2</v>
      </c>
      <c r="U3786">
        <v>-2.545105</v>
      </c>
      <c r="V3786">
        <v>-8.4023029999999999E-2</v>
      </c>
      <c r="W3786">
        <v>0.22272220000000001</v>
      </c>
      <c r="X3786">
        <v>0.97125430000000001</v>
      </c>
      <c r="Y3786">
        <v>-0.33673150000000002</v>
      </c>
      <c r="Z3786">
        <v>-1.9755640000000001E-2</v>
      </c>
      <c r="AA3786">
        <v>0.94139340000000005</v>
      </c>
      <c r="AB3786">
        <v>33</v>
      </c>
      <c r="AC3786">
        <v>-28.987100000000002</v>
      </c>
      <c r="AD3786">
        <v>1.0647469999999899</v>
      </c>
      <c r="AE3786">
        <v>-39.027459999999898</v>
      </c>
      <c r="AF3786">
        <v>-16.436832066976699</v>
      </c>
      <c r="AG3786">
        <v>1.0647469999999899</v>
      </c>
      <c r="AH3786">
        <v>45.7270096344743</v>
      </c>
      <c r="AI3786">
        <v>88.744722573395904</v>
      </c>
      <c r="AJ3786">
        <v>109.771261051596</v>
      </c>
      <c r="AK3786">
        <v>48.603112499955301</v>
      </c>
      <c r="AL3786">
        <v>77.131028369433196</v>
      </c>
      <c r="AM3786">
        <v>94.944337428779406</v>
      </c>
      <c r="AN3786">
        <v>0.99999998160585502</v>
      </c>
    </row>
    <row r="3787" spans="1:40" x14ac:dyDescent="0.25">
      <c r="A3787" t="str">
        <f>"20190303170844790"</f>
        <v>20190303170844790</v>
      </c>
      <c r="B3787" t="str">
        <f>"1551604124777460"</f>
        <v>1551604124777460</v>
      </c>
      <c r="C3787" t="s">
        <v>40</v>
      </c>
      <c r="D3787">
        <v>4.4821229999999996</v>
      </c>
      <c r="E3787">
        <v>0.3975341</v>
      </c>
      <c r="F3787" t="s">
        <v>76</v>
      </c>
      <c r="G3787">
        <v>-440.75</v>
      </c>
      <c r="H3787">
        <v>2.1976849999999999</v>
      </c>
      <c r="I3787">
        <v>90.927189999999996</v>
      </c>
      <c r="J3787">
        <v>-412.00889999999998</v>
      </c>
      <c r="K3787">
        <v>1.1316919999999999</v>
      </c>
      <c r="L3787">
        <v>130.7081</v>
      </c>
      <c r="M3787">
        <v>-0.82597319999999996</v>
      </c>
      <c r="N3787">
        <v>-1.5580490000000001E-2</v>
      </c>
      <c r="O3787">
        <v>-0.5634941</v>
      </c>
      <c r="P3787">
        <v>-0.75877810000000001</v>
      </c>
      <c r="Q3787">
        <v>0.20818880000000001</v>
      </c>
      <c r="R3787">
        <v>-0.6171818</v>
      </c>
      <c r="S3787">
        <v>-1.863586</v>
      </c>
      <c r="T3787">
        <v>6.8547730000000001E-2</v>
      </c>
      <c r="U3787">
        <v>-2.5688780000000002</v>
      </c>
      <c r="V3787">
        <v>-8.7937299999999996E-2</v>
      </c>
      <c r="W3787">
        <v>0.22115950000000001</v>
      </c>
      <c r="X3787">
        <v>0.97126489999999999</v>
      </c>
      <c r="Y3787">
        <v>-0.33795350000000002</v>
      </c>
      <c r="Z3787">
        <v>-2.0082260000000001E-2</v>
      </c>
      <c r="AA3787">
        <v>0.94094849999999997</v>
      </c>
      <c r="AB3787">
        <v>33</v>
      </c>
      <c r="AC3787">
        <v>-28.741099999999999</v>
      </c>
      <c r="AD3787">
        <v>1.065993</v>
      </c>
      <c r="AE3787">
        <v>-39.780909999999999</v>
      </c>
      <c r="AF3787">
        <v>-16.6566889208903</v>
      </c>
      <c r="AG3787">
        <v>1.065993</v>
      </c>
      <c r="AH3787">
        <v>46.1395196010116</v>
      </c>
      <c r="AI3787">
        <v>88.7551021969429</v>
      </c>
      <c r="AJ3787">
        <v>109.84993649985699</v>
      </c>
      <c r="AK3787">
        <v>49.065638647585999</v>
      </c>
      <c r="AL3787">
        <v>77.222854865271401</v>
      </c>
      <c r="AM3787">
        <v>95.173394280048598</v>
      </c>
      <c r="AN3787">
        <v>0.99999999957177499</v>
      </c>
    </row>
    <row r="3788" spans="1:40" x14ac:dyDescent="0.25">
      <c r="A3788" t="str">
        <f>"20190303170844816"</f>
        <v>20190303170844816</v>
      </c>
      <c r="B3788" t="str">
        <f>"1551604124806743"</f>
        <v>1551604124806743</v>
      </c>
      <c r="C3788" t="s">
        <v>40</v>
      </c>
      <c r="D3788">
        <v>4.4519909999999996</v>
      </c>
      <c r="E3788">
        <v>0.39883039999999997</v>
      </c>
      <c r="F3788" t="s">
        <v>76</v>
      </c>
      <c r="G3788">
        <v>-440.75</v>
      </c>
      <c r="H3788">
        <v>2.114042</v>
      </c>
      <c r="I3788">
        <v>89.931139999999999</v>
      </c>
      <c r="J3788">
        <v>-412.30869999999999</v>
      </c>
      <c r="K3788">
        <v>1.131948</v>
      </c>
      <c r="L3788">
        <v>130.48580000000001</v>
      </c>
      <c r="M3788">
        <v>-0.81747879999999995</v>
      </c>
      <c r="N3788">
        <v>-1.5641309999999999E-2</v>
      </c>
      <c r="O3788">
        <v>-0.57574650000000005</v>
      </c>
      <c r="P3788">
        <v>-0.74678459999999902</v>
      </c>
      <c r="Q3788">
        <v>0.2077145</v>
      </c>
      <c r="R3788">
        <v>-0.6317971</v>
      </c>
      <c r="S3788">
        <v>-1.8275760000000001</v>
      </c>
      <c r="T3788">
        <v>6.2466260000000003E-2</v>
      </c>
      <c r="U3788">
        <v>-2.5928960000000001</v>
      </c>
      <c r="V3788">
        <v>-9.2380290000000004E-2</v>
      </c>
      <c r="W3788">
        <v>0.22057019999999999</v>
      </c>
      <c r="X3788">
        <v>0.97098640000000003</v>
      </c>
      <c r="Y3788">
        <v>-0.3367329</v>
      </c>
      <c r="Z3788">
        <v>-1.9766450000000001E-2</v>
      </c>
      <c r="AA3788">
        <v>0.94139269999999997</v>
      </c>
      <c r="AB3788">
        <v>33</v>
      </c>
      <c r="AC3788">
        <v>-28.441299999999998</v>
      </c>
      <c r="AD3788">
        <v>0.98209400000000002</v>
      </c>
      <c r="AE3788">
        <v>-40.554659999999998</v>
      </c>
      <c r="AF3788">
        <v>-16.773052776227701</v>
      </c>
      <c r="AG3788">
        <v>0.98209400000000002</v>
      </c>
      <c r="AH3788">
        <v>46.586745041639197</v>
      </c>
      <c r="AI3788">
        <v>88.863711484708205</v>
      </c>
      <c r="AJ3788">
        <v>109.800862854683</v>
      </c>
      <c r="AK3788">
        <v>49.5239802684887</v>
      </c>
      <c r="AL3788">
        <v>77.257473701397402</v>
      </c>
      <c r="AM3788">
        <v>95.434799711684903</v>
      </c>
      <c r="AN3788">
        <v>0.99999996004674097</v>
      </c>
    </row>
    <row r="3789" spans="1:40" x14ac:dyDescent="0.25">
      <c r="A3789" t="str">
        <f>"20190303170844839"</f>
        <v>20190303170844839</v>
      </c>
      <c r="B3789" t="str">
        <f>"1551604124827235"</f>
        <v>1551604124827235</v>
      </c>
      <c r="C3789" t="s">
        <v>40</v>
      </c>
      <c r="D3789">
        <v>4.4719309999999997</v>
      </c>
      <c r="E3789">
        <v>0.41361979999999998</v>
      </c>
      <c r="F3789" t="s">
        <v>76</v>
      </c>
      <c r="G3789">
        <v>-440.39819999999997</v>
      </c>
      <c r="H3789">
        <v>2.0769839999999999</v>
      </c>
      <c r="I3789">
        <v>89.215289999999996</v>
      </c>
      <c r="J3789">
        <v>-412.57220000000001</v>
      </c>
      <c r="K3789">
        <v>1.132155</v>
      </c>
      <c r="L3789">
        <v>130.28450000000001</v>
      </c>
      <c r="M3789">
        <v>-0.80962190000000001</v>
      </c>
      <c r="N3789">
        <v>-1.5692520000000001E-2</v>
      </c>
      <c r="O3789">
        <v>-0.58674219999999999</v>
      </c>
      <c r="P3789">
        <v>-0.73533959999999998</v>
      </c>
      <c r="Q3789">
        <v>0.20854700000000001</v>
      </c>
      <c r="R3789">
        <v>-0.64481309999999903</v>
      </c>
      <c r="S3789">
        <v>-1.783539</v>
      </c>
      <c r="T3789">
        <v>6.000602E-2</v>
      </c>
      <c r="U3789">
        <v>-2.6204529999999999</v>
      </c>
      <c r="V3789">
        <v>-9.6590499999999996E-2</v>
      </c>
      <c r="W3789">
        <v>0.22128829999999999</v>
      </c>
      <c r="X3789">
        <v>0.97041319999999998</v>
      </c>
      <c r="Y3789">
        <v>-0.33940550000000003</v>
      </c>
      <c r="Z3789">
        <v>-1.985439E-2</v>
      </c>
      <c r="AA3789">
        <v>0.94043060000000001</v>
      </c>
      <c r="AB3789">
        <v>33</v>
      </c>
      <c r="AC3789">
        <v>-27.825999999999901</v>
      </c>
      <c r="AD3789">
        <v>0.94482900000000003</v>
      </c>
      <c r="AE3789">
        <v>-41.069209999999998</v>
      </c>
      <c r="AF3789">
        <v>-16.919787576673698</v>
      </c>
      <c r="AG3789">
        <v>0.94482900000000003</v>
      </c>
      <c r="AH3789">
        <v>46.614403800800602</v>
      </c>
      <c r="AI3789">
        <v>88.908489338793899</v>
      </c>
      <c r="AJ3789">
        <v>109.94954941801601</v>
      </c>
      <c r="AK3789">
        <v>49.5991386536409</v>
      </c>
      <c r="AL3789">
        <v>77.215287780966605</v>
      </c>
      <c r="AM3789">
        <v>95.684237854510698</v>
      </c>
      <c r="AN3789">
        <v>1.0000000075706901</v>
      </c>
    </row>
    <row r="3790" spans="1:40" x14ac:dyDescent="0.25">
      <c r="A3790" t="str">
        <f>"20190303170844876"</f>
        <v>20190303170844876</v>
      </c>
      <c r="B3790" t="str">
        <f>"1551604124867253"</f>
        <v>1551604124867253</v>
      </c>
      <c r="C3790" t="s">
        <v>40</v>
      </c>
      <c r="D3790">
        <v>4.4730489999999996</v>
      </c>
      <c r="E3790">
        <v>0.41720689999999999</v>
      </c>
      <c r="F3790" t="s">
        <v>76</v>
      </c>
      <c r="G3790">
        <v>-440.75</v>
      </c>
      <c r="H3790">
        <v>1.675543</v>
      </c>
      <c r="I3790">
        <v>90.470730000000003</v>
      </c>
      <c r="J3790">
        <v>-412.98309999999998</v>
      </c>
      <c r="K3790">
        <v>1.1324320000000001</v>
      </c>
      <c r="L3790">
        <v>129.95869999999999</v>
      </c>
      <c r="M3790">
        <v>-0.79658419999999996</v>
      </c>
      <c r="N3790">
        <v>-1.5766639999999998E-2</v>
      </c>
      <c r="O3790">
        <v>-0.60432189999999997</v>
      </c>
      <c r="P3790">
        <v>-0.71651869999999995</v>
      </c>
      <c r="Q3790">
        <v>0.210891</v>
      </c>
      <c r="R3790">
        <v>-0.6649254</v>
      </c>
      <c r="S3790">
        <v>-1.8177190000000001</v>
      </c>
      <c r="T3790">
        <v>3.5054559999999998E-2</v>
      </c>
      <c r="U3790">
        <v>-2.5683289999999999</v>
      </c>
      <c r="V3790">
        <v>-0.10287019999999999</v>
      </c>
      <c r="W3790">
        <v>0.2234515</v>
      </c>
      <c r="X3790">
        <v>0.96927149999999995</v>
      </c>
      <c r="Y3790">
        <v>-0.30125999999999997</v>
      </c>
      <c r="Z3790">
        <v>-1.6829179999999999E-2</v>
      </c>
      <c r="AA3790">
        <v>0.9533935</v>
      </c>
      <c r="AB3790">
        <v>32</v>
      </c>
      <c r="AC3790">
        <v>-27.7669</v>
      </c>
      <c r="AD3790">
        <v>0.54311100000000001</v>
      </c>
      <c r="AE3790">
        <v>-39.487969999999898</v>
      </c>
      <c r="AF3790">
        <v>-14.675314503387</v>
      </c>
      <c r="AG3790">
        <v>0.54311100000000001</v>
      </c>
      <c r="AH3790">
        <v>45.982016348066097</v>
      </c>
      <c r="AI3790">
        <v>89.355323398534395</v>
      </c>
      <c r="AJ3790">
        <v>107.700657243679</v>
      </c>
      <c r="AK3790">
        <v>48.270132098073397</v>
      </c>
      <c r="AL3790">
        <v>77.088163111842505</v>
      </c>
      <c r="AM3790">
        <v>96.058206370983996</v>
      </c>
      <c r="AN3790">
        <v>1.0000000458062599</v>
      </c>
    </row>
    <row r="3791" spans="1:40" x14ac:dyDescent="0.25">
      <c r="A3791" t="str">
        <f>"20190303170844900"</f>
        <v>20190303170844900</v>
      </c>
      <c r="B3791" t="str">
        <f>"1551604124886772"</f>
        <v>1551604124886772</v>
      </c>
      <c r="C3791" t="s">
        <v>40</v>
      </c>
      <c r="D3791">
        <v>4.4421809999999997</v>
      </c>
      <c r="E3791">
        <v>0.42554740000000002</v>
      </c>
      <c r="F3791" t="s">
        <v>76</v>
      </c>
      <c r="G3791">
        <v>-440.68509999999998</v>
      </c>
      <c r="H3791">
        <v>1.62704</v>
      </c>
      <c r="I3791">
        <v>89.215289999999996</v>
      </c>
      <c r="J3791">
        <v>-413.2473</v>
      </c>
      <c r="K3791">
        <v>1.1325940000000001</v>
      </c>
      <c r="L3791">
        <v>129.74100000000001</v>
      </c>
      <c r="M3791">
        <v>-0.78767419999999899</v>
      </c>
      <c r="N3791">
        <v>-1.58131E-2</v>
      </c>
      <c r="O3791">
        <v>-0.61588940000000003</v>
      </c>
      <c r="P3791">
        <v>-0.70546919999999902</v>
      </c>
      <c r="Q3791">
        <v>0.21108160000000001</v>
      </c>
      <c r="R3791">
        <v>-0.67657800000000001</v>
      </c>
      <c r="S3791">
        <v>-1.7665409999999999</v>
      </c>
      <c r="T3791">
        <v>3.1542059999999997E-2</v>
      </c>
      <c r="U3791">
        <v>-2.5981749999999999</v>
      </c>
      <c r="V3791">
        <v>-0.10473739999999999</v>
      </c>
      <c r="W3791">
        <v>0.22359229999999999</v>
      </c>
      <c r="X3791">
        <v>0.96903899999999998</v>
      </c>
      <c r="Y3791">
        <v>-0.30523289999999997</v>
      </c>
      <c r="Z3791">
        <v>-1.6633660000000001E-2</v>
      </c>
      <c r="AA3791">
        <v>0.95213239999999999</v>
      </c>
      <c r="AB3791">
        <v>32</v>
      </c>
      <c r="AC3791">
        <v>-27.4377999999999</v>
      </c>
      <c r="AD3791">
        <v>0.494446</v>
      </c>
      <c r="AE3791">
        <v>-40.525709999999997</v>
      </c>
      <c r="AF3791">
        <v>-15.0227477978813</v>
      </c>
      <c r="AG3791">
        <v>0.494446</v>
      </c>
      <c r="AH3791">
        <v>46.572461923364898</v>
      </c>
      <c r="AI3791">
        <v>89.421100418594307</v>
      </c>
      <c r="AJ3791">
        <v>107.877997910155</v>
      </c>
      <c r="AK3791">
        <v>48.937936591655898</v>
      </c>
      <c r="AL3791">
        <v>77.079886007826502</v>
      </c>
      <c r="AM3791">
        <v>96.168797408099806</v>
      </c>
      <c r="AN3791">
        <v>1.00000001154952</v>
      </c>
    </row>
    <row r="3792" spans="1:40" x14ac:dyDescent="0.25">
      <c r="A3792" t="str">
        <f>"20190303170844923"</f>
        <v>20190303170844923</v>
      </c>
      <c r="B3792" t="str">
        <f>"1551604124917028"</f>
        <v>1551604124917028</v>
      </c>
      <c r="C3792" t="s">
        <v>40</v>
      </c>
      <c r="D3792">
        <v>4.463069</v>
      </c>
      <c r="E3792">
        <v>0.42742590000000003</v>
      </c>
      <c r="F3792" t="s">
        <v>76</v>
      </c>
      <c r="G3792">
        <v>-440.75</v>
      </c>
      <c r="H3792">
        <v>1.237422</v>
      </c>
      <c r="I3792">
        <v>89.612729999999999</v>
      </c>
      <c r="J3792">
        <v>-413.50189999999998</v>
      </c>
      <c r="K3792">
        <v>1.132727</v>
      </c>
      <c r="L3792">
        <v>129.5247</v>
      </c>
      <c r="M3792">
        <v>-0.77869219999999995</v>
      </c>
      <c r="N3792">
        <v>-1.585611E-2</v>
      </c>
      <c r="O3792">
        <v>-0.62720569999999998</v>
      </c>
      <c r="P3792">
        <v>-0.69440249999999903</v>
      </c>
      <c r="Q3792">
        <v>0.20990059999999999</v>
      </c>
      <c r="R3792">
        <v>-0.68829269999999998</v>
      </c>
      <c r="S3792">
        <v>-1.7715449999999999</v>
      </c>
      <c r="T3792">
        <v>6.7536829999999999E-3</v>
      </c>
      <c r="U3792">
        <v>-2.584778</v>
      </c>
      <c r="V3792">
        <v>-0.1067873</v>
      </c>
      <c r="W3792">
        <v>0.22236049999999999</v>
      </c>
      <c r="X3792">
        <v>0.96909869999999998</v>
      </c>
      <c r="Y3792">
        <v>-0.28780539999999999</v>
      </c>
      <c r="Z3792">
        <v>-1.2866560000000001E-2</v>
      </c>
      <c r="AA3792">
        <v>0.95760250000000002</v>
      </c>
      <c r="AB3792">
        <v>32</v>
      </c>
      <c r="AC3792">
        <v>-27.248100000000001</v>
      </c>
      <c r="AD3792">
        <v>0.104694999999999</v>
      </c>
      <c r="AE3792">
        <v>-39.911969999999997</v>
      </c>
      <c r="AF3792">
        <v>-13.9906696464249</v>
      </c>
      <c r="AG3792">
        <v>0.104694999999999</v>
      </c>
      <c r="AH3792">
        <v>46.256497314472298</v>
      </c>
      <c r="AI3792">
        <v>89.875872778282499</v>
      </c>
      <c r="AJ3792">
        <v>106.82838622251199</v>
      </c>
      <c r="AK3792">
        <v>48.326114493120599</v>
      </c>
      <c r="AL3792">
        <v>77.152285612343107</v>
      </c>
      <c r="AM3792">
        <v>96.288189500502497</v>
      </c>
      <c r="AN3792">
        <v>1.00000000487161</v>
      </c>
    </row>
    <row r="3793" spans="1:40" x14ac:dyDescent="0.25">
      <c r="A3793" t="str">
        <f>"20190303170844946"</f>
        <v>20190303170844946</v>
      </c>
      <c r="B3793" t="str">
        <f>"1551604124937524"</f>
        <v>1551604124937524</v>
      </c>
      <c r="C3793" t="s">
        <v>40</v>
      </c>
      <c r="D3793">
        <v>4.4698469999999997</v>
      </c>
      <c r="E3793">
        <v>0.43502629999999998</v>
      </c>
      <c r="F3793" t="s">
        <v>76</v>
      </c>
      <c r="G3793">
        <v>-440.41750000000002</v>
      </c>
      <c r="H3793">
        <v>1.122881</v>
      </c>
      <c r="I3793">
        <v>89.215289999999996</v>
      </c>
      <c r="J3793">
        <v>-413.74770000000001</v>
      </c>
      <c r="K3793">
        <v>1.1328309999999999</v>
      </c>
      <c r="L3793">
        <v>129.30969999999999</v>
      </c>
      <c r="M3793">
        <v>-0.76964370000000004</v>
      </c>
      <c r="N3793">
        <v>-1.5895019999999999E-2</v>
      </c>
      <c r="O3793">
        <v>-0.63827599999999995</v>
      </c>
      <c r="P3793">
        <v>-0.68258699999999894</v>
      </c>
      <c r="Q3793">
        <v>0.2071075</v>
      </c>
      <c r="R3793">
        <v>-0.70084369999999996</v>
      </c>
      <c r="S3793">
        <v>-1.7390139999999901</v>
      </c>
      <c r="T3793">
        <v>-6.3478949999999895E-4</v>
      </c>
      <c r="U3793">
        <v>-2.6043699999999999</v>
      </c>
      <c r="V3793">
        <v>-0.1100626</v>
      </c>
      <c r="W3793">
        <v>0.21948319999999999</v>
      </c>
      <c r="X3793">
        <v>0.96938809999999997</v>
      </c>
      <c r="Y3793">
        <v>-0.2856841</v>
      </c>
      <c r="Z3793">
        <v>-1.1824879999999999E-2</v>
      </c>
      <c r="AA3793">
        <v>0.95825090000000002</v>
      </c>
      <c r="AB3793">
        <v>32</v>
      </c>
      <c r="AC3793">
        <v>-26.669799999999999</v>
      </c>
      <c r="AD3793">
        <v>-9.9499999999998999E-3</v>
      </c>
      <c r="AE3793">
        <v>-40.094410000000003</v>
      </c>
      <c r="AF3793">
        <v>-13.837462070441999</v>
      </c>
      <c r="AG3793">
        <v>-9.9499999999998999E-3</v>
      </c>
      <c r="AH3793">
        <v>46.123360575007801</v>
      </c>
      <c r="AI3793">
        <v>90.011838872379002</v>
      </c>
      <c r="AJ3793">
        <v>106.69976152178199</v>
      </c>
      <c r="AK3793">
        <v>48.154333618954901</v>
      </c>
      <c r="AL3793">
        <v>77.321318942640104</v>
      </c>
      <c r="AM3793">
        <v>96.477522140919405</v>
      </c>
      <c r="AN3793">
        <v>0.999999969711304</v>
      </c>
    </row>
    <row r="3794" spans="1:40" x14ac:dyDescent="0.25">
      <c r="A3794" t="str">
        <f>"20190303170844970"</f>
        <v>20190303170844970</v>
      </c>
      <c r="B3794" t="str">
        <f>"1551604124957045"</f>
        <v>1551604124957045</v>
      </c>
      <c r="C3794" t="s">
        <v>40</v>
      </c>
      <c r="D3794">
        <v>4.505649</v>
      </c>
      <c r="E3794">
        <v>0.4362666</v>
      </c>
      <c r="F3794" t="s">
        <v>76</v>
      </c>
      <c r="G3794">
        <v>-440.5949</v>
      </c>
      <c r="H3794">
        <v>0.51291920000000002</v>
      </c>
      <c r="I3794">
        <v>89.215289999999996</v>
      </c>
      <c r="J3794">
        <v>-413.99299999999999</v>
      </c>
      <c r="K3794">
        <v>1.132916</v>
      </c>
      <c r="L3794">
        <v>129.08869999999999</v>
      </c>
      <c r="M3794">
        <v>-0.76024480000000005</v>
      </c>
      <c r="N3794">
        <v>-1.5930659999999999E-2</v>
      </c>
      <c r="O3794">
        <v>-0.6494413</v>
      </c>
      <c r="P3794">
        <v>-0.66939939999999998</v>
      </c>
      <c r="Q3794">
        <v>0.2055881</v>
      </c>
      <c r="R3794">
        <v>-0.71388940000000001</v>
      </c>
      <c r="S3794">
        <v>-1.7396849999999999</v>
      </c>
      <c r="T3794">
        <v>-4.01684E-2</v>
      </c>
      <c r="U3794">
        <v>-2.5980829999999999</v>
      </c>
      <c r="V3794">
        <v>-0.1143507</v>
      </c>
      <c r="W3794">
        <v>0.21784390000000001</v>
      </c>
      <c r="X3794">
        <v>0.9692615</v>
      </c>
      <c r="Y3794">
        <v>-0.27033839999999998</v>
      </c>
      <c r="Z3794">
        <v>-5.017919E-3</v>
      </c>
      <c r="AA3794">
        <v>0.96275230000000001</v>
      </c>
      <c r="AB3794">
        <v>32</v>
      </c>
      <c r="AC3794">
        <v>-26.601899999999901</v>
      </c>
      <c r="AD3794">
        <v>-0.61999680000000001</v>
      </c>
      <c r="AE3794">
        <v>-39.8734099999999</v>
      </c>
      <c r="AF3794">
        <v>-13.036653976235099</v>
      </c>
      <c r="AG3794">
        <v>-0.61999680000000001</v>
      </c>
      <c r="AH3794">
        <v>46.1175342204169</v>
      </c>
      <c r="AI3794">
        <v>90.741187405787201</v>
      </c>
      <c r="AJ3794">
        <v>105.784708396718</v>
      </c>
      <c r="AK3794">
        <v>47.928756561165002</v>
      </c>
      <c r="AL3794">
        <v>77.417573019282898</v>
      </c>
      <c r="AM3794">
        <v>96.728490181634697</v>
      </c>
      <c r="AN3794">
        <v>0.99999995136997299</v>
      </c>
    </row>
    <row r="3795" spans="1:40" x14ac:dyDescent="0.25">
      <c r="A3795" t="str">
        <f>"20190303170844993"</f>
        <v>20190303170844993</v>
      </c>
      <c r="B3795" t="str">
        <f>"1551604124987301"</f>
        <v>1551604124987301</v>
      </c>
      <c r="C3795" t="s">
        <v>40</v>
      </c>
      <c r="D3795">
        <v>4.5148849999999996</v>
      </c>
      <c r="E3795">
        <v>0.43835879999999999</v>
      </c>
      <c r="F3795" t="s">
        <v>76</v>
      </c>
      <c r="G3795">
        <v>-440.20710000000003</v>
      </c>
      <c r="H3795">
        <v>0.38899319999999998</v>
      </c>
      <c r="I3795">
        <v>88.612629999999996</v>
      </c>
      <c r="J3795">
        <v>-414.22699999999998</v>
      </c>
      <c r="K3795">
        <v>1.1329929999999999</v>
      </c>
      <c r="L3795">
        <v>128.87110000000001</v>
      </c>
      <c r="M3795">
        <v>-0.75091560000000002</v>
      </c>
      <c r="N3795">
        <v>-1.5960849999999999E-2</v>
      </c>
      <c r="O3795">
        <v>-0.66020540000000005</v>
      </c>
      <c r="P3795">
        <v>-0.65721359999999995</v>
      </c>
      <c r="Q3795">
        <v>0.2066231</v>
      </c>
      <c r="R3795">
        <v>-0.7248289</v>
      </c>
      <c r="S3795">
        <v>-1.6988829999999999</v>
      </c>
      <c r="T3795">
        <v>-4.8210379999999997E-2</v>
      </c>
      <c r="U3795">
        <v>-2.623154</v>
      </c>
      <c r="V3795">
        <v>-0.1168203</v>
      </c>
      <c r="W3795">
        <v>0.21880720000000001</v>
      </c>
      <c r="X3795">
        <v>0.96874990000000005</v>
      </c>
      <c r="Y3795">
        <v>-0.27135160000000003</v>
      </c>
      <c r="Z3795">
        <v>-3.6138210000000001E-3</v>
      </c>
      <c r="AA3795">
        <v>0.96247349999999998</v>
      </c>
      <c r="AB3795">
        <v>32</v>
      </c>
      <c r="AC3795">
        <v>-25.9801</v>
      </c>
      <c r="AD3795">
        <v>-0.74399979999999999</v>
      </c>
      <c r="AE3795">
        <v>-40.258470000000003</v>
      </c>
      <c r="AF3795">
        <v>-13.077022901123399</v>
      </c>
      <c r="AG3795">
        <v>-0.74399979999999999</v>
      </c>
      <c r="AH3795">
        <v>46.082478271705703</v>
      </c>
      <c r="AI3795">
        <v>90.889829342704004</v>
      </c>
      <c r="AJ3795">
        <v>105.842579104694</v>
      </c>
      <c r="AK3795">
        <v>47.907795475487397</v>
      </c>
      <c r="AL3795">
        <v>77.361015850163994</v>
      </c>
      <c r="AM3795">
        <v>96.876022822222794</v>
      </c>
      <c r="AN3795">
        <v>0.99999997100696902</v>
      </c>
    </row>
    <row r="3796" spans="1:40" x14ac:dyDescent="0.25">
      <c r="A3796" t="str">
        <f>"20190303170845015"</f>
        <v>20190303170845015</v>
      </c>
      <c r="B3796" t="str">
        <f>"1551604125006820"</f>
        <v>1551604125006820</v>
      </c>
      <c r="C3796" t="s">
        <v>40</v>
      </c>
      <c r="D3796">
        <v>4.5721800000000004</v>
      </c>
      <c r="E3796">
        <v>0.43851390000000001</v>
      </c>
      <c r="F3796" t="s">
        <v>76</v>
      </c>
      <c r="G3796">
        <v>-440.20710000000003</v>
      </c>
      <c r="H3796">
        <v>0.3894551</v>
      </c>
      <c r="I3796">
        <v>87.75515</v>
      </c>
      <c r="J3796">
        <v>-414.45819999999998</v>
      </c>
      <c r="K3796">
        <v>1.133062</v>
      </c>
      <c r="L3796">
        <v>128.6498</v>
      </c>
      <c r="M3796">
        <v>-0.7413651</v>
      </c>
      <c r="N3796">
        <v>-1.5986130000000001E-2</v>
      </c>
      <c r="O3796">
        <v>-0.67091140000000005</v>
      </c>
      <c r="P3796">
        <v>-0.64613310000000002</v>
      </c>
      <c r="Q3796">
        <v>0.20841519999999999</v>
      </c>
      <c r="R3796">
        <v>-0.73421729999999996</v>
      </c>
      <c r="S3796">
        <v>-1.668121</v>
      </c>
      <c r="T3796">
        <v>-4.7739150000000001E-2</v>
      </c>
      <c r="U3796">
        <v>-2.6399379999999999</v>
      </c>
      <c r="V3796">
        <v>-0.11734310000000001</v>
      </c>
      <c r="W3796">
        <v>0.22058420000000001</v>
      </c>
      <c r="X3796">
        <v>0.96828369999999997</v>
      </c>
      <c r="Y3796">
        <v>-0.26831159999999998</v>
      </c>
      <c r="Z3796">
        <v>-3.6392870000000002E-3</v>
      </c>
      <c r="AA3796">
        <v>0.96332530000000005</v>
      </c>
      <c r="AB3796">
        <v>32</v>
      </c>
      <c r="AC3796">
        <v>-25.748899999999999</v>
      </c>
      <c r="AD3796">
        <v>-0.74360689999999996</v>
      </c>
      <c r="AE3796">
        <v>-40.894649999999999</v>
      </c>
      <c r="AF3796">
        <v>-13.0412156523262</v>
      </c>
      <c r="AG3796">
        <v>-0.74360689999999996</v>
      </c>
      <c r="AH3796">
        <v>46.520956937105503</v>
      </c>
      <c r="AI3796">
        <v>90.881771292019394</v>
      </c>
      <c r="AJ3796">
        <v>105.65977317053</v>
      </c>
      <c r="AK3796">
        <v>48.320034056861203</v>
      </c>
      <c r="AL3796">
        <v>77.256652574270305</v>
      </c>
      <c r="AM3796">
        <v>96.909791311047201</v>
      </c>
      <c r="AN3796">
        <v>1.0000000580464601</v>
      </c>
    </row>
    <row r="3797" spans="1:40" x14ac:dyDescent="0.25">
      <c r="A3797" t="str">
        <f>"20190303170845055"</f>
        <v>20190303170845055</v>
      </c>
      <c r="B3797" t="str">
        <f>"1551604125046836"</f>
        <v>1551604125046836</v>
      </c>
      <c r="C3797" t="s">
        <v>40</v>
      </c>
      <c r="D3797">
        <v>4.4606589999999997</v>
      </c>
      <c r="E3797">
        <v>0.3862198</v>
      </c>
      <c r="F3797" t="s">
        <v>77</v>
      </c>
      <c r="G3797">
        <v>-453.68380000000002</v>
      </c>
      <c r="H3797">
        <v>0.14484129999999901</v>
      </c>
      <c r="I3797">
        <v>64.450009999999907</v>
      </c>
      <c r="J3797">
        <v>-414.85520000000002</v>
      </c>
      <c r="K3797">
        <v>1.1331279999999999</v>
      </c>
      <c r="L3797">
        <v>128.25460000000001</v>
      </c>
      <c r="M3797">
        <v>-0.72417969999999998</v>
      </c>
      <c r="N3797">
        <v>-1.6020389999999999E-2</v>
      </c>
      <c r="O3797">
        <v>-0.68942539999999997</v>
      </c>
      <c r="P3797">
        <v>-0.62307009999999996</v>
      </c>
      <c r="Q3797">
        <v>0.20576849999999999</v>
      </c>
      <c r="R3797">
        <v>-0.75461449999999997</v>
      </c>
      <c r="S3797">
        <v>-1.628174</v>
      </c>
      <c r="T3797">
        <v>-4.101813E-2</v>
      </c>
      <c r="U3797">
        <v>-2.6647949999999998</v>
      </c>
      <c r="V3797">
        <v>-0.1233949</v>
      </c>
      <c r="W3797">
        <v>0.21776899999999999</v>
      </c>
      <c r="X3797">
        <v>0.96816860000000005</v>
      </c>
      <c r="Y3797">
        <v>-0.25848579999999999</v>
      </c>
      <c r="Z3797">
        <v>-4.7671010000000002E-3</v>
      </c>
      <c r="AA3797">
        <v>0.96600330000000001</v>
      </c>
      <c r="AB3797">
        <v>32</v>
      </c>
      <c r="AC3797">
        <v>-38.828600000000002</v>
      </c>
      <c r="AD3797">
        <v>-0.98828669999999996</v>
      </c>
      <c r="AE3797">
        <v>-63.804589999999997</v>
      </c>
      <c r="AF3797">
        <v>-19.435655035840298</v>
      </c>
      <c r="AG3797">
        <v>-0.98828669999999996</v>
      </c>
      <c r="AH3797">
        <v>72.104010207739904</v>
      </c>
      <c r="AI3797">
        <v>90.758211393086796</v>
      </c>
      <c r="AJ3797">
        <v>105.08555531524701</v>
      </c>
      <c r="AK3797">
        <v>74.684065805976502</v>
      </c>
      <c r="AL3797">
        <v>77.421971149236001</v>
      </c>
      <c r="AM3797">
        <v>97.2632949813447</v>
      </c>
      <c r="AN3797">
        <v>1.00000003836648</v>
      </c>
    </row>
    <row r="3798" spans="1:40" x14ac:dyDescent="0.25">
      <c r="A3798" t="str">
        <f>"20190303170845079"</f>
        <v>20190303170845079</v>
      </c>
      <c r="B3798" t="str">
        <f>"1551604125067332"</f>
        <v>1551604125067332</v>
      </c>
      <c r="C3798" t="s">
        <v>40</v>
      </c>
      <c r="D3798">
        <v>4.4412390000000004</v>
      </c>
      <c r="E3798">
        <v>0.37842199999999998</v>
      </c>
      <c r="F3798" t="s">
        <v>77</v>
      </c>
      <c r="G3798">
        <v>-441.4599</v>
      </c>
      <c r="H3798">
        <v>3.7481840000000002</v>
      </c>
      <c r="I3798">
        <v>63.411389999999997</v>
      </c>
      <c r="J3798">
        <v>-415.08089999999999</v>
      </c>
      <c r="K3798">
        <v>1.1331370000000001</v>
      </c>
      <c r="L3798">
        <v>128.0206</v>
      </c>
      <c r="M3798">
        <v>-0.71394780000000002</v>
      </c>
      <c r="N3798">
        <v>-1.6035560000000001E-2</v>
      </c>
      <c r="O3798">
        <v>-0.70001530000000001</v>
      </c>
      <c r="P3798">
        <v>-0.60950629999999995</v>
      </c>
      <c r="Q3798">
        <v>0.2040768</v>
      </c>
      <c r="R3798">
        <v>-0.76606419999999997</v>
      </c>
      <c r="S3798">
        <v>-1.2084349999999999</v>
      </c>
      <c r="T3798">
        <v>0.11878130000000001</v>
      </c>
      <c r="U3798">
        <v>-2.9452970000000001</v>
      </c>
      <c r="V3798">
        <v>-0.1267086</v>
      </c>
      <c r="W3798">
        <v>0.2159857</v>
      </c>
      <c r="X3798">
        <v>0.96814</v>
      </c>
      <c r="Y3798">
        <v>-0.39522160000000001</v>
      </c>
      <c r="Z3798">
        <v>-3.4196259999999999E-2</v>
      </c>
      <c r="AA3798">
        <v>0.91794909999999996</v>
      </c>
      <c r="AB3798">
        <v>32</v>
      </c>
      <c r="AC3798">
        <v>-26.379000000000001</v>
      </c>
      <c r="AD3798">
        <v>2.6150470000000001</v>
      </c>
      <c r="AE3798">
        <v>-64.609209999999905</v>
      </c>
      <c r="AF3798">
        <v>-27.6266647697507</v>
      </c>
      <c r="AG3798">
        <v>2.6150470000000001</v>
      </c>
      <c r="AH3798">
        <v>63.979065815956901</v>
      </c>
      <c r="AI3798">
        <v>87.851010338688198</v>
      </c>
      <c r="AJ3798">
        <v>113.355067367926</v>
      </c>
      <c r="AK3798">
        <v>69.738023629831602</v>
      </c>
      <c r="AL3798">
        <v>77.526637119802999</v>
      </c>
      <c r="AM3798">
        <v>97.456397928935502</v>
      </c>
      <c r="AN3798">
        <v>0.99999997575922395</v>
      </c>
    </row>
    <row r="3799" spans="1:40" x14ac:dyDescent="0.25">
      <c r="A3799" t="str">
        <f>"20190303170845102"</f>
        <v>20190303170845102</v>
      </c>
      <c r="B3799" t="str">
        <f>"1551604125086852"</f>
        <v>1551604125086852</v>
      </c>
      <c r="C3799" t="s">
        <v>40</v>
      </c>
      <c r="D3799">
        <v>4.4960300000000002</v>
      </c>
      <c r="E3799">
        <v>0.3750288</v>
      </c>
      <c r="F3799" t="s">
        <v>41</v>
      </c>
      <c r="G3799">
        <v>-434.13679999999999</v>
      </c>
      <c r="H3799">
        <v>3.6102599999999998</v>
      </c>
      <c r="I3799">
        <v>76.303290000000004</v>
      </c>
      <c r="J3799">
        <v>-415.30520000000001</v>
      </c>
      <c r="K3799">
        <v>1.1331530000000001</v>
      </c>
      <c r="L3799">
        <v>127.7812</v>
      </c>
      <c r="M3799">
        <v>-0.7034473</v>
      </c>
      <c r="N3799">
        <v>-1.604792E-2</v>
      </c>
      <c r="O3799">
        <v>-0.71056640000000004</v>
      </c>
      <c r="P3799">
        <v>-0.59683469999999905</v>
      </c>
      <c r="Q3799">
        <v>0.20479249999999999</v>
      </c>
      <c r="R3799">
        <v>-0.77578910000000001</v>
      </c>
      <c r="S3799">
        <v>-1.104919</v>
      </c>
      <c r="T3799">
        <v>0.1436315</v>
      </c>
      <c r="U3799">
        <v>-2.9987339999999998</v>
      </c>
      <c r="V3799">
        <v>-0.1281079</v>
      </c>
      <c r="W3799">
        <v>0.21666260000000001</v>
      </c>
      <c r="X3799">
        <v>0.96780460000000001</v>
      </c>
      <c r="Y3799">
        <v>-0.41489090000000001</v>
      </c>
      <c r="Z3799">
        <v>-3.8892309999999999E-2</v>
      </c>
      <c r="AA3799">
        <v>0.90903959999999995</v>
      </c>
      <c r="AB3799">
        <v>32</v>
      </c>
      <c r="AC3799">
        <v>-18.831599999999899</v>
      </c>
      <c r="AD3799">
        <v>2.4771070000000002</v>
      </c>
      <c r="AE3799">
        <v>-51.477910000000001</v>
      </c>
      <c r="AF3799">
        <v>-22.787295557603201</v>
      </c>
      <c r="AG3799">
        <v>2.4771070000000002</v>
      </c>
      <c r="AH3799">
        <v>49.730362063206599</v>
      </c>
      <c r="AI3799">
        <v>87.407234827556593</v>
      </c>
      <c r="AJ3799">
        <v>114.61805458511201</v>
      </c>
      <c r="AK3799">
        <v>54.758614015117601</v>
      </c>
      <c r="AL3799">
        <v>77.486913691225993</v>
      </c>
      <c r="AM3799">
        <v>97.540382733015605</v>
      </c>
      <c r="AN3799">
        <v>1.00000003003116</v>
      </c>
    </row>
    <row r="3800" spans="1:40" x14ac:dyDescent="0.25">
      <c r="A3800" t="str">
        <f>"20190303170845144"</f>
        <v>20190303170845144</v>
      </c>
      <c r="B3800" t="str">
        <f>"1551604125137238"</f>
        <v>1551604125137238</v>
      </c>
      <c r="C3800" t="s">
        <v>40</v>
      </c>
      <c r="D3800">
        <v>4.5373479999999997</v>
      </c>
      <c r="E3800">
        <v>0.37241540000000001</v>
      </c>
      <c r="F3800" t="s">
        <v>77</v>
      </c>
      <c r="G3800">
        <v>-442.32690000000002</v>
      </c>
      <c r="H3800">
        <v>5.2665490000000004</v>
      </c>
      <c r="I3800">
        <v>48.572209999999998</v>
      </c>
      <c r="J3800">
        <v>-415.69619999999998</v>
      </c>
      <c r="K3800">
        <v>1.133168</v>
      </c>
      <c r="L3800">
        <v>127.3459</v>
      </c>
      <c r="M3800">
        <v>-0.68429890000000004</v>
      </c>
      <c r="N3800">
        <v>-1.606308E-2</v>
      </c>
      <c r="O3800">
        <v>-0.72902509999999998</v>
      </c>
      <c r="P3800">
        <v>-0.57392369999999904</v>
      </c>
      <c r="Q3800">
        <v>0.206569</v>
      </c>
      <c r="R3800">
        <v>-0.79242760000000001</v>
      </c>
      <c r="S3800">
        <v>-1.0336909999999999</v>
      </c>
      <c r="T3800">
        <v>0.15811939999999999</v>
      </c>
      <c r="U3800">
        <v>-3.0300600000000002</v>
      </c>
      <c r="V3800">
        <v>-0.13037969999999999</v>
      </c>
      <c r="W3800">
        <v>0.21837490000000001</v>
      </c>
      <c r="X3800">
        <v>0.96711610000000003</v>
      </c>
      <c r="Y3800">
        <v>-0.41280670000000003</v>
      </c>
      <c r="Z3800">
        <v>-4.2747899999999998E-2</v>
      </c>
      <c r="AA3800">
        <v>0.90981500000000004</v>
      </c>
      <c r="AB3800">
        <v>32</v>
      </c>
      <c r="AC3800">
        <v>-26.630700000000001</v>
      </c>
      <c r="AD3800">
        <v>4.133381</v>
      </c>
      <c r="AE3800">
        <v>-78.773690000000002</v>
      </c>
      <c r="AF3800">
        <v>-34.409718649343397</v>
      </c>
      <c r="AG3800">
        <v>4.133381</v>
      </c>
      <c r="AH3800">
        <v>75.474606536037498</v>
      </c>
      <c r="AI3800">
        <v>87.147269608224406</v>
      </c>
      <c r="AJ3800">
        <v>114.508773767844</v>
      </c>
      <c r="AK3800">
        <v>83.051368488350704</v>
      </c>
      <c r="AL3800">
        <v>77.386399121869104</v>
      </c>
      <c r="AM3800">
        <v>97.677917826932998</v>
      </c>
      <c r="AN3800">
        <v>1.0000000070006501</v>
      </c>
    </row>
    <row r="3801" spans="1:40" x14ac:dyDescent="0.25">
      <c r="A3801" t="str">
        <f>"20190303170845166"</f>
        <v>20190303170845166</v>
      </c>
      <c r="B3801" t="str">
        <f>"1551604125156757"</f>
        <v>1551604125156757</v>
      </c>
      <c r="C3801" t="s">
        <v>40</v>
      </c>
      <c r="D3801">
        <v>4.538964</v>
      </c>
      <c r="E3801">
        <v>0.37292950000000002</v>
      </c>
      <c r="F3801" t="s">
        <v>77</v>
      </c>
      <c r="G3801">
        <v>-440.57569999999998</v>
      </c>
      <c r="H3801">
        <v>5.8913039999999999</v>
      </c>
      <c r="I3801">
        <v>45.179070000000003</v>
      </c>
      <c r="J3801">
        <v>-415.904</v>
      </c>
      <c r="K3801">
        <v>1.1331659999999999</v>
      </c>
      <c r="L3801">
        <v>127.1049</v>
      </c>
      <c r="M3801">
        <v>-0.67366839999999995</v>
      </c>
      <c r="N3801">
        <v>-1.6068470000000001E-2</v>
      </c>
      <c r="O3801">
        <v>-0.73885919999999905</v>
      </c>
      <c r="P3801">
        <v>-0.56036779999999997</v>
      </c>
      <c r="Q3801">
        <v>0.2064269</v>
      </c>
      <c r="R3801">
        <v>-0.80210709999999996</v>
      </c>
      <c r="S3801">
        <v>-0.92864990000000003</v>
      </c>
      <c r="T3801">
        <v>0.1776015</v>
      </c>
      <c r="U3801">
        <v>-3.0669400000000002</v>
      </c>
      <c r="V3801">
        <v>-0.1328414</v>
      </c>
      <c r="W3801">
        <v>0.21816179999999999</v>
      </c>
      <c r="X3801">
        <v>0.96682920000000006</v>
      </c>
      <c r="Y3801">
        <v>-0.43121930000000003</v>
      </c>
      <c r="Z3801">
        <v>-4.675443E-2</v>
      </c>
      <c r="AA3801">
        <v>0.90103500000000003</v>
      </c>
      <c r="AB3801">
        <v>32</v>
      </c>
      <c r="AC3801">
        <v>-24.671699999999898</v>
      </c>
      <c r="AD3801">
        <v>4.7581379999999998</v>
      </c>
      <c r="AE3801">
        <v>-81.925829999999905</v>
      </c>
      <c r="AF3801">
        <v>-36.852726019963796</v>
      </c>
      <c r="AG3801">
        <v>4.7581379999999998</v>
      </c>
      <c r="AH3801">
        <v>76.924251192950607</v>
      </c>
      <c r="AI3801">
        <v>86.807143145217793</v>
      </c>
      <c r="AJ3801">
        <v>115.59806162237599</v>
      </c>
      <c r="AK3801">
        <v>85.428939557539493</v>
      </c>
      <c r="AL3801">
        <v>77.398911135352193</v>
      </c>
      <c r="AM3801">
        <v>97.823398958037501</v>
      </c>
      <c r="AN3801">
        <v>1.00000005525291</v>
      </c>
    </row>
    <row r="3802" spans="1:40" x14ac:dyDescent="0.25">
      <c r="A3802" t="str">
        <f>"20190303170845211"</f>
        <v>20190303170845211</v>
      </c>
      <c r="B3802" t="str">
        <f>"1551604125197062"</f>
        <v>1551604125197062</v>
      </c>
      <c r="C3802" t="s">
        <v>40</v>
      </c>
      <c r="D3802">
        <v>4.610271</v>
      </c>
      <c r="E3802">
        <v>0.37460779999999999</v>
      </c>
      <c r="F3802" t="s">
        <v>77</v>
      </c>
      <c r="G3802">
        <v>-440.57569999999998</v>
      </c>
      <c r="H3802">
        <v>5.9407059999999996</v>
      </c>
      <c r="I3802">
        <v>40.851059999999997</v>
      </c>
      <c r="J3802">
        <v>-416.2944</v>
      </c>
      <c r="K3802">
        <v>1.1331560000000001</v>
      </c>
      <c r="L3802">
        <v>126.6317</v>
      </c>
      <c r="M3802">
        <v>-0.65276789999999996</v>
      </c>
      <c r="N3802">
        <v>-1.6073850000000001E-2</v>
      </c>
      <c r="O3802">
        <v>-0.75738749999999999</v>
      </c>
      <c r="P3802">
        <v>-0.53396359999999998</v>
      </c>
      <c r="Q3802">
        <v>0.20958209999999999</v>
      </c>
      <c r="R3802">
        <v>-0.81912079999999998</v>
      </c>
      <c r="S3802">
        <v>-0.88110350000000004</v>
      </c>
      <c r="T3802">
        <v>0.17169189999999901</v>
      </c>
      <c r="U3802">
        <v>-3.0803829999999999</v>
      </c>
      <c r="V3802">
        <v>-0.13687369999999999</v>
      </c>
      <c r="W3802">
        <v>0.22119340000000001</v>
      </c>
      <c r="X3802">
        <v>0.96557709999999997</v>
      </c>
      <c r="Y3802">
        <v>-0.4198655</v>
      </c>
      <c r="Z3802">
        <v>-4.7315410000000002E-2</v>
      </c>
      <c r="AA3802">
        <v>0.90635209999999999</v>
      </c>
      <c r="AB3802">
        <v>32</v>
      </c>
      <c r="AC3802">
        <v>-24.281299999999899</v>
      </c>
      <c r="AD3802">
        <v>4.8075499999999902</v>
      </c>
      <c r="AE3802">
        <v>-85.780640000000005</v>
      </c>
      <c r="AF3802">
        <v>-37.500300545560698</v>
      </c>
      <c r="AG3802">
        <v>4.8075499999999902</v>
      </c>
      <c r="AH3802">
        <v>80.595303639087206</v>
      </c>
      <c r="AI3802">
        <v>86.904302921471199</v>
      </c>
      <c r="AJ3802">
        <v>114.95215318752</v>
      </c>
      <c r="AK3802">
        <v>89.022401937301893</v>
      </c>
      <c r="AL3802">
        <v>77.220863647101496</v>
      </c>
      <c r="AM3802">
        <v>98.068109826337206</v>
      </c>
      <c r="AN3802">
        <v>1.00000003299982</v>
      </c>
    </row>
    <row r="3803" spans="1:40" x14ac:dyDescent="0.25">
      <c r="A3803" t="str">
        <f>"20190303170845239"</f>
        <v>20190303170845239</v>
      </c>
      <c r="B3803" t="str">
        <f>"1551604125227300"</f>
        <v>1551604125227300</v>
      </c>
      <c r="C3803" t="s">
        <v>40</v>
      </c>
      <c r="D3803">
        <v>4.6172570000000004</v>
      </c>
      <c r="E3803">
        <v>0.37619419999999998</v>
      </c>
      <c r="F3803" t="s">
        <v>77</v>
      </c>
      <c r="G3803">
        <v>-440.57580000000002</v>
      </c>
      <c r="H3803">
        <v>6.3559140000000003</v>
      </c>
      <c r="I3803">
        <v>31.8461</v>
      </c>
      <c r="J3803">
        <v>-416.53899999999999</v>
      </c>
      <c r="K3803">
        <v>1.133135</v>
      </c>
      <c r="L3803">
        <v>126.3203</v>
      </c>
      <c r="M3803">
        <v>-0.63901629999999998</v>
      </c>
      <c r="N3803">
        <v>-1.6072989999999999E-2</v>
      </c>
      <c r="O3803">
        <v>-0.76902530000000002</v>
      </c>
      <c r="P3803">
        <v>-0.51736689999999996</v>
      </c>
      <c r="Q3803">
        <v>0.21191889999999999</v>
      </c>
      <c r="R3803">
        <v>-0.82910910000000004</v>
      </c>
      <c r="S3803">
        <v>-0.79437259999999998</v>
      </c>
      <c r="T3803">
        <v>0.1708634</v>
      </c>
      <c r="U3803">
        <v>-3.1009220000000002</v>
      </c>
      <c r="V3803">
        <v>-0.13859179999999999</v>
      </c>
      <c r="W3803">
        <v>0.22347839999999999</v>
      </c>
      <c r="X3803">
        <v>0.96480549999999998</v>
      </c>
      <c r="Y3803">
        <v>-0.4287087</v>
      </c>
      <c r="Z3803">
        <v>-4.7983190000000002E-2</v>
      </c>
      <c r="AA3803">
        <v>0.90216759999999996</v>
      </c>
      <c r="AB3803">
        <v>32</v>
      </c>
      <c r="AC3803">
        <v>-24.036799999999999</v>
      </c>
      <c r="AD3803">
        <v>5.2227790000000001</v>
      </c>
      <c r="AE3803">
        <v>-94.474199999999996</v>
      </c>
      <c r="AF3803">
        <v>-41.771157884138802</v>
      </c>
      <c r="AG3803">
        <v>5.2227790000000001</v>
      </c>
      <c r="AH3803">
        <v>87.772385976940996</v>
      </c>
      <c r="AI3803">
        <v>86.924483450096403</v>
      </c>
      <c r="AJ3803">
        <v>115.44992552888699</v>
      </c>
      <c r="AK3803">
        <v>97.345255619108698</v>
      </c>
      <c r="AL3803">
        <v>77.086580841058705</v>
      </c>
      <c r="AM3803">
        <v>98.174470175660304</v>
      </c>
      <c r="AN3803">
        <v>0.99999996756202403</v>
      </c>
    </row>
    <row r="3804" spans="1:40" x14ac:dyDescent="0.25">
      <c r="A3804" t="str">
        <f>"20190303170845263"</f>
        <v>20190303170845263</v>
      </c>
      <c r="B3804" t="str">
        <f>"1551604125257555"</f>
        <v>1551604125257555</v>
      </c>
      <c r="C3804" t="s">
        <v>40</v>
      </c>
      <c r="D3804">
        <v>4.6689420000000004</v>
      </c>
      <c r="E3804">
        <v>0.39205909999999999</v>
      </c>
      <c r="F3804" t="s">
        <v>77</v>
      </c>
      <c r="G3804">
        <v>-440.57589999999999</v>
      </c>
      <c r="H3804">
        <v>6.7097499999999997</v>
      </c>
      <c r="I3804">
        <v>25.73629</v>
      </c>
      <c r="J3804">
        <v>-416.73869999999999</v>
      </c>
      <c r="K3804">
        <v>1.133105</v>
      </c>
      <c r="L3804">
        <v>126.0577</v>
      </c>
      <c r="M3804">
        <v>-0.62741369999999996</v>
      </c>
      <c r="N3804">
        <v>-1.607053E-2</v>
      </c>
      <c r="O3804">
        <v>-0.77852049999999995</v>
      </c>
      <c r="P3804">
        <v>-0.50334440000000003</v>
      </c>
      <c r="Q3804">
        <v>0.21200620000000001</v>
      </c>
      <c r="R3804">
        <v>-0.83767429999999998</v>
      </c>
      <c r="S3804">
        <v>-0.74331669999999905</v>
      </c>
      <c r="T3804">
        <v>0.17245050000000001</v>
      </c>
      <c r="U3804">
        <v>-3.1104430000000001</v>
      </c>
      <c r="V3804">
        <v>-0.14033289999999901</v>
      </c>
      <c r="W3804">
        <v>0.2235193</v>
      </c>
      <c r="X3804">
        <v>0.96454439999999997</v>
      </c>
      <c r="Y3804">
        <v>-0.42979200000000001</v>
      </c>
      <c r="Z3804">
        <v>-4.9068239999999999E-2</v>
      </c>
      <c r="AA3804">
        <v>0.90159370000000005</v>
      </c>
      <c r="AB3804">
        <v>32</v>
      </c>
      <c r="AC3804">
        <v>-23.837199999999999</v>
      </c>
      <c r="AD3804">
        <v>5.5766449999999903</v>
      </c>
      <c r="AE3804">
        <v>-100.32141</v>
      </c>
      <c r="AF3804">
        <v>-44.261543045345803</v>
      </c>
      <c r="AG3804">
        <v>5.5766449999999903</v>
      </c>
      <c r="AH3804">
        <v>92.798637369381197</v>
      </c>
      <c r="AI3804">
        <v>86.8953046557411</v>
      </c>
      <c r="AJ3804">
        <v>115.499428377908</v>
      </c>
      <c r="AK3804">
        <v>102.96489819266</v>
      </c>
      <c r="AL3804">
        <v>77.084177709348893</v>
      </c>
      <c r="AM3804">
        <v>98.277959796928997</v>
      </c>
      <c r="AN3804">
        <v>1.0000000499331201</v>
      </c>
    </row>
    <row r="3805" spans="1:40" x14ac:dyDescent="0.25">
      <c r="A3805" t="str">
        <f>"20190303170845282"</f>
        <v>20190303170845282</v>
      </c>
      <c r="B3805" t="str">
        <f>"1551604125277075"</f>
        <v>1551604125277075</v>
      </c>
      <c r="C3805" t="s">
        <v>40</v>
      </c>
      <c r="D3805">
        <v>4.7043489999999997</v>
      </c>
      <c r="E3805">
        <v>0.39311590000000002</v>
      </c>
      <c r="F3805" t="s">
        <v>77</v>
      </c>
      <c r="G3805">
        <v>-442.32659999999998</v>
      </c>
      <c r="H3805">
        <v>4.4203729999999997</v>
      </c>
      <c r="I3805">
        <v>28.32338</v>
      </c>
      <c r="J3805">
        <v>-416.90030000000002</v>
      </c>
      <c r="K3805">
        <v>1.133062</v>
      </c>
      <c r="L3805">
        <v>125.839</v>
      </c>
      <c r="M3805">
        <v>-0.61777139999999997</v>
      </c>
      <c r="N3805">
        <v>-1.6066399999999901E-2</v>
      </c>
      <c r="O3805">
        <v>-0.78619380000000005</v>
      </c>
      <c r="P3805">
        <v>-0.49030289999999999</v>
      </c>
      <c r="Q3805">
        <v>0.2114058</v>
      </c>
      <c r="R3805">
        <v>-0.84552399999999905</v>
      </c>
      <c r="S3805">
        <v>-0.80426030000000004</v>
      </c>
      <c r="T3805">
        <v>0.1033227</v>
      </c>
      <c r="U3805">
        <v>-3.0718990000000002</v>
      </c>
      <c r="V3805">
        <v>-0.1434539</v>
      </c>
      <c r="W3805">
        <v>0.22283330000000001</v>
      </c>
      <c r="X3805">
        <v>0.96424390000000004</v>
      </c>
      <c r="Y3805">
        <v>-0.39881240000000001</v>
      </c>
      <c r="Z3805">
        <v>-3.6080269999999998E-2</v>
      </c>
      <c r="AA3805">
        <v>0.91632250000000004</v>
      </c>
      <c r="AB3805">
        <v>32</v>
      </c>
      <c r="AC3805">
        <v>-25.426299999999902</v>
      </c>
      <c r="AD3805">
        <v>3.2873109999999999</v>
      </c>
      <c r="AE3805">
        <v>-97.515619999999998</v>
      </c>
      <c r="AF3805">
        <v>-40.2147602509338</v>
      </c>
      <c r="AG3805">
        <v>3.2873109999999999</v>
      </c>
      <c r="AH3805">
        <v>92.287526533565398</v>
      </c>
      <c r="AI3805">
        <v>88.129687899827601</v>
      </c>
      <c r="AJ3805">
        <v>113.545410151947</v>
      </c>
      <c r="AK3805">
        <v>100.722494554763</v>
      </c>
      <c r="AL3805">
        <v>77.124498952053401</v>
      </c>
      <c r="AM3805">
        <v>98.462024039963595</v>
      </c>
      <c r="AN3805">
        <v>0.99999999985065502</v>
      </c>
    </row>
    <row r="3806" spans="1:40" x14ac:dyDescent="0.25">
      <c r="A3806" t="str">
        <f>"20190303170845306"</f>
        <v>20190303170845306</v>
      </c>
      <c r="B3806" t="str">
        <f>"1551604125297122"</f>
        <v>1551604125297122</v>
      </c>
      <c r="C3806" t="s">
        <v>40</v>
      </c>
      <c r="D3806">
        <v>4.7234930000000004</v>
      </c>
      <c r="E3806">
        <v>0.39418340000000002</v>
      </c>
      <c r="F3806" t="s">
        <v>77</v>
      </c>
      <c r="G3806">
        <v>-442.32659999999998</v>
      </c>
      <c r="H3806">
        <v>4.2907159999999998</v>
      </c>
      <c r="I3806">
        <v>23.46921</v>
      </c>
      <c r="J3806">
        <v>-417.08330000000001</v>
      </c>
      <c r="K3806">
        <v>1.133</v>
      </c>
      <c r="L3806">
        <v>125.58450000000001</v>
      </c>
      <c r="M3806">
        <v>-0.60659160000000001</v>
      </c>
      <c r="N3806">
        <v>-1.6057689999999999E-2</v>
      </c>
      <c r="O3806">
        <v>-0.79485150000000004</v>
      </c>
      <c r="P3806">
        <v>-0.47602709999999998</v>
      </c>
      <c r="Q3806">
        <v>0.2126083</v>
      </c>
      <c r="R3806">
        <v>-0.85334429999999994</v>
      </c>
      <c r="S3806">
        <v>-0.76516719999999905</v>
      </c>
      <c r="T3806">
        <v>9.5024819999999996E-2</v>
      </c>
      <c r="U3806">
        <v>-3.0806580000000001</v>
      </c>
      <c r="V3806">
        <v>-0.145843</v>
      </c>
      <c r="W3806">
        <v>0.223971</v>
      </c>
      <c r="X3806">
        <v>0.96362170000000003</v>
      </c>
      <c r="Y3806">
        <v>-0.39737689999999998</v>
      </c>
      <c r="Z3806">
        <v>-3.4801319999999997E-2</v>
      </c>
      <c r="AA3806">
        <v>0.91699529999999996</v>
      </c>
      <c r="AB3806">
        <v>31</v>
      </c>
      <c r="AC3806">
        <v>-25.243299999999898</v>
      </c>
      <c r="AD3806">
        <v>3.1577160000000002</v>
      </c>
      <c r="AE3806">
        <v>-102.11529</v>
      </c>
      <c r="AF3806">
        <v>-41.845290238561297</v>
      </c>
      <c r="AG3806">
        <v>3.1577160000000002</v>
      </c>
      <c r="AH3806">
        <v>96.404423734099097</v>
      </c>
      <c r="AI3806">
        <v>88.278982365694503</v>
      </c>
      <c r="AJ3806">
        <v>113.46372934572101</v>
      </c>
      <c r="AK3806">
        <v>105.14186797365601</v>
      </c>
      <c r="AL3806">
        <v>77.0576231553746</v>
      </c>
      <c r="AM3806">
        <v>98.606331312192296</v>
      </c>
      <c r="AN3806">
        <v>0.99999998510044397</v>
      </c>
    </row>
    <row r="3807" spans="1:40" x14ac:dyDescent="0.25">
      <c r="A3807" t="str">
        <f>"20190303170845344"</f>
        <v>20190303170845344</v>
      </c>
      <c r="B3807" t="str">
        <f>"1551604125337120"</f>
        <v>1551604125337120</v>
      </c>
      <c r="C3807" t="s">
        <v>40</v>
      </c>
      <c r="D3807">
        <v>4.7259140000000004</v>
      </c>
      <c r="E3807">
        <v>0.40320010000000001</v>
      </c>
      <c r="F3807" t="s">
        <v>77</v>
      </c>
      <c r="G3807">
        <v>-442.32659999999998</v>
      </c>
      <c r="H3807">
        <v>4.485913</v>
      </c>
      <c r="I3807">
        <v>17.417369999999998</v>
      </c>
      <c r="J3807">
        <v>-417.39030000000002</v>
      </c>
      <c r="K3807">
        <v>1.1328389999999999</v>
      </c>
      <c r="L3807">
        <v>125.1397</v>
      </c>
      <c r="M3807">
        <v>-0.58723099999999995</v>
      </c>
      <c r="N3807">
        <v>-1.6029999999999999E-2</v>
      </c>
      <c r="O3807">
        <v>-0.8092608</v>
      </c>
      <c r="P3807">
        <v>-0.45205980000000001</v>
      </c>
      <c r="Q3807">
        <v>0.21442800000000001</v>
      </c>
      <c r="R3807">
        <v>-0.86583099999999902</v>
      </c>
      <c r="S3807">
        <v>-0.72100830000000005</v>
      </c>
      <c r="T3807">
        <v>9.5766779999999996E-2</v>
      </c>
      <c r="U3807">
        <v>-3.089493</v>
      </c>
      <c r="V3807">
        <v>-0.14914720000000001</v>
      </c>
      <c r="W3807">
        <v>0.22571379999999999</v>
      </c>
      <c r="X3807">
        <v>0.96270889999999998</v>
      </c>
      <c r="Y3807">
        <v>-0.38821420000000001</v>
      </c>
      <c r="Z3807">
        <v>-3.5708549999999999E-2</v>
      </c>
      <c r="AA3807">
        <v>0.9208771</v>
      </c>
      <c r="AB3807">
        <v>31</v>
      </c>
      <c r="AC3807">
        <v>-24.9362999999999</v>
      </c>
      <c r="AD3807">
        <v>3.3530739999999999</v>
      </c>
      <c r="AE3807">
        <v>-107.72233</v>
      </c>
      <c r="AF3807">
        <v>-43.043868149064998</v>
      </c>
      <c r="AG3807">
        <v>3.3530739999999999</v>
      </c>
      <c r="AH3807">
        <v>101.738339000048</v>
      </c>
      <c r="AI3807">
        <v>88.261435187964807</v>
      </c>
      <c r="AJ3807">
        <v>112.93244661528</v>
      </c>
      <c r="AK3807">
        <v>110.520166996672</v>
      </c>
      <c r="AL3807">
        <v>76.955144508381693</v>
      </c>
      <c r="AM3807">
        <v>98.806508888045599</v>
      </c>
      <c r="AN3807">
        <v>1.0000000164587399</v>
      </c>
    </row>
    <row r="3808" spans="1:40" x14ac:dyDescent="0.25">
      <c r="A3808" t="str">
        <f>"20190303170845368"</f>
        <v>20190303170845368</v>
      </c>
      <c r="B3808" t="str">
        <f>"1551604125357616"</f>
        <v>1551604125357616</v>
      </c>
      <c r="C3808" t="s">
        <v>40</v>
      </c>
      <c r="D3808">
        <v>4.7478449999999999</v>
      </c>
      <c r="E3808">
        <v>0.40483239999999998</v>
      </c>
      <c r="F3808" t="s">
        <v>77</v>
      </c>
      <c r="G3808">
        <v>-442.32639999999998</v>
      </c>
      <c r="H3808">
        <v>3.8015650000000001</v>
      </c>
      <c r="I3808">
        <v>15.338240000000001</v>
      </c>
      <c r="J3808">
        <v>-417.56790000000001</v>
      </c>
      <c r="K3808">
        <v>1.132717</v>
      </c>
      <c r="L3808">
        <v>124.8719</v>
      </c>
      <c r="M3808">
        <v>-0.57568009999999903</v>
      </c>
      <c r="N3808">
        <v>-1.6007810000000001E-2</v>
      </c>
      <c r="O3808">
        <v>-0.81751839999999998</v>
      </c>
      <c r="P3808">
        <v>-0.43910959999999899</v>
      </c>
      <c r="Q3808">
        <v>0.21329419999999999</v>
      </c>
      <c r="R3808">
        <v>-0.87274779999999996</v>
      </c>
      <c r="S3808">
        <v>-0.69970699999999997</v>
      </c>
      <c r="T3808">
        <v>7.4884060000000002E-2</v>
      </c>
      <c r="U3808">
        <v>-3.0810089999999999</v>
      </c>
      <c r="V3808">
        <v>-0.1498833</v>
      </c>
      <c r="W3808">
        <v>0.2245817</v>
      </c>
      <c r="X3808">
        <v>0.96285929999999997</v>
      </c>
      <c r="Y3808">
        <v>-0.38053989999999999</v>
      </c>
      <c r="Z3808">
        <v>-3.1580919999999998E-2</v>
      </c>
      <c r="AA3808">
        <v>0.92422510000000002</v>
      </c>
      <c r="AB3808">
        <v>31</v>
      </c>
      <c r="AC3808">
        <v>-24.758499999999898</v>
      </c>
      <c r="AD3808">
        <v>2.6688480000000001</v>
      </c>
      <c r="AE3808">
        <v>-109.53366</v>
      </c>
      <c r="AF3808">
        <v>-42.797129633410997</v>
      </c>
      <c r="AG3808">
        <v>2.6688480000000001</v>
      </c>
      <c r="AH3808">
        <v>103.75344934637</v>
      </c>
      <c r="AI3808">
        <v>88.637796834702499</v>
      </c>
      <c r="AJ3808">
        <v>112.41559615988101</v>
      </c>
      <c r="AK3808">
        <v>112.26528985298999</v>
      </c>
      <c r="AL3808">
        <v>77.021717990706506</v>
      </c>
      <c r="AM3808">
        <v>98.847925803344296</v>
      </c>
      <c r="AN3808">
        <v>0.99999998759513398</v>
      </c>
    </row>
    <row r="3809" spans="1:40" x14ac:dyDescent="0.25">
      <c r="A3809" t="str">
        <f>"20190303170845391"</f>
        <v>20190303170845391</v>
      </c>
      <c r="B3809" t="str">
        <f>"1551604125386895"</f>
        <v>1551604125386895</v>
      </c>
      <c r="C3809" t="s">
        <v>40</v>
      </c>
      <c r="D3809">
        <v>4.7798470000000002</v>
      </c>
      <c r="E3809">
        <v>0.41361399999999998</v>
      </c>
      <c r="F3809" t="s">
        <v>77</v>
      </c>
      <c r="G3809">
        <v>-442.32639999999998</v>
      </c>
      <c r="H3809">
        <v>3.629292</v>
      </c>
      <c r="I3809">
        <v>10.12058</v>
      </c>
      <c r="J3809">
        <v>-417.7346</v>
      </c>
      <c r="K3809">
        <v>1.1325799999999999</v>
      </c>
      <c r="L3809">
        <v>124.6126</v>
      </c>
      <c r="M3809">
        <v>-0.56462080000000003</v>
      </c>
      <c r="N3809">
        <v>-1.5984040000000001E-2</v>
      </c>
      <c r="O3809">
        <v>-0.82519569999999998</v>
      </c>
      <c r="P3809">
        <v>-0.42715579999999997</v>
      </c>
      <c r="Q3809">
        <v>0.21195459999999999</v>
      </c>
      <c r="R3809">
        <v>-0.87898449999999995</v>
      </c>
      <c r="S3809">
        <v>-0.66583249999999905</v>
      </c>
      <c r="T3809">
        <v>6.7140580000000005E-2</v>
      </c>
      <c r="U3809">
        <v>-3.086014</v>
      </c>
      <c r="V3809">
        <v>-0.150135299999999</v>
      </c>
      <c r="W3809">
        <v>0.2232614</v>
      </c>
      <c r="X3809">
        <v>0.96312710000000001</v>
      </c>
      <c r="Y3809">
        <v>-0.37806200000000001</v>
      </c>
      <c r="Z3809">
        <v>-3.0149169999999999E-2</v>
      </c>
      <c r="AA3809">
        <v>0.92528920000000003</v>
      </c>
      <c r="AB3809">
        <v>31</v>
      </c>
      <c r="AC3809">
        <v>-24.5917999999999</v>
      </c>
      <c r="AD3809">
        <v>2.496712</v>
      </c>
      <c r="AE3809">
        <v>-114.49202</v>
      </c>
      <c r="AF3809">
        <v>-44.337039089863403</v>
      </c>
      <c r="AG3809">
        <v>2.496712</v>
      </c>
      <c r="AH3809">
        <v>108.32796310111399</v>
      </c>
      <c r="AI3809">
        <v>88.778049753185599</v>
      </c>
      <c r="AJ3809">
        <v>112.25856232707299</v>
      </c>
      <c r="AK3809">
        <v>117.076702190074</v>
      </c>
      <c r="AL3809">
        <v>77.099337205216202</v>
      </c>
      <c r="AM3809">
        <v>98.860140776545194</v>
      </c>
      <c r="AN3809">
        <v>1.0000000358952199</v>
      </c>
    </row>
    <row r="3810" spans="1:40" x14ac:dyDescent="0.25">
      <c r="A3810" t="str">
        <f>"20190303170845414"</f>
        <v>20190303170845414</v>
      </c>
      <c r="B3810" t="str">
        <f>"1551604125407392"</f>
        <v>1551604125407392</v>
      </c>
      <c r="C3810" t="s">
        <v>40</v>
      </c>
      <c r="D3810">
        <v>4.7726850000000001</v>
      </c>
      <c r="E3810">
        <v>0.41463410000000001</v>
      </c>
      <c r="F3810" t="s">
        <v>77</v>
      </c>
      <c r="G3810">
        <v>-442.32600000000002</v>
      </c>
      <c r="H3810">
        <v>2.5335809999999999</v>
      </c>
      <c r="I3810">
        <v>14.954750000000001</v>
      </c>
      <c r="J3810">
        <v>-417.90140000000002</v>
      </c>
      <c r="K3810">
        <v>1.132428</v>
      </c>
      <c r="L3810">
        <v>124.34529999999999</v>
      </c>
      <c r="M3810">
        <v>-0.55336589999999997</v>
      </c>
      <c r="N3810">
        <v>-1.5955179999999999E-2</v>
      </c>
      <c r="O3810">
        <v>-0.83278539999999901</v>
      </c>
      <c r="P3810">
        <v>-0.4165045</v>
      </c>
      <c r="Q3810">
        <v>0.2111499</v>
      </c>
      <c r="R3810">
        <v>-0.88427350000000005</v>
      </c>
      <c r="S3810">
        <v>-0.68826290000000001</v>
      </c>
      <c r="T3810">
        <v>3.921115E-2</v>
      </c>
      <c r="U3810">
        <v>-3.0690919999999999</v>
      </c>
      <c r="V3810">
        <v>-0.1486924</v>
      </c>
      <c r="W3810">
        <v>0.2225278</v>
      </c>
      <c r="X3810">
        <v>0.96352059999999995</v>
      </c>
      <c r="Y3810">
        <v>-0.35783559999999998</v>
      </c>
      <c r="Z3810">
        <v>-2.4026369999999998E-2</v>
      </c>
      <c r="AA3810">
        <v>0.93347550000000001</v>
      </c>
      <c r="AB3810">
        <v>31</v>
      </c>
      <c r="AC3810">
        <v>-24.424599999999899</v>
      </c>
      <c r="AD3810">
        <v>1.4011530000000001</v>
      </c>
      <c r="AE3810">
        <v>-109.39055</v>
      </c>
      <c r="AF3810">
        <v>-40.191387719058397</v>
      </c>
      <c r="AG3810">
        <v>1.4011530000000001</v>
      </c>
      <c r="AH3810">
        <v>104.611568807781</v>
      </c>
      <c r="AI3810">
        <v>89.283676366121099</v>
      </c>
      <c r="AJ3810">
        <v>111.01659540505599</v>
      </c>
      <c r="AK3810">
        <v>112.075381796977</v>
      </c>
      <c r="AL3810">
        <v>77.142453618641696</v>
      </c>
      <c r="AM3810">
        <v>98.772792439389306</v>
      </c>
      <c r="AN3810">
        <v>0.99999999910747905</v>
      </c>
    </row>
    <row r="3811" spans="1:40" x14ac:dyDescent="0.25">
      <c r="A3811" t="str">
        <f>"20190303170845440"</f>
        <v>20190303170845440</v>
      </c>
      <c r="B3811" t="str">
        <f>"1551604125426912"</f>
        <v>1551604125426912</v>
      </c>
      <c r="C3811" t="s">
        <v>40</v>
      </c>
      <c r="D3811">
        <v>4.8166789999999997</v>
      </c>
      <c r="E3811">
        <v>0.41997719999999999</v>
      </c>
      <c r="F3811" t="s">
        <v>77</v>
      </c>
      <c r="G3811">
        <v>-442.32600000000002</v>
      </c>
      <c r="H3811">
        <v>2.4526880000000002</v>
      </c>
      <c r="I3811">
        <v>10.20711</v>
      </c>
      <c r="J3811">
        <v>-418.08870000000002</v>
      </c>
      <c r="K3811">
        <v>1.1322589999999999</v>
      </c>
      <c r="L3811">
        <v>124.03579999999999</v>
      </c>
      <c r="M3811">
        <v>-0.54048569999999996</v>
      </c>
      <c r="N3811">
        <v>-1.591793E-2</v>
      </c>
      <c r="O3811">
        <v>-0.84120269999999997</v>
      </c>
      <c r="P3811">
        <v>-0.40297490000000002</v>
      </c>
      <c r="Q3811">
        <v>0.21129029999999999</v>
      </c>
      <c r="R3811">
        <v>-0.89048780000000005</v>
      </c>
      <c r="S3811">
        <v>-0.65786739999999999</v>
      </c>
      <c r="T3811">
        <v>3.5560729999999999E-2</v>
      </c>
      <c r="U3811">
        <v>-3.074265</v>
      </c>
      <c r="V3811">
        <v>-0.14844389999999999</v>
      </c>
      <c r="W3811">
        <v>0.22270029999999999</v>
      </c>
      <c r="X3811">
        <v>0.96351909999999996</v>
      </c>
      <c r="Y3811">
        <v>-0.35259459999999998</v>
      </c>
      <c r="Z3811">
        <v>-2.3359029999999999E-2</v>
      </c>
      <c r="AA3811">
        <v>0.9354846</v>
      </c>
      <c r="AB3811">
        <v>31</v>
      </c>
      <c r="AC3811">
        <v>-24.237299999999902</v>
      </c>
      <c r="AD3811">
        <v>1.3204290000000001</v>
      </c>
      <c r="AE3811">
        <v>-113.82868999999999</v>
      </c>
      <c r="AF3811">
        <v>-41.134211026856001</v>
      </c>
      <c r="AG3811">
        <v>1.3204290000000001</v>
      </c>
      <c r="AH3811">
        <v>108.852687928778</v>
      </c>
      <c r="AI3811">
        <v>89.349878116102701</v>
      </c>
      <c r="AJ3811">
        <v>110.70101691129101</v>
      </c>
      <c r="AK3811">
        <v>116.372997378541</v>
      </c>
      <c r="AL3811">
        <v>77.132316179602896</v>
      </c>
      <c r="AM3811">
        <v>98.758371976215301</v>
      </c>
      <c r="AN3811">
        <v>1.0000000355660501</v>
      </c>
    </row>
    <row r="3812" spans="1:40" x14ac:dyDescent="0.25">
      <c r="A3812" t="str">
        <f>"20190303170845481"</f>
        <v>20190303170845481</v>
      </c>
      <c r="B3812" t="str">
        <f>"1551604125466927"</f>
        <v>1551604125466927</v>
      </c>
      <c r="C3812" t="s">
        <v>40</v>
      </c>
      <c r="D3812">
        <v>4.8324280000000002</v>
      </c>
      <c r="E3812">
        <v>0.4276181</v>
      </c>
      <c r="F3812" t="s">
        <v>77</v>
      </c>
      <c r="G3812">
        <v>-442.32580000000002</v>
      </c>
      <c r="H3812">
        <v>1.8974489999999999</v>
      </c>
      <c r="I3812">
        <v>9.6996350000000007</v>
      </c>
      <c r="J3812">
        <v>-418.36700000000002</v>
      </c>
      <c r="K3812">
        <v>1.1319889999999999</v>
      </c>
      <c r="L3812">
        <v>123.5557</v>
      </c>
      <c r="M3812">
        <v>-0.52085990000000004</v>
      </c>
      <c r="N3812">
        <v>-1.5859129999999999E-2</v>
      </c>
      <c r="O3812">
        <v>-0.85349509999999995</v>
      </c>
      <c r="P3812">
        <v>-0.38098789999999999</v>
      </c>
      <c r="Q3812">
        <v>0.2112464</v>
      </c>
      <c r="R3812">
        <v>-0.90012449999999999</v>
      </c>
      <c r="S3812">
        <v>-0.65069580000000005</v>
      </c>
      <c r="T3812">
        <v>2.0543100000000002E-2</v>
      </c>
      <c r="U3812">
        <v>-3.0695800000000002</v>
      </c>
      <c r="V3812">
        <v>-0.14964559999999999</v>
      </c>
      <c r="W3812">
        <v>0.22266079999999999</v>
      </c>
      <c r="X3812">
        <v>0.96334229999999998</v>
      </c>
      <c r="Y3812">
        <v>-0.33261020000000002</v>
      </c>
      <c r="Z3812">
        <v>-1.9955199999999999E-2</v>
      </c>
      <c r="AA3812">
        <v>0.94285319999999995</v>
      </c>
      <c r="AB3812">
        <v>31</v>
      </c>
      <c r="AC3812">
        <v>-23.9588</v>
      </c>
      <c r="AD3812">
        <v>0.76546000000000003</v>
      </c>
      <c r="AE3812">
        <v>-113.85606499999901</v>
      </c>
      <c r="AF3812">
        <v>-38.857537035919002</v>
      </c>
      <c r="AG3812">
        <v>0.76546000000000003</v>
      </c>
      <c r="AH3812">
        <v>109.663793789384</v>
      </c>
      <c r="AI3812">
        <v>89.623042144252906</v>
      </c>
      <c r="AJ3812">
        <v>109.510932790148</v>
      </c>
      <c r="AK3812">
        <v>116.34707465935701</v>
      </c>
      <c r="AL3812">
        <v>77.134637345960698</v>
      </c>
      <c r="AM3812">
        <v>98.829755944542796</v>
      </c>
      <c r="AN3812">
        <v>1.00000001221264</v>
      </c>
    </row>
    <row r="3813" spans="1:40" x14ac:dyDescent="0.25">
      <c r="A3813" t="str">
        <f>"20190303170845505"</f>
        <v>20190303170845505</v>
      </c>
      <c r="B3813" t="str">
        <f>"1551604125497184"</f>
        <v>1551604125497184</v>
      </c>
      <c r="C3813" t="s">
        <v>40</v>
      </c>
      <c r="D3813">
        <v>4.8611089999999999</v>
      </c>
      <c r="E3813">
        <v>0.4297762</v>
      </c>
      <c r="F3813" t="s">
        <v>77</v>
      </c>
      <c r="G3813">
        <v>-442.02929999999998</v>
      </c>
      <c r="H3813">
        <v>0.93092799999999998</v>
      </c>
      <c r="I3813">
        <v>8.8459970000000006</v>
      </c>
      <c r="J3813">
        <v>-418.53410000000002</v>
      </c>
      <c r="K3813">
        <v>1.1318269999999999</v>
      </c>
      <c r="L3813">
        <v>123.25530000000001</v>
      </c>
      <c r="M3813">
        <v>-0.50878329999999905</v>
      </c>
      <c r="N3813">
        <v>-1.5821109999999999E-2</v>
      </c>
      <c r="O3813">
        <v>-0.8607494</v>
      </c>
      <c r="P3813">
        <v>-0.36851479999999998</v>
      </c>
      <c r="Q3813">
        <v>0.21151700000000001</v>
      </c>
      <c r="R3813">
        <v>-0.90523900000000002</v>
      </c>
      <c r="S3813">
        <v>-0.63253780000000004</v>
      </c>
      <c r="T3813">
        <v>-5.3746699999999998E-3</v>
      </c>
      <c r="U3813">
        <v>-3.0663909999999999</v>
      </c>
      <c r="V3813">
        <v>-0.1492638</v>
      </c>
      <c r="W3813">
        <v>0.22296389999999999</v>
      </c>
      <c r="X3813">
        <v>0.96333139999999995</v>
      </c>
      <c r="Y3813">
        <v>-0.32441340000000002</v>
      </c>
      <c r="Z3813">
        <v>-1.363001E-2</v>
      </c>
      <c r="AA3813">
        <v>0.94581720000000002</v>
      </c>
      <c r="AB3813">
        <v>31</v>
      </c>
      <c r="AC3813">
        <v>-23.495199999999901</v>
      </c>
      <c r="AD3813">
        <v>-0.20089899999999999</v>
      </c>
      <c r="AE3813">
        <v>-114.40930299999999</v>
      </c>
      <c r="AF3813">
        <v>-37.990700632315203</v>
      </c>
      <c r="AG3813">
        <v>-0.20089899999999999</v>
      </c>
      <c r="AH3813">
        <v>110.44518541336799</v>
      </c>
      <c r="AI3813">
        <v>90.098553032652106</v>
      </c>
      <c r="AJ3813">
        <v>108.982083728653</v>
      </c>
      <c r="AK3813">
        <v>116.796715176137</v>
      </c>
      <c r="AL3813">
        <v>77.116822807375399</v>
      </c>
      <c r="AM3813">
        <v>98.807679800874297</v>
      </c>
      <c r="AN3813">
        <v>0.99999998445980398</v>
      </c>
    </row>
    <row r="3814" spans="1:40" x14ac:dyDescent="0.25">
      <c r="A3814" t="str">
        <f>"20190303170845530"</f>
        <v>20190303170845530</v>
      </c>
      <c r="B3814" t="str">
        <f>"1551604125516704"</f>
        <v>1551604125516704</v>
      </c>
      <c r="C3814" t="s">
        <v>40</v>
      </c>
      <c r="D3814">
        <v>4.8681760000000001</v>
      </c>
      <c r="E3814">
        <v>0.43085400000000001</v>
      </c>
      <c r="F3814" t="s">
        <v>77</v>
      </c>
      <c r="G3814">
        <v>-441.45890000000003</v>
      </c>
      <c r="H3814">
        <v>0.76472949999999995</v>
      </c>
      <c r="I3814">
        <v>7.0343780000000002</v>
      </c>
      <c r="J3814">
        <v>-418.68970000000002</v>
      </c>
      <c r="K3814">
        <v>1.1316790000000001</v>
      </c>
      <c r="L3814">
        <v>122.9666</v>
      </c>
      <c r="M3814">
        <v>-0.49733050000000001</v>
      </c>
      <c r="N3814">
        <v>-1.578531E-2</v>
      </c>
      <c r="O3814">
        <v>-0.86741769999999996</v>
      </c>
      <c r="P3814">
        <v>-0.35774640000000002</v>
      </c>
      <c r="Q3814">
        <v>0.21259320000000001</v>
      </c>
      <c r="R3814">
        <v>-0.90929740000000003</v>
      </c>
      <c r="S3814">
        <v>-0.60552980000000001</v>
      </c>
      <c r="T3814">
        <v>-9.6963640000000007E-3</v>
      </c>
      <c r="U3814">
        <v>-3.0698240000000001</v>
      </c>
      <c r="V3814">
        <v>-0.1477396</v>
      </c>
      <c r="W3814">
        <v>0.22409979999999999</v>
      </c>
      <c r="X3814">
        <v>0.96330280000000001</v>
      </c>
      <c r="Y3814">
        <v>-0.32007150000000001</v>
      </c>
      <c r="Z3814">
        <v>-1.255002E-2</v>
      </c>
      <c r="AA3814">
        <v>0.94731030000000005</v>
      </c>
      <c r="AB3814">
        <v>31</v>
      </c>
      <c r="AC3814">
        <v>-22.769200000000001</v>
      </c>
      <c r="AD3814">
        <v>-0.36694949999999998</v>
      </c>
      <c r="AE3814">
        <v>-115.932222</v>
      </c>
      <c r="AF3814">
        <v>-37.910575588776297</v>
      </c>
      <c r="AG3814">
        <v>-0.36694949999999998</v>
      </c>
      <c r="AH3814">
        <v>111.89832673034201</v>
      </c>
      <c r="AI3814">
        <v>90.177954502647594</v>
      </c>
      <c r="AJ3814">
        <v>108.716114987015</v>
      </c>
      <c r="AK3814">
        <v>118.1464426822</v>
      </c>
      <c r="AL3814">
        <v>77.050051140290293</v>
      </c>
      <c r="AM3814">
        <v>98.719384574763893</v>
      </c>
      <c r="AN3814">
        <v>0.99999999712802001</v>
      </c>
    </row>
    <row r="3815" spans="1:40" x14ac:dyDescent="0.25">
      <c r="A3815" t="str">
        <f>"20190303170845549"</f>
        <v>20190303170845549</v>
      </c>
      <c r="B3815" t="str">
        <f>"1551604125537200"</f>
        <v>1551604125537200</v>
      </c>
      <c r="C3815" t="s">
        <v>40</v>
      </c>
      <c r="D3815">
        <v>4.8899280000000003</v>
      </c>
      <c r="E3815">
        <v>0.43132310000000001</v>
      </c>
      <c r="F3815" t="s">
        <v>96</v>
      </c>
      <c r="G3815">
        <v>-444.36369999999999</v>
      </c>
      <c r="H3815">
        <v>0.77966190000000002</v>
      </c>
      <c r="I3815">
        <v>-13.83433</v>
      </c>
      <c r="J3815">
        <v>-418.81319999999999</v>
      </c>
      <c r="K3815">
        <v>1.131551</v>
      </c>
      <c r="L3815">
        <v>122.7306</v>
      </c>
      <c r="M3815">
        <v>-0.48807850000000003</v>
      </c>
      <c r="N3815">
        <v>-1.5756240000000001E-2</v>
      </c>
      <c r="O3815">
        <v>-0.87265769999999998</v>
      </c>
      <c r="P3815">
        <v>-0.348443</v>
      </c>
      <c r="Q3815">
        <v>0.2122996</v>
      </c>
      <c r="R3815">
        <v>-0.91297139999999999</v>
      </c>
      <c r="S3815">
        <v>-0.57693479999999997</v>
      </c>
      <c r="T3815">
        <v>-7.9109669999999997E-3</v>
      </c>
      <c r="U3815">
        <v>-3.0741269999999998</v>
      </c>
      <c r="V3815">
        <v>-0.1472861</v>
      </c>
      <c r="W3815">
        <v>0.2238358</v>
      </c>
      <c r="X3815">
        <v>0.9634336</v>
      </c>
      <c r="Y3815">
        <v>-0.3187487</v>
      </c>
      <c r="Z3815">
        <v>-1.300509E-2</v>
      </c>
      <c r="AA3815">
        <v>0.94774999999999998</v>
      </c>
      <c r="AB3815">
        <v>31</v>
      </c>
      <c r="AC3815">
        <v>-25.5505</v>
      </c>
      <c r="AD3815">
        <v>-0.35188909999999901</v>
      </c>
      <c r="AE3815">
        <v>-136.56493</v>
      </c>
      <c r="AF3815">
        <v>-44.362780547633399</v>
      </c>
      <c r="AG3815">
        <v>-0.35188909999999901</v>
      </c>
      <c r="AH3815">
        <v>131.66056436436401</v>
      </c>
      <c r="AI3815">
        <v>90.145117589877103</v>
      </c>
      <c r="AJ3815">
        <v>108.621147418939</v>
      </c>
      <c r="AK3815">
        <v>138.93410068301799</v>
      </c>
      <c r="AL3815">
        <v>77.065571286117006</v>
      </c>
      <c r="AM3815">
        <v>98.691866931883695</v>
      </c>
      <c r="AN3815">
        <v>0.99999998111190402</v>
      </c>
    </row>
    <row r="3816" spans="1:40" x14ac:dyDescent="0.25">
      <c r="A3816" t="str">
        <f>"20190303170845574"</f>
        <v>20190303170845574</v>
      </c>
      <c r="B3816" t="str">
        <f>"1551604125567457"</f>
        <v>1551604125567457</v>
      </c>
      <c r="C3816" t="s">
        <v>40</v>
      </c>
      <c r="D3816">
        <v>4.9159980000000001</v>
      </c>
      <c r="E3816">
        <v>0.4391217</v>
      </c>
      <c r="F3816" t="s">
        <v>96</v>
      </c>
      <c r="G3816">
        <v>-442.9434</v>
      </c>
      <c r="H3816">
        <v>0.74482320000000002</v>
      </c>
      <c r="I3816">
        <v>-12.67182</v>
      </c>
      <c r="J3816">
        <v>-418.96019999999999</v>
      </c>
      <c r="K3816">
        <v>1.1314139999999999</v>
      </c>
      <c r="L3816">
        <v>122.44110000000001</v>
      </c>
      <c r="M3816">
        <v>-0.47684549999999998</v>
      </c>
      <c r="N3816">
        <v>-1.5720600000000001E-2</v>
      </c>
      <c r="O3816">
        <v>-0.87884660000000003</v>
      </c>
      <c r="P3816">
        <v>-0.33677180000000001</v>
      </c>
      <c r="Q3816">
        <v>0.21185699999999999</v>
      </c>
      <c r="R3816">
        <v>-0.91744289999999995</v>
      </c>
      <c r="S3816">
        <v>-0.54864499999999905</v>
      </c>
      <c r="T3816">
        <v>-8.7935919999999994E-3</v>
      </c>
      <c r="U3816">
        <v>-3.0786289999999998</v>
      </c>
      <c r="V3816">
        <v>-0.14717069999999999</v>
      </c>
      <c r="W3816">
        <v>0.22341469999999999</v>
      </c>
      <c r="X3816">
        <v>0.96354899999999999</v>
      </c>
      <c r="Y3816">
        <v>-0.31526659999999901</v>
      </c>
      <c r="Z3816">
        <v>-1.277611E-2</v>
      </c>
      <c r="AA3816">
        <v>0.94891720000000002</v>
      </c>
      <c r="AB3816">
        <v>31</v>
      </c>
      <c r="AC3816">
        <v>-23.9832</v>
      </c>
      <c r="AD3816">
        <v>-0.38659079999999901</v>
      </c>
      <c r="AE3816">
        <v>-135.11292</v>
      </c>
      <c r="AF3816">
        <v>-43.355445285124397</v>
      </c>
      <c r="AG3816">
        <v>-0.38659079999999901</v>
      </c>
      <c r="AH3816">
        <v>130.19485971404501</v>
      </c>
      <c r="AI3816">
        <v>90.161414769350102</v>
      </c>
      <c r="AJ3816">
        <v>108.417979025164</v>
      </c>
      <c r="AK3816">
        <v>137.22443508456499</v>
      </c>
      <c r="AL3816">
        <v>77.090325802999601</v>
      </c>
      <c r="AM3816">
        <v>98.684136333503702</v>
      </c>
      <c r="AN3816">
        <v>1.0000000092577801</v>
      </c>
    </row>
    <row r="3817" spans="1:40" x14ac:dyDescent="0.25">
      <c r="A3817" t="str">
        <f>"20190303170845592"</f>
        <v>20190303170845592</v>
      </c>
      <c r="B3817" t="str">
        <f>"1551604125586975"</f>
        <v>1551604125586975</v>
      </c>
      <c r="C3817" t="s">
        <v>40</v>
      </c>
      <c r="D3817">
        <v>4.8934160000000002</v>
      </c>
      <c r="E3817">
        <v>0.44029669999999999</v>
      </c>
      <c r="F3817" t="s">
        <v>46</v>
      </c>
      <c r="G3817">
        <v>-441.40460000000002</v>
      </c>
      <c r="H3817">
        <v>-0.05</v>
      </c>
      <c r="I3817">
        <v>1.504623</v>
      </c>
      <c r="J3817">
        <v>-419.07220000000001</v>
      </c>
      <c r="K3817">
        <v>1.131308</v>
      </c>
      <c r="L3817">
        <v>122.21469999999999</v>
      </c>
      <c r="M3817">
        <v>-0.4681379</v>
      </c>
      <c r="N3817">
        <v>-1.5694090000000001E-2</v>
      </c>
      <c r="O3817">
        <v>-0.88351610000000003</v>
      </c>
      <c r="P3817">
        <v>-0.32884400000000003</v>
      </c>
      <c r="Q3817">
        <v>0.2123266</v>
      </c>
      <c r="R3817">
        <v>-0.92020599999999997</v>
      </c>
      <c r="S3817">
        <v>-0.5693665</v>
      </c>
      <c r="T3817">
        <v>-2.996981E-2</v>
      </c>
      <c r="U3817">
        <v>-3.0678860000000001</v>
      </c>
      <c r="V3817">
        <v>-0.14585719999999999</v>
      </c>
      <c r="W3817">
        <v>0.22393109999999999</v>
      </c>
      <c r="X3817">
        <v>0.96362879999999995</v>
      </c>
      <c r="Y3817">
        <v>-0.29904049999999999</v>
      </c>
      <c r="Z3817">
        <v>-7.1940469999999899E-3</v>
      </c>
      <c r="AA3817">
        <v>0.95421330000000004</v>
      </c>
      <c r="AB3817">
        <v>31</v>
      </c>
      <c r="AC3817">
        <v>-22.3324</v>
      </c>
      <c r="AD3817">
        <v>-1.181308</v>
      </c>
      <c r="AE3817">
        <v>-120.710077</v>
      </c>
      <c r="AF3817">
        <v>-36.779049510011603</v>
      </c>
      <c r="AG3817">
        <v>-1.181308</v>
      </c>
      <c r="AH3817">
        <v>117.10751345107499</v>
      </c>
      <c r="AI3817">
        <v>90.551392526571107</v>
      </c>
      <c r="AJ3817">
        <v>107.435535259902</v>
      </c>
      <c r="AK3817">
        <v>122.75285608956101</v>
      </c>
      <c r="AL3817">
        <v>77.059968535757804</v>
      </c>
      <c r="AM3817">
        <v>98.607094250437299</v>
      </c>
      <c r="AN3817">
        <v>0.99999996226424404</v>
      </c>
    </row>
    <row r="3818" spans="1:40" x14ac:dyDescent="0.25">
      <c r="A3818" t="str">
        <f>"20190303170845615"</f>
        <v>20190303170845615</v>
      </c>
      <c r="B3818" t="str">
        <f>"1551604125607472"</f>
        <v>1551604125607472</v>
      </c>
      <c r="C3818" t="s">
        <v>40</v>
      </c>
      <c r="D3818">
        <v>4.9294799999999999</v>
      </c>
      <c r="E3818">
        <v>0.44091449999999999</v>
      </c>
      <c r="F3818" t="s">
        <v>46</v>
      </c>
      <c r="G3818">
        <v>-440.65170000000001</v>
      </c>
      <c r="H3818">
        <v>-0.05</v>
      </c>
      <c r="I3818">
        <v>2.2677610000000001</v>
      </c>
      <c r="J3818">
        <v>-419.2072</v>
      </c>
      <c r="K3818">
        <v>1.1311800000000001</v>
      </c>
      <c r="L3818">
        <v>121.9341</v>
      </c>
      <c r="M3818">
        <v>-0.457453</v>
      </c>
      <c r="N3818">
        <v>-1.5661620000000001E-2</v>
      </c>
      <c r="O3818">
        <v>-0.889095999999999</v>
      </c>
      <c r="P3818">
        <v>-0.31914809999999999</v>
      </c>
      <c r="Q3818">
        <v>0.21352009999999999</v>
      </c>
      <c r="R3818">
        <v>-0.92333849999999995</v>
      </c>
      <c r="S3818">
        <v>-0.55227660000000001</v>
      </c>
      <c r="T3818">
        <v>-3.023267E-2</v>
      </c>
      <c r="U3818">
        <v>-3.0697480000000001</v>
      </c>
      <c r="V3818">
        <v>-0.14419509999999999</v>
      </c>
      <c r="W3818">
        <v>0.22518189999999999</v>
      </c>
      <c r="X3818">
        <v>0.96358750000000004</v>
      </c>
      <c r="Y3818">
        <v>-0.29277589999999998</v>
      </c>
      <c r="Z3818">
        <v>-7.0444399999999999E-3</v>
      </c>
      <c r="AA3818">
        <v>0.95615510000000004</v>
      </c>
      <c r="AB3818">
        <v>31</v>
      </c>
      <c r="AC3818">
        <v>-21.444500000000001</v>
      </c>
      <c r="AD3818">
        <v>-1.1811799999999999</v>
      </c>
      <c r="AE3818">
        <v>-119.66633899999999</v>
      </c>
      <c r="AF3818">
        <v>-35.676510872014099</v>
      </c>
      <c r="AG3818">
        <v>-1.1811799999999999</v>
      </c>
      <c r="AH3818">
        <v>116.20798537357</v>
      </c>
      <c r="AI3818">
        <v>90.556711646642398</v>
      </c>
      <c r="AJ3818">
        <v>107.066783306076</v>
      </c>
      <c r="AK3818">
        <v>121.56687245617999</v>
      </c>
      <c r="AL3818">
        <v>76.986425137394605</v>
      </c>
      <c r="AM3818">
        <v>98.510816818299901</v>
      </c>
      <c r="AN3818">
        <v>0.99999999255393501</v>
      </c>
    </row>
    <row r="3819" spans="1:40" x14ac:dyDescent="0.25">
      <c r="A3819" t="str">
        <f>"20190303170845638"</f>
        <v>20190303170845638</v>
      </c>
      <c r="B3819" t="str">
        <f>"1551604125626992"</f>
        <v>1551604125626992</v>
      </c>
      <c r="C3819" t="s">
        <v>40</v>
      </c>
      <c r="D3819">
        <v>4.9437759999999997</v>
      </c>
      <c r="E3819">
        <v>0.44658160000000002</v>
      </c>
      <c r="F3819" t="s">
        <v>46</v>
      </c>
      <c r="G3819">
        <v>-440.90440000000001</v>
      </c>
      <c r="H3819">
        <v>-0.05</v>
      </c>
      <c r="I3819">
        <v>-5.2687229999999996</v>
      </c>
      <c r="J3819">
        <v>-419.33839999999998</v>
      </c>
      <c r="K3819">
        <v>1.1310420000000001</v>
      </c>
      <c r="L3819">
        <v>121.6528</v>
      </c>
      <c r="M3819">
        <v>-0.44686910000000002</v>
      </c>
      <c r="N3819">
        <v>-1.562846E-2</v>
      </c>
      <c r="O3819">
        <v>-0.89446309999999996</v>
      </c>
      <c r="P3819">
        <v>-0.30975930000000002</v>
      </c>
      <c r="Q3819">
        <v>0.21460760000000001</v>
      </c>
      <c r="R3819">
        <v>-0.92627919999999997</v>
      </c>
      <c r="S3819">
        <v>-0.52441409999999999</v>
      </c>
      <c r="T3819">
        <v>-2.854872E-2</v>
      </c>
      <c r="U3819">
        <v>-3.0744479999999998</v>
      </c>
      <c r="V3819">
        <v>-0.1423662</v>
      </c>
      <c r="W3819">
        <v>0.22633249999999999</v>
      </c>
      <c r="X3819">
        <v>0.96358980000000005</v>
      </c>
      <c r="Y3819">
        <v>-0.29009119999999999</v>
      </c>
      <c r="Z3819">
        <v>-7.434899E-3</v>
      </c>
      <c r="AA3819">
        <v>0.95697010000000005</v>
      </c>
      <c r="AB3819">
        <v>31</v>
      </c>
      <c r="AC3819">
        <v>-21.565999999999999</v>
      </c>
      <c r="AD3819">
        <v>-1.1810419999999999</v>
      </c>
      <c r="AE3819">
        <v>-126.92152299999999</v>
      </c>
      <c r="AF3819">
        <v>-37.428728252299202</v>
      </c>
      <c r="AG3819">
        <v>-1.1810419999999999</v>
      </c>
      <c r="AH3819">
        <v>123.16844681075101</v>
      </c>
      <c r="AI3819">
        <v>90.5256498008374</v>
      </c>
      <c r="AJ3819">
        <v>106.903105786249</v>
      </c>
      <c r="AK3819">
        <v>128.73527429792901</v>
      </c>
      <c r="AL3819">
        <v>76.918752593898503</v>
      </c>
      <c r="AM3819">
        <v>98.404401462424403</v>
      </c>
      <c r="AN3819">
        <v>0.99999991906136099</v>
      </c>
    </row>
    <row r="3820" spans="1:40" x14ac:dyDescent="0.25">
      <c r="A3820" t="str">
        <f>"20190303170845664"</f>
        <v>20190303170845664</v>
      </c>
      <c r="B3820" t="str">
        <f>"1551604125657247"</f>
        <v>1551604125657247</v>
      </c>
      <c r="C3820" t="s">
        <v>40</v>
      </c>
      <c r="D3820">
        <v>4.938288</v>
      </c>
      <c r="E3820">
        <v>0.44776589999999999</v>
      </c>
      <c r="F3820" t="s">
        <v>46</v>
      </c>
      <c r="G3820">
        <v>-440.3349</v>
      </c>
      <c r="H3820">
        <v>-0.05</v>
      </c>
      <c r="I3820">
        <v>1.372574</v>
      </c>
      <c r="J3820">
        <v>-419.48079999999999</v>
      </c>
      <c r="K3820">
        <v>1.130865</v>
      </c>
      <c r="L3820">
        <v>121.3382</v>
      </c>
      <c r="M3820">
        <v>-0.435193</v>
      </c>
      <c r="N3820">
        <v>-1.5589840000000001E-2</v>
      </c>
      <c r="O3820">
        <v>-0.90020239999999996</v>
      </c>
      <c r="P3820">
        <v>-0.29907739999999999</v>
      </c>
      <c r="Q3820">
        <v>0.21311330000000001</v>
      </c>
      <c r="R3820">
        <v>-0.93012689999999998</v>
      </c>
      <c r="S3820">
        <v>-0.53533940000000002</v>
      </c>
      <c r="T3820">
        <v>-3.011262E-2</v>
      </c>
      <c r="U3820">
        <v>-3.0667420000000001</v>
      </c>
      <c r="V3820">
        <v>-0.14092850000000001</v>
      </c>
      <c r="W3820">
        <v>0.2249023</v>
      </c>
      <c r="X3820">
        <v>0.96413590000000005</v>
      </c>
      <c r="Y3820">
        <v>-0.273891</v>
      </c>
      <c r="Z3820">
        <v>-6.8632179999999999E-3</v>
      </c>
      <c r="AA3820">
        <v>0.96173629999999999</v>
      </c>
      <c r="AB3820">
        <v>31</v>
      </c>
      <c r="AC3820">
        <v>-20.854099999999999</v>
      </c>
      <c r="AD3820">
        <v>-1.1808650000000001</v>
      </c>
      <c r="AE3820">
        <v>-119.965626</v>
      </c>
      <c r="AF3820">
        <v>-33.436203113386</v>
      </c>
      <c r="AG3820">
        <v>-1.1808650000000001</v>
      </c>
      <c r="AH3820">
        <v>117.07210059974599</v>
      </c>
      <c r="AI3820">
        <v>90.555684990149103</v>
      </c>
      <c r="AJ3820">
        <v>105.939527882966</v>
      </c>
      <c r="AK3820">
        <v>121.758986771511</v>
      </c>
      <c r="AL3820">
        <v>77.002866353118193</v>
      </c>
      <c r="AM3820">
        <v>98.316075902612198</v>
      </c>
      <c r="AN3820">
        <v>0.99999996016317405</v>
      </c>
    </row>
    <row r="3821" spans="1:40" x14ac:dyDescent="0.25">
      <c r="A3821" t="str">
        <f>"20190303170845685"</f>
        <v>20190303170845685</v>
      </c>
      <c r="B3821" t="str">
        <f>"1551604125676767"</f>
        <v>1551604125676767</v>
      </c>
      <c r="C3821" t="s">
        <v>40</v>
      </c>
      <c r="D3821">
        <v>4.9921230000000003</v>
      </c>
      <c r="E3821">
        <v>0.45200319999999999</v>
      </c>
      <c r="F3821" t="s">
        <v>43</v>
      </c>
      <c r="G3821">
        <v>-432.50749999999999</v>
      </c>
      <c r="H3821">
        <v>7.9986059999999998E-2</v>
      </c>
      <c r="I3821">
        <v>42.596170000000001</v>
      </c>
      <c r="J3821">
        <v>-419.59840000000003</v>
      </c>
      <c r="K3821">
        <v>1.130692</v>
      </c>
      <c r="L3821">
        <v>121.0701</v>
      </c>
      <c r="M3821">
        <v>-0.42540129999999998</v>
      </c>
      <c r="N3821">
        <v>-1.555511E-2</v>
      </c>
      <c r="O3821">
        <v>-0.90487119999999999</v>
      </c>
      <c r="P3821">
        <v>-0.2898867</v>
      </c>
      <c r="Q3821">
        <v>0.2115619</v>
      </c>
      <c r="R3821">
        <v>-0.93338489999999996</v>
      </c>
      <c r="S3821">
        <v>-0.50811770000000001</v>
      </c>
      <c r="T3821">
        <v>-4.0990350000000002E-2</v>
      </c>
      <c r="U3821">
        <v>-3.071396</v>
      </c>
      <c r="V3821">
        <v>-0.13999779999999901</v>
      </c>
      <c r="W3821">
        <v>0.2234022</v>
      </c>
      <c r="X3821">
        <v>0.96462020000000004</v>
      </c>
      <c r="Y3821">
        <v>-0.27197749999999998</v>
      </c>
      <c r="Z3821">
        <v>-3.8563120000000002E-3</v>
      </c>
      <c r="AA3821">
        <v>0.96229589999999998</v>
      </c>
      <c r="AB3821">
        <v>31</v>
      </c>
      <c r="AC3821">
        <v>-12.909099999999899</v>
      </c>
      <c r="AD3821">
        <v>-1.0507059400000001</v>
      </c>
      <c r="AE3821">
        <v>-78.473929999999996</v>
      </c>
      <c r="AF3821">
        <v>-21.700675936745</v>
      </c>
      <c r="AG3821">
        <v>-1.0507059400000001</v>
      </c>
      <c r="AH3821">
        <v>76.4962471521239</v>
      </c>
      <c r="AI3821">
        <v>90.757060970429805</v>
      </c>
      <c r="AJ3821">
        <v>105.837731668853</v>
      </c>
      <c r="AK3821">
        <v>79.521689792425803</v>
      </c>
      <c r="AL3821">
        <v>77.091060825689198</v>
      </c>
      <c r="AM3821">
        <v>98.257825873126507</v>
      </c>
      <c r="AN3821">
        <v>1.00000002860885</v>
      </c>
    </row>
    <row r="3822" spans="1:40" x14ac:dyDescent="0.25">
      <c r="A3822" t="str">
        <f>"20190303170845707"</f>
        <v>20190303170845707</v>
      </c>
      <c r="B3822" t="str">
        <f>"1551604125697264"</f>
        <v>1551604125697264</v>
      </c>
      <c r="C3822" t="s">
        <v>40</v>
      </c>
      <c r="D3822">
        <v>4.9936790000000002</v>
      </c>
      <c r="E3822">
        <v>0.45266719999999999</v>
      </c>
      <c r="F3822" t="s">
        <v>43</v>
      </c>
      <c r="G3822">
        <v>-428.47590000000002</v>
      </c>
      <c r="H3822" s="1">
        <v>-5.151816E-6</v>
      </c>
      <c r="I3822">
        <v>67.707569999999905</v>
      </c>
      <c r="J3822">
        <v>-419.7099</v>
      </c>
      <c r="K3822">
        <v>1.130514</v>
      </c>
      <c r="L3822">
        <v>120.8086</v>
      </c>
      <c r="M3822">
        <v>-0.41602090000000003</v>
      </c>
      <c r="N3822">
        <v>-1.551872E-2</v>
      </c>
      <c r="O3822">
        <v>-0.9092228</v>
      </c>
      <c r="P3822">
        <v>-0.28156510000000001</v>
      </c>
      <c r="Q3822">
        <v>0.21080750000000001</v>
      </c>
      <c r="R3822">
        <v>-0.93609940000000003</v>
      </c>
      <c r="S3822">
        <v>-0.51077269999999997</v>
      </c>
      <c r="T3822">
        <v>-6.5055130000000003E-2</v>
      </c>
      <c r="U3822">
        <v>-3.070236</v>
      </c>
      <c r="V3822">
        <v>-0.1385574</v>
      </c>
      <c r="W3822">
        <v>0.22271099999999999</v>
      </c>
      <c r="X3822">
        <v>0.96498790000000001</v>
      </c>
      <c r="Y3822">
        <v>-0.26112529999999901</v>
      </c>
      <c r="Z3822">
        <v>2.8783960000000001E-3</v>
      </c>
      <c r="AA3822">
        <v>0.96530059999999995</v>
      </c>
      <c r="AB3822">
        <v>31</v>
      </c>
      <c r="AC3822">
        <v>-8.7660000000000196</v>
      </c>
      <c r="AD3822">
        <v>-1.130519151816</v>
      </c>
      <c r="AE3822">
        <v>-53.101030000000002</v>
      </c>
      <c r="AF3822">
        <v>-14.1163609698041</v>
      </c>
      <c r="AG3822">
        <v>-1.130519151816</v>
      </c>
      <c r="AH3822">
        <v>51.910847033498499</v>
      </c>
      <c r="AI3822">
        <v>91.203889970374405</v>
      </c>
      <c r="AJ3822">
        <v>105.21284334129101</v>
      </c>
      <c r="AK3822">
        <v>53.807859651892002</v>
      </c>
      <c r="AL3822">
        <v>77.131686788943199</v>
      </c>
      <c r="AM3822">
        <v>98.170944712647</v>
      </c>
      <c r="AN3822">
        <v>0.99999999488108504</v>
      </c>
    </row>
    <row r="3823" spans="1:40" x14ac:dyDescent="0.25">
      <c r="A3823" t="str">
        <f>"20190303170845727"</f>
        <v>20190303170845727</v>
      </c>
      <c r="B3823" t="str">
        <f>"1551604125716784"</f>
        <v>1551604125716784</v>
      </c>
      <c r="C3823" t="s">
        <v>40</v>
      </c>
      <c r="D3823">
        <v>4.9797039999999999</v>
      </c>
      <c r="E3823">
        <v>0.45366519999999999</v>
      </c>
      <c r="F3823" t="s">
        <v>43</v>
      </c>
      <c r="G3823">
        <v>-428.24509999999998</v>
      </c>
      <c r="H3823" s="1">
        <v>-4.8868740000000003E-6</v>
      </c>
      <c r="I3823">
        <v>67.049350000000004</v>
      </c>
      <c r="J3823">
        <v>-419.81700000000001</v>
      </c>
      <c r="K3823">
        <v>1.1303190000000001</v>
      </c>
      <c r="L3823">
        <v>120.5508</v>
      </c>
      <c r="M3823">
        <v>-0.40695940000000003</v>
      </c>
      <c r="N3823">
        <v>-1.5480229999999999E-2</v>
      </c>
      <c r="O3823">
        <v>-0.91331519999999999</v>
      </c>
      <c r="P3823">
        <v>-0.27455010000000002</v>
      </c>
      <c r="Q3823">
        <v>0.21097740000000001</v>
      </c>
      <c r="R3823">
        <v>-0.93814240000000004</v>
      </c>
      <c r="S3823">
        <v>-0.48782350000000002</v>
      </c>
      <c r="T3823">
        <v>-6.4614649999999996E-2</v>
      </c>
      <c r="U3823">
        <v>-3.0726010000000001</v>
      </c>
      <c r="V3823">
        <v>-0.1360557</v>
      </c>
      <c r="W3823">
        <v>0.222969</v>
      </c>
      <c r="X3823">
        <v>0.96528420000000004</v>
      </c>
      <c r="Y3823">
        <v>-0.2586714</v>
      </c>
      <c r="Z3823">
        <v>2.886736E-3</v>
      </c>
      <c r="AA3823">
        <v>0.96596099999999996</v>
      </c>
      <c r="AB3823">
        <v>31</v>
      </c>
      <c r="AC3823">
        <v>-8.4281000000000201</v>
      </c>
      <c r="AD3823">
        <v>-1.130323886874</v>
      </c>
      <c r="AE3823">
        <v>-53.501449999999899</v>
      </c>
      <c r="AF3823">
        <v>-14.0709627487128</v>
      </c>
      <c r="AG3823">
        <v>-1.130323886874</v>
      </c>
      <c r="AH3823">
        <v>52.277073686964698</v>
      </c>
      <c r="AI3823">
        <v>91.196087901126603</v>
      </c>
      <c r="AJ3823">
        <v>105.06477439699</v>
      </c>
      <c r="AK3823">
        <v>54.149441899591501</v>
      </c>
      <c r="AL3823">
        <v>77.116522701128602</v>
      </c>
      <c r="AM3823">
        <v>98.022923582317503</v>
      </c>
      <c r="AN3823">
        <v>0.99999995761656402</v>
      </c>
    </row>
    <row r="3824" spans="1:40" x14ac:dyDescent="0.25">
      <c r="A3824" t="str">
        <f>"20190303170845750"</f>
        <v>20190303170845750</v>
      </c>
      <c r="B3824" t="str">
        <f>"1551604125747040"</f>
        <v>1551604125747040</v>
      </c>
      <c r="C3824" t="s">
        <v>40</v>
      </c>
      <c r="D3824">
        <v>5.0628599999999997</v>
      </c>
      <c r="E3824">
        <v>0.45441959999999998</v>
      </c>
      <c r="F3824" t="s">
        <v>43</v>
      </c>
      <c r="G3824">
        <v>-428.1232</v>
      </c>
      <c r="H3824" s="1">
        <v>-4.6430049999999998E-6</v>
      </c>
      <c r="I3824">
        <v>66.396280000000004</v>
      </c>
      <c r="J3824">
        <v>-419.93340000000001</v>
      </c>
      <c r="K3824">
        <v>1.1300829999999999</v>
      </c>
      <c r="L3824">
        <v>120.2624</v>
      </c>
      <c r="M3824">
        <v>-0.39705449999999998</v>
      </c>
      <c r="N3824">
        <v>-1.543487E-2</v>
      </c>
      <c r="O3824">
        <v>-0.91766539999999996</v>
      </c>
      <c r="P3824">
        <v>-0.26534600000000003</v>
      </c>
      <c r="Q3824">
        <v>0.21019889999999999</v>
      </c>
      <c r="R3824">
        <v>-0.94096170000000001</v>
      </c>
      <c r="S3824">
        <v>-0.47152709999999998</v>
      </c>
      <c r="T3824">
        <v>-6.4166310000000004E-2</v>
      </c>
      <c r="U3824">
        <v>-3.074249</v>
      </c>
      <c r="V3824">
        <v>-0.13498689999999999</v>
      </c>
      <c r="W3824">
        <v>0.2222517</v>
      </c>
      <c r="X3824">
        <v>0.96559969999999995</v>
      </c>
      <c r="Y3824">
        <v>-0.25329770000000001</v>
      </c>
      <c r="Z3824">
        <v>2.9218540000000002E-3</v>
      </c>
      <c r="AA3824">
        <v>0.96738400000000002</v>
      </c>
      <c r="AB3824">
        <v>31</v>
      </c>
      <c r="AC3824">
        <v>-8.1897999999999893</v>
      </c>
      <c r="AD3824">
        <v>-1.130087643005</v>
      </c>
      <c r="AE3824">
        <v>-53.866120000000002</v>
      </c>
      <c r="AF3824">
        <v>-13.8679739469171</v>
      </c>
      <c r="AG3824">
        <v>-1.130087643005</v>
      </c>
      <c r="AH3824">
        <v>52.666483247021198</v>
      </c>
      <c r="AI3824">
        <v>91.188724107725093</v>
      </c>
      <c r="AJ3824">
        <v>104.75208161053</v>
      </c>
      <c r="AK3824">
        <v>54.473445430613303</v>
      </c>
      <c r="AL3824">
        <v>77.158679726024403</v>
      </c>
      <c r="AM3824">
        <v>97.958142018453401</v>
      </c>
      <c r="AN3824">
        <v>1.0000000309822901</v>
      </c>
    </row>
    <row r="3825" spans="1:40" x14ac:dyDescent="0.25">
      <c r="A3825" t="str">
        <f>"20190303170845770"</f>
        <v>20190303170845770</v>
      </c>
      <c r="B3825" t="str">
        <f>"1551604125756800"</f>
        <v>1551604125756800</v>
      </c>
      <c r="C3825" t="s">
        <v>40</v>
      </c>
      <c r="D3825">
        <v>5.0366559999999998</v>
      </c>
      <c r="E3825">
        <v>0.45153500000000002</v>
      </c>
      <c r="F3825" t="s">
        <v>43</v>
      </c>
      <c r="G3825">
        <v>-427.49110000000002</v>
      </c>
      <c r="H3825" s="1">
        <v>-5.1801069999999997E-6</v>
      </c>
      <c r="I3825">
        <v>68.304000000000002</v>
      </c>
      <c r="J3825">
        <v>-420.03370000000001</v>
      </c>
      <c r="K3825">
        <v>1.129869</v>
      </c>
      <c r="L3825">
        <v>120.00709999999999</v>
      </c>
      <c r="M3825">
        <v>-0.38850580000000001</v>
      </c>
      <c r="N3825">
        <v>-1.539331E-2</v>
      </c>
      <c r="O3825">
        <v>-0.92131790000000002</v>
      </c>
      <c r="P3825">
        <v>-0.25646999999999998</v>
      </c>
      <c r="Q3825">
        <v>0.20922789999999999</v>
      </c>
      <c r="R3825">
        <v>-0.94363520000000001</v>
      </c>
      <c r="S3825">
        <v>-0.44757079999999999</v>
      </c>
      <c r="T3825">
        <v>-6.6923979999999994E-2</v>
      </c>
      <c r="U3825">
        <v>-3.076981</v>
      </c>
      <c r="V3825">
        <v>-0.13504969999999999</v>
      </c>
      <c r="W3825">
        <v>0.22131110000000001</v>
      </c>
      <c r="X3825">
        <v>0.96580690000000002</v>
      </c>
      <c r="Y3825">
        <v>-0.25179869999999999</v>
      </c>
      <c r="Z3825">
        <v>3.809546E-3</v>
      </c>
      <c r="AA3825">
        <v>0.96777210000000002</v>
      </c>
      <c r="AB3825">
        <v>31</v>
      </c>
      <c r="AC3825">
        <v>-7.4573999999999998</v>
      </c>
      <c r="AD3825">
        <v>-1.129874180107</v>
      </c>
      <c r="AE3825">
        <v>-51.7030999999999</v>
      </c>
      <c r="AF3825">
        <v>-13.211700910752</v>
      </c>
      <c r="AG3825">
        <v>-1.129874180107</v>
      </c>
      <c r="AH3825">
        <v>50.5145808918151</v>
      </c>
      <c r="AI3825">
        <v>91.239653630714002</v>
      </c>
      <c r="AJ3825">
        <v>104.656958280007</v>
      </c>
      <c r="AK3825">
        <v>52.225937419004403</v>
      </c>
      <c r="AL3825">
        <v>77.213948077090805</v>
      </c>
      <c r="AM3825">
        <v>97.960110728427196</v>
      </c>
      <c r="AN3825">
        <v>0.99999999627045499</v>
      </c>
    </row>
    <row r="3826" spans="1:40" x14ac:dyDescent="0.25">
      <c r="A3826" t="str">
        <f>"20190303170845793"</f>
        <v>20190303170845793</v>
      </c>
      <c r="B3826" t="str">
        <f>"1551604125787056"</f>
        <v>1551604125787056</v>
      </c>
      <c r="C3826" t="s">
        <v>40</v>
      </c>
      <c r="D3826">
        <v>5.0307579999999996</v>
      </c>
      <c r="E3826">
        <v>0.44702779999999998</v>
      </c>
      <c r="F3826" t="s">
        <v>43</v>
      </c>
      <c r="G3826">
        <v>-426.42200000000003</v>
      </c>
      <c r="H3826" s="1">
        <v>-2.106112E-6</v>
      </c>
      <c r="I3826">
        <v>70.515379999999993</v>
      </c>
      <c r="J3826">
        <v>-420.1454</v>
      </c>
      <c r="K3826">
        <v>1.1296409999999999</v>
      </c>
      <c r="L3826">
        <v>119.71429999999999</v>
      </c>
      <c r="M3826">
        <v>-0.3789266</v>
      </c>
      <c r="N3826">
        <v>-1.5346429999999999E-2</v>
      </c>
      <c r="O3826">
        <v>-0.92529930000000005</v>
      </c>
      <c r="P3826">
        <v>-0.24711530000000001</v>
      </c>
      <c r="Q3826">
        <v>0.2088363</v>
      </c>
      <c r="R3826">
        <v>-0.94621440000000001</v>
      </c>
      <c r="S3826">
        <v>-0.39840700000000001</v>
      </c>
      <c r="T3826">
        <v>-7.0463659999999997E-2</v>
      </c>
      <c r="U3826">
        <v>-3.0865170000000002</v>
      </c>
      <c r="V3826">
        <v>-0.1344882</v>
      </c>
      <c r="W3826">
        <v>0.22096189999999999</v>
      </c>
      <c r="X3826">
        <v>0.96596519999999997</v>
      </c>
      <c r="Y3826">
        <v>-0.25730740000000002</v>
      </c>
      <c r="Z3826">
        <v>4.8633519999999996E-3</v>
      </c>
      <c r="AA3826">
        <v>0.96631739999999999</v>
      </c>
      <c r="AB3826">
        <v>30</v>
      </c>
      <c r="AC3826">
        <v>-6.27659999999997</v>
      </c>
      <c r="AD3826">
        <v>-1.12964310611199</v>
      </c>
      <c r="AE3826">
        <v>-49.198920000000001</v>
      </c>
      <c r="AF3826">
        <v>-12.8299041118674</v>
      </c>
      <c r="AG3826">
        <v>-1.12964310611199</v>
      </c>
      <c r="AH3826">
        <v>47.8829071242358</v>
      </c>
      <c r="AI3826">
        <v>91.305427143393601</v>
      </c>
      <c r="AJ3826">
        <v>104.999684962925</v>
      </c>
      <c r="AK3826">
        <v>49.584829612847201</v>
      </c>
      <c r="AL3826">
        <v>77.234463750374005</v>
      </c>
      <c r="AM3826">
        <v>97.926153759292802</v>
      </c>
      <c r="AN3826">
        <v>1.0000000024009399</v>
      </c>
    </row>
    <row r="3827" spans="1:40" x14ac:dyDescent="0.25">
      <c r="A3827" t="str">
        <f>"20190303170845820"</f>
        <v>20190303170845820</v>
      </c>
      <c r="B3827" t="str">
        <f>"1551604125807551"</f>
        <v>1551604125807551</v>
      </c>
      <c r="C3827" t="s">
        <v>40</v>
      </c>
      <c r="D3827">
        <v>5.0351900000000001</v>
      </c>
      <c r="E3827">
        <v>0.44516850000000002</v>
      </c>
      <c r="F3827" t="s">
        <v>43</v>
      </c>
      <c r="G3827">
        <v>-425.89710000000002</v>
      </c>
      <c r="H3827" s="1">
        <v>-4.1643729999999998E-6</v>
      </c>
      <c r="I3827">
        <v>66.150109999999998</v>
      </c>
      <c r="J3827">
        <v>-420.26620000000003</v>
      </c>
      <c r="K3827">
        <v>1.1294040000000001</v>
      </c>
      <c r="L3827">
        <v>119.3879</v>
      </c>
      <c r="M3827">
        <v>-0.3685312</v>
      </c>
      <c r="N3827">
        <v>-1.5297150000000001E-2</v>
      </c>
      <c r="O3827">
        <v>-0.92948960000000003</v>
      </c>
      <c r="P3827">
        <v>-0.2370062</v>
      </c>
      <c r="Q3827">
        <v>0.2092937</v>
      </c>
      <c r="R3827">
        <v>-0.94869610000000004</v>
      </c>
      <c r="S3827">
        <v>-0.33267210000000003</v>
      </c>
      <c r="T3827">
        <v>-6.533659E-2</v>
      </c>
      <c r="U3827">
        <v>-3.0980530000000002</v>
      </c>
      <c r="V3827">
        <v>-0.133802799999999</v>
      </c>
      <c r="W3827">
        <v>0.2214631</v>
      </c>
      <c r="X3827">
        <v>0.96594559999999996</v>
      </c>
      <c r="Y3827">
        <v>-0.26714019999999999</v>
      </c>
      <c r="Z3827">
        <v>3.4509290000000001E-3</v>
      </c>
      <c r="AA3827">
        <v>0.96365149999999999</v>
      </c>
      <c r="AB3827">
        <v>30</v>
      </c>
      <c r="AC3827">
        <v>-5.6308999999999898</v>
      </c>
      <c r="AD3827">
        <v>-1.1294081643730001</v>
      </c>
      <c r="AE3827">
        <v>-53.237789999999997</v>
      </c>
      <c r="AF3827">
        <v>-14.381205256795401</v>
      </c>
      <c r="AG3827">
        <v>-1.1294081643730001</v>
      </c>
      <c r="AH3827">
        <v>51.542223766484597</v>
      </c>
      <c r="AI3827">
        <v>91.209112081023093</v>
      </c>
      <c r="AJ3827">
        <v>105.590056126522</v>
      </c>
      <c r="AK3827">
        <v>53.522849870258298</v>
      </c>
      <c r="AL3827">
        <v>77.205017538902098</v>
      </c>
      <c r="AM3827">
        <v>97.8864267822416</v>
      </c>
      <c r="AN3827">
        <v>0.99999999805440498</v>
      </c>
    </row>
    <row r="3828" spans="1:40" x14ac:dyDescent="0.25">
      <c r="A3828" t="str">
        <f>"20190303170845860"</f>
        <v>20190303170845860</v>
      </c>
      <c r="B3828" t="str">
        <f>"1551604125847568"</f>
        <v>1551604125847568</v>
      </c>
      <c r="C3828" t="s">
        <v>40</v>
      </c>
      <c r="D3828">
        <v>5.0559459999999996</v>
      </c>
      <c r="E3828">
        <v>0.44326660000000001</v>
      </c>
      <c r="F3828" t="s">
        <v>43</v>
      </c>
      <c r="G3828">
        <v>-425.56180000000001</v>
      </c>
      <c r="H3828" s="1">
        <v>-2.3716330000000002E-6</v>
      </c>
      <c r="I3828">
        <v>61.667859999999997</v>
      </c>
      <c r="J3828">
        <v>-420.44400000000002</v>
      </c>
      <c r="K3828">
        <v>1.129033</v>
      </c>
      <c r="L3828">
        <v>118.8882</v>
      </c>
      <c r="M3828">
        <v>-0.35324709999999998</v>
      </c>
      <c r="N3828">
        <v>-1.5219969999999999E-2</v>
      </c>
      <c r="O3828">
        <v>-0.93540630000000002</v>
      </c>
      <c r="P3828">
        <v>-0.2202297</v>
      </c>
      <c r="Q3828">
        <v>0.20888329999999999</v>
      </c>
      <c r="R3828">
        <v>-0.95282040000000001</v>
      </c>
      <c r="S3828">
        <v>-0.28482059999999998</v>
      </c>
      <c r="T3828">
        <v>-6.0744880000000001E-2</v>
      </c>
      <c r="U3828">
        <v>-3.1044619999999998</v>
      </c>
      <c r="V3828">
        <v>-0.134828</v>
      </c>
      <c r="W3828">
        <v>0.22108179999999999</v>
      </c>
      <c r="X3828">
        <v>0.96589040000000004</v>
      </c>
      <c r="Y3828">
        <v>-0.26626739999999999</v>
      </c>
      <c r="Z3828">
        <v>2.3250850000000002E-3</v>
      </c>
      <c r="AA3828">
        <v>0.96389639999999999</v>
      </c>
      <c r="AB3828">
        <v>30</v>
      </c>
      <c r="AC3828">
        <v>-5.1177999999999804</v>
      </c>
      <c r="AD3828">
        <v>-1.1290353716329999</v>
      </c>
      <c r="AE3828">
        <v>-57.22034</v>
      </c>
      <c r="AF3828">
        <v>-15.421526584645401</v>
      </c>
      <c r="AG3828">
        <v>-1.1290353716329999</v>
      </c>
      <c r="AH3828">
        <v>55.317155918274899</v>
      </c>
      <c r="AI3828">
        <v>91.126318811175906</v>
      </c>
      <c r="AJ3828">
        <v>105.577608596502</v>
      </c>
      <c r="AK3828">
        <v>57.437670060318901</v>
      </c>
      <c r="AL3828">
        <v>77.227419858190302</v>
      </c>
      <c r="AM3828">
        <v>97.946532113689798</v>
      </c>
      <c r="AN3828">
        <v>1.0000000083437</v>
      </c>
    </row>
    <row r="3829" spans="1:40" x14ac:dyDescent="0.25">
      <c r="A3829" t="str">
        <f>"20190303170845883"</f>
        <v>20190303170845883</v>
      </c>
      <c r="B3829" t="str">
        <f>"1551604125876848"</f>
        <v>1551604125876848</v>
      </c>
      <c r="C3829" t="s">
        <v>40</v>
      </c>
      <c r="D3829">
        <v>5.0705339999999897</v>
      </c>
      <c r="E3829">
        <v>0.44254199999999999</v>
      </c>
      <c r="F3829" t="s">
        <v>43</v>
      </c>
      <c r="G3829">
        <v>-424.42450000000002</v>
      </c>
      <c r="H3829" s="1">
        <v>-2.0670700000000001E-6</v>
      </c>
      <c r="I3829">
        <v>61.663319999999999</v>
      </c>
      <c r="J3829">
        <v>-420.54689999999999</v>
      </c>
      <c r="K3829">
        <v>1.1287969999999901</v>
      </c>
      <c r="L3829">
        <v>118.5878</v>
      </c>
      <c r="M3829">
        <v>-0.34442209999999901</v>
      </c>
      <c r="N3829">
        <v>-1.5171550000000001E-2</v>
      </c>
      <c r="O3829">
        <v>-0.93869259999999999</v>
      </c>
      <c r="P3829">
        <v>-0.21027299999999999</v>
      </c>
      <c r="Q3829">
        <v>0.2097714</v>
      </c>
      <c r="R3829">
        <v>-0.95487290000000002</v>
      </c>
      <c r="S3829">
        <v>-0.21646119999999999</v>
      </c>
      <c r="T3829">
        <v>-6.1398510000000003E-2</v>
      </c>
      <c r="U3829">
        <v>-3.1119690000000002</v>
      </c>
      <c r="V3829">
        <v>-0.1356299</v>
      </c>
      <c r="W3829">
        <v>0.2219825</v>
      </c>
      <c r="X3829">
        <v>0.96557150000000003</v>
      </c>
      <c r="Y3829">
        <v>-0.27841179999999999</v>
      </c>
      <c r="Z3829">
        <v>2.5269189999999999E-3</v>
      </c>
      <c r="AA3829">
        <v>0.96045849999999999</v>
      </c>
      <c r="AB3829">
        <v>30</v>
      </c>
      <c r="AC3829">
        <v>-3.8776000000000201</v>
      </c>
      <c r="AD3829">
        <v>-1.1287990670700001</v>
      </c>
      <c r="AE3829">
        <v>-56.924480000000003</v>
      </c>
      <c r="AF3829">
        <v>-15.961760419596301</v>
      </c>
      <c r="AG3829">
        <v>-1.1287990670700001</v>
      </c>
      <c r="AH3829">
        <v>54.754977217177498</v>
      </c>
      <c r="AI3829">
        <v>91.133830672428999</v>
      </c>
      <c r="AJ3829">
        <v>106.252063905833</v>
      </c>
      <c r="AK3829">
        <v>57.045240932789802</v>
      </c>
      <c r="AL3829">
        <v>77.174498650104198</v>
      </c>
      <c r="AM3829">
        <v>97.995791434249796</v>
      </c>
      <c r="AN3829">
        <v>1.0000000108462499</v>
      </c>
    </row>
    <row r="3830" spans="1:40" x14ac:dyDescent="0.25">
      <c r="A3830" t="str">
        <f>"20190303170845906"</f>
        <v>20190303170845906</v>
      </c>
      <c r="B3830" t="str">
        <f>"1551604125897344"</f>
        <v>1551604125897344</v>
      </c>
      <c r="C3830" t="s">
        <v>40</v>
      </c>
      <c r="D3830">
        <v>5.0703490000000002</v>
      </c>
      <c r="E3830">
        <v>0.44241940000000002</v>
      </c>
      <c r="F3830" t="s">
        <v>43</v>
      </c>
      <c r="G3830">
        <v>-424.00040000000001</v>
      </c>
      <c r="H3830" s="1">
        <v>-4.6772279999999998E-6</v>
      </c>
      <c r="I3830">
        <v>58.645829999999997</v>
      </c>
      <c r="J3830">
        <v>-420.64150000000001</v>
      </c>
      <c r="K3830">
        <v>1.128573</v>
      </c>
      <c r="L3830">
        <v>118.3043</v>
      </c>
      <c r="M3830">
        <v>-0.33632709999999999</v>
      </c>
      <c r="N3830">
        <v>-1.512747E-2</v>
      </c>
      <c r="O3830">
        <v>-0.94162400000000002</v>
      </c>
      <c r="P3830">
        <v>-0.2018055</v>
      </c>
      <c r="Q3830">
        <v>0.2101576</v>
      </c>
      <c r="R3830">
        <v>-0.95661309999999999</v>
      </c>
      <c r="S3830">
        <v>-0.17947389999999999</v>
      </c>
      <c r="T3830">
        <v>-5.8663010000000002E-2</v>
      </c>
      <c r="U3830">
        <v>-3.1151430000000002</v>
      </c>
      <c r="V3830">
        <v>-0.13572219999999999</v>
      </c>
      <c r="W3830">
        <v>0.22239809999999999</v>
      </c>
      <c r="X3830">
        <v>0.96546290000000001</v>
      </c>
      <c r="Y3830">
        <v>-0.28156740000000002</v>
      </c>
      <c r="Z3830">
        <v>1.8166199999999999E-3</v>
      </c>
      <c r="AA3830">
        <v>0.9595397</v>
      </c>
      <c r="AB3830">
        <v>30</v>
      </c>
      <c r="AC3830">
        <v>-3.3589000000000002</v>
      </c>
      <c r="AD3830">
        <v>-1.1285776772280001</v>
      </c>
      <c r="AE3830">
        <v>-59.658470000000001</v>
      </c>
      <c r="AF3830">
        <v>-16.897841215220499</v>
      </c>
      <c r="AG3830">
        <v>-1.1285776772280001</v>
      </c>
      <c r="AH3830">
        <v>57.291641637528002</v>
      </c>
      <c r="AI3830">
        <v>91.082425343867897</v>
      </c>
      <c r="AJ3830">
        <v>106.433121530685</v>
      </c>
      <c r="AK3830">
        <v>59.7423043314474</v>
      </c>
      <c r="AL3830">
        <v>77.150076170950797</v>
      </c>
      <c r="AM3830">
        <v>98.002050707074005</v>
      </c>
      <c r="AN3830">
        <v>1.0000000208664299</v>
      </c>
    </row>
    <row r="3831" spans="1:40" x14ac:dyDescent="0.25">
      <c r="A3831" t="str">
        <f>"20190303170845929"</f>
        <v>20190303170845929</v>
      </c>
      <c r="B3831" t="str">
        <f>"1551604125916863"</f>
        <v>1551604125916863</v>
      </c>
      <c r="C3831" t="s">
        <v>40</v>
      </c>
      <c r="D3831">
        <v>5.0981690000000004</v>
      </c>
      <c r="E3831">
        <v>0.44246609999999997</v>
      </c>
      <c r="F3831" t="s">
        <v>43</v>
      </c>
      <c r="G3831">
        <v>-423.58839999999998</v>
      </c>
      <c r="H3831" s="1">
        <v>-4.2894680000000001E-6</v>
      </c>
      <c r="I3831">
        <v>57.721110000000003</v>
      </c>
      <c r="J3831">
        <v>-420.73790000000002</v>
      </c>
      <c r="K3831">
        <v>1.1283399999999999</v>
      </c>
      <c r="L3831">
        <v>118.0073</v>
      </c>
      <c r="M3831">
        <v>-0.3280981</v>
      </c>
      <c r="N3831">
        <v>-1.50831E-2</v>
      </c>
      <c r="O3831">
        <v>-0.94452329999999995</v>
      </c>
      <c r="P3831">
        <v>-0.1931109</v>
      </c>
      <c r="Q3831">
        <v>0.21057090000000001</v>
      </c>
      <c r="R3831">
        <v>-0.95831560000000005</v>
      </c>
      <c r="S3831">
        <v>-0.15161129999999901</v>
      </c>
      <c r="T3831">
        <v>-5.8061599999999998E-2</v>
      </c>
      <c r="U3831">
        <v>-3.116806</v>
      </c>
      <c r="V3831">
        <v>-0.13591010000000001</v>
      </c>
      <c r="W3831">
        <v>0.2228416</v>
      </c>
      <c r="X3831">
        <v>0.96533420000000003</v>
      </c>
      <c r="Y3831">
        <v>-0.28177839999999998</v>
      </c>
      <c r="Z3831">
        <v>1.736252E-3</v>
      </c>
      <c r="AA3831">
        <v>0.95947800000000005</v>
      </c>
      <c r="AB3831">
        <v>30</v>
      </c>
      <c r="AC3831">
        <v>-2.8504999999999501</v>
      </c>
      <c r="AD3831">
        <v>-1.12834428946799</v>
      </c>
      <c r="AE3831">
        <v>-60.286189999999998</v>
      </c>
      <c r="AF3831">
        <v>-17.083392599101298</v>
      </c>
      <c r="AG3831">
        <v>-1.12834428946799</v>
      </c>
      <c r="AH3831">
        <v>57.8633110440555</v>
      </c>
      <c r="AI3831">
        <v>91.071427149433802</v>
      </c>
      <c r="AJ3831">
        <v>106.448552442709</v>
      </c>
      <c r="AK3831">
        <v>60.343004801813699</v>
      </c>
      <c r="AL3831">
        <v>77.124011471397907</v>
      </c>
      <c r="AM3831">
        <v>98.014039744941797</v>
      </c>
      <c r="AN3831">
        <v>1.0000000258310999</v>
      </c>
    </row>
    <row r="3832" spans="1:40" x14ac:dyDescent="0.25">
      <c r="A3832" t="str">
        <f>"20190303170845951"</f>
        <v>20190303170845951</v>
      </c>
      <c r="B3832" t="str">
        <f>"1551604125937360"</f>
        <v>1551604125937360</v>
      </c>
      <c r="C3832" t="s">
        <v>40</v>
      </c>
      <c r="D3832">
        <v>5.1280029999999996</v>
      </c>
      <c r="E3832">
        <v>0.44262679999999999</v>
      </c>
      <c r="F3832" t="s">
        <v>43</v>
      </c>
      <c r="G3832">
        <v>-423.16219999999998</v>
      </c>
      <c r="H3832" s="1">
        <v>-3.9471090000000003E-6</v>
      </c>
      <c r="I3832">
        <v>56.937260000000002</v>
      </c>
      <c r="J3832">
        <v>-420.82229999999998</v>
      </c>
      <c r="K3832">
        <v>1.1281369999999999</v>
      </c>
      <c r="L3832">
        <v>117.7402</v>
      </c>
      <c r="M3832">
        <v>-0.3209244</v>
      </c>
      <c r="N3832">
        <v>-1.50437E-2</v>
      </c>
      <c r="O3832">
        <v>-0.94698530000000003</v>
      </c>
      <c r="P3832">
        <v>-0.1847106</v>
      </c>
      <c r="Q3832">
        <v>0.21079200000000001</v>
      </c>
      <c r="R3832">
        <v>-0.95992129999999998</v>
      </c>
      <c r="S3832">
        <v>-0.12377929999999999</v>
      </c>
      <c r="T3832">
        <v>-5.7612539999999997E-2</v>
      </c>
      <c r="U3832">
        <v>-3.1181950000000001</v>
      </c>
      <c r="V3832">
        <v>-0.1369195</v>
      </c>
      <c r="W3832">
        <v>0.2230722</v>
      </c>
      <c r="X3832">
        <v>0.9651383</v>
      </c>
      <c r="Y3832">
        <v>-0.283068599999999</v>
      </c>
      <c r="Z3832">
        <v>1.680974E-3</v>
      </c>
      <c r="AA3832">
        <v>0.95909820000000001</v>
      </c>
      <c r="AB3832">
        <v>30</v>
      </c>
      <c r="AC3832">
        <v>-2.3399000000000001</v>
      </c>
      <c r="AD3832">
        <v>-1.128140947109</v>
      </c>
      <c r="AE3832">
        <v>-60.80294</v>
      </c>
      <c r="AF3832">
        <v>-17.293309802491802</v>
      </c>
      <c r="AG3832">
        <v>-1.128140947109</v>
      </c>
      <c r="AH3832">
        <v>58.316978561860701</v>
      </c>
      <c r="AI3832">
        <v>91.062525930080795</v>
      </c>
      <c r="AJ3832">
        <v>106.51719046736601</v>
      </c>
      <c r="AK3832">
        <v>60.837498752874602</v>
      </c>
      <c r="AL3832">
        <v>77.110458176225805</v>
      </c>
      <c r="AM3832">
        <v>98.074394970483496</v>
      </c>
      <c r="AN3832">
        <v>1.0000000470099799</v>
      </c>
    </row>
    <row r="3833" spans="1:40" x14ac:dyDescent="0.25">
      <c r="A3833" t="str">
        <f>"20190303170845972"</f>
        <v>20190303170845972</v>
      </c>
      <c r="B3833" t="str">
        <f>"1551604125967616"</f>
        <v>1551604125967616</v>
      </c>
      <c r="C3833" t="s">
        <v>40</v>
      </c>
      <c r="D3833">
        <v>5.1368169999999997</v>
      </c>
      <c r="E3833">
        <v>0.4430192</v>
      </c>
      <c r="F3833" t="s">
        <v>43</v>
      </c>
      <c r="G3833">
        <v>-422.72550000000001</v>
      </c>
      <c r="H3833" s="1">
        <v>-4.0798369999999998E-6</v>
      </c>
      <c r="I3833">
        <v>57.554920000000003</v>
      </c>
      <c r="J3833">
        <v>-420.90910000000002</v>
      </c>
      <c r="K3833">
        <v>1.127948</v>
      </c>
      <c r="L3833">
        <v>117.45829999999999</v>
      </c>
      <c r="M3833">
        <v>-0.31353239999999999</v>
      </c>
      <c r="N3833">
        <v>-1.500425E-2</v>
      </c>
      <c r="O3833">
        <v>-0.9494591</v>
      </c>
      <c r="P3833">
        <v>-0.17600209999999999</v>
      </c>
      <c r="Q3833">
        <v>0.21035899999999999</v>
      </c>
      <c r="R3833">
        <v>-0.96165120000000004</v>
      </c>
      <c r="S3833">
        <v>-9.8632810000000001E-2</v>
      </c>
      <c r="T3833">
        <v>-5.8466079999999997E-2</v>
      </c>
      <c r="U3833">
        <v>-3.11911</v>
      </c>
      <c r="V3833">
        <v>-0.13806350000000001</v>
      </c>
      <c r="W3833">
        <v>0.22264410000000001</v>
      </c>
      <c r="X3833">
        <v>0.96507410000000005</v>
      </c>
      <c r="Y3833">
        <v>-0.28332479999999999</v>
      </c>
      <c r="Z3833">
        <v>2.0101720000000002E-3</v>
      </c>
      <c r="AA3833">
        <v>0.95902189999999998</v>
      </c>
      <c r="AB3833">
        <v>30</v>
      </c>
      <c r="AC3833">
        <v>-1.81639999999998</v>
      </c>
      <c r="AD3833">
        <v>-1.127952079837</v>
      </c>
      <c r="AE3833">
        <v>-59.903379999999999</v>
      </c>
      <c r="AF3833">
        <v>-17.052930387741998</v>
      </c>
      <c r="AG3833">
        <v>-1.127952079837</v>
      </c>
      <c r="AH3833">
        <v>57.431425275408998</v>
      </c>
      <c r="AI3833">
        <v>91.078611127273504</v>
      </c>
      <c r="AJ3833">
        <v>106.537566322849</v>
      </c>
      <c r="AK3833">
        <v>59.920308075547098</v>
      </c>
      <c r="AL3833">
        <v>77.1356182950353</v>
      </c>
      <c r="AM3833">
        <v>98.141492388093695</v>
      </c>
      <c r="AN3833">
        <v>0.99999997189393397</v>
      </c>
    </row>
    <row r="3834" spans="1:40" x14ac:dyDescent="0.25">
      <c r="A3834" t="str">
        <f>"20190303170845994"</f>
        <v>20190303170845994</v>
      </c>
      <c r="B3834" t="str">
        <f>"1551604125987136"</f>
        <v>1551604125987136</v>
      </c>
      <c r="C3834" t="s">
        <v>40</v>
      </c>
      <c r="D3834">
        <v>5.1341830000000002</v>
      </c>
      <c r="E3834">
        <v>0.44339109999999998</v>
      </c>
      <c r="F3834" t="s">
        <v>43</v>
      </c>
      <c r="G3834">
        <v>-422.26190000000003</v>
      </c>
      <c r="H3834" s="1">
        <v>-1.033625E-6</v>
      </c>
      <c r="I3834">
        <v>60.595619999999997</v>
      </c>
      <c r="J3834">
        <v>-420.99610000000001</v>
      </c>
      <c r="K3834">
        <v>1.127791</v>
      </c>
      <c r="L3834">
        <v>117.1681</v>
      </c>
      <c r="M3834">
        <v>-0.30605979999999999</v>
      </c>
      <c r="N3834">
        <v>-1.4967680000000001E-2</v>
      </c>
      <c r="O3834">
        <v>-0.95189489999999999</v>
      </c>
      <c r="P3834">
        <v>-0.16757359999999999</v>
      </c>
      <c r="Q3834">
        <v>0.2105667</v>
      </c>
      <c r="R3834">
        <v>-0.96311020000000003</v>
      </c>
      <c r="S3834">
        <v>-7.421875E-2</v>
      </c>
      <c r="T3834">
        <v>-6.1881180000000001E-2</v>
      </c>
      <c r="U3834">
        <v>-3.119583</v>
      </c>
      <c r="V3834">
        <v>-0.13883199999999901</v>
      </c>
      <c r="W3834">
        <v>0.222856</v>
      </c>
      <c r="X3834">
        <v>0.96491490000000002</v>
      </c>
      <c r="Y3834">
        <v>-0.2832885</v>
      </c>
      <c r="Z3834">
        <v>3.086573E-3</v>
      </c>
      <c r="AA3834">
        <v>0.95902969999999998</v>
      </c>
      <c r="AB3834">
        <v>30</v>
      </c>
      <c r="AC3834">
        <v>-1.26580000000001</v>
      </c>
      <c r="AD3834">
        <v>-1.127792033625</v>
      </c>
      <c r="AE3834">
        <v>-56.572479999999999</v>
      </c>
      <c r="AF3834">
        <v>-16.1050566529265</v>
      </c>
      <c r="AG3834">
        <v>-1.127792033625</v>
      </c>
      <c r="AH3834">
        <v>54.222989389546903</v>
      </c>
      <c r="AI3834">
        <v>91.142227705719904</v>
      </c>
      <c r="AJ3834">
        <v>106.54222429254</v>
      </c>
      <c r="AK3834">
        <v>56.575412884078901</v>
      </c>
      <c r="AL3834">
        <v>77.123164039090099</v>
      </c>
      <c r="AM3834">
        <v>98.187529971670202</v>
      </c>
      <c r="AN3834">
        <v>0.999999942601003</v>
      </c>
    </row>
    <row r="3835" spans="1:40" x14ac:dyDescent="0.25">
      <c r="A3835" t="str">
        <f>"20190303170846016"</f>
        <v>20190303170846016</v>
      </c>
      <c r="B3835" t="str">
        <f>"1551604126007632"</f>
        <v>1551604126007632</v>
      </c>
      <c r="C3835" t="s">
        <v>40</v>
      </c>
      <c r="D3835">
        <v>5.1553000000000004</v>
      </c>
      <c r="E3835">
        <v>0.44380029999999998</v>
      </c>
      <c r="F3835" t="s">
        <v>43</v>
      </c>
      <c r="G3835">
        <v>-421.89249999999998</v>
      </c>
      <c r="H3835" s="1">
        <v>-1.5048810000000001E-6</v>
      </c>
      <c r="I3835">
        <v>61.923209999999997</v>
      </c>
      <c r="J3835">
        <v>-421.07479999999998</v>
      </c>
      <c r="K3835">
        <v>1.1276759999999999</v>
      </c>
      <c r="L3835">
        <v>116.89879999999999</v>
      </c>
      <c r="M3835">
        <v>-0.29921569999999997</v>
      </c>
      <c r="N3835">
        <v>-1.493792E-2</v>
      </c>
      <c r="O3835">
        <v>-0.95406860000000004</v>
      </c>
      <c r="P3835">
        <v>-0.16069</v>
      </c>
      <c r="Q3835">
        <v>0.21053230000000001</v>
      </c>
      <c r="R3835">
        <v>-0.96429010000000004</v>
      </c>
      <c r="S3835">
        <v>-5.0628659999999999E-2</v>
      </c>
      <c r="T3835">
        <v>-6.3693520000000003E-2</v>
      </c>
      <c r="U3835">
        <v>-3.1200260000000002</v>
      </c>
      <c r="V3835">
        <v>-0.13873150000000001</v>
      </c>
      <c r="W3835">
        <v>0.22283320000000001</v>
      </c>
      <c r="X3835">
        <v>0.96493459999999998</v>
      </c>
      <c r="Y3835">
        <v>-0.28365119999999999</v>
      </c>
      <c r="Z3835">
        <v>3.688237E-3</v>
      </c>
      <c r="AA3835">
        <v>0.95892040000000001</v>
      </c>
      <c r="AB3835">
        <v>30</v>
      </c>
      <c r="AC3835">
        <v>-0.81770000000000198</v>
      </c>
      <c r="AD3835">
        <v>-1.1276775048809999</v>
      </c>
      <c r="AE3835">
        <v>-54.975589999999997</v>
      </c>
      <c r="AF3835">
        <v>-15.664576239855499</v>
      </c>
      <c r="AG3835">
        <v>-1.1276775048809999</v>
      </c>
      <c r="AH3835">
        <v>52.678871202499003</v>
      </c>
      <c r="AI3835">
        <v>91.175469410210496</v>
      </c>
      <c r="AJ3835">
        <v>106.560359279585</v>
      </c>
      <c r="AK3835">
        <v>54.9701198515952</v>
      </c>
      <c r="AL3835">
        <v>77.124503825482904</v>
      </c>
      <c r="AM3835">
        <v>98.181518543730903</v>
      </c>
      <c r="AN3835">
        <v>0.99999992319582198</v>
      </c>
    </row>
    <row r="3836" spans="1:40" x14ac:dyDescent="0.25">
      <c r="A3836" t="str">
        <f>"20190303170846040"</f>
        <v>20190303170846040</v>
      </c>
      <c r="B3836" t="str">
        <f>"1551604126027152"</f>
        <v>1551604126027152</v>
      </c>
      <c r="C3836" t="s">
        <v>40</v>
      </c>
      <c r="D3836">
        <v>5.1835610000000001</v>
      </c>
      <c r="E3836">
        <v>0.44427549999999999</v>
      </c>
      <c r="F3836" t="s">
        <v>43</v>
      </c>
      <c r="G3836">
        <v>-421.6284</v>
      </c>
      <c r="H3836" s="1">
        <v>-1.8732990000000001E-6</v>
      </c>
      <c r="I3836">
        <v>62.945819999999998</v>
      </c>
      <c r="J3836">
        <v>-421.16160000000002</v>
      </c>
      <c r="K3836">
        <v>1.1275809999999999</v>
      </c>
      <c r="L3836">
        <v>116.5932</v>
      </c>
      <c r="M3836">
        <v>-0.29152430000000001</v>
      </c>
      <c r="N3836">
        <v>-1.490826E-2</v>
      </c>
      <c r="O3836">
        <v>-0.95644739999999995</v>
      </c>
      <c r="P3836">
        <v>-0.1534635</v>
      </c>
      <c r="Q3836">
        <v>0.21027750000000001</v>
      </c>
      <c r="R3836">
        <v>-0.96552190000000004</v>
      </c>
      <c r="S3836">
        <v>-3.2012939999999997E-2</v>
      </c>
      <c r="T3836">
        <v>-6.5211770000000002E-2</v>
      </c>
      <c r="U3836">
        <v>-3.1200100000000002</v>
      </c>
      <c r="V3836">
        <v>-0.13814479999999901</v>
      </c>
      <c r="W3836">
        <v>0.22259390000000001</v>
      </c>
      <c r="X3836">
        <v>0.96507410000000005</v>
      </c>
      <c r="Y3836">
        <v>-0.2816497</v>
      </c>
      <c r="Z3836">
        <v>4.2276520000000001E-3</v>
      </c>
      <c r="AA3836">
        <v>0.95950800000000003</v>
      </c>
      <c r="AB3836">
        <v>30</v>
      </c>
      <c r="AC3836">
        <v>-0.46679999999997701</v>
      </c>
      <c r="AD3836">
        <v>-1.1275828732990001</v>
      </c>
      <c r="AE3836">
        <v>-53.647379999999998</v>
      </c>
      <c r="AF3836">
        <v>-15.1880224491658</v>
      </c>
      <c r="AG3836">
        <v>-1.1275828732990001</v>
      </c>
      <c r="AH3836">
        <v>51.429972339744602</v>
      </c>
      <c r="AI3836">
        <v>91.204575307914794</v>
      </c>
      <c r="AJ3836">
        <v>106.452640753838</v>
      </c>
      <c r="AK3836">
        <v>53.6375756715329</v>
      </c>
      <c r="AL3836">
        <v>77.138569264492105</v>
      </c>
      <c r="AM3836">
        <v>98.146222253456699</v>
      </c>
      <c r="AN3836">
        <v>1.00000002428752</v>
      </c>
    </row>
    <row r="3837" spans="1:40" x14ac:dyDescent="0.25">
      <c r="A3837" t="str">
        <f>"20190303170846084"</f>
        <v>20190303170846084</v>
      </c>
      <c r="B3837" t="str">
        <f>"1551604126076928"</f>
        <v>1551604126076928</v>
      </c>
      <c r="C3837" t="s">
        <v>40</v>
      </c>
      <c r="D3837">
        <v>5.1613569999999998</v>
      </c>
      <c r="E3837">
        <v>0.45555820000000002</v>
      </c>
      <c r="F3837" t="s">
        <v>43</v>
      </c>
      <c r="G3837">
        <v>-421.36130000000003</v>
      </c>
      <c r="H3837" s="1">
        <v>-2.3568500000000001E-6</v>
      </c>
      <c r="I3837">
        <v>64.238640000000004</v>
      </c>
      <c r="J3837">
        <v>-421.31439999999998</v>
      </c>
      <c r="K3837">
        <v>1.1274630000000001</v>
      </c>
      <c r="L3837">
        <v>116.0316</v>
      </c>
      <c r="M3837">
        <v>-0.27748289999999998</v>
      </c>
      <c r="N3837">
        <v>-1.4862200000000001E-2</v>
      </c>
      <c r="O3837">
        <v>-0.96061580000000002</v>
      </c>
      <c r="P3837">
        <v>-0.14188680000000001</v>
      </c>
      <c r="Q3837">
        <v>0.2108343</v>
      </c>
      <c r="R3837">
        <v>-0.96716979999999997</v>
      </c>
      <c r="S3837">
        <v>-1.190186E-2</v>
      </c>
      <c r="T3837">
        <v>-6.7193749999999997E-2</v>
      </c>
      <c r="U3837">
        <v>-3.1198579999999998</v>
      </c>
      <c r="V3837">
        <v>-0.135464</v>
      </c>
      <c r="W3837">
        <v>0.2231921</v>
      </c>
      <c r="X3837">
        <v>0.9653159</v>
      </c>
      <c r="Y3837">
        <v>-0.27377040000000002</v>
      </c>
      <c r="Z3837">
        <v>4.9997669999999996E-3</v>
      </c>
      <c r="AA3837">
        <v>0.96178209999999997</v>
      </c>
      <c r="AB3837">
        <v>30</v>
      </c>
      <c r="AC3837">
        <v>-4.6900000000050499E-2</v>
      </c>
      <c r="AD3837">
        <v>-1.1274653568499999</v>
      </c>
      <c r="AE3837">
        <v>-51.792960000000001</v>
      </c>
      <c r="AF3837">
        <v>-14.3214012418248</v>
      </c>
      <c r="AG3837">
        <v>-1.1274653568499999</v>
      </c>
      <c r="AH3837">
        <v>49.748063493780698</v>
      </c>
      <c r="AI3837">
        <v>91.247647872134806</v>
      </c>
      <c r="AJ3837">
        <v>106.059975633265</v>
      </c>
      <c r="AK3837">
        <v>51.780725497442397</v>
      </c>
      <c r="AL3837">
        <v>77.103410088284605</v>
      </c>
      <c r="AM3837">
        <v>97.988224695074294</v>
      </c>
      <c r="AN3837">
        <v>0.99999999779561</v>
      </c>
    </row>
    <row r="3838" spans="1:40" x14ac:dyDescent="0.25">
      <c r="A3838" t="str">
        <f>"20190303170846107"</f>
        <v>20190303170846107</v>
      </c>
      <c r="B3838" t="str">
        <f>"1551604126097424"</f>
        <v>1551604126097424</v>
      </c>
      <c r="C3838" t="s">
        <v>40</v>
      </c>
      <c r="D3838">
        <v>5.1708910000000001</v>
      </c>
      <c r="E3838">
        <v>0.4562252</v>
      </c>
      <c r="F3838" t="s">
        <v>43</v>
      </c>
      <c r="G3838">
        <v>-422.04989999999998</v>
      </c>
      <c r="H3838" s="1">
        <v>-4.5859340000000001E-6</v>
      </c>
      <c r="I3838">
        <v>79.394269999999906</v>
      </c>
      <c r="J3838">
        <v>-421.39049999999997</v>
      </c>
      <c r="K3838">
        <v>1.1274230000000001</v>
      </c>
      <c r="L3838">
        <v>115.7392</v>
      </c>
      <c r="M3838">
        <v>-0.27017839999999999</v>
      </c>
      <c r="N3838">
        <v>-1.484195E-2</v>
      </c>
      <c r="O3838">
        <v>-0.96269610000000005</v>
      </c>
      <c r="P3838">
        <v>-0.13669400000000001</v>
      </c>
      <c r="Q3838">
        <v>0.21186969999999999</v>
      </c>
      <c r="R3838">
        <v>-0.96769119999999997</v>
      </c>
      <c r="S3838">
        <v>-6.25E-2</v>
      </c>
      <c r="T3838">
        <v>-9.5815659999999997E-2</v>
      </c>
      <c r="U3838">
        <v>-3.113556</v>
      </c>
      <c r="V3838">
        <v>-0.13323180000000001</v>
      </c>
      <c r="W3838">
        <v>0.22425870000000001</v>
      </c>
      <c r="X3838">
        <v>0.9653794</v>
      </c>
      <c r="Y3838">
        <v>-0.25074469999999999</v>
      </c>
      <c r="Z3838">
        <v>1.3753319999999999E-2</v>
      </c>
      <c r="AA3838">
        <v>0.96795549999999997</v>
      </c>
      <c r="AB3838">
        <v>30</v>
      </c>
      <c r="AC3838">
        <v>-0.65940000000000498</v>
      </c>
      <c r="AD3838">
        <v>-1.1274275859339999</v>
      </c>
      <c r="AE3838">
        <v>-36.344929999999998</v>
      </c>
      <c r="AF3838">
        <v>-9.1769953468562502</v>
      </c>
      <c r="AG3838">
        <v>-1.1274275859339999</v>
      </c>
      <c r="AH3838">
        <v>35.137344506682901</v>
      </c>
      <c r="AI3838">
        <v>91.778173306343902</v>
      </c>
      <c r="AJ3838">
        <v>104.63725691469701</v>
      </c>
      <c r="AK3838">
        <v>36.333473760969603</v>
      </c>
      <c r="AL3838">
        <v>77.040709518931394</v>
      </c>
      <c r="AM3838">
        <v>97.857740887455407</v>
      </c>
      <c r="AN3838">
        <v>1.0000000315006401</v>
      </c>
    </row>
    <row r="3839" spans="1:40" x14ac:dyDescent="0.25">
      <c r="A3839" t="str">
        <f>"20190303170846127"</f>
        <v>20190303170846127</v>
      </c>
      <c r="B3839" t="str">
        <f>"1551604126117921"</f>
        <v>1551604126117921</v>
      </c>
      <c r="C3839" t="s">
        <v>40</v>
      </c>
      <c r="D3839">
        <v>5.1779529999999996</v>
      </c>
      <c r="E3839">
        <v>0.4570708</v>
      </c>
      <c r="F3839" t="s">
        <v>43</v>
      </c>
      <c r="G3839">
        <v>-421.99439999999998</v>
      </c>
      <c r="H3839" s="1">
        <v>-4.2076420000000001E-6</v>
      </c>
      <c r="I3839">
        <v>78.311580000000006</v>
      </c>
      <c r="J3839">
        <v>-421.45690000000002</v>
      </c>
      <c r="K3839">
        <v>1.1273919999999999</v>
      </c>
      <c r="L3839">
        <v>115.4765</v>
      </c>
      <c r="M3839">
        <v>-0.26360830000000002</v>
      </c>
      <c r="N3839">
        <v>-1.482575E-2</v>
      </c>
      <c r="O3839">
        <v>-0.96451589999999998</v>
      </c>
      <c r="P3839">
        <v>-0.13227459999999999</v>
      </c>
      <c r="Q3839">
        <v>0.2122047</v>
      </c>
      <c r="R3839">
        <v>-0.96823179999999998</v>
      </c>
      <c r="S3839">
        <v>-5.0231930000000001E-2</v>
      </c>
      <c r="T3839">
        <v>-9.3790529999999997E-2</v>
      </c>
      <c r="U3839">
        <v>-3.1136020000000002</v>
      </c>
      <c r="V3839">
        <v>-0.13101460000000001</v>
      </c>
      <c r="W3839">
        <v>0.2246263</v>
      </c>
      <c r="X3839">
        <v>0.96559729999999999</v>
      </c>
      <c r="Y3839">
        <v>-0.2479587</v>
      </c>
      <c r="Z3839">
        <v>1.3250659999999999E-2</v>
      </c>
      <c r="AA3839">
        <v>0.96867999999999999</v>
      </c>
      <c r="AB3839">
        <v>30</v>
      </c>
      <c r="AC3839">
        <v>-0.53749999999996501</v>
      </c>
      <c r="AD3839">
        <v>-1.1273962076420001</v>
      </c>
      <c r="AE3839">
        <v>-37.164920000000002</v>
      </c>
      <c r="AF3839">
        <v>-9.2710441811594002</v>
      </c>
      <c r="AG3839">
        <v>-1.1273962076420001</v>
      </c>
      <c r="AH3839">
        <v>35.958717774936403</v>
      </c>
      <c r="AI3839">
        <v>91.738947943568405</v>
      </c>
      <c r="AJ3839">
        <v>104.457408687354</v>
      </c>
      <c r="AK3839">
        <v>37.1517518622681</v>
      </c>
      <c r="AL3839">
        <v>77.019095403196999</v>
      </c>
      <c r="AM3839">
        <v>97.726845494914997</v>
      </c>
      <c r="AN3839">
        <v>0.99999997291606901</v>
      </c>
    </row>
    <row r="3840" spans="1:40" x14ac:dyDescent="0.25">
      <c r="A3840" t="str">
        <f>"20190303170846150"</f>
        <v>20190303170846150</v>
      </c>
      <c r="B3840" t="str">
        <f>"1551604126137440"</f>
        <v>1551604126137440</v>
      </c>
      <c r="C3840" t="s">
        <v>40</v>
      </c>
      <c r="D3840">
        <v>5.1761140000000001</v>
      </c>
      <c r="E3840">
        <v>0.45778560000000001</v>
      </c>
      <c r="F3840" t="s">
        <v>43</v>
      </c>
      <c r="G3840">
        <v>-421.94240000000002</v>
      </c>
      <c r="H3840" s="1">
        <v>-4.3574720000000003E-6</v>
      </c>
      <c r="I3840">
        <v>78.778919999999999</v>
      </c>
      <c r="J3840">
        <v>-421.52640000000002</v>
      </c>
      <c r="K3840">
        <v>1.1273580000000001</v>
      </c>
      <c r="L3840">
        <v>115.19289999999999</v>
      </c>
      <c r="M3840">
        <v>-0.25651000000000002</v>
      </c>
      <c r="N3840">
        <v>-1.481001E-2</v>
      </c>
      <c r="O3840">
        <v>-0.96642799999999995</v>
      </c>
      <c r="P3840">
        <v>-0.12663530000000001</v>
      </c>
      <c r="Q3840">
        <v>0.2111024</v>
      </c>
      <c r="R3840">
        <v>-0.96922620000000004</v>
      </c>
      <c r="S3840">
        <v>-4.1198730000000003E-2</v>
      </c>
      <c r="T3840">
        <v>-9.5658419999999994E-2</v>
      </c>
      <c r="U3840">
        <v>-3.1137540000000001</v>
      </c>
      <c r="V3840">
        <v>-0.1295579</v>
      </c>
      <c r="W3840">
        <v>0.22354769999999999</v>
      </c>
      <c r="X3840">
        <v>0.96604409999999996</v>
      </c>
      <c r="Y3840">
        <v>-0.24364479999999999</v>
      </c>
      <c r="Z3840">
        <v>1.3921799999999899E-2</v>
      </c>
      <c r="AA3840">
        <v>0.96976459999999998</v>
      </c>
      <c r="AB3840">
        <v>30</v>
      </c>
      <c r="AC3840">
        <v>-0.41599999999999598</v>
      </c>
      <c r="AD3840">
        <v>-1.127362357472</v>
      </c>
      <c r="AE3840">
        <v>-36.413980000000002</v>
      </c>
      <c r="AF3840">
        <v>-8.9309381470817897</v>
      </c>
      <c r="AG3840">
        <v>-1.127362357472</v>
      </c>
      <c r="AH3840">
        <v>35.268273234397597</v>
      </c>
      <c r="AI3840">
        <v>91.774870797154804</v>
      </c>
      <c r="AJ3840">
        <v>104.21021855540999</v>
      </c>
      <c r="AK3840">
        <v>36.3989518943633</v>
      </c>
      <c r="AL3840">
        <v>77.082507785858695</v>
      </c>
      <c r="AM3840">
        <v>97.638461891575801</v>
      </c>
      <c r="AN3840">
        <v>1.0000000133862501</v>
      </c>
    </row>
    <row r="3841" spans="1:40" x14ac:dyDescent="0.25">
      <c r="A3841" t="str">
        <f>"20190303170846172"</f>
        <v>20190303170846172</v>
      </c>
      <c r="B3841" t="str">
        <f>"1551604126167697"</f>
        <v>1551604126167697</v>
      </c>
      <c r="C3841" t="s">
        <v>40</v>
      </c>
      <c r="D3841">
        <v>5.1995610000000001</v>
      </c>
      <c r="E3841">
        <v>0.46295530000000001</v>
      </c>
      <c r="F3841" t="s">
        <v>43</v>
      </c>
      <c r="G3841">
        <v>-421.84530000000001</v>
      </c>
      <c r="H3841" s="1">
        <v>-9.3104249999999997E-7</v>
      </c>
      <c r="I3841">
        <v>80.614850000000004</v>
      </c>
      <c r="J3841">
        <v>-421.59589999999997</v>
      </c>
      <c r="K3841">
        <v>1.1273299999999999</v>
      </c>
      <c r="L3841">
        <v>114.8991</v>
      </c>
      <c r="M3841">
        <v>-0.24914729999999999</v>
      </c>
      <c r="N3841">
        <v>-1.479522E-2</v>
      </c>
      <c r="O3841">
        <v>-0.96835260000000001</v>
      </c>
      <c r="P3841">
        <v>-0.1205514</v>
      </c>
      <c r="Q3841">
        <v>0.2110242</v>
      </c>
      <c r="R3841">
        <v>-0.97001859999999995</v>
      </c>
      <c r="S3841">
        <v>-2.8717039999999999E-2</v>
      </c>
      <c r="T3841">
        <v>-0.1015141</v>
      </c>
      <c r="U3841">
        <v>-3.1136170000000001</v>
      </c>
      <c r="V3841">
        <v>-0.12824859999999999</v>
      </c>
      <c r="W3841">
        <v>0.22348680000000001</v>
      </c>
      <c r="X3841">
        <v>0.96623289999999995</v>
      </c>
      <c r="Y3841">
        <v>-0.24014630000000001</v>
      </c>
      <c r="Z3841">
        <v>1.579417E-2</v>
      </c>
      <c r="AA3841">
        <v>0.97060820000000003</v>
      </c>
      <c r="AB3841">
        <v>30</v>
      </c>
      <c r="AC3841">
        <v>-0.24940000000003601</v>
      </c>
      <c r="AD3841">
        <v>-1.1273309310424999</v>
      </c>
      <c r="AE3841">
        <v>-34.28425</v>
      </c>
      <c r="AF3841">
        <v>-8.2922643788050205</v>
      </c>
      <c r="AG3841">
        <v>-1.1273309310424999</v>
      </c>
      <c r="AH3841">
        <v>33.229094419913302</v>
      </c>
      <c r="AI3841">
        <v>91.885299798570102</v>
      </c>
      <c r="AJ3841">
        <v>104.011883336729</v>
      </c>
      <c r="AK3841">
        <v>34.266678268014203</v>
      </c>
      <c r="AL3841">
        <v>77.0860879553221</v>
      </c>
      <c r="AM3841">
        <v>97.560705604284394</v>
      </c>
      <c r="AN3841">
        <v>1.0000000351092999</v>
      </c>
    </row>
    <row r="3842" spans="1:40" x14ac:dyDescent="0.25">
      <c r="A3842" t="str">
        <f>"20190303170846196"</f>
        <v>20190303170846196</v>
      </c>
      <c r="B3842" t="str">
        <f>"1551604126187217"</f>
        <v>1551604126187217</v>
      </c>
      <c r="C3842" t="s">
        <v>40</v>
      </c>
      <c r="D3842">
        <v>5.2128129999999997</v>
      </c>
      <c r="E3842">
        <v>0.46248159999999999</v>
      </c>
      <c r="F3842" t="s">
        <v>43</v>
      </c>
      <c r="G3842">
        <v>-422.07010000000002</v>
      </c>
      <c r="H3842" s="1">
        <v>-3.0499030000000001E-6</v>
      </c>
      <c r="I3842">
        <v>85.414590000000004</v>
      </c>
      <c r="J3842">
        <v>-421.66789999999997</v>
      </c>
      <c r="K3842">
        <v>1.12731</v>
      </c>
      <c r="L3842">
        <v>114.584</v>
      </c>
      <c r="M3842">
        <v>-0.24124290000000001</v>
      </c>
      <c r="N3842">
        <v>-1.478077E-2</v>
      </c>
      <c r="O3842">
        <v>-0.97035249999999995</v>
      </c>
      <c r="P3842">
        <v>-0.1152054</v>
      </c>
      <c r="Q3842">
        <v>0.2123517</v>
      </c>
      <c r="R3842">
        <v>-0.97037890000000004</v>
      </c>
      <c r="S3842">
        <v>-5.0048830000000002E-2</v>
      </c>
      <c r="T3842">
        <v>-0.1190015</v>
      </c>
      <c r="U3842">
        <v>-3.1123959999999999</v>
      </c>
      <c r="V3842">
        <v>-0.12561810000000001</v>
      </c>
      <c r="W3842">
        <v>0.22484789999999999</v>
      </c>
      <c r="X3842">
        <v>0.96626259999999997</v>
      </c>
      <c r="Y3842">
        <v>-0.22554660000000001</v>
      </c>
      <c r="Z3842">
        <v>2.127575E-2</v>
      </c>
      <c r="AA3842">
        <v>0.97399999999999998</v>
      </c>
      <c r="AB3842">
        <v>30</v>
      </c>
      <c r="AC3842">
        <v>-0.40220000000005002</v>
      </c>
      <c r="AD3842">
        <v>-1.127313049903</v>
      </c>
      <c r="AE3842">
        <v>-29.169409999999999</v>
      </c>
      <c r="AF3842">
        <v>-6.6374497184677397</v>
      </c>
      <c r="AG3842">
        <v>-1.127313049903</v>
      </c>
      <c r="AH3842">
        <v>28.362378573564101</v>
      </c>
      <c r="AI3842">
        <v>92.216305434020697</v>
      </c>
      <c r="AJ3842">
        <v>103.171492810331</v>
      </c>
      <c r="AK3842">
        <v>29.150490421737899</v>
      </c>
      <c r="AL3842">
        <v>77.006065021171196</v>
      </c>
      <c r="AM3842">
        <v>97.407143155878103</v>
      </c>
      <c r="AN3842">
        <v>0.99999994867038799</v>
      </c>
    </row>
    <row r="3843" spans="1:40" x14ac:dyDescent="0.25">
      <c r="A3843" t="str">
        <f>"20190303170846216"</f>
        <v>20190303170846216</v>
      </c>
      <c r="B3843" t="str">
        <f>"1551604126207712"</f>
        <v>1551604126207712</v>
      </c>
      <c r="C3843" t="s">
        <v>40</v>
      </c>
      <c r="D3843">
        <v>5.210661</v>
      </c>
      <c r="E3843">
        <v>0.46275169999999999</v>
      </c>
      <c r="F3843" t="s">
        <v>43</v>
      </c>
      <c r="G3843">
        <v>-421.95650000000001</v>
      </c>
      <c r="H3843" s="1">
        <v>-1.972379E-6</v>
      </c>
      <c r="I3843">
        <v>82.973320000000001</v>
      </c>
      <c r="J3843">
        <v>-421.72300000000001</v>
      </c>
      <c r="K3843">
        <v>1.127294</v>
      </c>
      <c r="L3843">
        <v>114.33459999999999</v>
      </c>
      <c r="M3843">
        <v>-0.234988</v>
      </c>
      <c r="N3843">
        <v>-1.47701E-2</v>
      </c>
      <c r="O3843">
        <v>-0.97188609999999998</v>
      </c>
      <c r="P3843">
        <v>-0.11174870000000001</v>
      </c>
      <c r="Q3843">
        <v>0.21325640000000001</v>
      </c>
      <c r="R3843">
        <v>-0.97058460000000002</v>
      </c>
      <c r="S3843">
        <v>-2.8411869999999999E-2</v>
      </c>
      <c r="T3843">
        <v>-0.1109993</v>
      </c>
      <c r="U3843">
        <v>-3.1125029999999998</v>
      </c>
      <c r="V3843">
        <v>-0.1227808</v>
      </c>
      <c r="W3843">
        <v>0.2257924</v>
      </c>
      <c r="X3843">
        <v>0.96640709999999996</v>
      </c>
      <c r="Y3843">
        <v>-0.22604630000000001</v>
      </c>
      <c r="Z3843">
        <v>1.893297E-2</v>
      </c>
      <c r="AA3843">
        <v>0.97393260000000004</v>
      </c>
      <c r="AB3843">
        <v>30</v>
      </c>
      <c r="AC3843">
        <v>-0.23349999999999199</v>
      </c>
      <c r="AD3843">
        <v>-1.1272959723789999</v>
      </c>
      <c r="AE3843">
        <v>-31.361279999999901</v>
      </c>
      <c r="AF3843">
        <v>-7.1341505431055197</v>
      </c>
      <c r="AG3843">
        <v>-1.1272959723789999</v>
      </c>
      <c r="AH3843">
        <v>30.4983872729781</v>
      </c>
      <c r="AI3843">
        <v>92.061237826447297</v>
      </c>
      <c r="AJ3843">
        <v>103.165838744033</v>
      </c>
      <c r="AK3843">
        <v>31.341961113395399</v>
      </c>
      <c r="AL3843">
        <v>76.950521606372007</v>
      </c>
      <c r="AM3843">
        <v>97.240565045805099</v>
      </c>
      <c r="AN3843">
        <v>1.0000000078383999</v>
      </c>
    </row>
    <row r="3844" spans="1:40" x14ac:dyDescent="0.25">
      <c r="A3844" t="str">
        <f>"20190303170846242"</f>
        <v>20190303170846242</v>
      </c>
      <c r="B3844" t="str">
        <f>"1551604126227232"</f>
        <v>1551604126227232</v>
      </c>
      <c r="C3844" t="s">
        <v>40</v>
      </c>
      <c r="D3844">
        <v>5.2109809999999896</v>
      </c>
      <c r="E3844">
        <v>0.4628467</v>
      </c>
      <c r="F3844" t="s">
        <v>43</v>
      </c>
      <c r="G3844">
        <v>-421.90809999999999</v>
      </c>
      <c r="H3844" s="1">
        <v>-1.7365030000000001E-6</v>
      </c>
      <c r="I3844">
        <v>82.453509999999994</v>
      </c>
      <c r="J3844">
        <v>-421.78469999999999</v>
      </c>
      <c r="K3844">
        <v>1.12727</v>
      </c>
      <c r="L3844">
        <v>114.0461</v>
      </c>
      <c r="M3844">
        <v>-0.2277575</v>
      </c>
      <c r="N3844">
        <v>-1.475826E-2</v>
      </c>
      <c r="O3844">
        <v>-0.97360610000000003</v>
      </c>
      <c r="P3844">
        <v>-0.10572520000000001</v>
      </c>
      <c r="Q3844">
        <v>0.21312020000000001</v>
      </c>
      <c r="R3844">
        <v>-0.97128919999999996</v>
      </c>
      <c r="S3844">
        <v>-1.8066410000000001E-2</v>
      </c>
      <c r="T3844">
        <v>-0.11007500000000001</v>
      </c>
      <c r="U3844">
        <v>-3.1130369999999998</v>
      </c>
      <c r="V3844">
        <v>-0.1215782</v>
      </c>
      <c r="W3844">
        <v>0.2256725</v>
      </c>
      <c r="X3844">
        <v>0.96658710000000003</v>
      </c>
      <c r="Y3844">
        <v>-0.22204399999999999</v>
      </c>
      <c r="Z3844">
        <v>1.8760240000000001E-2</v>
      </c>
      <c r="AA3844">
        <v>0.9748561</v>
      </c>
      <c r="AB3844">
        <v>30</v>
      </c>
      <c r="AC3844">
        <v>-0.12340000000000299</v>
      </c>
      <c r="AD3844">
        <v>-1.1272717365030001</v>
      </c>
      <c r="AE3844">
        <v>-31.592590000000001</v>
      </c>
      <c r="AF3844">
        <v>-7.0670790741167204</v>
      </c>
      <c r="AG3844">
        <v>-1.1272717365030001</v>
      </c>
      <c r="AH3844">
        <v>30.751044307580301</v>
      </c>
      <c r="AI3844">
        <v>92.046117653650199</v>
      </c>
      <c r="AJ3844">
        <v>102.94274618643099</v>
      </c>
      <c r="AK3844">
        <v>31.572790092332799</v>
      </c>
      <c r="AL3844">
        <v>76.957572997581806</v>
      </c>
      <c r="AM3844">
        <v>97.169066308499893</v>
      </c>
      <c r="AN3844">
        <v>0.99999997892894998</v>
      </c>
    </row>
    <row r="3845" spans="1:40" x14ac:dyDescent="0.25">
      <c r="A3845" t="str">
        <f>"20190303170846265"</f>
        <v>20190303170846265</v>
      </c>
      <c r="B3845" t="str">
        <f>"1551604126257488"</f>
        <v>1551604126257488</v>
      </c>
      <c r="C3845" t="s">
        <v>40</v>
      </c>
      <c r="D3845">
        <v>5.1727509999999999</v>
      </c>
      <c r="E3845">
        <v>0.4636537</v>
      </c>
      <c r="F3845" t="s">
        <v>43</v>
      </c>
      <c r="G3845">
        <v>-421.774</v>
      </c>
      <c r="H3845" s="1">
        <v>-1.85319E-6</v>
      </c>
      <c r="I3845">
        <v>82.808689999999999</v>
      </c>
      <c r="J3845">
        <v>-421.85359999999997</v>
      </c>
      <c r="K3845">
        <v>1.1272180000000001</v>
      </c>
      <c r="L3845">
        <v>113.711</v>
      </c>
      <c r="M3845">
        <v>-0.2194054</v>
      </c>
      <c r="N3845">
        <v>-1.4744230000000001E-2</v>
      </c>
      <c r="O3845">
        <v>-0.97552229999999995</v>
      </c>
      <c r="P3845">
        <v>-9.85655E-2</v>
      </c>
      <c r="Q3845">
        <v>0.21274029999999999</v>
      </c>
      <c r="R3845">
        <v>-0.97212460000000001</v>
      </c>
      <c r="S3845">
        <v>1.0681149999999999E-3</v>
      </c>
      <c r="T3845">
        <v>-0.11235539999999899</v>
      </c>
      <c r="U3845">
        <v>-3.1134339999999998</v>
      </c>
      <c r="V3845">
        <v>-0.1203993</v>
      </c>
      <c r="W3845">
        <v>0.2253134</v>
      </c>
      <c r="X3845">
        <v>0.96681850000000003</v>
      </c>
      <c r="Y3845">
        <v>-0.21967909999999999</v>
      </c>
      <c r="Z3845">
        <v>1.9566210000000001E-2</v>
      </c>
      <c r="AA3845">
        <v>0.97537600000000002</v>
      </c>
      <c r="AB3845">
        <v>30</v>
      </c>
      <c r="AC3845">
        <v>7.9599999999970805E-2</v>
      </c>
      <c r="AD3845">
        <v>-1.12721985319</v>
      </c>
      <c r="AE3845">
        <v>-30.9023099999999</v>
      </c>
      <c r="AF3845">
        <v>-6.8494176910493101</v>
      </c>
      <c r="AG3845">
        <v>-1.12721985319</v>
      </c>
      <c r="AH3845">
        <v>30.091666462918202</v>
      </c>
      <c r="AI3845">
        <v>92.091815252379106</v>
      </c>
      <c r="AJ3845">
        <v>102.82309877535999</v>
      </c>
      <c r="AK3845">
        <v>30.8819289847542</v>
      </c>
      <c r="AL3845">
        <v>76.978692983496401</v>
      </c>
      <c r="AM3845">
        <v>97.098581337708296</v>
      </c>
      <c r="AN3845">
        <v>1.0000000658011401</v>
      </c>
    </row>
    <row r="3846" spans="1:40" x14ac:dyDescent="0.25">
      <c r="A3846" t="str">
        <f>"20190303170846291"</f>
        <v>20190303170846291</v>
      </c>
      <c r="B3846" t="str">
        <f>"1551604126277008"</f>
        <v>1551604126277008</v>
      </c>
      <c r="C3846" t="s">
        <v>40</v>
      </c>
      <c r="D3846">
        <v>5.1194030000000001</v>
      </c>
      <c r="E3846">
        <v>0.46897879999999997</v>
      </c>
      <c r="F3846" t="s">
        <v>43</v>
      </c>
      <c r="G3846">
        <v>-421.67739999999998</v>
      </c>
      <c r="H3846" s="1">
        <v>-1.881412E-6</v>
      </c>
      <c r="I3846">
        <v>82.934359999999998</v>
      </c>
      <c r="J3846">
        <v>-421.91840000000002</v>
      </c>
      <c r="K3846">
        <v>1.127138</v>
      </c>
      <c r="L3846">
        <v>113.3823</v>
      </c>
      <c r="M3846">
        <v>-0.21131720000000001</v>
      </c>
      <c r="N3846">
        <v>-1.472824E-2</v>
      </c>
      <c r="O3846">
        <v>-0.97730669999999997</v>
      </c>
      <c r="P3846">
        <v>-9.2681390000000002E-2</v>
      </c>
      <c r="Q3846">
        <v>0.21200350000000001</v>
      </c>
      <c r="R3846">
        <v>-0.97286439999999996</v>
      </c>
      <c r="S3846">
        <v>1.7822270000000001E-2</v>
      </c>
      <c r="T3846">
        <v>-0.1140082</v>
      </c>
      <c r="U3846">
        <v>-3.112778</v>
      </c>
      <c r="V3846">
        <v>-0.1182124</v>
      </c>
      <c r="W3846">
        <v>0.22462109999999999</v>
      </c>
      <c r="X3846">
        <v>0.96724929999999998</v>
      </c>
      <c r="Y3846">
        <v>-0.21684719999999999</v>
      </c>
      <c r="Z3846">
        <v>2.0194299999999998E-2</v>
      </c>
      <c r="AA3846">
        <v>0.97599669999999905</v>
      </c>
      <c r="AB3846">
        <v>30</v>
      </c>
      <c r="AC3846">
        <v>0.24100000000004199</v>
      </c>
      <c r="AD3846">
        <v>-1.1271398814119999</v>
      </c>
      <c r="AE3846">
        <v>-30.447939999999999</v>
      </c>
      <c r="AF3846">
        <v>-6.6612990577493996</v>
      </c>
      <c r="AG3846">
        <v>-1.1271398814119999</v>
      </c>
      <c r="AH3846">
        <v>29.668612212054501</v>
      </c>
      <c r="AI3846">
        <v>92.122877024515205</v>
      </c>
      <c r="AJ3846">
        <v>102.654392004233</v>
      </c>
      <c r="AK3846">
        <v>30.4281103593094</v>
      </c>
      <c r="AL3846">
        <v>77.0194016339656</v>
      </c>
      <c r="AM3846">
        <v>96.967850592874896</v>
      </c>
      <c r="AN3846">
        <v>1.0000000092147201</v>
      </c>
    </row>
    <row r="3847" spans="1:40" x14ac:dyDescent="0.25">
      <c r="A3847" t="str">
        <f>"20190303170846328"</f>
        <v>20190303170846328</v>
      </c>
      <c r="B3847" t="str">
        <f>"1551604126317025"</f>
        <v>1551604126317025</v>
      </c>
      <c r="C3847" t="s">
        <v>40</v>
      </c>
      <c r="D3847">
        <v>5.119637</v>
      </c>
      <c r="E3847">
        <v>0.46918589999999999</v>
      </c>
      <c r="F3847" t="s">
        <v>43</v>
      </c>
      <c r="G3847">
        <v>-421.95499999999998</v>
      </c>
      <c r="H3847" s="1">
        <v>-2.6869180000000001E-6</v>
      </c>
      <c r="I3847">
        <v>84.639799999999994</v>
      </c>
      <c r="J3847">
        <v>-422.00959999999998</v>
      </c>
      <c r="K3847">
        <v>1.1269400000000001</v>
      </c>
      <c r="L3847">
        <v>112.895</v>
      </c>
      <c r="M3847">
        <v>-0.1996523</v>
      </c>
      <c r="N3847">
        <v>-1.4697750000000001E-2</v>
      </c>
      <c r="O3847">
        <v>-0.97975679999999998</v>
      </c>
      <c r="P3847">
        <v>-8.6051680000000005E-2</v>
      </c>
      <c r="Q3847">
        <v>0.21178569999999999</v>
      </c>
      <c r="R3847">
        <v>-0.97352070000000002</v>
      </c>
      <c r="S3847">
        <v>-3.9672850000000001E-3</v>
      </c>
      <c r="T3847">
        <v>-0.1219543</v>
      </c>
      <c r="U3847">
        <v>-3.1098789999999998</v>
      </c>
      <c r="V3847">
        <v>-0.1131491</v>
      </c>
      <c r="W3847">
        <v>0.22450870000000001</v>
      </c>
      <c r="X3847">
        <v>0.96788070000000004</v>
      </c>
      <c r="Y3847">
        <v>-0.1983433</v>
      </c>
      <c r="Z3847">
        <v>2.2923789999999999E-2</v>
      </c>
      <c r="AA3847">
        <v>0.97986450000000003</v>
      </c>
      <c r="AB3847">
        <v>30</v>
      </c>
      <c r="AC3847">
        <v>5.4599999999993501E-2</v>
      </c>
      <c r="AD3847">
        <v>-1.1269426869179999</v>
      </c>
      <c r="AE3847">
        <v>-28.255199999999999</v>
      </c>
      <c r="AF3847">
        <v>-5.6862787800198102</v>
      </c>
      <c r="AG3847">
        <v>-1.1269426869179999</v>
      </c>
      <c r="AH3847">
        <v>27.6313515805926</v>
      </c>
      <c r="AI3847">
        <v>92.287624376884494</v>
      </c>
      <c r="AJ3847">
        <v>101.62860327470899</v>
      </c>
      <c r="AK3847">
        <v>28.232877224151601</v>
      </c>
      <c r="AL3847">
        <v>77.026009856007704</v>
      </c>
      <c r="AM3847">
        <v>96.667838795871702</v>
      </c>
      <c r="AN3847">
        <v>0.99999996231949395</v>
      </c>
    </row>
    <row r="3848" spans="1:40" x14ac:dyDescent="0.25">
      <c r="A3848" t="str">
        <f>"20190303170846351"</f>
        <v>20190303170846351</v>
      </c>
      <c r="B3848" t="str">
        <f>"1551604126347280"</f>
        <v>1551604126347280</v>
      </c>
      <c r="C3848" t="s">
        <v>40</v>
      </c>
      <c r="D3848">
        <v>4.9850009999999996</v>
      </c>
      <c r="E3848">
        <v>0.47222950000000002</v>
      </c>
      <c r="F3848" t="s">
        <v>43</v>
      </c>
      <c r="G3848">
        <v>-421.84679999999997</v>
      </c>
      <c r="H3848" s="1">
        <v>-2.6157389999999998E-6</v>
      </c>
      <c r="I3848">
        <v>84.541030000000006</v>
      </c>
      <c r="J3848">
        <v>-422.05990000000003</v>
      </c>
      <c r="K3848">
        <v>1.126787</v>
      </c>
      <c r="L3848">
        <v>112.6121</v>
      </c>
      <c r="M3848">
        <v>-0.19311059999999999</v>
      </c>
      <c r="N3848">
        <v>-1.467793E-2</v>
      </c>
      <c r="O3848">
        <v>-0.98106740000000003</v>
      </c>
      <c r="P3848">
        <v>-8.1508250000000004E-2</v>
      </c>
      <c r="Q3848">
        <v>0.21072489999999999</v>
      </c>
      <c r="R3848">
        <v>-0.97414160000000005</v>
      </c>
      <c r="S3848">
        <v>1.7852779999999999E-2</v>
      </c>
      <c r="T3848">
        <v>-0.12361229999999999</v>
      </c>
      <c r="U3848">
        <v>-3.1100919999999999</v>
      </c>
      <c r="V3848">
        <v>-0.1111496</v>
      </c>
      <c r="W3848">
        <v>0.2235026</v>
      </c>
      <c r="X3848">
        <v>0.96834520000000002</v>
      </c>
      <c r="Y3848">
        <v>-0.1986773</v>
      </c>
      <c r="Z3848">
        <v>2.351783E-2</v>
      </c>
      <c r="AA3848">
        <v>0.97978279999999995</v>
      </c>
      <c r="AB3848">
        <v>29</v>
      </c>
      <c r="AC3848">
        <v>0.213100000000054</v>
      </c>
      <c r="AD3848">
        <v>-1.126789615739</v>
      </c>
      <c r="AE3848">
        <v>-28.071069999999899</v>
      </c>
      <c r="AF3848">
        <v>-5.6214349770471799</v>
      </c>
      <c r="AG3848">
        <v>-1.126789615739</v>
      </c>
      <c r="AH3848">
        <v>27.457178759457001</v>
      </c>
      <c r="AI3848">
        <v>92.302286244591201</v>
      </c>
      <c r="AJ3848">
        <v>101.570533369803</v>
      </c>
      <c r="AK3848">
        <v>28.049364546600401</v>
      </c>
      <c r="AL3848">
        <v>77.085159201717403</v>
      </c>
      <c r="AM3848">
        <v>96.547927118874497</v>
      </c>
      <c r="AN3848">
        <v>1.0000000360749699</v>
      </c>
    </row>
    <row r="3849" spans="1:40" x14ac:dyDescent="0.25">
      <c r="A3849" t="str">
        <f>"20190303170846375"</f>
        <v>20190303170846375</v>
      </c>
      <c r="B3849" t="str">
        <f>"1551604126367776"</f>
        <v>1551604126367776</v>
      </c>
      <c r="C3849" t="s">
        <v>40</v>
      </c>
      <c r="D3849">
        <v>4.9495180000000003</v>
      </c>
      <c r="E3849">
        <v>0.52182479999999998</v>
      </c>
      <c r="F3849" t="s">
        <v>43</v>
      </c>
      <c r="G3849">
        <v>-421.98649999999998</v>
      </c>
      <c r="H3849" s="1">
        <v>-2.8592169999999999E-6</v>
      </c>
      <c r="I3849">
        <v>85.021959999999893</v>
      </c>
      <c r="J3849">
        <v>-422.1146</v>
      </c>
      <c r="K3849">
        <v>1.1265670000000001</v>
      </c>
      <c r="L3849">
        <v>112.29259999999999</v>
      </c>
      <c r="M3849">
        <v>-0.18605079999999999</v>
      </c>
      <c r="N3849">
        <v>-1.4652460000000001E-2</v>
      </c>
      <c r="O3849">
        <v>-0.9824309</v>
      </c>
      <c r="P3849">
        <v>-7.7012259999999999E-2</v>
      </c>
      <c r="Q3849">
        <v>0.20906810000000001</v>
      </c>
      <c r="R3849">
        <v>-0.97486419999999996</v>
      </c>
      <c r="S3849">
        <v>8.2702639999999994E-3</v>
      </c>
      <c r="T3849">
        <v>-0.12692339999999999</v>
      </c>
      <c r="U3849">
        <v>-3.1078030000000001</v>
      </c>
      <c r="V3849">
        <v>-0.1085718</v>
      </c>
      <c r="W3849">
        <v>0.2219206</v>
      </c>
      <c r="X3849">
        <v>0.96900120000000001</v>
      </c>
      <c r="Y3849">
        <v>-0.18860540000000001</v>
      </c>
      <c r="Z3849">
        <v>2.472307E-2</v>
      </c>
      <c r="AA3849">
        <v>0.98174170000000005</v>
      </c>
      <c r="AB3849">
        <v>29</v>
      </c>
      <c r="AC3849">
        <v>0.12810000000001701</v>
      </c>
      <c r="AD3849">
        <v>-1.1265698592169999</v>
      </c>
      <c r="AE3849">
        <v>-27.27064</v>
      </c>
      <c r="AF3849">
        <v>-5.1912727546918003</v>
      </c>
      <c r="AG3849">
        <v>-1.1265698592169999</v>
      </c>
      <c r="AH3849">
        <v>26.724952130279899</v>
      </c>
      <c r="AI3849">
        <v>92.369591264193502</v>
      </c>
      <c r="AJ3849">
        <v>100.992703851606</v>
      </c>
      <c r="AK3849">
        <v>27.247780438543099</v>
      </c>
      <c r="AL3849">
        <v>77.178135280490594</v>
      </c>
      <c r="AM3849">
        <v>96.393045206022805</v>
      </c>
      <c r="AN3849">
        <v>0.99999995703051903</v>
      </c>
    </row>
    <row r="3850" spans="1:40" x14ac:dyDescent="0.25">
      <c r="A3850" t="str">
        <f>"20190303170846397"</f>
        <v>20190303170846397</v>
      </c>
      <c r="B3850" t="str">
        <f>"1551604126387297"</f>
        <v>1551604126387297</v>
      </c>
      <c r="C3850" t="s">
        <v>40</v>
      </c>
      <c r="D3850">
        <v>4.8858969999999999</v>
      </c>
      <c r="E3850">
        <v>0.53360769999999902</v>
      </c>
      <c r="F3850" t="s">
        <v>43</v>
      </c>
      <c r="G3850">
        <v>-426.00540000000001</v>
      </c>
      <c r="H3850" s="1">
        <v>-1.9003339999999999E-6</v>
      </c>
      <c r="I3850">
        <v>80.294119999999893</v>
      </c>
      <c r="J3850">
        <v>-422.1592</v>
      </c>
      <c r="K3850">
        <v>1.1263590000000001</v>
      </c>
      <c r="L3850">
        <v>112.02370000000001</v>
      </c>
      <c r="M3850">
        <v>-0.18034639999999999</v>
      </c>
      <c r="N3850">
        <v>-1.462861E-2</v>
      </c>
      <c r="O3850">
        <v>-0.98349450000000005</v>
      </c>
      <c r="P3850">
        <v>-7.3570830000000004E-2</v>
      </c>
      <c r="Q3850">
        <v>0.20729810000000001</v>
      </c>
      <c r="R3850">
        <v>-0.97550760000000003</v>
      </c>
      <c r="S3850">
        <v>-0.3734131</v>
      </c>
      <c r="T3850">
        <v>-0.10812140000000001</v>
      </c>
      <c r="U3850">
        <v>-3.0710299999999999</v>
      </c>
      <c r="V3850">
        <v>-0.1062983</v>
      </c>
      <c r="W3850">
        <v>0.2202163</v>
      </c>
      <c r="X3850">
        <v>0.96964189999999995</v>
      </c>
      <c r="Y3850">
        <v>-6.0325179999999999E-2</v>
      </c>
      <c r="Z3850">
        <v>1.9702040000000001E-2</v>
      </c>
      <c r="AA3850">
        <v>0.99798430000000005</v>
      </c>
      <c r="AB3850">
        <v>29</v>
      </c>
      <c r="AC3850">
        <v>-3.8462000000000001</v>
      </c>
      <c r="AD3850">
        <v>-1.126360900334</v>
      </c>
      <c r="AE3850">
        <v>-31.729579999999999</v>
      </c>
      <c r="AF3850">
        <v>-1.93740021899739</v>
      </c>
      <c r="AG3850">
        <v>-1.126360900334</v>
      </c>
      <c r="AH3850">
        <v>31.863353920203</v>
      </c>
      <c r="AI3850">
        <v>92.020818232229999</v>
      </c>
      <c r="AJ3850">
        <v>93.479494398030297</v>
      </c>
      <c r="AK3850">
        <v>31.942065235837301</v>
      </c>
      <c r="AL3850">
        <v>77.278262104568398</v>
      </c>
      <c r="AM3850">
        <v>96.256144875686402</v>
      </c>
      <c r="AN3850">
        <v>0.99999998080209396</v>
      </c>
    </row>
    <row r="3851" spans="1:40" x14ac:dyDescent="0.25">
      <c r="A3851" t="str">
        <f>"20190303170846420"</f>
        <v>20190303170846420</v>
      </c>
      <c r="B3851" t="str">
        <f>"1551604126407793"</f>
        <v>1551604126407793</v>
      </c>
      <c r="C3851" t="s">
        <v>40</v>
      </c>
      <c r="D3851">
        <v>4.8512659999999999</v>
      </c>
      <c r="E3851">
        <v>0.53953180000000001</v>
      </c>
      <c r="F3851" t="s">
        <v>43</v>
      </c>
      <c r="G3851">
        <v>-426.7679</v>
      </c>
      <c r="H3851" s="1">
        <v>-2.45496E-6</v>
      </c>
      <c r="I3851">
        <v>81.114040000000003</v>
      </c>
      <c r="J3851">
        <v>-422.20710000000003</v>
      </c>
      <c r="K3851">
        <v>1.1261209999999999</v>
      </c>
      <c r="L3851">
        <v>111.7253</v>
      </c>
      <c r="M3851">
        <v>-0.17431489999999999</v>
      </c>
      <c r="N3851">
        <v>-1.459275E-2</v>
      </c>
      <c r="O3851">
        <v>-0.98458190000000001</v>
      </c>
      <c r="P3851">
        <v>-6.9071069999999998E-2</v>
      </c>
      <c r="Q3851">
        <v>0.20680219999999999</v>
      </c>
      <c r="R3851">
        <v>-0.97594179999999997</v>
      </c>
      <c r="S3851">
        <v>-0.4569397</v>
      </c>
      <c r="T3851">
        <v>-0.1116756</v>
      </c>
      <c r="U3851">
        <v>-3.0646059999999999</v>
      </c>
      <c r="V3851">
        <v>-0.10470640000000001</v>
      </c>
      <c r="W3851">
        <v>0.2197684</v>
      </c>
      <c r="X3851">
        <v>0.96991669999999996</v>
      </c>
      <c r="Y3851">
        <v>-2.7236469999999999E-2</v>
      </c>
      <c r="Z3851">
        <v>2.098332E-2</v>
      </c>
      <c r="AA3851">
        <v>0.99940879999999999</v>
      </c>
      <c r="AB3851">
        <v>29</v>
      </c>
      <c r="AC3851">
        <v>-4.5607999999999702</v>
      </c>
      <c r="AD3851">
        <v>-1.1261234549600001</v>
      </c>
      <c r="AE3851">
        <v>-30.611259999999898</v>
      </c>
      <c r="AF3851">
        <v>-0.84448950353028895</v>
      </c>
      <c r="AG3851">
        <v>-1.1261234549600001</v>
      </c>
      <c r="AH3851">
        <v>30.8966938831365</v>
      </c>
      <c r="AI3851">
        <v>92.086615367849802</v>
      </c>
      <c r="AJ3851">
        <v>91.565657501201699</v>
      </c>
      <c r="AK3851">
        <v>30.928740832203701</v>
      </c>
      <c r="AL3851">
        <v>77.304569520561202</v>
      </c>
      <c r="AM3851">
        <v>96.161447945336107</v>
      </c>
      <c r="AN3851">
        <v>0.99999999238920401</v>
      </c>
    </row>
    <row r="3852" spans="1:40" x14ac:dyDescent="0.25">
      <c r="A3852" t="str">
        <f>"20190303170846443"</f>
        <v>20190303170846443</v>
      </c>
      <c r="B3852" t="str">
        <f>"1551604126437072"</f>
        <v>1551604126437072</v>
      </c>
      <c r="C3852" t="s">
        <v>40</v>
      </c>
      <c r="D3852">
        <v>4.813339</v>
      </c>
      <c r="E3852">
        <v>0.5439602</v>
      </c>
      <c r="F3852" t="s">
        <v>43</v>
      </c>
      <c r="G3852">
        <v>-427.32319999999999</v>
      </c>
      <c r="H3852" s="1">
        <v>-2.0726319999999999E-6</v>
      </c>
      <c r="I3852">
        <v>79.878419999999906</v>
      </c>
      <c r="J3852">
        <v>-422.25369999999998</v>
      </c>
      <c r="K3852">
        <v>1.1258619999999999</v>
      </c>
      <c r="L3852">
        <v>111.4259</v>
      </c>
      <c r="M3852">
        <v>-0.1686058</v>
      </c>
      <c r="N3852">
        <v>-1.4517270000000001E-2</v>
      </c>
      <c r="O3852">
        <v>-0.98557680000000003</v>
      </c>
      <c r="P3852">
        <v>-6.4959119999999995E-2</v>
      </c>
      <c r="Q3852">
        <v>0.2075012</v>
      </c>
      <c r="R3852">
        <v>-0.9760759</v>
      </c>
      <c r="S3852">
        <v>-0.49191279999999998</v>
      </c>
      <c r="T3852">
        <v>-0.1082772</v>
      </c>
      <c r="U3852">
        <v>-3.0620880000000001</v>
      </c>
      <c r="V3852">
        <v>-0.1030119</v>
      </c>
      <c r="W3852">
        <v>0.2204767</v>
      </c>
      <c r="X3852">
        <v>0.96993739999999995</v>
      </c>
      <c r="Y3852">
        <v>-1.0176269999999999E-2</v>
      </c>
      <c r="Z3852">
        <v>2.0045509999999999E-2</v>
      </c>
      <c r="AA3852">
        <v>0.99974730000000001</v>
      </c>
      <c r="AB3852">
        <v>29</v>
      </c>
      <c r="AC3852">
        <v>-5.0694999999999997</v>
      </c>
      <c r="AD3852">
        <v>-1.1258640726319999</v>
      </c>
      <c r="AE3852">
        <v>-31.54748</v>
      </c>
      <c r="AF3852">
        <v>-0.32234027166606399</v>
      </c>
      <c r="AG3852">
        <v>-1.1258640726319999</v>
      </c>
      <c r="AH3852">
        <v>31.9109541544309</v>
      </c>
      <c r="AI3852">
        <v>92.020535860585198</v>
      </c>
      <c r="AJ3852">
        <v>90.578738853421697</v>
      </c>
      <c r="AK3852">
        <v>31.932435989240901</v>
      </c>
      <c r="AL3852">
        <v>77.262966501268295</v>
      </c>
      <c r="AM3852">
        <v>96.062355289740694</v>
      </c>
      <c r="AN3852">
        <v>0.99999999335162904</v>
      </c>
    </row>
    <row r="3853" spans="1:40" x14ac:dyDescent="0.25">
      <c r="A3853" t="str">
        <f>"20190303170846466"</f>
        <v>20190303170846466</v>
      </c>
      <c r="B3853" t="str">
        <f>"1551604126457569"</f>
        <v>1551604126457569</v>
      </c>
      <c r="C3853" t="s">
        <v>40</v>
      </c>
      <c r="D3853">
        <v>4.8546509999999996</v>
      </c>
      <c r="E3853">
        <v>0.54584600000000005</v>
      </c>
      <c r="F3853" t="s">
        <v>43</v>
      </c>
      <c r="G3853">
        <v>-427.82659999999998</v>
      </c>
      <c r="H3853" s="1">
        <v>-5.2393330000000002E-6</v>
      </c>
      <c r="I3853">
        <v>78.303219999999996</v>
      </c>
      <c r="J3853">
        <v>-422.29750000000001</v>
      </c>
      <c r="K3853">
        <v>1.12558799999999</v>
      </c>
      <c r="L3853">
        <v>111.1358</v>
      </c>
      <c r="M3853">
        <v>-0.16341600000000001</v>
      </c>
      <c r="N3853">
        <v>-1.438125E-2</v>
      </c>
      <c r="O3853">
        <v>-0.98645229999999995</v>
      </c>
      <c r="P3853">
        <v>-6.1183189999999998E-2</v>
      </c>
      <c r="Q3853">
        <v>0.20863380000000001</v>
      </c>
      <c r="R3853">
        <v>-0.97607809999999995</v>
      </c>
      <c r="S3853">
        <v>-0.51507570000000003</v>
      </c>
      <c r="T3853">
        <v>-0.104059</v>
      </c>
      <c r="U3853">
        <v>-3.0613860000000002</v>
      </c>
      <c r="V3853">
        <v>-0.10148600000000001</v>
      </c>
      <c r="W3853">
        <v>0.22155520000000001</v>
      </c>
      <c r="X3853">
        <v>0.96985250000000001</v>
      </c>
      <c r="Y3853">
        <v>2.4878550000000002E-3</v>
      </c>
      <c r="Z3853">
        <v>1.8876939999999998E-2</v>
      </c>
      <c r="AA3853">
        <v>0.99981869999999995</v>
      </c>
      <c r="AB3853">
        <v>29</v>
      </c>
      <c r="AC3853">
        <v>-5.5290999999999704</v>
      </c>
      <c r="AD3853">
        <v>-1.1255932393329899</v>
      </c>
      <c r="AE3853">
        <v>-32.83258</v>
      </c>
      <c r="AF3853">
        <v>8.8732304472753903E-2</v>
      </c>
      <c r="AG3853">
        <v>-1.1255932393329899</v>
      </c>
      <c r="AH3853">
        <v>33.256755704321002</v>
      </c>
      <c r="AI3853">
        <v>91.938460404995197</v>
      </c>
      <c r="AJ3853">
        <v>89.847129571683595</v>
      </c>
      <c r="AK3853">
        <v>33.275916719741602</v>
      </c>
      <c r="AL3853">
        <v>77.199606108058205</v>
      </c>
      <c r="AM3853">
        <v>95.973727706068004</v>
      </c>
      <c r="AN3853">
        <v>0.99999999329964495</v>
      </c>
    </row>
    <row r="3854" spans="1:40" x14ac:dyDescent="0.25">
      <c r="A3854" t="str">
        <f>"20190303170846490"</f>
        <v>20190303170846490</v>
      </c>
      <c r="B3854" t="str">
        <f>"1551604126477090"</f>
        <v>1551604126477090</v>
      </c>
      <c r="C3854" t="s">
        <v>40</v>
      </c>
      <c r="D3854">
        <v>4.8119889999999996</v>
      </c>
      <c r="E3854">
        <v>0.54740690000000003</v>
      </c>
      <c r="F3854" t="s">
        <v>43</v>
      </c>
      <c r="G3854">
        <v>-428.17540000000002</v>
      </c>
      <c r="H3854" s="1">
        <v>-4.6683669999999998E-6</v>
      </c>
      <c r="I3854">
        <v>76.443600000000004</v>
      </c>
      <c r="J3854">
        <v>-422.34289999999999</v>
      </c>
      <c r="K3854">
        <v>1.1252709999999999</v>
      </c>
      <c r="L3854">
        <v>110.8263</v>
      </c>
      <c r="M3854">
        <v>-0.15825929999999999</v>
      </c>
      <c r="N3854">
        <v>-1.4175500000000001E-2</v>
      </c>
      <c r="O3854">
        <v>-0.9872959</v>
      </c>
      <c r="P3854">
        <v>-5.7038150000000003E-2</v>
      </c>
      <c r="Q3854">
        <v>0.20868500000000001</v>
      </c>
      <c r="R3854">
        <v>-0.97631820000000002</v>
      </c>
      <c r="S3854">
        <v>-0.51882929999999905</v>
      </c>
      <c r="T3854">
        <v>-9.9354860000000003E-2</v>
      </c>
      <c r="U3854">
        <v>-3.0622410000000002</v>
      </c>
      <c r="V3854">
        <v>-0.1003762</v>
      </c>
      <c r="W3854">
        <v>0.22148680000000001</v>
      </c>
      <c r="X3854">
        <v>0.96998359999999995</v>
      </c>
      <c r="Y3854">
        <v>8.86132699999999E-3</v>
      </c>
      <c r="Z3854">
        <v>1.7609509999999998E-2</v>
      </c>
      <c r="AA3854">
        <v>0.99980570000000002</v>
      </c>
      <c r="AB3854">
        <v>29</v>
      </c>
      <c r="AC3854">
        <v>-5.8325000000000404</v>
      </c>
      <c r="AD3854">
        <v>-1.125275668367</v>
      </c>
      <c r="AE3854">
        <v>-34.3827</v>
      </c>
      <c r="AF3854">
        <v>0.31672337691479102</v>
      </c>
      <c r="AG3854">
        <v>-1.125275668367</v>
      </c>
      <c r="AH3854">
        <v>34.8361774709579</v>
      </c>
      <c r="AI3854">
        <v>91.850044388024202</v>
      </c>
      <c r="AJ3854">
        <v>89.479092882739295</v>
      </c>
      <c r="AK3854">
        <v>34.855786030663197</v>
      </c>
      <c r="AL3854">
        <v>77.203624867396499</v>
      </c>
      <c r="AM3854">
        <v>95.908073769081994</v>
      </c>
      <c r="AN3854">
        <v>0.99999998418481895</v>
      </c>
    </row>
    <row r="3855" spans="1:40" x14ac:dyDescent="0.25">
      <c r="A3855" t="str">
        <f>"20190303170846530"</f>
        <v>20190303170846530</v>
      </c>
      <c r="B3855" t="str">
        <f>"1551604126517104"</f>
        <v>1551604126517104</v>
      </c>
      <c r="C3855" t="s">
        <v>40</v>
      </c>
      <c r="D3855">
        <v>4.7984090000000004</v>
      </c>
      <c r="E3855">
        <v>0.55021100000000001</v>
      </c>
      <c r="F3855" t="s">
        <v>43</v>
      </c>
      <c r="G3855">
        <v>-428.40730000000002</v>
      </c>
      <c r="H3855" s="1">
        <v>-4.2300229999999997E-6</v>
      </c>
      <c r="I3855">
        <v>75.034630000000007</v>
      </c>
      <c r="J3855">
        <v>-422.41649999999998</v>
      </c>
      <c r="K3855">
        <v>1.124749</v>
      </c>
      <c r="L3855">
        <v>110.306</v>
      </c>
      <c r="M3855">
        <v>-0.15040629999999999</v>
      </c>
      <c r="N3855">
        <v>-1.3776170000000001E-2</v>
      </c>
      <c r="O3855">
        <v>-0.98852850000000003</v>
      </c>
      <c r="P3855">
        <v>-5.0549469999999999E-2</v>
      </c>
      <c r="Q3855">
        <v>0.2079908</v>
      </c>
      <c r="R3855">
        <v>-0.97682389999999997</v>
      </c>
      <c r="S3855">
        <v>-0.5189819</v>
      </c>
      <c r="T3855">
        <v>-9.63006E-2</v>
      </c>
      <c r="U3855">
        <v>-3.063034</v>
      </c>
      <c r="V3855">
        <v>-9.8873589999999997E-2</v>
      </c>
      <c r="W3855">
        <v>0.22053159999999999</v>
      </c>
      <c r="X3855">
        <v>0.97035550000000004</v>
      </c>
      <c r="Y3855">
        <v>1.6815730000000001E-2</v>
      </c>
      <c r="Z3855">
        <v>1.7071320000000001E-2</v>
      </c>
      <c r="AA3855">
        <v>0.99971290000000002</v>
      </c>
      <c r="AB3855">
        <v>29</v>
      </c>
      <c r="AC3855">
        <v>-5.9908000000000303</v>
      </c>
      <c r="AD3855">
        <v>-1.1247532300229901</v>
      </c>
      <c r="AE3855">
        <v>-35.271369999999898</v>
      </c>
      <c r="AF3855">
        <v>0.61648938868925496</v>
      </c>
      <c r="AG3855">
        <v>-1.1247532300229901</v>
      </c>
      <c r="AH3855">
        <v>35.735875162326799</v>
      </c>
      <c r="AI3855">
        <v>91.8024679118286</v>
      </c>
      <c r="AJ3855">
        <v>89.011672821520506</v>
      </c>
      <c r="AK3855">
        <v>35.758885645559801</v>
      </c>
      <c r="AL3855">
        <v>77.259741475351106</v>
      </c>
      <c r="AM3855">
        <v>95.818027545397399</v>
      </c>
      <c r="AN3855">
        <v>0.99999998488914799</v>
      </c>
    </row>
    <row r="3856" spans="1:40" x14ac:dyDescent="0.25">
      <c r="A3856" t="str">
        <f>"20190303170846552"</f>
        <v>20190303170846552</v>
      </c>
      <c r="B3856" t="str">
        <f>"1551604126547361"</f>
        <v>1551604126547361</v>
      </c>
      <c r="C3856" t="s">
        <v>40</v>
      </c>
      <c r="D3856">
        <v>4.8250840000000004</v>
      </c>
      <c r="E3856">
        <v>0.55133840000000001</v>
      </c>
      <c r="F3856" t="s">
        <v>43</v>
      </c>
      <c r="G3856">
        <v>-428.5034</v>
      </c>
      <c r="H3856" s="1">
        <v>-4.1009330000000003E-6</v>
      </c>
      <c r="I3856">
        <v>74.605180000000004</v>
      </c>
      <c r="J3856">
        <v>-422.45499999999998</v>
      </c>
      <c r="K3856">
        <v>1.1245339999999999</v>
      </c>
      <c r="L3856">
        <v>110.0243</v>
      </c>
      <c r="M3856">
        <v>-0.14647769999999999</v>
      </c>
      <c r="N3856">
        <v>-1.356048E-2</v>
      </c>
      <c r="O3856">
        <v>-0.98912100000000003</v>
      </c>
      <c r="P3856">
        <v>-4.7141639999999999E-2</v>
      </c>
      <c r="Q3856">
        <v>0.2093535</v>
      </c>
      <c r="R3856">
        <v>-0.97670319999999999</v>
      </c>
      <c r="S3856">
        <v>-0.52252200000000004</v>
      </c>
      <c r="T3856">
        <v>-9.6553330000000007E-2</v>
      </c>
      <c r="U3856">
        <v>-3.0646969999999998</v>
      </c>
      <c r="V3856">
        <v>-9.8263110000000001E-2</v>
      </c>
      <c r="W3856">
        <v>0.22173329999999999</v>
      </c>
      <c r="X3856">
        <v>0.97014370000000005</v>
      </c>
      <c r="Y3856">
        <v>2.1819089999999999E-2</v>
      </c>
      <c r="Z3856">
        <v>1.7367819999999999E-2</v>
      </c>
      <c r="AA3856">
        <v>0.99961109999999997</v>
      </c>
      <c r="AB3856">
        <v>29</v>
      </c>
      <c r="AC3856">
        <v>-6.0484000000000098</v>
      </c>
      <c r="AD3856">
        <v>-1.124538100933</v>
      </c>
      <c r="AE3856">
        <v>-35.4191199999999</v>
      </c>
      <c r="AF3856">
        <v>0.79378381393403197</v>
      </c>
      <c r="AG3856">
        <v>-1.124538100933</v>
      </c>
      <c r="AH3856">
        <v>35.887903958305998</v>
      </c>
      <c r="AI3856">
        <v>91.794322468445003</v>
      </c>
      <c r="AJ3856">
        <v>88.732914357635295</v>
      </c>
      <c r="AK3856">
        <v>35.914291433972501</v>
      </c>
      <c r="AL3856">
        <v>77.189142146502505</v>
      </c>
      <c r="AM3856">
        <v>95.783603017578599</v>
      </c>
      <c r="AN3856">
        <v>1.0000000468827199</v>
      </c>
    </row>
    <row r="3857" spans="1:40" x14ac:dyDescent="0.25">
      <c r="A3857" t="str">
        <f>"20190303170846575"</f>
        <v>20190303170846575</v>
      </c>
      <c r="B3857" t="str">
        <f>"1551604126566880"</f>
        <v>1551604126566880</v>
      </c>
      <c r="C3857" t="s">
        <v>40</v>
      </c>
      <c r="D3857">
        <v>4.8066060000000004</v>
      </c>
      <c r="E3857">
        <v>0.56475629999999999</v>
      </c>
      <c r="F3857" t="s">
        <v>43</v>
      </c>
      <c r="G3857">
        <v>-428.83319999999998</v>
      </c>
      <c r="H3857" s="1">
        <v>-3.4215880000000001E-6</v>
      </c>
      <c r="I3857">
        <v>72.436970000000002</v>
      </c>
      <c r="J3857">
        <v>-422.495</v>
      </c>
      <c r="K3857">
        <v>1.1243570000000001</v>
      </c>
      <c r="L3857">
        <v>109.7235</v>
      </c>
      <c r="M3857">
        <v>-0.1424753</v>
      </c>
      <c r="N3857">
        <v>-1.333662E-2</v>
      </c>
      <c r="O3857">
        <v>-0.98970860000000005</v>
      </c>
      <c r="P3857">
        <v>-4.3760470000000003E-2</v>
      </c>
      <c r="Q3857">
        <v>0.2112966</v>
      </c>
      <c r="R3857">
        <v>-0.97644200000000003</v>
      </c>
      <c r="S3857">
        <v>-0.52029420000000004</v>
      </c>
      <c r="T3857">
        <v>-9.1732140000000004E-2</v>
      </c>
      <c r="U3857">
        <v>-3.0661160000000001</v>
      </c>
      <c r="V3857">
        <v>-9.7561720000000005E-2</v>
      </c>
      <c r="W3857">
        <v>0.223497</v>
      </c>
      <c r="X3857">
        <v>0.9698097</v>
      </c>
      <c r="Y3857">
        <v>2.5084249999999999E-2</v>
      </c>
      <c r="Z3857">
        <v>1.6061909999999999E-2</v>
      </c>
      <c r="AA3857">
        <v>0.99955629999999995</v>
      </c>
      <c r="AB3857">
        <v>29</v>
      </c>
      <c r="AC3857">
        <v>-6.3381999999999703</v>
      </c>
      <c r="AD3857">
        <v>-1.1243604215880001</v>
      </c>
      <c r="AE3857">
        <v>-37.286529999999999</v>
      </c>
      <c r="AF3857">
        <v>0.95979861175481895</v>
      </c>
      <c r="AG3857">
        <v>-1.1243604215880001</v>
      </c>
      <c r="AH3857">
        <v>37.775810519032397</v>
      </c>
      <c r="AI3857">
        <v>91.704300379666293</v>
      </c>
      <c r="AJ3857">
        <v>88.544555896044599</v>
      </c>
      <c r="AK3857">
        <v>37.804725367374402</v>
      </c>
      <c r="AL3857">
        <v>77.085488255579605</v>
      </c>
      <c r="AM3857">
        <v>95.744561777082495</v>
      </c>
      <c r="AN3857">
        <v>1.0000000262162201</v>
      </c>
    </row>
    <row r="3858" spans="1:40" x14ac:dyDescent="0.25">
      <c r="A3858" t="str">
        <f>"20190303170846596"</f>
        <v>20190303170846596</v>
      </c>
      <c r="B3858" t="str">
        <f>"1551604126587376"</f>
        <v>1551604126587376</v>
      </c>
      <c r="C3858" t="s">
        <v>40</v>
      </c>
      <c r="D3858">
        <v>4.7767010000000001</v>
      </c>
      <c r="E3858">
        <v>0.56509169999999997</v>
      </c>
      <c r="F3858" t="s">
        <v>43</v>
      </c>
      <c r="G3858">
        <v>-431.53629999999998</v>
      </c>
      <c r="H3858">
        <v>7.998682E-2</v>
      </c>
      <c r="I3858">
        <v>64.88391</v>
      </c>
      <c r="J3858">
        <v>-422.53039999999999</v>
      </c>
      <c r="K3858">
        <v>1.124212</v>
      </c>
      <c r="L3858">
        <v>109.4513</v>
      </c>
      <c r="M3858">
        <v>-0.13900940000000001</v>
      </c>
      <c r="N3858">
        <v>-1.3137350000000001E-2</v>
      </c>
      <c r="O3858">
        <v>-0.99020399999999997</v>
      </c>
      <c r="P3858">
        <v>-4.0285519999999998E-2</v>
      </c>
      <c r="Q3858">
        <v>0.2118457</v>
      </c>
      <c r="R3858">
        <v>-0.97647249999999997</v>
      </c>
      <c r="S3858">
        <v>-0.61703490000000005</v>
      </c>
      <c r="T3858">
        <v>-7.1274760000000006E-2</v>
      </c>
      <c r="U3858">
        <v>-3.0601500000000001</v>
      </c>
      <c r="V3858">
        <v>-9.7537200000000004E-2</v>
      </c>
      <c r="W3858">
        <v>0.22388</v>
      </c>
      <c r="X3858">
        <v>0.96972380000000002</v>
      </c>
      <c r="Y3858">
        <v>5.9435979999999999E-2</v>
      </c>
      <c r="Z3858">
        <v>9.7445580000000004E-3</v>
      </c>
      <c r="AA3858">
        <v>0.99818459999999998</v>
      </c>
      <c r="AB3858">
        <v>29</v>
      </c>
      <c r="AC3858">
        <v>-9.0058999999999898</v>
      </c>
      <c r="AD3858">
        <v>-1.04422518</v>
      </c>
      <c r="AE3858">
        <v>-44.567390000000003</v>
      </c>
      <c r="AF3858">
        <v>2.7211915313395698</v>
      </c>
      <c r="AG3858">
        <v>-1.04422518</v>
      </c>
      <c r="AH3858">
        <v>45.362699595324699</v>
      </c>
      <c r="AI3858">
        <v>91.316320012533097</v>
      </c>
      <c r="AJ3858">
        <v>86.567087558653199</v>
      </c>
      <c r="AK3858">
        <v>45.456240541343199</v>
      </c>
      <c r="AL3858">
        <v>77.062973171161005</v>
      </c>
      <c r="AM3858">
        <v>95.743632995930994</v>
      </c>
      <c r="AN3858">
        <v>1.00000000403514</v>
      </c>
    </row>
    <row r="3859" spans="1:40" x14ac:dyDescent="0.25">
      <c r="A3859" t="str">
        <f>"20190303170846618"</f>
        <v>20190303170846618</v>
      </c>
      <c r="B3859" t="str">
        <f>"1551604126606897"</f>
        <v>1551604126606897</v>
      </c>
      <c r="C3859" t="s">
        <v>40</v>
      </c>
      <c r="D3859">
        <v>4.8304029999999996</v>
      </c>
      <c r="E3859">
        <v>0.56607909999999995</v>
      </c>
      <c r="F3859" t="s">
        <v>43</v>
      </c>
      <c r="G3859">
        <v>-431.65539999999999</v>
      </c>
      <c r="H3859">
        <v>7.998574E-2</v>
      </c>
      <c r="I3859">
        <v>63.530839999999998</v>
      </c>
      <c r="J3859">
        <v>-422.56709999999998</v>
      </c>
      <c r="K3859">
        <v>1.124072</v>
      </c>
      <c r="L3859">
        <v>109.1611</v>
      </c>
      <c r="M3859">
        <v>-0.13544829999999999</v>
      </c>
      <c r="N3859">
        <v>-1.2916840000000001E-2</v>
      </c>
      <c r="O3859">
        <v>-0.99070020000000003</v>
      </c>
      <c r="P3859">
        <v>-3.6973199999999998E-2</v>
      </c>
      <c r="Q3859">
        <v>0.2105786</v>
      </c>
      <c r="R3859">
        <v>-0.97687749999999995</v>
      </c>
      <c r="S3859">
        <v>-0.60852050000000002</v>
      </c>
      <c r="T3859">
        <v>-6.9636110000000001E-2</v>
      </c>
      <c r="U3859">
        <v>-3.0622859999999998</v>
      </c>
      <c r="V3859">
        <v>-9.7303490000000006E-2</v>
      </c>
      <c r="W3859">
        <v>0.22243070000000001</v>
      </c>
      <c r="X3859">
        <v>0.97008070000000002</v>
      </c>
      <c r="Y3859">
        <v>6.0222909999999998E-2</v>
      </c>
      <c r="Z3859">
        <v>9.4400890000000005E-3</v>
      </c>
      <c r="AA3859">
        <v>0.99814029999999998</v>
      </c>
      <c r="AB3859">
        <v>29</v>
      </c>
      <c r="AC3859">
        <v>-9.0883000000000003</v>
      </c>
      <c r="AD3859">
        <v>-1.04408626</v>
      </c>
      <c r="AE3859">
        <v>-45.63026</v>
      </c>
      <c r="AF3859">
        <v>2.8220539313223099</v>
      </c>
      <c r="AG3859">
        <v>-1.04408626</v>
      </c>
      <c r="AH3859">
        <v>46.4174024447506</v>
      </c>
      <c r="AI3859">
        <v>91.286186823724705</v>
      </c>
      <c r="AJ3859">
        <v>86.520852293642406</v>
      </c>
      <c r="AK3859">
        <v>46.514829401251703</v>
      </c>
      <c r="AL3859">
        <v>77.148159741623004</v>
      </c>
      <c r="AM3859">
        <v>95.7278682220051</v>
      </c>
      <c r="AN3859">
        <v>0.99999997499057902</v>
      </c>
    </row>
    <row r="3860" spans="1:40" x14ac:dyDescent="0.25">
      <c r="A3860" t="str">
        <f>"20190303170846643"</f>
        <v>20190303170846643</v>
      </c>
      <c r="B3860" t="str">
        <f>"1551604126637153"</f>
        <v>1551604126637153</v>
      </c>
      <c r="C3860" t="s">
        <v>40</v>
      </c>
      <c r="D3860">
        <v>4.8379079999999997</v>
      </c>
      <c r="E3860">
        <v>0.55941529999999995</v>
      </c>
      <c r="F3860" t="s">
        <v>43</v>
      </c>
      <c r="G3860">
        <v>-431.20389999999998</v>
      </c>
      <c r="H3860">
        <v>7.9986619999999994E-2</v>
      </c>
      <c r="I3860">
        <v>65.493889999999993</v>
      </c>
      <c r="J3860">
        <v>-422.60489999999999</v>
      </c>
      <c r="K3860">
        <v>1.1239429999999999</v>
      </c>
      <c r="L3860">
        <v>108.8549</v>
      </c>
      <c r="M3860">
        <v>-0.13178909999999999</v>
      </c>
      <c r="N3860">
        <v>-1.2669619999999999E-2</v>
      </c>
      <c r="O3860">
        <v>-0.99119699999999999</v>
      </c>
      <c r="P3860">
        <v>-3.3480910000000003E-2</v>
      </c>
      <c r="Q3860">
        <v>0.2098457</v>
      </c>
      <c r="R3860">
        <v>-0.97716119999999995</v>
      </c>
      <c r="S3860">
        <v>-0.60598750000000001</v>
      </c>
      <c r="T3860">
        <v>-7.3256970000000005E-2</v>
      </c>
      <c r="U3860">
        <v>-3.0638580000000002</v>
      </c>
      <c r="V3860">
        <v>-9.7147319999999995E-2</v>
      </c>
      <c r="W3860">
        <v>0.22148499999999999</v>
      </c>
      <c r="X3860">
        <v>0.97031270000000003</v>
      </c>
      <c r="Y3860">
        <v>6.3013739999999999E-2</v>
      </c>
      <c r="Z3860">
        <v>1.0837319999999999E-2</v>
      </c>
      <c r="AA3860">
        <v>0.9979538</v>
      </c>
      <c r="AB3860">
        <v>29</v>
      </c>
      <c r="AC3860">
        <v>-8.5989999999999895</v>
      </c>
      <c r="AD3860">
        <v>-1.04395638</v>
      </c>
      <c r="AE3860">
        <v>-43.361009999999901</v>
      </c>
      <c r="AF3860">
        <v>2.8074536844512399</v>
      </c>
      <c r="AG3860">
        <v>-1.04395638</v>
      </c>
      <c r="AH3860">
        <v>44.091499467601103</v>
      </c>
      <c r="AI3860">
        <v>91.353601132175399</v>
      </c>
      <c r="AJ3860">
        <v>86.356703863951907</v>
      </c>
      <c r="AK3860">
        <v>44.193121256765203</v>
      </c>
      <c r="AL3860">
        <v>77.203730460036994</v>
      </c>
      <c r="AM3860">
        <v>95.717377820218005</v>
      </c>
      <c r="AN3860">
        <v>0.99999997139473495</v>
      </c>
    </row>
    <row r="3861" spans="1:40" x14ac:dyDescent="0.25">
      <c r="A3861" t="str">
        <f>"20190303170846665"</f>
        <v>20190303170846665</v>
      </c>
      <c r="B3861" t="str">
        <f>"1551604126657648"</f>
        <v>1551604126657648</v>
      </c>
      <c r="C3861" t="s">
        <v>40</v>
      </c>
      <c r="D3861">
        <v>5.0173680000000003</v>
      </c>
      <c r="E3861">
        <v>0.4900004</v>
      </c>
      <c r="F3861" t="s">
        <v>43</v>
      </c>
      <c r="G3861">
        <v>-430.17790000000002</v>
      </c>
      <c r="H3861">
        <v>7.9986390000000004E-2</v>
      </c>
      <c r="I3861">
        <v>66.072580000000002</v>
      </c>
      <c r="J3861">
        <v>-422.64080000000001</v>
      </c>
      <c r="K3861">
        <v>1.123842</v>
      </c>
      <c r="L3861">
        <v>108.5553</v>
      </c>
      <c r="M3861">
        <v>-0.12827149999999901</v>
      </c>
      <c r="N3861">
        <v>-1.241838E-2</v>
      </c>
      <c r="O3861">
        <v>-0.99166149999999997</v>
      </c>
      <c r="P3861">
        <v>-3.035877E-2</v>
      </c>
      <c r="Q3861">
        <v>0.21035880000000001</v>
      </c>
      <c r="R3861">
        <v>-0.9771531</v>
      </c>
      <c r="S3861">
        <v>-0.54299929999999996</v>
      </c>
      <c r="T3861">
        <v>-7.4853539999999996E-2</v>
      </c>
      <c r="U3861">
        <v>-3.0675659999999998</v>
      </c>
      <c r="V3861">
        <v>-9.6749370000000001E-2</v>
      </c>
      <c r="W3861">
        <v>0.2217742</v>
      </c>
      <c r="X3861">
        <v>0.97028639999999999</v>
      </c>
      <c r="Y3861">
        <v>4.6523250000000002E-2</v>
      </c>
      <c r="Z3861">
        <v>1.161743E-2</v>
      </c>
      <c r="AA3861">
        <v>0.9988496</v>
      </c>
      <c r="AB3861">
        <v>29</v>
      </c>
      <c r="AC3861">
        <v>-7.5370999999999997</v>
      </c>
      <c r="AD3861">
        <v>-1.04385561</v>
      </c>
      <c r="AE3861">
        <v>-42.48272</v>
      </c>
      <c r="AF3861">
        <v>2.0239008616139702</v>
      </c>
      <c r="AG3861">
        <v>-1.04385561</v>
      </c>
      <c r="AH3861">
        <v>43.073377428755997</v>
      </c>
      <c r="AI3861">
        <v>91.386725280813494</v>
      </c>
      <c r="AJ3861">
        <v>87.309805787534998</v>
      </c>
      <c r="AK3861">
        <v>43.133532806300899</v>
      </c>
      <c r="AL3861">
        <v>77.186737876940498</v>
      </c>
      <c r="AM3861">
        <v>95.694264950552494</v>
      </c>
      <c r="AN3861">
        <v>0.999999967202997</v>
      </c>
    </row>
    <row r="3862" spans="1:40" x14ac:dyDescent="0.25">
      <c r="A3862" t="str">
        <f>"20190303170846690"</f>
        <v>20190303170846690</v>
      </c>
      <c r="B3862" t="str">
        <f>"1551604126677169"</f>
        <v>1551604126677169</v>
      </c>
      <c r="C3862" t="s">
        <v>40</v>
      </c>
      <c r="D3862">
        <v>4.9523760000000001</v>
      </c>
      <c r="E3862">
        <v>0.47423169999999998</v>
      </c>
      <c r="F3862" t="s">
        <v>59</v>
      </c>
      <c r="G3862">
        <v>-422.13319999999999</v>
      </c>
      <c r="H3862" s="1">
        <v>-6.152847E-6</v>
      </c>
      <c r="I3862">
        <v>28.873989999999999</v>
      </c>
      <c r="J3862">
        <v>-422.67860000000002</v>
      </c>
      <c r="K3862">
        <v>1.1237520000000001</v>
      </c>
      <c r="L3862">
        <v>108.23139999999999</v>
      </c>
      <c r="M3862">
        <v>-0.12451</v>
      </c>
      <c r="N3862">
        <v>-1.213385E-2</v>
      </c>
      <c r="O3862">
        <v>-0.99214409999999997</v>
      </c>
      <c r="P3862">
        <v>-2.712877E-2</v>
      </c>
      <c r="Q3862">
        <v>0.21185309999999999</v>
      </c>
      <c r="R3862">
        <v>-0.97692500000000004</v>
      </c>
      <c r="S3862">
        <v>1.9622799999999999E-2</v>
      </c>
      <c r="T3862">
        <v>-4.3442960000000003E-2</v>
      </c>
      <c r="U3862">
        <v>-3.0801240000000001</v>
      </c>
      <c r="V3862">
        <v>-9.6212690000000003E-2</v>
      </c>
      <c r="W3862">
        <v>0.2230057</v>
      </c>
      <c r="X3862">
        <v>0.97005750000000002</v>
      </c>
      <c r="Y3862">
        <v>-0.13081669999999901</v>
      </c>
      <c r="Z3862">
        <v>1.738992E-3</v>
      </c>
      <c r="AA3862">
        <v>0.99140510000000004</v>
      </c>
      <c r="AB3862">
        <v>29</v>
      </c>
      <c r="AC3862">
        <v>0.54540000000002897</v>
      </c>
      <c r="AD3862">
        <v>-1.123758152847</v>
      </c>
      <c r="AE3862">
        <v>-79.357409999999902</v>
      </c>
      <c r="AF3862">
        <v>-10.420584902874699</v>
      </c>
      <c r="AG3862">
        <v>-1.123758152847</v>
      </c>
      <c r="AH3862">
        <v>78.6561026750705</v>
      </c>
      <c r="AI3862">
        <v>90.811438825477893</v>
      </c>
      <c r="AJ3862">
        <v>97.546760281984803</v>
      </c>
      <c r="AK3862">
        <v>79.351332125776807</v>
      </c>
      <c r="AL3862">
        <v>77.114366040336506</v>
      </c>
      <c r="AM3862">
        <v>95.6642116271383</v>
      </c>
      <c r="AN3862">
        <v>0.99999998862788797</v>
      </c>
    </row>
    <row r="3863" spans="1:40" x14ac:dyDescent="0.25">
      <c r="A3863" t="str">
        <f>"20190303170846731"</f>
        <v>20190303170846731</v>
      </c>
      <c r="B3863" t="str">
        <f>"1551604126717185"</f>
        <v>1551604126717185</v>
      </c>
      <c r="C3863" t="s">
        <v>40</v>
      </c>
      <c r="D3863">
        <v>4.9000120000000003</v>
      </c>
      <c r="E3863">
        <v>0.46526859999999998</v>
      </c>
      <c r="F3863" t="s">
        <v>59</v>
      </c>
      <c r="G3863">
        <v>-418.14010000000002</v>
      </c>
      <c r="H3863" s="1">
        <v>-1.249868E-5</v>
      </c>
      <c r="I3863">
        <v>18.78585</v>
      </c>
      <c r="J3863">
        <v>-422.73770000000002</v>
      </c>
      <c r="K3863">
        <v>1.1236469999999901</v>
      </c>
      <c r="L3863">
        <v>107.7024</v>
      </c>
      <c r="M3863">
        <v>-0.1184086</v>
      </c>
      <c r="N3863">
        <v>-1.164873E-2</v>
      </c>
      <c r="O3863">
        <v>-0.99289689999999997</v>
      </c>
      <c r="P3863">
        <v>-2.186418E-2</v>
      </c>
      <c r="Q3863">
        <v>0.21111170000000001</v>
      </c>
      <c r="R3863">
        <v>-0.97721760000000002</v>
      </c>
      <c r="S3863">
        <v>0.15646360000000001</v>
      </c>
      <c r="T3863">
        <v>-3.8741350000000001E-2</v>
      </c>
      <c r="U3863">
        <v>-3.0836030000000001</v>
      </c>
      <c r="V3863">
        <v>-9.5464110000000005E-2</v>
      </c>
      <c r="W3863">
        <v>0.22181000000000001</v>
      </c>
      <c r="X3863">
        <v>0.97040559999999998</v>
      </c>
      <c r="Y3863">
        <v>-0.1685594</v>
      </c>
      <c r="Z3863">
        <v>6.4834820000000005E-4</v>
      </c>
      <c r="AA3863">
        <v>0.98569130000000005</v>
      </c>
      <c r="AB3863">
        <v>29</v>
      </c>
      <c r="AC3863">
        <v>4.5975999999999999</v>
      </c>
      <c r="AD3863">
        <v>-1.1236594986799999</v>
      </c>
      <c r="AE3863">
        <v>-88.916550000000001</v>
      </c>
      <c r="AF3863">
        <v>-15.092043258217601</v>
      </c>
      <c r="AG3863">
        <v>-1.1236594986799999</v>
      </c>
      <c r="AH3863">
        <v>87.732527615425397</v>
      </c>
      <c r="AI3863">
        <v>90.723171110387796</v>
      </c>
      <c r="AJ3863">
        <v>99.760680647895398</v>
      </c>
      <c r="AK3863">
        <v>89.028247102637394</v>
      </c>
      <c r="AL3863">
        <v>77.184635381187903</v>
      </c>
      <c r="AM3863">
        <v>95.618421426351901</v>
      </c>
      <c r="AN3863">
        <v>1.00000005045472</v>
      </c>
    </row>
    <row r="3864" spans="1:40" x14ac:dyDescent="0.25">
      <c r="A3864" t="str">
        <f>"20190303170846753"</f>
        <v>20190303170846753</v>
      </c>
      <c r="B3864" t="str">
        <f>"1551604126747441"</f>
        <v>1551604126747441</v>
      </c>
      <c r="C3864" t="s">
        <v>40</v>
      </c>
      <c r="D3864">
        <v>4.8708790000000004</v>
      </c>
      <c r="E3864">
        <v>0.4633121</v>
      </c>
      <c r="F3864" t="s">
        <v>59</v>
      </c>
      <c r="G3864">
        <v>-416.6361</v>
      </c>
      <c r="H3864" s="1">
        <v>-5.6516649999999997E-6</v>
      </c>
      <c r="I3864">
        <v>31.178940000000001</v>
      </c>
      <c r="J3864">
        <v>-422.76929999999999</v>
      </c>
      <c r="K3864">
        <v>1.1236120000000001</v>
      </c>
      <c r="L3864">
        <v>107.40649999999999</v>
      </c>
      <c r="M3864">
        <v>-0.1150106</v>
      </c>
      <c r="N3864">
        <v>-1.1384109999999999E-2</v>
      </c>
      <c r="O3864">
        <v>-0.99329900000000004</v>
      </c>
      <c r="P3864">
        <v>-1.9410670000000001E-2</v>
      </c>
      <c r="Q3864">
        <v>0.21108579999999999</v>
      </c>
      <c r="R3864">
        <v>-0.977275</v>
      </c>
      <c r="S3864">
        <v>0.2460022</v>
      </c>
      <c r="T3864">
        <v>-4.5303110000000001E-2</v>
      </c>
      <c r="U3864">
        <v>-3.085251</v>
      </c>
      <c r="V3864">
        <v>-9.4571039999999995E-2</v>
      </c>
      <c r="W3864">
        <v>0.2215366</v>
      </c>
      <c r="X3864">
        <v>0.97055539999999996</v>
      </c>
      <c r="Y3864">
        <v>-0.19358020000000001</v>
      </c>
      <c r="Z3864">
        <v>2.9379060000000001E-3</v>
      </c>
      <c r="AA3864">
        <v>0.98108010000000001</v>
      </c>
      <c r="AB3864">
        <v>30</v>
      </c>
      <c r="AC3864">
        <v>6.13319999999998</v>
      </c>
      <c r="AD3864">
        <v>-1.1236176516650001</v>
      </c>
      <c r="AE3864">
        <v>-76.227559999999997</v>
      </c>
      <c r="AF3864">
        <v>-14.856834954894801</v>
      </c>
      <c r="AG3864">
        <v>-1.1236176516650001</v>
      </c>
      <c r="AH3864">
        <v>75.000048567184393</v>
      </c>
      <c r="AI3864">
        <v>90.841958027461004</v>
      </c>
      <c r="AJ3864">
        <v>101.204723403252</v>
      </c>
      <c r="AK3864">
        <v>76.465648147283304</v>
      </c>
      <c r="AL3864">
        <v>77.200698606720906</v>
      </c>
      <c r="AM3864">
        <v>95.565338807935703</v>
      </c>
      <c r="AN3864">
        <v>0.99999996560769999</v>
      </c>
    </row>
    <row r="3865" spans="1:40" x14ac:dyDescent="0.25">
      <c r="A3865" t="str">
        <f>"20190303170846775"</f>
        <v>20190303170846775</v>
      </c>
      <c r="B3865" t="str">
        <f>"1551604126766961"</f>
        <v>1551604126766961</v>
      </c>
      <c r="C3865" t="s">
        <v>40</v>
      </c>
      <c r="D3865">
        <v>4.8687579999999997</v>
      </c>
      <c r="E3865">
        <v>0.46279680000000001</v>
      </c>
      <c r="F3865" t="s">
        <v>59</v>
      </c>
      <c r="G3865">
        <v>-416.42009999999999</v>
      </c>
      <c r="H3865" s="1">
        <v>-3.9852819999999997E-6</v>
      </c>
      <c r="I3865">
        <v>34.568600000000004</v>
      </c>
      <c r="J3865">
        <v>-422.80029999999999</v>
      </c>
      <c r="K3865">
        <v>1.123577</v>
      </c>
      <c r="L3865">
        <v>107.1078</v>
      </c>
      <c r="M3865">
        <v>-0.1115993</v>
      </c>
      <c r="N3865">
        <v>-1.112204E-2</v>
      </c>
      <c r="O3865">
        <v>-0.9936912</v>
      </c>
      <c r="P3865">
        <v>-1.679114E-2</v>
      </c>
      <c r="Q3865">
        <v>0.21198110000000001</v>
      </c>
      <c r="R3865">
        <v>-0.9771299</v>
      </c>
      <c r="S3865">
        <v>0.26895140000000001</v>
      </c>
      <c r="T3865">
        <v>-4.7595980000000003E-2</v>
      </c>
      <c r="U3865">
        <v>-3.085388</v>
      </c>
      <c r="V3865">
        <v>-9.3813579999999994E-2</v>
      </c>
      <c r="W3865">
        <v>0.2221833</v>
      </c>
      <c r="X3865">
        <v>0.97048109999999999</v>
      </c>
      <c r="Y3865">
        <v>-0.1974523</v>
      </c>
      <c r="Z3865">
        <v>3.9232310000000001E-3</v>
      </c>
      <c r="AA3865">
        <v>0.98030470000000003</v>
      </c>
      <c r="AB3865">
        <v>30</v>
      </c>
      <c r="AC3865">
        <v>6.3802000000000003</v>
      </c>
      <c r="AD3865">
        <v>-1.123580985282</v>
      </c>
      <c r="AE3865">
        <v>-72.539199999999994</v>
      </c>
      <c r="AF3865">
        <v>-14.432727149239399</v>
      </c>
      <c r="AG3865">
        <v>-1.123580985282</v>
      </c>
      <c r="AH3865">
        <v>71.356954171517302</v>
      </c>
      <c r="AI3865">
        <v>90.884198440596194</v>
      </c>
      <c r="AJ3865">
        <v>101.43444001241799</v>
      </c>
      <c r="AK3865">
        <v>72.810582718660498</v>
      </c>
      <c r="AL3865">
        <v>77.162698670076196</v>
      </c>
      <c r="AM3865">
        <v>95.521460220873493</v>
      </c>
      <c r="AN3865">
        <v>0.99999998602425799</v>
      </c>
    </row>
    <row r="3866" spans="1:40" x14ac:dyDescent="0.25">
      <c r="A3866" t="str">
        <f>"20190303170846798"</f>
        <v>20190303170846798</v>
      </c>
      <c r="B3866" t="str">
        <f>"1551604126787457"</f>
        <v>1551604126787457</v>
      </c>
      <c r="C3866" t="s">
        <v>40</v>
      </c>
      <c r="D3866">
        <v>4.8263720000000001</v>
      </c>
      <c r="E3866">
        <v>0.4625088</v>
      </c>
      <c r="F3866" t="s">
        <v>59</v>
      </c>
      <c r="G3866">
        <v>-415.99540000000002</v>
      </c>
      <c r="H3866" s="1">
        <v>-5.0376200000000004E-6</v>
      </c>
      <c r="I3866">
        <v>32.688130000000001</v>
      </c>
      <c r="J3866">
        <v>-422.82859999999999</v>
      </c>
      <c r="K3866">
        <v>1.1235170000000001</v>
      </c>
      <c r="L3866">
        <v>106.8259</v>
      </c>
      <c r="M3866">
        <v>-0.1084362</v>
      </c>
      <c r="N3866">
        <v>-1.0866199999999999E-2</v>
      </c>
      <c r="O3866">
        <v>-0.99404400000000004</v>
      </c>
      <c r="P3866">
        <v>-1.4869769999999999E-2</v>
      </c>
      <c r="Q3866">
        <v>0.2131034</v>
      </c>
      <c r="R3866">
        <v>-0.97691660000000002</v>
      </c>
      <c r="S3866">
        <v>0.28210449999999998</v>
      </c>
      <c r="T3866">
        <v>-4.6579240000000001E-2</v>
      </c>
      <c r="U3866">
        <v>-3.0851440000000001</v>
      </c>
      <c r="V3866">
        <v>-9.2592019999999997E-2</v>
      </c>
      <c r="W3866">
        <v>0.22307080000000001</v>
      </c>
      <c r="X3866">
        <v>0.9703948</v>
      </c>
      <c r="Y3866">
        <v>-0.1984862</v>
      </c>
      <c r="Z3866">
        <v>3.861536E-3</v>
      </c>
      <c r="AA3866">
        <v>0.98009610000000003</v>
      </c>
      <c r="AB3866">
        <v>30</v>
      </c>
      <c r="AC3866">
        <v>6.8331999999999704</v>
      </c>
      <c r="AD3866">
        <v>-1.1235220376199999</v>
      </c>
      <c r="AE3866">
        <v>-74.137769999999904</v>
      </c>
      <c r="AF3866">
        <v>-14.829218548744601</v>
      </c>
      <c r="AG3866">
        <v>-1.1235220376199999</v>
      </c>
      <c r="AH3866">
        <v>72.942937277154897</v>
      </c>
      <c r="AI3866">
        <v>90.864756270635297</v>
      </c>
      <c r="AJ3866">
        <v>101.491559681117</v>
      </c>
      <c r="AK3866">
        <v>74.443536476677494</v>
      </c>
      <c r="AL3866">
        <v>77.110539400633698</v>
      </c>
      <c r="AM3866">
        <v>95.450481979444007</v>
      </c>
      <c r="AN3866">
        <v>0.99999996592367901</v>
      </c>
    </row>
    <row r="3867" spans="1:40" x14ac:dyDescent="0.25">
      <c r="A3867" t="str">
        <f>"20190303170846820"</f>
        <v>20190303170846820</v>
      </c>
      <c r="B3867" t="str">
        <f>"1551604126806977"</f>
        <v>1551604126806977</v>
      </c>
      <c r="C3867" t="s">
        <v>40</v>
      </c>
      <c r="D3867">
        <v>4.8618100000000002</v>
      </c>
      <c r="E3867">
        <v>0.46229419999999999</v>
      </c>
      <c r="F3867" t="s">
        <v>59</v>
      </c>
      <c r="G3867">
        <v>-415.40629999999999</v>
      </c>
      <c r="H3867" s="1">
        <v>-8.6866390000000008E-6</v>
      </c>
      <c r="I3867">
        <v>27.856739999999999</v>
      </c>
      <c r="J3867">
        <v>-422.85840000000002</v>
      </c>
      <c r="K3867">
        <v>1.123413</v>
      </c>
      <c r="L3867">
        <v>106.52</v>
      </c>
      <c r="M3867">
        <v>-0.1050986</v>
      </c>
      <c r="N3867">
        <v>-1.05796E-2</v>
      </c>
      <c r="O3867">
        <v>-0.99440569999999895</v>
      </c>
      <c r="P3867">
        <v>-1.239547E-2</v>
      </c>
      <c r="Q3867">
        <v>0.2127049</v>
      </c>
      <c r="R3867">
        <v>-0.97703779999999996</v>
      </c>
      <c r="S3867">
        <v>0.28994750000000002</v>
      </c>
      <c r="T3867">
        <v>-4.3889400000000002E-2</v>
      </c>
      <c r="U3867">
        <v>-3.084854</v>
      </c>
      <c r="V3867">
        <v>-9.1760690000000006E-2</v>
      </c>
      <c r="W3867">
        <v>0.22241540000000001</v>
      </c>
      <c r="X3867">
        <v>0.97062420000000005</v>
      </c>
      <c r="Y3867">
        <v>-0.19767670000000001</v>
      </c>
      <c r="Z3867">
        <v>3.3047699999999998E-3</v>
      </c>
      <c r="AA3867">
        <v>0.98026170000000001</v>
      </c>
      <c r="AB3867">
        <v>30</v>
      </c>
      <c r="AC3867">
        <v>7.4521000000000299</v>
      </c>
      <c r="AD3867">
        <v>-1.1234216866390001</v>
      </c>
      <c r="AE3867">
        <v>-78.663259999999994</v>
      </c>
      <c r="AF3867">
        <v>-15.675515299862299</v>
      </c>
      <c r="AG3867">
        <v>-1.1234216866390001</v>
      </c>
      <c r="AH3867">
        <v>77.428658137072901</v>
      </c>
      <c r="AI3867">
        <v>90.814726596966807</v>
      </c>
      <c r="AJ3867">
        <v>101.444903622043</v>
      </c>
      <c r="AK3867">
        <v>79.0074740585341</v>
      </c>
      <c r="AL3867">
        <v>77.149059034510998</v>
      </c>
      <c r="AM3867">
        <v>95.400566902467702</v>
      </c>
      <c r="AN3867">
        <v>0.99999998600603801</v>
      </c>
    </row>
    <row r="3868" spans="1:40" x14ac:dyDescent="0.25">
      <c r="A3868" t="str">
        <f>"20190303170846843"</f>
        <v>20190303170846843</v>
      </c>
      <c r="B3868" t="str">
        <f>"1551604126837233"</f>
        <v>1551604126837233</v>
      </c>
      <c r="C3868" t="s">
        <v>40</v>
      </c>
      <c r="D3868">
        <v>4.837942</v>
      </c>
      <c r="E3868">
        <v>0.46224690000000002</v>
      </c>
      <c r="F3868" t="s">
        <v>59</v>
      </c>
      <c r="G3868">
        <v>-415.56540000000001</v>
      </c>
      <c r="H3868" s="1">
        <v>-5.683957E-6</v>
      </c>
      <c r="I3868">
        <v>31.535499999999999</v>
      </c>
      <c r="J3868">
        <v>-422.8861</v>
      </c>
      <c r="K3868">
        <v>1.123297</v>
      </c>
      <c r="L3868">
        <v>106.2281</v>
      </c>
      <c r="M3868">
        <v>-0.1020276</v>
      </c>
      <c r="N3868">
        <v>-1.0299640000000001E-2</v>
      </c>
      <c r="O3868">
        <v>-0.99472850000000002</v>
      </c>
      <c r="P3868">
        <v>-9.6702479999999993E-3</v>
      </c>
      <c r="Q3868">
        <v>0.21143300000000001</v>
      </c>
      <c r="R3868">
        <v>-0.97734520000000003</v>
      </c>
      <c r="S3868">
        <v>0.29998780000000003</v>
      </c>
      <c r="T3868">
        <v>-4.6209809999999997E-2</v>
      </c>
      <c r="U3868">
        <v>-3.0843509999999998</v>
      </c>
      <c r="V3868">
        <v>-9.1445509999999994E-2</v>
      </c>
      <c r="W3868">
        <v>0.22089439999999999</v>
      </c>
      <c r="X3868">
        <v>0.97100120000000001</v>
      </c>
      <c r="Y3868">
        <v>-0.19782640000000001</v>
      </c>
      <c r="Z3868">
        <v>4.3297199999999996E-3</v>
      </c>
      <c r="AA3868">
        <v>0.98022750000000003</v>
      </c>
      <c r="AB3868">
        <v>30</v>
      </c>
      <c r="AC3868">
        <v>7.32069999999998</v>
      </c>
      <c r="AD3868">
        <v>-1.1233026839569999</v>
      </c>
      <c r="AE3868">
        <v>-74.692599999999999</v>
      </c>
      <c r="AF3868">
        <v>-14.9002644740179</v>
      </c>
      <c r="AG3868">
        <v>-1.1233026839569999</v>
      </c>
      <c r="AH3868">
        <v>73.539353354324106</v>
      </c>
      <c r="AI3868">
        <v>90.857690683831706</v>
      </c>
      <c r="AJ3868">
        <v>101.453991742597</v>
      </c>
      <c r="AK3868">
        <v>75.042096066725193</v>
      </c>
      <c r="AL3868">
        <v>77.2384288306218</v>
      </c>
      <c r="AM3868">
        <v>95.380048733139006</v>
      </c>
      <c r="AN3868">
        <v>0.99999997382597905</v>
      </c>
    </row>
    <row r="3869" spans="1:40" x14ac:dyDescent="0.25">
      <c r="A3869" t="str">
        <f>"20190303170846866"</f>
        <v>20190303170846866</v>
      </c>
      <c r="B3869" t="str">
        <f>"1551604126857729"</f>
        <v>1551604126857729</v>
      </c>
      <c r="C3869" t="s">
        <v>40</v>
      </c>
      <c r="D3869">
        <v>4.8161820000000004</v>
      </c>
      <c r="E3869">
        <v>0.46235670000000001</v>
      </c>
      <c r="F3869" t="s">
        <v>43</v>
      </c>
      <c r="G3869">
        <v>-416.31729999999999</v>
      </c>
      <c r="H3869" s="1">
        <v>-1.3740159999999999E-6</v>
      </c>
      <c r="I3869">
        <v>40.806289999999997</v>
      </c>
      <c r="J3869">
        <v>-422.91480000000001</v>
      </c>
      <c r="K3869">
        <v>1.123157</v>
      </c>
      <c r="L3869">
        <v>105.9165</v>
      </c>
      <c r="M3869">
        <v>-9.8889770000000002E-2</v>
      </c>
      <c r="N3869">
        <v>-9.9975849999999998E-3</v>
      </c>
      <c r="O3869">
        <v>-0.99504820000000005</v>
      </c>
      <c r="P3869">
        <v>-7.1457020000000003E-3</v>
      </c>
      <c r="Q3869">
        <v>0.2111517</v>
      </c>
      <c r="R3869">
        <v>-0.9774273</v>
      </c>
      <c r="S3869">
        <v>0.30966189999999999</v>
      </c>
      <c r="T3869">
        <v>-5.2953840000000002E-2</v>
      </c>
      <c r="U3869">
        <v>-3.084076</v>
      </c>
      <c r="V3869">
        <v>-9.0838920000000004E-2</v>
      </c>
      <c r="W3869">
        <v>0.2203466</v>
      </c>
      <c r="X3869">
        <v>0.97118260000000001</v>
      </c>
      <c r="Y3869">
        <v>-0.1977854</v>
      </c>
      <c r="Z3869">
        <v>6.7825369999999999E-3</v>
      </c>
      <c r="AA3869">
        <v>0.98022189999999998</v>
      </c>
      <c r="AB3869">
        <v>30</v>
      </c>
      <c r="AC3869">
        <v>6.5975000000000197</v>
      </c>
      <c r="AD3869">
        <v>-1.123158374016</v>
      </c>
      <c r="AE3869">
        <v>-65.110209999999995</v>
      </c>
      <c r="AF3869">
        <v>-13.0003845613225</v>
      </c>
      <c r="AG3869">
        <v>-1.123158374016</v>
      </c>
      <c r="AH3869">
        <v>64.119689632197094</v>
      </c>
      <c r="AI3869">
        <v>90.983516399257894</v>
      </c>
      <c r="AJ3869">
        <v>101.46145614448901</v>
      </c>
      <c r="AK3869">
        <v>65.433982623745905</v>
      </c>
      <c r="AL3869">
        <v>77.270608556565193</v>
      </c>
      <c r="AM3869">
        <v>95.343575839483407</v>
      </c>
      <c r="AN3869">
        <v>0.99999998803054302</v>
      </c>
    </row>
    <row r="3870" spans="1:40" x14ac:dyDescent="0.25">
      <c r="A3870" t="str">
        <f>"20190303170846891"</f>
        <v>20190303170846891</v>
      </c>
      <c r="B3870" t="str">
        <f>"1551604126877249"</f>
        <v>1551604126877249</v>
      </c>
      <c r="C3870" t="s">
        <v>40</v>
      </c>
      <c r="D3870">
        <v>4.8163929999999997</v>
      </c>
      <c r="E3870">
        <v>0.46250200000000002</v>
      </c>
      <c r="F3870" t="s">
        <v>43</v>
      </c>
      <c r="G3870">
        <v>-416.51229999999998</v>
      </c>
      <c r="H3870" s="1">
        <v>-2.3759290000000002E-6</v>
      </c>
      <c r="I3870">
        <v>43.729019999999998</v>
      </c>
      <c r="J3870">
        <v>-422.94470000000001</v>
      </c>
      <c r="K3870">
        <v>1.123005</v>
      </c>
      <c r="L3870">
        <v>105.5822</v>
      </c>
      <c r="M3870">
        <v>-9.5715339999999996E-2</v>
      </c>
      <c r="N3870">
        <v>-9.6819850000000006E-3</v>
      </c>
      <c r="O3870">
        <v>-0.99536170000000002</v>
      </c>
      <c r="P3870">
        <v>-4.9675379999999996E-3</v>
      </c>
      <c r="Q3870">
        <v>0.2121855</v>
      </c>
      <c r="R3870">
        <v>-0.9772168</v>
      </c>
      <c r="S3870">
        <v>0.31747439999999999</v>
      </c>
      <c r="T3870">
        <v>-5.5693029999999998E-2</v>
      </c>
      <c r="U3870">
        <v>-3.0836329999999998</v>
      </c>
      <c r="V3870">
        <v>-8.9824660000000001E-2</v>
      </c>
      <c r="W3870">
        <v>0.2211023</v>
      </c>
      <c r="X3870">
        <v>0.9711052</v>
      </c>
      <c r="Y3870">
        <v>-0.19712979999999999</v>
      </c>
      <c r="Z3870">
        <v>7.9803240000000004E-3</v>
      </c>
      <c r="AA3870">
        <v>0.98034489999999996</v>
      </c>
      <c r="AB3870">
        <v>30</v>
      </c>
      <c r="AC3870">
        <v>6.4324000000000296</v>
      </c>
      <c r="AD3870">
        <v>-1.123007375929</v>
      </c>
      <c r="AE3870">
        <v>-61.853180000000002</v>
      </c>
      <c r="AF3870">
        <v>-12.3194223353842</v>
      </c>
      <c r="AG3870">
        <v>-1.123007375929</v>
      </c>
      <c r="AH3870">
        <v>60.933590254946203</v>
      </c>
      <c r="AI3870">
        <v>91.034908052557498</v>
      </c>
      <c r="AJ3870">
        <v>101.42986444840299</v>
      </c>
      <c r="AK3870">
        <v>62.1766172576285</v>
      </c>
      <c r="AL3870">
        <v>77.226215421241093</v>
      </c>
      <c r="AM3870">
        <v>95.2846706888472</v>
      </c>
      <c r="AN3870">
        <v>1.0000000030382199</v>
      </c>
    </row>
    <row r="3871" spans="1:40" x14ac:dyDescent="0.25">
      <c r="A3871" t="str">
        <f>"20190303170846913"</f>
        <v>20190303170846913</v>
      </c>
      <c r="B3871" t="str">
        <f>"1551604126897744"</f>
        <v>1551604126897744</v>
      </c>
      <c r="C3871" t="s">
        <v>40</v>
      </c>
      <c r="D3871">
        <v>4.8118720000000001</v>
      </c>
      <c r="E3871">
        <v>0.46262959999999897</v>
      </c>
      <c r="F3871" t="s">
        <v>43</v>
      </c>
      <c r="G3871">
        <v>-416.25189999999998</v>
      </c>
      <c r="H3871" s="1">
        <v>-1.6868559999999999E-6</v>
      </c>
      <c r="I3871">
        <v>41.67445</v>
      </c>
      <c r="J3871">
        <v>-422.96980000000002</v>
      </c>
      <c r="K3871">
        <v>1.122892</v>
      </c>
      <c r="L3871">
        <v>105.2941</v>
      </c>
      <c r="M3871">
        <v>-9.3143820000000002E-2</v>
      </c>
      <c r="N3871">
        <v>-9.4295090000000008E-3</v>
      </c>
      <c r="O3871">
        <v>-0.99560800000000005</v>
      </c>
      <c r="P3871">
        <v>-3.0165740000000002E-3</v>
      </c>
      <c r="Q3871">
        <v>0.21318319999999999</v>
      </c>
      <c r="R3871">
        <v>-0.97700770000000003</v>
      </c>
      <c r="S3871">
        <v>0.32290649999999999</v>
      </c>
      <c r="T3871">
        <v>-5.4181460000000001E-2</v>
      </c>
      <c r="U3871">
        <v>-3.0833439999999999</v>
      </c>
      <c r="V3871">
        <v>-8.918529E-2</v>
      </c>
      <c r="W3871">
        <v>0.2218774</v>
      </c>
      <c r="X3871">
        <v>0.9709873</v>
      </c>
      <c r="Y3871">
        <v>-0.19631680000000001</v>
      </c>
      <c r="Z3871">
        <v>7.7618660000000001E-3</v>
      </c>
      <c r="AA3871">
        <v>0.98050979999999999</v>
      </c>
      <c r="AB3871">
        <v>30</v>
      </c>
      <c r="AC3871">
        <v>6.7179000000000402</v>
      </c>
      <c r="AD3871">
        <v>-1.122893686856</v>
      </c>
      <c r="AE3871">
        <v>-63.61965</v>
      </c>
      <c r="AF3871">
        <v>-12.6108479064817</v>
      </c>
      <c r="AG3871">
        <v>-1.122893686856</v>
      </c>
      <c r="AH3871">
        <v>62.697974018914103</v>
      </c>
      <c r="AI3871">
        <v>91.005891897881199</v>
      </c>
      <c r="AJ3871">
        <v>101.372528172408</v>
      </c>
      <c r="AK3871">
        <v>63.963507730805603</v>
      </c>
      <c r="AL3871">
        <v>77.180673868726799</v>
      </c>
      <c r="AM3871">
        <v>95.247898821613902</v>
      </c>
      <c r="AN3871">
        <v>0.99999996667221602</v>
      </c>
    </row>
    <row r="3872" spans="1:40" x14ac:dyDescent="0.25">
      <c r="A3872" t="str">
        <f>"20190303170846939"</f>
        <v>20190303170846939</v>
      </c>
      <c r="B3872" t="str">
        <f>"1551604126927025"</f>
        <v>1551604126927025</v>
      </c>
      <c r="C3872" t="s">
        <v>40</v>
      </c>
      <c r="D3872">
        <v>4.7895390000000004</v>
      </c>
      <c r="E3872">
        <v>0.46272980000000002</v>
      </c>
      <c r="F3872" t="s">
        <v>59</v>
      </c>
      <c r="G3872">
        <v>-415.84269999999998</v>
      </c>
      <c r="H3872" s="1">
        <v>-1.9174710000000001E-6</v>
      </c>
      <c r="I3872">
        <v>38.31973</v>
      </c>
      <c r="J3872">
        <v>-422.99939999999998</v>
      </c>
      <c r="K3872">
        <v>1.1227609999999999</v>
      </c>
      <c r="L3872">
        <v>104.94459999999999</v>
      </c>
      <c r="M3872">
        <v>-9.0185580000000001E-2</v>
      </c>
      <c r="N3872">
        <v>-9.151915E-3</v>
      </c>
      <c r="O3872">
        <v>-0.99588299999999996</v>
      </c>
      <c r="P3872">
        <v>-7.1677100000000005E-4</v>
      </c>
      <c r="Q3872">
        <v>0.2134857</v>
      </c>
      <c r="R3872">
        <v>-0.97694630000000005</v>
      </c>
      <c r="S3872">
        <v>0.32806400000000002</v>
      </c>
      <c r="T3872">
        <v>-5.1687719999999999E-2</v>
      </c>
      <c r="U3872">
        <v>-3.0828859999999998</v>
      </c>
      <c r="V3872">
        <v>-8.8526140000000003E-2</v>
      </c>
      <c r="W3872">
        <v>0.22193460000000001</v>
      </c>
      <c r="X3872">
        <v>0.97103459999999997</v>
      </c>
      <c r="Y3872">
        <v>-0.19504299999999999</v>
      </c>
      <c r="Z3872">
        <v>7.258306E-3</v>
      </c>
      <c r="AA3872">
        <v>0.98076779999999997</v>
      </c>
      <c r="AB3872">
        <v>30</v>
      </c>
      <c r="AC3872">
        <v>7.1566999999999998</v>
      </c>
      <c r="AD3872">
        <v>-1.1227629174709901</v>
      </c>
      <c r="AE3872">
        <v>-66.624869999999902</v>
      </c>
      <c r="AF3872">
        <v>-13.1327005818545</v>
      </c>
      <c r="AG3872">
        <v>-1.1227629174709901</v>
      </c>
      <c r="AH3872">
        <v>65.689448932378198</v>
      </c>
      <c r="AI3872">
        <v>90.960205833761407</v>
      </c>
      <c r="AJ3872">
        <v>101.305580351956</v>
      </c>
      <c r="AK3872">
        <v>66.998747168742</v>
      </c>
      <c r="AL3872">
        <v>77.177313436763001</v>
      </c>
      <c r="AM3872">
        <v>95.209074516431798</v>
      </c>
      <c r="AN3872">
        <v>1.0000000192687999</v>
      </c>
    </row>
    <row r="3873" spans="1:40" x14ac:dyDescent="0.25">
      <c r="A3873" t="str">
        <f>"20190303170846958"</f>
        <v>20190303170846958</v>
      </c>
      <c r="B3873" t="str">
        <f>"1551604126947521"</f>
        <v>1551604126947521</v>
      </c>
      <c r="C3873" t="s">
        <v>40</v>
      </c>
      <c r="D3873">
        <v>4.7812409999999996</v>
      </c>
      <c r="E3873">
        <v>0.46280250000000001</v>
      </c>
      <c r="F3873" t="s">
        <v>59</v>
      </c>
      <c r="G3873">
        <v>-415.64710000000002</v>
      </c>
      <c r="H3873" s="1">
        <v>-2.666416E-6</v>
      </c>
      <c r="I3873">
        <v>37.223350000000003</v>
      </c>
      <c r="J3873">
        <v>-423.02100000000002</v>
      </c>
      <c r="K3873">
        <v>1.122676</v>
      </c>
      <c r="L3873">
        <v>104.6824</v>
      </c>
      <c r="M3873">
        <v>-8.8068339999999995E-2</v>
      </c>
      <c r="N3873">
        <v>-8.9609249999999998E-3</v>
      </c>
      <c r="O3873">
        <v>-0.99607429999999997</v>
      </c>
      <c r="P3873">
        <v>2.8849909999999998E-4</v>
      </c>
      <c r="Q3873">
        <v>0.21233460000000001</v>
      </c>
      <c r="R3873">
        <v>-0.97719739999999999</v>
      </c>
      <c r="S3873">
        <v>0.33462520000000001</v>
      </c>
      <c r="T3873">
        <v>-5.1100609999999998E-2</v>
      </c>
      <c r="U3873">
        <v>-3.082214</v>
      </c>
      <c r="V3873">
        <v>-8.7439719999999999E-2</v>
      </c>
      <c r="W3873">
        <v>0.22062000000000001</v>
      </c>
      <c r="X3873">
        <v>0.97143250000000003</v>
      </c>
      <c r="Y3873">
        <v>-0.1950451</v>
      </c>
      <c r="Z3873">
        <v>7.269902E-3</v>
      </c>
      <c r="AA3873">
        <v>0.98076730000000001</v>
      </c>
      <c r="AB3873">
        <v>30</v>
      </c>
      <c r="AC3873">
        <v>7.3738999999999297</v>
      </c>
      <c r="AD3873">
        <v>-1.122678666416</v>
      </c>
      <c r="AE3873">
        <v>-67.459049999999905</v>
      </c>
      <c r="AF3873">
        <v>-13.282854518083999</v>
      </c>
      <c r="AG3873">
        <v>-1.122678666416</v>
      </c>
      <c r="AH3873">
        <v>66.529270428318597</v>
      </c>
      <c r="AI3873">
        <v>90.948064495409497</v>
      </c>
      <c r="AJ3873">
        <v>101.290885540731</v>
      </c>
      <c r="AK3873">
        <v>67.851591398145999</v>
      </c>
      <c r="AL3873">
        <v>77.254548765766899</v>
      </c>
      <c r="AM3873">
        <v>95.143396138226706</v>
      </c>
      <c r="AN3873">
        <v>0.99999999554496399</v>
      </c>
    </row>
    <row r="3874" spans="1:40" x14ac:dyDescent="0.25">
      <c r="A3874" t="str">
        <f>"20190303170846976"</f>
        <v>20190303170846976</v>
      </c>
      <c r="B3874" t="str">
        <f>"1551604126967042"</f>
        <v>1551604126967042</v>
      </c>
      <c r="C3874" t="s">
        <v>40</v>
      </c>
      <c r="D3874">
        <v>4.7993329999999998</v>
      </c>
      <c r="E3874">
        <v>0.46299249999999997</v>
      </c>
      <c r="F3874" t="s">
        <v>43</v>
      </c>
      <c r="G3874">
        <v>-416.0385</v>
      </c>
      <c r="H3874" s="1">
        <v>-1.535189E-6</v>
      </c>
      <c r="I3874">
        <v>41.061869999999999</v>
      </c>
      <c r="J3874">
        <v>-423.04129999999998</v>
      </c>
      <c r="K3874">
        <v>1.1226069999999999</v>
      </c>
      <c r="L3874">
        <v>104.43</v>
      </c>
      <c r="M3874">
        <v>-8.6110350000000002E-2</v>
      </c>
      <c r="N3874">
        <v>-8.7906289999999995E-3</v>
      </c>
      <c r="O3874">
        <v>-0.99624690000000005</v>
      </c>
      <c r="P3874">
        <v>1.783965E-3</v>
      </c>
      <c r="Q3874">
        <v>0.21189549999999999</v>
      </c>
      <c r="R3874">
        <v>-0.97729069999999996</v>
      </c>
      <c r="S3874">
        <v>0.33822629999999998</v>
      </c>
      <c r="T3874">
        <v>-5.4381609999999997E-2</v>
      </c>
      <c r="U3874">
        <v>-3.0817260000000002</v>
      </c>
      <c r="V3874">
        <v>-8.6991150000000003E-2</v>
      </c>
      <c r="W3874">
        <v>0.22003020000000001</v>
      </c>
      <c r="X3874">
        <v>0.97160659999999999</v>
      </c>
      <c r="Y3874">
        <v>-0.19426499999999999</v>
      </c>
      <c r="Z3874">
        <v>8.4936809999999995E-3</v>
      </c>
      <c r="AA3874">
        <v>0.98091229999999996</v>
      </c>
      <c r="AB3874">
        <v>30</v>
      </c>
      <c r="AC3874">
        <v>7.0027999999999704</v>
      </c>
      <c r="AD3874">
        <v>-1.1226085351889901</v>
      </c>
      <c r="AE3874">
        <v>-63.368130000000001</v>
      </c>
      <c r="AF3874">
        <v>-12.429795146763199</v>
      </c>
      <c r="AG3874">
        <v>-1.1226085351889901</v>
      </c>
      <c r="AH3874">
        <v>62.5103189247016</v>
      </c>
      <c r="AI3874">
        <v>91.009099471822296</v>
      </c>
      <c r="AJ3874">
        <v>101.246225960621</v>
      </c>
      <c r="AK3874">
        <v>63.744019557772504</v>
      </c>
      <c r="AL3874">
        <v>77.289194076289107</v>
      </c>
      <c r="AM3874">
        <v>95.116238648277303</v>
      </c>
      <c r="AN3874">
        <v>1.00000006712695</v>
      </c>
    </row>
    <row r="3875" spans="1:40" x14ac:dyDescent="0.25">
      <c r="A3875" t="str">
        <f>"20190303170846999"</f>
        <v>20190303170846999</v>
      </c>
      <c r="B3875" t="str">
        <f>"1551604126987538"</f>
        <v>1551604126987538</v>
      </c>
      <c r="C3875" t="s">
        <v>40</v>
      </c>
      <c r="D3875">
        <v>4.7830830000000004</v>
      </c>
      <c r="E3875">
        <v>0.46314640000000001</v>
      </c>
      <c r="F3875" t="s">
        <v>43</v>
      </c>
      <c r="G3875">
        <v>-416.23540000000003</v>
      </c>
      <c r="H3875" s="1">
        <v>-2.115543E-6</v>
      </c>
      <c r="I3875">
        <v>42.921289999999999</v>
      </c>
      <c r="J3875">
        <v>-423.06459999999998</v>
      </c>
      <c r="K3875">
        <v>1.1225210000000001</v>
      </c>
      <c r="L3875">
        <v>104.1347</v>
      </c>
      <c r="M3875">
        <v>-8.3907510000000005E-2</v>
      </c>
      <c r="N3875">
        <v>-8.6052400000000001E-3</v>
      </c>
      <c r="O3875">
        <v>-0.99643660000000001</v>
      </c>
      <c r="P3875">
        <v>3.5287769999999999E-3</v>
      </c>
      <c r="Q3875">
        <v>0.21257119999999999</v>
      </c>
      <c r="R3875">
        <v>-0.97713939999999999</v>
      </c>
      <c r="S3875">
        <v>0.34094239999999998</v>
      </c>
      <c r="T3875">
        <v>-5.6237460000000003E-2</v>
      </c>
      <c r="U3875">
        <v>-3.081299</v>
      </c>
      <c r="V3875">
        <v>-8.6533840000000001E-2</v>
      </c>
      <c r="W3875">
        <v>0.22054000000000001</v>
      </c>
      <c r="X3875">
        <v>0.97153179999999995</v>
      </c>
      <c r="Y3875">
        <v>-0.19296450000000001</v>
      </c>
      <c r="Z3875">
        <v>9.2808790000000006E-3</v>
      </c>
      <c r="AA3875">
        <v>0.98116179999999997</v>
      </c>
      <c r="AB3875">
        <v>30</v>
      </c>
      <c r="AC3875">
        <v>6.8291999999999504</v>
      </c>
      <c r="AD3875">
        <v>-1.12252311554299</v>
      </c>
      <c r="AE3875">
        <v>-61.213410000000003</v>
      </c>
      <c r="AF3875">
        <v>-11.9376042949298</v>
      </c>
      <c r="AG3875">
        <v>-1.12252311554299</v>
      </c>
      <c r="AH3875">
        <v>60.404422676484003</v>
      </c>
      <c r="AI3875">
        <v>91.044435034101795</v>
      </c>
      <c r="AJ3875">
        <v>101.17919374623899</v>
      </c>
      <c r="AK3875">
        <v>61.582958140435203</v>
      </c>
      <c r="AL3875">
        <v>77.259248467470997</v>
      </c>
      <c r="AM3875">
        <v>95.089874145515793</v>
      </c>
      <c r="AN3875">
        <v>1.00000001773819</v>
      </c>
    </row>
    <row r="3876" spans="1:40" x14ac:dyDescent="0.25">
      <c r="A3876" t="str">
        <f>"20190303170847020"</f>
        <v>20190303170847020</v>
      </c>
      <c r="B3876" t="str">
        <f>"1551604127007058"</f>
        <v>1551604127007058</v>
      </c>
      <c r="C3876" t="s">
        <v>40</v>
      </c>
      <c r="D3876">
        <v>4.763541</v>
      </c>
      <c r="E3876">
        <v>0.46324860000000001</v>
      </c>
      <c r="F3876" t="s">
        <v>43</v>
      </c>
      <c r="G3876">
        <v>-415.97640000000001</v>
      </c>
      <c r="H3876" s="1">
        <v>-1.4792379999999999E-6</v>
      </c>
      <c r="I3876">
        <v>40.848950000000002</v>
      </c>
      <c r="J3876">
        <v>-423.08769999999998</v>
      </c>
      <c r="K3876">
        <v>1.1224479999999999</v>
      </c>
      <c r="L3876">
        <v>103.8342</v>
      </c>
      <c r="M3876">
        <v>-8.1739690000000004E-2</v>
      </c>
      <c r="N3876">
        <v>-8.4285030000000004E-3</v>
      </c>
      <c r="O3876">
        <v>-0.99661809999999995</v>
      </c>
      <c r="P3876">
        <v>4.3178579999999999E-3</v>
      </c>
      <c r="Q3876">
        <v>0.21259839999999999</v>
      </c>
      <c r="R3876">
        <v>-0.97713039999999995</v>
      </c>
      <c r="S3876">
        <v>0.34506229999999999</v>
      </c>
      <c r="T3876">
        <v>-5.4646019999999997E-2</v>
      </c>
      <c r="U3876">
        <v>-3.0808409999999999</v>
      </c>
      <c r="V3876">
        <v>-8.5170540000000003E-2</v>
      </c>
      <c r="W3876">
        <v>0.22041440000000001</v>
      </c>
      <c r="X3876">
        <v>0.97168080000000001</v>
      </c>
      <c r="Y3876">
        <v>-0.19214319999999999</v>
      </c>
      <c r="Z3876">
        <v>8.9593229999999999E-3</v>
      </c>
      <c r="AA3876">
        <v>0.98132600000000003</v>
      </c>
      <c r="AB3876">
        <v>30</v>
      </c>
      <c r="AC3876">
        <v>7.1112999999999698</v>
      </c>
      <c r="AD3876">
        <v>-1.122449479238</v>
      </c>
      <c r="AE3876">
        <v>-62.985249999999901</v>
      </c>
      <c r="AF3876">
        <v>-12.2322435623507</v>
      </c>
      <c r="AG3876">
        <v>-1.122449479238</v>
      </c>
      <c r="AH3876">
        <v>62.173675472587703</v>
      </c>
      <c r="AI3876">
        <v>91.014824085355102</v>
      </c>
      <c r="AJ3876">
        <v>101.130392859189</v>
      </c>
      <c r="AK3876">
        <v>63.3754968199285</v>
      </c>
      <c r="AL3876">
        <v>77.266626826370697</v>
      </c>
      <c r="AM3876">
        <v>95.009332592333607</v>
      </c>
      <c r="AN3876">
        <v>1.00000005284994</v>
      </c>
    </row>
    <row r="3877" spans="1:40" x14ac:dyDescent="0.25">
      <c r="A3877" t="str">
        <f>"20190303170847045"</f>
        <v>20190303170847045</v>
      </c>
      <c r="B3877" t="str">
        <f>"1551604127037313"</f>
        <v>1551604127037313</v>
      </c>
      <c r="C3877" t="s">
        <v>40</v>
      </c>
      <c r="D3877">
        <v>4.7793619999999999</v>
      </c>
      <c r="E3877">
        <v>0.46359210000000001</v>
      </c>
      <c r="F3877" t="s">
        <v>43</v>
      </c>
      <c r="G3877">
        <v>-415.98750000000001</v>
      </c>
      <c r="H3877" s="1">
        <v>-1.477374E-6</v>
      </c>
      <c r="I3877">
        <v>40.852110000000003</v>
      </c>
      <c r="J3877">
        <v>-423.1123</v>
      </c>
      <c r="K3877">
        <v>1.122385</v>
      </c>
      <c r="L3877">
        <v>103.5061</v>
      </c>
      <c r="M3877">
        <v>-7.9433450000000003E-2</v>
      </c>
      <c r="N3877">
        <v>-8.2470659999999904E-3</v>
      </c>
      <c r="O3877">
        <v>-0.99680610000000003</v>
      </c>
      <c r="P3877">
        <v>5.2513789999999996E-3</v>
      </c>
      <c r="Q3877">
        <v>0.21284539999999999</v>
      </c>
      <c r="R3877">
        <v>-0.97707219999999995</v>
      </c>
      <c r="S3877">
        <v>0.34728999999999999</v>
      </c>
      <c r="T3877">
        <v>-5.4902079999999999E-2</v>
      </c>
      <c r="U3877">
        <v>-3.0806269999999998</v>
      </c>
      <c r="V3877">
        <v>-8.381769E-2</v>
      </c>
      <c r="W3877">
        <v>0.22050139999999999</v>
      </c>
      <c r="X3877">
        <v>0.97177860000000005</v>
      </c>
      <c r="Y3877">
        <v>-0.1905809</v>
      </c>
      <c r="Z3877">
        <v>9.2322440000000006E-3</v>
      </c>
      <c r="AA3877">
        <v>0.9816281</v>
      </c>
      <c r="AB3877">
        <v>31</v>
      </c>
      <c r="AC3877">
        <v>7.1247999999999898</v>
      </c>
      <c r="AD3877">
        <v>-1.122386477374</v>
      </c>
      <c r="AE3877">
        <v>-62.65399</v>
      </c>
      <c r="AF3877">
        <v>-12.0754512407942</v>
      </c>
      <c r="AG3877">
        <v>-1.122386477374</v>
      </c>
      <c r="AH3877">
        <v>61.870432431859797</v>
      </c>
      <c r="AI3877">
        <v>91.020041815898693</v>
      </c>
      <c r="AJ3877">
        <v>101.043769652428</v>
      </c>
      <c r="AK3877">
        <v>63.047812677195402</v>
      </c>
      <c r="AL3877">
        <v>77.261515155583297</v>
      </c>
      <c r="AM3877">
        <v>94.929665875995497</v>
      </c>
      <c r="AN3877">
        <v>0.99999995998842695</v>
      </c>
    </row>
    <row r="3878" spans="1:40" x14ac:dyDescent="0.25">
      <c r="A3878" t="str">
        <f>"20190303170847067"</f>
        <v>20190303170847067</v>
      </c>
      <c r="B3878" t="str">
        <f>"1551604127057809"</f>
        <v>1551604127057809</v>
      </c>
      <c r="C3878" t="s">
        <v>40</v>
      </c>
      <c r="D3878">
        <v>4.785609</v>
      </c>
      <c r="E3878">
        <v>0.46377429999999997</v>
      </c>
      <c r="F3878" t="s">
        <v>43</v>
      </c>
      <c r="G3878">
        <v>-416.10489999999999</v>
      </c>
      <c r="H3878" s="1">
        <v>-1.6459099999999901E-6</v>
      </c>
      <c r="I3878">
        <v>41.439149999999998</v>
      </c>
      <c r="J3878">
        <v>-423.1343</v>
      </c>
      <c r="K3878">
        <v>1.1223320000000001</v>
      </c>
      <c r="L3878">
        <v>103.20359999999999</v>
      </c>
      <c r="M3878">
        <v>-7.7345040000000004E-2</v>
      </c>
      <c r="N3878">
        <v>-8.0856339999999995E-3</v>
      </c>
      <c r="O3878">
        <v>-0.99697150000000001</v>
      </c>
      <c r="P3878">
        <v>5.7443839999999999E-3</v>
      </c>
      <c r="Q3878">
        <v>0.21377170000000001</v>
      </c>
      <c r="R3878">
        <v>-0.97686689999999998</v>
      </c>
      <c r="S3878">
        <v>0.34780879999999997</v>
      </c>
      <c r="T3878">
        <v>-5.5709000000000002E-2</v>
      </c>
      <c r="U3878">
        <v>-3.0806580000000001</v>
      </c>
      <c r="V3878">
        <v>-8.2240110000000005E-2</v>
      </c>
      <c r="W3878">
        <v>0.22128410000000001</v>
      </c>
      <c r="X3878">
        <v>0.97173549999999997</v>
      </c>
      <c r="Y3878">
        <v>-0.1886861</v>
      </c>
      <c r="Z3878">
        <v>9.6600910000000009E-3</v>
      </c>
      <c r="AA3878">
        <v>0.98198989999999997</v>
      </c>
      <c r="AB3878">
        <v>31</v>
      </c>
      <c r="AC3878">
        <v>7.0294000000000096</v>
      </c>
      <c r="AD3878">
        <v>-1.12233364591</v>
      </c>
      <c r="AE3878">
        <v>-61.764449999999997</v>
      </c>
      <c r="AF3878">
        <v>-11.781831211331699</v>
      </c>
      <c r="AG3878">
        <v>-1.12233364591</v>
      </c>
      <c r="AH3878">
        <v>61.015818990792297</v>
      </c>
      <c r="AI3878">
        <v>91.034679370699607</v>
      </c>
      <c r="AJ3878">
        <v>100.92900473386</v>
      </c>
      <c r="AK3878">
        <v>62.153047766156902</v>
      </c>
      <c r="AL3878">
        <v>77.215534250919106</v>
      </c>
      <c r="AM3878">
        <v>94.837539859564302</v>
      </c>
      <c r="AN3878">
        <v>0.99999998528293599</v>
      </c>
    </row>
    <row r="3879" spans="1:40" x14ac:dyDescent="0.25">
      <c r="A3879" t="str">
        <f>"20190303170847111"</f>
        <v>20190303170847111</v>
      </c>
      <c r="B3879" t="str">
        <f>"1551604127107585"</f>
        <v>1551604127107585</v>
      </c>
      <c r="C3879" t="s">
        <v>40</v>
      </c>
      <c r="D3879">
        <v>4.7662630000000004</v>
      </c>
      <c r="E3879">
        <v>0.46412340000000002</v>
      </c>
      <c r="F3879" t="s">
        <v>59</v>
      </c>
      <c r="G3879">
        <v>-415.84949999999998</v>
      </c>
      <c r="H3879" s="1">
        <v>-1.6371420000000001E-6</v>
      </c>
      <c r="I3879">
        <v>38.757919999999999</v>
      </c>
      <c r="J3879">
        <v>-423.17649999999998</v>
      </c>
      <c r="K3879">
        <v>1.1222650000000001</v>
      </c>
      <c r="L3879">
        <v>102.5985</v>
      </c>
      <c r="M3879">
        <v>-7.3224990000000004E-2</v>
      </c>
      <c r="N3879">
        <v>-7.7599419999999997E-3</v>
      </c>
      <c r="O3879">
        <v>-0.99728559999999999</v>
      </c>
      <c r="P3879">
        <v>5.0405160000000001E-3</v>
      </c>
      <c r="Q3879">
        <v>0.214174</v>
      </c>
      <c r="R3879">
        <v>-0.97678279999999995</v>
      </c>
      <c r="S3879">
        <v>0.34823609999999999</v>
      </c>
      <c r="T3879">
        <v>-5.3651329999999997E-2</v>
      </c>
      <c r="U3879">
        <v>-3.0807190000000002</v>
      </c>
      <c r="V3879">
        <v>-7.7494610000000005E-2</v>
      </c>
      <c r="W3879">
        <v>0.22139710000000001</v>
      </c>
      <c r="X3879">
        <v>0.97209970000000001</v>
      </c>
      <c r="Y3879">
        <v>-0.18476129999999999</v>
      </c>
      <c r="Z3879">
        <v>9.3464910000000002E-3</v>
      </c>
      <c r="AA3879">
        <v>0.98273900000000003</v>
      </c>
      <c r="AB3879">
        <v>31</v>
      </c>
      <c r="AC3879">
        <v>7.3269999999999902</v>
      </c>
      <c r="AD3879">
        <v>-1.122266637142</v>
      </c>
      <c r="AE3879">
        <v>-63.840580000000003</v>
      </c>
      <c r="AF3879">
        <v>-11.978540511853</v>
      </c>
      <c r="AG3879">
        <v>-1.122266637142</v>
      </c>
      <c r="AH3879">
        <v>63.113400622460702</v>
      </c>
      <c r="AI3879">
        <v>91.000848848864393</v>
      </c>
      <c r="AJ3879">
        <v>100.746571247144</v>
      </c>
      <c r="AK3879">
        <v>64.249873566647395</v>
      </c>
      <c r="AL3879">
        <v>77.208894808308301</v>
      </c>
      <c r="AM3879">
        <v>94.557911110293006</v>
      </c>
      <c r="AN3879">
        <v>0.999999958603775</v>
      </c>
    </row>
    <row r="3880" spans="1:40" x14ac:dyDescent="0.25">
      <c r="A3880" t="str">
        <f>"20190303170847133"</f>
        <v>20190303170847133</v>
      </c>
      <c r="B3880" t="str">
        <f>"1551604127127104"</f>
        <v>1551604127127104</v>
      </c>
      <c r="C3880" t="s">
        <v>40</v>
      </c>
      <c r="D3880">
        <v>4.7932379999999997</v>
      </c>
      <c r="E3880">
        <v>0.46422390000000002</v>
      </c>
      <c r="F3880" t="s">
        <v>59</v>
      </c>
      <c r="G3880">
        <v>-415.86509999999998</v>
      </c>
      <c r="H3880" s="1">
        <v>-2.529549E-6</v>
      </c>
      <c r="I3880">
        <v>37.34742</v>
      </c>
      <c r="J3880">
        <v>-423.19760000000002</v>
      </c>
      <c r="K3880">
        <v>1.122236</v>
      </c>
      <c r="L3880">
        <v>102.2829</v>
      </c>
      <c r="M3880">
        <v>-7.1089070000000004E-2</v>
      </c>
      <c r="N3880">
        <v>-7.5967079999999998E-3</v>
      </c>
      <c r="O3880">
        <v>-0.99744140000000003</v>
      </c>
      <c r="P3880">
        <v>6.1339050000000003E-3</v>
      </c>
      <c r="Q3880">
        <v>0.21402450000000001</v>
      </c>
      <c r="R3880">
        <v>-0.9768097</v>
      </c>
      <c r="S3880">
        <v>0.34524539999999998</v>
      </c>
      <c r="T3880">
        <v>-5.29933E-2</v>
      </c>
      <c r="U3880">
        <v>-3.0811459999999999</v>
      </c>
      <c r="V3880">
        <v>-7.6499209999999998E-2</v>
      </c>
      <c r="W3880">
        <v>0.2210944</v>
      </c>
      <c r="X3880">
        <v>0.97224750000000004</v>
      </c>
      <c r="Y3880">
        <v>-0.18169940000000001</v>
      </c>
      <c r="Z3880">
        <v>9.3088849999999994E-3</v>
      </c>
      <c r="AA3880">
        <v>0.98331000000000002</v>
      </c>
      <c r="AB3880">
        <v>31</v>
      </c>
      <c r="AC3880">
        <v>7.3325000000000298</v>
      </c>
      <c r="AD3880">
        <v>-1.1222385295490001</v>
      </c>
      <c r="AE3880">
        <v>-64.935479999999998</v>
      </c>
      <c r="AF3880">
        <v>-11.9267645163929</v>
      </c>
      <c r="AG3880">
        <v>-1.1222385295490001</v>
      </c>
      <c r="AH3880">
        <v>64.230963580354</v>
      </c>
      <c r="AI3880">
        <v>90.984146580750206</v>
      </c>
      <c r="AJ3880">
        <v>100.519195105324</v>
      </c>
      <c r="AK3880">
        <v>65.338532380268902</v>
      </c>
      <c r="AL3880">
        <v>77.2266799210675</v>
      </c>
      <c r="AM3880">
        <v>94.498926572193994</v>
      </c>
      <c r="AN3880">
        <v>1.00000003204911</v>
      </c>
    </row>
    <row r="3881" spans="1:40" x14ac:dyDescent="0.25">
      <c r="A3881" t="str">
        <f>"20190303170847156"</f>
        <v>20190303170847156</v>
      </c>
      <c r="B3881" t="str">
        <f>"1551604127147601"</f>
        <v>1551604127147601</v>
      </c>
      <c r="C3881" t="s">
        <v>40</v>
      </c>
      <c r="D3881">
        <v>4.785412</v>
      </c>
      <c r="E3881">
        <v>0.46433259999999998</v>
      </c>
      <c r="F3881" t="s">
        <v>59</v>
      </c>
      <c r="G3881">
        <v>-415.87860000000001</v>
      </c>
      <c r="H3881" s="1">
        <v>-2.4211119999999999E-6</v>
      </c>
      <c r="I3881">
        <v>37.512349999999998</v>
      </c>
      <c r="J3881">
        <v>-423.21789999999999</v>
      </c>
      <c r="K3881">
        <v>1.1222099999999999</v>
      </c>
      <c r="L3881">
        <v>101.9678</v>
      </c>
      <c r="M3881">
        <v>-6.8956539999999997E-2</v>
      </c>
      <c r="N3881">
        <v>-7.4434219999999999E-3</v>
      </c>
      <c r="O3881">
        <v>-0.99759209999999998</v>
      </c>
      <c r="P3881">
        <v>7.4536519999999998E-3</v>
      </c>
      <c r="Q3881">
        <v>0.21373159999999999</v>
      </c>
      <c r="R3881">
        <v>-0.97686410000000001</v>
      </c>
      <c r="S3881">
        <v>0.34811399999999998</v>
      </c>
      <c r="T3881">
        <v>-5.3377630000000002E-2</v>
      </c>
      <c r="U3881">
        <v>-3.0807190000000002</v>
      </c>
      <c r="V3881">
        <v>-7.573684E-2</v>
      </c>
      <c r="W3881">
        <v>0.22065580000000001</v>
      </c>
      <c r="X3881">
        <v>0.97240680000000002</v>
      </c>
      <c r="Y3881">
        <v>-0.18051639999999999</v>
      </c>
      <c r="Z3881">
        <v>9.5934599999999998E-3</v>
      </c>
      <c r="AA3881">
        <v>0.98352519999999999</v>
      </c>
      <c r="AB3881">
        <v>31</v>
      </c>
      <c r="AC3881">
        <v>7.3392999999999802</v>
      </c>
      <c r="AD3881">
        <v>-1.1222124211119999</v>
      </c>
      <c r="AE3881">
        <v>-64.455449999999999</v>
      </c>
      <c r="AF3881">
        <v>-11.7630559759373</v>
      </c>
      <c r="AG3881">
        <v>-1.1222124211119999</v>
      </c>
      <c r="AH3881">
        <v>63.776824019456299</v>
      </c>
      <c r="AI3881">
        <v>90.991350727475407</v>
      </c>
      <c r="AJ3881">
        <v>100.450242066629</v>
      </c>
      <c r="AK3881">
        <v>64.862255038040601</v>
      </c>
      <c r="AL3881">
        <v>77.252446038756503</v>
      </c>
      <c r="AM3881">
        <v>94.453546080525996</v>
      </c>
      <c r="AN3881">
        <v>1.00000001784653</v>
      </c>
    </row>
    <row r="3882" spans="1:40" x14ac:dyDescent="0.25">
      <c r="A3882" t="str">
        <f>"20190303170847177"</f>
        <v>20190303170847177</v>
      </c>
      <c r="B3882" t="str">
        <f>"1551604127167121"</f>
        <v>1551604127167121</v>
      </c>
      <c r="C3882" t="s">
        <v>40</v>
      </c>
      <c r="D3882">
        <v>4.7854809999999999</v>
      </c>
      <c r="E3882">
        <v>0.464449</v>
      </c>
      <c r="F3882" t="s">
        <v>59</v>
      </c>
      <c r="G3882">
        <v>-416.01639999999998</v>
      </c>
      <c r="H3882" s="1">
        <v>-1.5010539999999999E-6</v>
      </c>
      <c r="I3882">
        <v>38.902149999999999</v>
      </c>
      <c r="J3882">
        <v>-423.23660000000001</v>
      </c>
      <c r="K3882">
        <v>1.122201</v>
      </c>
      <c r="L3882">
        <v>101.6696</v>
      </c>
      <c r="M3882">
        <v>-6.6936170000000003E-2</v>
      </c>
      <c r="N3882">
        <v>-7.2983329999999997E-3</v>
      </c>
      <c r="O3882">
        <v>-0.99773069999999997</v>
      </c>
      <c r="P3882">
        <v>8.5039150000000008E-3</v>
      </c>
      <c r="Q3882">
        <v>0.21521390000000001</v>
      </c>
      <c r="R3882">
        <v>-0.97653029999999996</v>
      </c>
      <c r="S3882">
        <v>0.35174559999999999</v>
      </c>
      <c r="T3882">
        <v>-5.481279E-2</v>
      </c>
      <c r="U3882">
        <v>-3.0803530000000001</v>
      </c>
      <c r="V3882">
        <v>-7.4797210000000003E-2</v>
      </c>
      <c r="W3882">
        <v>0.2219988</v>
      </c>
      <c r="X3882">
        <v>0.97217379999999998</v>
      </c>
      <c r="Y3882">
        <v>-0.1796817</v>
      </c>
      <c r="Z3882">
        <v>1.0204319999999999E-2</v>
      </c>
      <c r="AA3882">
        <v>0.98367179999999999</v>
      </c>
      <c r="AB3882">
        <v>31</v>
      </c>
      <c r="AC3882">
        <v>7.2202000000000304</v>
      </c>
      <c r="AD3882">
        <v>-1.122202501054</v>
      </c>
      <c r="AE3882">
        <v>-62.767449999999997</v>
      </c>
      <c r="AF3882">
        <v>-11.401933129567</v>
      </c>
      <c r="AG3882">
        <v>-1.122202501054</v>
      </c>
      <c r="AH3882">
        <v>62.1237676168451</v>
      </c>
      <c r="AI3882">
        <v>91.017879106235895</v>
      </c>
      <c r="AJ3882">
        <v>100.40007865601901</v>
      </c>
      <c r="AK3882">
        <v>63.171401127854303</v>
      </c>
      <c r="AL3882">
        <v>77.173540605373205</v>
      </c>
      <c r="AM3882">
        <v>94.399561340124507</v>
      </c>
      <c r="AN3882">
        <v>0.99999999361583103</v>
      </c>
    </row>
    <row r="3883" spans="1:40" x14ac:dyDescent="0.25">
      <c r="A3883" t="str">
        <f>"20190303170847199"</f>
        <v>20190303170847199</v>
      </c>
      <c r="B3883" t="str">
        <f>"1551604127187617"</f>
        <v>1551604127187617</v>
      </c>
      <c r="C3883" t="s">
        <v>40</v>
      </c>
      <c r="D3883">
        <v>4.8022689999999999</v>
      </c>
      <c r="E3883">
        <v>0.46443780000000001</v>
      </c>
      <c r="F3883" t="s">
        <v>59</v>
      </c>
      <c r="G3883">
        <v>-415.358</v>
      </c>
      <c r="H3883" s="1">
        <v>-4.9084180000000004E-6</v>
      </c>
      <c r="I3883">
        <v>33.219059999999999</v>
      </c>
      <c r="J3883">
        <v>-423.25490000000002</v>
      </c>
      <c r="K3883">
        <v>1.1221909999999999</v>
      </c>
      <c r="L3883">
        <v>101.3672</v>
      </c>
      <c r="M3883">
        <v>-6.4885650000000003E-2</v>
      </c>
      <c r="N3883">
        <v>-7.1497009999999996E-3</v>
      </c>
      <c r="O3883">
        <v>-0.99786710000000001</v>
      </c>
      <c r="P3883">
        <v>9.8808279999999995E-3</v>
      </c>
      <c r="Q3883">
        <v>0.21688009999999999</v>
      </c>
      <c r="R3883">
        <v>-0.97614829999999997</v>
      </c>
      <c r="S3883">
        <v>0.35452270000000002</v>
      </c>
      <c r="T3883">
        <v>-5.0497529999999999E-2</v>
      </c>
      <c r="U3883">
        <v>-3.0801699999999999</v>
      </c>
      <c r="V3883">
        <v>-7.4155120000000005E-2</v>
      </c>
      <c r="W3883">
        <v>0.2235202</v>
      </c>
      <c r="X3883">
        <v>0.97187440000000003</v>
      </c>
      <c r="Y3883">
        <v>-0.1785447</v>
      </c>
      <c r="Z3883">
        <v>8.979463E-3</v>
      </c>
      <c r="AA3883">
        <v>0.98389079999999995</v>
      </c>
      <c r="AB3883">
        <v>31</v>
      </c>
      <c r="AC3883">
        <v>7.8969000000000102</v>
      </c>
      <c r="AD3883">
        <v>-1.122195908418</v>
      </c>
      <c r="AE3883">
        <v>-68.148139999999998</v>
      </c>
      <c r="AF3883">
        <v>-12.298916592671301</v>
      </c>
      <c r="AG3883">
        <v>-1.122195908418</v>
      </c>
      <c r="AH3883">
        <v>67.474061897231806</v>
      </c>
      <c r="AI3883">
        <v>90.937385722681398</v>
      </c>
      <c r="AJ3883">
        <v>100.33024798284301</v>
      </c>
      <c r="AK3883">
        <v>68.594983066707101</v>
      </c>
      <c r="AL3883">
        <v>77.084124877809899</v>
      </c>
      <c r="AM3883">
        <v>94.3632786547563</v>
      </c>
      <c r="AN3883">
        <v>1.0000000555027999</v>
      </c>
    </row>
    <row r="3884" spans="1:40" x14ac:dyDescent="0.25">
      <c r="A3884" t="str">
        <f>"20190303170847222"</f>
        <v>20190303170847222</v>
      </c>
      <c r="B3884" t="str">
        <f>"1551604127217874"</f>
        <v>1551604127217874</v>
      </c>
      <c r="C3884" t="s">
        <v>40</v>
      </c>
      <c r="D3884">
        <v>4.7979570000000002</v>
      </c>
      <c r="E3884">
        <v>0.43707699999999999</v>
      </c>
      <c r="F3884" t="s">
        <v>59</v>
      </c>
      <c r="G3884">
        <v>-414.24990000000003</v>
      </c>
      <c r="H3884" s="1">
        <v>-8.7025679999999994E-6</v>
      </c>
      <c r="I3884">
        <v>24.272120000000001</v>
      </c>
      <c r="J3884">
        <v>-423.27370000000002</v>
      </c>
      <c r="K3884">
        <v>1.1221810000000001</v>
      </c>
      <c r="L3884">
        <v>101.0449</v>
      </c>
      <c r="M3884">
        <v>-6.2699980000000002E-2</v>
      </c>
      <c r="N3884">
        <v>-6.9907819999999897E-3</v>
      </c>
      <c r="O3884">
        <v>-0.99800789999999995</v>
      </c>
      <c r="P3884">
        <v>1.173915E-2</v>
      </c>
      <c r="Q3884">
        <v>0.2179691</v>
      </c>
      <c r="R3884">
        <v>-0.97588509999999995</v>
      </c>
      <c r="S3884">
        <v>0.35971069999999999</v>
      </c>
      <c r="T3884">
        <v>-4.4827100000000002E-2</v>
      </c>
      <c r="U3884">
        <v>-3.0796199999999998</v>
      </c>
      <c r="V3884">
        <v>-7.3868690000000001E-2</v>
      </c>
      <c r="W3884">
        <v>0.22445290000000001</v>
      </c>
      <c r="X3884">
        <v>0.97168120000000002</v>
      </c>
      <c r="Y3884">
        <v>-0.17804829999999999</v>
      </c>
      <c r="Z3884">
        <v>7.3304850000000003E-3</v>
      </c>
      <c r="AA3884">
        <v>0.98399440000000005</v>
      </c>
      <c r="AB3884">
        <v>31</v>
      </c>
      <c r="AC3884">
        <v>9.0237999999999907</v>
      </c>
      <c r="AD3884">
        <v>-1.1221897025680001</v>
      </c>
      <c r="AE3884">
        <v>-76.772779999999997</v>
      </c>
      <c r="AF3884">
        <v>-13.816901806134499</v>
      </c>
      <c r="AG3884">
        <v>-1.1221897025680001</v>
      </c>
      <c r="AH3884">
        <v>76.039885036409302</v>
      </c>
      <c r="AI3884">
        <v>90.831884809122201</v>
      </c>
      <c r="AJ3884">
        <v>100.29862335622801</v>
      </c>
      <c r="AK3884">
        <v>77.293144596395194</v>
      </c>
      <c r="AL3884">
        <v>77.029291467615394</v>
      </c>
      <c r="AM3884">
        <v>94.347350758791407</v>
      </c>
      <c r="AN3884">
        <v>1.0000000210570801</v>
      </c>
    </row>
    <row r="3885" spans="1:40" x14ac:dyDescent="0.25">
      <c r="A3885" t="str">
        <f>"20190303170847246"</f>
        <v>20190303170847246</v>
      </c>
      <c r="B3885" t="str">
        <f>"1551604127237393"</f>
        <v>1551604127237393</v>
      </c>
      <c r="C3885" t="s">
        <v>40</v>
      </c>
      <c r="D3885">
        <v>4.7799670000000001</v>
      </c>
      <c r="E3885">
        <v>0.43340790000000001</v>
      </c>
      <c r="F3885" t="s">
        <v>96</v>
      </c>
      <c r="G3885">
        <v>-404.2303</v>
      </c>
      <c r="H3885">
        <v>1.544608</v>
      </c>
      <c r="I3885">
        <v>0.6377659</v>
      </c>
      <c r="J3885">
        <v>-423.2921</v>
      </c>
      <c r="K3885">
        <v>1.1221699999999999</v>
      </c>
      <c r="L3885">
        <v>100.7197</v>
      </c>
      <c r="M3885">
        <v>-6.0496069999999999E-2</v>
      </c>
      <c r="N3885">
        <v>-6.8331399999999997E-3</v>
      </c>
      <c r="O3885">
        <v>-0.99814530000000001</v>
      </c>
      <c r="P3885">
        <v>1.404849E-2</v>
      </c>
      <c r="Q3885">
        <v>0.21736059999999999</v>
      </c>
      <c r="R3885">
        <v>-0.97599020000000003</v>
      </c>
      <c r="S3885">
        <v>0.58117680000000005</v>
      </c>
      <c r="T3885">
        <v>1.2891049999999999E-2</v>
      </c>
      <c r="U3885">
        <v>-3.06427</v>
      </c>
      <c r="V3885">
        <v>-7.4032600000000004E-2</v>
      </c>
      <c r="W3885">
        <v>0.2236899</v>
      </c>
      <c r="X3885">
        <v>0.97184470000000001</v>
      </c>
      <c r="Y3885">
        <v>-0.24542359999999999</v>
      </c>
      <c r="Z3885">
        <v>-1.0966429999999999E-2</v>
      </c>
      <c r="AA3885">
        <v>0.96935389999999999</v>
      </c>
      <c r="AB3885">
        <v>32</v>
      </c>
      <c r="AC3885">
        <v>19.061800000000002</v>
      </c>
      <c r="AD3885">
        <v>0.42243799999999898</v>
      </c>
      <c r="AE3885">
        <v>-100.081934099999</v>
      </c>
      <c r="AF3885">
        <v>-25.081157773415399</v>
      </c>
      <c r="AG3885">
        <v>0.42243799999999898</v>
      </c>
      <c r="AH3885">
        <v>98.743730832180404</v>
      </c>
      <c r="AI3885">
        <v>89.762426918989405</v>
      </c>
      <c r="AJ3885">
        <v>104.251877734947</v>
      </c>
      <c r="AK3885">
        <v>101.880161502506</v>
      </c>
      <c r="AL3885">
        <v>77.074149245671194</v>
      </c>
      <c r="AM3885">
        <v>94.3562299750444</v>
      </c>
      <c r="AN3885">
        <v>1.00000005907142</v>
      </c>
    </row>
    <row r="3886" spans="1:40" x14ac:dyDescent="0.25">
      <c r="A3886" t="str">
        <f>"20190303170847266"</f>
        <v>20190303170847266</v>
      </c>
      <c r="B3886" t="str">
        <f>"1551604127257889"</f>
        <v>1551604127257889</v>
      </c>
      <c r="C3886" t="s">
        <v>40</v>
      </c>
      <c r="D3886">
        <v>4.7881589999999896</v>
      </c>
      <c r="E3886">
        <v>0.43146119999999999</v>
      </c>
      <c r="F3886" t="s">
        <v>96</v>
      </c>
      <c r="G3886">
        <v>-403.13400000000001</v>
      </c>
      <c r="H3886">
        <v>1.786384</v>
      </c>
      <c r="I3886">
        <v>0.6489182</v>
      </c>
      <c r="J3886">
        <v>-423.30849999999998</v>
      </c>
      <c r="K3886">
        <v>1.1221479999999999</v>
      </c>
      <c r="L3886">
        <v>100.41549999999999</v>
      </c>
      <c r="M3886">
        <v>-5.8436830000000002E-2</v>
      </c>
      <c r="N3886">
        <v>-6.6932629999999996E-3</v>
      </c>
      <c r="O3886">
        <v>-0.99826899999999996</v>
      </c>
      <c r="P3886">
        <v>1.5884490000000001E-2</v>
      </c>
      <c r="Q3886">
        <v>0.21680289999999999</v>
      </c>
      <c r="R3886">
        <v>-0.97608660000000003</v>
      </c>
      <c r="S3886">
        <v>0.61648559999999997</v>
      </c>
      <c r="T3886">
        <v>2.0312670000000001E-2</v>
      </c>
      <c r="U3886">
        <v>-3.060425</v>
      </c>
      <c r="V3886">
        <v>-7.3865319999999998E-2</v>
      </c>
      <c r="W3886">
        <v>0.222996</v>
      </c>
      <c r="X3886">
        <v>0.97201680000000001</v>
      </c>
      <c r="Y3886">
        <v>-0.25440390000000002</v>
      </c>
      <c r="Z3886">
        <v>-1.3178199999999999E-2</v>
      </c>
      <c r="AA3886">
        <v>0.96700830000000004</v>
      </c>
      <c r="AB3886">
        <v>32</v>
      </c>
      <c r="AC3886">
        <v>20.174499999999899</v>
      </c>
      <c r="AD3886">
        <v>0.66423599999999905</v>
      </c>
      <c r="AE3886">
        <v>-99.766581799999997</v>
      </c>
      <c r="AF3886">
        <v>-25.9690879710652</v>
      </c>
      <c r="AG3886">
        <v>0.66423599999999905</v>
      </c>
      <c r="AH3886">
        <v>98.412933101777298</v>
      </c>
      <c r="AI3886">
        <v>89.626087915270901</v>
      </c>
      <c r="AJ3886">
        <v>104.78218632028801</v>
      </c>
      <c r="AK3886">
        <v>101.783791151673</v>
      </c>
      <c r="AL3886">
        <v>77.114936059620206</v>
      </c>
      <c r="AM3886">
        <v>94.345658032174398</v>
      </c>
      <c r="AN3886">
        <v>0.99999998049847005</v>
      </c>
    </row>
    <row r="3887" spans="1:40" x14ac:dyDescent="0.25">
      <c r="A3887" t="str">
        <f>"20190303170847292"</f>
        <v>20190303170847292</v>
      </c>
      <c r="B3887" t="str">
        <f>"1551604127287169"</f>
        <v>1551604127287169</v>
      </c>
      <c r="C3887" t="s">
        <v>40</v>
      </c>
      <c r="D3887">
        <v>4.7817259999999999</v>
      </c>
      <c r="E3887">
        <v>0.43007380000000001</v>
      </c>
      <c r="F3887" t="s">
        <v>96</v>
      </c>
      <c r="G3887">
        <v>-402.53390000000002</v>
      </c>
      <c r="H3887">
        <v>1.858023</v>
      </c>
      <c r="I3887">
        <v>0.65502360000000004</v>
      </c>
      <c r="J3887">
        <v>-423.32650000000001</v>
      </c>
      <c r="K3887">
        <v>1.1221289999999999</v>
      </c>
      <c r="L3887">
        <v>100.06950000000001</v>
      </c>
      <c r="M3887">
        <v>-5.6097790000000002E-2</v>
      </c>
      <c r="N3887">
        <v>-6.5487870000000004E-3</v>
      </c>
      <c r="O3887">
        <v>-0.99840399999999996</v>
      </c>
      <c r="P3887">
        <v>1.7394340000000001E-2</v>
      </c>
      <c r="Q3887">
        <v>0.21654609999999999</v>
      </c>
      <c r="R3887">
        <v>-0.97611769999999998</v>
      </c>
      <c r="S3887">
        <v>0.63684079999999998</v>
      </c>
      <c r="T3887">
        <v>2.2557379999999998E-2</v>
      </c>
      <c r="U3887">
        <v>-3.0581360000000002</v>
      </c>
      <c r="V3887">
        <v>-7.3098029999999994E-2</v>
      </c>
      <c r="W3887">
        <v>0.2226003</v>
      </c>
      <c r="X3887">
        <v>0.97216550000000002</v>
      </c>
      <c r="Y3887">
        <v>-0.25845220000000002</v>
      </c>
      <c r="Z3887">
        <v>-1.3742900000000001E-2</v>
      </c>
      <c r="AA3887">
        <v>0.96592630000000002</v>
      </c>
      <c r="AB3887">
        <v>32</v>
      </c>
      <c r="AC3887">
        <v>20.7926</v>
      </c>
      <c r="AD3887">
        <v>0.73589399999999905</v>
      </c>
      <c r="AE3887">
        <v>-99.414476399999998</v>
      </c>
      <c r="AF3887">
        <v>-26.335524428819799</v>
      </c>
      <c r="AG3887">
        <v>0.73589399999999905</v>
      </c>
      <c r="AH3887">
        <v>98.086326728188595</v>
      </c>
      <c r="AI3887">
        <v>89.584848634743693</v>
      </c>
      <c r="AJ3887">
        <v>105.02908434480101</v>
      </c>
      <c r="AK3887">
        <v>101.56293062899</v>
      </c>
      <c r="AL3887">
        <v>77.138192652954899</v>
      </c>
      <c r="AM3887">
        <v>94.30003158033</v>
      </c>
      <c r="AN3887">
        <v>0.99999998747010999</v>
      </c>
    </row>
    <row r="3888" spans="1:40" x14ac:dyDescent="0.25">
      <c r="A3888" t="str">
        <f>"20190303170847317"</f>
        <v>20190303170847317</v>
      </c>
      <c r="B3888" t="str">
        <f>"1551604127307666"</f>
        <v>1551604127307666</v>
      </c>
      <c r="C3888" t="s">
        <v>40</v>
      </c>
      <c r="D3888">
        <v>4.7918830000000003</v>
      </c>
      <c r="E3888">
        <v>0.4297552</v>
      </c>
      <c r="F3888" t="s">
        <v>96</v>
      </c>
      <c r="G3888">
        <v>-402.07839999999999</v>
      </c>
      <c r="H3888">
        <v>1.9237949999999999</v>
      </c>
      <c r="I3888">
        <v>0.65965459999999998</v>
      </c>
      <c r="J3888">
        <v>-423.34480000000002</v>
      </c>
      <c r="K3888">
        <v>1.1221289999999999</v>
      </c>
      <c r="L3888">
        <v>99.700620000000001</v>
      </c>
      <c r="M3888">
        <v>-5.3607229999999999E-2</v>
      </c>
      <c r="N3888">
        <v>-6.4146300000000002E-3</v>
      </c>
      <c r="O3888">
        <v>-0.99854149999999997</v>
      </c>
      <c r="P3888">
        <v>1.9082419999999999E-2</v>
      </c>
      <c r="Q3888">
        <v>0.21746080000000001</v>
      </c>
      <c r="R3888">
        <v>-0.97588269999999999</v>
      </c>
      <c r="S3888">
        <v>0.65325929999999999</v>
      </c>
      <c r="T3888">
        <v>2.4646040000000001E-2</v>
      </c>
      <c r="U3888">
        <v>-3.056305</v>
      </c>
      <c r="V3888">
        <v>-7.2353180000000003E-2</v>
      </c>
      <c r="W3888">
        <v>0.22338450000000001</v>
      </c>
      <c r="X3888">
        <v>0.97204140000000006</v>
      </c>
      <c r="Y3888">
        <v>-0.26112390000000002</v>
      </c>
      <c r="Z3888">
        <v>-1.426886E-2</v>
      </c>
      <c r="AA3888">
        <v>0.96519980000000005</v>
      </c>
      <c r="AB3888">
        <v>32</v>
      </c>
      <c r="AC3888">
        <v>21.266400000000001</v>
      </c>
      <c r="AD3888">
        <v>0.80166599999999999</v>
      </c>
      <c r="AE3888">
        <v>-99.040965400000005</v>
      </c>
      <c r="AF3888">
        <v>-26.5435783567894</v>
      </c>
      <c r="AG3888">
        <v>0.80166599999999999</v>
      </c>
      <c r="AH3888">
        <v>97.752369937155294</v>
      </c>
      <c r="AI3888">
        <v>89.546547813865203</v>
      </c>
      <c r="AJ3888">
        <v>105.19172871258699</v>
      </c>
      <c r="AK3888">
        <v>101.295261728715</v>
      </c>
      <c r="AL3888">
        <v>77.092101540476605</v>
      </c>
      <c r="AM3888">
        <v>94.256918634876499</v>
      </c>
      <c r="AN3888">
        <v>1.00000005040516</v>
      </c>
    </row>
    <row r="3889" spans="1:40" x14ac:dyDescent="0.25">
      <c r="A3889" t="str">
        <f>"20190303170847339"</f>
        <v>20190303170847339</v>
      </c>
      <c r="B3889" t="str">
        <f>"1551604127327186"</f>
        <v>1551604127327186</v>
      </c>
      <c r="C3889" t="s">
        <v>40</v>
      </c>
      <c r="D3889">
        <v>4.7945080000000004</v>
      </c>
      <c r="E3889">
        <v>0.42954140000000002</v>
      </c>
      <c r="F3889" t="s">
        <v>96</v>
      </c>
      <c r="G3889">
        <v>-401.88130000000001</v>
      </c>
      <c r="H3889">
        <v>2.0584479999999998</v>
      </c>
      <c r="I3889">
        <v>0.6616592</v>
      </c>
      <c r="J3889">
        <v>-423.36059999999998</v>
      </c>
      <c r="K3889">
        <v>1.122128</v>
      </c>
      <c r="L3889">
        <v>99.367519999999999</v>
      </c>
      <c r="M3889">
        <v>-5.1361080000000003E-2</v>
      </c>
      <c r="N3889">
        <v>-6.3088600000000003E-3</v>
      </c>
      <c r="O3889">
        <v>-0.9986604</v>
      </c>
      <c r="P3889">
        <v>2.129735E-2</v>
      </c>
      <c r="Q3889">
        <v>0.21801190000000001</v>
      </c>
      <c r="R3889">
        <v>-0.97571379999999996</v>
      </c>
      <c r="S3889">
        <v>0.66201779999999999</v>
      </c>
      <c r="T3889">
        <v>2.8878930000000001E-2</v>
      </c>
      <c r="U3889">
        <v>-3.0547490000000002</v>
      </c>
      <c r="V3889">
        <v>-7.2376190000000007E-2</v>
      </c>
      <c r="W3889">
        <v>0.2238298</v>
      </c>
      <c r="X3889">
        <v>0.97193719999999995</v>
      </c>
      <c r="Y3889">
        <v>-0.26169510000000001</v>
      </c>
      <c r="Z3889">
        <v>-1.550675E-2</v>
      </c>
      <c r="AA3889">
        <v>0.96502600000000005</v>
      </c>
      <c r="AB3889">
        <v>32</v>
      </c>
      <c r="AC3889">
        <v>21.479299999999899</v>
      </c>
      <c r="AD3889">
        <v>0.93631999999999904</v>
      </c>
      <c r="AE3889">
        <v>-98.705860799999996</v>
      </c>
      <c r="AF3889">
        <v>-26.5184106702939</v>
      </c>
      <c r="AG3889">
        <v>0.93631999999999904</v>
      </c>
      <c r="AH3889">
        <v>97.463983172933695</v>
      </c>
      <c r="AI3889">
        <v>89.468892825530006</v>
      </c>
      <c r="AJ3889">
        <v>105.220819013762</v>
      </c>
      <c r="AK3889">
        <v>101.011538031824</v>
      </c>
      <c r="AL3889">
        <v>77.065924344278997</v>
      </c>
      <c r="AM3889">
        <v>94.258722298709898</v>
      </c>
      <c r="AN3889">
        <v>1.00000000649539</v>
      </c>
    </row>
    <row r="3890" spans="1:40" x14ac:dyDescent="0.25">
      <c r="A3890" t="str">
        <f>"20190303170847356"</f>
        <v>20190303170847356</v>
      </c>
      <c r="B3890" t="str">
        <f>"1551604127347681"</f>
        <v>1551604127347681</v>
      </c>
      <c r="C3890" t="s">
        <v>40</v>
      </c>
      <c r="D3890">
        <v>4.7820269999999896</v>
      </c>
      <c r="E3890">
        <v>0.42928559999999999</v>
      </c>
      <c r="F3890" t="s">
        <v>96</v>
      </c>
      <c r="G3890">
        <v>-401.68220000000002</v>
      </c>
      <c r="H3890">
        <v>2.0990440000000001</v>
      </c>
      <c r="I3890">
        <v>0.66368479999999996</v>
      </c>
      <c r="J3890">
        <v>-423.37139999999999</v>
      </c>
      <c r="K3890">
        <v>1.1221319999999999</v>
      </c>
      <c r="L3890">
        <v>99.130340000000004</v>
      </c>
      <c r="M3890">
        <v>-4.9763059999999998E-2</v>
      </c>
      <c r="N3890">
        <v>-6.2435809999999998E-3</v>
      </c>
      <c r="O3890">
        <v>-0.99874149999999995</v>
      </c>
      <c r="P3890">
        <v>2.2355509999999999E-2</v>
      </c>
      <c r="Q3890">
        <v>0.2172683</v>
      </c>
      <c r="R3890">
        <v>-0.9758559</v>
      </c>
      <c r="S3890">
        <v>0.67059329999999995</v>
      </c>
      <c r="T3890">
        <v>3.021884E-2</v>
      </c>
      <c r="U3890">
        <v>-3.0532840000000001</v>
      </c>
      <c r="V3890">
        <v>-7.1884149999999994E-2</v>
      </c>
      <c r="W3890">
        <v>0.2230248</v>
      </c>
      <c r="X3890">
        <v>0.97215870000000004</v>
      </c>
      <c r="Y3890">
        <v>-0.26283269999999997</v>
      </c>
      <c r="Z3890">
        <v>-1.5866910000000001E-2</v>
      </c>
      <c r="AA3890">
        <v>0.96471099999999999</v>
      </c>
      <c r="AB3890">
        <v>32</v>
      </c>
      <c r="AC3890">
        <v>21.6891999999999</v>
      </c>
      <c r="AD3890">
        <v>0.976911999999999</v>
      </c>
      <c r="AE3890">
        <v>-98.466655200000005</v>
      </c>
      <c r="AF3890">
        <v>-26.5599315521813</v>
      </c>
      <c r="AG3890">
        <v>0.976911999999999</v>
      </c>
      <c r="AH3890">
        <v>97.256183214686999</v>
      </c>
      <c r="AI3890">
        <v>89.444827446254394</v>
      </c>
      <c r="AJ3890">
        <v>105.27459269660901</v>
      </c>
      <c r="AK3890">
        <v>100.822366043458</v>
      </c>
      <c r="AL3890">
        <v>77.113243110670695</v>
      </c>
      <c r="AM3890">
        <v>94.228915122834707</v>
      </c>
      <c r="AN3890">
        <v>0.99999996521097501</v>
      </c>
    </row>
    <row r="3891" spans="1:40" x14ac:dyDescent="0.25">
      <c r="A3891" t="str">
        <f>"20190303170847378"</f>
        <v>20190303170847378</v>
      </c>
      <c r="B3891" t="str">
        <f>"1551604127367201"</f>
        <v>1551604127367201</v>
      </c>
      <c r="C3891" t="s">
        <v>40</v>
      </c>
      <c r="D3891">
        <v>4.7795239999999897</v>
      </c>
      <c r="E3891">
        <v>0.4291102</v>
      </c>
      <c r="F3891" t="s">
        <v>96</v>
      </c>
      <c r="G3891">
        <v>-401.57159999999999</v>
      </c>
      <c r="H3891">
        <v>2.0228820000000001</v>
      </c>
      <c r="I3891">
        <v>0.66481210000000002</v>
      </c>
      <c r="J3891">
        <v>-423.3852</v>
      </c>
      <c r="K3891">
        <v>1.122133</v>
      </c>
      <c r="L3891">
        <v>98.811520000000002</v>
      </c>
      <c r="M3891">
        <v>-4.7617109999999997E-2</v>
      </c>
      <c r="N3891">
        <v>-6.1722699999999997E-3</v>
      </c>
      <c r="O3891">
        <v>-0.99884689999999998</v>
      </c>
      <c r="P3891">
        <v>2.3345680000000001E-2</v>
      </c>
      <c r="Q3891">
        <v>0.2167027</v>
      </c>
      <c r="R3891">
        <v>-0.97595860000000001</v>
      </c>
      <c r="S3891">
        <v>0.67581179999999996</v>
      </c>
      <c r="T3891">
        <v>2.792335E-2</v>
      </c>
      <c r="U3891">
        <v>-3.052521</v>
      </c>
      <c r="V3891">
        <v>-7.0790850000000002E-2</v>
      </c>
      <c r="W3891">
        <v>0.22239349999999999</v>
      </c>
      <c r="X3891">
        <v>0.97238360000000001</v>
      </c>
      <c r="Y3891">
        <v>-0.26238509999999998</v>
      </c>
      <c r="Z3891">
        <v>-1.506819E-2</v>
      </c>
      <c r="AA3891">
        <v>0.96484559999999997</v>
      </c>
      <c r="AB3891">
        <v>32</v>
      </c>
      <c r="AC3891">
        <v>21.813600000000001</v>
      </c>
      <c r="AD3891">
        <v>0.90074900000000002</v>
      </c>
      <c r="AE3891">
        <v>-98.146707899999996</v>
      </c>
      <c r="AF3891">
        <v>-26.460281464643799</v>
      </c>
      <c r="AG3891">
        <v>0.90074900000000002</v>
      </c>
      <c r="AH3891">
        <v>96.988867501383993</v>
      </c>
      <c r="AI3891">
        <v>89.486661368364395</v>
      </c>
      <c r="AJ3891">
        <v>105.259941940538</v>
      </c>
      <c r="AK3891">
        <v>100.537546534368</v>
      </c>
      <c r="AL3891">
        <v>77.150346744017895</v>
      </c>
      <c r="AM3891">
        <v>94.163864911593507</v>
      </c>
      <c r="AN3891">
        <v>1.00000003941746</v>
      </c>
    </row>
    <row r="3892" spans="1:40" x14ac:dyDescent="0.25">
      <c r="A3892" t="str">
        <f>"20190303170847401"</f>
        <v>20190303170847401</v>
      </c>
      <c r="B3892" t="str">
        <f>"1551604127397458"</f>
        <v>1551604127397458</v>
      </c>
      <c r="C3892" t="s">
        <v>40</v>
      </c>
      <c r="D3892">
        <v>4.8289710000000001</v>
      </c>
      <c r="E3892">
        <v>0.42899609999999999</v>
      </c>
      <c r="F3892" t="s">
        <v>96</v>
      </c>
      <c r="G3892">
        <v>-401.5172</v>
      </c>
      <c r="H3892">
        <v>1.935325</v>
      </c>
      <c r="I3892">
        <v>0.66536329999999999</v>
      </c>
      <c r="J3892">
        <v>-423.39859999999999</v>
      </c>
      <c r="K3892">
        <v>1.1221429999999999</v>
      </c>
      <c r="L3892">
        <v>98.487120000000004</v>
      </c>
      <c r="M3892">
        <v>-4.5435910000000003E-2</v>
      </c>
      <c r="N3892">
        <v>-6.1203680000000002E-3</v>
      </c>
      <c r="O3892">
        <v>-0.99894859999999996</v>
      </c>
      <c r="P3892">
        <v>2.3679800000000001E-2</v>
      </c>
      <c r="Q3892">
        <v>0.2162115</v>
      </c>
      <c r="R3892">
        <v>-0.97605960000000003</v>
      </c>
      <c r="S3892">
        <v>0.68002320000000005</v>
      </c>
      <c r="T3892">
        <v>2.528679E-2</v>
      </c>
      <c r="U3892">
        <v>-3.0520320000000001</v>
      </c>
      <c r="V3892">
        <v>-6.9007719999999995E-2</v>
      </c>
      <c r="W3892">
        <v>0.22185879999999999</v>
      </c>
      <c r="X3892">
        <v>0.97263379999999999</v>
      </c>
      <c r="Y3892">
        <v>-0.26158140000000002</v>
      </c>
      <c r="Z3892">
        <v>-1.4180109999999999E-2</v>
      </c>
      <c r="AA3892">
        <v>0.96507730000000003</v>
      </c>
      <c r="AB3892">
        <v>32</v>
      </c>
      <c r="AC3892">
        <v>21.8813999999999</v>
      </c>
      <c r="AD3892">
        <v>0.81318199999999896</v>
      </c>
      <c r="AE3892">
        <v>-97.821756699999995</v>
      </c>
      <c r="AF3892">
        <v>-26.301773680304599</v>
      </c>
      <c r="AG3892">
        <v>0.81318199999999896</v>
      </c>
      <c r="AH3892">
        <v>96.720142947156901</v>
      </c>
      <c r="AI3892">
        <v>89.535172335049396</v>
      </c>
      <c r="AJ3892">
        <v>105.21295915604701</v>
      </c>
      <c r="AK3892">
        <v>100.235874892243</v>
      </c>
      <c r="AL3892">
        <v>77.181766602146297</v>
      </c>
      <c r="AM3892">
        <v>94.058296932013704</v>
      </c>
      <c r="AN3892">
        <v>0.99999995072973802</v>
      </c>
    </row>
    <row r="3893" spans="1:40" x14ac:dyDescent="0.25">
      <c r="A3893" t="str">
        <f>"20190303170847424"</f>
        <v>20190303170847424</v>
      </c>
      <c r="B3893" t="str">
        <f>"1551604127416977"</f>
        <v>1551604127416977</v>
      </c>
      <c r="C3893" t="s">
        <v>40</v>
      </c>
      <c r="D3893">
        <v>4.8130420000000003</v>
      </c>
      <c r="E3893">
        <v>0.42895640000000002</v>
      </c>
      <c r="F3893" t="s">
        <v>96</v>
      </c>
      <c r="G3893">
        <v>-401.5675</v>
      </c>
      <c r="H3893">
        <v>1.8742099999999999</v>
      </c>
      <c r="I3893">
        <v>0.66485209999999995</v>
      </c>
      <c r="J3893">
        <v>-423.4119</v>
      </c>
      <c r="K3893">
        <v>1.122161</v>
      </c>
      <c r="L3893">
        <v>98.148560000000003</v>
      </c>
      <c r="M3893">
        <v>-4.3161140000000001E-2</v>
      </c>
      <c r="N3893">
        <v>-6.0903980000000003E-3</v>
      </c>
      <c r="O3893">
        <v>-0.99904979999999999</v>
      </c>
      <c r="P3893">
        <v>2.4757620000000001E-2</v>
      </c>
      <c r="Q3893">
        <v>0.21640400000000001</v>
      </c>
      <c r="R3893">
        <v>-0.97599040000000004</v>
      </c>
      <c r="S3893">
        <v>0.68109129999999996</v>
      </c>
      <c r="T3893">
        <v>2.346241E-2</v>
      </c>
      <c r="U3893">
        <v>-3.0518800000000001</v>
      </c>
      <c r="V3893">
        <v>-6.7872479999999999E-2</v>
      </c>
      <c r="W3893">
        <v>0.22202530000000001</v>
      </c>
      <c r="X3893">
        <v>0.97267570000000003</v>
      </c>
      <c r="Y3893">
        <v>-0.25971660000000002</v>
      </c>
      <c r="Z3893">
        <v>-1.357243E-2</v>
      </c>
      <c r="AA3893">
        <v>0.96558949999999999</v>
      </c>
      <c r="AB3893">
        <v>33</v>
      </c>
      <c r="AC3893">
        <v>21.8444</v>
      </c>
      <c r="AD3893">
        <v>0.75204899999999997</v>
      </c>
      <c r="AE3893">
        <v>-97.483707899999999</v>
      </c>
      <c r="AF3893">
        <v>-26.030152848760402</v>
      </c>
      <c r="AG3893">
        <v>0.75204899999999997</v>
      </c>
      <c r="AH3893">
        <v>96.444549875625199</v>
      </c>
      <c r="AI3893">
        <v>89.568665255757296</v>
      </c>
      <c r="AJ3893">
        <v>105.104106711265</v>
      </c>
      <c r="AK3893">
        <v>99.898376542064895</v>
      </c>
      <c r="AL3893">
        <v>77.171982998028199</v>
      </c>
      <c r="AM3893">
        <v>93.991580466067305</v>
      </c>
      <c r="AN3893">
        <v>0.999999962375964</v>
      </c>
    </row>
    <row r="3894" spans="1:40" x14ac:dyDescent="0.25">
      <c r="A3894" t="str">
        <f>"20190303170847446"</f>
        <v>20190303170847446</v>
      </c>
      <c r="B3894" t="str">
        <f>"1551604127437474"</f>
        <v>1551604127437474</v>
      </c>
      <c r="C3894" t="s">
        <v>40</v>
      </c>
      <c r="D3894">
        <v>4.8029679999999999</v>
      </c>
      <c r="E3894">
        <v>0.4289232</v>
      </c>
      <c r="F3894" t="s">
        <v>96</v>
      </c>
      <c r="G3894">
        <v>-401.54410000000001</v>
      </c>
      <c r="H3894">
        <v>1.8824129999999999</v>
      </c>
      <c r="I3894">
        <v>0.66509059999999998</v>
      </c>
      <c r="J3894">
        <v>-423.42380000000003</v>
      </c>
      <c r="K3894">
        <v>1.122179</v>
      </c>
      <c r="L3894">
        <v>97.825500000000005</v>
      </c>
      <c r="M3894">
        <v>-4.0992029999999999E-2</v>
      </c>
      <c r="N3894">
        <v>-6.0883650000000001E-3</v>
      </c>
      <c r="O3894">
        <v>-0.99914099999999995</v>
      </c>
      <c r="P3894">
        <v>2.5447649999999999E-2</v>
      </c>
      <c r="Q3894">
        <v>0.21685299999999999</v>
      </c>
      <c r="R3894">
        <v>-0.97587270000000004</v>
      </c>
      <c r="S3894">
        <v>0.68444819999999995</v>
      </c>
      <c r="T3894">
        <v>2.379477E-2</v>
      </c>
      <c r="U3894">
        <v>-3.0511780000000002</v>
      </c>
      <c r="V3894">
        <v>-6.645218E-2</v>
      </c>
      <c r="W3894">
        <v>0.22247620000000001</v>
      </c>
      <c r="X3894">
        <v>0.97267079999999995</v>
      </c>
      <c r="Y3894">
        <v>-0.25867849999999998</v>
      </c>
      <c r="Z3894">
        <v>-1.367756E-2</v>
      </c>
      <c r="AA3894">
        <v>0.96586660000000002</v>
      </c>
      <c r="AB3894">
        <v>33</v>
      </c>
      <c r="AC3894">
        <v>21.8797</v>
      </c>
      <c r="AD3894">
        <v>0.76023399999999997</v>
      </c>
      <c r="AE3894">
        <v>-97.160409400000006</v>
      </c>
      <c r="AF3894">
        <v>-25.842678976152001</v>
      </c>
      <c r="AG3894">
        <v>0.76023399999999997</v>
      </c>
      <c r="AH3894">
        <v>96.176226583045604</v>
      </c>
      <c r="AI3894">
        <v>89.562623173549696</v>
      </c>
      <c r="AJ3894">
        <v>105.040199404116</v>
      </c>
      <c r="AK3894">
        <v>99.590604838772506</v>
      </c>
      <c r="AL3894">
        <v>77.145486351687595</v>
      </c>
      <c r="AM3894">
        <v>93.908333867696399</v>
      </c>
      <c r="AN3894">
        <v>1.0000000184829101</v>
      </c>
    </row>
    <row r="3895" spans="1:40" x14ac:dyDescent="0.25">
      <c r="A3895" t="str">
        <f>"20190303170847469"</f>
        <v>20190303170847469</v>
      </c>
      <c r="B3895" t="str">
        <f>"1551604127456994"</f>
        <v>1551604127456994</v>
      </c>
      <c r="C3895" t="s">
        <v>40</v>
      </c>
      <c r="D3895">
        <v>4.80138</v>
      </c>
      <c r="E3895">
        <v>0.42889349999999998</v>
      </c>
      <c r="F3895" t="s">
        <v>96</v>
      </c>
      <c r="G3895">
        <v>-401.55810000000002</v>
      </c>
      <c r="H3895">
        <v>1.918712</v>
      </c>
      <c r="I3895">
        <v>0.66494370000000003</v>
      </c>
      <c r="J3895">
        <v>-423.43549999999999</v>
      </c>
      <c r="K3895">
        <v>1.1222000000000001</v>
      </c>
      <c r="L3895">
        <v>97.490260000000006</v>
      </c>
      <c r="M3895">
        <v>-3.8742329999999998E-2</v>
      </c>
      <c r="N3895">
        <v>-6.1142710000000001E-3</v>
      </c>
      <c r="O3895">
        <v>-0.99923059999999997</v>
      </c>
      <c r="P3895">
        <v>2.6590099999999998E-2</v>
      </c>
      <c r="Q3895">
        <v>0.21670139999999999</v>
      </c>
      <c r="R3895">
        <v>-0.97587599999999997</v>
      </c>
      <c r="S3895">
        <v>0.686554</v>
      </c>
      <c r="T3895">
        <v>2.5009389999999999E-2</v>
      </c>
      <c r="U3895">
        <v>-3.0507200000000001</v>
      </c>
      <c r="V3895">
        <v>-6.5408129999999995E-2</v>
      </c>
      <c r="W3895">
        <v>0.22235350000000001</v>
      </c>
      <c r="X3895">
        <v>0.97276960000000001</v>
      </c>
      <c r="Y3895">
        <v>-0.2571679</v>
      </c>
      <c r="Z3895">
        <v>-1.4091370000000001E-2</v>
      </c>
      <c r="AA3895">
        <v>0.96626400000000001</v>
      </c>
      <c r="AB3895">
        <v>33</v>
      </c>
      <c r="AC3895">
        <v>21.877399999999898</v>
      </c>
      <c r="AD3895">
        <v>0.796511999999999</v>
      </c>
      <c r="AE3895">
        <v>-96.825316299999997</v>
      </c>
      <c r="AF3895">
        <v>-25.6106338561051</v>
      </c>
      <c r="AG3895">
        <v>0.796511999999999</v>
      </c>
      <c r="AH3895">
        <v>95.898848797280806</v>
      </c>
      <c r="AI3895">
        <v>89.540238554494195</v>
      </c>
      <c r="AJ3895">
        <v>104.952392415156</v>
      </c>
      <c r="AK3895">
        <v>99.262924591820095</v>
      </c>
      <c r="AL3895">
        <v>77.152696898792897</v>
      </c>
      <c r="AM3895">
        <v>93.846725166226307</v>
      </c>
      <c r="AN3895">
        <v>0.99999999855825294</v>
      </c>
    </row>
    <row r="3896" spans="1:40" x14ac:dyDescent="0.25">
      <c r="A3896" t="str">
        <f>"20190303170847506"</f>
        <v>20190303170847506</v>
      </c>
      <c r="B3896" t="str">
        <f>"1551604127497009"</f>
        <v>1551604127497009</v>
      </c>
      <c r="C3896" t="s">
        <v>40</v>
      </c>
      <c r="D3896">
        <v>4.8159640000000001</v>
      </c>
      <c r="E3896">
        <v>0.42880889999999999</v>
      </c>
      <c r="F3896" t="s">
        <v>96</v>
      </c>
      <c r="G3896">
        <v>-401.49380000000002</v>
      </c>
      <c r="H3896">
        <v>1.9226620000000001</v>
      </c>
      <c r="I3896">
        <v>0.66559979999999996</v>
      </c>
      <c r="J3896">
        <v>-423.45249999999999</v>
      </c>
      <c r="K3896">
        <v>1.122242</v>
      </c>
      <c r="L3896">
        <v>96.95102</v>
      </c>
      <c r="M3896">
        <v>-3.5125719999999999E-2</v>
      </c>
      <c r="N3896">
        <v>-6.2278169999999897E-3</v>
      </c>
      <c r="O3896">
        <v>-0.99936369999999997</v>
      </c>
      <c r="P3896">
        <v>2.771622E-2</v>
      </c>
      <c r="Q3896">
        <v>0.21560760000000001</v>
      </c>
      <c r="R3896">
        <v>-0.97608700000000004</v>
      </c>
      <c r="S3896">
        <v>0.69110109999999902</v>
      </c>
      <c r="T3896">
        <v>2.5211569999999999E-2</v>
      </c>
      <c r="U3896">
        <v>-3.0497130000000001</v>
      </c>
      <c r="V3896">
        <v>-6.3023220000000005E-2</v>
      </c>
      <c r="W3896">
        <v>0.22137989999999999</v>
      </c>
      <c r="X3896">
        <v>0.97314900000000004</v>
      </c>
      <c r="Y3896">
        <v>-0.25510850000000002</v>
      </c>
      <c r="Z3896">
        <v>-1.4272460000000001E-2</v>
      </c>
      <c r="AA3896">
        <v>0.96680710000000003</v>
      </c>
      <c r="AB3896">
        <v>33</v>
      </c>
      <c r="AC3896">
        <v>21.958699999999901</v>
      </c>
      <c r="AD3896">
        <v>0.80041999999999902</v>
      </c>
      <c r="AE3896">
        <v>-96.285420200000004</v>
      </c>
      <c r="AF3896">
        <v>-25.325644787189798</v>
      </c>
      <c r="AG3896">
        <v>0.80041999999999902</v>
      </c>
      <c r="AH3896">
        <v>95.448400441210694</v>
      </c>
      <c r="AI3896">
        <v>89.5356034494244</v>
      </c>
      <c r="AJ3896">
        <v>104.860072407134</v>
      </c>
      <c r="AK3896">
        <v>98.754372575846105</v>
      </c>
      <c r="AL3896">
        <v>77.209905667307396</v>
      </c>
      <c r="AM3896">
        <v>93.705423209996894</v>
      </c>
      <c r="AN3896">
        <v>0.999999981292089</v>
      </c>
    </row>
    <row r="3897" spans="1:40" x14ac:dyDescent="0.25">
      <c r="A3897" t="str">
        <f>"20190303170847528"</f>
        <v>20190303170847528</v>
      </c>
      <c r="B3897" t="str">
        <f>"1551604127517505"</f>
        <v>1551604127517505</v>
      </c>
      <c r="C3897" t="s">
        <v>40</v>
      </c>
      <c r="D3897">
        <v>4.7980769999999904</v>
      </c>
      <c r="E3897">
        <v>0.42872159999999898</v>
      </c>
      <c r="F3897" t="s">
        <v>96</v>
      </c>
      <c r="G3897">
        <v>-401.47629999999998</v>
      </c>
      <c r="H3897">
        <v>1.8307910000000001</v>
      </c>
      <c r="I3897">
        <v>0.66577909999999996</v>
      </c>
      <c r="J3897">
        <v>-423.46190000000001</v>
      </c>
      <c r="K3897">
        <v>1.122274</v>
      </c>
      <c r="L3897">
        <v>96.630340000000004</v>
      </c>
      <c r="M3897">
        <v>-3.297547E-2</v>
      </c>
      <c r="N3897">
        <v>-6.3220109999999998E-3</v>
      </c>
      <c r="O3897">
        <v>-0.99943630000000006</v>
      </c>
      <c r="P3897">
        <v>2.9496560000000002E-2</v>
      </c>
      <c r="Q3897">
        <v>0.21520520000000001</v>
      </c>
      <c r="R3897">
        <v>-0.97612330000000003</v>
      </c>
      <c r="S3897">
        <v>0.69586179999999997</v>
      </c>
      <c r="T3897">
        <v>2.2434829999999999E-2</v>
      </c>
      <c r="U3897">
        <v>-3.0487980000000001</v>
      </c>
      <c r="V3897">
        <v>-6.2712649999999995E-2</v>
      </c>
      <c r="W3897">
        <v>0.22106919999999999</v>
      </c>
      <c r="X3897">
        <v>0.97323970000000004</v>
      </c>
      <c r="Y3897">
        <v>-0.25452780000000003</v>
      </c>
      <c r="Z3897">
        <v>-1.3484640000000001E-2</v>
      </c>
      <c r="AA3897">
        <v>0.96697149999999998</v>
      </c>
      <c r="AB3897">
        <v>33</v>
      </c>
      <c r="AC3897">
        <v>21.985600000000002</v>
      </c>
      <c r="AD3897">
        <v>0.70851699999999995</v>
      </c>
      <c r="AE3897">
        <v>-95.964560899999995</v>
      </c>
      <c r="AF3897">
        <v>-25.136880335031201</v>
      </c>
      <c r="AG3897">
        <v>0.70851699999999995</v>
      </c>
      <c r="AH3897">
        <v>95.182440021393603</v>
      </c>
      <c r="AI3897">
        <v>89.587647556089095</v>
      </c>
      <c r="AJ3897">
        <v>104.79358241381399</v>
      </c>
      <c r="AK3897">
        <v>98.448268840763106</v>
      </c>
      <c r="AL3897">
        <v>77.228159871355899</v>
      </c>
      <c r="AM3897">
        <v>93.686871199037398</v>
      </c>
      <c r="AN3897">
        <v>0.99999999065737599</v>
      </c>
    </row>
    <row r="3898" spans="1:40" x14ac:dyDescent="0.25">
      <c r="A3898" t="str">
        <f>"20190303170847549"</f>
        <v>20190303170847549</v>
      </c>
      <c r="B3898" t="str">
        <f>"1551604127537025"</f>
        <v>1551604127537025</v>
      </c>
      <c r="C3898" t="s">
        <v>40</v>
      </c>
      <c r="D3898">
        <v>4.8047740000000001</v>
      </c>
      <c r="E3898">
        <v>0.42869049999999997</v>
      </c>
      <c r="F3898" t="s">
        <v>96</v>
      </c>
      <c r="G3898">
        <v>-401.37169999999998</v>
      </c>
      <c r="H3898">
        <v>1.7740669999999901</v>
      </c>
      <c r="I3898">
        <v>0.66684149999999998</v>
      </c>
      <c r="J3898">
        <v>-423.47030000000001</v>
      </c>
      <c r="K3898">
        <v>1.1223110000000001</v>
      </c>
      <c r="L3898">
        <v>96.313289999999995</v>
      </c>
      <c r="M3898">
        <v>-3.0850260000000001E-2</v>
      </c>
      <c r="N3898">
        <v>-6.4429309999999998E-3</v>
      </c>
      <c r="O3898">
        <v>-0.99950340000000004</v>
      </c>
      <c r="P3898">
        <v>3.0683289999999998E-2</v>
      </c>
      <c r="Q3898">
        <v>0.21586240000000001</v>
      </c>
      <c r="R3898">
        <v>-0.97594170000000002</v>
      </c>
      <c r="S3898">
        <v>0.70153809999999905</v>
      </c>
      <c r="T3898">
        <v>2.0698790000000002E-2</v>
      </c>
      <c r="U3898">
        <v>-3.0476070000000002</v>
      </c>
      <c r="V3898">
        <v>-6.183131E-2</v>
      </c>
      <c r="W3898">
        <v>0.22184580000000001</v>
      </c>
      <c r="X3898">
        <v>0.97311939999999997</v>
      </c>
      <c r="Y3898">
        <v>-0.25426530000000003</v>
      </c>
      <c r="Z3898">
        <v>-1.305431E-2</v>
      </c>
      <c r="AA3898">
        <v>0.96704639999999997</v>
      </c>
      <c r="AB3898">
        <v>33</v>
      </c>
      <c r="AC3898">
        <v>22.098600000000001</v>
      </c>
      <c r="AD3898">
        <v>0.651755999999999</v>
      </c>
      <c r="AE3898">
        <v>-95.646448500000005</v>
      </c>
      <c r="AF3898">
        <v>-25.037755954112001</v>
      </c>
      <c r="AG3898">
        <v>0.651755999999999</v>
      </c>
      <c r="AH3898">
        <v>94.914975076693906</v>
      </c>
      <c r="AI3898">
        <v>89.619584053716693</v>
      </c>
      <c r="AJ3898">
        <v>104.77750487955799</v>
      </c>
      <c r="AK3898">
        <v>98.163977623722303</v>
      </c>
      <c r="AL3898">
        <v>77.182531363382495</v>
      </c>
      <c r="AM3898">
        <v>93.635645408916005</v>
      </c>
      <c r="AN3898">
        <v>1.0000000182651501</v>
      </c>
    </row>
    <row r="3899" spans="1:40" x14ac:dyDescent="0.25">
      <c r="A3899" t="str">
        <f>"20190303170847568"</f>
        <v>20190303170847568</v>
      </c>
      <c r="B3899" t="str">
        <f>"1551604127557522"</f>
        <v>1551604127557522</v>
      </c>
      <c r="C3899" t="s">
        <v>40</v>
      </c>
      <c r="D3899">
        <v>4.7918830000000003</v>
      </c>
      <c r="E3899">
        <v>0.4286818</v>
      </c>
      <c r="F3899" t="s">
        <v>96</v>
      </c>
      <c r="G3899">
        <v>-401.32749999999999</v>
      </c>
      <c r="H3899">
        <v>1.8317509999999999</v>
      </c>
      <c r="I3899">
        <v>0.66729159999999998</v>
      </c>
      <c r="J3899">
        <v>-423.47719999999998</v>
      </c>
      <c r="K3899">
        <v>1.1223430000000001</v>
      </c>
      <c r="L3899">
        <v>96.034909999999996</v>
      </c>
      <c r="M3899">
        <v>-2.8983869999999998E-2</v>
      </c>
      <c r="N3899">
        <v>-6.571019E-3</v>
      </c>
      <c r="O3899">
        <v>-0.99955839999999996</v>
      </c>
      <c r="P3899">
        <v>3.072867E-2</v>
      </c>
      <c r="Q3899">
        <v>0.21609829999999999</v>
      </c>
      <c r="R3899">
        <v>-0.97588830000000004</v>
      </c>
      <c r="S3899">
        <v>0.7053528</v>
      </c>
      <c r="T3899">
        <v>2.259827E-2</v>
      </c>
      <c r="U3899">
        <v>-3.046783</v>
      </c>
      <c r="V3899">
        <v>-6.0062770000000001E-2</v>
      </c>
      <c r="W3899">
        <v>0.22221360000000001</v>
      </c>
      <c r="X3899">
        <v>0.97314630000000002</v>
      </c>
      <c r="Y3899">
        <v>-0.25366420000000001</v>
      </c>
      <c r="Z3899">
        <v>-1.378824E-2</v>
      </c>
      <c r="AA3899">
        <v>0.96719409999999895</v>
      </c>
      <c r="AB3899">
        <v>33</v>
      </c>
      <c r="AC3899">
        <v>22.149699999999999</v>
      </c>
      <c r="AD3899">
        <v>0.70940799999999904</v>
      </c>
      <c r="AE3899">
        <v>-95.367618399999998</v>
      </c>
      <c r="AF3899">
        <v>-24.903268593207802</v>
      </c>
      <c r="AG3899">
        <v>0.70940799999999904</v>
      </c>
      <c r="AH3899">
        <v>94.680582077805298</v>
      </c>
      <c r="AI3899">
        <v>89.584831450046806</v>
      </c>
      <c r="AJ3899">
        <v>104.736389658013</v>
      </c>
      <c r="AK3899">
        <v>97.903466072085294</v>
      </c>
      <c r="AL3899">
        <v>77.160919203015496</v>
      </c>
      <c r="AM3899">
        <v>93.531825986849796</v>
      </c>
      <c r="AN3899">
        <v>1.0000000707843499</v>
      </c>
    </row>
    <row r="3900" spans="1:40" x14ac:dyDescent="0.25">
      <c r="A3900" t="str">
        <f>"20190303170847590"</f>
        <v>20190303170847590</v>
      </c>
      <c r="B3900" t="str">
        <f>"1551604127587777"</f>
        <v>1551604127587777</v>
      </c>
      <c r="C3900" t="s">
        <v>40</v>
      </c>
      <c r="D3900">
        <v>4.7687549999999996</v>
      </c>
      <c r="E3900">
        <v>0.4287339</v>
      </c>
      <c r="F3900" t="s">
        <v>96</v>
      </c>
      <c r="G3900">
        <v>-401.39049999999997</v>
      </c>
      <c r="H3900">
        <v>1.8746020000000001</v>
      </c>
      <c r="I3900">
        <v>0.66664889999999999</v>
      </c>
      <c r="J3900">
        <v>-423.48480000000001</v>
      </c>
      <c r="K3900">
        <v>1.122379</v>
      </c>
      <c r="L3900">
        <v>95.698179999999994</v>
      </c>
      <c r="M3900">
        <v>-2.6726110000000001E-2</v>
      </c>
      <c r="N3900">
        <v>-6.7469790000000002E-3</v>
      </c>
      <c r="O3900">
        <v>-0.99961999999999995</v>
      </c>
      <c r="P3900">
        <v>3.1240529999999999E-2</v>
      </c>
      <c r="Q3900">
        <v>0.21630830000000001</v>
      </c>
      <c r="R3900">
        <v>-0.97582530000000001</v>
      </c>
      <c r="S3900">
        <v>0.70556640000000004</v>
      </c>
      <c r="T3900">
        <v>2.4030329999999999E-2</v>
      </c>
      <c r="U3900">
        <v>-3.04657</v>
      </c>
      <c r="V3900">
        <v>-5.8379439999999998E-2</v>
      </c>
      <c r="W3900">
        <v>0.22260179999999999</v>
      </c>
      <c r="X3900">
        <v>0.97316000000000003</v>
      </c>
      <c r="Y3900">
        <v>-0.25155630000000001</v>
      </c>
      <c r="Z3900">
        <v>-1.4422300000000001E-2</v>
      </c>
      <c r="AA3900">
        <v>0.96773520000000002</v>
      </c>
      <c r="AB3900">
        <v>33</v>
      </c>
      <c r="AC3900">
        <v>22.0943</v>
      </c>
      <c r="AD3900">
        <v>0.75222299999999997</v>
      </c>
      <c r="AE3900">
        <v>-95.031531099999995</v>
      </c>
      <c r="AF3900">
        <v>-24.6248246896217</v>
      </c>
      <c r="AG3900">
        <v>0.75222299999999997</v>
      </c>
      <c r="AH3900">
        <v>94.401464113214203</v>
      </c>
      <c r="AI3900">
        <v>89.558239008193496</v>
      </c>
      <c r="AJ3900">
        <v>104.619939637488</v>
      </c>
      <c r="AK3900">
        <v>97.563232096701299</v>
      </c>
      <c r="AL3900">
        <v>77.138105354572204</v>
      </c>
      <c r="AM3900">
        <v>93.433034327524297</v>
      </c>
      <c r="AN3900">
        <v>1.0000000529889701</v>
      </c>
    </row>
    <row r="3901" spans="1:40" x14ac:dyDescent="0.25">
      <c r="A3901" t="str">
        <f>"20190303170847613"</f>
        <v>20190303170847613</v>
      </c>
      <c r="B3901" t="str">
        <f>"1551604127607297"</f>
        <v>1551604127607297</v>
      </c>
      <c r="C3901" t="s">
        <v>40</v>
      </c>
      <c r="D3901">
        <v>4.7822060000000004</v>
      </c>
      <c r="E3901">
        <v>0.42874659999999898</v>
      </c>
      <c r="F3901" t="s">
        <v>96</v>
      </c>
      <c r="G3901">
        <v>-401.40940000000001</v>
      </c>
      <c r="H3901">
        <v>1.8969549999999999</v>
      </c>
      <c r="I3901">
        <v>0.66646000000000005</v>
      </c>
      <c r="J3901">
        <v>-423.49160000000001</v>
      </c>
      <c r="K3901">
        <v>1.1224209999999999</v>
      </c>
      <c r="L3901">
        <v>95.361239999999995</v>
      </c>
      <c r="M3901">
        <v>-2.4466209999999999E-2</v>
      </c>
      <c r="N3901">
        <v>-6.9345810000000004E-3</v>
      </c>
      <c r="O3901">
        <v>-0.99967689999999998</v>
      </c>
      <c r="P3901">
        <v>3.0799320000000002E-2</v>
      </c>
      <c r="Q3901">
        <v>0.2163503</v>
      </c>
      <c r="R3901">
        <v>-0.97582999999999998</v>
      </c>
      <c r="S3901">
        <v>0.70761109999999905</v>
      </c>
      <c r="T3901">
        <v>2.4827599999999998E-2</v>
      </c>
      <c r="U3901">
        <v>-3.046173</v>
      </c>
      <c r="V3901">
        <v>-5.5742260000000002E-2</v>
      </c>
      <c r="W3901">
        <v>0.22283839999999999</v>
      </c>
      <c r="X3901">
        <v>0.97326040000000003</v>
      </c>
      <c r="Y3901">
        <v>-0.25001079999999998</v>
      </c>
      <c r="Z3901">
        <v>-1.4865379999999999E-2</v>
      </c>
      <c r="AA3901">
        <v>0.96812889999999996</v>
      </c>
      <c r="AB3901">
        <v>33</v>
      </c>
      <c r="AC3901">
        <v>22.0822</v>
      </c>
      <c r="AD3901">
        <v>0.77453399999999994</v>
      </c>
      <c r="AE3901">
        <v>-94.694779999999994</v>
      </c>
      <c r="AF3901">
        <v>-24.3909193392284</v>
      </c>
      <c r="AG3901">
        <v>0.77453399999999994</v>
      </c>
      <c r="AH3901">
        <v>94.120179973389895</v>
      </c>
      <c r="AI3901">
        <v>89.543588015765593</v>
      </c>
      <c r="AJ3901">
        <v>104.528403538565</v>
      </c>
      <c r="AK3901">
        <v>97.232325526818499</v>
      </c>
      <c r="AL3901">
        <v>77.124198935480806</v>
      </c>
      <c r="AM3901">
        <v>93.2779623137843</v>
      </c>
      <c r="AN3901">
        <v>0.999999979136313</v>
      </c>
    </row>
    <row r="3902" spans="1:40" x14ac:dyDescent="0.25">
      <c r="A3902" t="str">
        <f>"20190303170847638"</f>
        <v>20190303170847638</v>
      </c>
      <c r="B3902" t="str">
        <f>"1551604127627793"</f>
        <v>1551604127627793</v>
      </c>
      <c r="C3902" t="s">
        <v>40</v>
      </c>
      <c r="D3902">
        <v>4.7754450000000004</v>
      </c>
      <c r="E3902">
        <v>0.42874810000000002</v>
      </c>
      <c r="F3902" t="s">
        <v>96</v>
      </c>
      <c r="G3902">
        <v>-401.54360000000003</v>
      </c>
      <c r="H3902">
        <v>1.9193009999999999</v>
      </c>
      <c r="I3902">
        <v>0.66509439999999997</v>
      </c>
      <c r="J3902">
        <v>-423.4982</v>
      </c>
      <c r="K3902">
        <v>1.122458</v>
      </c>
      <c r="L3902">
        <v>94.993840000000006</v>
      </c>
      <c r="M3902">
        <v>-2.2002290000000001E-2</v>
      </c>
      <c r="N3902">
        <v>-7.1396319999999999E-3</v>
      </c>
      <c r="O3902">
        <v>-0.99973250000000002</v>
      </c>
      <c r="P3902">
        <v>3.0582419999999999E-2</v>
      </c>
      <c r="Q3902">
        <v>0.21600810000000001</v>
      </c>
      <c r="R3902">
        <v>-0.97591269999999997</v>
      </c>
      <c r="S3902">
        <v>0.70605469999999904</v>
      </c>
      <c r="T3902">
        <v>2.5634290000000001E-2</v>
      </c>
      <c r="U3902">
        <v>-3.0463260000000001</v>
      </c>
      <c r="V3902">
        <v>-5.3130400000000001E-2</v>
      </c>
      <c r="W3902">
        <v>0.22270870000000001</v>
      </c>
      <c r="X3902">
        <v>0.97343619999999997</v>
      </c>
      <c r="Y3902">
        <v>-0.24714179999999999</v>
      </c>
      <c r="Z3902">
        <v>-1.5329799999999999E-2</v>
      </c>
      <c r="AA3902">
        <v>0.96885810000000006</v>
      </c>
      <c r="AB3902">
        <v>33</v>
      </c>
      <c r="AC3902">
        <v>21.9545999999999</v>
      </c>
      <c r="AD3902">
        <v>0.79684299999999997</v>
      </c>
      <c r="AE3902">
        <v>-94.328745599999905</v>
      </c>
      <c r="AF3902">
        <v>-24.023159920163401</v>
      </c>
      <c r="AG3902">
        <v>0.79684299999999997</v>
      </c>
      <c r="AH3902">
        <v>93.8164948528905</v>
      </c>
      <c r="AI3902">
        <v>89.528571862048693</v>
      </c>
      <c r="AJ3902">
        <v>104.362854103554</v>
      </c>
      <c r="AK3902">
        <v>96.846692652866693</v>
      </c>
      <c r="AL3902">
        <v>77.131822292519004</v>
      </c>
      <c r="AM3902">
        <v>93.124118696232401</v>
      </c>
      <c r="AN3902">
        <v>1.00000001996514</v>
      </c>
    </row>
    <row r="3903" spans="1:40" x14ac:dyDescent="0.25">
      <c r="A3903" t="str">
        <f>"20190303170847658"</f>
        <v>20190303170847658</v>
      </c>
      <c r="B3903" t="str">
        <f>"1551604127647314"</f>
        <v>1551604127647314</v>
      </c>
      <c r="C3903" t="s">
        <v>40</v>
      </c>
      <c r="D3903">
        <v>4.7494670000000001</v>
      </c>
      <c r="E3903">
        <v>0.42871219999999999</v>
      </c>
      <c r="F3903" t="s">
        <v>96</v>
      </c>
      <c r="G3903">
        <v>-401.62599999999998</v>
      </c>
      <c r="H3903">
        <v>1.916687</v>
      </c>
      <c r="I3903">
        <v>0.66425699999999999</v>
      </c>
      <c r="J3903">
        <v>-423.50299999999999</v>
      </c>
      <c r="K3903">
        <v>1.1224749999999999</v>
      </c>
      <c r="L3903">
        <v>94.691800000000001</v>
      </c>
      <c r="M3903">
        <v>-1.9977439999999999E-2</v>
      </c>
      <c r="N3903">
        <v>-7.3160880000000001E-3</v>
      </c>
      <c r="O3903">
        <v>-0.99977380000000005</v>
      </c>
      <c r="P3903">
        <v>2.9209510000000001E-2</v>
      </c>
      <c r="Q3903">
        <v>0.21662190000000001</v>
      </c>
      <c r="R3903">
        <v>-0.97581870000000004</v>
      </c>
      <c r="S3903">
        <v>0.70632930000000005</v>
      </c>
      <c r="T3903">
        <v>2.5647639999999999E-2</v>
      </c>
      <c r="U3903">
        <v>-3.0462340000000001</v>
      </c>
      <c r="V3903">
        <v>-4.9788909999999999E-2</v>
      </c>
      <c r="W3903">
        <v>0.2235095</v>
      </c>
      <c r="X3903">
        <v>0.97342930000000005</v>
      </c>
      <c r="Y3903">
        <v>-0.2452674</v>
      </c>
      <c r="Z3903">
        <v>-1.551191E-2</v>
      </c>
      <c r="AA3903">
        <v>0.96933139999999995</v>
      </c>
      <c r="AB3903">
        <v>33</v>
      </c>
      <c r="AC3903">
        <v>21.876999999999999</v>
      </c>
      <c r="AD3903">
        <v>0.79421199999999903</v>
      </c>
      <c r="AE3903">
        <v>-94.027542999999994</v>
      </c>
      <c r="AF3903">
        <v>-23.7495060199624</v>
      </c>
      <c r="AG3903">
        <v>0.79421199999999903</v>
      </c>
      <c r="AH3903">
        <v>93.565386324672701</v>
      </c>
      <c r="AI3903">
        <v>89.528614961155995</v>
      </c>
      <c r="AJ3903">
        <v>104.24247830027601</v>
      </c>
      <c r="AK3903">
        <v>96.535751548213696</v>
      </c>
      <c r="AL3903">
        <v>77.084753351175806</v>
      </c>
      <c r="AM3903">
        <v>92.9280099238931</v>
      </c>
      <c r="AN3903">
        <v>1.0000000171238601</v>
      </c>
    </row>
    <row r="3904" spans="1:40" x14ac:dyDescent="0.25">
      <c r="A3904" t="str">
        <f>"20190303170847680"</f>
        <v>20190303170847680</v>
      </c>
      <c r="B3904" t="str">
        <f>"1551604127667810"</f>
        <v>1551604127667810</v>
      </c>
      <c r="C3904" t="s">
        <v>40</v>
      </c>
      <c r="D3904">
        <v>4.7581110000000004</v>
      </c>
      <c r="E3904">
        <v>0.42868139999999999</v>
      </c>
      <c r="F3904" t="s">
        <v>96</v>
      </c>
      <c r="G3904">
        <v>-401.82</v>
      </c>
      <c r="H3904">
        <v>1.9942260000000001</v>
      </c>
      <c r="I3904">
        <v>0.66228290000000001</v>
      </c>
      <c r="J3904">
        <v>-423.50749999999999</v>
      </c>
      <c r="K3904">
        <v>1.122512</v>
      </c>
      <c r="L3904">
        <v>94.358059999999995</v>
      </c>
      <c r="M3904">
        <v>-1.7740720000000001E-2</v>
      </c>
      <c r="N3904">
        <v>-7.5284829999999999E-3</v>
      </c>
      <c r="O3904">
        <v>-0.99981439999999999</v>
      </c>
      <c r="P3904">
        <v>2.67272E-2</v>
      </c>
      <c r="Q3904">
        <v>0.21690380000000001</v>
      </c>
      <c r="R3904">
        <v>-0.97582749999999996</v>
      </c>
      <c r="S3904">
        <v>0.702636699999999</v>
      </c>
      <c r="T3904">
        <v>2.8248189999999999E-2</v>
      </c>
      <c r="U3904">
        <v>-3.0470280000000001</v>
      </c>
      <c r="V3904">
        <v>-4.5131959999999999E-2</v>
      </c>
      <c r="W3904">
        <v>0.22402169999999999</v>
      </c>
      <c r="X3904">
        <v>0.97353860000000003</v>
      </c>
      <c r="Y3904">
        <v>-0.24192330000000001</v>
      </c>
      <c r="Z3904">
        <v>-1.655533E-2</v>
      </c>
      <c r="AA3904">
        <v>0.97015419999999997</v>
      </c>
      <c r="AB3904">
        <v>33</v>
      </c>
      <c r="AC3904">
        <v>21.6875</v>
      </c>
      <c r="AD3904">
        <v>0.87171399999999899</v>
      </c>
      <c r="AE3904">
        <v>-93.695777100000001</v>
      </c>
      <c r="AF3904">
        <v>-23.344446204792501</v>
      </c>
      <c r="AG3904">
        <v>0.87171399999999899</v>
      </c>
      <c r="AH3904">
        <v>93.288603541304894</v>
      </c>
      <c r="AI3904">
        <v>89.4806414749537</v>
      </c>
      <c r="AJ3904">
        <v>104.049130543421</v>
      </c>
      <c r="AK3904">
        <v>96.169052218439802</v>
      </c>
      <c r="AL3904">
        <v>77.054642859646194</v>
      </c>
      <c r="AM3904">
        <v>92.654256091571995</v>
      </c>
      <c r="AN3904">
        <v>1.0000000107871401</v>
      </c>
    </row>
    <row r="3905" spans="1:40" x14ac:dyDescent="0.25">
      <c r="A3905" t="str">
        <f>"20190303170847704"</f>
        <v>20190303170847704</v>
      </c>
      <c r="B3905" t="str">
        <f>"1551604127697090"</f>
        <v>1551604127697090</v>
      </c>
      <c r="C3905" t="s">
        <v>40</v>
      </c>
      <c r="D3905">
        <v>4.7648219999999997</v>
      </c>
      <c r="E3905">
        <v>0.42857339999999999</v>
      </c>
      <c r="F3905" t="s">
        <v>96</v>
      </c>
      <c r="G3905">
        <v>-402.0992</v>
      </c>
      <c r="H3905">
        <v>2.0483739999999999</v>
      </c>
      <c r="I3905">
        <v>0.65944290000000005</v>
      </c>
      <c r="J3905">
        <v>-423.51159999999999</v>
      </c>
      <c r="K3905">
        <v>1.1225499999999999</v>
      </c>
      <c r="L3905">
        <v>94.000240000000005</v>
      </c>
      <c r="M3905">
        <v>-1.534461E-2</v>
      </c>
      <c r="N3905">
        <v>-7.7856389999999996E-3</v>
      </c>
      <c r="O3905">
        <v>-0.99985190000000002</v>
      </c>
      <c r="P3905">
        <v>2.5549039999999999E-2</v>
      </c>
      <c r="Q3905">
        <v>0.2163638</v>
      </c>
      <c r="R3905">
        <v>-0.97597869999999998</v>
      </c>
      <c r="S3905">
        <v>0.69653319999999996</v>
      </c>
      <c r="T3905">
        <v>3.0122880000000001E-2</v>
      </c>
      <c r="U3905">
        <v>-3.0485530000000001</v>
      </c>
      <c r="V3905">
        <v>-4.1622520000000003E-2</v>
      </c>
      <c r="W3905">
        <v>0.2237498</v>
      </c>
      <c r="X3905">
        <v>0.9737574</v>
      </c>
      <c r="Y3905">
        <v>-0.2376413</v>
      </c>
      <c r="Z3905">
        <v>-1.7411880000000001E-2</v>
      </c>
      <c r="AA3905">
        <v>0.97119690000000003</v>
      </c>
      <c r="AB3905">
        <v>34</v>
      </c>
      <c r="AC3905">
        <v>21.412399999999899</v>
      </c>
      <c r="AD3905">
        <v>0.92582399999999998</v>
      </c>
      <c r="AE3905">
        <v>-93.340797099999904</v>
      </c>
      <c r="AF3905">
        <v>-22.840065759000002</v>
      </c>
      <c r="AG3905">
        <v>0.92582399999999998</v>
      </c>
      <c r="AH3905">
        <v>92.992540632546707</v>
      </c>
      <c r="AI3905">
        <v>89.446050864763905</v>
      </c>
      <c r="AJ3905">
        <v>103.799364892529</v>
      </c>
      <c r="AK3905">
        <v>95.7608394243193</v>
      </c>
      <c r="AL3905">
        <v>77.070626418689002</v>
      </c>
      <c r="AM3905">
        <v>92.447574645516795</v>
      </c>
      <c r="AN3905">
        <v>0.99999994061297304</v>
      </c>
    </row>
    <row r="3906" spans="1:40" x14ac:dyDescent="0.25">
      <c r="A3906" t="str">
        <f>"20190303170847728"</f>
        <v>20190303170847728</v>
      </c>
      <c r="B3906" t="str">
        <f>"1551604127717585"</f>
        <v>1551604127717585</v>
      </c>
      <c r="C3906" t="s">
        <v>40</v>
      </c>
      <c r="D3906">
        <v>4.7650269999999999</v>
      </c>
      <c r="E3906">
        <v>0.42848370000000002</v>
      </c>
      <c r="F3906" t="s">
        <v>96</v>
      </c>
      <c r="G3906">
        <v>-402.25560000000002</v>
      </c>
      <c r="H3906">
        <v>2.0320399999999998</v>
      </c>
      <c r="I3906">
        <v>0.657856</v>
      </c>
      <c r="J3906">
        <v>-423.51479999999998</v>
      </c>
      <c r="K3906">
        <v>1.1226</v>
      </c>
      <c r="L3906">
        <v>93.641999999999996</v>
      </c>
      <c r="M3906">
        <v>-1.294795E-2</v>
      </c>
      <c r="N3906">
        <v>-8.0848969999999902E-3</v>
      </c>
      <c r="O3906">
        <v>-0.99988370000000004</v>
      </c>
      <c r="P3906">
        <v>2.402404E-2</v>
      </c>
      <c r="Q3906">
        <v>0.21600469999999999</v>
      </c>
      <c r="R3906">
        <v>-0.97609690000000005</v>
      </c>
      <c r="S3906">
        <v>0.69433590000000001</v>
      </c>
      <c r="T3906">
        <v>2.970803E-2</v>
      </c>
      <c r="U3906">
        <v>-3.0490719999999998</v>
      </c>
      <c r="V3906">
        <v>-3.7765489999999999E-2</v>
      </c>
      <c r="W3906">
        <v>0.2237024</v>
      </c>
      <c r="X3906">
        <v>0.9739255</v>
      </c>
      <c r="Y3906">
        <v>-0.2346097</v>
      </c>
      <c r="Z3906">
        <v>-1.7580229999999999E-2</v>
      </c>
      <c r="AA3906">
        <v>0.97193070000000004</v>
      </c>
      <c r="AB3906">
        <v>34</v>
      </c>
      <c r="AC3906">
        <v>21.2591999999999</v>
      </c>
      <c r="AD3906">
        <v>0.90944000000000003</v>
      </c>
      <c r="AE3906">
        <v>-92.984144000000001</v>
      </c>
      <c r="AF3906">
        <v>-22.459369167620299</v>
      </c>
      <c r="AG3906">
        <v>0.90944000000000003</v>
      </c>
      <c r="AH3906">
        <v>92.692650301712305</v>
      </c>
      <c r="AI3906">
        <v>89.453676446312599</v>
      </c>
      <c r="AJ3906">
        <v>103.62023620379399</v>
      </c>
      <c r="AK3906">
        <v>95.379126461068907</v>
      </c>
      <c r="AL3906">
        <v>77.073412832292604</v>
      </c>
      <c r="AM3906">
        <v>92.220621239850402</v>
      </c>
      <c r="AN3906">
        <v>0.99999993777547302</v>
      </c>
    </row>
    <row r="3907" spans="1:40" x14ac:dyDescent="0.25">
      <c r="A3907" t="str">
        <f>"20190303170847751"</f>
        <v>20190303170847751</v>
      </c>
      <c r="B3907" t="str">
        <f>"1551604127746866"</f>
        <v>1551604127746866</v>
      </c>
      <c r="C3907" t="s">
        <v>40</v>
      </c>
      <c r="D3907">
        <v>4.777463</v>
      </c>
      <c r="E3907">
        <v>0.42828149999999998</v>
      </c>
      <c r="F3907" t="s">
        <v>96</v>
      </c>
      <c r="G3907">
        <v>-402.41219999999998</v>
      </c>
      <c r="H3907">
        <v>2.050951</v>
      </c>
      <c r="I3907">
        <v>0.65626139999999999</v>
      </c>
      <c r="J3907">
        <v>-423.51710000000003</v>
      </c>
      <c r="K3907">
        <v>1.1226529999999999</v>
      </c>
      <c r="L3907">
        <v>93.299319999999994</v>
      </c>
      <c r="M3907">
        <v>-1.0658219999999999E-2</v>
      </c>
      <c r="N3907">
        <v>-8.4163759999999997E-3</v>
      </c>
      <c r="O3907">
        <v>-0.99990789999999996</v>
      </c>
      <c r="P3907">
        <v>2.210983E-2</v>
      </c>
      <c r="Q3907">
        <v>0.2167819</v>
      </c>
      <c r="R3907">
        <v>-0.97596970000000005</v>
      </c>
      <c r="S3907">
        <v>0.69210819999999995</v>
      </c>
      <c r="T3907">
        <v>3.0446529999999999E-2</v>
      </c>
      <c r="U3907">
        <v>-3.0496829999999999</v>
      </c>
      <c r="V3907">
        <v>-3.36254E-2</v>
      </c>
      <c r="W3907">
        <v>0.2248223</v>
      </c>
      <c r="X3907">
        <v>0.9738194</v>
      </c>
      <c r="Y3907">
        <v>-0.23166310000000001</v>
      </c>
      <c r="Z3907">
        <v>-1.814843E-2</v>
      </c>
      <c r="AA3907">
        <v>0.97262669999999996</v>
      </c>
      <c r="AB3907">
        <v>34</v>
      </c>
      <c r="AC3907">
        <v>21.104900000000001</v>
      </c>
      <c r="AD3907">
        <v>0.92829799999999896</v>
      </c>
      <c r="AE3907">
        <v>-92.643058600000003</v>
      </c>
      <c r="AF3907">
        <v>-22.089037703628801</v>
      </c>
      <c r="AG3907">
        <v>0.92829799999999896</v>
      </c>
      <c r="AH3907">
        <v>92.404027490548899</v>
      </c>
      <c r="AI3907">
        <v>89.440193133879006</v>
      </c>
      <c r="AJ3907">
        <v>103.44417058981099</v>
      </c>
      <c r="AK3907">
        <v>95.012060394053407</v>
      </c>
      <c r="AL3907">
        <v>77.007570734404197</v>
      </c>
      <c r="AM3907">
        <v>91.977603211032999</v>
      </c>
      <c r="AN3907">
        <v>0.99999997895940396</v>
      </c>
    </row>
    <row r="3908" spans="1:40" x14ac:dyDescent="0.25">
      <c r="A3908" t="str">
        <f>"20190303170847768"</f>
        <v>20190303170847768</v>
      </c>
      <c r="B3908" t="str">
        <f>"1551604127757602"</f>
        <v>1551604127757602</v>
      </c>
      <c r="C3908" t="s">
        <v>40</v>
      </c>
      <c r="D3908">
        <v>4.7587830000000002</v>
      </c>
      <c r="E3908">
        <v>0.42821579999999898</v>
      </c>
      <c r="F3908" t="s">
        <v>96</v>
      </c>
      <c r="G3908">
        <v>-402.58769999999998</v>
      </c>
      <c r="H3908">
        <v>2.193886</v>
      </c>
      <c r="I3908">
        <v>0.65447809999999995</v>
      </c>
      <c r="J3908">
        <v>-423.51819999999998</v>
      </c>
      <c r="K3908">
        <v>1.1227049999999901</v>
      </c>
      <c r="L3908">
        <v>93.028170000000003</v>
      </c>
      <c r="M3908">
        <v>-8.8489150000000006E-3</v>
      </c>
      <c r="N3908">
        <v>-8.7070959999999992E-3</v>
      </c>
      <c r="O3908">
        <v>-0.99992309999999995</v>
      </c>
      <c r="P3908">
        <v>1.8249850000000001E-2</v>
      </c>
      <c r="Q3908">
        <v>0.21800269999999999</v>
      </c>
      <c r="R3908">
        <v>-0.97577769999999997</v>
      </c>
      <c r="S3908">
        <v>0.68911739999999999</v>
      </c>
      <c r="T3908">
        <v>3.5270450000000002E-2</v>
      </c>
      <c r="U3908">
        <v>-3.0504150000000001</v>
      </c>
      <c r="V3908">
        <v>-2.8009010000000001E-2</v>
      </c>
      <c r="W3908">
        <v>0.22635250000000001</v>
      </c>
      <c r="X3908">
        <v>0.97364260000000002</v>
      </c>
      <c r="Y3908">
        <v>-0.22893810000000001</v>
      </c>
      <c r="Z3908">
        <v>-1.9980270000000001E-2</v>
      </c>
      <c r="AA3908">
        <v>0.97323590000000004</v>
      </c>
      <c r="AB3908">
        <v>34</v>
      </c>
      <c r="AC3908">
        <v>20.930499999999899</v>
      </c>
      <c r="AD3908">
        <v>1.0711809999999999</v>
      </c>
      <c r="AE3908">
        <v>-92.373691899999898</v>
      </c>
      <c r="AF3908">
        <v>-21.744337064334299</v>
      </c>
      <c r="AG3908">
        <v>1.0711809999999999</v>
      </c>
      <c r="AH3908">
        <v>92.173066423211793</v>
      </c>
      <c r="AI3908">
        <v>89.351959038044697</v>
      </c>
      <c r="AJ3908">
        <v>103.273827368703</v>
      </c>
      <c r="AK3908">
        <v>94.709227623077794</v>
      </c>
      <c r="AL3908">
        <v>76.9175763685448</v>
      </c>
      <c r="AM3908">
        <v>91.647786975725694</v>
      </c>
      <c r="AN3908">
        <v>0.99999993571609203</v>
      </c>
    </row>
    <row r="3909" spans="1:40" x14ac:dyDescent="0.25">
      <c r="A3909" t="str">
        <f>"20190303170847792"</f>
        <v>20190303170847792</v>
      </c>
      <c r="B3909" t="str">
        <f>"1551604127786881"</f>
        <v>1551604127786881</v>
      </c>
      <c r="C3909" t="s">
        <v>40</v>
      </c>
      <c r="D3909">
        <v>4.7564739999999999</v>
      </c>
      <c r="E3909">
        <v>0.42808940000000001</v>
      </c>
      <c r="F3909" t="s">
        <v>96</v>
      </c>
      <c r="G3909">
        <v>-402.97570000000002</v>
      </c>
      <c r="H3909">
        <v>2.3618060000000001</v>
      </c>
      <c r="I3909">
        <v>0.65053179999999999</v>
      </c>
      <c r="J3909">
        <v>-423.51889999999997</v>
      </c>
      <c r="K3909">
        <v>1.1227689999999999</v>
      </c>
      <c r="L3909">
        <v>92.681790000000007</v>
      </c>
      <c r="M3909">
        <v>-6.5373089999999998E-3</v>
      </c>
      <c r="N3909">
        <v>-9.0898860000000001E-3</v>
      </c>
      <c r="O3909">
        <v>-0.99993770000000004</v>
      </c>
      <c r="P3909">
        <v>1.441653E-2</v>
      </c>
      <c r="Q3909">
        <v>0.2181583</v>
      </c>
      <c r="R3909">
        <v>-0.97580719999999999</v>
      </c>
      <c r="S3909">
        <v>0.67883300000000002</v>
      </c>
      <c r="T3909">
        <v>4.0945530000000001E-2</v>
      </c>
      <c r="U3909">
        <v>-3.0526430000000002</v>
      </c>
      <c r="V3909">
        <v>-2.1926899999999999E-2</v>
      </c>
      <c r="W3909">
        <v>0.22691169999999999</v>
      </c>
      <c r="X3909">
        <v>0.97366850000000005</v>
      </c>
      <c r="Y3909">
        <v>-0.22340070000000001</v>
      </c>
      <c r="Z3909">
        <v>-2.217732E-2</v>
      </c>
      <c r="AA3909">
        <v>0.97447439999999996</v>
      </c>
      <c r="AB3909">
        <v>34</v>
      </c>
      <c r="AC3909">
        <v>20.543199999999899</v>
      </c>
      <c r="AD3909">
        <v>1.2390369999999999</v>
      </c>
      <c r="AE3909">
        <v>-92.031258199999996</v>
      </c>
      <c r="AF3909">
        <v>-21.140772319399598</v>
      </c>
      <c r="AG3909">
        <v>1.2390369999999999</v>
      </c>
      <c r="AH3909">
        <v>91.879125308661401</v>
      </c>
      <c r="AI3909">
        <v>89.247056068015198</v>
      </c>
      <c r="AJ3909">
        <v>102.95784222312901</v>
      </c>
      <c r="AK3909">
        <v>94.288075250440698</v>
      </c>
      <c r="AL3909">
        <v>76.884681868109297</v>
      </c>
      <c r="AM3909">
        <v>91.290076154010407</v>
      </c>
      <c r="AN3909">
        <v>1.0000000282163699</v>
      </c>
    </row>
    <row r="3910" spans="1:40" x14ac:dyDescent="0.25">
      <c r="A3910" t="str">
        <f>"20190303170847815"</f>
        <v>20190303170847815</v>
      </c>
      <c r="B3910" t="str">
        <f>"1551604127807378"</f>
        <v>1551604127807378</v>
      </c>
      <c r="C3910" t="s">
        <v>40</v>
      </c>
      <c r="D3910">
        <v>4.7759410000000004</v>
      </c>
      <c r="E3910">
        <v>0.42205039999999999</v>
      </c>
      <c r="F3910" t="s">
        <v>96</v>
      </c>
      <c r="G3910">
        <v>-403.34350000000001</v>
      </c>
      <c r="H3910">
        <v>2.4109349999999998</v>
      </c>
      <c r="I3910">
        <v>0.64678959999999996</v>
      </c>
      <c r="J3910">
        <v>-423.5188</v>
      </c>
      <c r="K3910">
        <v>1.1228309999999999</v>
      </c>
      <c r="L3910">
        <v>92.338099999999997</v>
      </c>
      <c r="M3910">
        <v>-4.248188E-3</v>
      </c>
      <c r="N3910">
        <v>-9.4916229999999994E-3</v>
      </c>
      <c r="O3910">
        <v>-0.99994609999999995</v>
      </c>
      <c r="P3910">
        <v>1.172284E-2</v>
      </c>
      <c r="Q3910">
        <v>0.21847649999999999</v>
      </c>
      <c r="R3910">
        <v>-0.97577179999999997</v>
      </c>
      <c r="S3910">
        <v>0.66967769999999904</v>
      </c>
      <c r="T3910">
        <v>4.2756919999999997E-2</v>
      </c>
      <c r="U3910">
        <v>-3.0549010000000001</v>
      </c>
      <c r="V3910">
        <v>-1.7004120000000001E-2</v>
      </c>
      <c r="W3910">
        <v>0.22764590000000001</v>
      </c>
      <c r="X3910">
        <v>0.97359549999999995</v>
      </c>
      <c r="Y3910">
        <v>-0.21822440000000001</v>
      </c>
      <c r="Z3910">
        <v>-2.31582E-2</v>
      </c>
      <c r="AA3910">
        <v>0.97562380000000004</v>
      </c>
      <c r="AB3910">
        <v>34</v>
      </c>
      <c r="AC3910">
        <v>20.1753</v>
      </c>
      <c r="AD3910">
        <v>1.2881039999999999</v>
      </c>
      <c r="AE3910">
        <v>-91.691310400000006</v>
      </c>
      <c r="AF3910">
        <v>-20.560786971303099</v>
      </c>
      <c r="AG3910">
        <v>1.2881039999999999</v>
      </c>
      <c r="AH3910">
        <v>91.587530182910996</v>
      </c>
      <c r="AI3910">
        <v>89.213799766242502</v>
      </c>
      <c r="AJ3910">
        <v>102.652747685698</v>
      </c>
      <c r="AK3910">
        <v>93.875880064049298</v>
      </c>
      <c r="AL3910">
        <v>76.841484407330498</v>
      </c>
      <c r="AM3910">
        <v>91.000585218953404</v>
      </c>
      <c r="AN3910">
        <v>0.99999999675201701</v>
      </c>
    </row>
    <row r="3911" spans="1:40" x14ac:dyDescent="0.25">
      <c r="A3911" t="str">
        <f>"20190303170847837"</f>
        <v>20190303170847837</v>
      </c>
      <c r="B3911" t="str">
        <f>"1551604127826898"</f>
        <v>1551604127826898</v>
      </c>
      <c r="C3911" t="s">
        <v>40</v>
      </c>
      <c r="D3911">
        <v>4.7562759999999997</v>
      </c>
      <c r="E3911">
        <v>0.421402</v>
      </c>
      <c r="F3911" t="s">
        <v>96</v>
      </c>
      <c r="G3911">
        <v>-402.2328</v>
      </c>
      <c r="H3911">
        <v>2.4592990000000001</v>
      </c>
      <c r="I3911">
        <v>0.65809059999999997</v>
      </c>
      <c r="J3911">
        <v>-423.51799999999997</v>
      </c>
      <c r="K3911">
        <v>1.1228849999999999</v>
      </c>
      <c r="L3911">
        <v>92.002870000000001</v>
      </c>
      <c r="M3911">
        <v>-2.0164219999999999E-3</v>
      </c>
      <c r="N3911">
        <v>-9.8885840000000006E-3</v>
      </c>
      <c r="O3911">
        <v>-0.99994899999999998</v>
      </c>
      <c r="P3911">
        <v>9.5144389999999995E-3</v>
      </c>
      <c r="Q3911">
        <v>0.21919739999999999</v>
      </c>
      <c r="R3911">
        <v>-0.97563440000000001</v>
      </c>
      <c r="S3911">
        <v>0.70953369999999905</v>
      </c>
      <c r="T3911">
        <v>4.4547919999999998E-2</v>
      </c>
      <c r="U3911">
        <v>-3.056</v>
      </c>
      <c r="V3911">
        <v>-1.2622690000000001E-2</v>
      </c>
      <c r="W3911">
        <v>0.22877449999999999</v>
      </c>
      <c r="X3911">
        <v>0.97339759999999997</v>
      </c>
      <c r="Y3911">
        <v>-0.2280645</v>
      </c>
      <c r="Z3911">
        <v>-2.408391E-2</v>
      </c>
      <c r="AA3911">
        <v>0.97334810000000005</v>
      </c>
      <c r="AB3911">
        <v>34</v>
      </c>
      <c r="AC3911">
        <v>21.2852</v>
      </c>
      <c r="AD3911">
        <v>1.336414</v>
      </c>
      <c r="AE3911">
        <v>-91.344779399999993</v>
      </c>
      <c r="AF3911">
        <v>-21.464997420075498</v>
      </c>
      <c r="AG3911">
        <v>1.336414</v>
      </c>
      <c r="AH3911">
        <v>91.283138811012904</v>
      </c>
      <c r="AI3911">
        <v>89.183498696307893</v>
      </c>
      <c r="AJ3911">
        <v>103.232557113612</v>
      </c>
      <c r="AK3911">
        <v>93.782426647074402</v>
      </c>
      <c r="AL3911">
        <v>76.7750677652988</v>
      </c>
      <c r="AM3911">
        <v>90.742950596816797</v>
      </c>
      <c r="AN3911">
        <v>0.99999999591942301</v>
      </c>
    </row>
    <row r="3912" spans="1:40" x14ac:dyDescent="0.25">
      <c r="A3912" t="str">
        <f>"20190303170847859"</f>
        <v>20190303170847859</v>
      </c>
      <c r="B3912" t="str">
        <f>"1551604127847394"</f>
        <v>1551604127847394</v>
      </c>
      <c r="C3912" t="s">
        <v>40</v>
      </c>
      <c r="D3912">
        <v>4.7957559999999999</v>
      </c>
      <c r="E3912">
        <v>0.421267</v>
      </c>
      <c r="F3912" t="s">
        <v>96</v>
      </c>
      <c r="G3912">
        <v>-402.32729999999998</v>
      </c>
      <c r="H3912">
        <v>2.6601859999999999</v>
      </c>
      <c r="I3912">
        <v>0.65712740000000003</v>
      </c>
      <c r="J3912">
        <v>-423.51650000000001</v>
      </c>
      <c r="K3912">
        <v>1.122932</v>
      </c>
      <c r="L3912">
        <v>91.680999999999997</v>
      </c>
      <c r="M3912">
        <v>1.2266929999999999E-4</v>
      </c>
      <c r="N3912">
        <v>-1.027167E-2</v>
      </c>
      <c r="O3912">
        <v>-0.99994729999999998</v>
      </c>
      <c r="P3912">
        <v>6.4603169999999897E-3</v>
      </c>
      <c r="Q3912">
        <v>0.21957560000000001</v>
      </c>
      <c r="R3912">
        <v>-0.97557400000000005</v>
      </c>
      <c r="S3912">
        <v>0.70904540000000005</v>
      </c>
      <c r="T3912">
        <v>5.1437740000000003E-2</v>
      </c>
      <c r="U3912">
        <v>-3.0564580000000001</v>
      </c>
      <c r="V3912">
        <v>-7.4825059999999999E-3</v>
      </c>
      <c r="W3912">
        <v>0.22955049999999999</v>
      </c>
      <c r="X3912">
        <v>0.97326800000000002</v>
      </c>
      <c r="Y3912">
        <v>-0.22578889999999999</v>
      </c>
      <c r="Z3912">
        <v>-2.666116E-2</v>
      </c>
      <c r="AA3912">
        <v>0.97381130000000005</v>
      </c>
      <c r="AB3912">
        <v>34</v>
      </c>
      <c r="AC3912">
        <v>21.1892</v>
      </c>
      <c r="AD3912">
        <v>1.5372539999999999</v>
      </c>
      <c r="AE3912">
        <v>-91.023872599999905</v>
      </c>
      <c r="AF3912">
        <v>-21.172305062357399</v>
      </c>
      <c r="AG3912">
        <v>1.5372539999999999</v>
      </c>
      <c r="AH3912">
        <v>91.001849958054507</v>
      </c>
      <c r="AI3912">
        <v>89.057390465184099</v>
      </c>
      <c r="AJ3912">
        <v>103.097318964853</v>
      </c>
      <c r="AK3912">
        <v>93.444991023073698</v>
      </c>
      <c r="AL3912">
        <v>76.729390877402693</v>
      </c>
      <c r="AM3912">
        <v>90.440482547214998</v>
      </c>
      <c r="AN3912">
        <v>1.00000000988514</v>
      </c>
    </row>
    <row r="3913" spans="1:40" x14ac:dyDescent="0.25">
      <c r="A3913" t="str">
        <f>"20190303170847881"</f>
        <v>20190303170847881</v>
      </c>
      <c r="B3913" t="str">
        <f>"1551604127866914"</f>
        <v>1551604127866914</v>
      </c>
      <c r="C3913" t="s">
        <v>40</v>
      </c>
      <c r="D3913">
        <v>4.915883</v>
      </c>
      <c r="E3913">
        <v>0.45050449999999997</v>
      </c>
      <c r="F3913" t="s">
        <v>96</v>
      </c>
      <c r="G3913">
        <v>-402.58019999999999</v>
      </c>
      <c r="H3913">
        <v>2.7910900000000001</v>
      </c>
      <c r="I3913">
        <v>0.65455629999999998</v>
      </c>
      <c r="J3913">
        <v>-423.51420000000002</v>
      </c>
      <c r="K3913">
        <v>1.1229720000000001</v>
      </c>
      <c r="L3913">
        <v>91.346649999999997</v>
      </c>
      <c r="M3913">
        <v>2.334259E-3</v>
      </c>
      <c r="N3913">
        <v>-1.067366E-2</v>
      </c>
      <c r="O3913">
        <v>-0.99994039999999995</v>
      </c>
      <c r="P3913">
        <v>3.5536209999999999E-3</v>
      </c>
      <c r="Q3913">
        <v>0.22007099999999999</v>
      </c>
      <c r="R3913">
        <v>-0.97547779999999995</v>
      </c>
      <c r="S3913">
        <v>0.70330809999999999</v>
      </c>
      <c r="T3913">
        <v>5.603731E-2</v>
      </c>
      <c r="U3913">
        <v>-3.0578310000000002</v>
      </c>
      <c r="V3913">
        <v>-2.4168100000000001E-3</v>
      </c>
      <c r="W3913">
        <v>0.230461</v>
      </c>
      <c r="X3913">
        <v>0.97307849999999996</v>
      </c>
      <c r="Y3913">
        <v>-0.2217914</v>
      </c>
      <c r="Z3913">
        <v>-2.8529430000000001E-2</v>
      </c>
      <c r="AA3913">
        <v>0.97467669999999995</v>
      </c>
      <c r="AB3913">
        <v>34</v>
      </c>
      <c r="AC3913">
        <v>20.934000000000001</v>
      </c>
      <c r="AD3913">
        <v>1.668118</v>
      </c>
      <c r="AE3913">
        <v>-90.692093700000001</v>
      </c>
      <c r="AF3913">
        <v>-20.7155783133169</v>
      </c>
      <c r="AG3913">
        <v>1.668118</v>
      </c>
      <c r="AH3913">
        <v>90.711578509381596</v>
      </c>
      <c r="AI3913">
        <v>88.972927810720194</v>
      </c>
      <c r="AJ3913">
        <v>102.863898100089</v>
      </c>
      <c r="AK3913">
        <v>93.061851895289493</v>
      </c>
      <c r="AL3913">
        <v>76.675784935456093</v>
      </c>
      <c r="AM3913">
        <v>90.142303758798604</v>
      </c>
      <c r="AN3913">
        <v>0.99999994032691097</v>
      </c>
    </row>
    <row r="3914" spans="1:40" x14ac:dyDescent="0.25">
      <c r="A3914" t="str">
        <f>"20190303170847904"</f>
        <v>20190303170847904</v>
      </c>
      <c r="B3914" t="str">
        <f>"1551604127897169"</f>
        <v>1551604127897169</v>
      </c>
      <c r="C3914" t="s">
        <v>40</v>
      </c>
      <c r="D3914">
        <v>4.590509</v>
      </c>
      <c r="E3914">
        <v>0.4773249</v>
      </c>
      <c r="F3914" t="s">
        <v>96</v>
      </c>
      <c r="G3914">
        <v>-409.65100000000001</v>
      </c>
      <c r="H3914">
        <v>0.30627130000000002</v>
      </c>
      <c r="I3914">
        <v>0.58263779999999998</v>
      </c>
      <c r="J3914">
        <v>-423.5111</v>
      </c>
      <c r="K3914">
        <v>1.1230059999999999</v>
      </c>
      <c r="L3914">
        <v>91.00076</v>
      </c>
      <c r="M3914">
        <v>4.6008109999999998E-3</v>
      </c>
      <c r="N3914">
        <v>-1.1091149999999999E-2</v>
      </c>
      <c r="O3914">
        <v>-0.99992789999999998</v>
      </c>
      <c r="P3914">
        <v>1.8286229999999999E-3</v>
      </c>
      <c r="Q3914">
        <v>0.220725</v>
      </c>
      <c r="R3914">
        <v>-0.97533460000000005</v>
      </c>
      <c r="S3914">
        <v>0.47042850000000003</v>
      </c>
      <c r="T3914">
        <v>-2.7714490000000001E-2</v>
      </c>
      <c r="U3914">
        <v>-3.0799560000000001</v>
      </c>
      <c r="V3914">
        <v>1.52395E-3</v>
      </c>
      <c r="W3914">
        <v>0.2315392</v>
      </c>
      <c r="X3914">
        <v>0.97282440000000003</v>
      </c>
      <c r="Y3914">
        <v>-0.1464213</v>
      </c>
      <c r="Z3914">
        <v>-2.189622E-3</v>
      </c>
      <c r="AA3914">
        <v>0.98921990000000004</v>
      </c>
      <c r="AB3914">
        <v>34</v>
      </c>
      <c r="AC3914">
        <v>13.8600999999999</v>
      </c>
      <c r="AD3914">
        <v>-0.81673469999999904</v>
      </c>
      <c r="AE3914">
        <v>-90.418122199999999</v>
      </c>
      <c r="AF3914">
        <v>-13.4428593492737</v>
      </c>
      <c r="AG3914">
        <v>-0.81673469999999904</v>
      </c>
      <c r="AH3914">
        <v>90.473724224629706</v>
      </c>
      <c r="AI3914">
        <v>90.511596825057694</v>
      </c>
      <c r="AJ3914">
        <v>98.4513487965731</v>
      </c>
      <c r="AK3914">
        <v>91.470608930567906</v>
      </c>
      <c r="AL3914">
        <v>76.612292418248202</v>
      </c>
      <c r="AM3914">
        <v>89.910245022878698</v>
      </c>
      <c r="AN3914">
        <v>1.0000000183978</v>
      </c>
    </row>
    <row r="3915" spans="1:40" x14ac:dyDescent="0.25">
      <c r="A3915" t="str">
        <f>"20190303170847932"</f>
        <v>20190303170847932</v>
      </c>
      <c r="B3915" t="str">
        <f>"1551604127917666"</f>
        <v>1551604127917666</v>
      </c>
      <c r="C3915" t="s">
        <v>40</v>
      </c>
      <c r="D3915">
        <v>4.9408450000000004</v>
      </c>
      <c r="E3915">
        <v>0.48620550000000001</v>
      </c>
      <c r="F3915" t="s">
        <v>59</v>
      </c>
      <c r="G3915">
        <v>-417.42169999999999</v>
      </c>
      <c r="H3915" s="1">
        <v>-1.27695899999999E-5</v>
      </c>
      <c r="I3915">
        <v>16.561699999999998</v>
      </c>
      <c r="J3915">
        <v>-423.50670000000002</v>
      </c>
      <c r="K3915">
        <v>1.1230230000000001</v>
      </c>
      <c r="L3915">
        <v>90.608369999999994</v>
      </c>
      <c r="M3915">
        <v>7.1331459999999999E-3</v>
      </c>
      <c r="N3915">
        <v>-1.154874E-2</v>
      </c>
      <c r="O3915">
        <v>-0.99990809999999997</v>
      </c>
      <c r="P3915">
        <v>1.396081E-3</v>
      </c>
      <c r="Q3915">
        <v>0.22145290000000001</v>
      </c>
      <c r="R3915">
        <v>-0.97517039999999999</v>
      </c>
      <c r="S3915">
        <v>0.25244139999999998</v>
      </c>
      <c r="T3915">
        <v>-4.6555760000000002E-2</v>
      </c>
      <c r="U3915">
        <v>-3.0859380000000001</v>
      </c>
      <c r="V3915">
        <v>4.4390569999999997E-3</v>
      </c>
      <c r="W3915">
        <v>0.23272380000000001</v>
      </c>
      <c r="X3915">
        <v>0.97253270000000003</v>
      </c>
      <c r="Y3915">
        <v>-7.4407609999999999E-2</v>
      </c>
      <c r="Z3915">
        <v>3.493047E-3</v>
      </c>
      <c r="AA3915">
        <v>0.99722180000000005</v>
      </c>
      <c r="AB3915">
        <v>34</v>
      </c>
      <c r="AC3915">
        <v>6.0850000000000302</v>
      </c>
      <c r="AD3915">
        <v>-1.12303576959</v>
      </c>
      <c r="AE3915">
        <v>-74.046669999999907</v>
      </c>
      <c r="AF3915">
        <v>-5.5553550558659097</v>
      </c>
      <c r="AG3915">
        <v>-1.12303576959</v>
      </c>
      <c r="AH3915">
        <v>74.071269996148999</v>
      </c>
      <c r="AI3915">
        <v>90.866194271979495</v>
      </c>
      <c r="AJ3915">
        <v>94.289160871669793</v>
      </c>
      <c r="AK3915">
        <v>74.287793196318006</v>
      </c>
      <c r="AL3915">
        <v>76.542513022842101</v>
      </c>
      <c r="AM3915">
        <v>89.738479266725406</v>
      </c>
      <c r="AN3915">
        <v>0.999999962441388</v>
      </c>
    </row>
    <row r="3916" spans="1:40" x14ac:dyDescent="0.25">
      <c r="A3916" t="str">
        <f>"20190303170847954"</f>
        <v>20190303170847954</v>
      </c>
      <c r="B3916" t="str">
        <f>"1551604127946946"</f>
        <v>1551604127946946</v>
      </c>
      <c r="C3916" t="s">
        <v>40</v>
      </c>
      <c r="D3916">
        <v>4.6343259999999997</v>
      </c>
      <c r="E3916">
        <v>0.49254779999999998</v>
      </c>
      <c r="F3916" t="s">
        <v>59</v>
      </c>
      <c r="G3916">
        <v>-419.39819999999997</v>
      </c>
      <c r="H3916" s="1">
        <v>-6.3915029999999996E-6</v>
      </c>
      <c r="I3916">
        <v>19.875589999999999</v>
      </c>
      <c r="J3916">
        <v>-423.50170000000003</v>
      </c>
      <c r="K3916">
        <v>1.1230260000000001</v>
      </c>
      <c r="L3916">
        <v>90.256069999999994</v>
      </c>
      <c r="M3916">
        <v>9.3487710000000005E-3</v>
      </c>
      <c r="N3916">
        <v>-1.1926539999999999E-2</v>
      </c>
      <c r="O3916">
        <v>-0.99988520000000003</v>
      </c>
      <c r="P3916">
        <v>1.6343869999999999E-3</v>
      </c>
      <c r="Q3916">
        <v>0.2213572</v>
      </c>
      <c r="R3916">
        <v>-0.97519160000000005</v>
      </c>
      <c r="S3916">
        <v>0.17932129999999999</v>
      </c>
      <c r="T3916">
        <v>-4.9016949999999997E-2</v>
      </c>
      <c r="U3916">
        <v>-3.0872799999999998</v>
      </c>
      <c r="V3916">
        <v>6.3847369999999997E-3</v>
      </c>
      <c r="W3916">
        <v>0.23300480000000001</v>
      </c>
      <c r="X3916">
        <v>0.97245459999999995</v>
      </c>
      <c r="Y3916">
        <v>-4.8641440000000001E-2</v>
      </c>
      <c r="Z3916">
        <v>3.9283460000000001E-3</v>
      </c>
      <c r="AA3916">
        <v>0.99880860000000005</v>
      </c>
      <c r="AB3916">
        <v>33</v>
      </c>
      <c r="AC3916">
        <v>4.1035000000000501</v>
      </c>
      <c r="AD3916">
        <v>-1.123032391503</v>
      </c>
      <c r="AE3916">
        <v>-70.380479999999906</v>
      </c>
      <c r="AF3916">
        <v>-3.4444288514105499</v>
      </c>
      <c r="AG3916">
        <v>-1.123032391503</v>
      </c>
      <c r="AH3916">
        <v>70.397905817068406</v>
      </c>
      <c r="AI3916">
        <v>90.912849555001998</v>
      </c>
      <c r="AJ3916">
        <v>92.801134161503796</v>
      </c>
      <c r="AK3916">
        <v>70.491066350947094</v>
      </c>
      <c r="AL3916">
        <v>76.525957969744695</v>
      </c>
      <c r="AM3916">
        <v>89.623824878717599</v>
      </c>
      <c r="AN3916">
        <v>0.99999997537537899</v>
      </c>
    </row>
    <row r="3917" spans="1:40" x14ac:dyDescent="0.25">
      <c r="A3917" t="str">
        <f>"20190303170847993"</f>
        <v>20190303170847993</v>
      </c>
      <c r="B3917" t="str">
        <f>"1551604127986962"</f>
        <v>1551604127986962</v>
      </c>
      <c r="C3917" t="s">
        <v>40</v>
      </c>
      <c r="D3917">
        <v>4.6961320000000004</v>
      </c>
      <c r="E3917">
        <v>0.4968321</v>
      </c>
      <c r="F3917" t="s">
        <v>59</v>
      </c>
      <c r="G3917">
        <v>-420.58159999999998</v>
      </c>
      <c r="H3917" s="1">
        <v>-9.7846900000000007E-6</v>
      </c>
      <c r="I3917">
        <v>19.770420000000001</v>
      </c>
      <c r="J3917">
        <v>-423.49220000000003</v>
      </c>
      <c r="K3917">
        <v>1.122984</v>
      </c>
      <c r="L3917">
        <v>89.67398</v>
      </c>
      <c r="M3917">
        <v>1.288073E-2</v>
      </c>
      <c r="N3917">
        <v>-1.2472260000000001E-2</v>
      </c>
      <c r="O3917">
        <v>-0.99983949999999999</v>
      </c>
      <c r="P3917">
        <v>5.3159269999999998E-3</v>
      </c>
      <c r="Q3917">
        <v>0.22135540000000001</v>
      </c>
      <c r="R3917">
        <v>-0.97517900000000002</v>
      </c>
      <c r="S3917">
        <v>0.12789919999999999</v>
      </c>
      <c r="T3917">
        <v>-4.9188610000000001E-2</v>
      </c>
      <c r="U3917">
        <v>-3.08725</v>
      </c>
      <c r="V3917">
        <v>6.1941369999999997E-3</v>
      </c>
      <c r="W3917">
        <v>0.23353109999999999</v>
      </c>
      <c r="X3917">
        <v>0.97232960000000002</v>
      </c>
      <c r="Y3917">
        <v>-2.851327E-2</v>
      </c>
      <c r="Z3917">
        <v>3.4501750000000002E-3</v>
      </c>
      <c r="AA3917">
        <v>0.99958749999999996</v>
      </c>
      <c r="AB3917">
        <v>33</v>
      </c>
      <c r="AC3917">
        <v>2.91060000000004</v>
      </c>
      <c r="AD3917">
        <v>-1.12299378469</v>
      </c>
      <c r="AE3917">
        <v>-69.903559999999999</v>
      </c>
      <c r="AF3917">
        <v>-2.0093621185641801</v>
      </c>
      <c r="AG3917">
        <v>-1.12299378469</v>
      </c>
      <c r="AH3917">
        <v>69.9172403718445</v>
      </c>
      <c r="AI3917">
        <v>90.919812101113607</v>
      </c>
      <c r="AJ3917">
        <v>91.646178936336298</v>
      </c>
      <c r="AK3917">
        <v>69.955122417005697</v>
      </c>
      <c r="AL3917">
        <v>76.494947994900599</v>
      </c>
      <c r="AM3917">
        <v>89.635007401700307</v>
      </c>
      <c r="AN3917">
        <v>0.99999999651827198</v>
      </c>
    </row>
    <row r="3918" spans="1:40" x14ac:dyDescent="0.25">
      <c r="A3918" t="str">
        <f>"20190303170848016"</f>
        <v>20190303170848016</v>
      </c>
      <c r="B3918" t="str">
        <f>"1551604128007458"</f>
        <v>1551604128007458</v>
      </c>
      <c r="C3918" t="s">
        <v>40</v>
      </c>
      <c r="D3918">
        <v>4.6148290000000003</v>
      </c>
      <c r="E3918">
        <v>0.49812210000000001</v>
      </c>
      <c r="F3918" t="s">
        <v>59</v>
      </c>
      <c r="G3918">
        <v>-421.43259999999998</v>
      </c>
      <c r="H3918" s="1">
        <v>-6.4138579999999998E-6</v>
      </c>
      <c r="I3918">
        <v>28.133330000000001</v>
      </c>
      <c r="J3918">
        <v>-423.48579999999998</v>
      </c>
      <c r="K3918">
        <v>1.122933</v>
      </c>
      <c r="L3918">
        <v>89.33972</v>
      </c>
      <c r="M3918">
        <v>1.4800499999999999E-2</v>
      </c>
      <c r="N3918">
        <v>-1.2738889999999999E-2</v>
      </c>
      <c r="O3918">
        <v>-0.99980950000000002</v>
      </c>
      <c r="P3918">
        <v>8.9472370000000002E-3</v>
      </c>
      <c r="Q3918">
        <v>0.2215878</v>
      </c>
      <c r="R3918">
        <v>-0.97509959999999996</v>
      </c>
      <c r="S3918">
        <v>0.103363</v>
      </c>
      <c r="T3918">
        <v>-5.6360479999999998E-2</v>
      </c>
      <c r="U3918">
        <v>-3.0885929999999999</v>
      </c>
      <c r="V3918">
        <v>4.4688890000000002E-3</v>
      </c>
      <c r="W3918">
        <v>0.23401369999999999</v>
      </c>
      <c r="X3918">
        <v>0.97222299999999995</v>
      </c>
      <c r="Y3918">
        <v>-1.8646090000000001E-2</v>
      </c>
      <c r="Z3918">
        <v>5.5001310000000001E-3</v>
      </c>
      <c r="AA3918">
        <v>0.99981100000000001</v>
      </c>
      <c r="AB3918">
        <v>33</v>
      </c>
      <c r="AC3918">
        <v>2.0531999999999999</v>
      </c>
      <c r="AD3918">
        <v>-1.122939413858</v>
      </c>
      <c r="AE3918">
        <v>-61.206389999999999</v>
      </c>
      <c r="AF3918">
        <v>-1.14663102344343</v>
      </c>
      <c r="AG3918">
        <v>-1.122939413858</v>
      </c>
      <c r="AH3918">
        <v>61.2094954225065</v>
      </c>
      <c r="AI3918">
        <v>91.050836794102693</v>
      </c>
      <c r="AJ3918">
        <v>91.073190272621503</v>
      </c>
      <c r="AK3918">
        <v>61.230532298102403</v>
      </c>
      <c r="AL3918">
        <v>76.4665087115566</v>
      </c>
      <c r="AM3918">
        <v>89.736637915854701</v>
      </c>
      <c r="AN3918">
        <v>0.99999997224279102</v>
      </c>
    </row>
    <row r="3919" spans="1:40" x14ac:dyDescent="0.25">
      <c r="A3919" t="str">
        <f>"20190303170848037"</f>
        <v>20190303170848037</v>
      </c>
      <c r="B3919" t="str">
        <f>"1551604128026978"</f>
        <v>1551604128026978</v>
      </c>
      <c r="C3919" t="s">
        <v>40</v>
      </c>
      <c r="D3919">
        <v>4.7551119999999996</v>
      </c>
      <c r="E3919">
        <v>0.4990639</v>
      </c>
      <c r="F3919" t="s">
        <v>59</v>
      </c>
      <c r="G3919">
        <v>-421.42669999999998</v>
      </c>
      <c r="H3919" s="1">
        <v>-6.5886449999999997E-6</v>
      </c>
      <c r="I3919">
        <v>27.70335</v>
      </c>
      <c r="J3919">
        <v>-423.47910000000002</v>
      </c>
      <c r="K3919">
        <v>1.122878</v>
      </c>
      <c r="L3919">
        <v>89.014529999999993</v>
      </c>
      <c r="M3919">
        <v>1.658755E-2</v>
      </c>
      <c r="N3919">
        <v>-1.2968560000000001E-2</v>
      </c>
      <c r="O3919">
        <v>-0.99977839999999996</v>
      </c>
      <c r="P3919">
        <v>1.3357269999999999E-2</v>
      </c>
      <c r="Q3919">
        <v>0.2213939</v>
      </c>
      <c r="R3919">
        <v>-0.97509310000000005</v>
      </c>
      <c r="S3919">
        <v>0.1031799</v>
      </c>
      <c r="T3919">
        <v>-5.6267619999999997E-2</v>
      </c>
      <c r="U3919">
        <v>-3.0884399999999999</v>
      </c>
      <c r="V3919">
        <v>1.8429329999999999E-3</v>
      </c>
      <c r="W3919">
        <v>0.23403180000000001</v>
      </c>
      <c r="X3919">
        <v>0.97222719999999896</v>
      </c>
      <c r="Y3919">
        <v>-1.680166E-2</v>
      </c>
      <c r="Z3919">
        <v>5.241295E-3</v>
      </c>
      <c r="AA3919">
        <v>0.99984510000000004</v>
      </c>
      <c r="AB3919">
        <v>33</v>
      </c>
      <c r="AC3919">
        <v>2.0524000000000302</v>
      </c>
      <c r="AD3919">
        <v>-1.1228845886450001</v>
      </c>
      <c r="AE3919">
        <v>-61.31118</v>
      </c>
      <c r="AF3919">
        <v>-1.0346832061020601</v>
      </c>
      <c r="AG3919">
        <v>-1.1228845886450001</v>
      </c>
      <c r="AH3919">
        <v>61.316246595816501</v>
      </c>
      <c r="AI3919">
        <v>91.048991186510193</v>
      </c>
      <c r="AJ3919">
        <v>90.966747936357294</v>
      </c>
      <c r="AK3919">
        <v>61.335255243093201</v>
      </c>
      <c r="AL3919">
        <v>76.4654424771809</v>
      </c>
      <c r="AM3919">
        <v>89.891391480969006</v>
      </c>
      <c r="AN3919">
        <v>1.00000000411656</v>
      </c>
    </row>
    <row r="3920" spans="1:40" x14ac:dyDescent="0.25">
      <c r="A3920" t="str">
        <f>"20190303170848061"</f>
        <v>20190303170848061</v>
      </c>
      <c r="B3920" t="str">
        <f>"1551604128047474"</f>
        <v>1551604128047474</v>
      </c>
      <c r="C3920" t="s">
        <v>40</v>
      </c>
      <c r="D3920">
        <v>4.8147710000000004</v>
      </c>
      <c r="E3920">
        <v>0.49993850000000001</v>
      </c>
      <c r="F3920" t="s">
        <v>59</v>
      </c>
      <c r="G3920">
        <v>-421.37090000000001</v>
      </c>
      <c r="H3920" s="1">
        <v>-5.9942390000000002E-6</v>
      </c>
      <c r="I3920">
        <v>29.154779999999999</v>
      </c>
      <c r="J3920">
        <v>-423.4717</v>
      </c>
      <c r="K3920">
        <v>1.1228089999999999</v>
      </c>
      <c r="L3920">
        <v>88.681669999999997</v>
      </c>
      <c r="M3920">
        <v>1.8302280000000001E-2</v>
      </c>
      <c r="N3920">
        <v>-1.3175259999999999E-2</v>
      </c>
      <c r="O3920">
        <v>-0.99974580000000002</v>
      </c>
      <c r="P3920">
        <v>1.685971E-2</v>
      </c>
      <c r="Q3920">
        <v>0.2207877</v>
      </c>
      <c r="R3920">
        <v>-0.97517619999999905</v>
      </c>
      <c r="S3920">
        <v>0.1087646</v>
      </c>
      <c r="T3920">
        <v>-5.7931900000000001E-2</v>
      </c>
      <c r="U3920">
        <v>-3.0882869999999998</v>
      </c>
      <c r="V3920" s="1">
        <v>6.90138E-5</v>
      </c>
      <c r="W3920">
        <v>0.233621</v>
      </c>
      <c r="X3920">
        <v>0.97232770000000002</v>
      </c>
      <c r="Y3920">
        <v>-1.689409E-2</v>
      </c>
      <c r="Z3920">
        <v>5.5731080000000002E-3</v>
      </c>
      <c r="AA3920">
        <v>0.99984170000000006</v>
      </c>
      <c r="AB3920">
        <v>33</v>
      </c>
      <c r="AC3920">
        <v>2.1007999999999898</v>
      </c>
      <c r="AD3920">
        <v>-1.122814994239</v>
      </c>
      <c r="AE3920">
        <v>-59.526890000000002</v>
      </c>
      <c r="AF3920">
        <v>-1.01051671438813</v>
      </c>
      <c r="AG3920">
        <v>-1.122814994239</v>
      </c>
      <c r="AH3920">
        <v>59.534215086665498</v>
      </c>
      <c r="AI3920">
        <v>91.080314440364901</v>
      </c>
      <c r="AJ3920">
        <v>90.972428769465296</v>
      </c>
      <c r="AK3920">
        <v>59.553376256318899</v>
      </c>
      <c r="AL3920">
        <v>76.489650153708595</v>
      </c>
      <c r="AM3920">
        <v>89.995933264616895</v>
      </c>
      <c r="AN3920">
        <v>0.99999996629559595</v>
      </c>
    </row>
    <row r="3921" spans="1:40" x14ac:dyDescent="0.25">
      <c r="A3921" t="str">
        <f>"20190303170848082"</f>
        <v>20190303170848082</v>
      </c>
      <c r="B3921" t="str">
        <f>"1551604128066994"</f>
        <v>1551604128066994</v>
      </c>
      <c r="C3921" t="s">
        <v>40</v>
      </c>
      <c r="D3921">
        <v>4.63558</v>
      </c>
      <c r="E3921">
        <v>0.50061800000000001</v>
      </c>
      <c r="F3921" t="s">
        <v>59</v>
      </c>
      <c r="G3921">
        <v>-421.41149999999999</v>
      </c>
      <c r="H3921" s="1">
        <v>-4.784526E-6</v>
      </c>
      <c r="I3921">
        <v>31.626159999999999</v>
      </c>
      <c r="J3921">
        <v>-423.46409999999997</v>
      </c>
      <c r="K3921">
        <v>1.1227180000000001</v>
      </c>
      <c r="L3921">
        <v>88.357999999999905</v>
      </c>
      <c r="M3921">
        <v>1.9836949999999999E-2</v>
      </c>
      <c r="N3921">
        <v>-1.3350829999999999E-2</v>
      </c>
      <c r="O3921">
        <v>-0.99971399999999999</v>
      </c>
      <c r="P3921">
        <v>2.043648E-2</v>
      </c>
      <c r="Q3921">
        <v>0.22074170000000001</v>
      </c>
      <c r="R3921">
        <v>-0.97511800000000004</v>
      </c>
      <c r="S3921">
        <v>0.1115112</v>
      </c>
      <c r="T3921">
        <v>-6.0773609999999999E-2</v>
      </c>
      <c r="U3921">
        <v>-3.0881959999999999</v>
      </c>
      <c r="V3921">
        <v>-1.949388E-3</v>
      </c>
      <c r="W3921">
        <v>0.2337379</v>
      </c>
      <c r="X3921">
        <v>0.97229770000000004</v>
      </c>
      <c r="Y3921">
        <v>-1.6248140000000001E-2</v>
      </c>
      <c r="Z3921">
        <v>6.3167789999999998E-3</v>
      </c>
      <c r="AA3921">
        <v>0.99984799999999996</v>
      </c>
      <c r="AB3921">
        <v>33</v>
      </c>
      <c r="AC3921">
        <v>2.05259999999998</v>
      </c>
      <c r="AD3921">
        <v>-1.1227227845259999</v>
      </c>
      <c r="AE3921">
        <v>-56.731839999999899</v>
      </c>
      <c r="AF3921">
        <v>-0.926346631666918</v>
      </c>
      <c r="AG3921">
        <v>-1.1227227845259999</v>
      </c>
      <c r="AH3921">
        <v>56.7392032360654</v>
      </c>
      <c r="AI3921">
        <v>91.1334370526518</v>
      </c>
      <c r="AJ3921">
        <v>90.9353504153502</v>
      </c>
      <c r="AK3921">
        <v>56.757870012857502</v>
      </c>
      <c r="AL3921">
        <v>76.482762182658107</v>
      </c>
      <c r="AM3921">
        <v>90.114873824525702</v>
      </c>
      <c r="AN3921">
        <v>1.00000001171763</v>
      </c>
    </row>
    <row r="3922" spans="1:40" x14ac:dyDescent="0.25">
      <c r="A3922" t="str">
        <f>"20190303170848108"</f>
        <v>20190303170848108</v>
      </c>
      <c r="B3922" t="str">
        <f>"1551604128097249"</f>
        <v>1551604128097249</v>
      </c>
      <c r="C3922" t="s">
        <v>40</v>
      </c>
      <c r="D3922">
        <v>4.5948789999999997</v>
      </c>
      <c r="E3922">
        <v>0.50161120000000003</v>
      </c>
      <c r="F3922" t="s">
        <v>59</v>
      </c>
      <c r="G3922">
        <v>-421.36309999999997</v>
      </c>
      <c r="H3922" s="1">
        <v>-4.495962E-6</v>
      </c>
      <c r="I3922">
        <v>32.186970000000002</v>
      </c>
      <c r="J3922">
        <v>-423.45460000000003</v>
      </c>
      <c r="K3922">
        <v>1.12259</v>
      </c>
      <c r="L3922">
        <v>87.971710000000002</v>
      </c>
      <c r="M3922">
        <v>2.1491300000000001E-2</v>
      </c>
      <c r="N3922">
        <v>-1.3532209999999999E-2</v>
      </c>
      <c r="O3922">
        <v>-0.9996777</v>
      </c>
      <c r="P3922">
        <v>2.3141249999999999E-2</v>
      </c>
      <c r="Q3922">
        <v>0.2219371</v>
      </c>
      <c r="R3922">
        <v>-0.9747865</v>
      </c>
      <c r="S3922">
        <v>0.115509</v>
      </c>
      <c r="T3922">
        <v>-6.1723710000000001E-2</v>
      </c>
      <c r="U3922">
        <v>-3.088104</v>
      </c>
      <c r="V3922">
        <v>-2.9665070000000002E-3</v>
      </c>
      <c r="W3922">
        <v>0.23510300000000001</v>
      </c>
      <c r="X3922">
        <v>0.97196590000000005</v>
      </c>
      <c r="Y3922">
        <v>-1.5887120000000001E-2</v>
      </c>
      <c r="Z3922">
        <v>6.4425209999999997E-3</v>
      </c>
      <c r="AA3922">
        <v>0.99985299999999999</v>
      </c>
      <c r="AB3922">
        <v>33</v>
      </c>
      <c r="AC3922">
        <v>2.0915000000000501</v>
      </c>
      <c r="AD3922">
        <v>-1.122594495962</v>
      </c>
      <c r="AE3922">
        <v>-55.784739999999999</v>
      </c>
      <c r="AF3922">
        <v>-0.89166019875723002</v>
      </c>
      <c r="AG3922">
        <v>-1.122594495962</v>
      </c>
      <c r="AH3922">
        <v>55.794243631883703</v>
      </c>
      <c r="AI3922">
        <v>91.152503134217298</v>
      </c>
      <c r="AJ3922">
        <v>90.915578636360607</v>
      </c>
      <c r="AK3922">
        <v>55.812658947289101</v>
      </c>
      <c r="AL3922">
        <v>76.402305178577606</v>
      </c>
      <c r="AM3922">
        <v>90.174870129950193</v>
      </c>
      <c r="AN3922">
        <v>0.99999996576779404</v>
      </c>
    </row>
    <row r="3923" spans="1:40" x14ac:dyDescent="0.25">
      <c r="A3923" t="str">
        <f>"20190303170848148"</f>
        <v>20190303170848148</v>
      </c>
      <c r="B3923" t="str">
        <f>"1551604128137266"</f>
        <v>1551604128137266</v>
      </c>
      <c r="C3923" t="s">
        <v>40</v>
      </c>
      <c r="D3923">
        <v>4.7605779999999998</v>
      </c>
      <c r="E3923">
        <v>0.50272790000000001</v>
      </c>
      <c r="F3923" t="s">
        <v>59</v>
      </c>
      <c r="G3923">
        <v>-421.27030000000002</v>
      </c>
      <c r="H3923" s="1">
        <v>-6.0984330000000002E-6</v>
      </c>
      <c r="I3923">
        <v>28.884620000000002</v>
      </c>
      <c r="J3923">
        <v>-423.43920000000003</v>
      </c>
      <c r="K3923">
        <v>1.1223780000000001</v>
      </c>
      <c r="L3923">
        <v>87.376459999999994</v>
      </c>
      <c r="M3923">
        <v>2.359414E-2</v>
      </c>
      <c r="N3923">
        <v>-1.375608E-2</v>
      </c>
      <c r="O3923">
        <v>-0.99962709999999999</v>
      </c>
      <c r="P3923">
        <v>2.7728610000000001E-2</v>
      </c>
      <c r="Q3923">
        <v>0.2242855</v>
      </c>
      <c r="R3923">
        <v>-0.97412909999999997</v>
      </c>
      <c r="S3923">
        <v>0.1141663</v>
      </c>
      <c r="T3923">
        <v>-5.8673259999999998E-2</v>
      </c>
      <c r="U3923">
        <v>-3.0882260000000001</v>
      </c>
      <c r="V3923">
        <v>-5.3809740000000002E-3</v>
      </c>
      <c r="W3923">
        <v>0.2376559</v>
      </c>
      <c r="X3923">
        <v>0.97133449999999999</v>
      </c>
      <c r="Y3923">
        <v>-1.334894E-2</v>
      </c>
      <c r="Z3923">
        <v>5.2309319999999998E-3</v>
      </c>
      <c r="AA3923">
        <v>0.99989720000000004</v>
      </c>
      <c r="AB3923">
        <v>33</v>
      </c>
      <c r="AC3923">
        <v>2.1688999999999998</v>
      </c>
      <c r="AD3923">
        <v>-1.122384098433</v>
      </c>
      <c r="AE3923">
        <v>-58.491840000000003</v>
      </c>
      <c r="AF3923">
        <v>-0.78781134594800895</v>
      </c>
      <c r="AG3923">
        <v>-1.122384098433</v>
      </c>
      <c r="AH3923">
        <v>58.505219629547099</v>
      </c>
      <c r="AI3923">
        <v>91.098947365245905</v>
      </c>
      <c r="AJ3923">
        <v>90.771478810631606</v>
      </c>
      <c r="AK3923">
        <v>58.5212877223559</v>
      </c>
      <c r="AL3923">
        <v>76.251769074691893</v>
      </c>
      <c r="AM3923">
        <v>90.317402445850007</v>
      </c>
      <c r="AN3923">
        <v>0.99999999628812397</v>
      </c>
    </row>
    <row r="3924" spans="1:40" x14ac:dyDescent="0.25">
      <c r="A3924" t="str">
        <f>"20190303170848173"</f>
        <v>20190303170848173</v>
      </c>
      <c r="B3924" t="str">
        <f>"1551604128157762"</f>
        <v>1551604128157762</v>
      </c>
      <c r="C3924" t="s">
        <v>40</v>
      </c>
      <c r="D3924">
        <v>4.8167140000000002</v>
      </c>
      <c r="E3924">
        <v>0.50325569999999997</v>
      </c>
      <c r="F3924" t="s">
        <v>59</v>
      </c>
      <c r="G3924">
        <v>-420.8818</v>
      </c>
      <c r="H3924" s="1">
        <v>-9.764092E-6</v>
      </c>
      <c r="I3924">
        <v>19.877859999999998</v>
      </c>
      <c r="J3924">
        <v>-423.43</v>
      </c>
      <c r="K3924">
        <v>1.1222570000000001</v>
      </c>
      <c r="L3924">
        <v>87.034790000000001</v>
      </c>
      <c r="M3924">
        <v>2.4579790000000001E-2</v>
      </c>
      <c r="N3924">
        <v>-1.385948E-2</v>
      </c>
      <c r="O3924">
        <v>-0.99960199999999999</v>
      </c>
      <c r="P3924">
        <v>2.9350520000000001E-2</v>
      </c>
      <c r="Q3924">
        <v>0.22470129999999999</v>
      </c>
      <c r="R3924">
        <v>-0.97398589999999996</v>
      </c>
      <c r="S3924">
        <v>0.117004399999999</v>
      </c>
      <c r="T3924">
        <v>-5.1350949999999999E-2</v>
      </c>
      <c r="U3924">
        <v>-3.088165</v>
      </c>
      <c r="V3924">
        <v>-5.9707379999999997E-3</v>
      </c>
      <c r="W3924">
        <v>0.23817140000000001</v>
      </c>
      <c r="X3924">
        <v>0.97120479999999998</v>
      </c>
      <c r="Y3924">
        <v>-1.3281930000000001E-2</v>
      </c>
      <c r="Z3924">
        <v>2.759072E-3</v>
      </c>
      <c r="AA3924">
        <v>0.99990800000000002</v>
      </c>
      <c r="AB3924">
        <v>33</v>
      </c>
      <c r="AC3924">
        <v>2.5482</v>
      </c>
      <c r="AD3924">
        <v>-1.1222667640919901</v>
      </c>
      <c r="AE3924">
        <v>-67.156930000000003</v>
      </c>
      <c r="AF3924">
        <v>-0.89631856209137895</v>
      </c>
      <c r="AG3924">
        <v>-1.1222667640919901</v>
      </c>
      <c r="AH3924">
        <v>67.180542355549093</v>
      </c>
      <c r="AI3924">
        <v>90.956965301911495</v>
      </c>
      <c r="AJ3924">
        <v>90.764391325640801</v>
      </c>
      <c r="AK3924">
        <v>67.195893779607303</v>
      </c>
      <c r="AL3924">
        <v>76.221360197507906</v>
      </c>
      <c r="AM3924">
        <v>90.352236498635406</v>
      </c>
      <c r="AN3924">
        <v>1.0000000145166299</v>
      </c>
    </row>
    <row r="3925" spans="1:40" x14ac:dyDescent="0.25">
      <c r="A3925" t="str">
        <f>"20190303170848194"</f>
        <v>20190303170848194</v>
      </c>
      <c r="B3925" t="str">
        <f>"1551604128187042"</f>
        <v>1551604128187042</v>
      </c>
      <c r="C3925" t="s">
        <v>40</v>
      </c>
      <c r="D3925">
        <v>4.5211059999999996</v>
      </c>
      <c r="E3925">
        <v>0.50403880000000001</v>
      </c>
      <c r="F3925" t="s">
        <v>59</v>
      </c>
      <c r="G3925">
        <v>-420.8082</v>
      </c>
      <c r="H3925" s="1">
        <v>-1.077048E-5</v>
      </c>
      <c r="I3925">
        <v>18.070250000000001</v>
      </c>
      <c r="J3925">
        <v>-423.4205</v>
      </c>
      <c r="K3925">
        <v>1.12215</v>
      </c>
      <c r="L3925">
        <v>86.688779999999994</v>
      </c>
      <c r="M3925">
        <v>2.5432670000000001E-2</v>
      </c>
      <c r="N3925">
        <v>-1.3949130000000001E-2</v>
      </c>
      <c r="O3925">
        <v>-0.99957940000000001</v>
      </c>
      <c r="P3925">
        <v>3.0075080000000001E-2</v>
      </c>
      <c r="Q3925">
        <v>0.2249179</v>
      </c>
      <c r="R3925">
        <v>-0.97391380000000005</v>
      </c>
      <c r="S3925">
        <v>0.11740109999999999</v>
      </c>
      <c r="T3925">
        <v>-5.025458E-2</v>
      </c>
      <c r="U3925">
        <v>-3.0881959999999999</v>
      </c>
      <c r="V3925">
        <v>-5.7966279999999999E-3</v>
      </c>
      <c r="W3925">
        <v>0.23847570000000001</v>
      </c>
      <c r="X3925">
        <v>0.97113119999999997</v>
      </c>
      <c r="Y3925">
        <v>-1.255684E-2</v>
      </c>
      <c r="Z3925">
        <v>2.3144340000000002E-3</v>
      </c>
      <c r="AA3925">
        <v>0.99991850000000004</v>
      </c>
      <c r="AB3925">
        <v>33</v>
      </c>
      <c r="AC3925">
        <v>2.6122999999999998</v>
      </c>
      <c r="AD3925">
        <v>-1.1221607704799901</v>
      </c>
      <c r="AE3925">
        <v>-68.618530000000007</v>
      </c>
      <c r="AF3925">
        <v>-0.86590170174242498</v>
      </c>
      <c r="AG3925">
        <v>-1.1221607704799901</v>
      </c>
      <c r="AH3925">
        <v>68.644442628682697</v>
      </c>
      <c r="AI3925">
        <v>90.936481291172896</v>
      </c>
      <c r="AJ3925">
        <v>90.722707911620802</v>
      </c>
      <c r="AK3925">
        <v>68.659074668643697</v>
      </c>
      <c r="AL3925">
        <v>76.203408082635903</v>
      </c>
      <c r="AM3925">
        <v>90.341991252648697</v>
      </c>
      <c r="AN3925">
        <v>1.0000000340000399</v>
      </c>
    </row>
    <row r="3926" spans="1:40" x14ac:dyDescent="0.25">
      <c r="A3926" t="str">
        <f>"20190303170848216"</f>
        <v>20190303170848216</v>
      </c>
      <c r="B3926" t="str">
        <f>"1551604128207538"</f>
        <v>1551604128207538</v>
      </c>
      <c r="C3926" t="s">
        <v>40</v>
      </c>
      <c r="D3926">
        <v>4.6963480000000004</v>
      </c>
      <c r="E3926">
        <v>0.50450220000000001</v>
      </c>
      <c r="F3926" t="s">
        <v>59</v>
      </c>
      <c r="G3926">
        <v>-420.87610000000001</v>
      </c>
      <c r="H3926" s="1">
        <v>-1.06801E-5</v>
      </c>
      <c r="I3926">
        <v>17.41254</v>
      </c>
      <c r="J3926">
        <v>-423.41180000000003</v>
      </c>
      <c r="K3926">
        <v>1.122069</v>
      </c>
      <c r="L3926">
        <v>86.376949999999994</v>
      </c>
      <c r="M3926">
        <v>2.610546E-2</v>
      </c>
      <c r="N3926">
        <v>-1.401869E-2</v>
      </c>
      <c r="O3926">
        <v>-0.99956080000000003</v>
      </c>
      <c r="P3926">
        <v>3.0891200000000001E-2</v>
      </c>
      <c r="Q3926">
        <v>0.22516069999999999</v>
      </c>
      <c r="R3926">
        <v>-0.97383180000000003</v>
      </c>
      <c r="S3926">
        <v>0.1134338</v>
      </c>
      <c r="T3926">
        <v>-5.0027130000000003E-2</v>
      </c>
      <c r="U3926">
        <v>-3.088409</v>
      </c>
      <c r="V3926">
        <v>-5.9049829999999999E-3</v>
      </c>
      <c r="W3926">
        <v>0.23878679999999999</v>
      </c>
      <c r="X3926">
        <v>0.97105410000000003</v>
      </c>
      <c r="Y3926">
        <v>-1.059886E-2</v>
      </c>
      <c r="Z3926">
        <v>2.1703109999999999E-3</v>
      </c>
      <c r="AA3926">
        <v>0.99994150000000004</v>
      </c>
      <c r="AB3926">
        <v>33</v>
      </c>
      <c r="AC3926">
        <v>2.5357000000000198</v>
      </c>
      <c r="AD3926">
        <v>-1.1220796800999999</v>
      </c>
      <c r="AE3926">
        <v>-68.964409999999901</v>
      </c>
      <c r="AF3926">
        <v>-0.73411682356878805</v>
      </c>
      <c r="AG3926">
        <v>-1.1220796800999999</v>
      </c>
      <c r="AH3926">
        <v>68.9888655235779</v>
      </c>
      <c r="AI3926">
        <v>90.931760837527094</v>
      </c>
      <c r="AJ3926">
        <v>90.609666615861599</v>
      </c>
      <c r="AK3926">
        <v>69.0018953112845</v>
      </c>
      <c r="AL3926">
        <v>76.185053107986207</v>
      </c>
      <c r="AM3926">
        <v>90.3484115187387</v>
      </c>
      <c r="AN3926">
        <v>1.0000000349026299</v>
      </c>
    </row>
    <row r="3927" spans="1:40" x14ac:dyDescent="0.25">
      <c r="A3927" t="str">
        <f>"20190303170848237"</f>
        <v>20190303170848237</v>
      </c>
      <c r="B3927" t="str">
        <f>"1551604128227058"</f>
        <v>1551604128227058</v>
      </c>
      <c r="C3927" t="s">
        <v>40</v>
      </c>
      <c r="D3927">
        <v>4.512893</v>
      </c>
      <c r="E3927">
        <v>0.50496869999999905</v>
      </c>
      <c r="F3927" t="s">
        <v>59</v>
      </c>
      <c r="G3927">
        <v>-420.89499999999998</v>
      </c>
      <c r="H3927" s="1">
        <v>-1.06103399999999E-5</v>
      </c>
      <c r="I3927">
        <v>16.78323</v>
      </c>
      <c r="J3927">
        <v>-423.40289999999999</v>
      </c>
      <c r="K3927">
        <v>1.122001</v>
      </c>
      <c r="L3927">
        <v>86.062650000000005</v>
      </c>
      <c r="M3927">
        <v>2.670815E-2</v>
      </c>
      <c r="N3927">
        <v>-1.407915E-2</v>
      </c>
      <c r="O3927">
        <v>-0.99954430000000005</v>
      </c>
      <c r="P3927">
        <v>3.1560310000000001E-2</v>
      </c>
      <c r="Q3927">
        <v>0.22616610000000001</v>
      </c>
      <c r="R3927">
        <v>-0.97357769999999999</v>
      </c>
      <c r="S3927">
        <v>0.1116943</v>
      </c>
      <c r="T3927">
        <v>-4.9798250000000002E-2</v>
      </c>
      <c r="U3927">
        <v>-3.0885929999999999</v>
      </c>
      <c r="V3927">
        <v>-5.9478329999999996E-3</v>
      </c>
      <c r="W3927">
        <v>0.23984800000000001</v>
      </c>
      <c r="X3927">
        <v>0.97079219999999999</v>
      </c>
      <c r="Y3927">
        <v>-9.4315649999999994E-3</v>
      </c>
      <c r="Z3927">
        <v>2.0348179999999999E-3</v>
      </c>
      <c r="AA3927">
        <v>0.99995339999999999</v>
      </c>
      <c r="AB3927">
        <v>33</v>
      </c>
      <c r="AC3927">
        <v>2.5078999999999998</v>
      </c>
      <c r="AD3927">
        <v>-1.12201161034</v>
      </c>
      <c r="AE3927">
        <v>-69.279420000000002</v>
      </c>
      <c r="AF3927">
        <v>-0.65632503749485704</v>
      </c>
      <c r="AG3927">
        <v>-1.12201161034</v>
      </c>
      <c r="AH3927">
        <v>69.303535294031093</v>
      </c>
      <c r="AI3927">
        <v>90.927485616150605</v>
      </c>
      <c r="AJ3927">
        <v>90.542591807589403</v>
      </c>
      <c r="AK3927">
        <v>69.315724600263593</v>
      </c>
      <c r="AL3927">
        <v>76.122430166144994</v>
      </c>
      <c r="AM3927">
        <v>90.351034406917194</v>
      </c>
      <c r="AN3927">
        <v>0.99999996770111699</v>
      </c>
    </row>
    <row r="3928" spans="1:40" x14ac:dyDescent="0.25">
      <c r="A3928" t="str">
        <f>"20190303170848261"</f>
        <v>20190303170848261</v>
      </c>
      <c r="B3928" t="str">
        <f>"1551604128247555"</f>
        <v>1551604128247555</v>
      </c>
      <c r="C3928" t="s">
        <v>40</v>
      </c>
      <c r="D3928">
        <v>4.5426699999999904</v>
      </c>
      <c r="E3928">
        <v>0.50519209999999903</v>
      </c>
      <c r="F3928" t="s">
        <v>59</v>
      </c>
      <c r="G3928">
        <v>-420.75659999999999</v>
      </c>
      <c r="H3928" s="1">
        <v>-1.01945E-5</v>
      </c>
      <c r="I3928">
        <v>12.11656</v>
      </c>
      <c r="J3928">
        <v>-423.3931</v>
      </c>
      <c r="K3928">
        <v>1.121939</v>
      </c>
      <c r="L3928">
        <v>85.725279999999998</v>
      </c>
      <c r="M3928">
        <v>2.729353E-2</v>
      </c>
      <c r="N3928">
        <v>-1.413474E-2</v>
      </c>
      <c r="O3928">
        <v>-0.99952779999999997</v>
      </c>
      <c r="P3928">
        <v>3.2359640000000002E-2</v>
      </c>
      <c r="Q3928">
        <v>0.22688069999999999</v>
      </c>
      <c r="R3928">
        <v>-0.97338550000000001</v>
      </c>
      <c r="S3928">
        <v>0.1105347</v>
      </c>
      <c r="T3928">
        <v>-4.686618E-2</v>
      </c>
      <c r="U3928">
        <v>-3.0887150000000001</v>
      </c>
      <c r="V3928">
        <v>-6.1405919999999899E-3</v>
      </c>
      <c r="W3928">
        <v>0.24061450000000001</v>
      </c>
      <c r="X3928">
        <v>0.9706013</v>
      </c>
      <c r="Y3928">
        <v>-8.4698399999999993E-3</v>
      </c>
      <c r="Z3928">
        <v>1.030289E-3</v>
      </c>
      <c r="AA3928">
        <v>0.99996359999999995</v>
      </c>
      <c r="AB3928">
        <v>33</v>
      </c>
      <c r="AC3928">
        <v>2.6365000000000101</v>
      </c>
      <c r="AD3928">
        <v>-1.1219491945</v>
      </c>
      <c r="AE3928">
        <v>-73.608719999999906</v>
      </c>
      <c r="AF3928">
        <v>-0.62613035323635202</v>
      </c>
      <c r="AG3928">
        <v>-1.1219491945</v>
      </c>
      <c r="AH3928">
        <v>73.636173780275101</v>
      </c>
      <c r="AI3928">
        <v>90.872881540151695</v>
      </c>
      <c r="AJ3928">
        <v>90.487175803213603</v>
      </c>
      <c r="AK3928">
        <v>73.647382154514901</v>
      </c>
      <c r="AL3928">
        <v>76.077188012191499</v>
      </c>
      <c r="AM3928">
        <v>90.362481805192104</v>
      </c>
      <c r="AN3928">
        <v>0.99999996402102398</v>
      </c>
    </row>
    <row r="3929" spans="1:40" x14ac:dyDescent="0.25">
      <c r="A3929" t="str">
        <f>"20190303170848284"</f>
        <v>20190303170848284</v>
      </c>
      <c r="B3929" t="str">
        <f>"1551604128277810"</f>
        <v>1551604128277810</v>
      </c>
      <c r="C3929" t="s">
        <v>40</v>
      </c>
      <c r="D3929">
        <v>4.5596839999999998</v>
      </c>
      <c r="E3929">
        <v>0.53436280000000003</v>
      </c>
      <c r="F3929" t="s">
        <v>59</v>
      </c>
      <c r="G3929">
        <v>-420.63720000000001</v>
      </c>
      <c r="H3929">
        <v>1.6427540000000001E-2</v>
      </c>
      <c r="I3929">
        <v>9.6162849999999995</v>
      </c>
      <c r="J3929">
        <v>-423.38350000000003</v>
      </c>
      <c r="K3929">
        <v>1.1218859999999999</v>
      </c>
      <c r="L3929">
        <v>85.393519999999995</v>
      </c>
      <c r="M3929">
        <v>2.7828269999999999E-2</v>
      </c>
      <c r="N3929">
        <v>-1.4181320000000001E-2</v>
      </c>
      <c r="O3929">
        <v>-0.99951210000000001</v>
      </c>
      <c r="P3929">
        <v>3.347311E-2</v>
      </c>
      <c r="Q3929">
        <v>0.22647149999999999</v>
      </c>
      <c r="R3929">
        <v>-0.97344249999999999</v>
      </c>
      <c r="S3929">
        <v>0.1118469</v>
      </c>
      <c r="T3929">
        <v>-4.486561E-2</v>
      </c>
      <c r="U3929">
        <v>-3.0887760000000002</v>
      </c>
      <c r="V3929">
        <v>-6.6965949999999996E-3</v>
      </c>
      <c r="W3929">
        <v>0.2402521</v>
      </c>
      <c r="X3929">
        <v>0.97068739999999998</v>
      </c>
      <c r="Y3929">
        <v>-8.358486E-3</v>
      </c>
      <c r="Z3929">
        <v>3.3624929999999999E-4</v>
      </c>
      <c r="AA3929">
        <v>0.99996499999999999</v>
      </c>
      <c r="AB3929">
        <v>33</v>
      </c>
      <c r="AC3929">
        <v>2.7463000000000202</v>
      </c>
      <c r="AD3929">
        <v>-1.1054584599999999</v>
      </c>
      <c r="AE3929">
        <v>-75.777234999999905</v>
      </c>
      <c r="AF3929">
        <v>-0.63613951709699401</v>
      </c>
      <c r="AG3929">
        <v>-1.1054584599999999</v>
      </c>
      <c r="AH3929">
        <v>75.808202304274005</v>
      </c>
      <c r="AI3929">
        <v>90.835416009469895</v>
      </c>
      <c r="AJ3929">
        <v>90.480782460570694</v>
      </c>
      <c r="AK3929">
        <v>75.818930673663104</v>
      </c>
      <c r="AL3929">
        <v>76.098579625405094</v>
      </c>
      <c r="AM3929">
        <v>90.395266842613395</v>
      </c>
      <c r="AN3929">
        <v>0.99999997222888104</v>
      </c>
    </row>
    <row r="3930" spans="1:40" x14ac:dyDescent="0.25">
      <c r="A3930" t="str">
        <f>"20190303170848318"</f>
        <v>20190303170848318</v>
      </c>
      <c r="B3930" t="str">
        <f>"1551604128307089"</f>
        <v>1551604128307089</v>
      </c>
      <c r="C3930" t="s">
        <v>40</v>
      </c>
      <c r="D3930">
        <v>4.5443220000000002</v>
      </c>
      <c r="E3930">
        <v>0.54488110000000001</v>
      </c>
      <c r="F3930" t="s">
        <v>59</v>
      </c>
      <c r="G3930">
        <v>-425.89429999999999</v>
      </c>
      <c r="H3930" s="1">
        <v>-9.0203790000000001E-6</v>
      </c>
      <c r="I3930">
        <v>18.460560000000001</v>
      </c>
      <c r="J3930">
        <v>-423.36869999999999</v>
      </c>
      <c r="K3930">
        <v>1.121828</v>
      </c>
      <c r="L3930">
        <v>84.899319999999904</v>
      </c>
      <c r="M3930">
        <v>2.858285E-2</v>
      </c>
      <c r="N3930">
        <v>-1.423786E-2</v>
      </c>
      <c r="O3930">
        <v>-0.99949010000000005</v>
      </c>
      <c r="P3930">
        <v>3.5505219999999997E-2</v>
      </c>
      <c r="Q3930">
        <v>0.22485340000000001</v>
      </c>
      <c r="R3930">
        <v>-0.97374570000000005</v>
      </c>
      <c r="S3930">
        <v>-0.11621090000000001</v>
      </c>
      <c r="T3930">
        <v>-5.1925899999999997E-2</v>
      </c>
      <c r="U3930">
        <v>-3.097931</v>
      </c>
      <c r="V3930">
        <v>-7.9466759999999997E-3</v>
      </c>
      <c r="W3930">
        <v>0.2386943</v>
      </c>
      <c r="X3930">
        <v>0.97106219999999999</v>
      </c>
      <c r="Y3930">
        <v>6.6021730000000001E-2</v>
      </c>
      <c r="Z3930">
        <v>2.4794909999999999E-3</v>
      </c>
      <c r="AA3930">
        <v>0.99781509999999995</v>
      </c>
      <c r="AB3930">
        <v>33</v>
      </c>
      <c r="AC3930">
        <v>-2.5255999999999901</v>
      </c>
      <c r="AD3930">
        <v>-1.121837020379</v>
      </c>
      <c r="AE3930">
        <v>-66.438759999999903</v>
      </c>
      <c r="AF3930">
        <v>4.4225102772090201</v>
      </c>
      <c r="AG3930">
        <v>-1.121837020379</v>
      </c>
      <c r="AH3930">
        <v>66.320531711094503</v>
      </c>
      <c r="AI3930">
        <v>90.966940410500399</v>
      </c>
      <c r="AJ3930">
        <v>86.184943366250806</v>
      </c>
      <c r="AK3930">
        <v>66.477289670191894</v>
      </c>
      <c r="AL3930">
        <v>76.190509693289201</v>
      </c>
      <c r="AM3930">
        <v>90.468868865852599</v>
      </c>
      <c r="AN3930">
        <v>0.99999995739038805</v>
      </c>
    </row>
    <row r="3931" spans="1:40" x14ac:dyDescent="0.25">
      <c r="A3931" t="str">
        <f>"20190303170848341"</f>
        <v>20190303170848341</v>
      </c>
      <c r="B3931" t="str">
        <f>"1551604128327586"</f>
        <v>1551604128327586</v>
      </c>
      <c r="C3931" t="s">
        <v>40</v>
      </c>
      <c r="D3931">
        <v>4.5610119999999998</v>
      </c>
      <c r="E3931">
        <v>0.54745080000000002</v>
      </c>
      <c r="F3931" t="s">
        <v>59</v>
      </c>
      <c r="G3931">
        <v>-426.89190000000002</v>
      </c>
      <c r="H3931" s="1">
        <v>-6.8142099999999998E-6</v>
      </c>
      <c r="I3931">
        <v>27.928360000000001</v>
      </c>
      <c r="J3931">
        <v>-423.35840000000002</v>
      </c>
      <c r="K3931">
        <v>1.121804</v>
      </c>
      <c r="L3931">
        <v>84.558809999999994</v>
      </c>
      <c r="M3931">
        <v>2.908987E-2</v>
      </c>
      <c r="N3931">
        <v>-1.4269509999999999E-2</v>
      </c>
      <c r="O3931">
        <v>-0.999475</v>
      </c>
      <c r="P3931">
        <v>3.5755040000000002E-2</v>
      </c>
      <c r="Q3931">
        <v>0.224051</v>
      </c>
      <c r="R3931">
        <v>-0.97392160000000005</v>
      </c>
      <c r="S3931">
        <v>-0.19183349999999999</v>
      </c>
      <c r="T3931">
        <v>-6.1082360000000002E-2</v>
      </c>
      <c r="U3931">
        <v>-3.1019899999999998</v>
      </c>
      <c r="V3931">
        <v>-7.6809919999999898E-3</v>
      </c>
      <c r="W3931">
        <v>0.2379259</v>
      </c>
      <c r="X3931">
        <v>0.97125289999999997</v>
      </c>
      <c r="Y3931">
        <v>9.0712559999999998E-2</v>
      </c>
      <c r="Z3931">
        <v>5.3341419999999896E-3</v>
      </c>
      <c r="AA3931">
        <v>0.99586280000000005</v>
      </c>
      <c r="AB3931">
        <v>33</v>
      </c>
      <c r="AC3931">
        <v>-3.5335000000000001</v>
      </c>
      <c r="AD3931">
        <v>-1.1218108142100001</v>
      </c>
      <c r="AE3931">
        <v>-56.630450000000003</v>
      </c>
      <c r="AF3931">
        <v>5.1775205687845398</v>
      </c>
      <c r="AG3931">
        <v>-1.1218108142100001</v>
      </c>
      <c r="AH3931">
        <v>56.481601660945799</v>
      </c>
      <c r="AI3931">
        <v>91.133082637427805</v>
      </c>
      <c r="AJ3931">
        <v>84.762483275693697</v>
      </c>
      <c r="AK3931">
        <v>56.729502949777597</v>
      </c>
      <c r="AL3931">
        <v>76.2358419204526</v>
      </c>
      <c r="AM3931">
        <v>90.453104695786095</v>
      </c>
      <c r="AN3931">
        <v>0.99999996364366095</v>
      </c>
    </row>
    <row r="3932" spans="1:40" x14ac:dyDescent="0.25">
      <c r="A3932" t="str">
        <f>"20190303170848364"</f>
        <v>20190303170848364</v>
      </c>
      <c r="B3932" t="str">
        <f>"1551604128357842"</f>
        <v>1551604128357842</v>
      </c>
      <c r="C3932" t="s">
        <v>40</v>
      </c>
      <c r="D3932">
        <v>4.5507749999999998</v>
      </c>
      <c r="E3932">
        <v>0.54985169999999906</v>
      </c>
      <c r="F3932" t="s">
        <v>59</v>
      </c>
      <c r="G3932">
        <v>-427.1558</v>
      </c>
      <c r="H3932" s="1">
        <v>-6.5053319999999901E-6</v>
      </c>
      <c r="I3932">
        <v>28.724309999999999</v>
      </c>
      <c r="J3932">
        <v>-423.34809999999999</v>
      </c>
      <c r="K3932">
        <v>1.121785</v>
      </c>
      <c r="L3932">
        <v>84.222989999999996</v>
      </c>
      <c r="M3932">
        <v>2.9587349999999998E-2</v>
      </c>
      <c r="N3932">
        <v>-1.4295840000000001E-2</v>
      </c>
      <c r="O3932">
        <v>-0.99946020000000002</v>
      </c>
      <c r="P3932">
        <v>3.5084070000000002E-2</v>
      </c>
      <c r="Q3932">
        <v>0.22364980000000001</v>
      </c>
      <c r="R3932">
        <v>-0.97403830000000002</v>
      </c>
      <c r="S3932">
        <v>-0.21099850000000001</v>
      </c>
      <c r="T3932">
        <v>-6.2332869999999999E-2</v>
      </c>
      <c r="U3932">
        <v>-3.102417</v>
      </c>
      <c r="V3932">
        <v>-6.5112709999999999E-3</v>
      </c>
      <c r="W3932">
        <v>0.2375536</v>
      </c>
      <c r="X3932">
        <v>0.97135260000000001</v>
      </c>
      <c r="Y3932">
        <v>9.7321759999999993E-2</v>
      </c>
      <c r="Z3932">
        <v>5.6943119999999896E-3</v>
      </c>
      <c r="AA3932">
        <v>0.99523669999999997</v>
      </c>
      <c r="AB3932">
        <v>33</v>
      </c>
      <c r="AC3932">
        <v>-3.8077000000000099</v>
      </c>
      <c r="AD3932">
        <v>-1.121791505332</v>
      </c>
      <c r="AE3932">
        <v>-55.498679999999901</v>
      </c>
      <c r="AF3932">
        <v>5.4460443169684503</v>
      </c>
      <c r="AG3932">
        <v>-1.121791505332</v>
      </c>
      <c r="AH3932">
        <v>55.3392027800856</v>
      </c>
      <c r="AI3932">
        <v>91.155713104447102</v>
      </c>
      <c r="AJ3932">
        <v>84.379503042226602</v>
      </c>
      <c r="AK3932">
        <v>55.617849465969599</v>
      </c>
      <c r="AL3932">
        <v>76.257803173114993</v>
      </c>
      <c r="AM3932">
        <v>90.384065230138603</v>
      </c>
      <c r="AN3932">
        <v>0.99999999152487695</v>
      </c>
    </row>
    <row r="3933" spans="1:40" x14ac:dyDescent="0.25">
      <c r="A3933" t="str">
        <f>"20190303170848385"</f>
        <v>20190303170848385</v>
      </c>
      <c r="B3933" t="str">
        <f>"1551604128377362"</f>
        <v>1551604128377362</v>
      </c>
      <c r="C3933" t="s">
        <v>40</v>
      </c>
      <c r="D3933">
        <v>4.5653620000000004</v>
      </c>
      <c r="E3933">
        <v>0.5508826</v>
      </c>
      <c r="F3933" t="s">
        <v>59</v>
      </c>
      <c r="G3933">
        <v>-427.50889999999998</v>
      </c>
      <c r="H3933" s="1">
        <v>-6.5066450000000003E-6</v>
      </c>
      <c r="I3933">
        <v>28.771419999999999</v>
      </c>
      <c r="J3933">
        <v>-423.33870000000002</v>
      </c>
      <c r="K3933">
        <v>1.1217760000000001</v>
      </c>
      <c r="L3933">
        <v>83.924189999999996</v>
      </c>
      <c r="M3933">
        <v>3.003115E-2</v>
      </c>
      <c r="N3933">
        <v>-1.4315609999999999E-2</v>
      </c>
      <c r="O3933">
        <v>-0.99944650000000002</v>
      </c>
      <c r="P3933">
        <v>3.4379270000000003E-2</v>
      </c>
      <c r="Q3933">
        <v>0.22203809999999999</v>
      </c>
      <c r="R3933">
        <v>-0.97443199999999996</v>
      </c>
      <c r="S3933">
        <v>-0.23281859999999999</v>
      </c>
      <c r="T3933">
        <v>-6.2769060000000002E-2</v>
      </c>
      <c r="U3933">
        <v>-3.1027529999999999</v>
      </c>
      <c r="V3933">
        <v>-5.3540640000000004E-3</v>
      </c>
      <c r="W3933">
        <v>0.23596780000000001</v>
      </c>
      <c r="X3933">
        <v>0.97174609999999995</v>
      </c>
      <c r="Y3933">
        <v>0.104715</v>
      </c>
      <c r="Z3933">
        <v>5.7975400000000003E-3</v>
      </c>
      <c r="AA3933">
        <v>0.99448539999999996</v>
      </c>
      <c r="AB3933">
        <v>33</v>
      </c>
      <c r="AC3933">
        <v>-4.1701999999999604</v>
      </c>
      <c r="AD3933">
        <v>-1.121782506645</v>
      </c>
      <c r="AE3933">
        <v>-55.152769999999897</v>
      </c>
      <c r="AF3933">
        <v>5.8223944448981202</v>
      </c>
      <c r="AG3933">
        <v>-1.121782506645</v>
      </c>
      <c r="AH3933">
        <v>54.9800244608169</v>
      </c>
      <c r="AI3933">
        <v>91.162371789647196</v>
      </c>
      <c r="AJ3933">
        <v>83.9548977918042</v>
      </c>
      <c r="AK3933">
        <v>55.298840519275103</v>
      </c>
      <c r="AL3933">
        <v>76.351321534166104</v>
      </c>
      <c r="AM3933">
        <v>90.315681396943802</v>
      </c>
      <c r="AN3933">
        <v>0.99999997575168198</v>
      </c>
    </row>
    <row r="3934" spans="1:40" x14ac:dyDescent="0.25">
      <c r="A3934" t="str">
        <f>"20190303170848429"</f>
        <v>20190303170848429</v>
      </c>
      <c r="B3934" t="str">
        <f>"1551604128417378"</f>
        <v>1551604128417378</v>
      </c>
      <c r="C3934" t="s">
        <v>40</v>
      </c>
      <c r="D3934">
        <v>4.5855699999999997</v>
      </c>
      <c r="E3934">
        <v>0.55235029999999996</v>
      </c>
      <c r="F3934" t="s">
        <v>59</v>
      </c>
      <c r="G3934">
        <v>-427.4359</v>
      </c>
      <c r="H3934" s="1">
        <v>-5.2275999999999997E-6</v>
      </c>
      <c r="I3934">
        <v>31.707419999999999</v>
      </c>
      <c r="J3934">
        <v>-423.3184</v>
      </c>
      <c r="K3934">
        <v>1.1217569999999999</v>
      </c>
      <c r="L3934">
        <v>83.286379999999994</v>
      </c>
      <c r="M3934">
        <v>3.0983500000000001E-2</v>
      </c>
      <c r="N3934">
        <v>-1.434857E-2</v>
      </c>
      <c r="O3934">
        <v>-0.99941690000000005</v>
      </c>
      <c r="P3934">
        <v>3.3796720000000002E-2</v>
      </c>
      <c r="Q3934">
        <v>0.22094630000000001</v>
      </c>
      <c r="R3934">
        <v>-0.97470049999999997</v>
      </c>
      <c r="S3934">
        <v>-0.24343870000000001</v>
      </c>
      <c r="T3934">
        <v>-6.6651699999999994E-2</v>
      </c>
      <c r="U3934">
        <v>-3.102509</v>
      </c>
      <c r="V3934">
        <v>-3.8236419999999999E-3</v>
      </c>
      <c r="W3934">
        <v>0.23491339999999999</v>
      </c>
      <c r="X3934">
        <v>0.97200880000000001</v>
      </c>
      <c r="Y3934">
        <v>0.10904899999999999</v>
      </c>
      <c r="Z3934">
        <v>7.000966E-3</v>
      </c>
      <c r="AA3934">
        <v>0.99401170000000005</v>
      </c>
      <c r="AB3934">
        <v>33</v>
      </c>
      <c r="AC3934">
        <v>-4.1174999999999997</v>
      </c>
      <c r="AD3934">
        <v>-1.1217622276000001</v>
      </c>
      <c r="AE3934">
        <v>-51.578960000000002</v>
      </c>
      <c r="AF3934">
        <v>5.7110997924329103</v>
      </c>
      <c r="AG3934">
        <v>-1.1217622276000001</v>
      </c>
      <c r="AH3934">
        <v>51.402444808238002</v>
      </c>
      <c r="AI3934">
        <v>91.242531550706502</v>
      </c>
      <c r="AJ3934">
        <v>83.660119813971704</v>
      </c>
      <c r="AK3934">
        <v>51.730903177871802</v>
      </c>
      <c r="AL3934">
        <v>76.4134821714092</v>
      </c>
      <c r="AM3934">
        <v>90.225386250559097</v>
      </c>
      <c r="AN3934">
        <v>1.00000001650757</v>
      </c>
    </row>
    <row r="3935" spans="1:40" x14ac:dyDescent="0.25">
      <c r="A3935" t="str">
        <f>"20190303170848456"</f>
        <v>20190303170848456</v>
      </c>
      <c r="B3935" t="str">
        <f>"1551604128447634"</f>
        <v>1551604128447634</v>
      </c>
      <c r="C3935" t="s">
        <v>40</v>
      </c>
      <c r="D3935">
        <v>4.605353</v>
      </c>
      <c r="E3935">
        <v>0.55321089999999995</v>
      </c>
      <c r="F3935" t="s">
        <v>59</v>
      </c>
      <c r="G3935">
        <v>-427.40550000000002</v>
      </c>
      <c r="H3935" s="1">
        <v>-4.492579E-6</v>
      </c>
      <c r="I3935">
        <v>33.812550000000002</v>
      </c>
      <c r="J3935">
        <v>-423.30549999999999</v>
      </c>
      <c r="K3935">
        <v>1.121753</v>
      </c>
      <c r="L3935">
        <v>82.890439999999998</v>
      </c>
      <c r="M3935">
        <v>3.156718E-2</v>
      </c>
      <c r="N3935">
        <v>-1.436364E-2</v>
      </c>
      <c r="O3935">
        <v>-0.99939849999999997</v>
      </c>
      <c r="P3935">
        <v>3.4065699999999997E-2</v>
      </c>
      <c r="Q3935">
        <v>0.22047659999999999</v>
      </c>
      <c r="R3935">
        <v>-0.97479749999999998</v>
      </c>
      <c r="S3935">
        <v>-0.25631710000000002</v>
      </c>
      <c r="T3935">
        <v>-7.0350650000000001E-2</v>
      </c>
      <c r="U3935">
        <v>-3.102722</v>
      </c>
      <c r="V3935">
        <v>-3.5125719999999998E-3</v>
      </c>
      <c r="W3935">
        <v>0.23446059999999999</v>
      </c>
      <c r="X3935">
        <v>0.97211930000000002</v>
      </c>
      <c r="Y3935">
        <v>0.1137193</v>
      </c>
      <c r="Z3935">
        <v>8.158172E-3</v>
      </c>
      <c r="AA3935">
        <v>0.99347940000000001</v>
      </c>
      <c r="AB3935">
        <v>33</v>
      </c>
      <c r="AC3935">
        <v>-4.1000000000000201</v>
      </c>
      <c r="AD3935">
        <v>-1.1217574925789999</v>
      </c>
      <c r="AE3935">
        <v>-49.077889999999996</v>
      </c>
      <c r="AF3935">
        <v>5.64443820016694</v>
      </c>
      <c r="AG3935">
        <v>-1.1217574925789999</v>
      </c>
      <c r="AH3935">
        <v>48.898618402411699</v>
      </c>
      <c r="AI3935">
        <v>91.305496171937193</v>
      </c>
      <c r="AJ3935">
        <v>83.415407450033996</v>
      </c>
      <c r="AK3935">
        <v>49.2360935100698</v>
      </c>
      <c r="AL3935">
        <v>76.440171175063796</v>
      </c>
      <c r="AM3935">
        <v>90.207026724987401</v>
      </c>
      <c r="AN3935">
        <v>1.00000002227345</v>
      </c>
    </row>
    <row r="3936" spans="1:40" x14ac:dyDescent="0.25">
      <c r="A3936" t="str">
        <f>"20190303170848474"</f>
        <v>20190303170848474</v>
      </c>
      <c r="B3936" t="str">
        <f>"1551604128467154"</f>
        <v>1551604128467154</v>
      </c>
      <c r="C3936" t="s">
        <v>40</v>
      </c>
      <c r="D3936">
        <v>4.6355019999999998</v>
      </c>
      <c r="E3936">
        <v>0.55365039999999999</v>
      </c>
      <c r="F3936" t="s">
        <v>59</v>
      </c>
      <c r="G3936">
        <v>-427.36700000000002</v>
      </c>
      <c r="H3936" s="1">
        <v>-4.1610539999999999E-6</v>
      </c>
      <c r="I3936">
        <v>34.690510000000003</v>
      </c>
      <c r="J3936">
        <v>-423.29640000000001</v>
      </c>
      <c r="K3936">
        <v>1.1217360000000001</v>
      </c>
      <c r="L3936">
        <v>82.616789999999995</v>
      </c>
      <c r="M3936">
        <v>3.1952370000000001E-2</v>
      </c>
      <c r="N3936">
        <v>-1.437223E-2</v>
      </c>
      <c r="O3936">
        <v>-0.99938610000000005</v>
      </c>
      <c r="P3936">
        <v>3.458108E-2</v>
      </c>
      <c r="Q3936">
        <v>0.21917500000000001</v>
      </c>
      <c r="R3936">
        <v>-0.97507250000000001</v>
      </c>
      <c r="S3936">
        <v>-0.2614746</v>
      </c>
      <c r="T3936">
        <v>-7.2216749999999996E-2</v>
      </c>
      <c r="U3936">
        <v>-3.103027</v>
      </c>
      <c r="V3936">
        <v>-3.633322E-3</v>
      </c>
      <c r="W3936">
        <v>0.2331713</v>
      </c>
      <c r="X3936">
        <v>0.97242890000000004</v>
      </c>
      <c r="Y3936">
        <v>0.1157323</v>
      </c>
      <c r="Z3936">
        <v>8.7396639999999994E-3</v>
      </c>
      <c r="AA3936">
        <v>0.99324199999999996</v>
      </c>
      <c r="AB3936">
        <v>32</v>
      </c>
      <c r="AC3936">
        <v>-4.07059999999995</v>
      </c>
      <c r="AD3936">
        <v>-1.1217401610539901</v>
      </c>
      <c r="AE3936">
        <v>-47.926279999999998</v>
      </c>
      <c r="AF3936">
        <v>5.5969932584279096</v>
      </c>
      <c r="AG3936">
        <v>-1.1217401610539901</v>
      </c>
      <c r="AH3936">
        <v>47.745755990979198</v>
      </c>
      <c r="AI3936">
        <v>91.336711457050797</v>
      </c>
      <c r="AJ3936">
        <v>83.314019952713906</v>
      </c>
      <c r="AK3936">
        <v>48.085775959985703</v>
      </c>
      <c r="AL3936">
        <v>76.516148500718799</v>
      </c>
      <c r="AM3936">
        <v>90.214075340111904</v>
      </c>
      <c r="AN3936">
        <v>1.0000000108638201</v>
      </c>
    </row>
    <row r="3937" spans="1:40" x14ac:dyDescent="0.25">
      <c r="A3937" t="str">
        <f>"20190303170848498"</f>
        <v>20190303170848498</v>
      </c>
      <c r="B3937" t="str">
        <f>"1551604128487651"</f>
        <v>1551604128487651</v>
      </c>
      <c r="C3937" t="s">
        <v>40</v>
      </c>
      <c r="D3937">
        <v>4.6606969999999999</v>
      </c>
      <c r="E3937">
        <v>0.55404390000000003</v>
      </c>
      <c r="F3937" t="s">
        <v>59</v>
      </c>
      <c r="G3937">
        <v>-427.2432</v>
      </c>
      <c r="H3937" s="1">
        <v>-3.1819969999999999E-6</v>
      </c>
      <c r="I3937">
        <v>36.356479999999998</v>
      </c>
      <c r="J3937">
        <v>-423.2851</v>
      </c>
      <c r="K3937">
        <v>1.121713</v>
      </c>
      <c r="L3937">
        <v>82.278289999999998</v>
      </c>
      <c r="M3937">
        <v>3.2397120000000001E-2</v>
      </c>
      <c r="N3937">
        <v>-1.438091E-2</v>
      </c>
      <c r="O3937">
        <v>-0.99937180000000003</v>
      </c>
      <c r="P3937">
        <v>3.6592510000000002E-2</v>
      </c>
      <c r="Q3937">
        <v>0.21890390000000001</v>
      </c>
      <c r="R3937">
        <v>-0.97506029999999999</v>
      </c>
      <c r="S3937">
        <v>-0.26473999999999998</v>
      </c>
      <c r="T3937">
        <v>-7.5242760000000006E-2</v>
      </c>
      <c r="U3937">
        <v>-3.1029969999999998</v>
      </c>
      <c r="V3937">
        <v>-5.1953640000000001E-3</v>
      </c>
      <c r="W3937">
        <v>0.23290839999999999</v>
      </c>
      <c r="X3937">
        <v>0.97248480000000004</v>
      </c>
      <c r="Y3937">
        <v>0.1172108</v>
      </c>
      <c r="Z3937">
        <v>9.6958589999999994E-3</v>
      </c>
      <c r="AA3937">
        <v>0.99305980000000005</v>
      </c>
      <c r="AB3937">
        <v>32</v>
      </c>
      <c r="AC3937">
        <v>-3.9581</v>
      </c>
      <c r="AD3937">
        <v>-1.1217161819970001</v>
      </c>
      <c r="AE3937">
        <v>-45.921810000000001</v>
      </c>
      <c r="AF3937">
        <v>5.4406875286549603</v>
      </c>
      <c r="AG3937">
        <v>-1.1217161819970001</v>
      </c>
      <c r="AH3937">
        <v>45.742363821578301</v>
      </c>
      <c r="AI3937">
        <v>91.394924488190398</v>
      </c>
      <c r="AJ3937">
        <v>83.216993335126801</v>
      </c>
      <c r="AK3937">
        <v>46.078445893530798</v>
      </c>
      <c r="AL3937">
        <v>76.531637888008703</v>
      </c>
      <c r="AM3937">
        <v>90.306091774745596</v>
      </c>
      <c r="AN3937">
        <v>1.0000000004143399</v>
      </c>
    </row>
    <row r="3938" spans="1:40" x14ac:dyDescent="0.25">
      <c r="A3938" t="str">
        <f>"20190303170848522"</f>
        <v>20190303170848522</v>
      </c>
      <c r="B3938" t="str">
        <f>"1551604128507170"</f>
        <v>1551604128507170</v>
      </c>
      <c r="C3938" t="s">
        <v>40</v>
      </c>
      <c r="D3938">
        <v>4.6662839999999903</v>
      </c>
      <c r="E3938">
        <v>0.55442650000000004</v>
      </c>
      <c r="F3938" t="s">
        <v>59</v>
      </c>
      <c r="G3938">
        <v>-427.21460000000002</v>
      </c>
      <c r="H3938" s="1">
        <v>-3.3447630000000002E-6</v>
      </c>
      <c r="I3938">
        <v>35.941339999999997</v>
      </c>
      <c r="J3938">
        <v>-423.27339999999998</v>
      </c>
      <c r="K3938">
        <v>1.1216729999999999</v>
      </c>
      <c r="L3938">
        <v>81.933750000000003</v>
      </c>
      <c r="M3938">
        <v>3.2794429999999999E-2</v>
      </c>
      <c r="N3938">
        <v>-1.4387820000000001E-2</v>
      </c>
      <c r="O3938">
        <v>-0.99935859999999999</v>
      </c>
      <c r="P3938">
        <v>3.7832499999999998E-2</v>
      </c>
      <c r="Q3938">
        <v>0.22001390000000001</v>
      </c>
      <c r="R3938">
        <v>-0.97476300000000005</v>
      </c>
      <c r="S3938">
        <v>-0.26318360000000002</v>
      </c>
      <c r="T3938">
        <v>-7.5128559999999997E-2</v>
      </c>
      <c r="U3938">
        <v>-3.103485</v>
      </c>
      <c r="V3938">
        <v>-6.0344229999999997E-3</v>
      </c>
      <c r="W3938">
        <v>0.23402110000000001</v>
      </c>
      <c r="X3938">
        <v>0.97221279999999999</v>
      </c>
      <c r="Y3938">
        <v>0.11709799999999999</v>
      </c>
      <c r="Z3938">
        <v>9.6486860000000001E-3</v>
      </c>
      <c r="AA3938">
        <v>0.99307350000000005</v>
      </c>
      <c r="AB3938">
        <v>32</v>
      </c>
      <c r="AC3938">
        <v>-3.94120000000003</v>
      </c>
      <c r="AD3938">
        <v>-1.1216763447629901</v>
      </c>
      <c r="AE3938">
        <v>-45.99241</v>
      </c>
      <c r="AF3938">
        <v>5.4443159861251802</v>
      </c>
      <c r="AG3938">
        <v>-1.1216763447629901</v>
      </c>
      <c r="AH3938">
        <v>45.811354157484203</v>
      </c>
      <c r="AI3938">
        <v>91.392791470107397</v>
      </c>
      <c r="AJ3938">
        <v>83.222638433477698</v>
      </c>
      <c r="AK3938">
        <v>46.147360749252201</v>
      </c>
      <c r="AL3938">
        <v>76.466073120243706</v>
      </c>
      <c r="AM3938">
        <v>90.355624334269905</v>
      </c>
      <c r="AN3938">
        <v>1.0000000089949901</v>
      </c>
    </row>
    <row r="3939" spans="1:40" x14ac:dyDescent="0.25">
      <c r="A3939" t="str">
        <f>"20190303170848564"</f>
        <v>20190303170848564</v>
      </c>
      <c r="B3939" t="str">
        <f>"1551604128557922"</f>
        <v>1551604128557922</v>
      </c>
      <c r="C3939" t="s">
        <v>40</v>
      </c>
      <c r="D3939">
        <v>4.7103820000000001</v>
      </c>
      <c r="E3939">
        <v>0.55528029999999995</v>
      </c>
      <c r="F3939" t="s">
        <v>59</v>
      </c>
      <c r="G3939">
        <v>-427.39830000000001</v>
      </c>
      <c r="H3939" s="1">
        <v>-4.7196690000000001E-6</v>
      </c>
      <c r="I3939">
        <v>33.15549</v>
      </c>
      <c r="J3939">
        <v>-423.25299999999999</v>
      </c>
      <c r="K3939">
        <v>1.121569</v>
      </c>
      <c r="L3939">
        <v>81.332239999999999</v>
      </c>
      <c r="M3939">
        <v>3.3273339999999998E-2</v>
      </c>
      <c r="N3939">
        <v>-1.439621E-2</v>
      </c>
      <c r="O3939">
        <v>-0.99934270000000003</v>
      </c>
      <c r="P3939">
        <v>4.1162520000000001E-2</v>
      </c>
      <c r="Q3939">
        <v>0.2208794</v>
      </c>
      <c r="R3939">
        <v>-0.97443239999999998</v>
      </c>
      <c r="S3939">
        <v>-0.26248169999999998</v>
      </c>
      <c r="T3939">
        <v>-7.1377280000000001E-2</v>
      </c>
      <c r="U3939">
        <v>-3.1039729999999999</v>
      </c>
      <c r="V3939">
        <v>-8.8427479999999992E-3</v>
      </c>
      <c r="W3939">
        <v>0.23489170000000001</v>
      </c>
      <c r="X3939">
        <v>0.97198130000000005</v>
      </c>
      <c r="Y3939">
        <v>0.11733970000000001</v>
      </c>
      <c r="Z3939">
        <v>8.4350959999999996E-3</v>
      </c>
      <c r="AA3939">
        <v>0.99305600000000005</v>
      </c>
      <c r="AB3939">
        <v>32</v>
      </c>
      <c r="AC3939">
        <v>-4.1452999999999598</v>
      </c>
      <c r="AD3939">
        <v>-1.1215737196690001</v>
      </c>
      <c r="AE3939">
        <v>-48.176749999999998</v>
      </c>
      <c r="AF3939">
        <v>5.7430818465181099</v>
      </c>
      <c r="AG3939">
        <v>-1.1215737196690001</v>
      </c>
      <c r="AH3939">
        <v>47.986309893087402</v>
      </c>
      <c r="AI3939">
        <v>91.329434262276393</v>
      </c>
      <c r="AJ3939">
        <v>83.175207150198702</v>
      </c>
      <c r="AK3939">
        <v>48.3417713148771</v>
      </c>
      <c r="AL3939">
        <v>76.414760723057697</v>
      </c>
      <c r="AM3939">
        <v>90.521242705305994</v>
      </c>
      <c r="AN3939">
        <v>0.99999997623538495</v>
      </c>
    </row>
    <row r="3940" spans="1:40" x14ac:dyDescent="0.25">
      <c r="A3940" t="str">
        <f>"20190303170848586"</f>
        <v>20190303170848586</v>
      </c>
      <c r="B3940" t="str">
        <f>"1551604128577443"</f>
        <v>1551604128577443</v>
      </c>
      <c r="C3940" t="s">
        <v>40</v>
      </c>
      <c r="D3940">
        <v>4.7092749999999999</v>
      </c>
      <c r="E3940">
        <v>0.55558280000000004</v>
      </c>
      <c r="F3940" t="s">
        <v>59</v>
      </c>
      <c r="G3940">
        <v>-427.55549999999999</v>
      </c>
      <c r="H3940" s="1">
        <v>-6.0650320000000004E-6</v>
      </c>
      <c r="I3940">
        <v>29.812940000000001</v>
      </c>
      <c r="J3940">
        <v>-423.2423</v>
      </c>
      <c r="K3940">
        <v>1.121515</v>
      </c>
      <c r="L3940">
        <v>81.018829999999994</v>
      </c>
      <c r="M3940">
        <v>3.3409510000000003E-2</v>
      </c>
      <c r="N3940">
        <v>-1.439909E-2</v>
      </c>
      <c r="O3940">
        <v>-0.99933819999999995</v>
      </c>
      <c r="P3940">
        <v>4.3223789999999998E-2</v>
      </c>
      <c r="Q3940">
        <v>0.2205956</v>
      </c>
      <c r="R3940">
        <v>-0.97440720000000003</v>
      </c>
      <c r="S3940">
        <v>-0.25930789999999998</v>
      </c>
      <c r="T3940">
        <v>-6.7596080000000003E-2</v>
      </c>
      <c r="U3940">
        <v>-3.1050110000000002</v>
      </c>
      <c r="V3940">
        <v>-1.073261E-2</v>
      </c>
      <c r="W3940">
        <v>0.23461219999999999</v>
      </c>
      <c r="X3940">
        <v>0.97202980000000005</v>
      </c>
      <c r="Y3940">
        <v>0.11644119999999999</v>
      </c>
      <c r="Z3940">
        <v>7.2169369999999997E-3</v>
      </c>
      <c r="AA3940">
        <v>0.99317140000000004</v>
      </c>
      <c r="AB3940">
        <v>32</v>
      </c>
      <c r="AC3940">
        <v>-4.3131999999999904</v>
      </c>
      <c r="AD3940">
        <v>-1.121521065032</v>
      </c>
      <c r="AE3940">
        <v>-51.205889999999997</v>
      </c>
      <c r="AF3940">
        <v>6.0188654556326702</v>
      </c>
      <c r="AG3940">
        <v>-1.121521065032</v>
      </c>
      <c r="AH3940">
        <v>51.0088845281171</v>
      </c>
      <c r="AI3940">
        <v>91.250871547513995</v>
      </c>
      <c r="AJ3940">
        <v>83.270420680979598</v>
      </c>
      <c r="AK3940">
        <v>51.3750022060837</v>
      </c>
      <c r="AL3940">
        <v>76.431235635958899</v>
      </c>
      <c r="AM3940">
        <v>90.632602280760906</v>
      </c>
      <c r="AN3940">
        <v>1.0000000026971401</v>
      </c>
    </row>
    <row r="3941" spans="1:40" x14ac:dyDescent="0.25">
      <c r="A3941" t="str">
        <f>"20190303170848606"</f>
        <v>20190303170848606</v>
      </c>
      <c r="B3941" t="str">
        <f>"1551604128597939"</f>
        <v>1551604128597939</v>
      </c>
      <c r="C3941" t="s">
        <v>40</v>
      </c>
      <c r="D3941">
        <v>4.7305449999999896</v>
      </c>
      <c r="E3941">
        <v>0.55588190000000004</v>
      </c>
      <c r="F3941" t="s">
        <v>59</v>
      </c>
      <c r="G3941">
        <v>-427.49509999999998</v>
      </c>
      <c r="H3941" s="1">
        <v>-6.1537339999999997E-6</v>
      </c>
      <c r="I3941">
        <v>29.631979999999999</v>
      </c>
      <c r="J3941">
        <v>-423.2321</v>
      </c>
      <c r="K3941">
        <v>1.1214489999999999</v>
      </c>
      <c r="L3941">
        <v>80.714019999999906</v>
      </c>
      <c r="M3941">
        <v>3.3440869999999998E-2</v>
      </c>
      <c r="N3941">
        <v>-1.440087E-2</v>
      </c>
      <c r="O3941">
        <v>-0.99933700000000003</v>
      </c>
      <c r="P3941">
        <v>4.4878170000000002E-2</v>
      </c>
      <c r="Q3941">
        <v>0.2211341</v>
      </c>
      <c r="R3941">
        <v>-0.97421060000000004</v>
      </c>
      <c r="S3941">
        <v>-0.257019</v>
      </c>
      <c r="T3941">
        <v>-6.7779060000000002E-2</v>
      </c>
      <c r="U3941">
        <v>-3.1055600000000001</v>
      </c>
      <c r="V3941">
        <v>-1.2318890000000001E-2</v>
      </c>
      <c r="W3941">
        <v>0.23515220000000001</v>
      </c>
      <c r="X3941">
        <v>0.97188050000000004</v>
      </c>
      <c r="Y3941">
        <v>0.1157309</v>
      </c>
      <c r="Z3941">
        <v>7.2715710000000001E-3</v>
      </c>
      <c r="AA3941">
        <v>0.99325399999999997</v>
      </c>
      <c r="AB3941">
        <v>32</v>
      </c>
      <c r="AC3941">
        <v>-4.2629999999999697</v>
      </c>
      <c r="AD3941">
        <v>-1.1214551537339901</v>
      </c>
      <c r="AE3941">
        <v>-51.0820399999999</v>
      </c>
      <c r="AF3941">
        <v>5.9661644449693298</v>
      </c>
      <c r="AG3941">
        <v>-1.1214551537339901</v>
      </c>
      <c r="AH3941">
        <v>50.886534002824099</v>
      </c>
      <c r="AI3941">
        <v>91.253913840567904</v>
      </c>
      <c r="AJ3941">
        <v>83.312916285096406</v>
      </c>
      <c r="AK3941">
        <v>51.247362104471598</v>
      </c>
      <c r="AL3941">
        <v>76.399405518559902</v>
      </c>
      <c r="AM3941">
        <v>90.726203076462099</v>
      </c>
      <c r="AN3941">
        <v>1.00000000924796</v>
      </c>
    </row>
    <row r="3942" spans="1:40" x14ac:dyDescent="0.25">
      <c r="A3942" t="str">
        <f>"20190303170848628"</f>
        <v>20190303170848628</v>
      </c>
      <c r="B3942" t="str">
        <f>"1551604128617052"</f>
        <v>1551604128617052</v>
      </c>
      <c r="C3942" t="s">
        <v>40</v>
      </c>
      <c r="D3942">
        <v>4.7469780000000004</v>
      </c>
      <c r="E3942">
        <v>0.55602469999999904</v>
      </c>
      <c r="F3942" t="s">
        <v>59</v>
      </c>
      <c r="G3942">
        <v>-427.59370000000001</v>
      </c>
      <c r="H3942" s="1">
        <v>-7.001614E-6</v>
      </c>
      <c r="I3942">
        <v>27.568259999999999</v>
      </c>
      <c r="J3942">
        <v>-423.22140000000002</v>
      </c>
      <c r="K3942">
        <v>1.121359</v>
      </c>
      <c r="L3942">
        <v>80.395780000000002</v>
      </c>
      <c r="M3942">
        <v>3.3338989999999999E-2</v>
      </c>
      <c r="N3942">
        <v>-1.44023E-2</v>
      </c>
      <c r="O3942">
        <v>-0.99934040000000002</v>
      </c>
      <c r="P3942">
        <v>4.6695029999999998E-2</v>
      </c>
      <c r="Q3942">
        <v>0.22227920000000001</v>
      </c>
      <c r="R3942">
        <v>-0.97386410000000001</v>
      </c>
      <c r="S3942">
        <v>-0.25491329999999901</v>
      </c>
      <c r="T3942">
        <v>-6.5542340000000004E-2</v>
      </c>
      <c r="U3942">
        <v>-3.1060490000000001</v>
      </c>
      <c r="V3942">
        <v>-1.419077E-2</v>
      </c>
      <c r="W3942">
        <v>0.23629720000000001</v>
      </c>
      <c r="X3942">
        <v>0.97157720000000003</v>
      </c>
      <c r="Y3942">
        <v>0.1149492</v>
      </c>
      <c r="Z3942">
        <v>6.5530900000000001E-3</v>
      </c>
      <c r="AA3942">
        <v>0.9933497</v>
      </c>
      <c r="AB3942">
        <v>32</v>
      </c>
      <c r="AC3942">
        <v>-4.3722999999999903</v>
      </c>
      <c r="AD3942">
        <v>-1.1213660016139999</v>
      </c>
      <c r="AE3942">
        <v>-52.82752</v>
      </c>
      <c r="AF3942">
        <v>6.1285250404098104</v>
      </c>
      <c r="AG3942">
        <v>-1.1213660016139999</v>
      </c>
      <c r="AH3942">
        <v>52.628811702809998</v>
      </c>
      <c r="AI3942">
        <v>91.212430511519202</v>
      </c>
      <c r="AJ3942">
        <v>83.357930143942994</v>
      </c>
      <c r="AK3942">
        <v>52.996302721325101</v>
      </c>
      <c r="AL3942">
        <v>76.331899392402207</v>
      </c>
      <c r="AM3942">
        <v>90.836797547566803</v>
      </c>
      <c r="AN3942">
        <v>1.0000000001204301</v>
      </c>
    </row>
    <row r="3943" spans="1:40" x14ac:dyDescent="0.25">
      <c r="A3943" t="str">
        <f>"20190303170848653"</f>
        <v>20190303170848653</v>
      </c>
      <c r="B3943" t="str">
        <f>"1551604128647309"</f>
        <v>1551604128647309</v>
      </c>
      <c r="C3943" t="s">
        <v>40</v>
      </c>
      <c r="D3943">
        <v>4.7563490000000002</v>
      </c>
      <c r="E3943">
        <v>0.56211469999999997</v>
      </c>
      <c r="F3943" t="s">
        <v>59</v>
      </c>
      <c r="G3943">
        <v>-427.81529999999998</v>
      </c>
      <c r="H3943" s="1">
        <v>-8.7034959999999997E-6</v>
      </c>
      <c r="I3943">
        <v>23.697700000000001</v>
      </c>
      <c r="J3943">
        <v>-423.2106</v>
      </c>
      <c r="K3943">
        <v>1.1212470000000001</v>
      </c>
      <c r="L3943">
        <v>80.065340000000006</v>
      </c>
      <c r="M3943">
        <v>3.306038E-2</v>
      </c>
      <c r="N3943">
        <v>-1.44037E-2</v>
      </c>
      <c r="O3943">
        <v>-0.99934979999999995</v>
      </c>
      <c r="P3943">
        <v>4.9222990000000001E-2</v>
      </c>
      <c r="Q3943">
        <v>0.2226166</v>
      </c>
      <c r="R3943">
        <v>-0.97366299999999995</v>
      </c>
      <c r="S3943">
        <v>-0.25170900000000002</v>
      </c>
      <c r="T3943">
        <v>-6.1441900000000001E-2</v>
      </c>
      <c r="U3943">
        <v>-3.106598</v>
      </c>
      <c r="V3943">
        <v>-1.6925880000000001E-2</v>
      </c>
      <c r="W3943">
        <v>0.23663909999999999</v>
      </c>
      <c r="X3943">
        <v>0.97145020000000004</v>
      </c>
      <c r="Y3943">
        <v>0.11364200000000001</v>
      </c>
      <c r="Z3943">
        <v>5.2393259999999999E-3</v>
      </c>
      <c r="AA3943">
        <v>0.9935079</v>
      </c>
      <c r="AB3943">
        <v>32</v>
      </c>
      <c r="AC3943">
        <v>-4.6046999999999798</v>
      </c>
      <c r="AD3943">
        <v>-1.12125570349599</v>
      </c>
      <c r="AE3943">
        <v>-56.367640000000002</v>
      </c>
      <c r="AF3943">
        <v>6.4633703361571699</v>
      </c>
      <c r="AG3943">
        <v>-1.12125570349599</v>
      </c>
      <c r="AH3943">
        <v>56.162496366926597</v>
      </c>
      <c r="AI3943">
        <v>91.136231688656693</v>
      </c>
      <c r="AJ3943">
        <v>83.4350882494752</v>
      </c>
      <c r="AK3943">
        <v>56.544304475517002</v>
      </c>
      <c r="AL3943">
        <v>76.311738456328598</v>
      </c>
      <c r="AM3943">
        <v>90.998181248656195</v>
      </c>
      <c r="AN3943">
        <v>1.0000000200713099</v>
      </c>
    </row>
    <row r="3944" spans="1:40" x14ac:dyDescent="0.25">
      <c r="A3944" t="str">
        <f>"20190303170848676"</f>
        <v>20190303170848676</v>
      </c>
      <c r="B3944" t="str">
        <f>"1551604128667805"</f>
        <v>1551604128667805</v>
      </c>
      <c r="C3944" t="s">
        <v>40</v>
      </c>
      <c r="D3944">
        <v>4.9711660000000002</v>
      </c>
      <c r="E3944">
        <v>0.56222399999999995</v>
      </c>
      <c r="F3944" t="s">
        <v>59</v>
      </c>
      <c r="G3944">
        <v>-428.79860000000002</v>
      </c>
      <c r="H3944" s="1">
        <v>-9.9999709999999998E-6</v>
      </c>
      <c r="I3944">
        <v>20.92925</v>
      </c>
      <c r="J3944">
        <v>-423.19959999999998</v>
      </c>
      <c r="K3944">
        <v>1.12112099999999</v>
      </c>
      <c r="L3944">
        <v>79.721710000000002</v>
      </c>
      <c r="M3944">
        <v>3.2607089999999998E-2</v>
      </c>
      <c r="N3944">
        <v>-1.440492E-2</v>
      </c>
      <c r="O3944">
        <v>-0.99936480000000005</v>
      </c>
      <c r="P3944">
        <v>5.1956049999999997E-2</v>
      </c>
      <c r="Q3944">
        <v>0.22259490000000001</v>
      </c>
      <c r="R3944">
        <v>-0.973526</v>
      </c>
      <c r="S3944">
        <v>-0.29382320000000001</v>
      </c>
      <c r="T3944">
        <v>-5.8957460000000003E-2</v>
      </c>
      <c r="U3944">
        <v>-3.109467</v>
      </c>
      <c r="V3944">
        <v>-2.0025749999999998E-2</v>
      </c>
      <c r="W3944">
        <v>0.23662569999999999</v>
      </c>
      <c r="X3944">
        <v>0.97139450000000005</v>
      </c>
      <c r="Y3944">
        <v>0.12645870000000001</v>
      </c>
      <c r="Z3944">
        <v>4.3976390000000001E-3</v>
      </c>
      <c r="AA3944">
        <v>0.99196209999999996</v>
      </c>
      <c r="AB3944">
        <v>32</v>
      </c>
      <c r="AC3944">
        <v>-5.5990000000000402</v>
      </c>
      <c r="AD3944">
        <v>-1.12113099997099</v>
      </c>
      <c r="AE3944">
        <v>-58.792459999999998</v>
      </c>
      <c r="AF3944">
        <v>7.5105647842657604</v>
      </c>
      <c r="AG3944">
        <v>-1.12113099997099</v>
      </c>
      <c r="AH3944">
        <v>58.5575021604079</v>
      </c>
      <c r="AI3944">
        <v>91.0879304370374</v>
      </c>
      <c r="AJ3944">
        <v>82.691167084088804</v>
      </c>
      <c r="AK3944">
        <v>59.047832960777903</v>
      </c>
      <c r="AL3944">
        <v>76.312528571851601</v>
      </c>
      <c r="AM3944">
        <v>91.181011887500603</v>
      </c>
      <c r="AN3944">
        <v>1.0000000135969001</v>
      </c>
    </row>
    <row r="3945" spans="1:40" x14ac:dyDescent="0.25">
      <c r="A3945" t="str">
        <f>"20190303170848698"</f>
        <v>20190303170848698</v>
      </c>
      <c r="B3945" t="str">
        <f>"1551604128687324"</f>
        <v>1551604128687324</v>
      </c>
      <c r="C3945" t="s">
        <v>40</v>
      </c>
      <c r="D3945">
        <v>4.8226879999999896</v>
      </c>
      <c r="E3945">
        <v>0.5242734</v>
      </c>
      <c r="F3945" t="s">
        <v>59</v>
      </c>
      <c r="G3945">
        <v>-428.5933</v>
      </c>
      <c r="H3945" s="1">
        <v>-9.7774610000000008E-6</v>
      </c>
      <c r="I3945">
        <v>21.39705</v>
      </c>
      <c r="J3945">
        <v>-423.18979999999999</v>
      </c>
      <c r="K3945">
        <v>1.1210119999999999</v>
      </c>
      <c r="L3945">
        <v>79.408360000000002</v>
      </c>
      <c r="M3945">
        <v>3.206842E-2</v>
      </c>
      <c r="N3945">
        <v>-1.4405660000000001E-2</v>
      </c>
      <c r="O3945">
        <v>-0.9993822</v>
      </c>
      <c r="P3945">
        <v>5.5008660000000001E-2</v>
      </c>
      <c r="Q3945">
        <v>0.2230347</v>
      </c>
      <c r="R3945">
        <v>-0.9732577</v>
      </c>
      <c r="S3945">
        <v>-0.28765869999999999</v>
      </c>
      <c r="T3945">
        <v>-5.9792640000000001E-2</v>
      </c>
      <c r="U3945">
        <v>-3.1105960000000001</v>
      </c>
      <c r="V3945">
        <v>-2.354419E-2</v>
      </c>
      <c r="W3945">
        <v>0.23707230000000001</v>
      </c>
      <c r="X3945">
        <v>0.97120669999999998</v>
      </c>
      <c r="Y3945">
        <v>0.1239413</v>
      </c>
      <c r="Z3945">
        <v>4.6627309999999998E-3</v>
      </c>
      <c r="AA3945">
        <v>0.99227860000000001</v>
      </c>
      <c r="AB3945">
        <v>32</v>
      </c>
      <c r="AC3945">
        <v>-5.4035000000000002</v>
      </c>
      <c r="AD3945">
        <v>-1.1210217774609901</v>
      </c>
      <c r="AE3945">
        <v>-58.011309999999902</v>
      </c>
      <c r="AF3945">
        <v>7.2585565411770103</v>
      </c>
      <c r="AG3945">
        <v>-1.1210217774609901</v>
      </c>
      <c r="AH3945">
        <v>57.786774200430699</v>
      </c>
      <c r="AI3945">
        <v>91.102694653090097</v>
      </c>
      <c r="AJ3945">
        <v>82.840612718266698</v>
      </c>
      <c r="AK3945">
        <v>58.251648949867302</v>
      </c>
      <c r="AL3945">
        <v>76.286191094930402</v>
      </c>
      <c r="AM3945">
        <v>91.388703922133303</v>
      </c>
      <c r="AN3945">
        <v>1.00000002921746</v>
      </c>
    </row>
    <row r="3946" spans="1:40" x14ac:dyDescent="0.25">
      <c r="A3946" t="str">
        <f>"20190303170848722"</f>
        <v>20190303170848722</v>
      </c>
      <c r="B3946" t="str">
        <f>"1551604128707821"</f>
        <v>1551604128707821</v>
      </c>
      <c r="C3946" t="s">
        <v>40</v>
      </c>
      <c r="D3946">
        <v>4.8886399999999997</v>
      </c>
      <c r="E3946">
        <v>0.50790459999999904</v>
      </c>
      <c r="F3946" t="s">
        <v>59</v>
      </c>
      <c r="G3946">
        <v>-422.73910000000001</v>
      </c>
      <c r="H3946" s="1">
        <v>-1.023712E-5</v>
      </c>
      <c r="I3946">
        <v>19.431999999999999</v>
      </c>
      <c r="J3946">
        <v>-423.17970000000003</v>
      </c>
      <c r="K3946">
        <v>1.120908</v>
      </c>
      <c r="L3946">
        <v>79.071169999999995</v>
      </c>
      <c r="M3946">
        <v>3.1348050000000002E-2</v>
      </c>
      <c r="N3946">
        <v>-1.4405950000000001E-2</v>
      </c>
      <c r="O3946">
        <v>-0.99940499999999999</v>
      </c>
      <c r="P3946">
        <v>5.6734489999999999E-2</v>
      </c>
      <c r="Q3946">
        <v>0.2245296</v>
      </c>
      <c r="R3946">
        <v>-0.97281459999999997</v>
      </c>
      <c r="S3946">
        <v>2.325439E-2</v>
      </c>
      <c r="T3946">
        <v>-5.7837489999999998E-2</v>
      </c>
      <c r="U3946">
        <v>-3.0943909999999999</v>
      </c>
      <c r="V3946">
        <v>-2.591794E-2</v>
      </c>
      <c r="W3946">
        <v>0.23857110000000001</v>
      </c>
      <c r="X3946">
        <v>0.97077910000000001</v>
      </c>
      <c r="Y3946">
        <v>2.3833690000000001E-2</v>
      </c>
      <c r="Z3946">
        <v>4.2674459999999899E-3</v>
      </c>
      <c r="AA3946">
        <v>0.99970680000000001</v>
      </c>
      <c r="AB3946">
        <v>32</v>
      </c>
      <c r="AC3946">
        <v>0.44060000000001698</v>
      </c>
      <c r="AD3946">
        <v>-1.1209182371199999</v>
      </c>
      <c r="AE3946">
        <v>-59.639169999999901</v>
      </c>
      <c r="AF3946">
        <v>1.4288770238125199</v>
      </c>
      <c r="AG3946">
        <v>-1.1209182371199999</v>
      </c>
      <c r="AH3946">
        <v>59.602612799695102</v>
      </c>
      <c r="AI3946">
        <v>91.077098302384599</v>
      </c>
      <c r="AJ3946">
        <v>88.626688654692899</v>
      </c>
      <c r="AK3946">
        <v>59.630274188484698</v>
      </c>
      <c r="AL3946">
        <v>76.197778922309396</v>
      </c>
      <c r="AM3946">
        <v>91.529324126727104</v>
      </c>
      <c r="AN3946">
        <v>0.99999998518293098</v>
      </c>
    </row>
    <row r="3947" spans="1:40" x14ac:dyDescent="0.25">
      <c r="A3947" t="str">
        <f>"20190303170848746"</f>
        <v>20190303170848746</v>
      </c>
      <c r="B3947" t="str">
        <f>"1551604128737101"</f>
        <v>1551604128737101</v>
      </c>
      <c r="C3947" t="s">
        <v>40</v>
      </c>
      <c r="D3947">
        <v>4.9140199999999998</v>
      </c>
      <c r="E3947">
        <v>0.49736619999999998</v>
      </c>
      <c r="F3947" t="s">
        <v>59</v>
      </c>
      <c r="G3947">
        <v>-420.13339999999999</v>
      </c>
      <c r="H3947" s="1">
        <v>-9.5565499999999992E-6</v>
      </c>
      <c r="I3947">
        <v>20.232299999999999</v>
      </c>
      <c r="J3947">
        <v>-423.16950000000003</v>
      </c>
      <c r="K3947">
        <v>1.1208</v>
      </c>
      <c r="L3947">
        <v>78.71481</v>
      </c>
      <c r="M3947">
        <v>3.044032E-2</v>
      </c>
      <c r="N3947">
        <v>-1.4405879999999999E-2</v>
      </c>
      <c r="O3947">
        <v>-0.99943300000000002</v>
      </c>
      <c r="P3947">
        <v>5.8310380000000002E-2</v>
      </c>
      <c r="Q3947">
        <v>0.2245346</v>
      </c>
      <c r="R3947">
        <v>-0.97272040000000004</v>
      </c>
      <c r="S3947">
        <v>0.15988160000000001</v>
      </c>
      <c r="T3947">
        <v>-5.8829779999999998E-2</v>
      </c>
      <c r="U3947">
        <v>-3.0880740000000002</v>
      </c>
      <c r="V3947">
        <v>-2.8316060000000001E-2</v>
      </c>
      <c r="W3947">
        <v>0.2385854</v>
      </c>
      <c r="X3947">
        <v>0.97070860000000003</v>
      </c>
      <c r="Y3947">
        <v>-2.1272240000000001E-2</v>
      </c>
      <c r="Z3947">
        <v>4.6251579999999999E-3</v>
      </c>
      <c r="AA3947">
        <v>0.99976299999999996</v>
      </c>
      <c r="AB3947">
        <v>32</v>
      </c>
      <c r="AC3947">
        <v>3.03610000000003</v>
      </c>
      <c r="AD3947">
        <v>-1.12080955655</v>
      </c>
      <c r="AE3947">
        <v>-58.482509999999998</v>
      </c>
      <c r="AF3947">
        <v>-1.25382279700549</v>
      </c>
      <c r="AG3947">
        <v>-1.12080955655</v>
      </c>
      <c r="AH3947">
        <v>58.5263936970142</v>
      </c>
      <c r="AI3947">
        <v>91.096856964513293</v>
      </c>
      <c r="AJ3947">
        <v>91.227271369294698</v>
      </c>
      <c r="AK3947">
        <v>58.550551191651898</v>
      </c>
      <c r="AL3947">
        <v>76.196935286543294</v>
      </c>
      <c r="AM3947">
        <v>91.670873000630806</v>
      </c>
      <c r="AN3947">
        <v>0.99999998923052102</v>
      </c>
    </row>
    <row r="3948" spans="1:40" x14ac:dyDescent="0.25">
      <c r="A3948" t="str">
        <f>"20190303170848786"</f>
        <v>20190303170848786</v>
      </c>
      <c r="B3948" t="str">
        <f>"1551604128777116"</f>
        <v>1551604128777116</v>
      </c>
      <c r="C3948" t="s">
        <v>40</v>
      </c>
      <c r="D3948">
        <v>4.9013150000000003</v>
      </c>
      <c r="E3948">
        <v>0.49220710000000001</v>
      </c>
      <c r="F3948" t="s">
        <v>59</v>
      </c>
      <c r="G3948">
        <v>-418.97910000000002</v>
      </c>
      <c r="H3948" s="1">
        <v>-7.3097450000000003E-6</v>
      </c>
      <c r="I3948">
        <v>26.764990000000001</v>
      </c>
      <c r="J3948">
        <v>-423.15410000000003</v>
      </c>
      <c r="K3948">
        <v>1.120644</v>
      </c>
      <c r="L3948">
        <v>78.152339999999995</v>
      </c>
      <c r="M3948">
        <v>2.8761579999999998E-2</v>
      </c>
      <c r="N3948">
        <v>-1.440493E-2</v>
      </c>
      <c r="O3948">
        <v>-0.9994826</v>
      </c>
      <c r="P3948">
        <v>6.0621399999999999E-2</v>
      </c>
      <c r="Q3948">
        <v>0.22249579999999999</v>
      </c>
      <c r="R3948">
        <v>-0.97304740000000001</v>
      </c>
      <c r="S3948">
        <v>0.2488098</v>
      </c>
      <c r="T3948">
        <v>-6.6549540000000004E-2</v>
      </c>
      <c r="U3948">
        <v>-3.0845950000000002</v>
      </c>
      <c r="V3948">
        <v>-3.2171209999999999E-2</v>
      </c>
      <c r="W3948">
        <v>0.23656820000000001</v>
      </c>
      <c r="X3948">
        <v>0.97108209999999995</v>
      </c>
      <c r="Y3948">
        <v>-5.1680860000000002E-2</v>
      </c>
      <c r="Z3948">
        <v>7.1199330000000002E-3</v>
      </c>
      <c r="AA3948">
        <v>0.99863829999999998</v>
      </c>
      <c r="AB3948">
        <v>32</v>
      </c>
      <c r="AC3948">
        <v>4.1750000000000096</v>
      </c>
      <c r="AD3948">
        <v>-1.1206513097449999</v>
      </c>
      <c r="AE3948">
        <v>-51.387349999999998</v>
      </c>
      <c r="AF3948">
        <v>-2.6938650859180799</v>
      </c>
      <c r="AG3948">
        <v>-1.1206513097449999</v>
      </c>
      <c r="AH3948">
        <v>51.461864678031603</v>
      </c>
      <c r="AI3948">
        <v>91.245790339757704</v>
      </c>
      <c r="AJ3948">
        <v>92.996516977834801</v>
      </c>
      <c r="AK3948">
        <v>51.5445078024729</v>
      </c>
      <c r="AL3948">
        <v>76.315918776799407</v>
      </c>
      <c r="AM3948">
        <v>91.897471530755098</v>
      </c>
      <c r="AN3948">
        <v>0.99999997247225603</v>
      </c>
    </row>
    <row r="3949" spans="1:40" x14ac:dyDescent="0.25">
      <c r="A3949" t="str">
        <f>"20190303170848807"</f>
        <v>20190303170848807</v>
      </c>
      <c r="B3949" t="str">
        <f>"1551604128797613"</f>
        <v>1551604128797613</v>
      </c>
      <c r="C3949" t="s">
        <v>40</v>
      </c>
      <c r="D3949">
        <v>4.9180609999999998</v>
      </c>
      <c r="E3949">
        <v>0.49073440000000002</v>
      </c>
      <c r="F3949" t="s">
        <v>59</v>
      </c>
      <c r="G3949">
        <v>-418.93079999999998</v>
      </c>
      <c r="H3949" s="1">
        <v>-3.7628510000000001E-6</v>
      </c>
      <c r="I3949">
        <v>33.912599999999998</v>
      </c>
      <c r="J3949">
        <v>-423.14640000000003</v>
      </c>
      <c r="K3949">
        <v>1.1205849999999999</v>
      </c>
      <c r="L3949">
        <v>77.848510000000005</v>
      </c>
      <c r="M3949">
        <v>2.7779450000000001E-2</v>
      </c>
      <c r="N3949">
        <v>-1.440375E-2</v>
      </c>
      <c r="O3949">
        <v>-0.99951029999999996</v>
      </c>
      <c r="P3949">
        <v>6.1105039999999999E-2</v>
      </c>
      <c r="Q3949">
        <v>0.22230230000000001</v>
      </c>
      <c r="R3949">
        <v>-0.97306110000000001</v>
      </c>
      <c r="S3949">
        <v>0.29428100000000001</v>
      </c>
      <c r="T3949">
        <v>-7.8086379999999997E-2</v>
      </c>
      <c r="U3949">
        <v>-3.082611</v>
      </c>
      <c r="V3949">
        <v>-3.3579020000000001E-2</v>
      </c>
      <c r="W3949">
        <v>0.23638110000000001</v>
      </c>
      <c r="X3949">
        <v>0.9710801</v>
      </c>
      <c r="Y3949">
        <v>-6.7314769999999996E-2</v>
      </c>
      <c r="Z3949">
        <v>1.0839730000000001E-2</v>
      </c>
      <c r="AA3949">
        <v>0.99767289999999997</v>
      </c>
      <c r="AB3949">
        <v>32</v>
      </c>
      <c r="AC3949">
        <v>4.21560000000005</v>
      </c>
      <c r="AD3949">
        <v>-1.1205887628509901</v>
      </c>
      <c r="AE3949">
        <v>-43.93591</v>
      </c>
      <c r="AF3949">
        <v>-2.9914025405368299</v>
      </c>
      <c r="AG3949">
        <v>-1.1205887628509901</v>
      </c>
      <c r="AH3949">
        <v>44.007703524582901</v>
      </c>
      <c r="AI3949">
        <v>91.455277308744897</v>
      </c>
      <c r="AJ3949">
        <v>93.888671246811199</v>
      </c>
      <c r="AK3949">
        <v>44.123487824995699</v>
      </c>
      <c r="AL3949">
        <v>76.326953067092504</v>
      </c>
      <c r="AM3949">
        <v>91.980444097783305</v>
      </c>
      <c r="AN3949">
        <v>1.00000006781868</v>
      </c>
    </row>
    <row r="3950" spans="1:40" x14ac:dyDescent="0.25">
      <c r="A3950" t="str">
        <f>"20190303170848853"</f>
        <v>20190303170848853</v>
      </c>
      <c r="B3950" t="str">
        <f>"1551604128847014"</f>
        <v>1551604128847014</v>
      </c>
      <c r="C3950" t="s">
        <v>40</v>
      </c>
      <c r="D3950">
        <v>4.9889250000000001</v>
      </c>
      <c r="E3950">
        <v>0.48880059999999897</v>
      </c>
      <c r="F3950" t="s">
        <v>59</v>
      </c>
      <c r="G3950">
        <v>-418.77300000000002</v>
      </c>
      <c r="H3950" s="1">
        <v>-3.7127850000000001E-6</v>
      </c>
      <c r="I3950">
        <v>34.079500000000003</v>
      </c>
      <c r="J3950">
        <v>-423.13099999999997</v>
      </c>
      <c r="K3950">
        <v>1.1205149999999999</v>
      </c>
      <c r="L3950">
        <v>77.201840000000004</v>
      </c>
      <c r="M3950">
        <v>2.5599690000000001E-2</v>
      </c>
      <c r="N3950">
        <v>-1.4400080000000001E-2</v>
      </c>
      <c r="O3950">
        <v>-0.99956849999999997</v>
      </c>
      <c r="P3950">
        <v>6.0908869999999997E-2</v>
      </c>
      <c r="Q3950">
        <v>0.2205077</v>
      </c>
      <c r="R3950">
        <v>-0.97348179999999995</v>
      </c>
      <c r="S3950">
        <v>0.30792239999999999</v>
      </c>
      <c r="T3950">
        <v>-7.8899380000000005E-2</v>
      </c>
      <c r="U3950">
        <v>-3.0817260000000002</v>
      </c>
      <c r="V3950">
        <v>-3.5462189999999998E-2</v>
      </c>
      <c r="W3950">
        <v>0.2345978</v>
      </c>
      <c r="X3950">
        <v>0.97144549999999996</v>
      </c>
      <c r="Y3950">
        <v>-7.3888350000000005E-2</v>
      </c>
      <c r="Z3950">
        <v>1.110332E-2</v>
      </c>
      <c r="AA3950">
        <v>0.99720469999999894</v>
      </c>
      <c r="AB3950">
        <v>32</v>
      </c>
      <c r="AC3950">
        <v>4.3579999999999401</v>
      </c>
      <c r="AD3950">
        <v>-1.120518712785</v>
      </c>
      <c r="AE3950">
        <v>-43.122340000000001</v>
      </c>
      <c r="AF3950">
        <v>-3.2503659412824302</v>
      </c>
      <c r="AG3950">
        <v>-1.120518712785</v>
      </c>
      <c r="AH3950">
        <v>43.190912044907698</v>
      </c>
      <c r="AI3950">
        <v>91.481924858289304</v>
      </c>
      <c r="AJ3950">
        <v>94.303726410617799</v>
      </c>
      <c r="AK3950">
        <v>43.327535404277299</v>
      </c>
      <c r="AL3950">
        <v>76.432084720160105</v>
      </c>
      <c r="AM3950">
        <v>92.090628873413493</v>
      </c>
      <c r="AN3950">
        <v>1.0000000270773399</v>
      </c>
    </row>
    <row r="3951" spans="1:40" x14ac:dyDescent="0.25">
      <c r="A3951" t="str">
        <f>"20190303170848876"</f>
        <v>20190303170848876</v>
      </c>
      <c r="B3951" t="str">
        <f>"1551604128867509"</f>
        <v>1551604128867509</v>
      </c>
      <c r="C3951" t="s">
        <v>40</v>
      </c>
      <c r="D3951">
        <v>4.9937699999999996</v>
      </c>
      <c r="E3951">
        <v>0.48833749999999998</v>
      </c>
      <c r="F3951" t="s">
        <v>59</v>
      </c>
      <c r="G3951">
        <v>-419.07139999999998</v>
      </c>
      <c r="H3951" s="1">
        <v>-9.910673000000001E-7</v>
      </c>
      <c r="I3951">
        <v>38.425660000000001</v>
      </c>
      <c r="J3951">
        <v>-423.12380000000002</v>
      </c>
      <c r="K3951">
        <v>1.1205000000000001</v>
      </c>
      <c r="L3951">
        <v>76.874880000000005</v>
      </c>
      <c r="M3951">
        <v>2.4480970000000001E-2</v>
      </c>
      <c r="N3951">
        <v>-1.4397800000000001E-2</v>
      </c>
      <c r="O3951">
        <v>-0.99959679999999995</v>
      </c>
      <c r="P3951">
        <v>6.162778E-2</v>
      </c>
      <c r="Q3951">
        <v>0.2189614</v>
      </c>
      <c r="R3951">
        <v>-0.97378560000000003</v>
      </c>
      <c r="S3951">
        <v>0.32263180000000002</v>
      </c>
      <c r="T3951">
        <v>-8.9052679999999995E-2</v>
      </c>
      <c r="U3951">
        <v>-3.0817260000000002</v>
      </c>
      <c r="V3951">
        <v>-3.7260170000000002E-2</v>
      </c>
      <c r="W3951">
        <v>0.2330586</v>
      </c>
      <c r="X3951">
        <v>0.97174859999999996</v>
      </c>
      <c r="Y3951">
        <v>-7.9705810000000002E-2</v>
      </c>
      <c r="Z3951">
        <v>1.4371119999999999E-2</v>
      </c>
      <c r="AA3951">
        <v>0.99671480000000001</v>
      </c>
      <c r="AB3951">
        <v>32</v>
      </c>
      <c r="AC3951">
        <v>4.0524000000000298</v>
      </c>
      <c r="AD3951">
        <v>-1.1205009910673001</v>
      </c>
      <c r="AE3951">
        <v>-38.449219999999997</v>
      </c>
      <c r="AF3951">
        <v>-3.1072037427079802</v>
      </c>
      <c r="AG3951">
        <v>-1.1205009910673001</v>
      </c>
      <c r="AH3951">
        <v>38.504569397724197</v>
      </c>
      <c r="AI3951">
        <v>91.661465667601206</v>
      </c>
      <c r="AJ3951">
        <v>94.6136010018745</v>
      </c>
      <c r="AK3951">
        <v>38.645984294281398</v>
      </c>
      <c r="AL3951">
        <v>76.522788342060295</v>
      </c>
      <c r="AM3951">
        <v>92.195840750189504</v>
      </c>
      <c r="AN3951">
        <v>0.99999998645217403</v>
      </c>
    </row>
    <row r="3952" spans="1:40" x14ac:dyDescent="0.25">
      <c r="A3952" t="str">
        <f>"20190303170848898"</f>
        <v>20190303170848898</v>
      </c>
      <c r="B3952" t="str">
        <f>"1551604128887030"</f>
        <v>1551604128887030</v>
      </c>
      <c r="C3952" t="s">
        <v>40</v>
      </c>
      <c r="D3952">
        <v>4.7793910000000004</v>
      </c>
      <c r="E3952">
        <v>0.48813240000000002</v>
      </c>
      <c r="F3952" t="s">
        <v>43</v>
      </c>
      <c r="G3952">
        <v>-419.27429999999998</v>
      </c>
      <c r="H3952" s="1">
        <v>-5.6796559999999899E-7</v>
      </c>
      <c r="I3952">
        <v>40.656660000000002</v>
      </c>
      <c r="J3952">
        <v>-423.11720000000003</v>
      </c>
      <c r="K3952">
        <v>1.120493</v>
      </c>
      <c r="L3952">
        <v>76.558530000000005</v>
      </c>
      <c r="M3952">
        <v>2.3400870000000001E-2</v>
      </c>
      <c r="N3952">
        <v>-1.4395359999999999E-2</v>
      </c>
      <c r="O3952">
        <v>-0.99962280000000003</v>
      </c>
      <c r="P3952">
        <v>6.278657E-2</v>
      </c>
      <c r="Q3952">
        <v>0.21893499999999999</v>
      </c>
      <c r="R3952">
        <v>-0.97371750000000001</v>
      </c>
      <c r="S3952">
        <v>0.32751459999999999</v>
      </c>
      <c r="T3952">
        <v>-9.5333340000000003E-2</v>
      </c>
      <c r="U3952">
        <v>-3.0814819999999998</v>
      </c>
      <c r="V3952">
        <v>-3.946873E-2</v>
      </c>
      <c r="W3952">
        <v>0.23303399999999999</v>
      </c>
      <c r="X3952">
        <v>0.97166730000000001</v>
      </c>
      <c r="Y3952">
        <v>-8.2347450000000003E-2</v>
      </c>
      <c r="Z3952">
        <v>1.6397060000000001E-2</v>
      </c>
      <c r="AA3952">
        <v>0.99646880000000004</v>
      </c>
      <c r="AB3952">
        <v>32</v>
      </c>
      <c r="AC3952">
        <v>3.8429000000000402</v>
      </c>
      <c r="AD3952">
        <v>-1.1204935679656001</v>
      </c>
      <c r="AE3952">
        <v>-35.901870000000002</v>
      </c>
      <c r="AF3952">
        <v>-2.9987377791304799</v>
      </c>
      <c r="AG3952">
        <v>-1.1204935679656001</v>
      </c>
      <c r="AH3952">
        <v>35.947355014817603</v>
      </c>
      <c r="AI3952">
        <v>91.779178640967103</v>
      </c>
      <c r="AJ3952">
        <v>94.768587960411907</v>
      </c>
      <c r="AK3952">
        <v>36.089614387870199</v>
      </c>
      <c r="AL3952">
        <v>76.524237690343298</v>
      </c>
      <c r="AM3952">
        <v>92.326052500519594</v>
      </c>
      <c r="AN3952">
        <v>0.99999998384655098</v>
      </c>
    </row>
    <row r="3953" spans="1:40" x14ac:dyDescent="0.25">
      <c r="A3953" t="str">
        <f>"20190303170848922"</f>
        <v>20190303170848922</v>
      </c>
      <c r="B3953" t="str">
        <f>"1551604128907527"</f>
        <v>1551604128907527</v>
      </c>
      <c r="C3953" t="s">
        <v>40</v>
      </c>
      <c r="D3953">
        <v>4.9902810000000004</v>
      </c>
      <c r="E3953">
        <v>0.48771730000000002</v>
      </c>
      <c r="F3953" t="s">
        <v>43</v>
      </c>
      <c r="G3953">
        <v>-419.24810000000002</v>
      </c>
      <c r="H3953" s="1">
        <v>-5.3213549999999998E-7</v>
      </c>
      <c r="I3953">
        <v>40.562309999999997</v>
      </c>
      <c r="J3953">
        <v>-423.11070000000001</v>
      </c>
      <c r="K3953">
        <v>1.120492</v>
      </c>
      <c r="L3953">
        <v>76.230009999999993</v>
      </c>
      <c r="M3953">
        <v>2.2285300000000001E-2</v>
      </c>
      <c r="N3953">
        <v>-1.4392729999999999E-2</v>
      </c>
      <c r="O3953">
        <v>-0.99964799999999998</v>
      </c>
      <c r="P3953">
        <v>6.3576549999999996E-2</v>
      </c>
      <c r="Q3953">
        <v>0.2204139</v>
      </c>
      <c r="R3953">
        <v>-0.97333219999999998</v>
      </c>
      <c r="S3953">
        <v>0.33117679999999999</v>
      </c>
      <c r="T3953">
        <v>-9.5911150000000001E-2</v>
      </c>
      <c r="U3953">
        <v>-3.0811769999999998</v>
      </c>
      <c r="V3953">
        <v>-4.1348099999999999E-2</v>
      </c>
      <c r="W3953">
        <v>0.2345093</v>
      </c>
      <c r="X3953">
        <v>0.97123409999999999</v>
      </c>
      <c r="Y3953">
        <v>-8.4639580000000006E-2</v>
      </c>
      <c r="Z3953">
        <v>1.6584720000000001E-2</v>
      </c>
      <c r="AA3953">
        <v>0.99627359999999998</v>
      </c>
      <c r="AB3953">
        <v>32</v>
      </c>
      <c r="AC3953">
        <v>3.86259999999998</v>
      </c>
      <c r="AD3953">
        <v>-1.1204925321354999</v>
      </c>
      <c r="AE3953">
        <v>-35.667700000000004</v>
      </c>
      <c r="AF3953">
        <v>-3.06370427524599</v>
      </c>
      <c r="AG3953">
        <v>-1.1204925321354999</v>
      </c>
      <c r="AH3953">
        <v>35.710094936827801</v>
      </c>
      <c r="AI3953">
        <v>91.790633449688499</v>
      </c>
      <c r="AJ3953">
        <v>94.903614283855305</v>
      </c>
      <c r="AK3953">
        <v>35.8587878740761</v>
      </c>
      <c r="AL3953">
        <v>76.437300220515098</v>
      </c>
      <c r="AM3953">
        <v>92.437766455900203</v>
      </c>
      <c r="AN3953">
        <v>0.99999997708145405</v>
      </c>
    </row>
    <row r="3954" spans="1:40" x14ac:dyDescent="0.25">
      <c r="A3954" t="str">
        <f>"20190303170848946"</f>
        <v>20190303170848946</v>
      </c>
      <c r="B3954" t="str">
        <f>"1551604128937782"</f>
        <v>1551604128937782</v>
      </c>
      <c r="C3954" t="s">
        <v>40</v>
      </c>
      <c r="D3954">
        <v>5.1187259999999997</v>
      </c>
      <c r="E3954">
        <v>0.48740169999999999</v>
      </c>
      <c r="F3954" t="s">
        <v>59</v>
      </c>
      <c r="G3954">
        <v>-418.9871</v>
      </c>
      <c r="H3954" s="1">
        <v>-9.5023240000000003E-7</v>
      </c>
      <c r="I3954">
        <v>38.525219999999997</v>
      </c>
      <c r="J3954">
        <v>-423.10430000000002</v>
      </c>
      <c r="K3954">
        <v>1.1204970000000001</v>
      </c>
      <c r="L3954">
        <v>75.893249999999995</v>
      </c>
      <c r="M3954">
        <v>2.1148460000000001E-2</v>
      </c>
      <c r="N3954">
        <v>-1.4389910000000001E-2</v>
      </c>
      <c r="O3954">
        <v>-0.99967280000000003</v>
      </c>
      <c r="P3954">
        <v>6.3312709999999994E-2</v>
      </c>
      <c r="Q3954">
        <v>0.22125810000000001</v>
      </c>
      <c r="R3954">
        <v>-0.97315819999999997</v>
      </c>
      <c r="S3954">
        <v>0.33694459999999998</v>
      </c>
      <c r="T3954">
        <v>-9.1556789999999999E-2</v>
      </c>
      <c r="U3954">
        <v>-3.080902</v>
      </c>
      <c r="V3954">
        <v>-4.2192340000000002E-2</v>
      </c>
      <c r="W3954">
        <v>0.23534959999999999</v>
      </c>
      <c r="X3954">
        <v>0.97099449999999998</v>
      </c>
      <c r="Y3954">
        <v>-8.7627579999999997E-2</v>
      </c>
      <c r="Z3954">
        <v>1.517923E-2</v>
      </c>
      <c r="AA3954">
        <v>0.99603770000000003</v>
      </c>
      <c r="AB3954">
        <v>32</v>
      </c>
      <c r="AC3954">
        <v>4.11720000000002</v>
      </c>
      <c r="AD3954">
        <v>-1.1204979502324</v>
      </c>
      <c r="AE3954">
        <v>-37.368029999999898</v>
      </c>
      <c r="AF3954">
        <v>-3.32296893371434</v>
      </c>
      <c r="AG3954">
        <v>-1.1204979502324</v>
      </c>
      <c r="AH3954">
        <v>37.413516141967399</v>
      </c>
      <c r="AI3954">
        <v>91.708717016079902</v>
      </c>
      <c r="AJ3954">
        <v>95.075540445718502</v>
      </c>
      <c r="AK3954">
        <v>37.577504285092701</v>
      </c>
      <c r="AL3954">
        <v>76.387768244532893</v>
      </c>
      <c r="AM3954">
        <v>92.488091583039093</v>
      </c>
      <c r="AN3954">
        <v>0.99999997340254199</v>
      </c>
    </row>
    <row r="3955" spans="1:40" x14ac:dyDescent="0.25">
      <c r="A3955" t="str">
        <f>"20190303170848987"</f>
        <v>20190303170848987</v>
      </c>
      <c r="B3955" t="str">
        <f>"1551604128977798"</f>
        <v>1551604128977798</v>
      </c>
      <c r="C3955" t="s">
        <v>40</v>
      </c>
      <c r="D3955">
        <v>4.979921</v>
      </c>
      <c r="E3955">
        <v>0.48710500000000001</v>
      </c>
      <c r="F3955" t="s">
        <v>59</v>
      </c>
      <c r="G3955">
        <v>-418.83620000000002</v>
      </c>
      <c r="H3955" s="1">
        <v>-1.782113E-6</v>
      </c>
      <c r="I3955">
        <v>37.279600000000002</v>
      </c>
      <c r="J3955">
        <v>-423.09449999999998</v>
      </c>
      <c r="K3955">
        <v>1.1204769999999999</v>
      </c>
      <c r="L3955">
        <v>75.316829999999996</v>
      </c>
      <c r="M3955">
        <v>1.9210499999999998E-2</v>
      </c>
      <c r="N3955">
        <v>-1.438473E-2</v>
      </c>
      <c r="O3955">
        <v>-0.99971189999999999</v>
      </c>
      <c r="P3955">
        <v>6.3959870000000002E-2</v>
      </c>
      <c r="Q3955">
        <v>0.21923670000000001</v>
      </c>
      <c r="R3955">
        <v>-0.97357289999999996</v>
      </c>
      <c r="S3955">
        <v>0.34054570000000001</v>
      </c>
      <c r="T3955">
        <v>-8.9403150000000001E-2</v>
      </c>
      <c r="U3955">
        <v>-3.0809329999999999</v>
      </c>
      <c r="V3955">
        <v>-4.4723569999999997E-2</v>
      </c>
      <c r="W3955">
        <v>0.23333400000000001</v>
      </c>
      <c r="X3955">
        <v>0.9713676</v>
      </c>
      <c r="Y3955">
        <v>-9.0708079999999996E-2</v>
      </c>
      <c r="Z3955">
        <v>1.4483920000000001E-2</v>
      </c>
      <c r="AA3955">
        <v>0.9957722</v>
      </c>
      <c r="AB3955">
        <v>32</v>
      </c>
      <c r="AC3955">
        <v>4.2582999999999602</v>
      </c>
      <c r="AD3955">
        <v>-1.120478782113</v>
      </c>
      <c r="AE3955">
        <v>-38.037230000000001</v>
      </c>
      <c r="AF3955">
        <v>-3.5237043304853501</v>
      </c>
      <c r="AG3955">
        <v>-1.120478782113</v>
      </c>
      <c r="AH3955">
        <v>38.079387750909902</v>
      </c>
      <c r="AI3955">
        <v>91.678265226265296</v>
      </c>
      <c r="AJ3955">
        <v>95.286851473845999</v>
      </c>
      <c r="AK3955">
        <v>38.258485808954703</v>
      </c>
      <c r="AL3955">
        <v>76.506561674233097</v>
      </c>
      <c r="AM3955">
        <v>92.636142504296799</v>
      </c>
      <c r="AN3955">
        <v>0.99999998379965205</v>
      </c>
    </row>
    <row r="3956" spans="1:40" x14ac:dyDescent="0.25">
      <c r="A3956" t="str">
        <f>"20190303170849009"</f>
        <v>20190303170849009</v>
      </c>
      <c r="B3956" t="str">
        <f>"1551604128997318"</f>
        <v>1551604128997318</v>
      </c>
      <c r="C3956" t="s">
        <v>40</v>
      </c>
      <c r="D3956">
        <v>5.0417319999999997</v>
      </c>
      <c r="E3956">
        <v>0.48701689999999997</v>
      </c>
      <c r="F3956" t="s">
        <v>43</v>
      </c>
      <c r="G3956">
        <v>-419.11619999999999</v>
      </c>
      <c r="H3956" s="1">
        <v>-2.289997E-7</v>
      </c>
      <c r="I3956">
        <v>39.630009999999999</v>
      </c>
      <c r="J3956">
        <v>-423.08949999999999</v>
      </c>
      <c r="K3956">
        <v>1.1204780000000001</v>
      </c>
      <c r="L3956">
        <v>75.00479</v>
      </c>
      <c r="M3956">
        <v>1.816249E-2</v>
      </c>
      <c r="N3956">
        <v>-1.438187E-2</v>
      </c>
      <c r="O3956">
        <v>-0.9997317</v>
      </c>
      <c r="P3956">
        <v>6.4130400000000004E-2</v>
      </c>
      <c r="Q3956">
        <v>0.21824160000000001</v>
      </c>
      <c r="R3956">
        <v>-0.97378560000000003</v>
      </c>
      <c r="S3956">
        <v>0.34341430000000001</v>
      </c>
      <c r="T3956">
        <v>-9.6724030000000003E-2</v>
      </c>
      <c r="U3956">
        <v>-3.0806269999999998</v>
      </c>
      <c r="V3956">
        <v>-4.5914490000000002E-2</v>
      </c>
      <c r="W3956">
        <v>0.2323412</v>
      </c>
      <c r="X3956">
        <v>0.97155000000000002</v>
      </c>
      <c r="Y3956">
        <v>-9.2672359999999995E-2</v>
      </c>
      <c r="Z3956">
        <v>1.684664E-2</v>
      </c>
      <c r="AA3956">
        <v>0.9955541</v>
      </c>
      <c r="AB3956">
        <v>31</v>
      </c>
      <c r="AC3956">
        <v>3.9732999999999898</v>
      </c>
      <c r="AD3956">
        <v>-1.1204782289997</v>
      </c>
      <c r="AE3956">
        <v>-35.374780000000001</v>
      </c>
      <c r="AF3956">
        <v>-3.3267878823261099</v>
      </c>
      <c r="AG3956">
        <v>-1.1204782289997</v>
      </c>
      <c r="AH3956">
        <v>35.406036761311697</v>
      </c>
      <c r="AI3956">
        <v>91.8046640952102</v>
      </c>
      <c r="AJ3956">
        <v>95.367810913006707</v>
      </c>
      <c r="AK3956">
        <v>35.579635020879699</v>
      </c>
      <c r="AL3956">
        <v>76.565052570018096</v>
      </c>
      <c r="AM3956">
        <v>92.705728609217701</v>
      </c>
      <c r="AN3956">
        <v>0.99999998805469903</v>
      </c>
    </row>
    <row r="3957" spans="1:40" x14ac:dyDescent="0.25">
      <c r="A3957" t="str">
        <f>"20190303170849032"</f>
        <v>20190303170849032</v>
      </c>
      <c r="B3957" t="str">
        <f>"1551604129027105"</f>
        <v>1551604129027105</v>
      </c>
      <c r="C3957" t="s">
        <v>40</v>
      </c>
      <c r="D3957">
        <v>4.9764309999999998</v>
      </c>
      <c r="E3957">
        <v>0.48687819999999998</v>
      </c>
      <c r="F3957" t="s">
        <v>43</v>
      </c>
      <c r="G3957">
        <v>-419.22340000000003</v>
      </c>
      <c r="H3957" s="1">
        <v>-5.1885599999999997E-7</v>
      </c>
      <c r="I3957">
        <v>40.521120000000003</v>
      </c>
      <c r="J3957">
        <v>-423.08479999999997</v>
      </c>
      <c r="K3957">
        <v>1.1204799999999999</v>
      </c>
      <c r="L3957">
        <v>74.675139999999999</v>
      </c>
      <c r="M3957">
        <v>1.705458E-2</v>
      </c>
      <c r="N3957">
        <v>-1.437882E-2</v>
      </c>
      <c r="O3957">
        <v>-0.99975119999999895</v>
      </c>
      <c r="P3957">
        <v>6.4673690000000006E-2</v>
      </c>
      <c r="Q3957">
        <v>0.2184768</v>
      </c>
      <c r="R3957">
        <v>-0.97369680000000003</v>
      </c>
      <c r="S3957">
        <v>0.34536739999999999</v>
      </c>
      <c r="T3957">
        <v>-0.100094</v>
      </c>
      <c r="U3957">
        <v>-3.0804749999999999</v>
      </c>
      <c r="V3957">
        <v>-4.7539619999999998E-2</v>
      </c>
      <c r="W3957">
        <v>0.23257539999999999</v>
      </c>
      <c r="X3957">
        <v>0.97141580000000005</v>
      </c>
      <c r="Y3957">
        <v>-9.4401109999999996E-2</v>
      </c>
      <c r="Z3957">
        <v>1.793432E-2</v>
      </c>
      <c r="AA3957">
        <v>0.9953727</v>
      </c>
      <c r="AB3957">
        <v>31</v>
      </c>
      <c r="AC3957">
        <v>3.8613999999999402</v>
      </c>
      <c r="AD3957">
        <v>-1.1204805188560001</v>
      </c>
      <c r="AE3957">
        <v>-34.154020000000003</v>
      </c>
      <c r="AF3957">
        <v>-3.2748154807199699</v>
      </c>
      <c r="AG3957">
        <v>-1.1204805188560001</v>
      </c>
      <c r="AH3957">
        <v>34.178591536311899</v>
      </c>
      <c r="AI3957">
        <v>91.869107426099205</v>
      </c>
      <c r="AJ3957">
        <v>95.473076924733405</v>
      </c>
      <c r="AK3957">
        <v>34.353398848322797</v>
      </c>
      <c r="AL3957">
        <v>76.551256044775897</v>
      </c>
      <c r="AM3957">
        <v>92.801733522613603</v>
      </c>
      <c r="AN3957">
        <v>0.99999999432227205</v>
      </c>
    </row>
    <row r="3958" spans="1:40" x14ac:dyDescent="0.25">
      <c r="A3958" t="str">
        <f>"20190303170849054"</f>
        <v>20190303170849054</v>
      </c>
      <c r="B3958" t="str">
        <f>"1551604129047601"</f>
        <v>1551604129047601</v>
      </c>
      <c r="C3958" t="s">
        <v>40</v>
      </c>
      <c r="D3958">
        <v>5.1599659999999998</v>
      </c>
      <c r="E3958">
        <v>0.44870789999999999</v>
      </c>
      <c r="F3958" t="s">
        <v>43</v>
      </c>
      <c r="G3958">
        <v>-419.17689999999999</v>
      </c>
      <c r="H3958" s="1">
        <v>-4.0020380000000002E-7</v>
      </c>
      <c r="I3958">
        <v>40.180520000000001</v>
      </c>
      <c r="J3958">
        <v>-423.08069999999998</v>
      </c>
      <c r="K3958">
        <v>1.120484</v>
      </c>
      <c r="L3958">
        <v>74.367069999999998</v>
      </c>
      <c r="M3958">
        <v>1.6019129999999999E-2</v>
      </c>
      <c r="N3958">
        <v>-1.4375890000000001E-2</v>
      </c>
      <c r="O3958">
        <v>-0.99976860000000001</v>
      </c>
      <c r="P3958">
        <v>6.4794889999999994E-2</v>
      </c>
      <c r="Q3958">
        <v>0.21916920000000001</v>
      </c>
      <c r="R3958">
        <v>-0.97353339999999999</v>
      </c>
      <c r="S3958">
        <v>0.34896850000000001</v>
      </c>
      <c r="T3958">
        <v>-0.1000574</v>
      </c>
      <c r="U3958">
        <v>-3.0803219999999998</v>
      </c>
      <c r="V3958">
        <v>-4.8672220000000002E-2</v>
      </c>
      <c r="W3958">
        <v>0.23326359999999999</v>
      </c>
      <c r="X3958">
        <v>0.97119469999999997</v>
      </c>
      <c r="Y3958">
        <v>-9.6585770000000001E-2</v>
      </c>
      <c r="Z3958">
        <v>1.7921670000000001E-2</v>
      </c>
      <c r="AA3958">
        <v>0.99516329999999997</v>
      </c>
      <c r="AB3958">
        <v>31</v>
      </c>
      <c r="AC3958">
        <v>3.90379999999998</v>
      </c>
      <c r="AD3958">
        <v>-1.1204844002037999</v>
      </c>
      <c r="AE3958">
        <v>-34.186549999999997</v>
      </c>
      <c r="AF3958">
        <v>-3.35204918835954</v>
      </c>
      <c r="AG3958">
        <v>-1.1204844002037999</v>
      </c>
      <c r="AH3958">
        <v>34.208429361119798</v>
      </c>
      <c r="AI3958">
        <v>91.867095276373405</v>
      </c>
      <c r="AJ3958">
        <v>95.596488577444404</v>
      </c>
      <c r="AK3958">
        <v>34.390527160935001</v>
      </c>
      <c r="AL3958">
        <v>76.510710242929093</v>
      </c>
      <c r="AM3958">
        <v>92.869024708779804</v>
      </c>
      <c r="AN3958">
        <v>1.00000001869638</v>
      </c>
    </row>
    <row r="3959" spans="1:40" x14ac:dyDescent="0.25">
      <c r="A3959" t="str">
        <f>"20190303170849076"</f>
        <v>20190303170849076</v>
      </c>
      <c r="B3959" t="str">
        <f>"1551604129067121"</f>
        <v>1551604129067121</v>
      </c>
      <c r="C3959" t="s">
        <v>40</v>
      </c>
      <c r="D3959">
        <v>5.1094869999999997</v>
      </c>
      <c r="E3959">
        <v>0.43118210000000001</v>
      </c>
      <c r="F3959" t="s">
        <v>46</v>
      </c>
      <c r="G3959">
        <v>-405.63099999999997</v>
      </c>
      <c r="H3959">
        <v>-0.05</v>
      </c>
      <c r="I3959">
        <v>-7.438828</v>
      </c>
      <c r="J3959">
        <v>-423.07670000000002</v>
      </c>
      <c r="K3959">
        <v>1.1204889999999901</v>
      </c>
      <c r="L3959">
        <v>74.052340000000001</v>
      </c>
      <c r="M3959">
        <v>1.496042E-2</v>
      </c>
      <c r="N3959">
        <v>-1.437285E-2</v>
      </c>
      <c r="O3959">
        <v>-0.99978500000000003</v>
      </c>
      <c r="P3959">
        <v>6.5386120000000006E-2</v>
      </c>
      <c r="Q3959">
        <v>0.21979309999999999</v>
      </c>
      <c r="R3959">
        <v>-0.97335309999999997</v>
      </c>
      <c r="S3959">
        <v>0.650177</v>
      </c>
      <c r="T3959">
        <v>-4.3612360000000003E-2</v>
      </c>
      <c r="U3959">
        <v>-3.0480960000000001</v>
      </c>
      <c r="V3959">
        <v>-5.0297330000000001E-2</v>
      </c>
      <c r="W3959">
        <v>0.23388439999999999</v>
      </c>
      <c r="X3959">
        <v>0.97096260000000001</v>
      </c>
      <c r="Y3959">
        <v>-0.1939176</v>
      </c>
      <c r="Z3959">
        <v>-3.3934530000000001E-4</v>
      </c>
      <c r="AA3959">
        <v>0.98101780000000005</v>
      </c>
      <c r="AB3959">
        <v>31</v>
      </c>
      <c r="AC3959">
        <v>17.445699999999999</v>
      </c>
      <c r="AD3959">
        <v>-1.1704889999999999</v>
      </c>
      <c r="AE3959">
        <v>-81.491168000000002</v>
      </c>
      <c r="AF3959">
        <v>-16.221279508128799</v>
      </c>
      <c r="AG3959">
        <v>-1.1704889999999999</v>
      </c>
      <c r="AH3959">
        <v>81.726946126669404</v>
      </c>
      <c r="AI3959">
        <v>90.804833134061397</v>
      </c>
      <c r="AJ3959">
        <v>101.226245792345</v>
      </c>
      <c r="AK3959">
        <v>83.329428634615496</v>
      </c>
      <c r="AL3959">
        <v>76.474129617491002</v>
      </c>
      <c r="AM3959">
        <v>92.965357449569893</v>
      </c>
      <c r="AN3959">
        <v>1.0000000522836201</v>
      </c>
    </row>
    <row r="3960" spans="1:40" x14ac:dyDescent="0.25">
      <c r="A3960" t="str">
        <f>"20190303170849121"</f>
        <v>20190303170849121</v>
      </c>
      <c r="B3960" t="str">
        <f>"1551604129117873"</f>
        <v>1551604129117873</v>
      </c>
      <c r="C3960" t="s">
        <v>40</v>
      </c>
      <c r="D3960">
        <v>5.0910380000000002</v>
      </c>
      <c r="E3960">
        <v>0.41488789999999998</v>
      </c>
      <c r="F3960" t="s">
        <v>96</v>
      </c>
      <c r="G3960">
        <v>-403.97239999999999</v>
      </c>
      <c r="H3960">
        <v>1.313105</v>
      </c>
      <c r="I3960">
        <v>0.64039040000000003</v>
      </c>
      <c r="J3960">
        <v>-423.06990000000002</v>
      </c>
      <c r="K3960">
        <v>1.120492</v>
      </c>
      <c r="L3960">
        <v>73.427610000000001</v>
      </c>
      <c r="M3960">
        <v>1.285819E-2</v>
      </c>
      <c r="N3960">
        <v>-1.436667E-2</v>
      </c>
      <c r="O3960">
        <v>-0.99981430000000004</v>
      </c>
      <c r="P3960">
        <v>6.3960489999999995E-2</v>
      </c>
      <c r="Q3960">
        <v>0.2198782</v>
      </c>
      <c r="R3960">
        <v>-0.97342870000000004</v>
      </c>
      <c r="S3960">
        <v>0.78784180000000004</v>
      </c>
      <c r="T3960">
        <v>7.9423189999999998E-3</v>
      </c>
      <c r="U3960">
        <v>-3.0274350000000001</v>
      </c>
      <c r="V3960">
        <v>-5.0921359999999999E-2</v>
      </c>
      <c r="W3960">
        <v>0.2339637</v>
      </c>
      <c r="X3960">
        <v>0.97091090000000002</v>
      </c>
      <c r="Y3960">
        <v>-0.23932429999999999</v>
      </c>
      <c r="Z3960">
        <v>-1.688535E-2</v>
      </c>
      <c r="AA3960">
        <v>0.97079289999999996</v>
      </c>
      <c r="AB3960">
        <v>31</v>
      </c>
      <c r="AC3960">
        <v>19.0975</v>
      </c>
      <c r="AD3960">
        <v>0.19261299999999901</v>
      </c>
      <c r="AE3960">
        <v>-72.7872196</v>
      </c>
      <c r="AF3960">
        <v>-18.1597935813041</v>
      </c>
      <c r="AG3960">
        <v>0.19261299999999901</v>
      </c>
      <c r="AH3960">
        <v>73.026307188756903</v>
      </c>
      <c r="AI3960">
        <v>89.853344422678404</v>
      </c>
      <c r="AJ3960">
        <v>103.96475275487801</v>
      </c>
      <c r="AK3960">
        <v>75.2506262054345</v>
      </c>
      <c r="AL3960">
        <v>76.469455500365598</v>
      </c>
      <c r="AM3960">
        <v>93.002240788036602</v>
      </c>
      <c r="AN3960">
        <v>0.99999998678037405</v>
      </c>
    </row>
    <row r="3961" spans="1:40" x14ac:dyDescent="0.25">
      <c r="A3961" t="str">
        <f>"20190303170849146"</f>
        <v>20190303170849146</v>
      </c>
      <c r="B3961" t="str">
        <f>"1551604129137392"</f>
        <v>1551604129137392</v>
      </c>
      <c r="C3961" t="s">
        <v>40</v>
      </c>
      <c r="D3961">
        <v>5.0999689999999998</v>
      </c>
      <c r="E3961">
        <v>0.41268939999999998</v>
      </c>
      <c r="F3961" t="s">
        <v>96</v>
      </c>
      <c r="G3961">
        <v>-401.06900000000002</v>
      </c>
      <c r="H3961">
        <v>2.2468650000000001</v>
      </c>
      <c r="I3961">
        <v>0.66992189999999996</v>
      </c>
      <c r="J3961">
        <v>-423.0668</v>
      </c>
      <c r="K3961">
        <v>1.1204989999999999</v>
      </c>
      <c r="L3961">
        <v>73.085509999999999</v>
      </c>
      <c r="M3961">
        <v>1.1706350000000001E-2</v>
      </c>
      <c r="N3961">
        <v>-1.4363229999999999E-2</v>
      </c>
      <c r="O3961">
        <v>-0.99982859999999996</v>
      </c>
      <c r="P3961">
        <v>6.3643229999999995E-2</v>
      </c>
      <c r="Q3961">
        <v>0.21876970000000001</v>
      </c>
      <c r="R3961">
        <v>-0.97369930000000005</v>
      </c>
      <c r="S3961">
        <v>0.91064449999999997</v>
      </c>
      <c r="T3961">
        <v>4.6620969999999998E-2</v>
      </c>
      <c r="U3961">
        <v>-3.011536</v>
      </c>
      <c r="V3961">
        <v>-5.1726679999999997E-2</v>
      </c>
      <c r="W3961">
        <v>0.23285690000000001</v>
      </c>
      <c r="X3961">
        <v>0.97113439999999995</v>
      </c>
      <c r="Y3961">
        <v>-0.27809339999999999</v>
      </c>
      <c r="Z3961">
        <v>-2.9175400000000001E-2</v>
      </c>
      <c r="AA3961">
        <v>0.96011080000000004</v>
      </c>
      <c r="AB3961">
        <v>31</v>
      </c>
      <c r="AC3961">
        <v>21.997799999999899</v>
      </c>
      <c r="AD3961">
        <v>1.126366</v>
      </c>
      <c r="AE3961">
        <v>-72.415588099999994</v>
      </c>
      <c r="AF3961">
        <v>-21.143799703033899</v>
      </c>
      <c r="AG3961">
        <v>1.126366</v>
      </c>
      <c r="AH3961">
        <v>72.652073479528397</v>
      </c>
      <c r="AI3961">
        <v>89.147159575758806</v>
      </c>
      <c r="AJ3961">
        <v>106.226483670916</v>
      </c>
      <c r="AK3961">
        <v>75.674650624385194</v>
      </c>
      <c r="AL3961">
        <v>76.534672095602005</v>
      </c>
      <c r="AM3961">
        <v>93.048931692318902</v>
      </c>
      <c r="AN3961">
        <v>1.00000000408239</v>
      </c>
    </row>
    <row r="3962" spans="1:40" x14ac:dyDescent="0.25">
      <c r="A3962" t="str">
        <f>"20190303170849171"</f>
        <v>20190303170849171</v>
      </c>
      <c r="B3962" t="str">
        <f>"1551604129157889"</f>
        <v>1551604129157889</v>
      </c>
      <c r="C3962" t="s">
        <v>40</v>
      </c>
      <c r="D3962">
        <v>5.103891</v>
      </c>
      <c r="E3962">
        <v>0.41113889999999997</v>
      </c>
      <c r="F3962" t="s">
        <v>96</v>
      </c>
      <c r="G3962">
        <v>-400.77249999999998</v>
      </c>
      <c r="H3962">
        <v>2.2701850000000001</v>
      </c>
      <c r="I3962">
        <v>0.67293740000000002</v>
      </c>
      <c r="J3962">
        <v>-423.0641</v>
      </c>
      <c r="K3962">
        <v>1.1205050000000001</v>
      </c>
      <c r="L3962">
        <v>72.744019999999907</v>
      </c>
      <c r="M3962">
        <v>1.055555E-2</v>
      </c>
      <c r="N3962">
        <v>-1.4359709999999999E-2</v>
      </c>
      <c r="O3962">
        <v>-0.99984139999999999</v>
      </c>
      <c r="P3962">
        <v>6.3090099999999996E-2</v>
      </c>
      <c r="Q3962">
        <v>0.21985679999999999</v>
      </c>
      <c r="R3962">
        <v>-0.97349019999999997</v>
      </c>
      <c r="S3962">
        <v>0.92663569999999995</v>
      </c>
      <c r="T3962">
        <v>4.7784090000000001E-2</v>
      </c>
      <c r="U3962">
        <v>-3.009735</v>
      </c>
      <c r="V3962">
        <v>-5.2296660000000002E-2</v>
      </c>
      <c r="W3962">
        <v>0.23393720000000001</v>
      </c>
      <c r="X3962">
        <v>0.97084420000000005</v>
      </c>
      <c r="Y3962">
        <v>-0.28401700000000002</v>
      </c>
      <c r="Z3962">
        <v>-2.9527979999999999E-2</v>
      </c>
      <c r="AA3962">
        <v>0.95836449999999995</v>
      </c>
      <c r="AB3962">
        <v>31</v>
      </c>
      <c r="AC3962">
        <v>22.291599999999999</v>
      </c>
      <c r="AD3962">
        <v>1.14967999999999</v>
      </c>
      <c r="AE3962">
        <v>-72.071082599999897</v>
      </c>
      <c r="AF3962">
        <v>-21.524530610808799</v>
      </c>
      <c r="AG3962">
        <v>1.14967999999999</v>
      </c>
      <c r="AH3962">
        <v>72.285602661420398</v>
      </c>
      <c r="AI3962">
        <v>89.126693750097303</v>
      </c>
      <c r="AJ3962">
        <v>106.581986608531</v>
      </c>
      <c r="AK3962">
        <v>75.430998496922996</v>
      </c>
      <c r="AL3962">
        <v>76.471017462101798</v>
      </c>
      <c r="AM3962">
        <v>93.083383269872897</v>
      </c>
      <c r="AN3962">
        <v>1.0000000074323101</v>
      </c>
    </row>
    <row r="3963" spans="1:40" x14ac:dyDescent="0.25">
      <c r="A3963" t="str">
        <f>"20190303170849188"</f>
        <v>20190303170849188</v>
      </c>
      <c r="B3963" t="str">
        <f>"1551604129177408"</f>
        <v>1551604129177408</v>
      </c>
      <c r="C3963" t="s">
        <v>40</v>
      </c>
      <c r="D3963">
        <v>5.0895390000000003</v>
      </c>
      <c r="E3963">
        <v>0.40966190000000002</v>
      </c>
      <c r="F3963" t="s">
        <v>96</v>
      </c>
      <c r="G3963">
        <v>-400.62060000000002</v>
      </c>
      <c r="H3963">
        <v>2.4315509999999998</v>
      </c>
      <c r="I3963">
        <v>0.67448430000000004</v>
      </c>
      <c r="J3963">
        <v>-423.06240000000003</v>
      </c>
      <c r="K3963">
        <v>1.120519</v>
      </c>
      <c r="L3963">
        <v>72.497559999999993</v>
      </c>
      <c r="M3963">
        <v>9.7250849999999996E-3</v>
      </c>
      <c r="N3963">
        <v>-1.4357150000000001E-2</v>
      </c>
      <c r="O3963">
        <v>-0.99984969999999995</v>
      </c>
      <c r="P3963">
        <v>6.2427099999999999E-2</v>
      </c>
      <c r="Q3963">
        <v>0.22183050000000001</v>
      </c>
      <c r="R3963">
        <v>-0.97308499999999998</v>
      </c>
      <c r="S3963">
        <v>0.93692019999999998</v>
      </c>
      <c r="T3963">
        <v>5.4729699999999999E-2</v>
      </c>
      <c r="U3963">
        <v>-3.0086059999999999</v>
      </c>
      <c r="V3963">
        <v>-5.2443249999999997E-2</v>
      </c>
      <c r="W3963">
        <v>0.235902</v>
      </c>
      <c r="X3963">
        <v>0.97036080000000002</v>
      </c>
      <c r="Y3963">
        <v>-0.28788580000000003</v>
      </c>
      <c r="Z3963">
        <v>-3.1721739999999998E-2</v>
      </c>
      <c r="AA3963">
        <v>0.95713919999999997</v>
      </c>
      <c r="AB3963">
        <v>31</v>
      </c>
      <c r="AC3963">
        <v>22.441800000000001</v>
      </c>
      <c r="AD3963">
        <v>1.31103199999999</v>
      </c>
      <c r="AE3963">
        <v>-71.823075699999904</v>
      </c>
      <c r="AF3963">
        <v>-21.735583023947299</v>
      </c>
      <c r="AG3963">
        <v>1.31103199999999</v>
      </c>
      <c r="AH3963">
        <v>72.016088311478498</v>
      </c>
      <c r="AI3963">
        <v>89.001537846432896</v>
      </c>
      <c r="AJ3963">
        <v>106.794636380453</v>
      </c>
      <c r="AK3963">
        <v>75.236104032456396</v>
      </c>
      <c r="AL3963">
        <v>76.355202364802096</v>
      </c>
      <c r="AM3963">
        <v>93.093546731489198</v>
      </c>
      <c r="AN3963">
        <v>1.00000006512559</v>
      </c>
    </row>
    <row r="3964" spans="1:40" x14ac:dyDescent="0.25">
      <c r="A3964" t="str">
        <f>"20190303170849212"</f>
        <v>20190303170849212</v>
      </c>
      <c r="B3964" t="str">
        <f>"1551604129207665"</f>
        <v>1551604129207665</v>
      </c>
      <c r="C3964" t="s">
        <v>40</v>
      </c>
      <c r="D3964">
        <v>5.0606479999999996</v>
      </c>
      <c r="E3964">
        <v>0.40786689999999998</v>
      </c>
      <c r="F3964" t="s">
        <v>96</v>
      </c>
      <c r="G3964">
        <v>-400.44240000000002</v>
      </c>
      <c r="H3964">
        <v>2.6331009999999999</v>
      </c>
      <c r="I3964">
        <v>0.67629619999999901</v>
      </c>
      <c r="J3964">
        <v>-423.06040000000002</v>
      </c>
      <c r="K3964">
        <v>1.1205320000000001</v>
      </c>
      <c r="L3964">
        <v>72.180660000000003</v>
      </c>
      <c r="M3964">
        <v>8.6578579999999992E-3</v>
      </c>
      <c r="N3964">
        <v>-1.435381E-2</v>
      </c>
      <c r="O3964">
        <v>-0.99985950000000001</v>
      </c>
      <c r="P3964">
        <v>6.0893509999999998E-2</v>
      </c>
      <c r="Q3964">
        <v>0.2232817</v>
      </c>
      <c r="R3964">
        <v>-0.9728502</v>
      </c>
      <c r="S3964">
        <v>0.94729609999999997</v>
      </c>
      <c r="T3964">
        <v>6.3343999999999998E-2</v>
      </c>
      <c r="U3964">
        <v>-3.0077820000000002</v>
      </c>
      <c r="V3964">
        <v>-5.1948800000000003E-2</v>
      </c>
      <c r="W3964">
        <v>0.23734369999999999</v>
      </c>
      <c r="X3964">
        <v>0.97003569999999995</v>
      </c>
      <c r="Y3964">
        <v>-0.29196519999999998</v>
      </c>
      <c r="Z3964">
        <v>-3.4438240000000002E-2</v>
      </c>
      <c r="AA3964">
        <v>0.95580869999999996</v>
      </c>
      <c r="AB3964">
        <v>31</v>
      </c>
      <c r="AC3964">
        <v>22.617999999999899</v>
      </c>
      <c r="AD3964">
        <v>1.5125690000000001</v>
      </c>
      <c r="AE3964">
        <v>-71.504363799999993</v>
      </c>
      <c r="AF3964">
        <v>-21.989069168215501</v>
      </c>
      <c r="AG3964">
        <v>1.5125690000000001</v>
      </c>
      <c r="AH3964">
        <v>71.668374224617494</v>
      </c>
      <c r="AI3964">
        <v>88.844112479219305</v>
      </c>
      <c r="AJ3964">
        <v>107.05689900842501</v>
      </c>
      <c r="AK3964">
        <v>74.981083560216305</v>
      </c>
      <c r="AL3964">
        <v>76.270183539353496</v>
      </c>
      <c r="AM3964">
        <v>93.065460804254002</v>
      </c>
      <c r="AN3964">
        <v>0.99999998451280903</v>
      </c>
    </row>
    <row r="3965" spans="1:40" x14ac:dyDescent="0.25">
      <c r="A3965" t="str">
        <f>"20190303170849233"</f>
        <v>20190303170849233</v>
      </c>
      <c r="B3965" t="str">
        <f>"1551604129227185"</f>
        <v>1551604129227185</v>
      </c>
      <c r="C3965" t="s">
        <v>40</v>
      </c>
      <c r="D3965">
        <v>5.0847559999999996</v>
      </c>
      <c r="E3965">
        <v>0.40696080000000001</v>
      </c>
      <c r="F3965" t="s">
        <v>96</v>
      </c>
      <c r="G3965">
        <v>-400.30360000000002</v>
      </c>
      <c r="H3965">
        <v>2.829949</v>
      </c>
      <c r="I3965">
        <v>0.67770769999999902</v>
      </c>
      <c r="J3965">
        <v>-423.05900000000003</v>
      </c>
      <c r="K3965">
        <v>1.120544</v>
      </c>
      <c r="L3965">
        <v>71.875919999999994</v>
      </c>
      <c r="M3965">
        <v>7.6379569999999999E-3</v>
      </c>
      <c r="N3965">
        <v>-1.435059E-2</v>
      </c>
      <c r="O3965">
        <v>-0.99986779999999997</v>
      </c>
      <c r="P3965">
        <v>5.948121E-2</v>
      </c>
      <c r="Q3965">
        <v>0.22356409999999999</v>
      </c>
      <c r="R3965">
        <v>-0.97287259999999998</v>
      </c>
      <c r="S3965">
        <v>0.95712280000000005</v>
      </c>
      <c r="T3965">
        <v>7.1894760000000002E-2</v>
      </c>
      <c r="U3965">
        <v>-3.0073240000000001</v>
      </c>
      <c r="V3965">
        <v>-5.1531680000000003E-2</v>
      </c>
      <c r="W3965">
        <v>0.2376212</v>
      </c>
      <c r="X3965">
        <v>0.96999000000000002</v>
      </c>
      <c r="Y3965">
        <v>-0.29579529999999998</v>
      </c>
      <c r="Z3965">
        <v>-3.7127889999999997E-2</v>
      </c>
      <c r="AA3965">
        <v>0.95452959999999998</v>
      </c>
      <c r="AB3965">
        <v>31</v>
      </c>
      <c r="AC3965">
        <v>22.755400000000002</v>
      </c>
      <c r="AD3965">
        <v>1.7094049999999901</v>
      </c>
      <c r="AE3965">
        <v>-71.198212299999994</v>
      </c>
      <c r="AF3965">
        <v>-22.199260697245101</v>
      </c>
      <c r="AG3965">
        <v>1.7094049999999901</v>
      </c>
      <c r="AH3965">
        <v>71.332649881351301</v>
      </c>
      <c r="AI3965">
        <v>88.689219961415802</v>
      </c>
      <c r="AJ3965">
        <v>107.286537247442</v>
      </c>
      <c r="AK3965">
        <v>74.726676495437204</v>
      </c>
      <c r="AL3965">
        <v>76.253815564944702</v>
      </c>
      <c r="AM3965">
        <v>93.041036238825995</v>
      </c>
      <c r="AN3965">
        <v>0.99999997441652999</v>
      </c>
    </row>
    <row r="3966" spans="1:40" x14ac:dyDescent="0.25">
      <c r="A3966" t="str">
        <f>"20190303170849255"</f>
        <v>20190303170849255</v>
      </c>
      <c r="B3966" t="str">
        <f>"1551604129247681"</f>
        <v>1551604129247681</v>
      </c>
      <c r="C3966" t="s">
        <v>40</v>
      </c>
      <c r="D3966">
        <v>5.0799269999999996</v>
      </c>
      <c r="E3966">
        <v>0.4061978</v>
      </c>
      <c r="F3966" t="s">
        <v>96</v>
      </c>
      <c r="G3966">
        <v>-400.34399999999999</v>
      </c>
      <c r="H3966">
        <v>2.911184</v>
      </c>
      <c r="I3966">
        <v>0.67729569999999995</v>
      </c>
      <c r="J3966">
        <v>-423.05770000000001</v>
      </c>
      <c r="K3966">
        <v>1.120552</v>
      </c>
      <c r="L3966">
        <v>71.566100000000006</v>
      </c>
      <c r="M3966">
        <v>6.6113400000000003E-3</v>
      </c>
      <c r="N3966">
        <v>-1.4347240000000001E-2</v>
      </c>
      <c r="O3966">
        <v>-0.99987510000000002</v>
      </c>
      <c r="P3966">
        <v>5.8131929999999998E-2</v>
      </c>
      <c r="Q3966">
        <v>0.22277440000000001</v>
      </c>
      <c r="R3966">
        <v>-0.97313510000000003</v>
      </c>
      <c r="S3966">
        <v>0.95953370000000004</v>
      </c>
      <c r="T3966">
        <v>7.5639960000000006E-2</v>
      </c>
      <c r="U3966">
        <v>-3.0075989999999999</v>
      </c>
      <c r="V3966">
        <v>-5.118665E-2</v>
      </c>
      <c r="W3966">
        <v>0.23682909999999999</v>
      </c>
      <c r="X3966">
        <v>0.97020200000000001</v>
      </c>
      <c r="Y3966">
        <v>-0.29743409999999998</v>
      </c>
      <c r="Z3966">
        <v>-3.83024E-2</v>
      </c>
      <c r="AA3966">
        <v>0.95397370000000004</v>
      </c>
      <c r="AB3966">
        <v>31</v>
      </c>
      <c r="AC3966">
        <v>22.713699999999999</v>
      </c>
      <c r="AD3966">
        <v>1.790632</v>
      </c>
      <c r="AE3966">
        <v>-70.888804299999904</v>
      </c>
      <c r="AF3966">
        <v>-22.2316209324159</v>
      </c>
      <c r="AG3966">
        <v>1.790632</v>
      </c>
      <c r="AH3966">
        <v>70.996356310315406</v>
      </c>
      <c r="AI3966">
        <v>88.621213554535402</v>
      </c>
      <c r="AJ3966">
        <v>107.38729456927101</v>
      </c>
      <c r="AK3966">
        <v>74.417295984087701</v>
      </c>
      <c r="AL3966">
        <v>76.300533594299495</v>
      </c>
      <c r="AM3966">
        <v>93.020054000307894</v>
      </c>
      <c r="AN3966">
        <v>1.00000000827451</v>
      </c>
    </row>
    <row r="3967" spans="1:40" x14ac:dyDescent="0.25">
      <c r="A3967" t="str">
        <f>"20190303170849276"</f>
        <v>20190303170849276</v>
      </c>
      <c r="B3967" t="str">
        <f>"1551604129267201"</f>
        <v>1551604129267201</v>
      </c>
      <c r="C3967" t="s">
        <v>40</v>
      </c>
      <c r="D3967">
        <v>5.0850489999999997</v>
      </c>
      <c r="E3967">
        <v>0.40557260000000001</v>
      </c>
      <c r="F3967" t="s">
        <v>96</v>
      </c>
      <c r="G3967">
        <v>-400.40690000000001</v>
      </c>
      <c r="H3967">
        <v>2.8944779999999999</v>
      </c>
      <c r="I3967">
        <v>0.676656699999999</v>
      </c>
      <c r="J3967">
        <v>-423.05680000000001</v>
      </c>
      <c r="K3967">
        <v>1.1205639999999999</v>
      </c>
      <c r="L3967">
        <v>71.265199999999993</v>
      </c>
      <c r="M3967">
        <v>5.6347109999999997E-3</v>
      </c>
      <c r="N3967">
        <v>-1.434392E-2</v>
      </c>
      <c r="O3967">
        <v>-0.99988140000000003</v>
      </c>
      <c r="P3967">
        <v>5.6059100000000001E-2</v>
      </c>
      <c r="Q3967">
        <v>0.2228011</v>
      </c>
      <c r="R3967">
        <v>-0.97325079999999997</v>
      </c>
      <c r="S3967">
        <v>0.96118159999999997</v>
      </c>
      <c r="T3967">
        <v>7.5275060000000005E-2</v>
      </c>
      <c r="U3967">
        <v>-3.0081790000000002</v>
      </c>
      <c r="V3967">
        <v>-5.0072819999999997E-2</v>
      </c>
      <c r="W3967">
        <v>0.23684949999999999</v>
      </c>
      <c r="X3967">
        <v>0.97025510000000004</v>
      </c>
      <c r="Y3967">
        <v>-0.29878860000000002</v>
      </c>
      <c r="Z3967">
        <v>-3.8174430000000002E-2</v>
      </c>
      <c r="AA3967">
        <v>0.9535555</v>
      </c>
      <c r="AB3967">
        <v>31</v>
      </c>
      <c r="AC3967">
        <v>22.649899999999999</v>
      </c>
      <c r="AD3967">
        <v>1.773914</v>
      </c>
      <c r="AE3967">
        <v>-70.588543299999998</v>
      </c>
      <c r="AF3967">
        <v>-22.239019801215701</v>
      </c>
      <c r="AG3967">
        <v>1.773914</v>
      </c>
      <c r="AH3967">
        <v>70.674594254040102</v>
      </c>
      <c r="AI3967">
        <v>88.628464883492995</v>
      </c>
      <c r="AJ3967">
        <v>107.467110674989</v>
      </c>
      <c r="AK3967">
        <v>74.112205779962196</v>
      </c>
      <c r="AL3967">
        <v>76.299329941600604</v>
      </c>
      <c r="AM3967">
        <v>92.954293440388497</v>
      </c>
      <c r="AN3967">
        <v>0.99999996601450503</v>
      </c>
    </row>
    <row r="3968" spans="1:40" x14ac:dyDescent="0.25">
      <c r="A3968" t="str">
        <f>"20190303170849299"</f>
        <v>20190303170849299</v>
      </c>
      <c r="B3968" t="str">
        <f>"1551604129287699"</f>
        <v>1551604129287699</v>
      </c>
      <c r="C3968" t="s">
        <v>40</v>
      </c>
      <c r="D3968">
        <v>5.0718809999999896</v>
      </c>
      <c r="E3968">
        <v>0.40497339999999998</v>
      </c>
      <c r="F3968" t="s">
        <v>96</v>
      </c>
      <c r="G3968">
        <v>-400.54059999999998</v>
      </c>
      <c r="H3968">
        <v>2.9333019999999999</v>
      </c>
      <c r="I3968">
        <v>0.67529680000000003</v>
      </c>
      <c r="J3968">
        <v>-423.05619999999999</v>
      </c>
      <c r="K3968">
        <v>1.12059</v>
      </c>
      <c r="L3968">
        <v>70.962829999999997</v>
      </c>
      <c r="M3968">
        <v>4.6905609999999898E-3</v>
      </c>
      <c r="N3968">
        <v>-1.4340439999999999E-2</v>
      </c>
      <c r="O3968">
        <v>-0.99988600000000005</v>
      </c>
      <c r="P3968">
        <v>5.313317E-2</v>
      </c>
      <c r="Q3968">
        <v>0.22398170000000001</v>
      </c>
      <c r="R3968">
        <v>-0.97314409999999896</v>
      </c>
      <c r="S3968">
        <v>0.95993039999999996</v>
      </c>
      <c r="T3968">
        <v>7.7281359999999993E-2</v>
      </c>
      <c r="U3968">
        <v>-3.0094599999999998</v>
      </c>
      <c r="V3968">
        <v>-4.8079810000000001E-2</v>
      </c>
      <c r="W3968">
        <v>0.2380167</v>
      </c>
      <c r="X3968">
        <v>0.97007030000000005</v>
      </c>
      <c r="Y3968">
        <v>-0.29920619999999998</v>
      </c>
      <c r="Z3968">
        <v>-3.879821E-2</v>
      </c>
      <c r="AA3968">
        <v>0.95339940000000001</v>
      </c>
      <c r="AB3968">
        <v>31</v>
      </c>
      <c r="AC3968">
        <v>22.515599999999999</v>
      </c>
      <c r="AD3968">
        <v>1.8127120000000001</v>
      </c>
      <c r="AE3968">
        <v>-70.287533199999999</v>
      </c>
      <c r="AF3968">
        <v>-22.172255546035</v>
      </c>
      <c r="AG3968">
        <v>1.8127120000000001</v>
      </c>
      <c r="AH3968">
        <v>70.349944866784497</v>
      </c>
      <c r="AI3968">
        <v>88.592217052529406</v>
      </c>
      <c r="AJ3968">
        <v>107.493334923207</v>
      </c>
      <c r="AK3968">
        <v>73.783531926529804</v>
      </c>
      <c r="AL3968">
        <v>76.230486130165303</v>
      </c>
      <c r="AM3968">
        <v>92.837441577242402</v>
      </c>
      <c r="AN3968">
        <v>1.0000000022752999</v>
      </c>
    </row>
    <row r="3969" spans="1:40" x14ac:dyDescent="0.25">
      <c r="A3969" t="str">
        <f>"20190303170849322"</f>
        <v>20190303170849322</v>
      </c>
      <c r="B3969" t="str">
        <f>"1551604129317953"</f>
        <v>1551604129317953</v>
      </c>
      <c r="C3969" t="s">
        <v>40</v>
      </c>
      <c r="D3969">
        <v>5.0902589999999996</v>
      </c>
      <c r="E3969">
        <v>0.40407320000000002</v>
      </c>
      <c r="F3969" t="s">
        <v>96</v>
      </c>
      <c r="G3969">
        <v>-400.72770000000003</v>
      </c>
      <c r="H3969">
        <v>3.0563060000000002</v>
      </c>
      <c r="I3969">
        <v>0.67339709999999997</v>
      </c>
      <c r="J3969">
        <v>-423.0557</v>
      </c>
      <c r="K3969">
        <v>1.1206389999999999</v>
      </c>
      <c r="L3969">
        <v>70.633089999999996</v>
      </c>
      <c r="M3969">
        <v>3.7244660000000001E-3</v>
      </c>
      <c r="N3969">
        <v>-1.433631E-2</v>
      </c>
      <c r="O3969">
        <v>-0.99989059999999996</v>
      </c>
      <c r="P3969">
        <v>4.9897089999999998E-2</v>
      </c>
      <c r="Q3969">
        <v>0.2243079</v>
      </c>
      <c r="R3969">
        <v>-0.97324069999999996</v>
      </c>
      <c r="S3969">
        <v>0.95663450000000005</v>
      </c>
      <c r="T3969">
        <v>8.2932469999999994E-2</v>
      </c>
      <c r="U3969">
        <v>-3.0114749999999999</v>
      </c>
      <c r="V3969">
        <v>-4.5809030000000001E-2</v>
      </c>
      <c r="W3969">
        <v>0.23832929999999999</v>
      </c>
      <c r="X3969">
        <v>0.97010339999999995</v>
      </c>
      <c r="Y3969">
        <v>-0.29897829999999997</v>
      </c>
      <c r="Z3969">
        <v>-4.0572520000000001E-2</v>
      </c>
      <c r="AA3969">
        <v>0.95339700000000005</v>
      </c>
      <c r="AB3969">
        <v>31</v>
      </c>
      <c r="AC3969">
        <v>22.3279999999999</v>
      </c>
      <c r="AD3969">
        <v>1.935667</v>
      </c>
      <c r="AE3969">
        <v>-69.959692899999993</v>
      </c>
      <c r="AF3969">
        <v>-22.051934953524</v>
      </c>
      <c r="AG3969">
        <v>1.935667</v>
      </c>
      <c r="AH3969">
        <v>69.993746636688797</v>
      </c>
      <c r="AI3969">
        <v>88.489074300819894</v>
      </c>
      <c r="AJ3969">
        <v>107.487335123183</v>
      </c>
      <c r="AK3969">
        <v>73.410892993957901</v>
      </c>
      <c r="AL3969">
        <v>76.212044247947503</v>
      </c>
      <c r="AM3969">
        <v>92.703542593570901</v>
      </c>
      <c r="AN3969">
        <v>0.99999996457979401</v>
      </c>
    </row>
    <row r="3970" spans="1:40" x14ac:dyDescent="0.25">
      <c r="A3970" t="str">
        <f>"20190303170849348"</f>
        <v>20190303170849348</v>
      </c>
      <c r="B3970" t="str">
        <f>"1551604129337473"</f>
        <v>1551604129337473</v>
      </c>
      <c r="C3970" t="s">
        <v>40</v>
      </c>
      <c r="D3970">
        <v>5.1844839999999897</v>
      </c>
      <c r="E3970">
        <v>0.40371469999999998</v>
      </c>
      <c r="F3970" t="s">
        <v>96</v>
      </c>
      <c r="G3970">
        <v>-400.89240000000001</v>
      </c>
      <c r="H3970">
        <v>3.1309999999999998</v>
      </c>
      <c r="I3970">
        <v>0.67172240000000005</v>
      </c>
      <c r="J3970">
        <v>-423.05549999999999</v>
      </c>
      <c r="K3970">
        <v>1.1207039999999999</v>
      </c>
      <c r="L3970">
        <v>70.284700000000001</v>
      </c>
      <c r="M3970">
        <v>2.7962070000000002E-3</v>
      </c>
      <c r="N3970">
        <v>-1.433181E-2</v>
      </c>
      <c r="O3970">
        <v>-0.99989340000000004</v>
      </c>
      <c r="P3970">
        <v>4.6391490000000001E-2</v>
      </c>
      <c r="Q3970">
        <v>0.22318250000000001</v>
      </c>
      <c r="R3970">
        <v>-0.97367239999999999</v>
      </c>
      <c r="S3970">
        <v>0.95468140000000001</v>
      </c>
      <c r="T3970">
        <v>8.6594939999999995E-2</v>
      </c>
      <c r="U3970">
        <v>-3.0135800000000001</v>
      </c>
      <c r="V3970">
        <v>-4.324745E-2</v>
      </c>
      <c r="W3970">
        <v>0.23719270000000001</v>
      </c>
      <c r="X3970">
        <v>0.97049949999999996</v>
      </c>
      <c r="Y3970">
        <v>-0.2990987</v>
      </c>
      <c r="Z3970">
        <v>-4.1711949999999998E-2</v>
      </c>
      <c r="AA3970">
        <v>0.95331010000000005</v>
      </c>
      <c r="AB3970">
        <v>31</v>
      </c>
      <c r="AC3970">
        <v>22.163099999999901</v>
      </c>
      <c r="AD3970">
        <v>2.0102959999999999</v>
      </c>
      <c r="AE3970">
        <v>-69.612977599999994</v>
      </c>
      <c r="AF3970">
        <v>-21.9517192709671</v>
      </c>
      <c r="AG3970">
        <v>2.0102959999999999</v>
      </c>
      <c r="AH3970">
        <v>69.621966819981907</v>
      </c>
      <c r="AI3970">
        <v>88.422584465088093</v>
      </c>
      <c r="AJ3970">
        <v>107.499998093657</v>
      </c>
      <c r="AK3970">
        <v>73.028333767392098</v>
      </c>
      <c r="AL3970">
        <v>76.279089724976004</v>
      </c>
      <c r="AM3970">
        <v>92.551529525081193</v>
      </c>
      <c r="AN3970">
        <v>0.99999999918252103</v>
      </c>
    </row>
    <row r="3971" spans="1:40" x14ac:dyDescent="0.25">
      <c r="A3971" t="str">
        <f>"20190303170849389"</f>
        <v>20190303170849389</v>
      </c>
      <c r="B3971" t="str">
        <f>"1551604129377489"</f>
        <v>1551604129377489</v>
      </c>
      <c r="C3971" t="s">
        <v>40</v>
      </c>
      <c r="D3971">
        <v>5.1440590000000004</v>
      </c>
      <c r="E3971">
        <v>0.47205730000000001</v>
      </c>
      <c r="F3971" t="s">
        <v>96</v>
      </c>
      <c r="G3971">
        <v>-401.1825</v>
      </c>
      <c r="H3971">
        <v>3.08643</v>
      </c>
      <c r="I3971">
        <v>0.66876979999999997</v>
      </c>
      <c r="J3971">
        <v>-423.05549999999999</v>
      </c>
      <c r="K3971">
        <v>1.120838</v>
      </c>
      <c r="L3971">
        <v>69.726619999999997</v>
      </c>
      <c r="M3971">
        <v>1.5839459999999999E-3</v>
      </c>
      <c r="N3971">
        <v>-1.432491E-2</v>
      </c>
      <c r="O3971">
        <v>-0.99989609999999995</v>
      </c>
      <c r="P3971">
        <v>3.9333989999999999E-2</v>
      </c>
      <c r="Q3971">
        <v>0.2215329</v>
      </c>
      <c r="R3971">
        <v>-0.97435919999999998</v>
      </c>
      <c r="S3971">
        <v>0.94775390000000004</v>
      </c>
      <c r="T3971">
        <v>8.5173609999999997E-2</v>
      </c>
      <c r="U3971">
        <v>-3.0164490000000002</v>
      </c>
      <c r="V3971">
        <v>-3.7454149999999999E-2</v>
      </c>
      <c r="W3971">
        <v>0.23552239999999999</v>
      </c>
      <c r="X3971">
        <v>0.97114690000000004</v>
      </c>
      <c r="Y3971">
        <v>-0.29800759999999998</v>
      </c>
      <c r="Z3971">
        <v>-4.1248180000000002E-2</v>
      </c>
      <c r="AA3971">
        <v>0.95367190000000002</v>
      </c>
      <c r="AB3971">
        <v>31</v>
      </c>
      <c r="AC3971">
        <v>21.872999999999902</v>
      </c>
      <c r="AD3971">
        <v>1.96559199999999</v>
      </c>
      <c r="AE3971">
        <v>-69.057850199999905</v>
      </c>
      <c r="AF3971">
        <v>-21.747565184892299</v>
      </c>
      <c r="AG3971">
        <v>1.96559199999999</v>
      </c>
      <c r="AH3971">
        <v>69.041579019595801</v>
      </c>
      <c r="AI3971">
        <v>88.444549324941704</v>
      </c>
      <c r="AJ3971">
        <v>107.484025526605</v>
      </c>
      <c r="AK3971">
        <v>72.412428331749098</v>
      </c>
      <c r="AL3971">
        <v>76.377580957084206</v>
      </c>
      <c r="AM3971">
        <v>92.208627442400598</v>
      </c>
      <c r="AN3971">
        <v>0.99999995781679496</v>
      </c>
    </row>
    <row r="3972" spans="1:40" x14ac:dyDescent="0.25">
      <c r="A3972" t="str">
        <f>"20190303170849412"</f>
        <v>20190303170849412</v>
      </c>
      <c r="B3972" t="str">
        <f>"1551604129407746"</f>
        <v>1551604129407746</v>
      </c>
      <c r="C3972" t="s">
        <v>40</v>
      </c>
      <c r="D3972">
        <v>5.0667330000000002</v>
      </c>
      <c r="E3972">
        <v>0.55689</v>
      </c>
      <c r="F3972" t="s">
        <v>96</v>
      </c>
      <c r="G3972">
        <v>-414.33010000000002</v>
      </c>
      <c r="H3972">
        <v>1.347086</v>
      </c>
      <c r="I3972">
        <v>0.53505130000000001</v>
      </c>
      <c r="J3972">
        <v>-423.0557</v>
      </c>
      <c r="K3972">
        <v>1.120933</v>
      </c>
      <c r="L3972">
        <v>69.405180000000001</v>
      </c>
      <c r="M3972">
        <v>1.0384999999999999E-3</v>
      </c>
      <c r="N3972">
        <v>-1.432103E-2</v>
      </c>
      <c r="O3972">
        <v>-0.99989680000000003</v>
      </c>
      <c r="P3972">
        <v>3.6532719999999998E-2</v>
      </c>
      <c r="Q3972">
        <v>0.222527</v>
      </c>
      <c r="R3972">
        <v>-0.97424189999999999</v>
      </c>
      <c r="S3972">
        <v>0.38601679999999999</v>
      </c>
      <c r="T3972">
        <v>1.0008339999999999E-2</v>
      </c>
      <c r="U3972">
        <v>-3.061096</v>
      </c>
      <c r="V3972">
        <v>-3.5230530000000003E-2</v>
      </c>
      <c r="W3972">
        <v>0.23650060000000001</v>
      </c>
      <c r="X3972">
        <v>0.97099239999999998</v>
      </c>
      <c r="Y3972">
        <v>-0.1240536</v>
      </c>
      <c r="Z3972">
        <v>-1.756371E-2</v>
      </c>
      <c r="AA3972">
        <v>0.99212009999999995</v>
      </c>
      <c r="AB3972">
        <v>31</v>
      </c>
      <c r="AC3972">
        <v>8.7255999999999805</v>
      </c>
      <c r="AD3972">
        <v>0.22615299999999999</v>
      </c>
      <c r="AE3972">
        <v>-68.870128699999995</v>
      </c>
      <c r="AF3972">
        <v>-8.6539744796930709</v>
      </c>
      <c r="AG3972">
        <v>0.22615299999999999</v>
      </c>
      <c r="AH3972">
        <v>68.878423032825793</v>
      </c>
      <c r="AI3972">
        <v>89.813345184461298</v>
      </c>
      <c r="AJ3972">
        <v>97.161191875026404</v>
      </c>
      <c r="AK3972">
        <v>69.420310997311802</v>
      </c>
      <c r="AL3972">
        <v>76.319905229947906</v>
      </c>
      <c r="AM3972">
        <v>92.077951995506794</v>
      </c>
      <c r="AN3972">
        <v>0.9999999824511</v>
      </c>
    </row>
    <row r="3973" spans="1:40" x14ac:dyDescent="0.25">
      <c r="A3973" t="str">
        <f>"20190303170849438"</f>
        <v>20190303170849438</v>
      </c>
      <c r="B3973" t="str">
        <f>"1551604129427265"</f>
        <v>1551604129427265</v>
      </c>
      <c r="C3973" t="s">
        <v>40</v>
      </c>
      <c r="D3973">
        <v>4.9742699999999997</v>
      </c>
      <c r="E3973">
        <v>0.56894929999999999</v>
      </c>
      <c r="F3973" t="s">
        <v>96</v>
      </c>
      <c r="G3973">
        <v>-429.88339999999999</v>
      </c>
      <c r="H3973">
        <v>0.52403710000000003</v>
      </c>
      <c r="I3973">
        <v>-1.9824409999999999</v>
      </c>
      <c r="J3973">
        <v>-423.05599999999998</v>
      </c>
      <c r="K3973">
        <v>1.1210279999999999</v>
      </c>
      <c r="L3973">
        <v>69.055660000000003</v>
      </c>
      <c r="M3973">
        <v>5.6715789999999997E-4</v>
      </c>
      <c r="N3973">
        <v>-1.43169E-2</v>
      </c>
      <c r="O3973">
        <v>-0.99989749999999999</v>
      </c>
      <c r="P3973">
        <v>3.3600449999999997E-2</v>
      </c>
      <c r="Q3973">
        <v>0.22398199999999999</v>
      </c>
      <c r="R3973">
        <v>-0.97401400000000005</v>
      </c>
      <c r="S3973">
        <v>-0.29614259999999998</v>
      </c>
      <c r="T3973">
        <v>-2.5890710000000001E-2</v>
      </c>
      <c r="U3973">
        <v>-3.0963440000000002</v>
      </c>
      <c r="V3973">
        <v>-3.2804920000000001E-2</v>
      </c>
      <c r="W3973">
        <v>0.23793800000000001</v>
      </c>
      <c r="X3973">
        <v>0.97072619999999998</v>
      </c>
      <c r="Y3973">
        <v>9.5755629999999994E-2</v>
      </c>
      <c r="Z3973">
        <v>-5.9944280000000004E-3</v>
      </c>
      <c r="AA3973">
        <v>0.99538680000000002</v>
      </c>
      <c r="AB3973">
        <v>31</v>
      </c>
      <c r="AC3973">
        <v>-6.8274000000000097</v>
      </c>
      <c r="AD3973">
        <v>-0.59699089999999999</v>
      </c>
      <c r="AE3973">
        <v>-71.038100999999997</v>
      </c>
      <c r="AF3973">
        <v>6.86721229387864</v>
      </c>
      <c r="AG3973">
        <v>-0.59699089999999999</v>
      </c>
      <c r="AH3973">
        <v>71.029246499596198</v>
      </c>
      <c r="AI3973">
        <v>90.4793168429769</v>
      </c>
      <c r="AJ3973">
        <v>84.477723007134699</v>
      </c>
      <c r="AK3973">
        <v>71.362937587548103</v>
      </c>
      <c r="AL3973">
        <v>76.235128723494398</v>
      </c>
      <c r="AM3973">
        <v>91.935528708449596</v>
      </c>
      <c r="AN3973">
        <v>1.00000000499332</v>
      </c>
    </row>
    <row r="3974" spans="1:40" x14ac:dyDescent="0.25">
      <c r="A3974" t="str">
        <f>"20190303170849459"</f>
        <v>20190303170849459</v>
      </c>
      <c r="B3974" t="str">
        <f>"1551604129447762"</f>
        <v>1551604129447762</v>
      </c>
      <c r="C3974" t="s">
        <v>40</v>
      </c>
      <c r="D3974">
        <v>4.9496859999999998</v>
      </c>
      <c r="E3974">
        <v>0.57455249999999902</v>
      </c>
      <c r="F3974" t="s">
        <v>96</v>
      </c>
      <c r="G3974">
        <v>-432.53089999999997</v>
      </c>
      <c r="H3974">
        <v>0.55967549999999999</v>
      </c>
      <c r="I3974">
        <v>-4.1494059999999999</v>
      </c>
      <c r="J3974">
        <v>-423.05619999999999</v>
      </c>
      <c r="K3974">
        <v>1.1210910000000001</v>
      </c>
      <c r="L3974">
        <v>68.757869999999997</v>
      </c>
      <c r="M3974">
        <v>2.4395410000000001E-4</v>
      </c>
      <c r="N3974">
        <v>-1.4313370000000001E-2</v>
      </c>
      <c r="O3974">
        <v>-0.99989779999999995</v>
      </c>
      <c r="P3974">
        <v>3.018245E-2</v>
      </c>
      <c r="Q3974">
        <v>0.22398480000000001</v>
      </c>
      <c r="R3974">
        <v>-0.97412560000000004</v>
      </c>
      <c r="S3974">
        <v>-0.4011536</v>
      </c>
      <c r="T3974">
        <v>-2.3767710000000001E-2</v>
      </c>
      <c r="U3974">
        <v>-3.0993650000000001</v>
      </c>
      <c r="V3974">
        <v>-2.973872E-2</v>
      </c>
      <c r="W3974">
        <v>0.23793059999999999</v>
      </c>
      <c r="X3974">
        <v>0.97082679999999999</v>
      </c>
      <c r="Y3974">
        <v>0.1285792</v>
      </c>
      <c r="Z3974">
        <v>-6.7091440000000002E-3</v>
      </c>
      <c r="AA3974">
        <v>0.99167660000000002</v>
      </c>
      <c r="AB3974">
        <v>31</v>
      </c>
      <c r="AC3974">
        <v>-9.4746999999999808</v>
      </c>
      <c r="AD3974">
        <v>-0.56141549999999996</v>
      </c>
      <c r="AE3974">
        <v>-72.907275999999996</v>
      </c>
      <c r="AF3974">
        <v>9.4919340759724893</v>
      </c>
      <c r="AG3974">
        <v>-0.56141549999999996</v>
      </c>
      <c r="AH3974">
        <v>72.900711256702294</v>
      </c>
      <c r="AI3974">
        <v>90.437538615372205</v>
      </c>
      <c r="AJ3974">
        <v>82.581617370108503</v>
      </c>
      <c r="AK3974">
        <v>73.518199798412695</v>
      </c>
      <c r="AL3974">
        <v>76.235565441673003</v>
      </c>
      <c r="AM3974">
        <v>91.754556524567505</v>
      </c>
      <c r="AN3974">
        <v>1.0000000187409099</v>
      </c>
    </row>
    <row r="3975" spans="1:40" x14ac:dyDescent="0.25">
      <c r="A3975" t="str">
        <f>"20190303170849482"</f>
        <v>20190303170849482</v>
      </c>
      <c r="B3975" t="str">
        <f>"1551604129477041"</f>
        <v>1551604129477041</v>
      </c>
      <c r="C3975" t="s">
        <v>40</v>
      </c>
      <c r="D3975">
        <v>4.908722</v>
      </c>
      <c r="E3975">
        <v>0.57843990000000001</v>
      </c>
      <c r="F3975" t="s">
        <v>96</v>
      </c>
      <c r="G3975">
        <v>-433.95139999999998</v>
      </c>
      <c r="H3975">
        <v>0.3944628</v>
      </c>
      <c r="I3975">
        <v>-5.3121199999999904</v>
      </c>
      <c r="J3975">
        <v>-423.05650000000003</v>
      </c>
      <c r="K3975">
        <v>1.121132</v>
      </c>
      <c r="L3975">
        <v>68.447689999999994</v>
      </c>
      <c r="M3975" s="1">
        <v>-3.0589990000000003E-5</v>
      </c>
      <c r="N3975">
        <v>-1.430973E-2</v>
      </c>
      <c r="O3975">
        <v>-0.99989799999999995</v>
      </c>
      <c r="P3975">
        <v>2.8210249999999999E-2</v>
      </c>
      <c r="Q3975">
        <v>0.22292790000000001</v>
      </c>
      <c r="R3975">
        <v>-0.97442700000000004</v>
      </c>
      <c r="S3975">
        <v>-0.45611570000000001</v>
      </c>
      <c r="T3975">
        <v>-3.0420300000000001E-2</v>
      </c>
      <c r="U3975">
        <v>-3.1008300000000002</v>
      </c>
      <c r="V3975">
        <v>-2.8067129999999999E-2</v>
      </c>
      <c r="W3975">
        <v>0.23686940000000001</v>
      </c>
      <c r="X3975">
        <v>0.971136</v>
      </c>
      <c r="Y3975">
        <v>0.14547209999999999</v>
      </c>
      <c r="Z3975">
        <v>-4.6044909999999996E-3</v>
      </c>
      <c r="AA3975">
        <v>0.9893516</v>
      </c>
      <c r="AB3975">
        <v>31</v>
      </c>
      <c r="AC3975">
        <v>-10.8948999999999</v>
      </c>
      <c r="AD3975">
        <v>-0.72666920000000002</v>
      </c>
      <c r="AE3975">
        <v>-73.759810000000002</v>
      </c>
      <c r="AF3975">
        <v>10.891608900257999</v>
      </c>
      <c r="AG3975">
        <v>-0.72666920000000002</v>
      </c>
      <c r="AH3975">
        <v>73.753137743490399</v>
      </c>
      <c r="AI3975">
        <v>90.558444997015499</v>
      </c>
      <c r="AJ3975">
        <v>81.599473085434795</v>
      </c>
      <c r="AK3975">
        <v>74.556559198857101</v>
      </c>
      <c r="AL3975">
        <v>76.2981568832368</v>
      </c>
      <c r="AM3975">
        <v>91.655463875941294</v>
      </c>
      <c r="AN3975">
        <v>1.0000000034693901</v>
      </c>
    </row>
    <row r="3976" spans="1:40" x14ac:dyDescent="0.25">
      <c r="A3976" t="str">
        <f>"20190303170849525"</f>
        <v>20190303170849525</v>
      </c>
      <c r="B3976" t="str">
        <f>"1551604129517057"</f>
        <v>1551604129517057</v>
      </c>
      <c r="C3976" t="s">
        <v>40</v>
      </c>
      <c r="D3976">
        <v>4.8907600000000002</v>
      </c>
      <c r="E3976">
        <v>0.58101130000000001</v>
      </c>
      <c r="F3976" t="s">
        <v>96</v>
      </c>
      <c r="G3976">
        <v>-434.90030000000002</v>
      </c>
      <c r="H3976">
        <v>0.2265065</v>
      </c>
      <c r="I3976">
        <v>-6.0888229999999997</v>
      </c>
      <c r="J3976">
        <v>-423.05720000000002</v>
      </c>
      <c r="K3976">
        <v>1.121205</v>
      </c>
      <c r="L3976">
        <v>67.856319999999997</v>
      </c>
      <c r="M3976">
        <v>-4.4921069999999998E-4</v>
      </c>
      <c r="N3976">
        <v>-1.430266E-2</v>
      </c>
      <c r="O3976">
        <v>-0.9998977</v>
      </c>
      <c r="P3976">
        <v>2.351671E-2</v>
      </c>
      <c r="Q3976">
        <v>0.22119620000000001</v>
      </c>
      <c r="R3976">
        <v>-0.97494570000000003</v>
      </c>
      <c r="S3976">
        <v>-0.4928284</v>
      </c>
      <c r="T3976">
        <v>-3.7226919999999997E-2</v>
      </c>
      <c r="U3976">
        <v>-3.1015009999999998</v>
      </c>
      <c r="V3976">
        <v>-2.3824359999999999E-2</v>
      </c>
      <c r="W3976">
        <v>0.2351308</v>
      </c>
      <c r="X3976">
        <v>0.97167170000000003</v>
      </c>
      <c r="Y3976">
        <v>0.15645780000000001</v>
      </c>
      <c r="Z3976">
        <v>-2.4485959999999999E-3</v>
      </c>
      <c r="AA3976">
        <v>0.98768160000000005</v>
      </c>
      <c r="AB3976">
        <v>31</v>
      </c>
      <c r="AC3976">
        <v>-11.8430999999999</v>
      </c>
      <c r="AD3976">
        <v>-0.89469849999999995</v>
      </c>
      <c r="AE3976">
        <v>-73.945143000000002</v>
      </c>
      <c r="AF3976">
        <v>11.808193002955401</v>
      </c>
      <c r="AG3976">
        <v>-0.89469849999999995</v>
      </c>
      <c r="AH3976">
        <v>73.939902223381793</v>
      </c>
      <c r="AI3976">
        <v>90.684590884463404</v>
      </c>
      <c r="AJ3976">
        <v>80.926490638380301</v>
      </c>
      <c r="AK3976">
        <v>74.882194467070804</v>
      </c>
      <c r="AL3976">
        <v>76.400666792798503</v>
      </c>
      <c r="AM3976">
        <v>91.404550356853605</v>
      </c>
      <c r="AN3976">
        <v>0.99999999290946895</v>
      </c>
    </row>
    <row r="3977" spans="1:40" x14ac:dyDescent="0.25">
      <c r="A3977" t="str">
        <f>"20190303170849550"</f>
        <v>20190303170849550</v>
      </c>
      <c r="B3977" t="str">
        <f>"1551604129537553"</f>
        <v>1551604129537553</v>
      </c>
      <c r="C3977" t="s">
        <v>40</v>
      </c>
      <c r="D3977">
        <v>4.909599</v>
      </c>
      <c r="E3977">
        <v>0.58178419999999997</v>
      </c>
      <c r="F3977" t="s">
        <v>46</v>
      </c>
      <c r="G3977">
        <v>-436.68349999999998</v>
      </c>
      <c r="H3977">
        <v>-0.05</v>
      </c>
      <c r="I3977">
        <v>-12.097429999999999</v>
      </c>
      <c r="J3977">
        <v>-423.05759999999998</v>
      </c>
      <c r="K3977">
        <v>1.121229</v>
      </c>
      <c r="L3977">
        <v>67.527590000000004</v>
      </c>
      <c r="M3977">
        <v>-6.5522639999999999E-4</v>
      </c>
      <c r="N3977">
        <v>-1.429883E-2</v>
      </c>
      <c r="O3977">
        <v>-0.99989760000000005</v>
      </c>
      <c r="P3977">
        <v>2.2564609999999999E-2</v>
      </c>
      <c r="Q3977">
        <v>0.221001</v>
      </c>
      <c r="R3977">
        <v>-0.97501269999999995</v>
      </c>
      <c r="S3977">
        <v>-0.52835080000000001</v>
      </c>
      <c r="T3977">
        <v>-4.541278E-2</v>
      </c>
      <c r="U3977">
        <v>-3.1001590000000001</v>
      </c>
      <c r="V3977">
        <v>-2.3085089999999999E-2</v>
      </c>
      <c r="W3977">
        <v>0.23493149999999999</v>
      </c>
      <c r="X3977">
        <v>0.97173770000000004</v>
      </c>
      <c r="Y3977">
        <v>0.16732449999999999</v>
      </c>
      <c r="Z3977">
        <v>1.416299E-4</v>
      </c>
      <c r="AA3977">
        <v>0.9859019</v>
      </c>
      <c r="AB3977">
        <v>30</v>
      </c>
      <c r="AC3977">
        <v>-13.6259</v>
      </c>
      <c r="AD3977">
        <v>-1.1712290000000001</v>
      </c>
      <c r="AE3977">
        <v>-79.625019999999907</v>
      </c>
      <c r="AF3977">
        <v>13.570866622469399</v>
      </c>
      <c r="AG3977">
        <v>-1.1712290000000001</v>
      </c>
      <c r="AH3977">
        <v>79.617195693003794</v>
      </c>
      <c r="AI3977">
        <v>90.830822239812704</v>
      </c>
      <c r="AJ3977">
        <v>80.326816796562696</v>
      </c>
      <c r="AK3977">
        <v>80.773993638258105</v>
      </c>
      <c r="AL3977">
        <v>76.412414259909895</v>
      </c>
      <c r="AM3977">
        <v>91.360891404775003</v>
      </c>
      <c r="AN3977">
        <v>0.99999994433692196</v>
      </c>
    </row>
    <row r="3978" spans="1:40" x14ac:dyDescent="0.25">
      <c r="A3978" t="str">
        <f>"20190303170849575"</f>
        <v>20190303170849575</v>
      </c>
      <c r="B3978" t="str">
        <f>"1551604129567809"</f>
        <v>1551604129567809</v>
      </c>
      <c r="C3978" t="s">
        <v>40</v>
      </c>
      <c r="D3978">
        <v>4.8563619999999998</v>
      </c>
      <c r="E3978">
        <v>0.5825188</v>
      </c>
      <c r="F3978" t="s">
        <v>46</v>
      </c>
      <c r="G3978">
        <v>-436.69490000000002</v>
      </c>
      <c r="H3978">
        <v>-0.05</v>
      </c>
      <c r="I3978">
        <v>-11.10553</v>
      </c>
      <c r="J3978">
        <v>-423.05799999999999</v>
      </c>
      <c r="K3978">
        <v>1.121237</v>
      </c>
      <c r="L3978">
        <v>67.191100000000006</v>
      </c>
      <c r="M3978">
        <v>-8.6171109999999996E-4</v>
      </c>
      <c r="N3978">
        <v>-1.429506E-2</v>
      </c>
      <c r="O3978">
        <v>-0.99989760000000005</v>
      </c>
      <c r="P3978">
        <v>2.200597E-2</v>
      </c>
      <c r="Q3978">
        <v>0.2204306</v>
      </c>
      <c r="R3978">
        <v>-0.97515450000000004</v>
      </c>
      <c r="S3978">
        <v>-0.53759769999999996</v>
      </c>
      <c r="T3978">
        <v>-4.6170950000000002E-2</v>
      </c>
      <c r="U3978">
        <v>-3.0997919999999999</v>
      </c>
      <c r="V3978">
        <v>-2.2735709999999999E-2</v>
      </c>
      <c r="W3978">
        <v>0.2343586</v>
      </c>
      <c r="X3978">
        <v>0.97188430000000003</v>
      </c>
      <c r="Y3978">
        <v>0.16999520000000001</v>
      </c>
      <c r="Z3978">
        <v>3.813617E-4</v>
      </c>
      <c r="AA3978">
        <v>0.98544480000000001</v>
      </c>
      <c r="AB3978">
        <v>30</v>
      </c>
      <c r="AC3978">
        <v>-13.636899999999899</v>
      </c>
      <c r="AD3978">
        <v>-1.1712370000000001</v>
      </c>
      <c r="AE3978">
        <v>-78.296629999999993</v>
      </c>
      <c r="AF3978">
        <v>13.566472575115201</v>
      </c>
      <c r="AG3978">
        <v>-1.1712370000000001</v>
      </c>
      <c r="AH3978">
        <v>78.291349676365996</v>
      </c>
      <c r="AI3978">
        <v>90.844496710610798</v>
      </c>
      <c r="AJ3978">
        <v>80.169297905993602</v>
      </c>
      <c r="AK3978">
        <v>79.466699996844795</v>
      </c>
      <c r="AL3978">
        <v>76.446182247641801</v>
      </c>
      <c r="AM3978">
        <v>91.340100541928393</v>
      </c>
      <c r="AN3978">
        <v>0.99999997924482598</v>
      </c>
    </row>
    <row r="3979" spans="1:40" x14ac:dyDescent="0.25">
      <c r="A3979" t="str">
        <f>"20190303170849596"</f>
        <v>20190303170849596</v>
      </c>
      <c r="B3979" t="str">
        <f>"1551604129587329"</f>
        <v>1551604129587329</v>
      </c>
      <c r="C3979" t="s">
        <v>40</v>
      </c>
      <c r="D3979">
        <v>4.8302630000000004</v>
      </c>
      <c r="E3979">
        <v>0.58282889999999998</v>
      </c>
      <c r="F3979" t="s">
        <v>46</v>
      </c>
      <c r="G3979">
        <v>-436.0453</v>
      </c>
      <c r="H3979">
        <v>-0.05</v>
      </c>
      <c r="I3979">
        <v>-6.7421720000000001</v>
      </c>
      <c r="J3979">
        <v>-423.05860000000001</v>
      </c>
      <c r="K3979">
        <v>1.12124</v>
      </c>
      <c r="L3979">
        <v>66.89331</v>
      </c>
      <c r="M3979">
        <v>-1.0469419999999999E-3</v>
      </c>
      <c r="N3979">
        <v>-1.4291669999999999E-2</v>
      </c>
      <c r="O3979">
        <v>-0.99989760000000005</v>
      </c>
      <c r="P3979">
        <v>2.114098E-2</v>
      </c>
      <c r="Q3979">
        <v>0.2195493</v>
      </c>
      <c r="R3979">
        <v>-0.97537249999999998</v>
      </c>
      <c r="S3979">
        <v>-0.54452509999999998</v>
      </c>
      <c r="T3979">
        <v>-4.9106839999999999E-2</v>
      </c>
      <c r="U3979">
        <v>-3.0998230000000002</v>
      </c>
      <c r="V3979">
        <v>-2.2055100000000001E-2</v>
      </c>
      <c r="W3979">
        <v>0.2334764</v>
      </c>
      <c r="X3979">
        <v>0.97211230000000004</v>
      </c>
      <c r="Y3979">
        <v>0.17194619999999999</v>
      </c>
      <c r="Z3979">
        <v>1.3122590000000001E-3</v>
      </c>
      <c r="AA3979">
        <v>0.98510549999999997</v>
      </c>
      <c r="AB3979">
        <v>30</v>
      </c>
      <c r="AC3979">
        <v>-12.9866999999999</v>
      </c>
      <c r="AD3979">
        <v>-1.1712400000000001</v>
      </c>
      <c r="AE3979">
        <v>-73.635481999999996</v>
      </c>
      <c r="AF3979">
        <v>12.9064261482216</v>
      </c>
      <c r="AG3979">
        <v>-1.1712400000000001</v>
      </c>
      <c r="AH3979">
        <v>73.630972786728606</v>
      </c>
      <c r="AI3979">
        <v>90.897637661129707</v>
      </c>
      <c r="AJ3979">
        <v>80.057895271134697</v>
      </c>
      <c r="AK3979">
        <v>74.762743345713702</v>
      </c>
      <c r="AL3979">
        <v>76.498171090470095</v>
      </c>
      <c r="AM3979">
        <v>91.299692839548101</v>
      </c>
      <c r="AN3979">
        <v>0.99999999030213005</v>
      </c>
    </row>
    <row r="3980" spans="1:40" x14ac:dyDescent="0.25">
      <c r="A3980" t="str">
        <f>"20190303170849614"</f>
        <v>20190303170849614</v>
      </c>
      <c r="B3980" t="str">
        <f>"1551604129607825"</f>
        <v>1551604129607825</v>
      </c>
      <c r="C3980" t="s">
        <v>40</v>
      </c>
      <c r="D3980">
        <v>4.8719700000000001</v>
      </c>
      <c r="E3980">
        <v>0.58314790000000005</v>
      </c>
      <c r="F3980" t="s">
        <v>59</v>
      </c>
      <c r="G3980">
        <v>-433.9889</v>
      </c>
      <c r="H3980">
        <v>7.9987320000000001E-2</v>
      </c>
      <c r="I3980">
        <v>5.1901659999999996</v>
      </c>
      <c r="J3980">
        <v>-423.05900000000003</v>
      </c>
      <c r="K3980">
        <v>1.1212409999999999</v>
      </c>
      <c r="L3980">
        <v>66.649810000000002</v>
      </c>
      <c r="M3980">
        <v>-1.201571E-3</v>
      </c>
      <c r="N3980">
        <v>-1.428888E-2</v>
      </c>
      <c r="O3980">
        <v>-0.99989740000000005</v>
      </c>
      <c r="P3980">
        <v>2.0617070000000001E-2</v>
      </c>
      <c r="Q3980">
        <v>0.21884600000000001</v>
      </c>
      <c r="R3980">
        <v>-0.97554169999999996</v>
      </c>
      <c r="S3980">
        <v>-0.54904169999999997</v>
      </c>
      <c r="T3980">
        <v>-5.2303429999999998E-2</v>
      </c>
      <c r="U3980">
        <v>-3.0994259999999998</v>
      </c>
      <c r="V3980">
        <v>-2.1684330000000002E-2</v>
      </c>
      <c r="W3980">
        <v>0.23277249999999999</v>
      </c>
      <c r="X3980">
        <v>0.97228939999999997</v>
      </c>
      <c r="Y3980">
        <v>0.17320559999999999</v>
      </c>
      <c r="Z3980">
        <v>2.3289019999999999E-3</v>
      </c>
      <c r="AA3980">
        <v>0.98488299999999995</v>
      </c>
      <c r="AB3980">
        <v>30</v>
      </c>
      <c r="AC3980">
        <v>-10.9298999999999</v>
      </c>
      <c r="AD3980">
        <v>-1.0412536799999901</v>
      </c>
      <c r="AE3980">
        <v>-61.459643999999997</v>
      </c>
      <c r="AF3980">
        <v>10.853016777763299</v>
      </c>
      <c r="AG3980">
        <v>-1.0412536799999901</v>
      </c>
      <c r="AH3980">
        <v>61.455634954353002</v>
      </c>
      <c r="AI3980">
        <v>90.955891063471796</v>
      </c>
      <c r="AJ3980">
        <v>79.9848732638591</v>
      </c>
      <c r="AK3980">
        <v>62.4152805813386</v>
      </c>
      <c r="AL3980">
        <v>76.539643920178307</v>
      </c>
      <c r="AM3980">
        <v>91.277618228684801</v>
      </c>
      <c r="AN3980">
        <v>0.99999996213807796</v>
      </c>
    </row>
    <row r="3981" spans="1:40" x14ac:dyDescent="0.25">
      <c r="A3981" t="str">
        <f>"20190303170849635"</f>
        <v>20190303170849635</v>
      </c>
      <c r="B3981" t="str">
        <f>"1551604129627346"</f>
        <v>1551604129627346</v>
      </c>
      <c r="C3981" t="s">
        <v>40</v>
      </c>
      <c r="D3981">
        <v>4.8541980000000002</v>
      </c>
      <c r="E3981">
        <v>0.58341049999999905</v>
      </c>
      <c r="F3981" t="s">
        <v>59</v>
      </c>
      <c r="G3981">
        <v>-433.56319999999999</v>
      </c>
      <c r="H3981">
        <v>7.9987100000000005E-2</v>
      </c>
      <c r="I3981">
        <v>7.8204859999999998</v>
      </c>
      <c r="J3981">
        <v>-423.05950000000001</v>
      </c>
      <c r="K3981">
        <v>1.121246</v>
      </c>
      <c r="L3981">
        <v>66.363740000000007</v>
      </c>
      <c r="M3981">
        <v>-1.3872260000000001E-3</v>
      </c>
      <c r="N3981">
        <v>-1.4285590000000001E-2</v>
      </c>
      <c r="O3981">
        <v>-0.99989709999999998</v>
      </c>
      <c r="P3981">
        <v>1.9670880000000002E-2</v>
      </c>
      <c r="Q3981">
        <v>0.2201621</v>
      </c>
      <c r="R3981">
        <v>-0.9752651</v>
      </c>
      <c r="S3981">
        <v>-0.55337519999999996</v>
      </c>
      <c r="T3981">
        <v>-5.4854750000000001E-2</v>
      </c>
      <c r="U3981">
        <v>-3.0992130000000002</v>
      </c>
      <c r="V3981">
        <v>-2.091954E-2</v>
      </c>
      <c r="W3981">
        <v>0.23408090000000001</v>
      </c>
      <c r="X3981">
        <v>0.97199199999999997</v>
      </c>
      <c r="Y3981">
        <v>0.17436750000000001</v>
      </c>
      <c r="Z3981">
        <v>3.1400780000000001E-3</v>
      </c>
      <c r="AA3981">
        <v>0.98467559999999998</v>
      </c>
      <c r="AB3981">
        <v>30</v>
      </c>
      <c r="AC3981">
        <v>-10.503699999999901</v>
      </c>
      <c r="AD3981">
        <v>-1.0412589000000001</v>
      </c>
      <c r="AE3981">
        <v>-58.543253999999997</v>
      </c>
      <c r="AF3981">
        <v>10.4192755760943</v>
      </c>
      <c r="AG3981">
        <v>-1.0412589000000001</v>
      </c>
      <c r="AH3981">
        <v>58.539828794984899</v>
      </c>
      <c r="AI3981">
        <v>91.003259350521006</v>
      </c>
      <c r="AJ3981">
        <v>79.907832355834699</v>
      </c>
      <c r="AK3981">
        <v>59.468958953167899</v>
      </c>
      <c r="AL3981">
        <v>76.462548428830203</v>
      </c>
      <c r="AM3981">
        <v>91.232948763285194</v>
      </c>
      <c r="AN3981">
        <v>0.99999997148131003</v>
      </c>
    </row>
    <row r="3982" spans="1:40" x14ac:dyDescent="0.25">
      <c r="A3982" t="str">
        <f>"20190303170849657"</f>
        <v>20190303170849657</v>
      </c>
      <c r="B3982" t="str">
        <f>"1551604129647841"</f>
        <v>1551604129647841</v>
      </c>
      <c r="C3982" t="s">
        <v>40</v>
      </c>
      <c r="D3982">
        <v>4.8441619999999999</v>
      </c>
      <c r="E3982">
        <v>0.58353769999999905</v>
      </c>
      <c r="F3982" t="s">
        <v>46</v>
      </c>
      <c r="G3982">
        <v>-435.90960000000001</v>
      </c>
      <c r="H3982">
        <v>-0.05</v>
      </c>
      <c r="I3982">
        <v>-4.9623720000000002</v>
      </c>
      <c r="J3982">
        <v>-423.06020000000001</v>
      </c>
      <c r="K3982">
        <v>1.1212549999999999</v>
      </c>
      <c r="L3982">
        <v>66.070070000000001</v>
      </c>
      <c r="M3982">
        <v>-1.5810850000000001E-3</v>
      </c>
      <c r="N3982">
        <v>-1.428225E-2</v>
      </c>
      <c r="O3982">
        <v>-0.99989689999999998</v>
      </c>
      <c r="P3982">
        <v>1.8963310000000001E-2</v>
      </c>
      <c r="Q3982">
        <v>0.22100049999999999</v>
      </c>
      <c r="R3982">
        <v>-0.97508950000000005</v>
      </c>
      <c r="S3982">
        <v>-0.55828859999999902</v>
      </c>
      <c r="T3982">
        <v>-5.0886149999999998E-2</v>
      </c>
      <c r="U3982">
        <v>-3.098846</v>
      </c>
      <c r="V3982">
        <v>-2.0400850000000002E-2</v>
      </c>
      <c r="W3982">
        <v>0.23491300000000001</v>
      </c>
      <c r="X3982">
        <v>0.97180230000000001</v>
      </c>
      <c r="Y3982">
        <v>0.17571099999999901</v>
      </c>
      <c r="Z3982">
        <v>1.880996E-3</v>
      </c>
      <c r="AA3982">
        <v>0.98443999999999998</v>
      </c>
      <c r="AB3982">
        <v>30</v>
      </c>
      <c r="AC3982">
        <v>-12.849399999999999</v>
      </c>
      <c r="AD3982">
        <v>-1.1712549999999999</v>
      </c>
      <c r="AE3982">
        <v>-71.032442000000003</v>
      </c>
      <c r="AF3982">
        <v>12.733711730792299</v>
      </c>
      <c r="AG3982">
        <v>-1.1712549999999999</v>
      </c>
      <c r="AH3982">
        <v>71.033969964885898</v>
      </c>
      <c r="AI3982">
        <v>90.929825878238702</v>
      </c>
      <c r="AJ3982">
        <v>79.836973020318496</v>
      </c>
      <c r="AK3982">
        <v>72.175786394678497</v>
      </c>
      <c r="AL3982">
        <v>76.413505676962899</v>
      </c>
      <c r="AM3982">
        <v>91.202622118666199</v>
      </c>
      <c r="AN3982">
        <v>1.0000000112675</v>
      </c>
    </row>
    <row r="3983" spans="1:40" x14ac:dyDescent="0.25">
      <c r="A3983" t="str">
        <f>"20190303170849679"</f>
        <v>20190303170849679</v>
      </c>
      <c r="B3983" t="str">
        <f>"1551604129667362"</f>
        <v>1551604129667362</v>
      </c>
      <c r="C3983" t="s">
        <v>40</v>
      </c>
      <c r="D3983">
        <v>4.8096019999999999</v>
      </c>
      <c r="E3983">
        <v>0.58370669999999902</v>
      </c>
      <c r="F3983" t="s">
        <v>46</v>
      </c>
      <c r="G3983">
        <v>-437.11810000000003</v>
      </c>
      <c r="H3983">
        <v>-0.05</v>
      </c>
      <c r="I3983">
        <v>-11.41821</v>
      </c>
      <c r="J3983">
        <v>-423.06079999999997</v>
      </c>
      <c r="K3983">
        <v>1.1212569999999999</v>
      </c>
      <c r="L3983">
        <v>65.781739999999999</v>
      </c>
      <c r="M3983">
        <v>-1.773214E-3</v>
      </c>
      <c r="N3983">
        <v>-1.427899E-2</v>
      </c>
      <c r="O3983">
        <v>-0.99989660000000002</v>
      </c>
      <c r="P3983">
        <v>1.90414E-2</v>
      </c>
      <c r="Q3983">
        <v>0.22049489999999999</v>
      </c>
      <c r="R3983">
        <v>-0.97520240000000002</v>
      </c>
      <c r="S3983">
        <v>-0.56207280000000004</v>
      </c>
      <c r="T3983">
        <v>-4.6829700000000002E-2</v>
      </c>
      <c r="U3983">
        <v>-3.0981749999999999</v>
      </c>
      <c r="V3983">
        <v>-2.066666E-2</v>
      </c>
      <c r="W3983">
        <v>0.2344059</v>
      </c>
      <c r="X3983">
        <v>0.97191910000000004</v>
      </c>
      <c r="Y3983">
        <v>0.17672499999999999</v>
      </c>
      <c r="Z3983">
        <v>5.9656889999999999E-4</v>
      </c>
      <c r="AA3983">
        <v>0.98426009999999997</v>
      </c>
      <c r="AB3983">
        <v>30</v>
      </c>
      <c r="AC3983">
        <v>-14.0573</v>
      </c>
      <c r="AD3983">
        <v>-1.171257</v>
      </c>
      <c r="AE3983">
        <v>-77.199950000000001</v>
      </c>
      <c r="AF3983">
        <v>13.9172712327408</v>
      </c>
      <c r="AG3983">
        <v>-1.171257</v>
      </c>
      <c r="AH3983">
        <v>77.207556336482298</v>
      </c>
      <c r="AI3983">
        <v>90.855340866756293</v>
      </c>
      <c r="AJ3983">
        <v>79.781714606201206</v>
      </c>
      <c r="AK3983">
        <v>78.460620931629194</v>
      </c>
      <c r="AL3983">
        <v>76.443394608554101</v>
      </c>
      <c r="AM3983">
        <v>91.218140458865506</v>
      </c>
      <c r="AN3983">
        <v>0.99999998686758695</v>
      </c>
    </row>
    <row r="3984" spans="1:40" x14ac:dyDescent="0.25">
      <c r="A3984" t="str">
        <f>"20190303170849703"</f>
        <v>20190303170849703</v>
      </c>
      <c r="B3984" t="str">
        <f>"1551604129697618"</f>
        <v>1551604129697618</v>
      </c>
      <c r="C3984" t="s">
        <v>40</v>
      </c>
      <c r="D3984">
        <v>4.7675839999999896</v>
      </c>
      <c r="E3984">
        <v>0.58401579999999997</v>
      </c>
      <c r="F3984" t="s">
        <v>46</v>
      </c>
      <c r="G3984">
        <v>-436.84190000000001</v>
      </c>
      <c r="H3984">
        <v>-0.05</v>
      </c>
      <c r="I3984">
        <v>-9.9575809999999993</v>
      </c>
      <c r="J3984">
        <v>-423.0616</v>
      </c>
      <c r="K3984">
        <v>1.121256</v>
      </c>
      <c r="L3984">
        <v>65.458190000000002</v>
      </c>
      <c r="M3984">
        <v>-1.9900429999999999E-3</v>
      </c>
      <c r="N3984">
        <v>-1.4275370000000001E-2</v>
      </c>
      <c r="O3984">
        <v>-0.99989620000000001</v>
      </c>
      <c r="P3984">
        <v>1.896919E-2</v>
      </c>
      <c r="Q3984">
        <v>0.22099170000000001</v>
      </c>
      <c r="R3984">
        <v>-0.97509129999999999</v>
      </c>
      <c r="S3984">
        <v>-0.56372069999999996</v>
      </c>
      <c r="T3984">
        <v>-4.7910689999999999E-2</v>
      </c>
      <c r="U3984">
        <v>-3.0981450000000001</v>
      </c>
      <c r="V3984">
        <v>-2.0805939999999998E-2</v>
      </c>
      <c r="W3984">
        <v>0.23489769999999999</v>
      </c>
      <c r="X3984">
        <v>0.97179740000000003</v>
      </c>
      <c r="Y3984">
        <v>0.1770196</v>
      </c>
      <c r="Z3984">
        <v>9.427716E-4</v>
      </c>
      <c r="AA3984">
        <v>0.9842069</v>
      </c>
      <c r="AB3984">
        <v>30</v>
      </c>
      <c r="AC3984">
        <v>-13.7803</v>
      </c>
      <c r="AD3984">
        <v>-1.1712559999999901</v>
      </c>
      <c r="AE3984">
        <v>-75.415770999999907</v>
      </c>
      <c r="AF3984">
        <v>13.6269961472292</v>
      </c>
      <c r="AG3984">
        <v>-1.1712559999999901</v>
      </c>
      <c r="AH3984">
        <v>75.425442913381602</v>
      </c>
      <c r="AI3984">
        <v>90.875483753520697</v>
      </c>
      <c r="AJ3984">
        <v>79.758934459881303</v>
      </c>
      <c r="AK3984">
        <v>76.655491018542904</v>
      </c>
      <c r="AL3984">
        <v>76.4144074045293</v>
      </c>
      <c r="AM3984">
        <v>91.226500974493206</v>
      </c>
      <c r="AN3984">
        <v>1.0000000016256601</v>
      </c>
    </row>
    <row r="3985" spans="1:40" x14ac:dyDescent="0.25">
      <c r="A3985" t="str">
        <f>"20190303170849723"</f>
        <v>20190303170849723</v>
      </c>
      <c r="B3985" t="str">
        <f>"1551604129717137"</f>
        <v>1551604129717137</v>
      </c>
      <c r="C3985" t="s">
        <v>40</v>
      </c>
      <c r="D3985">
        <v>4.7557839999999896</v>
      </c>
      <c r="E3985">
        <v>0.58416999999999997</v>
      </c>
      <c r="F3985" t="s">
        <v>46</v>
      </c>
      <c r="G3985">
        <v>-437.51310000000001</v>
      </c>
      <c r="H3985">
        <v>-0.05</v>
      </c>
      <c r="I3985">
        <v>-13.5192</v>
      </c>
      <c r="J3985">
        <v>-423.06240000000003</v>
      </c>
      <c r="K3985">
        <v>1.1212610000000001</v>
      </c>
      <c r="L3985">
        <v>65.171229999999994</v>
      </c>
      <c r="M3985">
        <v>-2.1830109999999999E-3</v>
      </c>
      <c r="N3985">
        <v>-1.4272150000000001E-2</v>
      </c>
      <c r="O3985">
        <v>-0.99989620000000001</v>
      </c>
      <c r="P3985">
        <v>2.030328E-2</v>
      </c>
      <c r="Q3985">
        <v>0.22104940000000001</v>
      </c>
      <c r="R3985">
        <v>-0.97505160000000002</v>
      </c>
      <c r="S3985">
        <v>-0.56689449999999997</v>
      </c>
      <c r="T3985">
        <v>-4.5945409999999999E-2</v>
      </c>
      <c r="U3985">
        <v>-3.0980829999999999</v>
      </c>
      <c r="V3985">
        <v>-2.2327840000000002E-2</v>
      </c>
      <c r="W3985">
        <v>0.23495240000000001</v>
      </c>
      <c r="X3985">
        <v>0.97175040000000001</v>
      </c>
      <c r="Y3985">
        <v>0.17780950000000001</v>
      </c>
      <c r="Z3985">
        <v>3.2008770000000001E-4</v>
      </c>
      <c r="AA3985">
        <v>0.98406490000000002</v>
      </c>
      <c r="AB3985">
        <v>30</v>
      </c>
      <c r="AC3985">
        <v>-14.4506999999999</v>
      </c>
      <c r="AD3985">
        <v>-1.1712610000000001</v>
      </c>
      <c r="AE3985">
        <v>-78.690430000000006</v>
      </c>
      <c r="AF3985">
        <v>14.275806497168899</v>
      </c>
      <c r="AG3985">
        <v>-1.1712610000000001</v>
      </c>
      <c r="AH3985">
        <v>78.704923798050302</v>
      </c>
      <c r="AI3985">
        <v>90.838907760378106</v>
      </c>
      <c r="AJ3985">
        <v>79.719241314883803</v>
      </c>
      <c r="AK3985">
        <v>79.997722052141199</v>
      </c>
      <c r="AL3985">
        <v>76.411183083546504</v>
      </c>
      <c r="AM3985">
        <v>91.316249460366805</v>
      </c>
      <c r="AN3985">
        <v>1.0000000013024899</v>
      </c>
    </row>
    <row r="3986" spans="1:40" x14ac:dyDescent="0.25">
      <c r="A3986" t="str">
        <f>"20190303170849748"</f>
        <v>20190303170849748</v>
      </c>
      <c r="B3986" t="str">
        <f>"1551604129737634"</f>
        <v>1551604129737634</v>
      </c>
      <c r="C3986" t="s">
        <v>40</v>
      </c>
      <c r="D3986">
        <v>4.7359159999999996</v>
      </c>
      <c r="E3986">
        <v>0.58427750000000001</v>
      </c>
      <c r="F3986" t="s">
        <v>46</v>
      </c>
      <c r="G3986">
        <v>-437.51519999999999</v>
      </c>
      <c r="H3986">
        <v>-0.05</v>
      </c>
      <c r="I3986">
        <v>-14.20509</v>
      </c>
      <c r="J3986">
        <v>-423.0634</v>
      </c>
      <c r="K3986">
        <v>1.1212660000000001</v>
      </c>
      <c r="L3986">
        <v>64.847750000000005</v>
      </c>
      <c r="M3986">
        <v>-2.400714E-3</v>
      </c>
      <c r="N3986">
        <v>-1.426848E-2</v>
      </c>
      <c r="O3986">
        <v>-0.99989550000000005</v>
      </c>
      <c r="P3986">
        <v>2.08658E-2</v>
      </c>
      <c r="Q3986">
        <v>0.22157679999999999</v>
      </c>
      <c r="R3986">
        <v>-0.97491989999999995</v>
      </c>
      <c r="S3986">
        <v>-0.5642395</v>
      </c>
      <c r="T3986">
        <v>-4.5726419999999997E-2</v>
      </c>
      <c r="U3986">
        <v>-3.0988769999999999</v>
      </c>
      <c r="V3986">
        <v>-2.3102359999999999E-2</v>
      </c>
      <c r="W3986">
        <v>0.23547470000000001</v>
      </c>
      <c r="X3986">
        <v>0.97160579999999996</v>
      </c>
      <c r="Y3986">
        <v>0.1767349</v>
      </c>
      <c r="Z3986">
        <v>2.5334620000000001E-4</v>
      </c>
      <c r="AA3986">
        <v>0.98425850000000004</v>
      </c>
      <c r="AB3986">
        <v>30</v>
      </c>
      <c r="AC3986">
        <v>-14.451799999999899</v>
      </c>
      <c r="AD3986">
        <v>-1.1712659999999999</v>
      </c>
      <c r="AE3986">
        <v>-79.052840000000003</v>
      </c>
      <c r="AF3986">
        <v>14.2589268908806</v>
      </c>
      <c r="AG3986">
        <v>-1.1712659999999999</v>
      </c>
      <c r="AH3986">
        <v>79.070514005757701</v>
      </c>
      <c r="AI3986">
        <v>90.835186956854201</v>
      </c>
      <c r="AJ3986">
        <v>79.7776140828976</v>
      </c>
      <c r="AK3986">
        <v>80.354433886730604</v>
      </c>
      <c r="AL3986">
        <v>76.380392837274698</v>
      </c>
      <c r="AM3986">
        <v>91.362093922784098</v>
      </c>
      <c r="AN3986">
        <v>0.99999994198564801</v>
      </c>
    </row>
    <row r="3987" spans="1:40" x14ac:dyDescent="0.25">
      <c r="A3987" t="str">
        <f>"20190303170849791"</f>
        <v>20190303170849791</v>
      </c>
      <c r="B3987" t="str">
        <f>"1551604129777650"</f>
        <v>1551604129777650</v>
      </c>
      <c r="C3987" t="s">
        <v>40</v>
      </c>
      <c r="D3987">
        <v>4.7060380000000004</v>
      </c>
      <c r="E3987">
        <v>0.58462879999999995</v>
      </c>
      <c r="F3987" t="s">
        <v>96</v>
      </c>
      <c r="G3987">
        <v>-436.12540000000001</v>
      </c>
      <c r="H3987">
        <v>0.1085937</v>
      </c>
      <c r="I3987">
        <v>-7.0915339999999896</v>
      </c>
      <c r="J3987">
        <v>-423.0652</v>
      </c>
      <c r="K3987">
        <v>1.1212599999999999</v>
      </c>
      <c r="L3987">
        <v>64.278869999999998</v>
      </c>
      <c r="M3987">
        <v>-2.7841340000000002E-3</v>
      </c>
      <c r="N3987">
        <v>-1.426212E-2</v>
      </c>
      <c r="O3987">
        <v>-0.99989439999999996</v>
      </c>
      <c r="P3987">
        <v>2.259678E-2</v>
      </c>
      <c r="Q3987">
        <v>0.2223726</v>
      </c>
      <c r="R3987">
        <v>-0.97470009999999996</v>
      </c>
      <c r="S3987">
        <v>-0.56271359999999904</v>
      </c>
      <c r="T3987">
        <v>-4.3627140000000002E-2</v>
      </c>
      <c r="U3987">
        <v>-3.0991520000000001</v>
      </c>
      <c r="V3987">
        <v>-2.5206739999999998E-2</v>
      </c>
      <c r="W3987">
        <v>0.23626150000000001</v>
      </c>
      <c r="X3987">
        <v>0.97136250000000002</v>
      </c>
      <c r="Y3987">
        <v>0.175874</v>
      </c>
      <c r="Z3987">
        <v>-4.0583889999999998E-4</v>
      </c>
      <c r="AA3987">
        <v>0.98441259999999997</v>
      </c>
      <c r="AB3987">
        <v>30</v>
      </c>
      <c r="AC3987">
        <v>-13.0602</v>
      </c>
      <c r="AD3987">
        <v>-1.0126663</v>
      </c>
      <c r="AE3987">
        <v>-71.370403999999994</v>
      </c>
      <c r="AF3987">
        <v>12.858919454761301</v>
      </c>
      <c r="AG3987">
        <v>-1.0126663</v>
      </c>
      <c r="AH3987">
        <v>71.392585011997596</v>
      </c>
      <c r="AI3987">
        <v>90.799788064310306</v>
      </c>
      <c r="AJ3987">
        <v>79.789609969326605</v>
      </c>
      <c r="AK3987">
        <v>72.548456201868902</v>
      </c>
      <c r="AL3987">
        <v>76.334004332889606</v>
      </c>
      <c r="AM3987">
        <v>91.486484979919794</v>
      </c>
      <c r="AN3987">
        <v>0.99999999126496297</v>
      </c>
    </row>
    <row r="3988" spans="1:40" x14ac:dyDescent="0.25">
      <c r="A3988" t="str">
        <f>"20190303170849813"</f>
        <v>20190303170849813</v>
      </c>
      <c r="B3988" t="str">
        <f>"1551604129807905"</f>
        <v>1551604129807905</v>
      </c>
      <c r="C3988" t="s">
        <v>40</v>
      </c>
      <c r="D3988">
        <v>4.6697680000000004</v>
      </c>
      <c r="E3988">
        <v>0.58491780000000004</v>
      </c>
      <c r="F3988" t="s">
        <v>96</v>
      </c>
      <c r="G3988">
        <v>-435.94900000000001</v>
      </c>
      <c r="H3988">
        <v>0.1956909</v>
      </c>
      <c r="I3988">
        <v>-6.9471649999999903</v>
      </c>
      <c r="J3988">
        <v>-423.06630000000001</v>
      </c>
      <c r="K3988">
        <v>1.121264</v>
      </c>
      <c r="L3988">
        <v>63.970759999999999</v>
      </c>
      <c r="M3988">
        <v>-2.9913769999999999E-3</v>
      </c>
      <c r="N3988">
        <v>-1.4258669999999999E-2</v>
      </c>
      <c r="O3988">
        <v>-0.99989399999999995</v>
      </c>
      <c r="P3988">
        <v>2.2550199999999999E-2</v>
      </c>
      <c r="Q3988">
        <v>0.2220953</v>
      </c>
      <c r="R3988">
        <v>-0.97476430000000003</v>
      </c>
      <c r="S3988">
        <v>-0.5607605</v>
      </c>
      <c r="T3988">
        <v>-4.0285939999999999E-2</v>
      </c>
      <c r="U3988">
        <v>-3.1000670000000001</v>
      </c>
      <c r="V3988">
        <v>-2.5362760000000002E-2</v>
      </c>
      <c r="W3988">
        <v>0.23598169999999999</v>
      </c>
      <c r="X3988">
        <v>0.97142649999999997</v>
      </c>
      <c r="Y3988">
        <v>0.1750196</v>
      </c>
      <c r="Z3988">
        <v>-1.464997E-3</v>
      </c>
      <c r="AA3988">
        <v>0.98456390000000005</v>
      </c>
      <c r="AB3988">
        <v>30</v>
      </c>
      <c r="AC3988">
        <v>-12.8827</v>
      </c>
      <c r="AD3988">
        <v>-0.92557309999999904</v>
      </c>
      <c r="AE3988">
        <v>-70.917924999999997</v>
      </c>
      <c r="AF3988">
        <v>12.6683895953886</v>
      </c>
      <c r="AG3988">
        <v>-0.92557309999999904</v>
      </c>
      <c r="AH3988">
        <v>70.944450122800006</v>
      </c>
      <c r="AI3988">
        <v>90.735825951548904</v>
      </c>
      <c r="AJ3988">
        <v>79.875533567118495</v>
      </c>
      <c r="AK3988">
        <v>72.072600783726799</v>
      </c>
      <c r="AL3988">
        <v>76.350502852550093</v>
      </c>
      <c r="AM3988">
        <v>91.495583087743796</v>
      </c>
      <c r="AN3988">
        <v>1.00000003861597</v>
      </c>
    </row>
    <row r="3989" spans="1:40" x14ac:dyDescent="0.25">
      <c r="A3989" t="str">
        <f>"20190303170849837"</f>
        <v>20190303170849837</v>
      </c>
      <c r="B3989" t="str">
        <f>"1551604129827425"</f>
        <v>1551604129827425</v>
      </c>
      <c r="C3989" t="s">
        <v>40</v>
      </c>
      <c r="D3989">
        <v>4.6786120000000002</v>
      </c>
      <c r="E3989">
        <v>0.58509100000000003</v>
      </c>
      <c r="F3989" t="s">
        <v>96</v>
      </c>
      <c r="G3989">
        <v>-435.95699999999999</v>
      </c>
      <c r="H3989">
        <v>0.18288109999999999</v>
      </c>
      <c r="I3989">
        <v>-6.9536939999999996</v>
      </c>
      <c r="J3989">
        <v>-423.0675</v>
      </c>
      <c r="K3989">
        <v>1.121262</v>
      </c>
      <c r="L3989">
        <v>63.652009999999997</v>
      </c>
      <c r="M3989">
        <v>-3.205528E-3</v>
      </c>
      <c r="N3989">
        <v>-1.4255139999999999E-2</v>
      </c>
      <c r="O3989">
        <v>-0.99989320000000004</v>
      </c>
      <c r="P3989">
        <v>2.2170249999999999E-2</v>
      </c>
      <c r="Q3989">
        <v>0.22198509999999999</v>
      </c>
      <c r="R3989">
        <v>-0.97479800000000005</v>
      </c>
      <c r="S3989">
        <v>-0.563446</v>
      </c>
      <c r="T3989">
        <v>-4.1017289999999998E-2</v>
      </c>
      <c r="U3989">
        <v>-3.1000670000000001</v>
      </c>
      <c r="V3989">
        <v>-2.5192079999999999E-2</v>
      </c>
      <c r="W3989">
        <v>0.23586860000000001</v>
      </c>
      <c r="X3989">
        <v>0.97145840000000006</v>
      </c>
      <c r="Y3989">
        <v>0.17563409999999999</v>
      </c>
      <c r="Z3989">
        <v>-1.230741E-3</v>
      </c>
      <c r="AA3989">
        <v>0.98445479999999996</v>
      </c>
      <c r="AB3989">
        <v>30</v>
      </c>
      <c r="AC3989">
        <v>-12.8894999999999</v>
      </c>
      <c r="AD3989">
        <v>-0.93838089999999996</v>
      </c>
      <c r="AE3989">
        <v>-70.605704000000003</v>
      </c>
      <c r="AF3989">
        <v>12.660917947205</v>
      </c>
      <c r="AG3989">
        <v>-0.93838089999999996</v>
      </c>
      <c r="AH3989">
        <v>70.634588824139698</v>
      </c>
      <c r="AI3989">
        <v>90.749191175715296</v>
      </c>
      <c r="AJ3989">
        <v>79.837915955254005</v>
      </c>
      <c r="AK3989">
        <v>71.766458323750598</v>
      </c>
      <c r="AL3989">
        <v>76.357171127687906</v>
      </c>
      <c r="AM3989">
        <v>91.485474250809403</v>
      </c>
      <c r="AN3989">
        <v>1.00000003014562</v>
      </c>
    </row>
    <row r="3990" spans="1:40" x14ac:dyDescent="0.25">
      <c r="A3990" t="str">
        <f>"20190303170849858"</f>
        <v>20190303170849858</v>
      </c>
      <c r="B3990" t="str">
        <f>"1551604129847922"</f>
        <v>1551604129847922</v>
      </c>
      <c r="C3990" t="s">
        <v>40</v>
      </c>
      <c r="D3990">
        <v>4.6727280000000002</v>
      </c>
      <c r="E3990">
        <v>0.58521400000000001</v>
      </c>
      <c r="F3990" t="s">
        <v>96</v>
      </c>
      <c r="G3990">
        <v>-435.97129999999999</v>
      </c>
      <c r="H3990">
        <v>0.1769831</v>
      </c>
      <c r="I3990">
        <v>-6.9653989999999997</v>
      </c>
      <c r="J3990">
        <v>-423.0686</v>
      </c>
      <c r="K3990">
        <v>1.1212610000000001</v>
      </c>
      <c r="L3990">
        <v>63.364559999999997</v>
      </c>
      <c r="M3990">
        <v>-3.398547E-3</v>
      </c>
      <c r="N3990">
        <v>-1.4251929999999999E-2</v>
      </c>
      <c r="O3990">
        <v>-0.99989280000000003</v>
      </c>
      <c r="P3990">
        <v>2.1404159999999998E-2</v>
      </c>
      <c r="Q3990">
        <v>0.22206590000000001</v>
      </c>
      <c r="R3990">
        <v>-0.97479680000000002</v>
      </c>
      <c r="S3990">
        <v>-0.56643679999999996</v>
      </c>
      <c r="T3990">
        <v>-4.1452049999999997E-2</v>
      </c>
      <c r="U3990">
        <v>-3.0998839999999999</v>
      </c>
      <c r="V3990">
        <v>-2.4613949999999999E-2</v>
      </c>
      <c r="W3990">
        <v>0.2359455</v>
      </c>
      <c r="X3990">
        <v>0.9714545</v>
      </c>
      <c r="Y3990">
        <v>0.17637320000000001</v>
      </c>
      <c r="Z3990">
        <v>-1.0905190000000001E-3</v>
      </c>
      <c r="AA3990">
        <v>0.98432269999999999</v>
      </c>
      <c r="AB3990">
        <v>30</v>
      </c>
      <c r="AC3990">
        <v>-12.9026999999999</v>
      </c>
      <c r="AD3990">
        <v>-0.9442779</v>
      </c>
      <c r="AE3990">
        <v>-70.329959000000002</v>
      </c>
      <c r="AF3990">
        <v>12.6613734324406</v>
      </c>
      <c r="AG3990">
        <v>-0.9442779</v>
      </c>
      <c r="AH3990">
        <v>70.361136772618096</v>
      </c>
      <c r="AI3990">
        <v>90.756735775414</v>
      </c>
      <c r="AJ3990">
        <v>79.798890418430901</v>
      </c>
      <c r="AK3990">
        <v>71.497493703508297</v>
      </c>
      <c r="AL3990">
        <v>76.352636492074893</v>
      </c>
      <c r="AM3990">
        <v>91.451404858829093</v>
      </c>
      <c r="AN3990">
        <v>0.99999998553755098</v>
      </c>
    </row>
    <row r="3991" spans="1:40" x14ac:dyDescent="0.25">
      <c r="A3991" t="str">
        <f>"20190303170849881"</f>
        <v>20190303170849881</v>
      </c>
      <c r="B3991" t="str">
        <f>"1551604129867441"</f>
        <v>1551604129867441</v>
      </c>
      <c r="C3991" t="s">
        <v>40</v>
      </c>
      <c r="D3991">
        <v>4.6834680000000004</v>
      </c>
      <c r="E3991">
        <v>0.58541180000000004</v>
      </c>
      <c r="F3991" t="s">
        <v>96</v>
      </c>
      <c r="G3991">
        <v>-435.99689999999998</v>
      </c>
      <c r="H3991">
        <v>0.17234349999999901</v>
      </c>
      <c r="I3991">
        <v>-6.9863540000000004</v>
      </c>
      <c r="J3991">
        <v>-423.06979999999999</v>
      </c>
      <c r="K3991">
        <v>1.1212679999999999</v>
      </c>
      <c r="L3991">
        <v>63.076599999999999</v>
      </c>
      <c r="M3991">
        <v>-3.591941E-3</v>
      </c>
      <c r="N3991">
        <v>-1.424869E-2</v>
      </c>
      <c r="O3991">
        <v>-0.99989209999999995</v>
      </c>
      <c r="P3991">
        <v>2.0734550000000001E-2</v>
      </c>
      <c r="Q3991">
        <v>0.22282930000000001</v>
      </c>
      <c r="R3991">
        <v>-0.97463670000000002</v>
      </c>
      <c r="S3991">
        <v>-0.56961059999999997</v>
      </c>
      <c r="T3991">
        <v>-4.1809800000000001E-2</v>
      </c>
      <c r="U3991">
        <v>-3.0996090000000001</v>
      </c>
      <c r="V3991">
        <v>-2.413272E-2</v>
      </c>
      <c r="W3991">
        <v>0.23670350000000001</v>
      </c>
      <c r="X3991">
        <v>0.97128219999999998</v>
      </c>
      <c r="Y3991">
        <v>0.1771731</v>
      </c>
      <c r="Z3991">
        <v>-9.7449899999999998E-4</v>
      </c>
      <c r="AA3991">
        <v>0.98417920000000003</v>
      </c>
      <c r="AB3991">
        <v>30</v>
      </c>
      <c r="AC3991">
        <v>-12.9270999999999</v>
      </c>
      <c r="AD3991">
        <v>-0.94892449999999995</v>
      </c>
      <c r="AE3991">
        <v>-70.062954000000005</v>
      </c>
      <c r="AF3991">
        <v>12.6730808844635</v>
      </c>
      <c r="AG3991">
        <v>-0.94892449999999995</v>
      </c>
      <c r="AH3991">
        <v>70.096505064108101</v>
      </c>
      <c r="AI3991">
        <v>90.763216828058205</v>
      </c>
      <c r="AJ3991">
        <v>79.751925022278698</v>
      </c>
      <c r="AK3991">
        <v>71.239226968106493</v>
      </c>
      <c r="AL3991">
        <v>76.307940762210094</v>
      </c>
      <c r="AM3991">
        <v>91.423292405316403</v>
      </c>
      <c r="AN3991">
        <v>1.00000002356184</v>
      </c>
    </row>
    <row r="3992" spans="1:40" x14ac:dyDescent="0.25">
      <c r="A3992" t="str">
        <f>"20190303170849926"</f>
        <v>20190303170849926</v>
      </c>
      <c r="B3992" t="str">
        <f>"1551604129917217"</f>
        <v>1551604129917217</v>
      </c>
      <c r="C3992" t="s">
        <v>40</v>
      </c>
      <c r="D3992">
        <v>4.7177249999999997</v>
      </c>
      <c r="E3992">
        <v>0.58593629999999997</v>
      </c>
      <c r="F3992" t="s">
        <v>96</v>
      </c>
      <c r="G3992">
        <v>-436.04039999999998</v>
      </c>
      <c r="H3992">
        <v>0.23726059999999999</v>
      </c>
      <c r="I3992">
        <v>-7.0219959999999997</v>
      </c>
      <c r="J3992">
        <v>-423.07249999999999</v>
      </c>
      <c r="K3992">
        <v>1.1212679999999999</v>
      </c>
      <c r="L3992">
        <v>62.478270000000002</v>
      </c>
      <c r="M3992">
        <v>-3.9939009999999898E-3</v>
      </c>
      <c r="N3992">
        <v>-1.424197E-2</v>
      </c>
      <c r="O3992">
        <v>-0.99989090000000003</v>
      </c>
      <c r="P3992">
        <v>2.1751719999999999E-2</v>
      </c>
      <c r="Q3992">
        <v>0.2198251</v>
      </c>
      <c r="R3992">
        <v>-0.97529719999999998</v>
      </c>
      <c r="S3992">
        <v>-0.57345579999999996</v>
      </c>
      <c r="T3992">
        <v>-3.9084670000000002E-2</v>
      </c>
      <c r="U3992">
        <v>-3.0991819999999999</v>
      </c>
      <c r="V3992">
        <v>-2.5545829999999999E-2</v>
      </c>
      <c r="W3992">
        <v>0.23370260000000001</v>
      </c>
      <c r="X3992">
        <v>0.97197250000000002</v>
      </c>
      <c r="Y3992">
        <v>0.17798320000000001</v>
      </c>
      <c r="Z3992">
        <v>-1.832698E-3</v>
      </c>
      <c r="AA3992">
        <v>0.98403180000000001</v>
      </c>
      <c r="AB3992">
        <v>30</v>
      </c>
      <c r="AC3992">
        <v>-12.967899999999901</v>
      </c>
      <c r="AD3992">
        <v>-0.884007399999999</v>
      </c>
      <c r="AE3992">
        <v>-69.500265999999996</v>
      </c>
      <c r="AF3992">
        <v>12.688207595298101</v>
      </c>
      <c r="AG3992">
        <v>-0.884007399999999</v>
      </c>
      <c r="AH3992">
        <v>69.540637189964002</v>
      </c>
      <c r="AI3992">
        <v>90.716483121119296</v>
      </c>
      <c r="AJ3992">
        <v>79.659702022328304</v>
      </c>
      <c r="AK3992">
        <v>70.694216891135</v>
      </c>
      <c r="AL3992">
        <v>76.484842418427206</v>
      </c>
      <c r="AM3992">
        <v>91.505527537535002</v>
      </c>
      <c r="AN3992">
        <v>1.0000000177166899</v>
      </c>
    </row>
    <row r="3993" spans="1:40" x14ac:dyDescent="0.25">
      <c r="A3993" t="str">
        <f>"20190303170849950"</f>
        <v>20190303170849950</v>
      </c>
      <c r="B3993" t="str">
        <f>"1551604129937714"</f>
        <v>1551604129937714</v>
      </c>
      <c r="C3993" t="s">
        <v>40</v>
      </c>
      <c r="D3993">
        <v>4.7162300000000004</v>
      </c>
      <c r="E3993">
        <v>0.58614339999999998</v>
      </c>
      <c r="F3993" t="s">
        <v>46</v>
      </c>
      <c r="G3993">
        <v>-437.07139999999998</v>
      </c>
      <c r="H3993">
        <v>-0.05</v>
      </c>
      <c r="I3993">
        <v>-12.92047</v>
      </c>
      <c r="J3993">
        <v>-423.07400000000001</v>
      </c>
      <c r="K3993">
        <v>1.121264</v>
      </c>
      <c r="L3993">
        <v>62.153840000000002</v>
      </c>
      <c r="M3993">
        <v>-4.2119480000000001E-3</v>
      </c>
      <c r="N3993">
        <v>-1.423847E-2</v>
      </c>
      <c r="O3993">
        <v>-0.9998899</v>
      </c>
      <c r="P3993">
        <v>2.2607619999999998E-2</v>
      </c>
      <c r="Q3993">
        <v>0.21875700000000001</v>
      </c>
      <c r="R3993">
        <v>-0.97551759999999998</v>
      </c>
      <c r="S3993">
        <v>-0.57550049999999997</v>
      </c>
      <c r="T3993">
        <v>-4.815125E-2</v>
      </c>
      <c r="U3993">
        <v>-3.0996700000000001</v>
      </c>
      <c r="V3993">
        <v>-2.6616029999999999E-2</v>
      </c>
      <c r="W3993">
        <v>0.2326348</v>
      </c>
      <c r="X3993">
        <v>0.97219990000000001</v>
      </c>
      <c r="Y3993">
        <v>0.17836489999999999</v>
      </c>
      <c r="Z3993">
        <v>1.0443749999999999E-3</v>
      </c>
      <c r="AA3993">
        <v>0.98396380000000006</v>
      </c>
      <c r="AB3993">
        <v>30</v>
      </c>
      <c r="AC3993">
        <v>-13.997399999999899</v>
      </c>
      <c r="AD3993">
        <v>-1.1712639999999901</v>
      </c>
      <c r="AE3993">
        <v>-75.074309999999997</v>
      </c>
      <c r="AF3993">
        <v>13.677817326697699</v>
      </c>
      <c r="AG3993">
        <v>-1.1712639999999901</v>
      </c>
      <c r="AH3993">
        <v>75.114937202846093</v>
      </c>
      <c r="AI3993">
        <v>90.878888537191798</v>
      </c>
      <c r="AJ3993">
        <v>79.679976398786707</v>
      </c>
      <c r="AK3993">
        <v>76.359075015139595</v>
      </c>
      <c r="AL3993">
        <v>76.547756830658997</v>
      </c>
      <c r="AM3993">
        <v>91.5682015210499</v>
      </c>
      <c r="AN3993">
        <v>1.0000000043920001</v>
      </c>
    </row>
    <row r="3994" spans="1:40" x14ac:dyDescent="0.25">
      <c r="A3994" t="str">
        <f>"20190303170849975"</f>
        <v>20190303170849975</v>
      </c>
      <c r="B3994" t="str">
        <f>"1551604129966994"</f>
        <v>1551604129966994</v>
      </c>
      <c r="C3994" t="s">
        <v>40</v>
      </c>
      <c r="D3994">
        <v>4.7391480000000001</v>
      </c>
      <c r="E3994">
        <v>0.58637550000000005</v>
      </c>
      <c r="F3994" t="s">
        <v>46</v>
      </c>
      <c r="G3994">
        <v>-436.11989999999997</v>
      </c>
      <c r="H3994">
        <v>-0.05</v>
      </c>
      <c r="I3994">
        <v>-8.2135160000000003</v>
      </c>
      <c r="J3994">
        <v>-423.07569999999998</v>
      </c>
      <c r="K3994">
        <v>1.1212690000000001</v>
      </c>
      <c r="L3994">
        <v>61.812959999999997</v>
      </c>
      <c r="M3994">
        <v>-4.4411260000000001E-3</v>
      </c>
      <c r="N3994">
        <v>-1.4234780000000001E-2</v>
      </c>
      <c r="O3994">
        <v>-0.99988900000000003</v>
      </c>
      <c r="P3994">
        <v>2.3842100000000001E-2</v>
      </c>
      <c r="Q3994">
        <v>0.21892120000000001</v>
      </c>
      <c r="R3994">
        <v>-0.97545119999999996</v>
      </c>
      <c r="S3994">
        <v>-0.5747681</v>
      </c>
      <c r="T3994">
        <v>-5.1602599999999998E-2</v>
      </c>
      <c r="U3994">
        <v>-3.1001889999999999</v>
      </c>
      <c r="V3994">
        <v>-2.8074249999999999E-2</v>
      </c>
      <c r="W3994">
        <v>0.23279469999999999</v>
      </c>
      <c r="X3994">
        <v>0.9721206</v>
      </c>
      <c r="Y3994">
        <v>0.1778835</v>
      </c>
      <c r="Z3994">
        <v>2.1415829999999999E-3</v>
      </c>
      <c r="AA3994">
        <v>0.98404919999999996</v>
      </c>
      <c r="AB3994">
        <v>30</v>
      </c>
      <c r="AC3994">
        <v>-13.044199999999901</v>
      </c>
      <c r="AD3994">
        <v>-1.1712689999999999</v>
      </c>
      <c r="AE3994">
        <v>-70.026476000000002</v>
      </c>
      <c r="AF3994">
        <v>12.729601641595</v>
      </c>
      <c r="AG3994">
        <v>-1.1712689999999999</v>
      </c>
      <c r="AH3994">
        <v>70.064777933735101</v>
      </c>
      <c r="AI3994">
        <v>90.942298189170202</v>
      </c>
      <c r="AJ3994">
        <v>79.7026333215276</v>
      </c>
      <c r="AK3994">
        <v>71.221399424103296</v>
      </c>
      <c r="AL3994">
        <v>76.538336521397198</v>
      </c>
      <c r="AM3994">
        <v>91.654207387787196</v>
      </c>
      <c r="AN3994">
        <v>0.999999998402756</v>
      </c>
    </row>
    <row r="3995" spans="1:40" x14ac:dyDescent="0.25">
      <c r="A3995" t="str">
        <f>"20190303170849995"</f>
        <v>20190303170849995</v>
      </c>
      <c r="B3995" t="str">
        <f>"1551604129987489"</f>
        <v>1551604129987489</v>
      </c>
      <c r="C3995" t="s">
        <v>40</v>
      </c>
      <c r="D3995">
        <v>4.748615</v>
      </c>
      <c r="E3995">
        <v>0.58657119999999996</v>
      </c>
      <c r="F3995" t="s">
        <v>46</v>
      </c>
      <c r="G3995">
        <v>-436.11020000000002</v>
      </c>
      <c r="H3995">
        <v>-0.05</v>
      </c>
      <c r="I3995">
        <v>-8.8225709999999999</v>
      </c>
      <c r="J3995">
        <v>-423.07709999999997</v>
      </c>
      <c r="K3995">
        <v>1.1212690000000001</v>
      </c>
      <c r="L3995">
        <v>61.550049999999999</v>
      </c>
      <c r="M3995">
        <v>-4.6178900000000004E-3</v>
      </c>
      <c r="N3995">
        <v>-1.423193E-2</v>
      </c>
      <c r="O3995">
        <v>-0.9998882</v>
      </c>
      <c r="P3995">
        <v>2.5357520000000001E-2</v>
      </c>
      <c r="Q3995">
        <v>0.21893309999999999</v>
      </c>
      <c r="R3995">
        <v>-0.97541069999999996</v>
      </c>
      <c r="S3995">
        <v>-0.5722351</v>
      </c>
      <c r="T3995">
        <v>-5.1420569999999999E-2</v>
      </c>
      <c r="U3995">
        <v>-3.101013</v>
      </c>
      <c r="V3995">
        <v>-2.9761900000000001E-2</v>
      </c>
      <c r="W3995">
        <v>0.23280400000000001</v>
      </c>
      <c r="X3995">
        <v>0.97206820000000005</v>
      </c>
      <c r="Y3995">
        <v>0.17688570000000001</v>
      </c>
      <c r="Z3995">
        <v>2.0852980000000002E-3</v>
      </c>
      <c r="AA3995">
        <v>0.98422920000000003</v>
      </c>
      <c r="AB3995">
        <v>30</v>
      </c>
      <c r="AC3995">
        <v>-13.033099999999999</v>
      </c>
      <c r="AD3995">
        <v>-1.1712689999999999</v>
      </c>
      <c r="AE3995">
        <v>-70.372620999999995</v>
      </c>
      <c r="AF3995">
        <v>12.7045524509488</v>
      </c>
      <c r="AG3995">
        <v>-1.1712689999999999</v>
      </c>
      <c r="AH3995">
        <v>70.413203227746706</v>
      </c>
      <c r="AI3995">
        <v>90.937842494124197</v>
      </c>
      <c r="AJ3995">
        <v>79.772244306423403</v>
      </c>
      <c r="AK3995">
        <v>71.559742263658507</v>
      </c>
      <c r="AL3995">
        <v>76.537789040343299</v>
      </c>
      <c r="AM3995">
        <v>91.753682229611101</v>
      </c>
      <c r="AN3995">
        <v>1.00000002927942</v>
      </c>
    </row>
    <row r="3996" spans="1:40" x14ac:dyDescent="0.25">
      <c r="A3996" t="str">
        <f>"20190303170850016"</f>
        <v>20190303170850016</v>
      </c>
      <c r="B3996" t="str">
        <f>"1551604130007010"</f>
        <v>1551604130007010</v>
      </c>
      <c r="C3996" t="s">
        <v>40</v>
      </c>
      <c r="D3996">
        <v>4.7523730000000004</v>
      </c>
      <c r="E3996">
        <v>0.54941949999999995</v>
      </c>
      <c r="F3996" t="s">
        <v>46</v>
      </c>
      <c r="G3996">
        <v>-436.04840000000002</v>
      </c>
      <c r="H3996">
        <v>-0.05</v>
      </c>
      <c r="I3996">
        <v>-9.1452179999999998</v>
      </c>
      <c r="J3996">
        <v>-423.07850000000002</v>
      </c>
      <c r="K3996">
        <v>1.1212610000000001</v>
      </c>
      <c r="L3996">
        <v>61.27075</v>
      </c>
      <c r="M3996">
        <v>-4.8057439999999998E-3</v>
      </c>
      <c r="N3996">
        <v>-1.4228889999999999E-2</v>
      </c>
      <c r="O3996">
        <v>-0.99988750000000004</v>
      </c>
      <c r="P3996">
        <v>2.6567690000000001E-2</v>
      </c>
      <c r="Q3996">
        <v>0.2176149</v>
      </c>
      <c r="R3996">
        <v>-0.97567340000000002</v>
      </c>
      <c r="S3996">
        <v>-0.56915280000000001</v>
      </c>
      <c r="T3996">
        <v>-5.1392790000000001E-2</v>
      </c>
      <c r="U3996">
        <v>-3.1019589999999999</v>
      </c>
      <c r="V3996">
        <v>-3.1157850000000001E-2</v>
      </c>
      <c r="W3996">
        <v>0.2314872</v>
      </c>
      <c r="X3996">
        <v>0.97233890000000001</v>
      </c>
      <c r="Y3996">
        <v>0.17570150000000001</v>
      </c>
      <c r="Z3996">
        <v>2.0780299999999998E-3</v>
      </c>
      <c r="AA3996">
        <v>0.98444129999999996</v>
      </c>
      <c r="AB3996">
        <v>30</v>
      </c>
      <c r="AC3996">
        <v>-12.9698999999999</v>
      </c>
      <c r="AD3996">
        <v>-1.1712610000000001</v>
      </c>
      <c r="AE3996">
        <v>-70.415967999999907</v>
      </c>
      <c r="AF3996">
        <v>12.6279357623885</v>
      </c>
      <c r="AG3996">
        <v>-1.1712610000000001</v>
      </c>
      <c r="AH3996">
        <v>70.458636731145404</v>
      </c>
      <c r="AI3996">
        <v>90.937427965720005</v>
      </c>
      <c r="AJ3996">
        <v>79.839053327717906</v>
      </c>
      <c r="AK3996">
        <v>71.590894001685996</v>
      </c>
      <c r="AL3996">
        <v>76.615355242622897</v>
      </c>
      <c r="AM3996">
        <v>91.835371022888907</v>
      </c>
      <c r="AN3996">
        <v>1.00000003591683</v>
      </c>
    </row>
    <row r="3997" spans="1:40" x14ac:dyDescent="0.25">
      <c r="A3997" t="str">
        <f>"20190303170850039"</f>
        <v>20190303170850039</v>
      </c>
      <c r="B3997" t="str">
        <f>"1551604130027506"</f>
        <v>1551604130027506</v>
      </c>
      <c r="C3997" t="s">
        <v>40</v>
      </c>
      <c r="D3997">
        <v>4.7628250000000003</v>
      </c>
      <c r="E3997">
        <v>0.52995689999999995</v>
      </c>
      <c r="F3997" t="s">
        <v>59</v>
      </c>
      <c r="G3997">
        <v>-425.35849999999999</v>
      </c>
      <c r="H3997" s="1">
        <v>-3.9852319999999996E-6</v>
      </c>
      <c r="I3997">
        <v>34.453029999999998</v>
      </c>
      <c r="J3997">
        <v>-423.08019999999999</v>
      </c>
      <c r="K3997">
        <v>1.1212549999999999</v>
      </c>
      <c r="L3997">
        <v>60.978639999999999</v>
      </c>
      <c r="M3997">
        <v>-5.0022570000000004E-3</v>
      </c>
      <c r="N3997">
        <v>-1.4225750000000001E-2</v>
      </c>
      <c r="O3997">
        <v>-0.99988659999999996</v>
      </c>
      <c r="P3997">
        <v>2.732124E-2</v>
      </c>
      <c r="Q3997">
        <v>0.21730630000000001</v>
      </c>
      <c r="R3997">
        <v>-0.97572159999999997</v>
      </c>
      <c r="S3997">
        <v>-0.2644958</v>
      </c>
      <c r="T3997">
        <v>-0.13007379999999999</v>
      </c>
      <c r="U3997">
        <v>-3.1110229999999999</v>
      </c>
      <c r="V3997">
        <v>-3.2103329999999999E-2</v>
      </c>
      <c r="W3997">
        <v>0.2311764</v>
      </c>
      <c r="X3997">
        <v>0.97238210000000003</v>
      </c>
      <c r="Y3997">
        <v>7.9664029999999997E-2</v>
      </c>
      <c r="Z3997">
        <v>2.741743E-2</v>
      </c>
      <c r="AA3997">
        <v>0.99644460000000001</v>
      </c>
      <c r="AB3997">
        <v>30</v>
      </c>
      <c r="AC3997">
        <v>-2.2783000000000002</v>
      </c>
      <c r="AD3997">
        <v>-1.1212589852319901</v>
      </c>
      <c r="AE3997">
        <v>-26.52561</v>
      </c>
      <c r="AF3997">
        <v>2.14177124649067</v>
      </c>
      <c r="AG3997">
        <v>-1.1212589852319901</v>
      </c>
      <c r="AH3997">
        <v>26.489690134424301</v>
      </c>
      <c r="AI3997">
        <v>92.415901845503996</v>
      </c>
      <c r="AJ3997">
        <v>85.377518835159606</v>
      </c>
      <c r="AK3997">
        <v>26.5997761118787</v>
      </c>
      <c r="AL3997">
        <v>76.633659461096997</v>
      </c>
      <c r="AM3997">
        <v>91.890941271363602</v>
      </c>
      <c r="AN3997">
        <v>1.0000000500572199</v>
      </c>
    </row>
    <row r="3998" spans="1:40" x14ac:dyDescent="0.25">
      <c r="A3998" t="str">
        <f>"20190303170850060"</f>
        <v>20190303170850060</v>
      </c>
      <c r="B3998" t="str">
        <f>"1551604130047026"</f>
        <v>1551604130047026</v>
      </c>
      <c r="C3998" t="s">
        <v>40</v>
      </c>
      <c r="D3998">
        <v>4.8122259999999999</v>
      </c>
      <c r="E3998">
        <v>0.51841709999999996</v>
      </c>
      <c r="F3998" t="s">
        <v>59</v>
      </c>
      <c r="G3998">
        <v>-424.0564</v>
      </c>
      <c r="H3998" s="1">
        <v>-4.397621E-6</v>
      </c>
      <c r="I3998">
        <v>32.742809999999999</v>
      </c>
      <c r="J3998">
        <v>-423.08179999999999</v>
      </c>
      <c r="K3998">
        <v>1.1212549999999999</v>
      </c>
      <c r="L3998">
        <v>60.693849999999998</v>
      </c>
      <c r="M3998">
        <v>-5.1938870000000003E-3</v>
      </c>
      <c r="N3998">
        <v>-1.422258E-2</v>
      </c>
      <c r="O3998">
        <v>-0.99988540000000004</v>
      </c>
      <c r="P3998">
        <v>2.8844950000000001E-2</v>
      </c>
      <c r="Q3998">
        <v>0.21704180000000001</v>
      </c>
      <c r="R3998">
        <v>-0.97573620000000005</v>
      </c>
      <c r="S3998">
        <v>-0.10736080000000001</v>
      </c>
      <c r="T3998">
        <v>-0.1233065</v>
      </c>
      <c r="U3998">
        <v>-3.1051329999999999</v>
      </c>
      <c r="V3998">
        <v>-3.3814570000000002E-2</v>
      </c>
      <c r="W3998">
        <v>0.23090920000000001</v>
      </c>
      <c r="X3998">
        <v>0.97238760000000002</v>
      </c>
      <c r="Y3998">
        <v>2.9340419999999999E-2</v>
      </c>
      <c r="Z3998">
        <v>2.544397E-2</v>
      </c>
      <c r="AA3998">
        <v>0.99924559999999996</v>
      </c>
      <c r="AB3998">
        <v>30</v>
      </c>
      <c r="AC3998">
        <v>-0.97460000000000901</v>
      </c>
      <c r="AD3998">
        <v>-1.1212593976209999</v>
      </c>
      <c r="AE3998">
        <v>-27.951039999999999</v>
      </c>
      <c r="AF3998">
        <v>0.82806670228578405</v>
      </c>
      <c r="AG3998">
        <v>-1.1212593976209999</v>
      </c>
      <c r="AH3998">
        <v>27.910865117804999</v>
      </c>
      <c r="AI3998">
        <v>92.299487847482595</v>
      </c>
      <c r="AJ3998">
        <v>88.300632604034107</v>
      </c>
      <c r="AK3998">
        <v>27.945649191323</v>
      </c>
      <c r="AL3998">
        <v>76.649394822306903</v>
      </c>
      <c r="AM3998">
        <v>91.991645865858601</v>
      </c>
      <c r="AN3998">
        <v>1.00000006421134</v>
      </c>
    </row>
    <row r="3999" spans="1:40" x14ac:dyDescent="0.25">
      <c r="A3999" t="str">
        <f>"20190303170850082"</f>
        <v>20190303170850082</v>
      </c>
      <c r="B3999" t="str">
        <f>"1551604130077282"</f>
        <v>1551604130077282</v>
      </c>
      <c r="C3999" t="s">
        <v>40</v>
      </c>
      <c r="D3999">
        <v>4.8088769999999998</v>
      </c>
      <c r="E3999">
        <v>0.51062790000000002</v>
      </c>
      <c r="F3999" t="s">
        <v>59</v>
      </c>
      <c r="G3999">
        <v>-423.1866</v>
      </c>
      <c r="H3999" s="1">
        <v>-4.4750039999999996E-6</v>
      </c>
      <c r="I3999">
        <v>32.435830000000003</v>
      </c>
      <c r="J3999">
        <v>-423.08350000000002</v>
      </c>
      <c r="K3999">
        <v>1.1212530000000001</v>
      </c>
      <c r="L3999">
        <v>60.402560000000001</v>
      </c>
      <c r="M3999">
        <v>-5.3900060000000001E-3</v>
      </c>
      <c r="N3999">
        <v>-1.4219320000000001E-2</v>
      </c>
      <c r="O3999">
        <v>-0.99988469999999996</v>
      </c>
      <c r="P3999">
        <v>3.0010519999999999E-2</v>
      </c>
      <c r="Q3999">
        <v>0.21676899999999999</v>
      </c>
      <c r="R3999">
        <v>-0.97576209999999997</v>
      </c>
      <c r="S3999">
        <v>-1.1505130000000001E-2</v>
      </c>
      <c r="T3999">
        <v>-0.12309829999999999</v>
      </c>
      <c r="U3999">
        <v>-3.102325</v>
      </c>
      <c r="V3999">
        <v>-3.517174E-2</v>
      </c>
      <c r="W3999">
        <v>0.23063410000000001</v>
      </c>
      <c r="X3999">
        <v>0.97240470000000001</v>
      </c>
      <c r="Y3999">
        <v>-1.68259799999999E-3</v>
      </c>
      <c r="Z3999">
        <v>2.543513E-2</v>
      </c>
      <c r="AA3999">
        <v>0.99967499999999998</v>
      </c>
      <c r="AB3999">
        <v>30</v>
      </c>
      <c r="AC3999">
        <v>-0.103099999999983</v>
      </c>
      <c r="AD3999">
        <v>-1.1212574750040001</v>
      </c>
      <c r="AE3999">
        <v>-27.966729999999998</v>
      </c>
      <c r="AF3999">
        <v>-4.75810511580134E-2</v>
      </c>
      <c r="AG3999">
        <v>-1.1212574750040001</v>
      </c>
      <c r="AH3999">
        <v>27.921997877150702</v>
      </c>
      <c r="AI3999">
        <v>92.299575029624094</v>
      </c>
      <c r="AJ3999">
        <v>90.097635949595201</v>
      </c>
      <c r="AK3999">
        <v>27.9445423604197</v>
      </c>
      <c r="AL3999">
        <v>76.6655935426502</v>
      </c>
      <c r="AM3999">
        <v>92.071477186141095</v>
      </c>
      <c r="AN3999">
        <v>1.0000000199797601</v>
      </c>
    </row>
    <row r="4000" spans="1:40" x14ac:dyDescent="0.25">
      <c r="A4000" t="str">
        <f>"20190303170850127"</f>
        <v>20190303170850127</v>
      </c>
      <c r="B4000" t="str">
        <f>"1551604130117297"</f>
        <v>1551604130117297</v>
      </c>
      <c r="C4000" t="s">
        <v>40</v>
      </c>
      <c r="D4000">
        <v>4.8809360000000002</v>
      </c>
      <c r="E4000">
        <v>0.50676759999999998</v>
      </c>
      <c r="F4000" t="s">
        <v>59</v>
      </c>
      <c r="G4000">
        <v>-422.60789999999997</v>
      </c>
      <c r="H4000" s="1">
        <v>-4.2131249999999996E-6</v>
      </c>
      <c r="I4000">
        <v>32.883870000000002</v>
      </c>
      <c r="J4000">
        <v>-423.0872</v>
      </c>
      <c r="K4000">
        <v>1.1212530000000001</v>
      </c>
      <c r="L4000">
        <v>59.820279999999997</v>
      </c>
      <c r="M4000">
        <v>-5.7820429999999997E-3</v>
      </c>
      <c r="N4000">
        <v>-1.421327E-2</v>
      </c>
      <c r="O4000">
        <v>-0.9998823</v>
      </c>
      <c r="P4000">
        <v>3.4227929999999997E-2</v>
      </c>
      <c r="Q4000">
        <v>0.21618950000000001</v>
      </c>
      <c r="R4000">
        <v>-0.97575129999999999</v>
      </c>
      <c r="S4000">
        <v>5.3588869999999997E-2</v>
      </c>
      <c r="T4000">
        <v>-0.12634919999999999</v>
      </c>
      <c r="U4000">
        <v>-3.1009519999999999</v>
      </c>
      <c r="V4000">
        <v>-3.977203E-2</v>
      </c>
      <c r="W4000">
        <v>0.2300499</v>
      </c>
      <c r="X4000">
        <v>0.97236579999999995</v>
      </c>
      <c r="Y4000">
        <v>-2.304525E-2</v>
      </c>
      <c r="Z4000">
        <v>2.6495749999999998E-2</v>
      </c>
      <c r="AA4000">
        <v>0.99938329999999997</v>
      </c>
      <c r="AB4000">
        <v>29</v>
      </c>
      <c r="AC4000">
        <v>0.47930000000002299</v>
      </c>
      <c r="AD4000">
        <v>-1.121257213125</v>
      </c>
      <c r="AE4000">
        <v>-26.936409999999999</v>
      </c>
      <c r="AF4000">
        <v>-0.63395706733132395</v>
      </c>
      <c r="AG4000">
        <v>-1.121257213125</v>
      </c>
      <c r="AH4000">
        <v>26.886615504250901</v>
      </c>
      <c r="AI4000">
        <v>92.387369349666102</v>
      </c>
      <c r="AJ4000">
        <v>91.350721705342494</v>
      </c>
      <c r="AK4000">
        <v>26.917451821720299</v>
      </c>
      <c r="AL4000">
        <v>76.699990549031597</v>
      </c>
      <c r="AM4000">
        <v>92.342225468380093</v>
      </c>
      <c r="AN4000">
        <v>1.0000000099349799</v>
      </c>
    </row>
    <row r="4001" spans="1:40" x14ac:dyDescent="0.25">
      <c r="A4001" t="str">
        <f>"20190303170850151"</f>
        <v>20190303170850151</v>
      </c>
      <c r="B4001" t="str">
        <f>"1551604130137794"</f>
        <v>1551604130137794</v>
      </c>
      <c r="C4001" t="s">
        <v>40</v>
      </c>
      <c r="D4001">
        <v>4.7943509999999998</v>
      </c>
      <c r="E4001">
        <v>0.50534769999999996</v>
      </c>
      <c r="F4001" t="s">
        <v>59</v>
      </c>
      <c r="G4001">
        <v>-422.22269999999997</v>
      </c>
      <c r="H4001" s="1">
        <v>-4.5054260000000004E-6</v>
      </c>
      <c r="I4001">
        <v>32.26632</v>
      </c>
      <c r="J4001">
        <v>-423.08920000000001</v>
      </c>
      <c r="K4001">
        <v>1.1212610000000001</v>
      </c>
      <c r="L4001">
        <v>59.503140000000002</v>
      </c>
      <c r="M4001">
        <v>-5.9961509999999999E-3</v>
      </c>
      <c r="N4001">
        <v>-1.421005E-2</v>
      </c>
      <c r="O4001">
        <v>-0.99988109999999997</v>
      </c>
      <c r="P4001">
        <v>3.5878149999999998E-2</v>
      </c>
      <c r="Q4001">
        <v>0.21635180000000001</v>
      </c>
      <c r="R4001">
        <v>-0.97565619999999997</v>
      </c>
      <c r="S4001">
        <v>9.7228999999999996E-2</v>
      </c>
      <c r="T4001">
        <v>-0.12611169999999999</v>
      </c>
      <c r="U4001">
        <v>-3.099091</v>
      </c>
      <c r="V4001">
        <v>-4.1631029999999999E-2</v>
      </c>
      <c r="W4001">
        <v>0.2302081</v>
      </c>
      <c r="X4001">
        <v>0.97225050000000002</v>
      </c>
      <c r="Y4001">
        <v>-3.7325709999999998E-2</v>
      </c>
      <c r="Z4001">
        <v>2.6430519999999999E-2</v>
      </c>
      <c r="AA4001">
        <v>0.9989536</v>
      </c>
      <c r="AB4001">
        <v>29</v>
      </c>
      <c r="AC4001">
        <v>0.86650000000003002</v>
      </c>
      <c r="AD4001">
        <v>-1.1212655054259999</v>
      </c>
      <c r="AE4001">
        <v>-27.236820000000002</v>
      </c>
      <c r="AF4001">
        <v>-1.02807642411365</v>
      </c>
      <c r="AG4001">
        <v>-1.1212655054259999</v>
      </c>
      <c r="AH4001">
        <v>27.1851088538473</v>
      </c>
      <c r="AI4001">
        <v>92.360173558022893</v>
      </c>
      <c r="AJ4001">
        <v>92.165758589472404</v>
      </c>
      <c r="AK4001">
        <v>27.227638914584698</v>
      </c>
      <c r="AL4001">
        <v>76.690675869566405</v>
      </c>
      <c r="AM4001">
        <v>92.451864125823604</v>
      </c>
      <c r="AN4001">
        <v>0.99999997335736002</v>
      </c>
    </row>
    <row r="4002" spans="1:40" x14ac:dyDescent="0.25">
      <c r="A4002" t="str">
        <f>"20190303170850175"</f>
        <v>20190303170850175</v>
      </c>
      <c r="B4002" t="str">
        <f>"1551604130167075"</f>
        <v>1551604130167075</v>
      </c>
      <c r="C4002" t="s">
        <v>40</v>
      </c>
      <c r="D4002">
        <v>4.6791169999999997</v>
      </c>
      <c r="E4002">
        <v>0.50437339999999997</v>
      </c>
      <c r="F4002" t="s">
        <v>59</v>
      </c>
      <c r="G4002">
        <v>-422.06900000000002</v>
      </c>
      <c r="H4002" s="1">
        <v>-4.89728E-6</v>
      </c>
      <c r="I4002">
        <v>31.479769999999998</v>
      </c>
      <c r="J4002">
        <v>-423.09140000000002</v>
      </c>
      <c r="K4002">
        <v>1.1212709999999999</v>
      </c>
      <c r="L4002">
        <v>59.177729999999997</v>
      </c>
      <c r="M4002">
        <v>-6.2153740000000001E-3</v>
      </c>
      <c r="N4002">
        <v>-1.420681E-2</v>
      </c>
      <c r="O4002">
        <v>-0.99987990000000004</v>
      </c>
      <c r="P4002">
        <v>3.7260849999999998E-2</v>
      </c>
      <c r="Q4002">
        <v>0.216914</v>
      </c>
      <c r="R4002">
        <v>-0.97547969999999895</v>
      </c>
      <c r="S4002">
        <v>0.112793</v>
      </c>
      <c r="T4002">
        <v>-0.1239648</v>
      </c>
      <c r="U4002">
        <v>-3.0982059999999998</v>
      </c>
      <c r="V4002">
        <v>-4.322641E-2</v>
      </c>
      <c r="W4002">
        <v>0.23076540000000001</v>
      </c>
      <c r="X4002">
        <v>0.97204880000000005</v>
      </c>
      <c r="Y4002">
        <v>-4.2564539999999998E-2</v>
      </c>
      <c r="Z4002">
        <v>2.574624E-2</v>
      </c>
      <c r="AA4002">
        <v>0.99876200000000004</v>
      </c>
      <c r="AB4002">
        <v>29</v>
      </c>
      <c r="AC4002">
        <v>1.0224</v>
      </c>
      <c r="AD4002">
        <v>-1.1212758972800001</v>
      </c>
      <c r="AE4002">
        <v>-27.697959999999998</v>
      </c>
      <c r="AF4002">
        <v>-1.1925989925378699</v>
      </c>
      <c r="AG4002">
        <v>-1.1212758972800001</v>
      </c>
      <c r="AH4002">
        <v>27.645824959230001</v>
      </c>
      <c r="AI4002">
        <v>92.320407808979098</v>
      </c>
      <c r="AJ4002">
        <v>92.470121618042796</v>
      </c>
      <c r="AK4002">
        <v>27.6942447030283</v>
      </c>
      <c r="AL4002">
        <v>76.657862199176094</v>
      </c>
      <c r="AM4002">
        <v>92.546230412847393</v>
      </c>
      <c r="AN4002">
        <v>1.0000000309700401</v>
      </c>
    </row>
    <row r="4003" spans="1:40" x14ac:dyDescent="0.25">
      <c r="A4003" t="str">
        <f>"20190303170850197"</f>
        <v>20190303170850197</v>
      </c>
      <c r="B4003" t="str">
        <f>"1551604130187569"</f>
        <v>1551604130187569</v>
      </c>
      <c r="C4003" t="s">
        <v>40</v>
      </c>
      <c r="D4003">
        <v>4.8164119999999997</v>
      </c>
      <c r="E4003">
        <v>0.50349529999999998</v>
      </c>
      <c r="F4003" t="s">
        <v>59</v>
      </c>
      <c r="G4003">
        <v>-421.99900000000002</v>
      </c>
      <c r="H4003" s="1">
        <v>-4.7531049999999998E-6</v>
      </c>
      <c r="I4003">
        <v>31.754750000000001</v>
      </c>
      <c r="J4003">
        <v>-423.0933</v>
      </c>
      <c r="K4003">
        <v>1.1212770000000001</v>
      </c>
      <c r="L4003">
        <v>58.891509999999997</v>
      </c>
      <c r="M4003">
        <v>-6.4079740000000003E-3</v>
      </c>
      <c r="N4003">
        <v>-1.420396E-2</v>
      </c>
      <c r="O4003">
        <v>-0.99987870000000001</v>
      </c>
      <c r="P4003">
        <v>3.9327059999999997E-2</v>
      </c>
      <c r="Q4003">
        <v>0.21685189999999999</v>
      </c>
      <c r="R4003">
        <v>-0.97541239999999996</v>
      </c>
      <c r="S4003">
        <v>0.1234436</v>
      </c>
      <c r="T4003">
        <v>-0.1267074</v>
      </c>
      <c r="U4003">
        <v>-3.0988769999999999</v>
      </c>
      <c r="V4003">
        <v>-4.5480130000000001E-2</v>
      </c>
      <c r="W4003">
        <v>0.23069999999999999</v>
      </c>
      <c r="X4003">
        <v>0.97196139999999998</v>
      </c>
      <c r="Y4003">
        <v>-4.617396E-2</v>
      </c>
      <c r="Z4003">
        <v>2.6616810000000001E-2</v>
      </c>
      <c r="AA4003">
        <v>0.99857870000000004</v>
      </c>
      <c r="AB4003">
        <v>29</v>
      </c>
      <c r="AC4003">
        <v>1.0942999999999701</v>
      </c>
      <c r="AD4003">
        <v>-1.1212817531049999</v>
      </c>
      <c r="AE4003">
        <v>-27.136759999999899</v>
      </c>
      <c r="AF4003">
        <v>-1.2660287049341801</v>
      </c>
      <c r="AG4003">
        <v>-1.1212817531049999</v>
      </c>
      <c r="AH4003">
        <v>27.0830256103451</v>
      </c>
      <c r="AI4003">
        <v>92.368202287281406</v>
      </c>
      <c r="AJ4003">
        <v>92.676411963856594</v>
      </c>
      <c r="AK4003">
        <v>27.1357767101325</v>
      </c>
      <c r="AL4003">
        <v>76.661712123646794</v>
      </c>
      <c r="AM4003">
        <v>92.679036615546593</v>
      </c>
      <c r="AN4003">
        <v>0.99999994765738698</v>
      </c>
    </row>
    <row r="4004" spans="1:40" x14ac:dyDescent="0.25">
      <c r="A4004" t="str">
        <f>"20190303170850219"</f>
        <v>20190303170850219</v>
      </c>
      <c r="B4004" t="str">
        <f>"1551604130207090"</f>
        <v>1551604130207090</v>
      </c>
      <c r="C4004" t="s">
        <v>40</v>
      </c>
      <c r="D4004">
        <v>4.8125679999999997</v>
      </c>
      <c r="E4004">
        <v>0.50300590000000001</v>
      </c>
      <c r="F4004" t="s">
        <v>59</v>
      </c>
      <c r="G4004">
        <v>-421.87450000000001</v>
      </c>
      <c r="H4004" s="1">
        <v>-5.0545880000000004E-6</v>
      </c>
      <c r="I4004">
        <v>31.148879999999998</v>
      </c>
      <c r="J4004">
        <v>-423.09539999999998</v>
      </c>
      <c r="K4004">
        <v>1.1212789999999999</v>
      </c>
      <c r="L4004">
        <v>58.604770000000002</v>
      </c>
      <c r="M4004">
        <v>-6.601109E-3</v>
      </c>
      <c r="N4004">
        <v>-1.4201119999999999E-2</v>
      </c>
      <c r="O4004">
        <v>-0.99987749999999997</v>
      </c>
      <c r="P4004">
        <v>4.1642699999999998E-2</v>
      </c>
      <c r="Q4004">
        <v>0.21658160000000001</v>
      </c>
      <c r="R4004">
        <v>-0.97537609999999997</v>
      </c>
      <c r="S4004">
        <v>0.13610839999999999</v>
      </c>
      <c r="T4004">
        <v>-0.12521119999999999</v>
      </c>
      <c r="U4004">
        <v>-3.0979610000000002</v>
      </c>
      <c r="V4004">
        <v>-4.7984480000000003E-2</v>
      </c>
      <c r="W4004">
        <v>0.2304271</v>
      </c>
      <c r="X4004">
        <v>0.97190580000000004</v>
      </c>
      <c r="Y4004">
        <v>-5.0452379999999998E-2</v>
      </c>
      <c r="Z4004">
        <v>2.6142200000000001E-2</v>
      </c>
      <c r="AA4004">
        <v>0.99838419999999894</v>
      </c>
      <c r="AB4004">
        <v>29</v>
      </c>
      <c r="AC4004">
        <v>1.2208999999999699</v>
      </c>
      <c r="AD4004">
        <v>-1.1212840545880001</v>
      </c>
      <c r="AE4004">
        <v>-27.45589</v>
      </c>
      <c r="AF4004">
        <v>-1.3998009032972201</v>
      </c>
      <c r="AG4004">
        <v>-1.1212840545880001</v>
      </c>
      <c r="AH4004">
        <v>27.4016196355348</v>
      </c>
      <c r="AI4004">
        <v>92.3402082624483</v>
      </c>
      <c r="AJ4004">
        <v>92.924390141668496</v>
      </c>
      <c r="AK4004">
        <v>27.4602527146141</v>
      </c>
      <c r="AL4004">
        <v>76.677782085055597</v>
      </c>
      <c r="AM4004">
        <v>92.826485437506093</v>
      </c>
      <c r="AN4004">
        <v>1.00000002140446</v>
      </c>
    </row>
    <row r="4005" spans="1:40" x14ac:dyDescent="0.25">
      <c r="A4005" t="str">
        <f>"20190303170850239"</f>
        <v>20190303170850239</v>
      </c>
      <c r="B4005" t="str">
        <f>"1551604130227033"</f>
        <v>1551604130227033</v>
      </c>
      <c r="C4005" t="s">
        <v>40</v>
      </c>
      <c r="D4005">
        <v>4.824033</v>
      </c>
      <c r="E4005">
        <v>0.50257829999999903</v>
      </c>
      <c r="F4005" t="s">
        <v>59</v>
      </c>
      <c r="G4005">
        <v>-421.81110000000001</v>
      </c>
      <c r="H4005" s="1">
        <v>-5.0327549999999997E-6</v>
      </c>
      <c r="I4005">
        <v>31.18451</v>
      </c>
      <c r="J4005">
        <v>-423.09730000000002</v>
      </c>
      <c r="K4005">
        <v>1.1212770000000001</v>
      </c>
      <c r="L4005">
        <v>58.338590000000003</v>
      </c>
      <c r="M4005">
        <v>-6.7804529999999997E-3</v>
      </c>
      <c r="N4005">
        <v>-1.419845E-2</v>
      </c>
      <c r="O4005">
        <v>-0.99987630000000005</v>
      </c>
      <c r="P4005">
        <v>4.4488439999999997E-2</v>
      </c>
      <c r="Q4005">
        <v>0.21619250000000001</v>
      </c>
      <c r="R4005">
        <v>-0.9753368</v>
      </c>
      <c r="S4005">
        <v>0.1450806</v>
      </c>
      <c r="T4005">
        <v>-0.12667229999999999</v>
      </c>
      <c r="U4005">
        <v>-3.0976870000000001</v>
      </c>
      <c r="V4005">
        <v>-5.1004720000000003E-2</v>
      </c>
      <c r="W4005">
        <v>0.2300355</v>
      </c>
      <c r="X4005">
        <v>0.97184470000000001</v>
      </c>
      <c r="Y4005">
        <v>-5.3519009999999999E-2</v>
      </c>
      <c r="Z4005">
        <v>2.661241E-2</v>
      </c>
      <c r="AA4005">
        <v>0.99821219999999999</v>
      </c>
      <c r="AB4005">
        <v>29</v>
      </c>
      <c r="AC4005">
        <v>1.2862</v>
      </c>
      <c r="AD4005">
        <v>-1.1212820327549999</v>
      </c>
      <c r="AE4005">
        <v>-27.15408</v>
      </c>
      <c r="AF4005">
        <v>-1.46780872128722</v>
      </c>
      <c r="AG4005">
        <v>-1.1212820327549999</v>
      </c>
      <c r="AH4005">
        <v>27.098630304888299</v>
      </c>
      <c r="AI4005">
        <v>92.365958125578004</v>
      </c>
      <c r="AJ4005">
        <v>93.100420292001402</v>
      </c>
      <c r="AK4005">
        <v>27.161507694534901</v>
      </c>
      <c r="AL4005">
        <v>76.700837761786502</v>
      </c>
      <c r="AM4005">
        <v>93.004262414704797</v>
      </c>
      <c r="AN4005">
        <v>0.99999996682030801</v>
      </c>
    </row>
    <row r="4006" spans="1:40" x14ac:dyDescent="0.25">
      <c r="A4006" t="str">
        <f>"20190303170850262"</f>
        <v>20190303170850262</v>
      </c>
      <c r="B4006" t="str">
        <f>"1551604130247499"</f>
        <v>1551604130247499</v>
      </c>
      <c r="C4006" t="s">
        <v>40</v>
      </c>
      <c r="D4006">
        <v>4.8414890000000002</v>
      </c>
      <c r="E4006">
        <v>0.50233359999999905</v>
      </c>
      <c r="F4006" t="s">
        <v>59</v>
      </c>
      <c r="G4006">
        <v>-421.71120000000002</v>
      </c>
      <c r="H4006" s="1">
        <v>-5.0434979999999996E-6</v>
      </c>
      <c r="I4006">
        <v>31.152049999999999</v>
      </c>
      <c r="J4006">
        <v>-423.09949999999998</v>
      </c>
      <c r="K4006">
        <v>1.121283</v>
      </c>
      <c r="L4006">
        <v>58.046259999999997</v>
      </c>
      <c r="M4006">
        <v>-6.977586E-3</v>
      </c>
      <c r="N4006">
        <v>-1.4195350000000001E-2</v>
      </c>
      <c r="O4006">
        <v>-0.99987510000000002</v>
      </c>
      <c r="P4006">
        <v>4.7425769999999999E-2</v>
      </c>
      <c r="Q4006">
        <v>0.21582979999999999</v>
      </c>
      <c r="R4006">
        <v>-0.97527889999999995</v>
      </c>
      <c r="S4006">
        <v>0.15789790000000001</v>
      </c>
      <c r="T4006">
        <v>-0.12773199999999901</v>
      </c>
      <c r="U4006">
        <v>-3.0969850000000001</v>
      </c>
      <c r="V4006">
        <v>-5.413449E-2</v>
      </c>
      <c r="W4006">
        <v>0.22967019999999999</v>
      </c>
      <c r="X4006">
        <v>0.97176180000000001</v>
      </c>
      <c r="Y4006">
        <v>-5.784504E-2</v>
      </c>
      <c r="Z4006">
        <v>2.6956310000000001E-2</v>
      </c>
      <c r="AA4006">
        <v>0.9979616</v>
      </c>
      <c r="AB4006">
        <v>29</v>
      </c>
      <c r="AC4006">
        <v>1.3882999999999499</v>
      </c>
      <c r="AD4006">
        <v>-1.1212880434979999</v>
      </c>
      <c r="AE4006">
        <v>-26.894210000000001</v>
      </c>
      <c r="AF4006">
        <v>-1.5732143307852899</v>
      </c>
      <c r="AG4006">
        <v>-1.1212880434979999</v>
      </c>
      <c r="AH4006">
        <v>26.837340690329199</v>
      </c>
      <c r="AI4006">
        <v>92.388381935629198</v>
      </c>
      <c r="AJ4006">
        <v>93.354859401398102</v>
      </c>
      <c r="AK4006">
        <v>26.906786235741301</v>
      </c>
      <c r="AL4006">
        <v>76.722343765665698</v>
      </c>
      <c r="AM4006">
        <v>93.188513121797897</v>
      </c>
      <c r="AN4006">
        <v>0.99999996985741901</v>
      </c>
    </row>
    <row r="4007" spans="1:40" x14ac:dyDescent="0.25">
      <c r="A4007" t="str">
        <f>"20190303170850283"</f>
        <v>20190303170850283</v>
      </c>
      <c r="B4007" t="str">
        <f>"1551604130277755"</f>
        <v>1551604130277755</v>
      </c>
      <c r="C4007" t="s">
        <v>40</v>
      </c>
      <c r="D4007">
        <v>4.9436260000000001</v>
      </c>
      <c r="E4007">
        <v>0.5019129</v>
      </c>
      <c r="F4007" t="s">
        <v>59</v>
      </c>
      <c r="G4007">
        <v>-421.65289999999999</v>
      </c>
      <c r="H4007" s="1">
        <v>-4.9278669999999996E-6</v>
      </c>
      <c r="I4007">
        <v>31.372340000000001</v>
      </c>
      <c r="J4007">
        <v>-423.10160000000002</v>
      </c>
      <c r="K4007">
        <v>1.121294</v>
      </c>
      <c r="L4007">
        <v>57.765900000000002</v>
      </c>
      <c r="M4007">
        <v>-7.1668069999999999E-3</v>
      </c>
      <c r="N4007">
        <v>-1.419229E-2</v>
      </c>
      <c r="O4007">
        <v>-0.99987369999999998</v>
      </c>
      <c r="P4007">
        <v>5.0430540000000003E-2</v>
      </c>
      <c r="Q4007">
        <v>0.21656130000000001</v>
      </c>
      <c r="R4007">
        <v>-0.97496570000000005</v>
      </c>
      <c r="S4007">
        <v>0.16793820000000001</v>
      </c>
      <c r="T4007">
        <v>-0.13017480000000001</v>
      </c>
      <c r="U4007">
        <v>-3.0966800000000001</v>
      </c>
      <c r="V4007">
        <v>-5.7321379999999998E-2</v>
      </c>
      <c r="W4007">
        <v>0.23039470000000001</v>
      </c>
      <c r="X4007">
        <v>0.97140749999999998</v>
      </c>
      <c r="Y4007">
        <v>-6.1262509999999999E-2</v>
      </c>
      <c r="Z4007">
        <v>2.774122E-2</v>
      </c>
      <c r="AA4007">
        <v>0.99773610000000001</v>
      </c>
      <c r="AB4007">
        <v>29</v>
      </c>
      <c r="AC4007">
        <v>1.4487000000000301</v>
      </c>
      <c r="AD4007">
        <v>-1.121298927867</v>
      </c>
      <c r="AE4007">
        <v>-26.393559999999901</v>
      </c>
      <c r="AF4007">
        <v>-1.6348974512805099</v>
      </c>
      <c r="AG4007">
        <v>-1.121298927867</v>
      </c>
      <c r="AH4007">
        <v>26.335109646329101</v>
      </c>
      <c r="AI4007">
        <v>92.433393826257699</v>
      </c>
      <c r="AJ4007">
        <v>93.552393162234694</v>
      </c>
      <c r="AK4007">
        <v>26.409623265885799</v>
      </c>
      <c r="AL4007">
        <v>76.6796894363695</v>
      </c>
      <c r="AM4007">
        <v>93.377026771611696</v>
      </c>
      <c r="AN4007">
        <v>0.99999999472472201</v>
      </c>
    </row>
    <row r="4008" spans="1:40" x14ac:dyDescent="0.25">
      <c r="A4008" t="str">
        <f>"20190303170850307"</f>
        <v>20190303170850307</v>
      </c>
      <c r="B4008" t="str">
        <f>"1551604130298251"</f>
        <v>1551604130298251</v>
      </c>
      <c r="C4008" t="s">
        <v>40</v>
      </c>
      <c r="D4008">
        <v>4.8659530000000002</v>
      </c>
      <c r="E4008">
        <v>0.50164279999999895</v>
      </c>
      <c r="F4008" t="s">
        <v>59</v>
      </c>
      <c r="G4008">
        <v>-421.5333</v>
      </c>
      <c r="H4008" s="1">
        <v>-5.2051179999999996E-6</v>
      </c>
      <c r="I4008">
        <v>30.814589999999999</v>
      </c>
      <c r="J4008">
        <v>-423.10390000000001</v>
      </c>
      <c r="K4008">
        <v>1.121299</v>
      </c>
      <c r="L4008">
        <v>57.463529999999999</v>
      </c>
      <c r="M4008">
        <v>-7.3708749999999998E-3</v>
      </c>
      <c r="N4008">
        <v>-1.418901E-2</v>
      </c>
      <c r="O4008">
        <v>-0.99987230000000005</v>
      </c>
      <c r="P4008">
        <v>5.4265189999999998E-2</v>
      </c>
      <c r="Q4008">
        <v>0.2170204</v>
      </c>
      <c r="R4008">
        <v>-0.97465780000000002</v>
      </c>
      <c r="S4008">
        <v>0.1801758</v>
      </c>
      <c r="T4008">
        <v>-0.1288223</v>
      </c>
      <c r="U4008">
        <v>-3.0963440000000002</v>
      </c>
      <c r="V4008">
        <v>-6.1352770000000001E-2</v>
      </c>
      <c r="W4008">
        <v>0.230848</v>
      </c>
      <c r="X4008">
        <v>0.97105359999999996</v>
      </c>
      <c r="Y4008">
        <v>-6.540166E-2</v>
      </c>
      <c r="Z4008">
        <v>2.7303500000000001E-2</v>
      </c>
      <c r="AA4008">
        <v>0.99748539999999997</v>
      </c>
      <c r="AB4008">
        <v>29</v>
      </c>
      <c r="AC4008">
        <v>1.57060000000001</v>
      </c>
      <c r="AD4008">
        <v>-1.121304205118</v>
      </c>
      <c r="AE4008">
        <v>-26.64894</v>
      </c>
      <c r="AF4008">
        <v>-1.7638909853809699</v>
      </c>
      <c r="AG4008">
        <v>-1.121304205118</v>
      </c>
      <c r="AH4008">
        <v>26.589724880707202</v>
      </c>
      <c r="AI4008">
        <v>92.4094761392208</v>
      </c>
      <c r="AJ4008">
        <v>93.795287526219198</v>
      </c>
      <c r="AK4008">
        <v>26.671747294851599</v>
      </c>
      <c r="AL4008">
        <v>76.652998195850301</v>
      </c>
      <c r="AM4008">
        <v>93.615236495841003</v>
      </c>
      <c r="AN4008">
        <v>1.00000002778181</v>
      </c>
    </row>
    <row r="4009" spans="1:40" x14ac:dyDescent="0.25">
      <c r="A4009" t="str">
        <f>"20190303170850327"</f>
        <v>20190303170850327</v>
      </c>
      <c r="B4009" t="str">
        <f>"1551604130317771"</f>
        <v>1551604130317771</v>
      </c>
      <c r="C4009" t="s">
        <v>40</v>
      </c>
      <c r="D4009">
        <v>4.8728290000000003</v>
      </c>
      <c r="E4009">
        <v>0.50153179999999997</v>
      </c>
      <c r="F4009" t="s">
        <v>59</v>
      </c>
      <c r="G4009">
        <v>-421.39769999999999</v>
      </c>
      <c r="H4009" s="1">
        <v>-5.5672699999999996E-6</v>
      </c>
      <c r="I4009">
        <v>30.08839</v>
      </c>
      <c r="J4009">
        <v>-423.10610000000003</v>
      </c>
      <c r="K4009">
        <v>1.121297</v>
      </c>
      <c r="L4009">
        <v>57.195070000000001</v>
      </c>
      <c r="M4009">
        <v>-7.5516139999999999E-3</v>
      </c>
      <c r="N4009">
        <v>-1.418609E-2</v>
      </c>
      <c r="O4009">
        <v>-0.99987079999999995</v>
      </c>
      <c r="P4009">
        <v>5.8512069999999999E-2</v>
      </c>
      <c r="Q4009">
        <v>0.21733720000000001</v>
      </c>
      <c r="R4009">
        <v>-0.97434140000000002</v>
      </c>
      <c r="S4009">
        <v>0.1929321</v>
      </c>
      <c r="T4009">
        <v>-0.1267934</v>
      </c>
      <c r="U4009">
        <v>-3.0954899999999999</v>
      </c>
      <c r="V4009">
        <v>-6.5772819999999996E-2</v>
      </c>
      <c r="W4009">
        <v>0.23115840000000001</v>
      </c>
      <c r="X4009">
        <v>0.97069039999999995</v>
      </c>
      <c r="Y4009">
        <v>-6.9692809999999994E-2</v>
      </c>
      <c r="Z4009">
        <v>2.6653650000000001E-2</v>
      </c>
      <c r="AA4009">
        <v>0.9972124</v>
      </c>
      <c r="AB4009">
        <v>29</v>
      </c>
      <c r="AC4009">
        <v>1.7084000000000299</v>
      </c>
      <c r="AD4009">
        <v>-1.1213025672700001</v>
      </c>
      <c r="AE4009">
        <v>-27.106679999999901</v>
      </c>
      <c r="AF4009">
        <v>-1.9098159844617799</v>
      </c>
      <c r="AG4009">
        <v>-1.1213025672700001</v>
      </c>
      <c r="AH4009">
        <v>27.046905729433099</v>
      </c>
      <c r="AI4009">
        <v>92.368102362253794</v>
      </c>
      <c r="AJ4009">
        <v>94.039023068586204</v>
      </c>
      <c r="AK4009">
        <v>27.137424824008502</v>
      </c>
      <c r="AL4009">
        <v>76.6347196488652</v>
      </c>
      <c r="AM4009">
        <v>93.876368241415094</v>
      </c>
      <c r="AN4009">
        <v>1.0000000611967299</v>
      </c>
    </row>
    <row r="4010" spans="1:40" x14ac:dyDescent="0.25">
      <c r="A4010" t="str">
        <f>"20190303170850350"</f>
        <v>20190303170850350</v>
      </c>
      <c r="B4010" t="str">
        <f>"1551604130337291"</f>
        <v>1551604130337291</v>
      </c>
      <c r="C4010" t="s">
        <v>40</v>
      </c>
      <c r="D4010">
        <v>4.8252110000000004</v>
      </c>
      <c r="E4010">
        <v>0.50138830000000001</v>
      </c>
      <c r="F4010" t="s">
        <v>59</v>
      </c>
      <c r="G4010">
        <v>-421.27929999999998</v>
      </c>
      <c r="H4010" s="1">
        <v>-5.7561669999999998E-6</v>
      </c>
      <c r="I4010">
        <v>29.704180000000001</v>
      </c>
      <c r="J4010">
        <v>-423.10860000000002</v>
      </c>
      <c r="K4010">
        <v>1.1212899999999999</v>
      </c>
      <c r="L4010">
        <v>56.897709999999996</v>
      </c>
      <c r="M4010">
        <v>-7.7525869999999896E-3</v>
      </c>
      <c r="N4010">
        <v>-1.418285E-2</v>
      </c>
      <c r="O4010">
        <v>-0.99986960000000003</v>
      </c>
      <c r="P4010">
        <v>6.3106389999999998E-2</v>
      </c>
      <c r="Q4010">
        <v>0.21751100000000001</v>
      </c>
      <c r="R4010">
        <v>-0.9740162</v>
      </c>
      <c r="S4010">
        <v>0.20565800000000001</v>
      </c>
      <c r="T4010">
        <v>-0.12623199999999901</v>
      </c>
      <c r="U4010">
        <v>-3.0948180000000001</v>
      </c>
      <c r="V4010">
        <v>-7.0560659999999997E-2</v>
      </c>
      <c r="W4010">
        <v>0.23132539999999999</v>
      </c>
      <c r="X4010">
        <v>0.97031429999999996</v>
      </c>
      <c r="Y4010">
        <v>-7.3988419999999999E-2</v>
      </c>
      <c r="Z4010">
        <v>2.647304E-2</v>
      </c>
      <c r="AA4010">
        <v>0.99690769999999995</v>
      </c>
      <c r="AB4010">
        <v>29</v>
      </c>
      <c r="AC4010">
        <v>1.8293000000000399</v>
      </c>
      <c r="AD4010">
        <v>-1.1212957561669901</v>
      </c>
      <c r="AE4010">
        <v>-27.193529999999999</v>
      </c>
      <c r="AF4010">
        <v>-2.0366392114281102</v>
      </c>
      <c r="AG4010">
        <v>-1.1212957561669901</v>
      </c>
      <c r="AH4010">
        <v>27.132605378058098</v>
      </c>
      <c r="AI4010">
        <v>92.359856440644705</v>
      </c>
      <c r="AJ4010">
        <v>94.292710110828395</v>
      </c>
      <c r="AK4010">
        <v>27.232030369617199</v>
      </c>
      <c r="AL4010">
        <v>76.624884457537803</v>
      </c>
      <c r="AM4010">
        <v>94.159192787556904</v>
      </c>
      <c r="AN4010">
        <v>1.0000000441046399</v>
      </c>
    </row>
    <row r="4011" spans="1:40" x14ac:dyDescent="0.25">
      <c r="A4011" t="str">
        <f>"20190303170850378"</f>
        <v>20190303170850378</v>
      </c>
      <c r="B4011" t="str">
        <f>"1551604130367547"</f>
        <v>1551604130367547</v>
      </c>
      <c r="C4011" t="s">
        <v>40</v>
      </c>
      <c r="D4011">
        <v>4.8579179999999997</v>
      </c>
      <c r="E4011">
        <v>0.50151619999999997</v>
      </c>
      <c r="F4011" t="s">
        <v>59</v>
      </c>
      <c r="G4011">
        <v>-421.13810000000001</v>
      </c>
      <c r="H4011" s="1">
        <v>-5.9640900000000004E-6</v>
      </c>
      <c r="I4011">
        <v>29.195620000000002</v>
      </c>
      <c r="J4011">
        <v>-423.11160000000001</v>
      </c>
      <c r="K4011">
        <v>1.1212949999999999</v>
      </c>
      <c r="L4011">
        <v>56.543239999999997</v>
      </c>
      <c r="M4011">
        <v>-7.9919589999999999E-3</v>
      </c>
      <c r="N4011">
        <v>-1.4178949999999999E-2</v>
      </c>
      <c r="O4011">
        <v>-0.99986770000000003</v>
      </c>
      <c r="P4011">
        <v>6.7060930000000005E-2</v>
      </c>
      <c r="Q4011">
        <v>0.2170385</v>
      </c>
      <c r="R4011">
        <v>-0.97385719999999998</v>
      </c>
      <c r="S4011">
        <v>0.22006229999999999</v>
      </c>
      <c r="T4011">
        <v>-0.12522549999999999</v>
      </c>
      <c r="U4011">
        <v>-3.09375</v>
      </c>
      <c r="V4011">
        <v>-7.4747640000000004E-2</v>
      </c>
      <c r="W4011">
        <v>0.230848</v>
      </c>
      <c r="X4011">
        <v>0.97011440000000004</v>
      </c>
      <c r="Y4011">
        <v>-7.8867569999999998E-2</v>
      </c>
      <c r="Z4011">
        <v>2.615259E-2</v>
      </c>
      <c r="AA4011">
        <v>0.99654200000000004</v>
      </c>
      <c r="AB4011">
        <v>29</v>
      </c>
      <c r="AC4011">
        <v>1.9735</v>
      </c>
      <c r="AD4011">
        <v>-1.12130096409</v>
      </c>
      <c r="AE4011">
        <v>-27.347619999999999</v>
      </c>
      <c r="AF4011">
        <v>-2.1883600634794398</v>
      </c>
      <c r="AG4011">
        <v>-1.12130096409</v>
      </c>
      <c r="AH4011">
        <v>27.285339740359799</v>
      </c>
      <c r="AI4011">
        <v>92.345742816295896</v>
      </c>
      <c r="AJ4011">
        <v>94.585465549611001</v>
      </c>
      <c r="AK4011">
        <v>27.395912110502199</v>
      </c>
      <c r="AL4011">
        <v>76.652997531884196</v>
      </c>
      <c r="AM4011">
        <v>94.405953773704894</v>
      </c>
      <c r="AN4011">
        <v>0.99999997893846404</v>
      </c>
    </row>
    <row r="4012" spans="1:40" x14ac:dyDescent="0.25">
      <c r="A4012" t="str">
        <f>"20190303170850417"</f>
        <v>20190303170850417</v>
      </c>
      <c r="B4012" t="str">
        <f>"1551604130407563"</f>
        <v>1551604130407563</v>
      </c>
      <c r="C4012" t="s">
        <v>40</v>
      </c>
      <c r="D4012">
        <v>4.9207549999999998</v>
      </c>
      <c r="E4012">
        <v>0.50170930000000002</v>
      </c>
      <c r="F4012" t="s">
        <v>59</v>
      </c>
      <c r="G4012">
        <v>-421.0883</v>
      </c>
      <c r="H4012" s="1">
        <v>-5.8782489999999998E-6</v>
      </c>
      <c r="I4012">
        <v>29.399270000000001</v>
      </c>
      <c r="J4012">
        <v>-423.11590000000001</v>
      </c>
      <c r="K4012">
        <v>1.1213120000000001</v>
      </c>
      <c r="L4012">
        <v>56.045929999999998</v>
      </c>
      <c r="M4012">
        <v>-8.3278640000000008E-3</v>
      </c>
      <c r="N4012">
        <v>-1.4173430000000001E-2</v>
      </c>
      <c r="O4012">
        <v>-0.99986509999999995</v>
      </c>
      <c r="P4012">
        <v>7.4684310000000004E-2</v>
      </c>
      <c r="Q4012">
        <v>0.21835460000000001</v>
      </c>
      <c r="R4012">
        <v>-0.97300790000000004</v>
      </c>
      <c r="S4012">
        <v>0.2305603</v>
      </c>
      <c r="T4012">
        <v>-0.12777450000000001</v>
      </c>
      <c r="U4012">
        <v>-3.0931090000000001</v>
      </c>
      <c r="V4012">
        <v>-8.2690020000000003E-2</v>
      </c>
      <c r="W4012">
        <v>0.2321482</v>
      </c>
      <c r="X4012">
        <v>0.9691592</v>
      </c>
      <c r="Y4012">
        <v>-8.2577419999999999E-2</v>
      </c>
      <c r="Z4012">
        <v>2.6974689999999999E-2</v>
      </c>
      <c r="AA4012">
        <v>0.99621950000000004</v>
      </c>
      <c r="AB4012">
        <v>29</v>
      </c>
      <c r="AC4012">
        <v>2.0276000000000001</v>
      </c>
      <c r="AD4012">
        <v>-1.1213178782490001</v>
      </c>
      <c r="AE4012">
        <v>-26.646660000000001</v>
      </c>
      <c r="AF4012">
        <v>-2.2455081992790502</v>
      </c>
      <c r="AG4012">
        <v>-1.1213178782490001</v>
      </c>
      <c r="AH4012">
        <v>26.582047736579</v>
      </c>
      <c r="AI4012">
        <v>92.406929202085294</v>
      </c>
      <c r="AJ4012">
        <v>94.828575077567805</v>
      </c>
      <c r="AK4012">
        <v>26.700279450351701</v>
      </c>
      <c r="AL4012">
        <v>76.576421546398905</v>
      </c>
      <c r="AM4012">
        <v>94.876745206743706</v>
      </c>
      <c r="AN4012">
        <v>0.99999999055774003</v>
      </c>
    </row>
    <row r="4013" spans="1:40" x14ac:dyDescent="0.25">
      <c r="A4013" t="str">
        <f>"20190303170850450"</f>
        <v>20190303170850450</v>
      </c>
      <c r="B4013" t="str">
        <f>"1551604130437819"</f>
        <v>1551604130437819</v>
      </c>
      <c r="C4013" t="s">
        <v>40</v>
      </c>
      <c r="D4013">
        <v>4.7640760000000002</v>
      </c>
      <c r="E4013">
        <v>0.50199749999999999</v>
      </c>
      <c r="F4013" t="s">
        <v>59</v>
      </c>
      <c r="G4013">
        <v>-420.88720000000001</v>
      </c>
      <c r="H4013" s="1">
        <v>-6.2511839999999898E-6</v>
      </c>
      <c r="I4013">
        <v>28.454989999999999</v>
      </c>
      <c r="J4013">
        <v>-423.1198</v>
      </c>
      <c r="K4013">
        <v>1.1213219999999999</v>
      </c>
      <c r="L4013">
        <v>55.615479999999998</v>
      </c>
      <c r="M4013">
        <v>-8.6182369999999904E-3</v>
      </c>
      <c r="N4013">
        <v>-1.4168760000000001E-2</v>
      </c>
      <c r="O4013">
        <v>-0.99986269999999999</v>
      </c>
      <c r="P4013">
        <v>7.8989229999999994E-2</v>
      </c>
      <c r="Q4013">
        <v>0.22090129999999999</v>
      </c>
      <c r="R4013">
        <v>-0.97209259999999997</v>
      </c>
      <c r="S4013">
        <v>0.24978639999999999</v>
      </c>
      <c r="T4013">
        <v>-0.1256717</v>
      </c>
      <c r="U4013">
        <v>-3.0922550000000002</v>
      </c>
      <c r="V4013">
        <v>-8.7268319999999996E-2</v>
      </c>
      <c r="W4013">
        <v>0.23467840000000001</v>
      </c>
      <c r="X4013">
        <v>0.96814789999999995</v>
      </c>
      <c r="Y4013">
        <v>-8.904165E-2</v>
      </c>
      <c r="Z4013">
        <v>2.629252E-2</v>
      </c>
      <c r="AA4013">
        <v>0.99568080000000003</v>
      </c>
      <c r="AB4013">
        <v>29</v>
      </c>
      <c r="AC4013">
        <v>2.2325999999999899</v>
      </c>
      <c r="AD4013">
        <v>-1.1213282511839999</v>
      </c>
      <c r="AE4013">
        <v>-27.160489999999999</v>
      </c>
      <c r="AF4013">
        <v>-2.4624470497112201</v>
      </c>
      <c r="AG4013">
        <v>-1.1213282511839999</v>
      </c>
      <c r="AH4013">
        <v>27.094366429103498</v>
      </c>
      <c r="AI4013">
        <v>92.360176073262707</v>
      </c>
      <c r="AJ4013">
        <v>95.193008645378399</v>
      </c>
      <c r="AK4013">
        <v>27.2291335652471</v>
      </c>
      <c r="AL4013">
        <v>76.427334146623295</v>
      </c>
      <c r="AM4013">
        <v>95.150690202975298</v>
      </c>
      <c r="AN4013">
        <v>1.0000000336882899</v>
      </c>
    </row>
    <row r="4014" spans="1:40" x14ac:dyDescent="0.25">
      <c r="A4014" t="str">
        <f>"20190303170850472"</f>
        <v>20190303170850472</v>
      </c>
      <c r="B4014" t="str">
        <f>"1551604130457340"</f>
        <v>1551604130457340</v>
      </c>
      <c r="C4014" t="s">
        <v>40</v>
      </c>
      <c r="D4014">
        <v>4.7403180000000003</v>
      </c>
      <c r="E4014">
        <v>0.50220359999999997</v>
      </c>
      <c r="F4014" t="s">
        <v>59</v>
      </c>
      <c r="G4014">
        <v>-420.66660000000002</v>
      </c>
      <c r="H4014" s="1">
        <v>-7.0611190000000004E-6</v>
      </c>
      <c r="I4014">
        <v>26.435020000000002</v>
      </c>
      <c r="J4014">
        <v>-423.12259999999998</v>
      </c>
      <c r="K4014">
        <v>1.1213229999999901</v>
      </c>
      <c r="L4014">
        <v>55.32123</v>
      </c>
      <c r="M4014">
        <v>-8.8169930000000004E-3</v>
      </c>
      <c r="N4014">
        <v>-1.416562E-2</v>
      </c>
      <c r="O4014">
        <v>-0.99986109999999995</v>
      </c>
      <c r="P4014">
        <v>8.0609420000000001E-2</v>
      </c>
      <c r="Q4014">
        <v>0.22095790000000001</v>
      </c>
      <c r="R4014">
        <v>-0.97194669999999905</v>
      </c>
      <c r="S4014">
        <v>0.25994869999999998</v>
      </c>
      <c r="T4014">
        <v>-0.1188179</v>
      </c>
      <c r="U4014">
        <v>-3.0920100000000001</v>
      </c>
      <c r="V4014">
        <v>-8.9080870000000006E-2</v>
      </c>
      <c r="W4014">
        <v>0.2347294</v>
      </c>
      <c r="X4014">
        <v>0.96797040000000001</v>
      </c>
      <c r="Y4014">
        <v>-9.2500559999999996E-2</v>
      </c>
      <c r="Z4014">
        <v>2.4082869999999999E-2</v>
      </c>
      <c r="AA4014">
        <v>0.99542140000000001</v>
      </c>
      <c r="AB4014">
        <v>29</v>
      </c>
      <c r="AC4014">
        <v>2.45599999999996</v>
      </c>
      <c r="AD4014">
        <v>-1.12133006111899</v>
      </c>
      <c r="AE4014">
        <v>-28.886209999999998</v>
      </c>
      <c r="AF4014">
        <v>-2.7065702329747001</v>
      </c>
      <c r="AG4014">
        <v>-1.12133006111899</v>
      </c>
      <c r="AH4014">
        <v>28.820312485363001</v>
      </c>
      <c r="AI4014">
        <v>92.218368048122699</v>
      </c>
      <c r="AJ4014">
        <v>95.365020132312694</v>
      </c>
      <c r="AK4014">
        <v>28.968833516142201</v>
      </c>
      <c r="AL4014">
        <v>76.424327543827502</v>
      </c>
      <c r="AM4014">
        <v>95.2580345165604</v>
      </c>
      <c r="AN4014">
        <v>0.99999999395023798</v>
      </c>
    </row>
    <row r="4015" spans="1:40" x14ac:dyDescent="0.25">
      <c r="A4015" t="str">
        <f>"20190303170850497"</f>
        <v>20190303170850497</v>
      </c>
      <c r="B4015" t="str">
        <f>"1551604130487595"</f>
        <v>1551604130487595</v>
      </c>
      <c r="C4015" t="s">
        <v>40</v>
      </c>
      <c r="D4015">
        <v>4.7329239999999997</v>
      </c>
      <c r="E4015">
        <v>0.50256029999999996</v>
      </c>
      <c r="F4015" t="s">
        <v>59</v>
      </c>
      <c r="G4015">
        <v>-420.68200000000002</v>
      </c>
      <c r="H4015" s="1">
        <v>-7.0129110000000003E-6</v>
      </c>
      <c r="I4015">
        <v>26.555569999999999</v>
      </c>
      <c r="J4015">
        <v>-423.12560000000002</v>
      </c>
      <c r="K4015">
        <v>1.121318</v>
      </c>
      <c r="L4015">
        <v>55.002409999999998</v>
      </c>
      <c r="M4015">
        <v>-9.0327110000000006E-3</v>
      </c>
      <c r="N4015">
        <v>-1.416219E-2</v>
      </c>
      <c r="O4015">
        <v>-0.99985919999999895</v>
      </c>
      <c r="P4015">
        <v>8.2363779999999998E-2</v>
      </c>
      <c r="Q4015">
        <v>0.21974740000000001</v>
      </c>
      <c r="R4015">
        <v>-0.9720742</v>
      </c>
      <c r="S4015">
        <v>0.26235960000000003</v>
      </c>
      <c r="T4015">
        <v>-0.1205397</v>
      </c>
      <c r="U4015">
        <v>-3.0922239999999999</v>
      </c>
      <c r="V4015">
        <v>-9.1046550000000004E-2</v>
      </c>
      <c r="W4015">
        <v>0.23351849999999999</v>
      </c>
      <c r="X4015">
        <v>0.96808039999999995</v>
      </c>
      <c r="Y4015">
        <v>-9.3478339999999993E-2</v>
      </c>
      <c r="Z4015">
        <v>2.4633929999999998E-2</v>
      </c>
      <c r="AA4015">
        <v>0.99531650000000005</v>
      </c>
      <c r="AB4015">
        <v>29</v>
      </c>
      <c r="AC4015">
        <v>2.4436000000000599</v>
      </c>
      <c r="AD4015">
        <v>-1.121325012911</v>
      </c>
      <c r="AE4015">
        <v>-28.446840000000002</v>
      </c>
      <c r="AF4015">
        <v>-2.6963192224252999</v>
      </c>
      <c r="AG4015">
        <v>-1.121325012911</v>
      </c>
      <c r="AH4015">
        <v>28.3798311526775</v>
      </c>
      <c r="AI4015">
        <v>92.252522851527104</v>
      </c>
      <c r="AJ4015">
        <v>95.427283220082899</v>
      </c>
      <c r="AK4015">
        <v>28.529674435371401</v>
      </c>
      <c r="AL4015">
        <v>76.495690669705894</v>
      </c>
      <c r="AM4015">
        <v>95.372780730407598</v>
      </c>
      <c r="AN4015">
        <v>1.0000000124866499</v>
      </c>
    </row>
    <row r="4016" spans="1:40" x14ac:dyDescent="0.25">
      <c r="A4016" t="str">
        <f>"20190303170850520"</f>
        <v>20190303170850520</v>
      </c>
      <c r="B4016" t="str">
        <f>"1551604130508091"</f>
        <v>1551604130508091</v>
      </c>
      <c r="C4016" t="s">
        <v>40</v>
      </c>
      <c r="D4016">
        <v>4.8131620000000002</v>
      </c>
      <c r="E4016">
        <v>0.50276609999999999</v>
      </c>
      <c r="F4016" t="s">
        <v>59</v>
      </c>
      <c r="G4016">
        <v>-420.78</v>
      </c>
      <c r="H4016" s="1">
        <v>-6.6316019999999998E-6</v>
      </c>
      <c r="I4016">
        <v>27.50573</v>
      </c>
      <c r="J4016">
        <v>-423.12849999999997</v>
      </c>
      <c r="K4016">
        <v>1.121319</v>
      </c>
      <c r="L4016">
        <v>54.711460000000002</v>
      </c>
      <c r="M4016">
        <v>-9.2298870000000009E-3</v>
      </c>
      <c r="N4016">
        <v>-1.4159049999999999E-2</v>
      </c>
      <c r="O4016">
        <v>-0.9998572</v>
      </c>
      <c r="P4016">
        <v>8.4096249999999997E-2</v>
      </c>
      <c r="Q4016">
        <v>0.21945909999999999</v>
      </c>
      <c r="R4016">
        <v>-0.97199049999999998</v>
      </c>
      <c r="S4016">
        <v>0.26379390000000003</v>
      </c>
      <c r="T4016">
        <v>-0.12610579999999999</v>
      </c>
      <c r="U4016">
        <v>-3.0923159999999998</v>
      </c>
      <c r="V4016">
        <v>-9.2970179999999999E-2</v>
      </c>
      <c r="W4016">
        <v>0.23322599999999999</v>
      </c>
      <c r="X4016">
        <v>0.96796800000000005</v>
      </c>
      <c r="Y4016">
        <v>-9.4125219999999996E-2</v>
      </c>
      <c r="Z4016">
        <v>2.6422930000000001E-2</v>
      </c>
      <c r="AA4016">
        <v>0.99520960000000003</v>
      </c>
      <c r="AB4016">
        <v>29</v>
      </c>
      <c r="AC4016">
        <v>2.3485</v>
      </c>
      <c r="AD4016">
        <v>-1.1213256316019999</v>
      </c>
      <c r="AE4016">
        <v>-27.205729999999999</v>
      </c>
      <c r="AF4016">
        <v>-2.5951548747145399</v>
      </c>
      <c r="AG4016">
        <v>-1.1213256316019999</v>
      </c>
      <c r="AH4016">
        <v>27.137132721040601</v>
      </c>
      <c r="AI4016">
        <v>92.355422487011495</v>
      </c>
      <c r="AJ4016">
        <v>95.462648449472098</v>
      </c>
      <c r="AK4016">
        <v>27.2839911361079</v>
      </c>
      <c r="AL4016">
        <v>76.512924523078098</v>
      </c>
      <c r="AM4016">
        <v>95.486244520446405</v>
      </c>
      <c r="AN4016">
        <v>0.99999993523461395</v>
      </c>
    </row>
    <row r="4017" spans="1:40" x14ac:dyDescent="0.25">
      <c r="A4017" t="str">
        <f>"20190303170850562"</f>
        <v>20190303170850562</v>
      </c>
      <c r="B4017" t="str">
        <f>"1551604130547132"</f>
        <v>1551604130547132</v>
      </c>
      <c r="C4017" t="s">
        <v>40</v>
      </c>
      <c r="D4017">
        <v>4.7719559999999897</v>
      </c>
      <c r="E4017">
        <v>0.50341159999999996</v>
      </c>
      <c r="F4017" t="s">
        <v>59</v>
      </c>
      <c r="G4017">
        <v>-420.77730000000003</v>
      </c>
      <c r="H4017" s="1">
        <v>-6.69701299999999E-6</v>
      </c>
      <c r="I4017">
        <v>27.344740000000002</v>
      </c>
      <c r="J4017">
        <v>-423.13389999999998</v>
      </c>
      <c r="K4017">
        <v>1.1213299999999999</v>
      </c>
      <c r="L4017">
        <v>54.175569999999901</v>
      </c>
      <c r="M4017">
        <v>-9.5925779999999992E-3</v>
      </c>
      <c r="N4017">
        <v>-1.415336E-2</v>
      </c>
      <c r="O4017">
        <v>-0.99985389999999996</v>
      </c>
      <c r="P4017">
        <v>8.550808E-2</v>
      </c>
      <c r="Q4017">
        <v>0.22120770000000001</v>
      </c>
      <c r="R4017">
        <v>-0.97147079999999997</v>
      </c>
      <c r="S4017">
        <v>0.26565549999999999</v>
      </c>
      <c r="T4017">
        <v>-0.1266948</v>
      </c>
      <c r="U4017">
        <v>-3.0920719999999999</v>
      </c>
      <c r="V4017">
        <v>-9.472891E-2</v>
      </c>
      <c r="W4017">
        <v>0.2349617</v>
      </c>
      <c r="X4017">
        <v>0.96737759999999995</v>
      </c>
      <c r="Y4017">
        <v>-9.5086829999999997E-2</v>
      </c>
      <c r="Z4017">
        <v>2.6617760000000001E-2</v>
      </c>
      <c r="AA4017">
        <v>0.99511309999999997</v>
      </c>
      <c r="AB4017">
        <v>29</v>
      </c>
      <c r="AC4017">
        <v>2.3565999999999501</v>
      </c>
      <c r="AD4017">
        <v>-1.1213366970130001</v>
      </c>
      <c r="AE4017">
        <v>-26.830829999999899</v>
      </c>
      <c r="AF4017">
        <v>-2.6093713965525498</v>
      </c>
      <c r="AG4017">
        <v>-1.1213366970130001</v>
      </c>
      <c r="AH4017">
        <v>26.760603769962099</v>
      </c>
      <c r="AI4017">
        <v>92.388120975027505</v>
      </c>
      <c r="AJ4017">
        <v>95.569187827773703</v>
      </c>
      <c r="AK4017">
        <v>26.910892389627801</v>
      </c>
      <c r="AL4017">
        <v>76.410634784173894</v>
      </c>
      <c r="AM4017">
        <v>95.592767057168402</v>
      </c>
      <c r="AN4017">
        <v>0.99999999391921801</v>
      </c>
    </row>
    <row r="4018" spans="1:40" x14ac:dyDescent="0.25">
      <c r="A4018" t="str">
        <f>"20190303170850588"</f>
        <v>20190303170850588</v>
      </c>
      <c r="B4018" t="str">
        <f>"1551604130577386"</f>
        <v>1551604130577386</v>
      </c>
      <c r="C4018" t="s">
        <v>40</v>
      </c>
      <c r="D4018">
        <v>4.8989289999999999</v>
      </c>
      <c r="E4018">
        <v>0.54136629999999997</v>
      </c>
      <c r="F4018" t="s">
        <v>59</v>
      </c>
      <c r="G4018">
        <v>-420.69099999999997</v>
      </c>
      <c r="H4018" s="1">
        <v>-7.3170359999999997E-6</v>
      </c>
      <c r="I4018">
        <v>25.810179999999999</v>
      </c>
      <c r="J4018">
        <v>-423.13729999999998</v>
      </c>
      <c r="K4018">
        <v>1.121329</v>
      </c>
      <c r="L4018">
        <v>53.850369999999998</v>
      </c>
      <c r="M4018">
        <v>-9.8120570000000008E-3</v>
      </c>
      <c r="N4018">
        <v>-1.414992E-2</v>
      </c>
      <c r="O4018">
        <v>-0.99985179999999996</v>
      </c>
      <c r="P4018">
        <v>8.5897109999999999E-2</v>
      </c>
      <c r="Q4018">
        <v>0.2206294</v>
      </c>
      <c r="R4018">
        <v>-0.97156790000000004</v>
      </c>
      <c r="S4018">
        <v>0.26632689999999998</v>
      </c>
      <c r="T4018">
        <v>-0.12225229999999999</v>
      </c>
      <c r="U4018">
        <v>-3.0924990000000001</v>
      </c>
      <c r="V4018">
        <v>-9.5332159999999999E-2</v>
      </c>
      <c r="W4018">
        <v>0.23438129999999999</v>
      </c>
      <c r="X4018">
        <v>0.96745910000000002</v>
      </c>
      <c r="Y4018">
        <v>-9.5512079999999999E-2</v>
      </c>
      <c r="Z4018">
        <v>2.5186400000000001E-2</v>
      </c>
      <c r="AA4018">
        <v>0.99510960000000004</v>
      </c>
      <c r="AB4018">
        <v>29</v>
      </c>
      <c r="AC4018">
        <v>2.4462999999999999</v>
      </c>
      <c r="AD4018">
        <v>-1.121336317036</v>
      </c>
      <c r="AE4018">
        <v>-28.040189999999999</v>
      </c>
      <c r="AF4018">
        <v>-2.7170293648848798</v>
      </c>
      <c r="AG4018">
        <v>-1.121336317036</v>
      </c>
      <c r="AH4018">
        <v>27.970441084270998</v>
      </c>
      <c r="AI4018">
        <v>92.285017165776694</v>
      </c>
      <c r="AJ4018">
        <v>95.548264992932801</v>
      </c>
      <c r="AK4018">
        <v>28.1244594286579</v>
      </c>
      <c r="AL4018">
        <v>76.444844136728904</v>
      </c>
      <c r="AM4018">
        <v>95.627683732356303</v>
      </c>
      <c r="AN4018">
        <v>0.999999962346382</v>
      </c>
    </row>
    <row r="4019" spans="1:40" x14ac:dyDescent="0.25">
      <c r="A4019" t="str">
        <f>"20190303170850610"</f>
        <v>20190303170850610</v>
      </c>
      <c r="B4019" t="str">
        <f>"1551604130597883"</f>
        <v>1551604130597883</v>
      </c>
      <c r="C4019" t="s">
        <v>40</v>
      </c>
      <c r="D4019">
        <v>4.8263239999999996</v>
      </c>
      <c r="E4019">
        <v>0.56050279999999997</v>
      </c>
      <c r="F4019" t="s">
        <v>59</v>
      </c>
      <c r="G4019">
        <v>-423.40280000000001</v>
      </c>
      <c r="H4019" s="1">
        <v>-6.1255909999999998E-6</v>
      </c>
      <c r="I4019">
        <v>29.121839999999999</v>
      </c>
      <c r="J4019">
        <v>-423.1404</v>
      </c>
      <c r="K4019">
        <v>1.1213169999999999</v>
      </c>
      <c r="L4019">
        <v>53.557310000000001</v>
      </c>
      <c r="M4019">
        <v>-1.001049E-2</v>
      </c>
      <c r="N4019">
        <v>-1.4146819999999999E-2</v>
      </c>
      <c r="O4019">
        <v>-0.99984989999999996</v>
      </c>
      <c r="P4019">
        <v>8.5954729999999993E-2</v>
      </c>
      <c r="Q4019">
        <v>0.21964629999999999</v>
      </c>
      <c r="R4019">
        <v>-0.97178580000000003</v>
      </c>
      <c r="S4019">
        <v>-3.3538819999999997E-2</v>
      </c>
      <c r="T4019">
        <v>-0.1416116</v>
      </c>
      <c r="U4019">
        <v>-3.122925</v>
      </c>
      <c r="V4019">
        <v>-9.5585160000000002E-2</v>
      </c>
      <c r="W4019">
        <v>0.23339750000000001</v>
      </c>
      <c r="X4019">
        <v>0.96767199999999998</v>
      </c>
      <c r="Y4019">
        <v>7.2196610000000003E-4</v>
      </c>
      <c r="Z4019">
        <v>3.1158479999999999E-2</v>
      </c>
      <c r="AA4019">
        <v>0.99951420000000002</v>
      </c>
      <c r="AB4019">
        <v>29</v>
      </c>
      <c r="AC4019">
        <v>-0.26240000000001301</v>
      </c>
      <c r="AD4019">
        <v>-1.1213231255909999</v>
      </c>
      <c r="AE4019">
        <v>-24.435469999999999</v>
      </c>
      <c r="AF4019">
        <v>1.7714062383710899E-2</v>
      </c>
      <c r="AG4019">
        <v>-1.1213231255909999</v>
      </c>
      <c r="AH4019">
        <v>24.385526920093099</v>
      </c>
      <c r="AI4019">
        <v>92.6327846359369</v>
      </c>
      <c r="AJ4019">
        <v>89.958379376528399</v>
      </c>
      <c r="AK4019">
        <v>24.411300713206099</v>
      </c>
      <c r="AL4019">
        <v>76.502820411922599</v>
      </c>
      <c r="AM4019">
        <v>95.641289253638902</v>
      </c>
      <c r="AN4019">
        <v>1.0000000077012301</v>
      </c>
    </row>
    <row r="4020" spans="1:40" x14ac:dyDescent="0.25">
      <c r="A4020" t="str">
        <f>"20190303170850630"</f>
        <v>20190303170850630</v>
      </c>
      <c r="B4020" t="str">
        <f>"1551604130617404"</f>
        <v>1551604130617404</v>
      </c>
      <c r="C4020" t="s">
        <v>40</v>
      </c>
      <c r="D4020">
        <v>4.7558959999999999</v>
      </c>
      <c r="E4020">
        <v>0.57434680000000005</v>
      </c>
      <c r="F4020" t="s">
        <v>59</v>
      </c>
      <c r="G4020">
        <v>-424.98579999999998</v>
      </c>
      <c r="H4020" s="1">
        <v>-8.9472899999999992E-6</v>
      </c>
      <c r="I4020">
        <v>22.57132</v>
      </c>
      <c r="J4020">
        <v>-423.1431</v>
      </c>
      <c r="K4020">
        <v>1.1213169999999999</v>
      </c>
      <c r="L4020">
        <v>53.30518</v>
      </c>
      <c r="M4020">
        <v>-1.0187460000000001E-2</v>
      </c>
      <c r="N4020">
        <v>-1.414413E-2</v>
      </c>
      <c r="O4020">
        <v>-0.99984839999999997</v>
      </c>
      <c r="P4020">
        <v>8.5463259999999999E-2</v>
      </c>
      <c r="Q4020">
        <v>0.21975739999999999</v>
      </c>
      <c r="R4020">
        <v>-0.97180420000000001</v>
      </c>
      <c r="S4020">
        <v>-0.1863708</v>
      </c>
      <c r="T4020">
        <v>-0.1132393</v>
      </c>
      <c r="U4020">
        <v>-3.129181</v>
      </c>
      <c r="V4020">
        <v>-9.5264199999999993E-2</v>
      </c>
      <c r="W4020">
        <v>0.23350650000000001</v>
      </c>
      <c r="X4020">
        <v>0.96767740000000002</v>
      </c>
      <c r="Y4020">
        <v>4.9248260000000002E-2</v>
      </c>
      <c r="Z4020">
        <v>2.197356E-2</v>
      </c>
      <c r="AA4020">
        <v>0.99854480000000001</v>
      </c>
      <c r="AB4020">
        <v>29</v>
      </c>
      <c r="AC4020">
        <v>-1.84269999999998</v>
      </c>
      <c r="AD4020">
        <v>-1.1213259472899999</v>
      </c>
      <c r="AE4020">
        <v>-30.73386</v>
      </c>
      <c r="AF4020">
        <v>1.5274471776404399</v>
      </c>
      <c r="AG4020">
        <v>-1.1213259472899999</v>
      </c>
      <c r="AH4020">
        <v>30.710305267293101</v>
      </c>
      <c r="AI4020">
        <v>92.088533483851094</v>
      </c>
      <c r="AJ4020">
        <v>87.152609945573104</v>
      </c>
      <c r="AK4020">
        <v>30.768706771180302</v>
      </c>
      <c r="AL4020">
        <v>76.496398310022499</v>
      </c>
      <c r="AM4020">
        <v>95.622437087976607</v>
      </c>
      <c r="AN4020">
        <v>1.00000005190732</v>
      </c>
    </row>
    <row r="4021" spans="1:40" x14ac:dyDescent="0.25">
      <c r="A4021" t="str">
        <f>"20190303170850651"</f>
        <v>20190303170850651</v>
      </c>
      <c r="B4021" t="str">
        <f>"1551604130637899"</f>
        <v>1551604130637899</v>
      </c>
      <c r="C4021" t="s">
        <v>40</v>
      </c>
      <c r="D4021">
        <v>4.7403120000000003</v>
      </c>
      <c r="E4021">
        <v>0.58170040000000001</v>
      </c>
      <c r="F4021" t="s">
        <v>59</v>
      </c>
      <c r="G4021">
        <v>-427.12049999999999</v>
      </c>
      <c r="H4021" s="1">
        <v>-7.8269899999999906E-6</v>
      </c>
      <c r="I4021">
        <v>11.579689999999999</v>
      </c>
      <c r="J4021">
        <v>-423.14609999999999</v>
      </c>
      <c r="K4021">
        <v>1.1213169999999999</v>
      </c>
      <c r="L4021">
        <v>53.036160000000002</v>
      </c>
      <c r="M4021">
        <v>-1.038421E-2</v>
      </c>
      <c r="N4021">
        <v>-1.4141269999999999E-2</v>
      </c>
      <c r="O4021">
        <v>-0.99984600000000001</v>
      </c>
      <c r="P4021">
        <v>8.3710580000000007E-2</v>
      </c>
      <c r="Q4021">
        <v>0.22112090000000001</v>
      </c>
      <c r="R4021">
        <v>-0.97164700000000004</v>
      </c>
      <c r="S4021">
        <v>-0.29858400000000002</v>
      </c>
      <c r="T4021">
        <v>-8.417761E-2</v>
      </c>
      <c r="U4021">
        <v>-3.1323240000000001</v>
      </c>
      <c r="V4021">
        <v>-9.3698290000000004E-2</v>
      </c>
      <c r="W4021">
        <v>0.23486570000000001</v>
      </c>
      <c r="X4021">
        <v>0.96750130000000001</v>
      </c>
      <c r="Y4021">
        <v>8.4517869999999995E-2</v>
      </c>
      <c r="Z4021">
        <v>1.2621439999999999E-2</v>
      </c>
      <c r="AA4021">
        <v>0.99634199999999995</v>
      </c>
      <c r="AB4021">
        <v>29</v>
      </c>
      <c r="AC4021">
        <v>-3.9744000000000002</v>
      </c>
      <c r="AD4021">
        <v>-1.12132482698999</v>
      </c>
      <c r="AE4021">
        <v>-41.456470000000003</v>
      </c>
      <c r="AF4021">
        <v>3.5410828013917599</v>
      </c>
      <c r="AG4021">
        <v>-1.12132482698999</v>
      </c>
      <c r="AH4021">
        <v>41.465449304312003</v>
      </c>
      <c r="AI4021">
        <v>91.543422210631604</v>
      </c>
      <c r="AJ4021">
        <v>85.118875252892295</v>
      </c>
      <c r="AK4021">
        <v>41.631479949461301</v>
      </c>
      <c r="AL4021">
        <v>76.416293838431102</v>
      </c>
      <c r="AM4021">
        <v>95.531596156533695</v>
      </c>
      <c r="AN4021">
        <v>1.00000001604355</v>
      </c>
    </row>
    <row r="4022" spans="1:40" x14ac:dyDescent="0.25">
      <c r="A4022" t="str">
        <f>"20190303170850674"</f>
        <v>20190303170850674</v>
      </c>
      <c r="B4022" t="str">
        <f>"1551604130667179"</f>
        <v>1551604130667179</v>
      </c>
      <c r="C4022" t="s">
        <v>40</v>
      </c>
      <c r="D4022">
        <v>4.7047379999999999</v>
      </c>
      <c r="E4022">
        <v>0.58775100000000002</v>
      </c>
      <c r="F4022" t="s">
        <v>46</v>
      </c>
      <c r="G4022">
        <v>-429.52140000000003</v>
      </c>
      <c r="H4022">
        <v>-0.05</v>
      </c>
      <c r="I4022">
        <v>-2.2472080000000001</v>
      </c>
      <c r="J4022">
        <v>-423.14920000000001</v>
      </c>
      <c r="K4022">
        <v>1.121318</v>
      </c>
      <c r="L4022">
        <v>52.753720000000001</v>
      </c>
      <c r="M4022">
        <v>-1.0600450000000001E-2</v>
      </c>
      <c r="N4022">
        <v>-1.413823E-2</v>
      </c>
      <c r="O4022">
        <v>-0.99984390000000001</v>
      </c>
      <c r="P4022">
        <v>8.2814100000000002E-2</v>
      </c>
      <c r="Q4022">
        <v>0.22182740000000001</v>
      </c>
      <c r="R4022">
        <v>-0.97156299999999995</v>
      </c>
      <c r="S4022">
        <v>-0.36138920000000002</v>
      </c>
      <c r="T4022">
        <v>-6.6397189999999995E-2</v>
      </c>
      <c r="U4022">
        <v>-3.1337890000000002</v>
      </c>
      <c r="V4022">
        <v>-9.3005649999999995E-2</v>
      </c>
      <c r="W4022">
        <v>0.23556920000000001</v>
      </c>
      <c r="X4022">
        <v>0.96739710000000001</v>
      </c>
      <c r="Y4022">
        <v>0.1039943</v>
      </c>
      <c r="Z4022">
        <v>6.9252360000000004E-3</v>
      </c>
      <c r="AA4022">
        <v>0.99455380000000004</v>
      </c>
      <c r="AB4022">
        <v>28</v>
      </c>
      <c r="AC4022">
        <v>-6.3722000000000198</v>
      </c>
      <c r="AD4022">
        <v>-1.1713180000000001</v>
      </c>
      <c r="AE4022">
        <v>-55.000928000000002</v>
      </c>
      <c r="AF4022">
        <v>5.7861595937937098</v>
      </c>
      <c r="AG4022">
        <v>-1.1713180000000001</v>
      </c>
      <c r="AH4022">
        <v>55.040759806207497</v>
      </c>
      <c r="AI4022">
        <v>91.212443778476</v>
      </c>
      <c r="AJ4022">
        <v>83.9988235592904</v>
      </c>
      <c r="AK4022">
        <v>55.356452819401298</v>
      </c>
      <c r="AL4022">
        <v>76.3748228023195</v>
      </c>
      <c r="AM4022">
        <v>95.491543943724295</v>
      </c>
      <c r="AN4022">
        <v>1.00000002400448</v>
      </c>
    </row>
    <row r="4023" spans="1:40" x14ac:dyDescent="0.25">
      <c r="A4023" t="str">
        <f>"20190303170850696"</f>
        <v>20190303170850696</v>
      </c>
      <c r="B4023" t="str">
        <f>"1551604130687676"</f>
        <v>1551604130687676</v>
      </c>
      <c r="C4023" t="s">
        <v>40</v>
      </c>
      <c r="D4023">
        <v>4.731954</v>
      </c>
      <c r="E4023">
        <v>0.59024650000000001</v>
      </c>
      <c r="F4023" t="s">
        <v>96</v>
      </c>
      <c r="G4023">
        <v>-430.40210000000002</v>
      </c>
      <c r="H4023">
        <v>0.21687339999999999</v>
      </c>
      <c r="I4023">
        <v>-2.4070420000000001</v>
      </c>
      <c r="J4023">
        <v>-423.15260000000001</v>
      </c>
      <c r="K4023">
        <v>1.121302</v>
      </c>
      <c r="L4023">
        <v>52.460850000000001</v>
      </c>
      <c r="M4023">
        <v>-1.083539E-2</v>
      </c>
      <c r="N4023">
        <v>-1.4135089999999999E-2</v>
      </c>
      <c r="O4023">
        <v>-0.99984150000000005</v>
      </c>
      <c r="P4023">
        <v>8.33372E-2</v>
      </c>
      <c r="Q4023">
        <v>0.22054460000000001</v>
      </c>
      <c r="R4023">
        <v>-0.97181059999999997</v>
      </c>
      <c r="S4023">
        <v>-0.41217039999999999</v>
      </c>
      <c r="T4023">
        <v>-5.1399229999999997E-2</v>
      </c>
      <c r="U4023">
        <v>-3.134674</v>
      </c>
      <c r="V4023">
        <v>-9.3755539999999998E-2</v>
      </c>
      <c r="W4023">
        <v>0.2342891</v>
      </c>
      <c r="X4023">
        <v>0.96763560000000004</v>
      </c>
      <c r="Y4023">
        <v>0.1195879</v>
      </c>
      <c r="Z4023">
        <v>2.1397339999999999E-3</v>
      </c>
      <c r="AA4023">
        <v>0.99282130000000002</v>
      </c>
      <c r="AB4023">
        <v>28</v>
      </c>
      <c r="AC4023">
        <v>-7.24950000000001</v>
      </c>
      <c r="AD4023">
        <v>-0.90442860000000003</v>
      </c>
      <c r="AE4023">
        <v>-54.867891999999998</v>
      </c>
      <c r="AF4023">
        <v>6.65272337281246</v>
      </c>
      <c r="AG4023">
        <v>-0.90442860000000003</v>
      </c>
      <c r="AH4023">
        <v>54.928560580254</v>
      </c>
      <c r="AI4023">
        <v>90.936478508288204</v>
      </c>
      <c r="AJ4023">
        <v>83.094204826036602</v>
      </c>
      <c r="AK4023">
        <v>55.337360677812399</v>
      </c>
      <c r="AL4023">
        <v>76.450279585199297</v>
      </c>
      <c r="AM4023">
        <v>95.534191562727401</v>
      </c>
      <c r="AN4023">
        <v>1.0000000690234201</v>
      </c>
    </row>
    <row r="4024" spans="1:40" x14ac:dyDescent="0.25">
      <c r="A4024" t="str">
        <f>"20190303170850716"</f>
        <v>20190303170850716</v>
      </c>
      <c r="B4024" t="str">
        <f>"1551604130707196"</f>
        <v>1551604130707196</v>
      </c>
      <c r="C4024" t="s">
        <v>40</v>
      </c>
      <c r="D4024">
        <v>4.7185300000000003</v>
      </c>
      <c r="E4024">
        <v>0.59231469999999997</v>
      </c>
      <c r="F4024" t="s">
        <v>96</v>
      </c>
      <c r="G4024">
        <v>-430.7294</v>
      </c>
      <c r="H4024">
        <v>0.25220890000000001</v>
      </c>
      <c r="I4024">
        <v>-2.6749879999999999</v>
      </c>
      <c r="J4024">
        <v>-423.15559999999999</v>
      </c>
      <c r="K4024">
        <v>1.1212899999999999</v>
      </c>
      <c r="L4024">
        <v>52.196959999999997</v>
      </c>
      <c r="M4024">
        <v>-1.1055479999999999E-2</v>
      </c>
      <c r="N4024">
        <v>-1.413229E-2</v>
      </c>
      <c r="O4024">
        <v>-0.99983909999999998</v>
      </c>
      <c r="P4024">
        <v>8.3496539999999994E-2</v>
      </c>
      <c r="Q4024">
        <v>0.21995770000000001</v>
      </c>
      <c r="R4024">
        <v>-0.97192959999999995</v>
      </c>
      <c r="S4024">
        <v>-0.43084719999999999</v>
      </c>
      <c r="T4024">
        <v>-4.9420829999999999E-2</v>
      </c>
      <c r="U4024">
        <v>-3.1351930000000001</v>
      </c>
      <c r="V4024">
        <v>-9.4126340000000003E-2</v>
      </c>
      <c r="W4024">
        <v>0.2337021</v>
      </c>
      <c r="X4024">
        <v>0.96774150000000003</v>
      </c>
      <c r="Y4024">
        <v>0.12515499999999999</v>
      </c>
      <c r="Z4024">
        <v>1.5030499999999999E-3</v>
      </c>
      <c r="AA4024">
        <v>0.99213609999999997</v>
      </c>
      <c r="AB4024">
        <v>28</v>
      </c>
      <c r="AC4024">
        <v>-7.5738000000000003</v>
      </c>
      <c r="AD4024">
        <v>-0.86908109999999905</v>
      </c>
      <c r="AE4024">
        <v>-54.871948000000003</v>
      </c>
      <c r="AF4024">
        <v>6.9649262737711997</v>
      </c>
      <c r="AG4024">
        <v>-0.86908109999999905</v>
      </c>
      <c r="AH4024">
        <v>54.938810320567697</v>
      </c>
      <c r="AI4024">
        <v>90.899095365707694</v>
      </c>
      <c r="AJ4024">
        <v>82.774810088209705</v>
      </c>
      <c r="AK4024">
        <v>55.385362501266997</v>
      </c>
      <c r="AL4024">
        <v>76.484871984235099</v>
      </c>
      <c r="AM4024">
        <v>95.555338238229993</v>
      </c>
      <c r="AN4024">
        <v>1.00000002512422</v>
      </c>
    </row>
    <row r="4025" spans="1:40" x14ac:dyDescent="0.25">
      <c r="A4025" t="str">
        <f>"20190303170850739"</f>
        <v>20190303170850739</v>
      </c>
      <c r="B4025" t="str">
        <f>"1551604130727692"</f>
        <v>1551604130727692</v>
      </c>
      <c r="C4025" t="s">
        <v>40</v>
      </c>
      <c r="D4025">
        <v>4.7151290000000001</v>
      </c>
      <c r="E4025">
        <v>0.59391249999999995</v>
      </c>
      <c r="F4025" t="s">
        <v>96</v>
      </c>
      <c r="G4025">
        <v>-430.99680000000001</v>
      </c>
      <c r="H4025">
        <v>0.30049399999999998</v>
      </c>
      <c r="I4025">
        <v>-2.893761</v>
      </c>
      <c r="J4025">
        <v>-423.15910000000002</v>
      </c>
      <c r="K4025">
        <v>1.121291</v>
      </c>
      <c r="L4025">
        <v>51.910609999999998</v>
      </c>
      <c r="M4025">
        <v>-1.130126E-2</v>
      </c>
      <c r="N4025">
        <v>-1.4129249999999999E-2</v>
      </c>
      <c r="O4025">
        <v>-0.99983650000000002</v>
      </c>
      <c r="P4025">
        <v>8.2699490000000001E-2</v>
      </c>
      <c r="Q4025">
        <v>0.2202142</v>
      </c>
      <c r="R4025">
        <v>-0.97194009999999997</v>
      </c>
      <c r="S4025">
        <v>-0.44628909999999999</v>
      </c>
      <c r="T4025">
        <v>-4.6718120000000002E-2</v>
      </c>
      <c r="U4025">
        <v>-3.1355590000000002</v>
      </c>
      <c r="V4025">
        <v>-9.3564830000000002E-2</v>
      </c>
      <c r="W4025">
        <v>0.23395669999999999</v>
      </c>
      <c r="X4025">
        <v>0.96773439999999999</v>
      </c>
      <c r="Y4025">
        <v>0.12968640000000001</v>
      </c>
      <c r="Z4025">
        <v>6.4125040000000003E-4</v>
      </c>
      <c r="AA4025">
        <v>0.99155490000000002</v>
      </c>
      <c r="AB4025">
        <v>28</v>
      </c>
      <c r="AC4025">
        <v>-7.8376999999999803</v>
      </c>
      <c r="AD4025">
        <v>-0.820796999999999</v>
      </c>
      <c r="AE4025">
        <v>-54.804371000000003</v>
      </c>
      <c r="AF4025">
        <v>7.2161930200214899</v>
      </c>
      <c r="AG4025">
        <v>-0.820796999999999</v>
      </c>
      <c r="AH4025">
        <v>54.877392512735298</v>
      </c>
      <c r="AI4025">
        <v>90.849591998667407</v>
      </c>
      <c r="AJ4025">
        <v>82.508777717725195</v>
      </c>
      <c r="AK4025">
        <v>55.355897232492197</v>
      </c>
      <c r="AL4025">
        <v>76.469868090621702</v>
      </c>
      <c r="AM4025">
        <v>95.522443648554699</v>
      </c>
      <c r="AN4025">
        <v>0.99999999191558897</v>
      </c>
    </row>
    <row r="4026" spans="1:40" x14ac:dyDescent="0.25">
      <c r="A4026" t="str">
        <f>"20190303170850765"</f>
        <v>20190303170850765</v>
      </c>
      <c r="B4026" t="str">
        <f>"1551604130757947"</f>
        <v>1551604130757947</v>
      </c>
      <c r="C4026" t="s">
        <v>40</v>
      </c>
      <c r="D4026">
        <v>4.7129339999999997</v>
      </c>
      <c r="E4026">
        <v>0.59578569999999997</v>
      </c>
      <c r="F4026" t="s">
        <v>96</v>
      </c>
      <c r="G4026">
        <v>-431.24639999999999</v>
      </c>
      <c r="H4026">
        <v>0.38034269999999998</v>
      </c>
      <c r="I4026">
        <v>-3.0981100000000001</v>
      </c>
      <c r="J4026">
        <v>-423.16309999999999</v>
      </c>
      <c r="K4026">
        <v>1.1212930000000001</v>
      </c>
      <c r="L4026">
        <v>51.583309999999997</v>
      </c>
      <c r="M4026">
        <v>-1.158884E-2</v>
      </c>
      <c r="N4026">
        <v>-1.412572E-2</v>
      </c>
      <c r="O4026">
        <v>-0.99983319999999998</v>
      </c>
      <c r="P4026">
        <v>8.1681110000000001E-2</v>
      </c>
      <c r="Q4026">
        <v>0.219888</v>
      </c>
      <c r="R4026">
        <v>-0.97209970000000001</v>
      </c>
      <c r="S4026">
        <v>-0.46096799999999999</v>
      </c>
      <c r="T4026">
        <v>-4.2234300000000002E-2</v>
      </c>
      <c r="U4026">
        <v>-3.1354060000000001</v>
      </c>
      <c r="V4026">
        <v>-9.2826160000000005E-2</v>
      </c>
      <c r="W4026">
        <v>0.2336298</v>
      </c>
      <c r="X4026">
        <v>0.96788450000000004</v>
      </c>
      <c r="Y4026">
        <v>0.1339542</v>
      </c>
      <c r="Z4026">
        <v>-7.7863300000000004E-4</v>
      </c>
      <c r="AA4026">
        <v>0.99098719999999996</v>
      </c>
      <c r="AB4026">
        <v>28</v>
      </c>
      <c r="AC4026">
        <v>-8.0832999999999995</v>
      </c>
      <c r="AD4026">
        <v>-0.74095029999999995</v>
      </c>
      <c r="AE4026">
        <v>-54.681420000000003</v>
      </c>
      <c r="AF4026">
        <v>7.4476614710560503</v>
      </c>
      <c r="AG4026">
        <v>-0.74095029999999995</v>
      </c>
      <c r="AH4026">
        <v>54.761592853916603</v>
      </c>
      <c r="AI4026">
        <v>90.768121401433305</v>
      </c>
      <c r="AJ4026">
        <v>82.255202296477904</v>
      </c>
      <c r="AK4026">
        <v>55.2706859070218</v>
      </c>
      <c r="AL4026">
        <v>76.4891319599122</v>
      </c>
      <c r="AM4026">
        <v>95.478267216716105</v>
      </c>
      <c r="AN4026">
        <v>0.99999999238431703</v>
      </c>
    </row>
    <row r="4027" spans="1:40" x14ac:dyDescent="0.25">
      <c r="A4027" t="str">
        <f>"20190303170850794"</f>
        <v>20190303170850794</v>
      </c>
      <c r="B4027" t="str">
        <f>"1551604130787228"</f>
        <v>1551604130787228</v>
      </c>
      <c r="C4027" t="s">
        <v>40</v>
      </c>
      <c r="D4027">
        <v>4.6915950000000004</v>
      </c>
      <c r="E4027">
        <v>0.59728740000000002</v>
      </c>
      <c r="F4027" t="s">
        <v>96</v>
      </c>
      <c r="G4027">
        <v>-431.57429999999999</v>
      </c>
      <c r="H4027">
        <v>0.46533419999999998</v>
      </c>
      <c r="I4027">
        <v>-3.3664230000000002</v>
      </c>
      <c r="J4027">
        <v>-423.16739999999999</v>
      </c>
      <c r="K4027">
        <v>1.121275</v>
      </c>
      <c r="L4027">
        <v>51.2395</v>
      </c>
      <c r="M4027">
        <v>-1.189405E-2</v>
      </c>
      <c r="N4027">
        <v>-1.412208E-2</v>
      </c>
      <c r="O4027">
        <v>-0.99982959999999999</v>
      </c>
      <c r="P4027">
        <v>8.1586249999999999E-2</v>
      </c>
      <c r="Q4027">
        <v>0.21843670000000001</v>
      </c>
      <c r="R4027">
        <v>-0.97243460000000004</v>
      </c>
      <c r="S4027">
        <v>-0.47985840000000002</v>
      </c>
      <c r="T4027">
        <v>-3.7423970000000001E-2</v>
      </c>
      <c r="U4027">
        <v>-3.1348880000000001</v>
      </c>
      <c r="V4027">
        <v>-9.303198E-2</v>
      </c>
      <c r="W4027">
        <v>0.23217930000000001</v>
      </c>
      <c r="X4027">
        <v>0.96821369999999896</v>
      </c>
      <c r="Y4027">
        <v>0.13951329999999901</v>
      </c>
      <c r="Z4027">
        <v>-2.3008379999999999E-3</v>
      </c>
      <c r="AA4027">
        <v>0.99021749999999997</v>
      </c>
      <c r="AB4027">
        <v>28</v>
      </c>
      <c r="AC4027">
        <v>-8.4069000000000091</v>
      </c>
      <c r="AD4027">
        <v>-0.65594079999999999</v>
      </c>
      <c r="AE4027">
        <v>-54.605922999999997</v>
      </c>
      <c r="AF4027">
        <v>7.7556617066003204</v>
      </c>
      <c r="AG4027">
        <v>-0.65594079999999999</v>
      </c>
      <c r="AH4027">
        <v>54.694352277210797</v>
      </c>
      <c r="AI4027">
        <v>90.680301559731006</v>
      </c>
      <c r="AJ4027">
        <v>81.929262216097996</v>
      </c>
      <c r="AK4027">
        <v>55.245386394376602</v>
      </c>
      <c r="AL4027">
        <v>76.574589349224098</v>
      </c>
      <c r="AM4027">
        <v>95.488484479527301</v>
      </c>
      <c r="AN4027">
        <v>0.99999997275944896</v>
      </c>
    </row>
    <row r="4028" spans="1:40" x14ac:dyDescent="0.25">
      <c r="A4028" t="str">
        <f>"20190303170850830"</f>
        <v>20190303170850830</v>
      </c>
      <c r="B4028" t="str">
        <f>"1551604130817483"</f>
        <v>1551604130817483</v>
      </c>
      <c r="C4028" t="s">
        <v>40</v>
      </c>
      <c r="D4028">
        <v>4.708399</v>
      </c>
      <c r="E4028">
        <v>0.59851889999999996</v>
      </c>
      <c r="F4028" t="s">
        <v>96</v>
      </c>
      <c r="G4028">
        <v>-431.80560000000003</v>
      </c>
      <c r="H4028">
        <v>0.49665330000000002</v>
      </c>
      <c r="I4028">
        <v>-3.5557460000000001</v>
      </c>
      <c r="J4028">
        <v>-423.17340000000002</v>
      </c>
      <c r="K4028">
        <v>1.121275</v>
      </c>
      <c r="L4028">
        <v>50.78098</v>
      </c>
      <c r="M4028">
        <v>-1.229966E-2</v>
      </c>
      <c r="N4028">
        <v>-1.41172E-2</v>
      </c>
      <c r="O4028">
        <v>-0.99982479999999996</v>
      </c>
      <c r="P4028">
        <v>8.072203E-2</v>
      </c>
      <c r="Q4028">
        <v>0.2191167</v>
      </c>
      <c r="R4028">
        <v>-0.97235389999999999</v>
      </c>
      <c r="S4028">
        <v>-0.49414059999999999</v>
      </c>
      <c r="T4028">
        <v>-3.5732510000000002E-2</v>
      </c>
      <c r="U4028">
        <v>-3.1345209999999999</v>
      </c>
      <c r="V4028">
        <v>-9.2560489999999995E-2</v>
      </c>
      <c r="W4028">
        <v>0.2328527</v>
      </c>
      <c r="X4028">
        <v>0.96809719999999999</v>
      </c>
      <c r="Y4028">
        <v>0.14353279999999999</v>
      </c>
      <c r="Z4028">
        <v>-2.8347759999999998E-3</v>
      </c>
      <c r="AA4028">
        <v>0.98964149999999995</v>
      </c>
      <c r="AB4028">
        <v>28</v>
      </c>
      <c r="AC4028">
        <v>-8.6322000000000099</v>
      </c>
      <c r="AD4028">
        <v>-0.62462169999999995</v>
      </c>
      <c r="AE4028">
        <v>-54.336725999999999</v>
      </c>
      <c r="AF4028">
        <v>7.9621308591557796</v>
      </c>
      <c r="AG4028">
        <v>-0.62462169999999995</v>
      </c>
      <c r="AH4028">
        <v>54.431782882061803</v>
      </c>
      <c r="AI4028">
        <v>90.650535771929</v>
      </c>
      <c r="AJ4028">
        <v>81.677952393583695</v>
      </c>
      <c r="AK4028">
        <v>55.014585955056901</v>
      </c>
      <c r="AL4028">
        <v>76.534919571905803</v>
      </c>
      <c r="AM4028">
        <v>95.461490357686799</v>
      </c>
      <c r="AN4028">
        <v>1.00000000642708</v>
      </c>
    </row>
    <row r="4029" spans="1:40" x14ac:dyDescent="0.25">
      <c r="A4029" t="str">
        <f>"20190303170850853"</f>
        <v>20190303170850853</v>
      </c>
      <c r="B4029" t="str">
        <f>"1551604130847740"</f>
        <v>1551604130847740</v>
      </c>
      <c r="C4029" t="s">
        <v>40</v>
      </c>
      <c r="D4029">
        <v>4.6830749999999997</v>
      </c>
      <c r="E4029">
        <v>0.59928459999999995</v>
      </c>
      <c r="F4029" t="s">
        <v>96</v>
      </c>
      <c r="G4029">
        <v>-431.9769</v>
      </c>
      <c r="H4029">
        <v>0.60412140000000003</v>
      </c>
      <c r="I4029">
        <v>-3.6959499999999998</v>
      </c>
      <c r="J4029">
        <v>-423.17739999999998</v>
      </c>
      <c r="K4029">
        <v>1.121289</v>
      </c>
      <c r="L4029">
        <v>50.481839999999998</v>
      </c>
      <c r="M4029">
        <v>-1.256238E-2</v>
      </c>
      <c r="N4029">
        <v>-1.4113819999999999E-2</v>
      </c>
      <c r="O4029">
        <v>-0.99982150000000003</v>
      </c>
      <c r="P4029">
        <v>7.9771670000000003E-2</v>
      </c>
      <c r="Q4029">
        <v>0.22001200000000001</v>
      </c>
      <c r="R4029">
        <v>-0.97223009999999999</v>
      </c>
      <c r="S4029">
        <v>-0.50646970000000002</v>
      </c>
      <c r="T4029">
        <v>-2.9753450000000001E-2</v>
      </c>
      <c r="U4029">
        <v>-3.134064</v>
      </c>
      <c r="V4029">
        <v>-9.1863570000000005E-2</v>
      </c>
      <c r="W4029">
        <v>0.23374249999999999</v>
      </c>
      <c r="X4029">
        <v>0.96794919999999995</v>
      </c>
      <c r="Y4029">
        <v>0.14709069999999999</v>
      </c>
      <c r="Z4029">
        <v>-4.7203490000000004E-3</v>
      </c>
      <c r="AA4029">
        <v>0.98911179999999999</v>
      </c>
      <c r="AB4029">
        <v>28</v>
      </c>
      <c r="AC4029">
        <v>-8.7995000000000196</v>
      </c>
      <c r="AD4029">
        <v>-0.51716759999999995</v>
      </c>
      <c r="AE4029">
        <v>-54.177790000000002</v>
      </c>
      <c r="AF4029">
        <v>8.1174150678589001</v>
      </c>
      <c r="AG4029">
        <v>-0.51716759999999995</v>
      </c>
      <c r="AH4029">
        <v>54.279248785554898</v>
      </c>
      <c r="AI4029">
        <v>90.5398887574204</v>
      </c>
      <c r="AJ4029">
        <v>81.494499900954906</v>
      </c>
      <c r="AK4029">
        <v>54.885305305104801</v>
      </c>
      <c r="AL4029">
        <v>76.482491816676699</v>
      </c>
      <c r="AM4029">
        <v>95.421438637347606</v>
      </c>
      <c r="AN4029">
        <v>1.0000000627900101</v>
      </c>
    </row>
    <row r="4030" spans="1:40" x14ac:dyDescent="0.25">
      <c r="A4030" t="str">
        <f>"20190303170850876"</f>
        <v>20190303170850876</v>
      </c>
      <c r="B4030" t="str">
        <f>"1551604130867259"</f>
        <v>1551604130867259</v>
      </c>
      <c r="C4030" t="s">
        <v>40</v>
      </c>
      <c r="D4030">
        <v>4.6834879999999997</v>
      </c>
      <c r="E4030">
        <v>0.60930709999999999</v>
      </c>
      <c r="F4030" t="s">
        <v>96</v>
      </c>
      <c r="G4030">
        <v>-432.11320000000001</v>
      </c>
      <c r="H4030">
        <v>0.70878819999999998</v>
      </c>
      <c r="I4030">
        <v>-3.8074669999999999</v>
      </c>
      <c r="J4030">
        <v>-423.18119999999999</v>
      </c>
      <c r="K4030">
        <v>1.1212839999999999</v>
      </c>
      <c r="L4030">
        <v>50.19699</v>
      </c>
      <c r="M4030">
        <v>-1.281153E-2</v>
      </c>
      <c r="N4030">
        <v>-1.4110869999999999E-2</v>
      </c>
      <c r="O4030">
        <v>-0.9998184</v>
      </c>
      <c r="P4030">
        <v>8.0489389999999994E-2</v>
      </c>
      <c r="Q4030">
        <v>0.21918589999999999</v>
      </c>
      <c r="R4030">
        <v>-0.97235760000000004</v>
      </c>
      <c r="S4030">
        <v>-0.51574709999999901</v>
      </c>
      <c r="T4030">
        <v>-2.3809670000000002E-2</v>
      </c>
      <c r="U4030">
        <v>-3.1333920000000002</v>
      </c>
      <c r="V4030">
        <v>-9.2825420000000006E-2</v>
      </c>
      <c r="W4030">
        <v>0.23291580000000001</v>
      </c>
      <c r="X4030">
        <v>0.96805669999999999</v>
      </c>
      <c r="Y4030">
        <v>0.14972949999999999</v>
      </c>
      <c r="Z4030">
        <v>-6.5922209999999997E-3</v>
      </c>
      <c r="AA4030">
        <v>0.98870499999999995</v>
      </c>
      <c r="AB4030">
        <v>28</v>
      </c>
      <c r="AC4030">
        <v>-8.9320000000000093</v>
      </c>
      <c r="AD4030">
        <v>-0.41249580000000002</v>
      </c>
      <c r="AE4030">
        <v>-54.004456999999903</v>
      </c>
      <c r="AF4030">
        <v>8.2388503407093001</v>
      </c>
      <c r="AG4030">
        <v>-0.41249580000000002</v>
      </c>
      <c r="AH4030">
        <v>54.111394995362097</v>
      </c>
      <c r="AI4030">
        <v>90.431786152879496</v>
      </c>
      <c r="AJ4030">
        <v>81.342793398792594</v>
      </c>
      <c r="AK4030">
        <v>54.736567996776401</v>
      </c>
      <c r="AL4030">
        <v>76.531202609206005</v>
      </c>
      <c r="AM4030">
        <v>95.477255258662694</v>
      </c>
      <c r="AN4030">
        <v>1.0000000514513501</v>
      </c>
    </row>
    <row r="4031" spans="1:40" x14ac:dyDescent="0.25">
      <c r="A4031" t="str">
        <f>"20190303170850897"</f>
        <v>20190303170850897</v>
      </c>
      <c r="B4031" t="str">
        <f>"1551604130887757"</f>
        <v>1551604130887757</v>
      </c>
      <c r="C4031" t="s">
        <v>40</v>
      </c>
      <c r="D4031">
        <v>4.6921730000000004</v>
      </c>
      <c r="E4031">
        <v>0.60936559999999995</v>
      </c>
      <c r="F4031" t="s">
        <v>96</v>
      </c>
      <c r="G4031">
        <v>-433.71550000000002</v>
      </c>
      <c r="H4031">
        <v>1.412345</v>
      </c>
      <c r="I4031">
        <v>-5.1187559999999896</v>
      </c>
      <c r="J4031">
        <v>-423.185</v>
      </c>
      <c r="K4031">
        <v>1.1212690000000001</v>
      </c>
      <c r="L4031">
        <v>49.924349999999997</v>
      </c>
      <c r="M4031">
        <v>-1.304961E-2</v>
      </c>
      <c r="N4031">
        <v>-1.4108249999999999E-2</v>
      </c>
      <c r="O4031">
        <v>-0.99981529999999996</v>
      </c>
      <c r="P4031">
        <v>8.1063430000000006E-2</v>
      </c>
      <c r="Q4031">
        <v>0.2175948</v>
      </c>
      <c r="R4031">
        <v>-0.9726669</v>
      </c>
      <c r="S4031">
        <v>-0.59625240000000002</v>
      </c>
      <c r="T4031">
        <v>1.6472819999999999E-2</v>
      </c>
      <c r="U4031">
        <v>-3.1309200000000001</v>
      </c>
      <c r="V4031">
        <v>-9.3636010000000006E-2</v>
      </c>
      <c r="W4031">
        <v>0.23132630000000001</v>
      </c>
      <c r="X4031">
        <v>0.96835959999999999</v>
      </c>
      <c r="Y4031">
        <v>0.17419579999999901</v>
      </c>
      <c r="Z4031">
        <v>-1.926404E-2</v>
      </c>
      <c r="AA4031">
        <v>0.98452260000000003</v>
      </c>
      <c r="AB4031">
        <v>28</v>
      </c>
      <c r="AC4031">
        <v>-10.5305</v>
      </c>
      <c r="AD4031">
        <v>0.291076</v>
      </c>
      <c r="AE4031">
        <v>-55.043106000000002</v>
      </c>
      <c r="AF4031">
        <v>9.8109759063631792</v>
      </c>
      <c r="AG4031">
        <v>0.291076</v>
      </c>
      <c r="AH4031">
        <v>55.1743623118847</v>
      </c>
      <c r="AI4031">
        <v>89.702403299808395</v>
      </c>
      <c r="AJ4031">
        <v>79.917187044539006</v>
      </c>
      <c r="AK4031">
        <v>56.040612327098401</v>
      </c>
      <c r="AL4031">
        <v>76.624829996936299</v>
      </c>
      <c r="AM4031">
        <v>95.523072809829401</v>
      </c>
      <c r="AN4031">
        <v>0.99999993717628299</v>
      </c>
    </row>
    <row r="4032" spans="1:40" x14ac:dyDescent="0.25">
      <c r="A4032" t="str">
        <f>"20190303170850919"</f>
        <v>20190303170850919</v>
      </c>
      <c r="B4032" t="str">
        <f>"1551604130907275"</f>
        <v>1551604130907275</v>
      </c>
      <c r="C4032" t="s">
        <v>40</v>
      </c>
      <c r="D4032">
        <v>5.0308449999999896</v>
      </c>
      <c r="E4032">
        <v>0.57126189999999999</v>
      </c>
      <c r="F4032" t="s">
        <v>96</v>
      </c>
      <c r="G4032">
        <v>-433.64179999999999</v>
      </c>
      <c r="H4032">
        <v>1.3300920000000001</v>
      </c>
      <c r="I4032">
        <v>-5.0584530000000001</v>
      </c>
      <c r="J4032">
        <v>-423.18889999999999</v>
      </c>
      <c r="K4032">
        <v>1.121262</v>
      </c>
      <c r="L4032">
        <v>49.64499</v>
      </c>
      <c r="M4032">
        <v>-1.3293650000000001E-2</v>
      </c>
      <c r="N4032">
        <v>-1.410554E-2</v>
      </c>
      <c r="O4032">
        <v>-0.99981220000000004</v>
      </c>
      <c r="P4032">
        <v>8.0841789999999997E-2</v>
      </c>
      <c r="Q4032">
        <v>0.21653410000000001</v>
      </c>
      <c r="R4032">
        <v>-0.97292230000000002</v>
      </c>
      <c r="S4032">
        <v>-0.59551999999999905</v>
      </c>
      <c r="T4032">
        <v>1.189101E-2</v>
      </c>
      <c r="U4032">
        <v>-3.1312869999999999</v>
      </c>
      <c r="V4032">
        <v>-9.3656059999999999E-2</v>
      </c>
      <c r="W4032">
        <v>0.2302661</v>
      </c>
      <c r="X4032">
        <v>0.96861039999999998</v>
      </c>
      <c r="Y4032">
        <v>0.17371529999999999</v>
      </c>
      <c r="Z4032">
        <v>-1.7822000000000001E-2</v>
      </c>
      <c r="AA4032">
        <v>0.98463460000000003</v>
      </c>
      <c r="AB4032">
        <v>28</v>
      </c>
      <c r="AC4032">
        <v>-10.4529</v>
      </c>
      <c r="AD4032">
        <v>0.20882999999999999</v>
      </c>
      <c r="AE4032">
        <v>-54.703443</v>
      </c>
      <c r="AF4032">
        <v>9.7245586889458</v>
      </c>
      <c r="AG4032">
        <v>0.20882999999999999</v>
      </c>
      <c r="AH4032">
        <v>54.836808210098397</v>
      </c>
      <c r="AI4032">
        <v>89.785158779624595</v>
      </c>
      <c r="AJ4032">
        <v>79.943921697841802</v>
      </c>
      <c r="AK4032">
        <v>55.692783970050897</v>
      </c>
      <c r="AL4032">
        <v>76.6872616131961</v>
      </c>
      <c r="AM4032">
        <v>95.522826598326105</v>
      </c>
      <c r="AN4032">
        <v>1.00000002068604</v>
      </c>
    </row>
    <row r="4033" spans="1:40" x14ac:dyDescent="0.25">
      <c r="A4033" t="str">
        <f>"20190303170850944"</f>
        <v>20190303170850944</v>
      </c>
      <c r="B4033" t="str">
        <f>"1551604130937533"</f>
        <v>1551604130937533</v>
      </c>
      <c r="C4033" t="s">
        <v>40</v>
      </c>
      <c r="D4033">
        <v>4.6700619999999997</v>
      </c>
      <c r="E4033">
        <v>0.47825190000000001</v>
      </c>
      <c r="F4033" t="s">
        <v>46</v>
      </c>
      <c r="G4033">
        <v>-427.94200000000001</v>
      </c>
      <c r="H4033">
        <v>-0.05</v>
      </c>
      <c r="I4033">
        <v>-1.809723</v>
      </c>
      <c r="J4033">
        <v>-423.19330000000002</v>
      </c>
      <c r="K4033">
        <v>1.121265</v>
      </c>
      <c r="L4033">
        <v>49.34198</v>
      </c>
      <c r="M4033">
        <v>-1.3554999999999999E-2</v>
      </c>
      <c r="N4033">
        <v>-1.4102480000000001E-2</v>
      </c>
      <c r="O4033">
        <v>-0.99980860000000005</v>
      </c>
      <c r="P4033">
        <v>8.153349E-2</v>
      </c>
      <c r="Q4033">
        <v>0.2165945</v>
      </c>
      <c r="R4033">
        <v>-0.97285100000000002</v>
      </c>
      <c r="S4033">
        <v>-0.28851320000000003</v>
      </c>
      <c r="T4033">
        <v>-7.1095350000000002E-2</v>
      </c>
      <c r="U4033">
        <v>-3.123291</v>
      </c>
      <c r="V4033">
        <v>-9.4602030000000004E-2</v>
      </c>
      <c r="W4033">
        <v>0.23032230000000001</v>
      </c>
      <c r="X4033">
        <v>0.96850510000000001</v>
      </c>
      <c r="Y4033">
        <v>7.8452099999999997E-2</v>
      </c>
      <c r="Z4033">
        <v>8.5783359999999902E-3</v>
      </c>
      <c r="AA4033">
        <v>0.99688089999999996</v>
      </c>
      <c r="AB4033">
        <v>28</v>
      </c>
      <c r="AC4033">
        <v>-4.7486999999999204</v>
      </c>
      <c r="AD4033">
        <v>-1.171265</v>
      </c>
      <c r="AE4033">
        <v>-51.151702999999998</v>
      </c>
      <c r="AF4033">
        <v>4.0527265540184398</v>
      </c>
      <c r="AG4033">
        <v>-1.171265</v>
      </c>
      <c r="AH4033">
        <v>51.184770132336503</v>
      </c>
      <c r="AI4033">
        <v>91.3067864819823</v>
      </c>
      <c r="AJ4033">
        <v>85.472858473009694</v>
      </c>
      <c r="AK4033">
        <v>51.358321114713199</v>
      </c>
      <c r="AL4033">
        <v>76.683952603626594</v>
      </c>
      <c r="AM4033">
        <v>95.578862301111698</v>
      </c>
      <c r="AN4033">
        <v>1.0000000173417101</v>
      </c>
    </row>
    <row r="4034" spans="1:40" x14ac:dyDescent="0.25">
      <c r="A4034" t="str">
        <f>"20190303170850967"</f>
        <v>20190303170850967</v>
      </c>
      <c r="B4034" t="str">
        <f>"1551604130958028"</f>
        <v>1551604130958028</v>
      </c>
      <c r="C4034" t="s">
        <v>40</v>
      </c>
      <c r="D4034">
        <v>4.8768260000000003</v>
      </c>
      <c r="E4034">
        <v>0.45976590000000001</v>
      </c>
      <c r="F4034" t="s">
        <v>96</v>
      </c>
      <c r="G4034">
        <v>-416.07839999999999</v>
      </c>
      <c r="H4034">
        <v>0.28692109999999998</v>
      </c>
      <c r="I4034">
        <v>1.277115</v>
      </c>
      <c r="J4034">
        <v>-423.19760000000002</v>
      </c>
      <c r="K4034">
        <v>1.121275</v>
      </c>
      <c r="L4034">
        <v>49.046750000000003</v>
      </c>
      <c r="M4034">
        <v>-1.379973E-2</v>
      </c>
      <c r="N4034">
        <v>-1.409944E-2</v>
      </c>
      <c r="O4034">
        <v>-0.99980550000000001</v>
      </c>
      <c r="P4034">
        <v>8.3328310000000003E-2</v>
      </c>
      <c r="Q4034">
        <v>0.2174777</v>
      </c>
      <c r="R4034">
        <v>-0.97250230000000004</v>
      </c>
      <c r="S4034">
        <v>0.45260620000000001</v>
      </c>
      <c r="T4034">
        <v>-5.3077939999999997E-2</v>
      </c>
      <c r="U4034">
        <v>-3.057617</v>
      </c>
      <c r="V4034">
        <v>-9.6632170000000003E-2</v>
      </c>
      <c r="W4034">
        <v>0.23119590000000001</v>
      </c>
      <c r="X4034">
        <v>0.96809639999999997</v>
      </c>
      <c r="Y4034">
        <v>-0.1600328</v>
      </c>
      <c r="Z4034">
        <v>3.035528E-3</v>
      </c>
      <c r="AA4034">
        <v>0.98710699999999996</v>
      </c>
      <c r="AB4034">
        <v>28</v>
      </c>
      <c r="AC4034">
        <v>7.1192000000000304</v>
      </c>
      <c r="AD4034">
        <v>-0.83435389999999998</v>
      </c>
      <c r="AE4034">
        <v>-47.769635000000001</v>
      </c>
      <c r="AF4034">
        <v>-7.7754749710742201</v>
      </c>
      <c r="AG4034">
        <v>-0.83435389999999998</v>
      </c>
      <c r="AH4034">
        <v>47.652611217136297</v>
      </c>
      <c r="AI4034">
        <v>90.990004585781406</v>
      </c>
      <c r="AJ4034">
        <v>99.267280959924705</v>
      </c>
      <c r="AK4034">
        <v>48.290014633128798</v>
      </c>
      <c r="AL4034">
        <v>76.632510130522306</v>
      </c>
      <c r="AM4034">
        <v>95.700193565148993</v>
      </c>
      <c r="AN4034">
        <v>0.99999998007433899</v>
      </c>
    </row>
    <row r="4035" spans="1:40" x14ac:dyDescent="0.25">
      <c r="A4035" t="str">
        <f>"20190303170850999"</f>
        <v>20190303170850999</v>
      </c>
      <c r="B4035" t="str">
        <f>"1551604130987307"</f>
        <v>1551604130987307</v>
      </c>
      <c r="C4035" t="s">
        <v>40</v>
      </c>
      <c r="D4035">
        <v>4.887454</v>
      </c>
      <c r="E4035">
        <v>0.44123630000000003</v>
      </c>
      <c r="F4035" t="s">
        <v>96</v>
      </c>
      <c r="G4035">
        <v>-413.56740000000002</v>
      </c>
      <c r="H4035">
        <v>0.62595840000000003</v>
      </c>
      <c r="I4035">
        <v>0.54280850000000003</v>
      </c>
      <c r="J4035">
        <v>-423.20330000000001</v>
      </c>
      <c r="K4035">
        <v>1.1212899999999999</v>
      </c>
      <c r="L4035">
        <v>48.657530000000001</v>
      </c>
      <c r="M4035">
        <v>-1.40877E-2</v>
      </c>
      <c r="N4035">
        <v>-1.40955E-2</v>
      </c>
      <c r="O4035">
        <v>-0.99980150000000001</v>
      </c>
      <c r="P4035">
        <v>8.4164790000000003E-2</v>
      </c>
      <c r="Q4035">
        <v>0.21802279999999999</v>
      </c>
      <c r="R4035">
        <v>-0.9723077</v>
      </c>
      <c r="S4035">
        <v>0.60357669999999997</v>
      </c>
      <c r="T4035">
        <v>-3.1046150000000002E-2</v>
      </c>
      <c r="U4035">
        <v>-3.0400390000000002</v>
      </c>
      <c r="V4035">
        <v>-9.7756300000000004E-2</v>
      </c>
      <c r="W4035">
        <v>0.2317303</v>
      </c>
      <c r="X4035">
        <v>0.96785580000000004</v>
      </c>
      <c r="Y4035">
        <v>-0.20850450000000001</v>
      </c>
      <c r="Z4035">
        <v>-4.114759E-3</v>
      </c>
      <c r="AA4035">
        <v>0.97801269999999996</v>
      </c>
      <c r="AB4035">
        <v>28</v>
      </c>
      <c r="AC4035">
        <v>9.6358999999999906</v>
      </c>
      <c r="AD4035">
        <v>-0.49533159999999898</v>
      </c>
      <c r="AE4035">
        <v>-48.114721500000002</v>
      </c>
      <c r="AF4035">
        <v>-10.3117858905925</v>
      </c>
      <c r="AG4035">
        <v>-0.49533159999999898</v>
      </c>
      <c r="AH4035">
        <v>47.969296782241102</v>
      </c>
      <c r="AI4035">
        <v>90.578403638269805</v>
      </c>
      <c r="AJ4035">
        <v>102.13203876543</v>
      </c>
      <c r="AK4035">
        <v>49.067623902427897</v>
      </c>
      <c r="AL4035">
        <v>76.601037347295701</v>
      </c>
      <c r="AM4035">
        <v>95.767483842016702</v>
      </c>
      <c r="AN4035">
        <v>1.0000000378606999</v>
      </c>
    </row>
    <row r="4036" spans="1:40" x14ac:dyDescent="0.25">
      <c r="A4036" t="str">
        <f>"20190303170851031"</f>
        <v>20190303170851031</v>
      </c>
      <c r="B4036" t="str">
        <f>"1551604131027323"</f>
        <v>1551604131027323</v>
      </c>
      <c r="C4036" t="s">
        <v>40</v>
      </c>
      <c r="D4036">
        <v>4.8483929999999997</v>
      </c>
      <c r="E4036">
        <v>0.43161509999999997</v>
      </c>
      <c r="F4036" t="s">
        <v>96</v>
      </c>
      <c r="G4036">
        <v>-411.21780000000001</v>
      </c>
      <c r="H4036">
        <v>0.92972679999999996</v>
      </c>
      <c r="I4036">
        <v>0.56670189999999998</v>
      </c>
      <c r="J4036">
        <v>-423.20920000000001</v>
      </c>
      <c r="K4036">
        <v>1.1213120000000001</v>
      </c>
      <c r="L4036">
        <v>48.260829999999999</v>
      </c>
      <c r="M4036">
        <v>-1.432774E-2</v>
      </c>
      <c r="N4036">
        <v>-1.409146E-2</v>
      </c>
      <c r="O4036">
        <v>-0.99979810000000002</v>
      </c>
      <c r="P4036">
        <v>8.3249489999999995E-2</v>
      </c>
      <c r="Q4036">
        <v>0.2162306</v>
      </c>
      <c r="R4036">
        <v>-0.9727865</v>
      </c>
      <c r="S4036">
        <v>0.75338749999999999</v>
      </c>
      <c r="T4036">
        <v>-1.2042880000000001E-2</v>
      </c>
      <c r="U4036">
        <v>-3.0229189999999999</v>
      </c>
      <c r="V4036">
        <v>-9.7100560000000002E-2</v>
      </c>
      <c r="W4036">
        <v>0.22993250000000001</v>
      </c>
      <c r="X4036">
        <v>0.96835039999999994</v>
      </c>
      <c r="Y4036">
        <v>-0.25566250000000001</v>
      </c>
      <c r="Z4036">
        <v>-1.025852E-2</v>
      </c>
      <c r="AA4036">
        <v>0.96671169999999995</v>
      </c>
      <c r="AB4036">
        <v>28</v>
      </c>
      <c r="AC4036">
        <v>11.991400000000001</v>
      </c>
      <c r="AD4036">
        <v>-0.19158520000000001</v>
      </c>
      <c r="AE4036">
        <v>-47.6941281</v>
      </c>
      <c r="AF4036">
        <v>-12.673393422686001</v>
      </c>
      <c r="AG4036">
        <v>-0.19158520000000001</v>
      </c>
      <c r="AH4036">
        <v>47.516683598778599</v>
      </c>
      <c r="AI4036">
        <v>90.2232100910513</v>
      </c>
      <c r="AJ4036">
        <v>104.93398137694901</v>
      </c>
      <c r="AK4036">
        <v>49.178113281839899</v>
      </c>
      <c r="AL4036">
        <v>76.706902026189695</v>
      </c>
      <c r="AM4036">
        <v>95.726147569650806</v>
      </c>
      <c r="AN4036">
        <v>0.99999998524436096</v>
      </c>
    </row>
    <row r="4037" spans="1:40" x14ac:dyDescent="0.25">
      <c r="A4037" t="str">
        <f>"20190303170851053"</f>
        <v>20190303170851053</v>
      </c>
      <c r="B4037" t="str">
        <f>"1551604131047820"</f>
        <v>1551604131047820</v>
      </c>
      <c r="C4037" t="s">
        <v>40</v>
      </c>
      <c r="D4037">
        <v>4.8705109999999996</v>
      </c>
      <c r="E4037">
        <v>0.42886069999999998</v>
      </c>
      <c r="F4037" t="s">
        <v>96</v>
      </c>
      <c r="G4037">
        <v>-410.12040000000002</v>
      </c>
      <c r="H4037">
        <v>0.95935369999999998</v>
      </c>
      <c r="I4037">
        <v>0.57786559999999998</v>
      </c>
      <c r="J4037">
        <v>-423.2133</v>
      </c>
      <c r="K4037">
        <v>1.1213390000000001</v>
      </c>
      <c r="L4037">
        <v>47.982030000000002</v>
      </c>
      <c r="M4037">
        <v>-1.443879E-2</v>
      </c>
      <c r="N4037">
        <v>-1.4088460000000001E-2</v>
      </c>
      <c r="O4037">
        <v>-0.99979660000000004</v>
      </c>
      <c r="P4037">
        <v>8.337522E-2</v>
      </c>
      <c r="Q4037">
        <v>0.214474</v>
      </c>
      <c r="R4037">
        <v>-0.97316499999999995</v>
      </c>
      <c r="S4037">
        <v>0.82769780000000004</v>
      </c>
      <c r="T4037">
        <v>-1.02433E-2</v>
      </c>
      <c r="U4037">
        <v>-3.0153500000000002</v>
      </c>
      <c r="V4037">
        <v>-9.7358120000000006E-2</v>
      </c>
      <c r="W4037">
        <v>0.2281705</v>
      </c>
      <c r="X4037">
        <v>0.96874119999999997</v>
      </c>
      <c r="Y4037">
        <v>-0.27855200000000002</v>
      </c>
      <c r="Z4037">
        <v>-1.0847310000000001E-2</v>
      </c>
      <c r="AA4037">
        <v>0.96035990000000004</v>
      </c>
      <c r="AB4037">
        <v>28</v>
      </c>
      <c r="AC4037">
        <v>13.092899999999901</v>
      </c>
      <c r="AD4037">
        <v>-0.161985299999999</v>
      </c>
      <c r="AE4037">
        <v>-47.404164399999999</v>
      </c>
      <c r="AF4037">
        <v>-13.7759120499868</v>
      </c>
      <c r="AG4037">
        <v>-0.161985299999999</v>
      </c>
      <c r="AH4037">
        <v>47.209645226822197</v>
      </c>
      <c r="AI4037">
        <v>90.188721445436798</v>
      </c>
      <c r="AJ4037">
        <v>106.267398824788</v>
      </c>
      <c r="AK4037">
        <v>49.178781954098902</v>
      </c>
      <c r="AL4037">
        <v>76.810613955756395</v>
      </c>
      <c r="AM4037">
        <v>95.738934278561203</v>
      </c>
      <c r="AN4037">
        <v>0.99999994658880997</v>
      </c>
    </row>
    <row r="4038" spans="1:40" x14ac:dyDescent="0.25">
      <c r="A4038" t="str">
        <f>"20190303170851077"</f>
        <v>20190303170851077</v>
      </c>
      <c r="B4038" t="str">
        <f>"1551604131067340"</f>
        <v>1551604131067340</v>
      </c>
      <c r="C4038" t="s">
        <v>40</v>
      </c>
      <c r="D4038">
        <v>4.8657510000000004</v>
      </c>
      <c r="E4038">
        <v>0.42683260000000001</v>
      </c>
      <c r="F4038" t="s">
        <v>96</v>
      </c>
      <c r="G4038">
        <v>-409.85210000000001</v>
      </c>
      <c r="H4038">
        <v>0.90792309999999998</v>
      </c>
      <c r="I4038">
        <v>0.58059309999999997</v>
      </c>
      <c r="J4038">
        <v>-423.21769999999998</v>
      </c>
      <c r="K4038">
        <v>1.121372</v>
      </c>
      <c r="L4038">
        <v>47.681370000000001</v>
      </c>
      <c r="M4038">
        <v>-1.449638E-2</v>
      </c>
      <c r="N4038">
        <v>-1.408526E-2</v>
      </c>
      <c r="O4038">
        <v>-0.99979589999999996</v>
      </c>
      <c r="P4038">
        <v>8.3473110000000003E-2</v>
      </c>
      <c r="Q4038">
        <v>0.2134414</v>
      </c>
      <c r="R4038">
        <v>-0.97338329999999995</v>
      </c>
      <c r="S4038">
        <v>0.84927369999999902</v>
      </c>
      <c r="T4038">
        <v>-1.356685E-2</v>
      </c>
      <c r="U4038">
        <v>-3.0129700000000001</v>
      </c>
      <c r="V4038">
        <v>-9.7538650000000005E-2</v>
      </c>
      <c r="W4038">
        <v>0.2271281</v>
      </c>
      <c r="X4038">
        <v>0.96896800000000005</v>
      </c>
      <c r="Y4038">
        <v>-0.28517710000000002</v>
      </c>
      <c r="Z4038">
        <v>-9.7894790000000002E-3</v>
      </c>
      <c r="AA4038">
        <v>0.95842490000000002</v>
      </c>
      <c r="AB4038">
        <v>28</v>
      </c>
      <c r="AC4038">
        <v>13.365599999999899</v>
      </c>
      <c r="AD4038">
        <v>-0.2134489</v>
      </c>
      <c r="AE4038">
        <v>-47.1007769</v>
      </c>
      <c r="AF4038">
        <v>-14.0467866844592</v>
      </c>
      <c r="AG4038">
        <v>-0.2134489</v>
      </c>
      <c r="AH4038">
        <v>46.901163242682898</v>
      </c>
      <c r="AI4038">
        <v>90.249791092072599</v>
      </c>
      <c r="AJ4038">
        <v>106.6728329199</v>
      </c>
      <c r="AK4038">
        <v>48.959951900593197</v>
      </c>
      <c r="AL4038">
        <v>76.871949920568795</v>
      </c>
      <c r="AM4038">
        <v>95.748167950246199</v>
      </c>
      <c r="AN4038">
        <v>0.99999997353871595</v>
      </c>
    </row>
    <row r="4039" spans="1:40" x14ac:dyDescent="0.25">
      <c r="A4039" t="str">
        <f>"20190303170851098"</f>
        <v>20190303170851098</v>
      </c>
      <c r="B4039" t="str">
        <f>"1551604131087836"</f>
        <v>1551604131087836</v>
      </c>
      <c r="C4039" t="s">
        <v>40</v>
      </c>
      <c r="D4039">
        <v>4.8728809999999996</v>
      </c>
      <c r="E4039">
        <v>0.42527290000000001</v>
      </c>
      <c r="F4039" t="s">
        <v>96</v>
      </c>
      <c r="G4039">
        <v>-409.67649999999998</v>
      </c>
      <c r="H4039">
        <v>0.87405659999999896</v>
      </c>
      <c r="I4039">
        <v>0.58238219999999996</v>
      </c>
      <c r="J4039">
        <v>-423.2217</v>
      </c>
      <c r="K4039">
        <v>1.1214200000000001</v>
      </c>
      <c r="L4039">
        <v>47.414610000000003</v>
      </c>
      <c r="M4039">
        <v>-1.446394E-2</v>
      </c>
      <c r="N4039">
        <v>-1.40825E-2</v>
      </c>
      <c r="O4039">
        <v>-0.99979620000000002</v>
      </c>
      <c r="P4039">
        <v>8.2907499999999995E-2</v>
      </c>
      <c r="Q4039">
        <v>0.2131306</v>
      </c>
      <c r="R4039">
        <v>-0.97349980000000003</v>
      </c>
      <c r="S4039">
        <v>0.865753199999999</v>
      </c>
      <c r="T4039">
        <v>-1.5813710000000002E-2</v>
      </c>
      <c r="U4039">
        <v>-3.0112610000000002</v>
      </c>
      <c r="V4039">
        <v>-9.6972299999999997E-2</v>
      </c>
      <c r="W4039">
        <v>0.22680400000000001</v>
      </c>
      <c r="X4039">
        <v>0.96910079999999998</v>
      </c>
      <c r="Y4039">
        <v>-0.2901357</v>
      </c>
      <c r="Z4039">
        <v>-9.0758460000000003E-3</v>
      </c>
      <c r="AA4039">
        <v>0.95694250000000003</v>
      </c>
      <c r="AB4039">
        <v>28</v>
      </c>
      <c r="AC4039">
        <v>13.545199999999999</v>
      </c>
      <c r="AD4039">
        <v>-0.24736340000000001</v>
      </c>
      <c r="AE4039">
        <v>-46.832227799999998</v>
      </c>
      <c r="AF4039">
        <v>-14.220862387614099</v>
      </c>
      <c r="AG4039">
        <v>-0.24736340000000001</v>
      </c>
      <c r="AH4039">
        <v>46.630190908101902</v>
      </c>
      <c r="AI4039">
        <v>90.290720464124206</v>
      </c>
      <c r="AJ4039">
        <v>106.960192945277</v>
      </c>
      <c r="AK4039">
        <v>48.751090447549501</v>
      </c>
      <c r="AL4039">
        <v>76.891017718288396</v>
      </c>
      <c r="AM4039">
        <v>95.7142353019577</v>
      </c>
      <c r="AN4039">
        <v>1.0000000209719599</v>
      </c>
    </row>
    <row r="4040" spans="1:40" x14ac:dyDescent="0.25">
      <c r="A4040" t="str">
        <f>"20190303170851121"</f>
        <v>20190303170851121</v>
      </c>
      <c r="B4040" t="str">
        <f>"1551604131117116"</f>
        <v>1551604131117116</v>
      </c>
      <c r="C4040" t="s">
        <v>40</v>
      </c>
      <c r="D4040">
        <v>4.8971819999999999</v>
      </c>
      <c r="E4040">
        <v>0.42318850000000002</v>
      </c>
      <c r="F4040" t="s">
        <v>96</v>
      </c>
      <c r="G4040">
        <v>-409.58569999999997</v>
      </c>
      <c r="H4040">
        <v>0.87799389999999999</v>
      </c>
      <c r="I4040">
        <v>0.58330150000000003</v>
      </c>
      <c r="J4040">
        <v>-423.22570000000002</v>
      </c>
      <c r="K4040">
        <v>1.1215010000000001</v>
      </c>
      <c r="L4040">
        <v>47.125889999999998</v>
      </c>
      <c r="M4040">
        <v>-1.429822E-2</v>
      </c>
      <c r="N4040">
        <v>-1.4079609999999999E-2</v>
      </c>
      <c r="O4040">
        <v>-0.99979879999999999</v>
      </c>
      <c r="P4040">
        <v>8.287746E-2</v>
      </c>
      <c r="Q4040">
        <v>0.21286830000000001</v>
      </c>
      <c r="R4040">
        <v>-0.97355990000000003</v>
      </c>
      <c r="S4040">
        <v>0.87655640000000001</v>
      </c>
      <c r="T4040">
        <v>-1.5649679999999999E-2</v>
      </c>
      <c r="U4040">
        <v>-3.010437</v>
      </c>
      <c r="V4040">
        <v>-9.6829120000000005E-2</v>
      </c>
      <c r="W4040">
        <v>0.2265202</v>
      </c>
      <c r="X4040">
        <v>0.96918150000000003</v>
      </c>
      <c r="Y4040">
        <v>-0.29321340000000001</v>
      </c>
      <c r="Z4040">
        <v>-9.1286949999999992E-3</v>
      </c>
      <c r="AA4040">
        <v>0.95600339999999995</v>
      </c>
      <c r="AB4040">
        <v>28</v>
      </c>
      <c r="AC4040">
        <v>13.64</v>
      </c>
      <c r="AD4040">
        <v>-0.2435071</v>
      </c>
      <c r="AE4040">
        <v>-46.542588500000001</v>
      </c>
      <c r="AF4040">
        <v>-14.303786844095599</v>
      </c>
      <c r="AG4040">
        <v>-0.2435071</v>
      </c>
      <c r="AH4040">
        <v>46.341614551799204</v>
      </c>
      <c r="AI4040">
        <v>90.287672733082701</v>
      </c>
      <c r="AJ4040">
        <v>107.153346699686</v>
      </c>
      <c r="AK4040">
        <v>48.499513946601603</v>
      </c>
      <c r="AL4040">
        <v>76.907712891353498</v>
      </c>
      <c r="AM4040">
        <v>95.705381952811095</v>
      </c>
      <c r="AN4040">
        <v>1.0000000297151299</v>
      </c>
    </row>
    <row r="4041" spans="1:40" x14ac:dyDescent="0.25">
      <c r="A4041" t="str">
        <f>"20190303170851142"</f>
        <v>20190303170851142</v>
      </c>
      <c r="B4041" t="str">
        <f>"1551604131137612"</f>
        <v>1551604131137612</v>
      </c>
      <c r="C4041" t="s">
        <v>40</v>
      </c>
      <c r="D4041">
        <v>4.907877</v>
      </c>
      <c r="E4041">
        <v>0.42197190000000001</v>
      </c>
      <c r="F4041" t="s">
        <v>96</v>
      </c>
      <c r="G4041">
        <v>-409.40480000000002</v>
      </c>
      <c r="H4041">
        <v>0.91974020000000001</v>
      </c>
      <c r="I4041">
        <v>0.585142099999999</v>
      </c>
      <c r="J4041">
        <v>-423.22899999999998</v>
      </c>
      <c r="K4041">
        <v>1.12159599999999</v>
      </c>
      <c r="L4041">
        <v>46.87753</v>
      </c>
      <c r="M4041">
        <v>-1.401406E-2</v>
      </c>
      <c r="N4041">
        <v>-1.407746E-2</v>
      </c>
      <c r="O4041">
        <v>-0.99980270000000004</v>
      </c>
      <c r="P4041">
        <v>8.4632609999999997E-2</v>
      </c>
      <c r="Q4041">
        <v>0.2116374</v>
      </c>
      <c r="R4041">
        <v>-0.97367729999999997</v>
      </c>
      <c r="S4041">
        <v>0.8933411</v>
      </c>
      <c r="T4041">
        <v>-1.3042929999999999E-2</v>
      </c>
      <c r="U4041">
        <v>-3.00827</v>
      </c>
      <c r="V4041">
        <v>-9.8364999999999994E-2</v>
      </c>
      <c r="W4041">
        <v>0.22526460000000001</v>
      </c>
      <c r="X4041">
        <v>0.9693195</v>
      </c>
      <c r="Y4041">
        <v>-0.29803079999999998</v>
      </c>
      <c r="Z4041">
        <v>-9.9594360000000003E-3</v>
      </c>
      <c r="AA4041">
        <v>0.95450429999999997</v>
      </c>
      <c r="AB4041">
        <v>28</v>
      </c>
      <c r="AC4041">
        <v>13.824199999999999</v>
      </c>
      <c r="AD4041">
        <v>-0.201855799999999</v>
      </c>
      <c r="AE4041">
        <v>-46.292387899999902</v>
      </c>
      <c r="AF4041">
        <v>-14.4713981371396</v>
      </c>
      <c r="AG4041">
        <v>-0.201855799999999</v>
      </c>
      <c r="AH4041">
        <v>46.093283997631197</v>
      </c>
      <c r="AI4041">
        <v>90.239392079656895</v>
      </c>
      <c r="AJ4041">
        <v>107.430146640245</v>
      </c>
      <c r="AK4041">
        <v>48.3120372111743</v>
      </c>
      <c r="AL4041">
        <v>76.981562627025298</v>
      </c>
      <c r="AM4041">
        <v>95.794448680647406</v>
      </c>
      <c r="AN4041">
        <v>1.0000000531591999</v>
      </c>
    </row>
    <row r="4042" spans="1:40" x14ac:dyDescent="0.25">
      <c r="A4042" t="str">
        <f>"20190303170851165"</f>
        <v>20190303170851165</v>
      </c>
      <c r="B4042" t="str">
        <f>"1551604131157132"</f>
        <v>1551604131157132</v>
      </c>
      <c r="C4042" t="s">
        <v>40</v>
      </c>
      <c r="D4042">
        <v>4.9214349999999998</v>
      </c>
      <c r="E4042">
        <v>0.42097800000000002</v>
      </c>
      <c r="F4042" t="s">
        <v>96</v>
      </c>
      <c r="G4042">
        <v>-409.2371</v>
      </c>
      <c r="H4042">
        <v>0.89133929999999995</v>
      </c>
      <c r="I4042">
        <v>0.58684919999999996</v>
      </c>
      <c r="J4042">
        <v>-423.23259999999999</v>
      </c>
      <c r="K4042">
        <v>1.121742</v>
      </c>
      <c r="L4042">
        <v>46.58493</v>
      </c>
      <c r="M4042">
        <v>-1.3489620000000001E-2</v>
      </c>
      <c r="N4042">
        <v>-1.407547E-2</v>
      </c>
      <c r="O4042">
        <v>-0.99981010000000003</v>
      </c>
      <c r="P4042">
        <v>8.7822559999999994E-2</v>
      </c>
      <c r="Q4042">
        <v>0.21008080000000001</v>
      </c>
      <c r="R4042">
        <v>-0.97373180000000004</v>
      </c>
      <c r="S4042">
        <v>0.90841669999999997</v>
      </c>
      <c r="T4042">
        <v>-1.495111E-2</v>
      </c>
      <c r="U4042">
        <v>-3.0054020000000001</v>
      </c>
      <c r="V4042">
        <v>-0.1011242</v>
      </c>
      <c r="W4042">
        <v>0.22366939999999999</v>
      </c>
      <c r="X4042">
        <v>0.96940490000000001</v>
      </c>
      <c r="Y4042">
        <v>-0.30216900000000002</v>
      </c>
      <c r="Z4042">
        <v>-9.3522810000000005E-3</v>
      </c>
      <c r="AA4042">
        <v>0.95320850000000001</v>
      </c>
      <c r="AB4042">
        <v>28</v>
      </c>
      <c r="AC4042">
        <v>13.9954999999999</v>
      </c>
      <c r="AD4042">
        <v>-0.23040269999999999</v>
      </c>
      <c r="AE4042">
        <v>-45.998080799999997</v>
      </c>
      <c r="AF4042">
        <v>-14.6144487121644</v>
      </c>
      <c r="AG4042">
        <v>-0.23040269999999999</v>
      </c>
      <c r="AH4042">
        <v>45.804030163529497</v>
      </c>
      <c r="AI4042">
        <v>90.274568902213502</v>
      </c>
      <c r="AJ4042">
        <v>107.69604696808101</v>
      </c>
      <c r="AK4042">
        <v>48.0795629741596</v>
      </c>
      <c r="AL4042">
        <v>77.075353332663695</v>
      </c>
      <c r="AM4042">
        <v>95.955313126773305</v>
      </c>
      <c r="AN4042">
        <v>0.99999998223300401</v>
      </c>
    </row>
    <row r="4043" spans="1:40" x14ac:dyDescent="0.25">
      <c r="A4043" t="str">
        <f>"20190303170851192"</f>
        <v>20190303170851192</v>
      </c>
      <c r="B4043" t="str">
        <f>"1551604131188364"</f>
        <v>1551604131188364</v>
      </c>
      <c r="C4043" t="s">
        <v>40</v>
      </c>
      <c r="D4043">
        <v>4.9155870000000004</v>
      </c>
      <c r="E4043">
        <v>0.41954530000000001</v>
      </c>
      <c r="F4043" t="s">
        <v>96</v>
      </c>
      <c r="G4043">
        <v>-409.0496</v>
      </c>
      <c r="H4043">
        <v>0.82962559999999996</v>
      </c>
      <c r="I4043">
        <v>0.58875469999999996</v>
      </c>
      <c r="J4043">
        <v>-423.23610000000002</v>
      </c>
      <c r="K4043">
        <v>1.121928</v>
      </c>
      <c r="L4043">
        <v>46.266970000000001</v>
      </c>
      <c r="M4043">
        <v>-1.264442E-2</v>
      </c>
      <c r="N4043">
        <v>-1.4074140000000001E-2</v>
      </c>
      <c r="O4043">
        <v>-0.99982110000000002</v>
      </c>
      <c r="P4043">
        <v>9.0430040000000003E-2</v>
      </c>
      <c r="Q4043">
        <v>0.21083550000000001</v>
      </c>
      <c r="R4043">
        <v>-0.97333000000000003</v>
      </c>
      <c r="S4043">
        <v>0.9255371</v>
      </c>
      <c r="T4043">
        <v>-1.9064190000000002E-2</v>
      </c>
      <c r="U4043">
        <v>-3.0015559999999999</v>
      </c>
      <c r="V4043">
        <v>-0.1030059</v>
      </c>
      <c r="W4043">
        <v>0.22437019999999999</v>
      </c>
      <c r="X4043">
        <v>0.96904480000000004</v>
      </c>
      <c r="Y4043">
        <v>-0.30667070000000002</v>
      </c>
      <c r="Z4043">
        <v>-8.0444769999999995E-3</v>
      </c>
      <c r="AA4043">
        <v>0.95178169999999995</v>
      </c>
      <c r="AB4043">
        <v>28</v>
      </c>
      <c r="AC4043">
        <v>14.186500000000001</v>
      </c>
      <c r="AD4043">
        <v>-0.29230240000000002</v>
      </c>
      <c r="AE4043">
        <v>-45.678215299999998</v>
      </c>
      <c r="AF4043">
        <v>-14.7624460142793</v>
      </c>
      <c r="AG4043">
        <v>-0.29230240000000002</v>
      </c>
      <c r="AH4043">
        <v>45.493466026506702</v>
      </c>
      <c r="AI4043">
        <v>90.350155507557503</v>
      </c>
      <c r="AJ4043">
        <v>107.978037433122</v>
      </c>
      <c r="AK4043">
        <v>47.829600710464597</v>
      </c>
      <c r="AL4043">
        <v>77.034153743000203</v>
      </c>
      <c r="AM4043">
        <v>96.067546971923505</v>
      </c>
      <c r="AN4043">
        <v>1.00000001324494</v>
      </c>
    </row>
    <row r="4044" spans="1:40" x14ac:dyDescent="0.25">
      <c r="A4044" t="str">
        <f>"20190303170851217"</f>
        <v>20190303170851217</v>
      </c>
      <c r="B4044" t="str">
        <f>"1551604131207883"</f>
        <v>1551604131207883</v>
      </c>
      <c r="C4044" t="s">
        <v>40</v>
      </c>
      <c r="D4044">
        <v>4.8754039999999996</v>
      </c>
      <c r="E4044">
        <v>0.41875079999999998</v>
      </c>
      <c r="F4044" t="s">
        <v>96</v>
      </c>
      <c r="G4044">
        <v>-408.83949999999999</v>
      </c>
      <c r="H4044">
        <v>0.90724039999999995</v>
      </c>
      <c r="I4044">
        <v>0.5908928</v>
      </c>
      <c r="J4044">
        <v>-423.23880000000003</v>
      </c>
      <c r="K4044">
        <v>1.122109</v>
      </c>
      <c r="L4044">
        <v>45.964230000000001</v>
      </c>
      <c r="M4044">
        <v>-1.155779E-2</v>
      </c>
      <c r="N4044">
        <v>-1.407359E-2</v>
      </c>
      <c r="O4044">
        <v>-0.99983420000000001</v>
      </c>
      <c r="P4044">
        <v>9.2996190000000006E-2</v>
      </c>
      <c r="Q4044">
        <v>0.21241189999999999</v>
      </c>
      <c r="R4044">
        <v>-0.97274519999999998</v>
      </c>
      <c r="S4044">
        <v>0.94476320000000003</v>
      </c>
      <c r="T4044">
        <v>-1.409054E-2</v>
      </c>
      <c r="U4044">
        <v>-2.9974669999999999</v>
      </c>
      <c r="V4044">
        <v>-0.1046107</v>
      </c>
      <c r="W4044">
        <v>0.2258908</v>
      </c>
      <c r="X4044">
        <v>0.96851940000000003</v>
      </c>
      <c r="Y4044">
        <v>-0.31155959999999899</v>
      </c>
      <c r="Z4044">
        <v>-9.6241190000000004E-3</v>
      </c>
      <c r="AA4044">
        <v>0.95017790000000002</v>
      </c>
      <c r="AB4044">
        <v>28</v>
      </c>
      <c r="AC4044">
        <v>14.3993</v>
      </c>
      <c r="AD4044">
        <v>-0.21486859999999999</v>
      </c>
      <c r="AE4044">
        <v>-45.373337200000002</v>
      </c>
      <c r="AF4044">
        <v>-14.9225014281173</v>
      </c>
      <c r="AG4044">
        <v>-0.21486859999999999</v>
      </c>
      <c r="AH4044">
        <v>45.202944440312798</v>
      </c>
      <c r="AI4044">
        <v>90.258621072001105</v>
      </c>
      <c r="AJ4044">
        <v>108.26921048265299</v>
      </c>
      <c r="AK4044">
        <v>47.602871798468598</v>
      </c>
      <c r="AL4044">
        <v>76.9447332783229</v>
      </c>
      <c r="AM4044">
        <v>96.164672568895199</v>
      </c>
      <c r="AN4044">
        <v>0.99999994012774296</v>
      </c>
    </row>
    <row r="4045" spans="1:40" x14ac:dyDescent="0.25">
      <c r="A4045" t="str">
        <f>"20190303170851237"</f>
        <v>20190303170851237</v>
      </c>
      <c r="B4045" t="str">
        <f>"1551604131227405"</f>
        <v>1551604131227405</v>
      </c>
      <c r="C4045" t="s">
        <v>40</v>
      </c>
      <c r="D4045">
        <v>4.8659980000000003</v>
      </c>
      <c r="E4045">
        <v>0.41808889999999999</v>
      </c>
      <c r="F4045" t="s">
        <v>96</v>
      </c>
      <c r="G4045">
        <v>-408.67669999999998</v>
      </c>
      <c r="H4045">
        <v>1.0277989999999999</v>
      </c>
      <c r="I4045">
        <v>0.59254839999999998</v>
      </c>
      <c r="J4045">
        <v>-423.24059999999997</v>
      </c>
      <c r="K4045">
        <v>1.1222510000000001</v>
      </c>
      <c r="L4045">
        <v>45.708309999999997</v>
      </c>
      <c r="M4045">
        <v>-1.045983E-2</v>
      </c>
      <c r="N4045">
        <v>-1.4073250000000001E-2</v>
      </c>
      <c r="O4045">
        <v>-0.99984649999999997</v>
      </c>
      <c r="P4045">
        <v>9.5648999999999998E-2</v>
      </c>
      <c r="Q4045">
        <v>0.21237539999999999</v>
      </c>
      <c r="R4045">
        <v>-0.97249600000000003</v>
      </c>
      <c r="S4045">
        <v>0.96078490000000005</v>
      </c>
      <c r="T4045">
        <v>-6.2242749999999996E-3</v>
      </c>
      <c r="U4045">
        <v>-2.9935610000000001</v>
      </c>
      <c r="V4045">
        <v>-0.10626960000000001</v>
      </c>
      <c r="W4045">
        <v>0.22581329999999999</v>
      </c>
      <c r="X4045">
        <v>0.96835689999999996</v>
      </c>
      <c r="Y4045">
        <v>-0.31548310000000002</v>
      </c>
      <c r="Z4045">
        <v>-1.212015E-2</v>
      </c>
      <c r="AA4045">
        <v>0.94885379999999997</v>
      </c>
      <c r="AB4045">
        <v>28</v>
      </c>
      <c r="AC4045">
        <v>14.563899999999901</v>
      </c>
      <c r="AD4045">
        <v>-9.4452000000000202E-2</v>
      </c>
      <c r="AE4045">
        <v>-45.115761599999999</v>
      </c>
      <c r="AF4045">
        <v>-15.034993258449999</v>
      </c>
      <c r="AG4045">
        <v>-9.4452000000000202E-2</v>
      </c>
      <c r="AH4045">
        <v>44.960763599187402</v>
      </c>
      <c r="AI4045">
        <v>90.1141514176756</v>
      </c>
      <c r="AJ4045">
        <v>108.490065721115</v>
      </c>
      <c r="AK4045">
        <v>47.408123849019397</v>
      </c>
      <c r="AL4045">
        <v>76.949292008376503</v>
      </c>
      <c r="AM4045">
        <v>96.262702849604196</v>
      </c>
      <c r="AN4045">
        <v>0.999999980059329</v>
      </c>
    </row>
    <row r="4046" spans="1:40" x14ac:dyDescent="0.25">
      <c r="A4046" t="str">
        <f>"20190303170851257"</f>
        <v>20190303170851257</v>
      </c>
      <c r="B4046" t="str">
        <f>"1551604131247900"</f>
        <v>1551604131247900</v>
      </c>
      <c r="C4046" t="s">
        <v>40</v>
      </c>
      <c r="D4046">
        <v>4.8660949999999996</v>
      </c>
      <c r="E4046">
        <v>0.41747459999999997</v>
      </c>
      <c r="F4046" t="s">
        <v>96</v>
      </c>
      <c r="G4046">
        <v>-408.53410000000002</v>
      </c>
      <c r="H4046">
        <v>1.0486879999999901</v>
      </c>
      <c r="I4046">
        <v>0.59399799999999903</v>
      </c>
      <c r="J4046">
        <v>-423.24189999999999</v>
      </c>
      <c r="K4046">
        <v>1.122368</v>
      </c>
      <c r="L4046">
        <v>45.457210000000003</v>
      </c>
      <c r="M4046">
        <v>-9.2079239999999993E-3</v>
      </c>
      <c r="N4046">
        <v>-1.407283E-2</v>
      </c>
      <c r="O4046">
        <v>-0.99985860000000004</v>
      </c>
      <c r="P4046">
        <v>9.9460930000000003E-2</v>
      </c>
      <c r="Q4046">
        <v>0.21103710000000001</v>
      </c>
      <c r="R4046">
        <v>-0.97240479999999996</v>
      </c>
      <c r="S4046">
        <v>0.97470089999999998</v>
      </c>
      <c r="T4046">
        <v>-4.8773289999999997E-3</v>
      </c>
      <c r="U4046">
        <v>-2.9900509999999998</v>
      </c>
      <c r="V4046">
        <v>-0.1089302</v>
      </c>
      <c r="W4046">
        <v>0.2244362</v>
      </c>
      <c r="X4046">
        <v>0.96838139999999995</v>
      </c>
      <c r="Y4046">
        <v>-0.3186136</v>
      </c>
      <c r="Z4046">
        <v>-1.254507E-2</v>
      </c>
      <c r="AA4046">
        <v>0.94780160000000002</v>
      </c>
      <c r="AB4046">
        <v>28</v>
      </c>
      <c r="AC4046">
        <v>14.707799999999899</v>
      </c>
      <c r="AD4046">
        <v>-7.3680000000000107E-2</v>
      </c>
      <c r="AE4046">
        <v>-44.863211999999997</v>
      </c>
      <c r="AF4046">
        <v>-15.1202774794235</v>
      </c>
      <c r="AG4046">
        <v>-7.3680000000000107E-2</v>
      </c>
      <c r="AH4046">
        <v>44.725759057807402</v>
      </c>
      <c r="AI4046">
        <v>90.0894160073168</v>
      </c>
      <c r="AJ4046">
        <v>108.678668855727</v>
      </c>
      <c r="AK4046">
        <v>47.212516805336698</v>
      </c>
      <c r="AL4046">
        <v>77.030272633070794</v>
      </c>
      <c r="AM4046">
        <v>96.418044267099702</v>
      </c>
      <c r="AN4046">
        <v>0.99999996610421904</v>
      </c>
    </row>
    <row r="4047" spans="1:40" x14ac:dyDescent="0.25">
      <c r="A4047" t="str">
        <f>"20190303170851278"</f>
        <v>20190303170851278</v>
      </c>
      <c r="B4047" t="str">
        <f>"1551604131267420"</f>
        <v>1551604131267420</v>
      </c>
      <c r="C4047" t="s">
        <v>40</v>
      </c>
      <c r="D4047">
        <v>4.8703310000000002</v>
      </c>
      <c r="E4047">
        <v>0.41691440000000002</v>
      </c>
      <c r="F4047" t="s">
        <v>96</v>
      </c>
      <c r="G4047">
        <v>-408.35680000000002</v>
      </c>
      <c r="H4047">
        <v>0.99026729999999996</v>
      </c>
      <c r="I4047">
        <v>0.59580040000000001</v>
      </c>
      <c r="J4047">
        <v>-423.24270000000001</v>
      </c>
      <c r="K4047">
        <v>1.122498</v>
      </c>
      <c r="L4047">
        <v>45.205260000000003</v>
      </c>
      <c r="M4047">
        <v>-7.7749150000000003E-3</v>
      </c>
      <c r="N4047">
        <v>-1.4072650000000001E-2</v>
      </c>
      <c r="O4047">
        <v>-0.99987079999999995</v>
      </c>
      <c r="P4047">
        <v>0.1035639</v>
      </c>
      <c r="Q4047">
        <v>0.2097212</v>
      </c>
      <c r="R4047">
        <v>-0.97226129999999999</v>
      </c>
      <c r="S4047">
        <v>0.99066160000000003</v>
      </c>
      <c r="T4047">
        <v>-8.79371199999999E-3</v>
      </c>
      <c r="U4047">
        <v>-2.9857179999999999</v>
      </c>
      <c r="V4047">
        <v>-0.11170330000000001</v>
      </c>
      <c r="W4047">
        <v>0.2230801</v>
      </c>
      <c r="X4047">
        <v>0.96837890000000004</v>
      </c>
      <c r="Y4047">
        <v>-0.32223099999999999</v>
      </c>
      <c r="Z4047">
        <v>-1.1298799999999999E-2</v>
      </c>
      <c r="AA4047">
        <v>0.94659360000000003</v>
      </c>
      <c r="AB4047">
        <v>27</v>
      </c>
      <c r="AC4047">
        <v>14.8858999999999</v>
      </c>
      <c r="AD4047">
        <v>-0.13223069999999901</v>
      </c>
      <c r="AE4047">
        <v>-44.609459600000001</v>
      </c>
      <c r="AF4047">
        <v>-15.2321986434342</v>
      </c>
      <c r="AG4047">
        <v>-0.13223069999999901</v>
      </c>
      <c r="AH4047">
        <v>44.492011188522902</v>
      </c>
      <c r="AI4047">
        <v>90.161103333301298</v>
      </c>
      <c r="AJ4047">
        <v>108.899053003761</v>
      </c>
      <c r="AK4047">
        <v>47.027400736918402</v>
      </c>
      <c r="AL4047">
        <v>77.1099935646685</v>
      </c>
      <c r="AM4047">
        <v>96.580033744947002</v>
      </c>
      <c r="AN4047">
        <v>1.00000002610605</v>
      </c>
    </row>
    <row r="4048" spans="1:40" x14ac:dyDescent="0.25">
      <c r="A4048" t="str">
        <f>"20190303170851301"</f>
        <v>20190303170851301</v>
      </c>
      <c r="B4048" t="str">
        <f>"1551604131297676"</f>
        <v>1551604131297676</v>
      </c>
      <c r="C4048" t="s">
        <v>40</v>
      </c>
      <c r="D4048">
        <v>4.8318680000000001</v>
      </c>
      <c r="E4048">
        <v>0.41614659999999898</v>
      </c>
      <c r="F4048" t="s">
        <v>96</v>
      </c>
      <c r="G4048">
        <v>-408.18759999999997</v>
      </c>
      <c r="H4048">
        <v>0.91388460000000005</v>
      </c>
      <c r="I4048">
        <v>0.59752269999999996</v>
      </c>
      <c r="J4048">
        <v>-423.24299999999999</v>
      </c>
      <c r="K4048">
        <v>1.122641</v>
      </c>
      <c r="L4048">
        <v>44.920810000000003</v>
      </c>
      <c r="M4048">
        <v>-5.9587470000000003E-3</v>
      </c>
      <c r="N4048">
        <v>-1.4073169999999999E-2</v>
      </c>
      <c r="O4048">
        <v>-0.99988310000000002</v>
      </c>
      <c r="P4048">
        <v>0.1060046</v>
      </c>
      <c r="Q4048">
        <v>0.21064099999999999</v>
      </c>
      <c r="R4048">
        <v>-0.97179899999999997</v>
      </c>
      <c r="S4048">
        <v>1.0062260000000001</v>
      </c>
      <c r="T4048">
        <v>-1.394463E-2</v>
      </c>
      <c r="U4048">
        <v>-2.9814150000000001</v>
      </c>
      <c r="V4048">
        <v>-0.11245670000000001</v>
      </c>
      <c r="W4048">
        <v>0.22395570000000001</v>
      </c>
      <c r="X4048">
        <v>0.96808950000000005</v>
      </c>
      <c r="Y4048">
        <v>-0.3253627</v>
      </c>
      <c r="Z4048">
        <v>-9.6601210000000007E-3</v>
      </c>
      <c r="AA4048">
        <v>0.94554000000000005</v>
      </c>
      <c r="AB4048">
        <v>27</v>
      </c>
      <c r="AC4048">
        <v>15.055400000000001</v>
      </c>
      <c r="AD4048">
        <v>-0.20875640000000001</v>
      </c>
      <c r="AE4048">
        <v>-44.323287299999997</v>
      </c>
      <c r="AF4048">
        <v>-15.318965438662101</v>
      </c>
      <c r="AG4048">
        <v>-0.20875640000000001</v>
      </c>
      <c r="AH4048">
        <v>44.231900346451198</v>
      </c>
      <c r="AI4048">
        <v>90.255520241953505</v>
      </c>
      <c r="AJ4048">
        <v>109.102656401015</v>
      </c>
      <c r="AK4048">
        <v>46.809991343770399</v>
      </c>
      <c r="AL4048">
        <v>77.058522463405794</v>
      </c>
      <c r="AM4048">
        <v>96.625983269827699</v>
      </c>
      <c r="AN4048">
        <v>0.999999972473814</v>
      </c>
    </row>
    <row r="4049" spans="1:40" x14ac:dyDescent="0.25">
      <c r="A4049" t="str">
        <f>"20190303170851325"</f>
        <v>20190303170851325</v>
      </c>
      <c r="B4049" t="str">
        <f>"1551604131317196"</f>
        <v>1551604131317196</v>
      </c>
      <c r="C4049" t="s">
        <v>40</v>
      </c>
      <c r="D4049">
        <v>4.8080689999999997</v>
      </c>
      <c r="E4049">
        <v>0.41571639999999999</v>
      </c>
      <c r="F4049" t="s">
        <v>96</v>
      </c>
      <c r="G4049">
        <v>-408.07530000000003</v>
      </c>
      <c r="H4049">
        <v>0.98027679999999995</v>
      </c>
      <c r="I4049">
        <v>0.59866519999999901</v>
      </c>
      <c r="J4049">
        <v>-423.24259999999998</v>
      </c>
      <c r="K4049">
        <v>1.1227990000000001</v>
      </c>
      <c r="L4049">
        <v>44.639189999999999</v>
      </c>
      <c r="M4049">
        <v>-3.9730299999999998E-3</v>
      </c>
      <c r="N4049">
        <v>-1.40743E-2</v>
      </c>
      <c r="O4049">
        <v>-0.99989300000000003</v>
      </c>
      <c r="P4049">
        <v>0.1078108</v>
      </c>
      <c r="Q4049">
        <v>0.2124113</v>
      </c>
      <c r="R4049">
        <v>-0.97121500000000005</v>
      </c>
      <c r="S4049">
        <v>1.019104</v>
      </c>
      <c r="T4049">
        <v>-9.5670219999999997E-3</v>
      </c>
      <c r="U4049">
        <v>-2.9779659999999999</v>
      </c>
      <c r="V4049">
        <v>-0.1124158</v>
      </c>
      <c r="W4049">
        <v>0.2256832</v>
      </c>
      <c r="X4049">
        <v>0.96769300000000003</v>
      </c>
      <c r="Y4049">
        <v>-0.32747910000000002</v>
      </c>
      <c r="Z4049">
        <v>-1.104631E-2</v>
      </c>
      <c r="AA4049">
        <v>0.94479380000000002</v>
      </c>
      <c r="AB4049">
        <v>27</v>
      </c>
      <c r="AC4049">
        <v>15.1672999999999</v>
      </c>
      <c r="AD4049">
        <v>-0.14252219999999899</v>
      </c>
      <c r="AE4049">
        <v>-44.040524799999901</v>
      </c>
      <c r="AF4049">
        <v>-15.342028300601701</v>
      </c>
      <c r="AG4049">
        <v>-0.14252219999999899</v>
      </c>
      <c r="AH4049">
        <v>43.979499280783898</v>
      </c>
      <c r="AI4049">
        <v>90.175313977008898</v>
      </c>
      <c r="AJ4049">
        <v>109.231070177099</v>
      </c>
      <c r="AK4049">
        <v>46.5789061909189</v>
      </c>
      <c r="AL4049">
        <v>76.956943719570901</v>
      </c>
      <c r="AM4049">
        <v>96.626284650811598</v>
      </c>
      <c r="AN4049">
        <v>0.99999998055043904</v>
      </c>
    </row>
    <row r="4050" spans="1:40" x14ac:dyDescent="0.25">
      <c r="A4050" t="str">
        <f>"20190303170851350"</f>
        <v>20190303170851350</v>
      </c>
      <c r="B4050" t="str">
        <f>"1551604131337223"</f>
        <v>1551604131337223</v>
      </c>
      <c r="C4050" t="s">
        <v>40</v>
      </c>
      <c r="D4050">
        <v>4.810009</v>
      </c>
      <c r="E4050">
        <v>0.41534270000000001</v>
      </c>
      <c r="F4050" t="s">
        <v>96</v>
      </c>
      <c r="G4050">
        <v>-408.01170000000002</v>
      </c>
      <c r="H4050">
        <v>1.0877239999999999</v>
      </c>
      <c r="I4050">
        <v>0.59930989999999995</v>
      </c>
      <c r="J4050">
        <v>-423.24130000000002</v>
      </c>
      <c r="K4050">
        <v>1.122957</v>
      </c>
      <c r="L4050">
        <v>44.329219999999999</v>
      </c>
      <c r="M4050">
        <v>-1.5854039999999999E-3</v>
      </c>
      <c r="N4050">
        <v>-1.407573E-2</v>
      </c>
      <c r="O4050">
        <v>-0.99990000000000001</v>
      </c>
      <c r="P4050">
        <v>0.1101322</v>
      </c>
      <c r="Q4050">
        <v>0.21335270000000001</v>
      </c>
      <c r="R4050">
        <v>-0.97074850000000001</v>
      </c>
      <c r="S4050">
        <v>1.028961</v>
      </c>
      <c r="T4050">
        <v>-2.3714299999999999E-3</v>
      </c>
      <c r="U4050">
        <v>-2.9752200000000002</v>
      </c>
      <c r="V4050">
        <v>-0.1125034</v>
      </c>
      <c r="W4050">
        <v>0.22658149999999999</v>
      </c>
      <c r="X4050">
        <v>0.96747289999999997</v>
      </c>
      <c r="Y4050">
        <v>-0.32828459999999998</v>
      </c>
      <c r="Z4050">
        <v>-1.332642E-2</v>
      </c>
      <c r="AA4050">
        <v>0.94448480000000001</v>
      </c>
      <c r="AB4050">
        <v>27</v>
      </c>
      <c r="AC4050">
        <v>15.2296</v>
      </c>
      <c r="AD4050">
        <v>-3.5233E-2</v>
      </c>
      <c r="AE4050">
        <v>-43.729910099999998</v>
      </c>
      <c r="AF4050">
        <v>-15.298908420280901</v>
      </c>
      <c r="AG4050">
        <v>-3.5233E-2</v>
      </c>
      <c r="AH4050">
        <v>43.705682375813701</v>
      </c>
      <c r="AI4050">
        <v>90.043594845665496</v>
      </c>
      <c r="AJ4050">
        <v>109.292288038598</v>
      </c>
      <c r="AK4050">
        <v>46.305987864982903</v>
      </c>
      <c r="AL4050">
        <v>76.904106528586794</v>
      </c>
      <c r="AM4050">
        <v>96.632897412734906</v>
      </c>
      <c r="AN4050">
        <v>1.00000000169411</v>
      </c>
    </row>
    <row r="4051" spans="1:40" x14ac:dyDescent="0.25">
      <c r="A4051" t="str">
        <f>"20190303170851371"</f>
        <v>20190303170851371</v>
      </c>
      <c r="B4051" t="str">
        <f>"1551604131357720"</f>
        <v>1551604131357720</v>
      </c>
      <c r="C4051" t="s">
        <v>40</v>
      </c>
      <c r="D4051">
        <v>4.8002469999999997</v>
      </c>
      <c r="E4051">
        <v>0.41499999999999998</v>
      </c>
      <c r="F4051" t="s">
        <v>96</v>
      </c>
      <c r="G4051">
        <v>-407.95170000000002</v>
      </c>
      <c r="H4051">
        <v>1.1408670000000001</v>
      </c>
      <c r="I4051">
        <v>0.59992219999999996</v>
      </c>
      <c r="J4051">
        <v>-423.23950000000002</v>
      </c>
      <c r="K4051">
        <v>1.1230629999999999</v>
      </c>
      <c r="L4051">
        <v>44.074649999999998</v>
      </c>
      <c r="M4051">
        <v>5.3523639999999897E-4</v>
      </c>
      <c r="N4051">
        <v>-1.407689E-2</v>
      </c>
      <c r="O4051">
        <v>-0.99990089999999998</v>
      </c>
      <c r="P4051">
        <v>0.11323510000000001</v>
      </c>
      <c r="Q4051">
        <v>0.21243380000000001</v>
      </c>
      <c r="R4051">
        <v>-0.97059260000000003</v>
      </c>
      <c r="S4051">
        <v>1.039215</v>
      </c>
      <c r="T4051">
        <v>1.215458E-3</v>
      </c>
      <c r="U4051">
        <v>-2.972229</v>
      </c>
      <c r="V4051">
        <v>-0.11360530000000001</v>
      </c>
      <c r="W4051">
        <v>0.22563069999999999</v>
      </c>
      <c r="X4051">
        <v>0.96756629999999999</v>
      </c>
      <c r="Y4051">
        <v>-0.3294784</v>
      </c>
      <c r="Z4051">
        <v>-1.446159E-2</v>
      </c>
      <c r="AA4051">
        <v>0.94405229999999996</v>
      </c>
      <c r="AB4051">
        <v>27</v>
      </c>
      <c r="AC4051">
        <v>15.287800000000001</v>
      </c>
      <c r="AD4051">
        <v>1.7804000000000101E-2</v>
      </c>
      <c r="AE4051">
        <v>-43.474727799999997</v>
      </c>
      <c r="AF4051">
        <v>-15.2645239717791</v>
      </c>
      <c r="AG4051">
        <v>1.7804000000000101E-2</v>
      </c>
      <c r="AH4051">
        <v>43.482898478302701</v>
      </c>
      <c r="AI4051">
        <v>89.977864637200497</v>
      </c>
      <c r="AJ4051">
        <v>109.343450746362</v>
      </c>
      <c r="AK4051">
        <v>46.084362522897202</v>
      </c>
      <c r="AL4051">
        <v>76.960031128527305</v>
      </c>
      <c r="AM4051">
        <v>96.696634530735295</v>
      </c>
      <c r="AN4051">
        <v>0.99999996093313404</v>
      </c>
    </row>
    <row r="4052" spans="1:40" x14ac:dyDescent="0.25">
      <c r="A4052" t="str">
        <f>"20190303170851395"</f>
        <v>20190303170851395</v>
      </c>
      <c r="B4052" t="str">
        <f>"1551604131387975"</f>
        <v>1551604131387975</v>
      </c>
      <c r="C4052" t="s">
        <v>40</v>
      </c>
      <c r="D4052">
        <v>4.7380500000000003</v>
      </c>
      <c r="E4052">
        <v>0.41451890000000002</v>
      </c>
      <c r="F4052" t="s">
        <v>96</v>
      </c>
      <c r="G4052">
        <v>-407.85500000000002</v>
      </c>
      <c r="H4052">
        <v>1.0972059999999999</v>
      </c>
      <c r="I4052">
        <v>0.60090259999999995</v>
      </c>
      <c r="J4052">
        <v>-423.2364</v>
      </c>
      <c r="K4052">
        <v>1.123151</v>
      </c>
      <c r="L4052">
        <v>43.778410000000001</v>
      </c>
      <c r="M4052">
        <v>3.1415649999999998E-3</v>
      </c>
      <c r="N4052">
        <v>-1.407797E-2</v>
      </c>
      <c r="O4052">
        <v>-0.99989609999999995</v>
      </c>
      <c r="P4052">
        <v>0.1172687</v>
      </c>
      <c r="Q4052">
        <v>0.21125089999999999</v>
      </c>
      <c r="R4052">
        <v>-0.97037180000000001</v>
      </c>
      <c r="S4052">
        <v>1.0505679999999999</v>
      </c>
      <c r="T4052">
        <v>-1.767397E-3</v>
      </c>
      <c r="U4052">
        <v>-2.9687190000000001</v>
      </c>
      <c r="V4052">
        <v>-0.1151595</v>
      </c>
      <c r="W4052">
        <v>0.22441620000000001</v>
      </c>
      <c r="X4052">
        <v>0.96766509999999994</v>
      </c>
      <c r="Y4052">
        <v>-0.33057910000000001</v>
      </c>
      <c r="Z4052">
        <v>-1.3508849999999999E-2</v>
      </c>
      <c r="AA4052">
        <v>0.94368160000000001</v>
      </c>
      <c r="AB4052">
        <v>27</v>
      </c>
      <c r="AC4052">
        <v>15.3813999999999</v>
      </c>
      <c r="AD4052">
        <v>-2.59450000000001E-2</v>
      </c>
      <c r="AE4052">
        <v>-43.177507399999897</v>
      </c>
      <c r="AF4052">
        <v>-15.2456608256682</v>
      </c>
      <c r="AG4052">
        <v>-2.59450000000001E-2</v>
      </c>
      <c r="AH4052">
        <v>43.225606889207803</v>
      </c>
      <c r="AI4052">
        <v>90.032432117161605</v>
      </c>
      <c r="AJ4052">
        <v>109.42773351492001</v>
      </c>
      <c r="AK4052">
        <v>45.835400490174301</v>
      </c>
      <c r="AL4052">
        <v>77.031449566280997</v>
      </c>
      <c r="AM4052">
        <v>96.786713615829797</v>
      </c>
      <c r="AN4052">
        <v>1.00000004351034</v>
      </c>
    </row>
    <row r="4053" spans="1:40" x14ac:dyDescent="0.25">
      <c r="A4053" t="str">
        <f>"20190303170851419"</f>
        <v>20190303170851419</v>
      </c>
      <c r="B4053" t="str">
        <f>"1551604131407495"</f>
        <v>1551604131407495</v>
      </c>
      <c r="C4053" t="s">
        <v>40</v>
      </c>
      <c r="D4053">
        <v>4.7669560000000004</v>
      </c>
      <c r="E4053">
        <v>0.4142266</v>
      </c>
      <c r="F4053" t="s">
        <v>96</v>
      </c>
      <c r="G4053">
        <v>-407.71620000000001</v>
      </c>
      <c r="H4053">
        <v>1.0414289999999999</v>
      </c>
      <c r="I4053">
        <v>0.60231780000000001</v>
      </c>
      <c r="J4053">
        <v>-423.23259999999999</v>
      </c>
      <c r="K4053">
        <v>1.12323</v>
      </c>
      <c r="L4053">
        <v>43.492069999999998</v>
      </c>
      <c r="M4053">
        <v>5.7792470000000004E-3</v>
      </c>
      <c r="N4053">
        <v>-1.407857E-2</v>
      </c>
      <c r="O4053">
        <v>-0.9998842</v>
      </c>
      <c r="P4053">
        <v>0.11961720000000001</v>
      </c>
      <c r="Q4053">
        <v>0.21134120000000001</v>
      </c>
      <c r="R4053">
        <v>-0.97006530000000002</v>
      </c>
      <c r="S4053">
        <v>1.0654600000000001</v>
      </c>
      <c r="T4053">
        <v>-5.6120160000000001E-3</v>
      </c>
      <c r="U4053">
        <v>-2.9640499999999999</v>
      </c>
      <c r="V4053">
        <v>-0.114991</v>
      </c>
      <c r="W4053">
        <v>0.22448589999999999</v>
      </c>
      <c r="X4053">
        <v>0.96766890000000005</v>
      </c>
      <c r="Y4053">
        <v>-0.332764</v>
      </c>
      <c r="Z4053">
        <v>-1.228102E-2</v>
      </c>
      <c r="AA4053">
        <v>0.94293020000000005</v>
      </c>
      <c r="AB4053">
        <v>27</v>
      </c>
      <c r="AC4053">
        <v>15.5163999999999</v>
      </c>
      <c r="AD4053">
        <v>-8.1800999999999693E-2</v>
      </c>
      <c r="AE4053">
        <v>-42.889752199999997</v>
      </c>
      <c r="AF4053">
        <v>-15.2681966759534</v>
      </c>
      <c r="AG4053">
        <v>-8.1800999999999693E-2</v>
      </c>
      <c r="AH4053">
        <v>42.978579551436702</v>
      </c>
      <c r="AI4053">
        <v>90.102759098771102</v>
      </c>
      <c r="AJ4053">
        <v>109.55764876197399</v>
      </c>
      <c r="AK4053">
        <v>45.610117533266298</v>
      </c>
      <c r="AL4053">
        <v>77.027350581522697</v>
      </c>
      <c r="AM4053">
        <v>96.776849435839793</v>
      </c>
      <c r="AN4053">
        <v>0.99999997470350899</v>
      </c>
    </row>
    <row r="4054" spans="1:40" x14ac:dyDescent="0.25">
      <c r="A4054" t="str">
        <f>"20190303170851457"</f>
        <v>20190303170851457</v>
      </c>
      <c r="B4054" t="str">
        <f>"1551604131447511"</f>
        <v>1551604131447511</v>
      </c>
      <c r="C4054" t="s">
        <v>40</v>
      </c>
      <c r="D4054">
        <v>4.6451129999999896</v>
      </c>
      <c r="E4054">
        <v>0.37550850000000002</v>
      </c>
      <c r="F4054" t="s">
        <v>96</v>
      </c>
      <c r="G4054">
        <v>-407.66449999999998</v>
      </c>
      <c r="H4054">
        <v>1.0475490000000001</v>
      </c>
      <c r="I4054">
        <v>0.60284230000000005</v>
      </c>
      <c r="J4054">
        <v>-423.22500000000002</v>
      </c>
      <c r="K4054">
        <v>1.1233299999999999</v>
      </c>
      <c r="L4054">
        <v>43.049100000000003</v>
      </c>
      <c r="M4054">
        <v>1.004858E-2</v>
      </c>
      <c r="N4054">
        <v>-1.4079100000000001E-2</v>
      </c>
      <c r="O4054">
        <v>-0.99985029999999997</v>
      </c>
      <c r="P4054">
        <v>0.1216715</v>
      </c>
      <c r="Q4054">
        <v>0.212621</v>
      </c>
      <c r="R4054">
        <v>-0.9695298</v>
      </c>
      <c r="S4054">
        <v>1.0748599999999999</v>
      </c>
      <c r="T4054">
        <v>-5.2270889999999999E-3</v>
      </c>
      <c r="U4054">
        <v>-2.961182</v>
      </c>
      <c r="V4054">
        <v>-0.1129627</v>
      </c>
      <c r="W4054">
        <v>0.22574920000000001</v>
      </c>
      <c r="X4054">
        <v>0.96761390000000003</v>
      </c>
      <c r="Y4054">
        <v>-0.33167529999999901</v>
      </c>
      <c r="Z4054">
        <v>-1.239229E-2</v>
      </c>
      <c r="AA4054">
        <v>0.94331220000000005</v>
      </c>
      <c r="AB4054">
        <v>27</v>
      </c>
      <c r="AC4054">
        <v>15.560499999999999</v>
      </c>
      <c r="AD4054">
        <v>-7.5780999999999807E-2</v>
      </c>
      <c r="AE4054">
        <v>-42.446257699999997</v>
      </c>
      <c r="AF4054">
        <v>-15.1331047657185</v>
      </c>
      <c r="AG4054">
        <v>-7.5780999999999807E-2</v>
      </c>
      <c r="AH4054">
        <v>42.600370980345701</v>
      </c>
      <c r="AI4054">
        <v>90.096042420759602</v>
      </c>
      <c r="AJ4054">
        <v>109.556773592716</v>
      </c>
      <c r="AK4054">
        <v>45.208497102571897</v>
      </c>
      <c r="AL4054">
        <v>76.953061832739095</v>
      </c>
      <c r="AM4054">
        <v>96.658772013157403</v>
      </c>
      <c r="AN4054">
        <v>0.99999996618256903</v>
      </c>
    </row>
    <row r="4055" spans="1:40" x14ac:dyDescent="0.25">
      <c r="A4055" t="str">
        <f>"20190303170851485"</f>
        <v>20190303170851485</v>
      </c>
      <c r="B4055" t="str">
        <f>"1551604131477767"</f>
        <v>1551604131477767</v>
      </c>
      <c r="C4055" t="s">
        <v>40</v>
      </c>
      <c r="D4055">
        <v>4.6714799999999999</v>
      </c>
      <c r="E4055">
        <v>0.3705234</v>
      </c>
      <c r="F4055" t="s">
        <v>96</v>
      </c>
      <c r="G4055">
        <v>-403.00830000000002</v>
      </c>
      <c r="H4055">
        <v>2.8998309999999998</v>
      </c>
      <c r="I4055">
        <v>0.65019989999999905</v>
      </c>
      <c r="J4055">
        <v>-423.21749999999997</v>
      </c>
      <c r="K4055">
        <v>1.123383</v>
      </c>
      <c r="L4055">
        <v>42.695799999999998</v>
      </c>
      <c r="M4055">
        <v>1.357209E-2</v>
      </c>
      <c r="N4055">
        <v>-1.407946E-2</v>
      </c>
      <c r="O4055">
        <v>-0.99980880000000005</v>
      </c>
      <c r="P4055">
        <v>0.124329</v>
      </c>
      <c r="Q4055">
        <v>0.21186469999999999</v>
      </c>
      <c r="R4055">
        <v>-0.96935870000000002</v>
      </c>
      <c r="S4055">
        <v>1.3801570000000001</v>
      </c>
      <c r="T4055">
        <v>0.12127690000000001</v>
      </c>
      <c r="U4055">
        <v>-2.894501</v>
      </c>
      <c r="V4055">
        <v>-0.1122286</v>
      </c>
      <c r="W4055">
        <v>0.2249845</v>
      </c>
      <c r="X4055">
        <v>0.9678774</v>
      </c>
      <c r="Y4055">
        <v>-0.41759160000000001</v>
      </c>
      <c r="Z4055">
        <v>-5.192393E-2</v>
      </c>
      <c r="AA4055">
        <v>0.90715000000000001</v>
      </c>
      <c r="AB4055">
        <v>27</v>
      </c>
      <c r="AC4055">
        <v>20.2091999999999</v>
      </c>
      <c r="AD4055">
        <v>1.776448</v>
      </c>
      <c r="AE4055">
        <v>-42.045600100000001</v>
      </c>
      <c r="AF4055">
        <v>-19.6082012304038</v>
      </c>
      <c r="AG4055">
        <v>1.776448</v>
      </c>
      <c r="AH4055">
        <v>42.2547614351897</v>
      </c>
      <c r="AI4055">
        <v>87.816062393466893</v>
      </c>
      <c r="AJ4055">
        <v>114.893522564436</v>
      </c>
      <c r="AK4055">
        <v>46.616544133317198</v>
      </c>
      <c r="AL4055">
        <v>76.998032929193997</v>
      </c>
      <c r="AM4055">
        <v>96.614098951620093</v>
      </c>
      <c r="AN4055">
        <v>0.99999997266448404</v>
      </c>
    </row>
    <row r="4056" spans="1:40" x14ac:dyDescent="0.25">
      <c r="A4056" t="str">
        <f>"20190303170851507"</f>
        <v>20190303170851507</v>
      </c>
      <c r="B4056" t="str">
        <f>"1551604131497289"</f>
        <v>1551604131497289</v>
      </c>
      <c r="C4056" t="s">
        <v>40</v>
      </c>
      <c r="D4056">
        <v>4.6685059999999998</v>
      </c>
      <c r="E4056">
        <v>0.3694152</v>
      </c>
      <c r="F4056" t="s">
        <v>96</v>
      </c>
      <c r="G4056">
        <v>-403.0496</v>
      </c>
      <c r="H4056">
        <v>3.202175</v>
      </c>
      <c r="I4056">
        <v>1.946812</v>
      </c>
      <c r="J4056">
        <v>-423.21120000000002</v>
      </c>
      <c r="K4056">
        <v>1.1234109999999999</v>
      </c>
      <c r="L4056">
        <v>42.441040000000001</v>
      </c>
      <c r="M4056">
        <v>1.616163E-2</v>
      </c>
      <c r="N4056">
        <v>-1.4079309999999999E-2</v>
      </c>
      <c r="O4056">
        <v>-0.99977050000000001</v>
      </c>
      <c r="P4056">
        <v>0.12539230000000001</v>
      </c>
      <c r="Q4056">
        <v>0.2106932</v>
      </c>
      <c r="R4056">
        <v>-0.96947689999999997</v>
      </c>
      <c r="S4056">
        <v>1.425354</v>
      </c>
      <c r="T4056">
        <v>0.14691570000000001</v>
      </c>
      <c r="U4056">
        <v>-2.8799130000000002</v>
      </c>
      <c r="V4056">
        <v>-0.1107877</v>
      </c>
      <c r="W4056">
        <v>0.2238163</v>
      </c>
      <c r="X4056">
        <v>0.96831420000000001</v>
      </c>
      <c r="Y4056">
        <v>-0.4283264</v>
      </c>
      <c r="Z4056">
        <v>-5.9839910000000003E-2</v>
      </c>
      <c r="AA4056">
        <v>0.90164049999999996</v>
      </c>
      <c r="AB4056">
        <v>27</v>
      </c>
      <c r="AC4056">
        <v>20.1616</v>
      </c>
      <c r="AD4056">
        <v>2.0787640000000001</v>
      </c>
      <c r="AE4056">
        <v>-40.494228</v>
      </c>
      <c r="AF4056">
        <v>-19.463346634454101</v>
      </c>
      <c r="AG4056">
        <v>2.0787640000000001</v>
      </c>
      <c r="AH4056">
        <v>40.728804718327297</v>
      </c>
      <c r="AI4056">
        <v>87.363331589917905</v>
      </c>
      <c r="AJ4056">
        <v>115.54204850339001</v>
      </c>
      <c r="AK4056">
        <v>45.188257941242298</v>
      </c>
      <c r="AL4056">
        <v>77.066718153018201</v>
      </c>
      <c r="AM4056">
        <v>96.526998653949306</v>
      </c>
      <c r="AN4056">
        <v>1.0000000202693</v>
      </c>
    </row>
    <row r="4057" spans="1:40" x14ac:dyDescent="0.25">
      <c r="A4057" t="str">
        <f>"20190303170851534"</f>
        <v>20190303170851534</v>
      </c>
      <c r="B4057" t="str">
        <f>"1551604131517784"</f>
        <v>1551604131517784</v>
      </c>
      <c r="C4057" t="s">
        <v>40</v>
      </c>
      <c r="D4057">
        <v>4.6751040000000001</v>
      </c>
      <c r="E4057">
        <v>0.36851739999999999</v>
      </c>
      <c r="F4057" t="s">
        <v>96</v>
      </c>
      <c r="G4057">
        <v>-402.9862</v>
      </c>
      <c r="H4057">
        <v>3.2582369999999998</v>
      </c>
      <c r="I4057">
        <v>1.947454</v>
      </c>
      <c r="J4057">
        <v>-423.20209999999997</v>
      </c>
      <c r="K4057">
        <v>1.1234459999999999</v>
      </c>
      <c r="L4057">
        <v>42.115940000000002</v>
      </c>
      <c r="M4057">
        <v>1.953738E-2</v>
      </c>
      <c r="N4057">
        <v>-1.407892E-2</v>
      </c>
      <c r="O4057">
        <v>-0.99971010000000005</v>
      </c>
      <c r="P4057">
        <v>0.12758630000000001</v>
      </c>
      <c r="Q4057">
        <v>0.21014150000000001</v>
      </c>
      <c r="R4057">
        <v>-0.96931060000000002</v>
      </c>
      <c r="S4057">
        <v>1.43631</v>
      </c>
      <c r="T4057">
        <v>0.15160699999999999</v>
      </c>
      <c r="U4057">
        <v>-2.8757320000000002</v>
      </c>
      <c r="V4057">
        <v>-0.1097238</v>
      </c>
      <c r="W4057">
        <v>0.22326180000000001</v>
      </c>
      <c r="X4057">
        <v>0.96856330000000002</v>
      </c>
      <c r="Y4057">
        <v>-0.42851549999999999</v>
      </c>
      <c r="Z4057">
        <v>-6.1303650000000001E-2</v>
      </c>
      <c r="AA4057">
        <v>0.90145240000000004</v>
      </c>
      <c r="AB4057">
        <v>27</v>
      </c>
      <c r="AC4057">
        <v>20.215899999999898</v>
      </c>
      <c r="AD4057">
        <v>2.1347909999999999</v>
      </c>
      <c r="AE4057">
        <v>-40.168486000000001</v>
      </c>
      <c r="AF4057">
        <v>-19.383492046055501</v>
      </c>
      <c r="AG4057">
        <v>2.1347909999999999</v>
      </c>
      <c r="AH4057">
        <v>40.464628639734798</v>
      </c>
      <c r="AI4057">
        <v>87.275936175094003</v>
      </c>
      <c r="AJ4057">
        <v>115.595497616576</v>
      </c>
      <c r="AK4057">
        <v>44.9184067778993</v>
      </c>
      <c r="AL4057">
        <v>77.099313286234803</v>
      </c>
      <c r="AM4057">
        <v>96.463204130830604</v>
      </c>
      <c r="AN4057">
        <v>1.00000000486628</v>
      </c>
    </row>
    <row r="4058" spans="1:40" x14ac:dyDescent="0.25">
      <c r="A4058" t="str">
        <f>"20190303170851553"</f>
        <v>20190303170851553</v>
      </c>
      <c r="B4058" t="str">
        <f>"1551604131548040"</f>
        <v>1551604131548040</v>
      </c>
      <c r="C4058" t="s">
        <v>40</v>
      </c>
      <c r="D4058">
        <v>4.6466580000000004</v>
      </c>
      <c r="E4058">
        <v>0.36737700000000001</v>
      </c>
      <c r="F4058" t="s">
        <v>96</v>
      </c>
      <c r="G4058">
        <v>-402.923</v>
      </c>
      <c r="H4058">
        <v>3.2773330000000001</v>
      </c>
      <c r="I4058">
        <v>1.948099</v>
      </c>
      <c r="J4058">
        <v>-423.19450000000001</v>
      </c>
      <c r="K4058">
        <v>1.123481</v>
      </c>
      <c r="L4058">
        <v>41.870939999999997</v>
      </c>
      <c r="M4058">
        <v>2.2132880000000001E-2</v>
      </c>
      <c r="N4058">
        <v>-1.4078780000000001E-2</v>
      </c>
      <c r="O4058">
        <v>-0.99965599999999999</v>
      </c>
      <c r="P4058">
        <v>0.12959369999999901</v>
      </c>
      <c r="Q4058">
        <v>0.2106508</v>
      </c>
      <c r="R4058">
        <v>-0.9689335</v>
      </c>
      <c r="S4058">
        <v>1.449371</v>
      </c>
      <c r="T4058">
        <v>0.1539392</v>
      </c>
      <c r="U4058">
        <v>-2.8708499999999999</v>
      </c>
      <c r="V4058">
        <v>-0.10923570000000001</v>
      </c>
      <c r="W4058">
        <v>0.22376470000000001</v>
      </c>
      <c r="X4058">
        <v>0.96850239999999999</v>
      </c>
      <c r="Y4058">
        <v>-0.43003920000000001</v>
      </c>
      <c r="Z4058">
        <v>-6.2023830000000002E-2</v>
      </c>
      <c r="AA4058">
        <v>0.90067710000000001</v>
      </c>
      <c r="AB4058">
        <v>27</v>
      </c>
      <c r="AC4058">
        <v>20.2715</v>
      </c>
      <c r="AD4058">
        <v>2.1538520000000001</v>
      </c>
      <c r="AE4058">
        <v>-39.922840999999998</v>
      </c>
      <c r="AF4058">
        <v>-19.338089518918999</v>
      </c>
      <c r="AG4058">
        <v>2.1538520000000001</v>
      </c>
      <c r="AH4058">
        <v>40.268588110096204</v>
      </c>
      <c r="AI4058">
        <v>87.239586468629696</v>
      </c>
      <c r="AJ4058">
        <v>115.65160590754</v>
      </c>
      <c r="AK4058">
        <v>44.723148067418201</v>
      </c>
      <c r="AL4058">
        <v>77.069751138600097</v>
      </c>
      <c r="AM4058">
        <v>96.435095840440397</v>
      </c>
      <c r="AN4058">
        <v>0.999999988963169</v>
      </c>
    </row>
    <row r="4059" spans="1:40" x14ac:dyDescent="0.25">
      <c r="A4059" t="str">
        <f>"20190303170851577"</f>
        <v>20190303170851577</v>
      </c>
      <c r="B4059" t="str">
        <f>"1551604131567559"</f>
        <v>1551604131567559</v>
      </c>
      <c r="C4059" t="s">
        <v>40</v>
      </c>
      <c r="D4059">
        <v>4.6195009999999996</v>
      </c>
      <c r="E4059">
        <v>0.3667704</v>
      </c>
      <c r="F4059" t="s">
        <v>96</v>
      </c>
      <c r="G4059">
        <v>-402.79039999999998</v>
      </c>
      <c r="H4059">
        <v>3.3962910000000002</v>
      </c>
      <c r="I4059">
        <v>1.9494499999999999</v>
      </c>
      <c r="J4059">
        <v>-423.18490000000003</v>
      </c>
      <c r="K4059">
        <v>1.123518</v>
      </c>
      <c r="L4059">
        <v>41.591000000000001</v>
      </c>
      <c r="M4059">
        <v>2.5144369999999999E-2</v>
      </c>
      <c r="N4059">
        <v>-1.40787E-2</v>
      </c>
      <c r="O4059">
        <v>-0.99958480000000005</v>
      </c>
      <c r="P4059">
        <v>0.13129930000000001</v>
      </c>
      <c r="Q4059">
        <v>0.21118239999999999</v>
      </c>
      <c r="R4059">
        <v>-0.968588</v>
      </c>
      <c r="S4059">
        <v>1.464264</v>
      </c>
      <c r="T4059">
        <v>0.16310250000000001</v>
      </c>
      <c r="U4059">
        <v>-2.8648989999999999</v>
      </c>
      <c r="V4059">
        <v>-0.1080426</v>
      </c>
      <c r="W4059">
        <v>0.22429360000000001</v>
      </c>
      <c r="X4059">
        <v>0.96851390000000004</v>
      </c>
      <c r="Y4059">
        <v>-0.43171860000000001</v>
      </c>
      <c r="Z4059">
        <v>-6.4872470000000002E-2</v>
      </c>
      <c r="AA4059">
        <v>0.89967249999999999</v>
      </c>
      <c r="AB4059">
        <v>27</v>
      </c>
      <c r="AC4059">
        <v>20.394500000000001</v>
      </c>
      <c r="AD4059">
        <v>2.2727729999999999</v>
      </c>
      <c r="AE4059">
        <v>-39.641550000000002</v>
      </c>
      <c r="AF4059">
        <v>-19.340920379948599</v>
      </c>
      <c r="AG4059">
        <v>2.2727729999999999</v>
      </c>
      <c r="AH4059">
        <v>40.0378078781523</v>
      </c>
      <c r="AI4059">
        <v>87.073915377121594</v>
      </c>
      <c r="AJ4059">
        <v>115.78362809615101</v>
      </c>
      <c r="AK4059">
        <v>44.5226095140534</v>
      </c>
      <c r="AL4059">
        <v>77.038657189826097</v>
      </c>
      <c r="AM4059">
        <v>96.365315185358696</v>
      </c>
      <c r="AN4059">
        <v>0.99999999845446497</v>
      </c>
    </row>
    <row r="4060" spans="1:40" x14ac:dyDescent="0.25">
      <c r="A4060" t="str">
        <f>"20190303170851600"</f>
        <v>20190303170851600</v>
      </c>
      <c r="B4060" t="str">
        <f>"1551604131588055"</f>
        <v>1551604131588055</v>
      </c>
      <c r="C4060" t="s">
        <v>40</v>
      </c>
      <c r="D4060">
        <v>4.6025710000000002</v>
      </c>
      <c r="E4060">
        <v>0.36624469999999998</v>
      </c>
      <c r="F4060" t="s">
        <v>96</v>
      </c>
      <c r="G4060">
        <v>-402.75</v>
      </c>
      <c r="H4060">
        <v>3.473039</v>
      </c>
      <c r="I4060">
        <v>1.9498580000000001</v>
      </c>
      <c r="J4060">
        <v>-423.1746</v>
      </c>
      <c r="K4060">
        <v>1.1235470000000001</v>
      </c>
      <c r="L4060">
        <v>41.312809999999999</v>
      </c>
      <c r="M4060">
        <v>2.8185680000000001E-2</v>
      </c>
      <c r="N4060">
        <v>-1.40784E-2</v>
      </c>
      <c r="O4060">
        <v>-0.99950349999999999</v>
      </c>
      <c r="P4060">
        <v>0.1336909</v>
      </c>
      <c r="Q4060">
        <v>0.2104683</v>
      </c>
      <c r="R4060">
        <v>-0.96841619999999995</v>
      </c>
      <c r="S4060">
        <v>1.474548</v>
      </c>
      <c r="T4060">
        <v>0.16953589999999999</v>
      </c>
      <c r="U4060">
        <v>-2.8604430000000001</v>
      </c>
      <c r="V4060">
        <v>-0.1074941</v>
      </c>
      <c r="W4060">
        <v>0.22357779999999999</v>
      </c>
      <c r="X4060">
        <v>0.96874039999999995</v>
      </c>
      <c r="Y4060">
        <v>-0.43204749999999997</v>
      </c>
      <c r="Z4060">
        <v>-6.6882269999999994E-2</v>
      </c>
      <c r="AA4060">
        <v>0.89936740000000004</v>
      </c>
      <c r="AB4060">
        <v>27</v>
      </c>
      <c r="AC4060">
        <v>20.424600000000002</v>
      </c>
      <c r="AD4060">
        <v>2.3494919999999899</v>
      </c>
      <c r="AE4060">
        <v>-39.362952</v>
      </c>
      <c r="AF4060">
        <v>-19.252860892790299</v>
      </c>
      <c r="AG4060">
        <v>2.3494919999999899</v>
      </c>
      <c r="AH4060">
        <v>39.811301255766303</v>
      </c>
      <c r="AI4060">
        <v>86.958785257385102</v>
      </c>
      <c r="AJ4060">
        <v>115.808545529535</v>
      </c>
      <c r="AK4060">
        <v>44.2846753730066</v>
      </c>
      <c r="AL4060">
        <v>77.080738070398894</v>
      </c>
      <c r="AM4060">
        <v>96.331794876877098</v>
      </c>
      <c r="AN4060">
        <v>0.999999988389904</v>
      </c>
    </row>
    <row r="4061" spans="1:40" x14ac:dyDescent="0.25">
      <c r="A4061" t="str">
        <f>"20190303170851626"</f>
        <v>20190303170851626</v>
      </c>
      <c r="B4061" t="str">
        <f>"1551604131617335"</f>
        <v>1551604131617335</v>
      </c>
      <c r="C4061" t="s">
        <v>40</v>
      </c>
      <c r="D4061">
        <v>4.6149319999999996</v>
      </c>
      <c r="E4061">
        <v>0.3654443</v>
      </c>
      <c r="F4061" t="s">
        <v>96</v>
      </c>
      <c r="G4061">
        <v>-402.69639999999998</v>
      </c>
      <c r="H4061">
        <v>3.4650889999999999</v>
      </c>
      <c r="I4061">
        <v>1.9504010000000001</v>
      </c>
      <c r="J4061">
        <v>-423.16250000000002</v>
      </c>
      <c r="K4061">
        <v>1.1235740000000001</v>
      </c>
      <c r="L4061">
        <v>41.01538</v>
      </c>
      <c r="M4061">
        <v>3.1493649999999998E-2</v>
      </c>
      <c r="N4061">
        <v>-1.4077879999999999E-2</v>
      </c>
      <c r="O4061">
        <v>-0.99940479999999998</v>
      </c>
      <c r="P4061">
        <v>0.13657459999999999</v>
      </c>
      <c r="Q4061">
        <v>0.20937349999999999</v>
      </c>
      <c r="R4061">
        <v>-0.96825099999999997</v>
      </c>
      <c r="S4061">
        <v>1.4857180000000001</v>
      </c>
      <c r="T4061">
        <v>0.1698807</v>
      </c>
      <c r="U4061">
        <v>-2.855804</v>
      </c>
      <c r="V4061">
        <v>-0.1071752</v>
      </c>
      <c r="W4061">
        <v>0.22247990000000001</v>
      </c>
      <c r="X4061">
        <v>0.96902849999999996</v>
      </c>
      <c r="Y4061">
        <v>-0.4324286</v>
      </c>
      <c r="Z4061">
        <v>-6.6995079999999999E-2</v>
      </c>
      <c r="AA4061">
        <v>0.89917579999999997</v>
      </c>
      <c r="AB4061">
        <v>27</v>
      </c>
      <c r="AC4061">
        <v>20.466100000000001</v>
      </c>
      <c r="AD4061">
        <v>2.3415149999999998</v>
      </c>
      <c r="AE4061">
        <v>-39.064979000000001</v>
      </c>
      <c r="AF4061">
        <v>-19.171481447217399</v>
      </c>
      <c r="AG4061">
        <v>2.3415149999999998</v>
      </c>
      <c r="AH4061">
        <v>39.578642478426602</v>
      </c>
      <c r="AI4061">
        <v>86.952246695849894</v>
      </c>
      <c r="AJ4061">
        <v>115.84506351783099</v>
      </c>
      <c r="AK4061">
        <v>44.0397244974505</v>
      </c>
      <c r="AL4061">
        <v>77.145269079237593</v>
      </c>
      <c r="AM4061">
        <v>96.311300589619805</v>
      </c>
      <c r="AN4061">
        <v>1.0000000316056401</v>
      </c>
    </row>
    <row r="4062" spans="1:40" x14ac:dyDescent="0.25">
      <c r="A4062" t="str">
        <f>"20190303170851648"</f>
        <v>20190303170851648</v>
      </c>
      <c r="B4062" t="str">
        <f>"1551604131637831"</f>
        <v>1551604131637831</v>
      </c>
      <c r="C4062" t="s">
        <v>40</v>
      </c>
      <c r="D4062">
        <v>4.6223879999999999</v>
      </c>
      <c r="E4062">
        <v>0.3649366</v>
      </c>
      <c r="F4062" t="s">
        <v>96</v>
      </c>
      <c r="G4062">
        <v>-402.60239999999999</v>
      </c>
      <c r="H4062">
        <v>3.454993</v>
      </c>
      <c r="I4062">
        <v>1.9513590000000001</v>
      </c>
      <c r="J4062">
        <v>-423.15030000000002</v>
      </c>
      <c r="K4062">
        <v>1.1235980000000001</v>
      </c>
      <c r="L4062">
        <v>40.740879999999997</v>
      </c>
      <c r="M4062">
        <v>3.4600760000000001E-2</v>
      </c>
      <c r="N4062">
        <v>-1.407748E-2</v>
      </c>
      <c r="O4062">
        <v>-0.99930209999999997</v>
      </c>
      <c r="P4062">
        <v>0.13920070000000001</v>
      </c>
      <c r="Q4062">
        <v>0.20898130000000001</v>
      </c>
      <c r="R4062">
        <v>-0.96796199999999999</v>
      </c>
      <c r="S4062">
        <v>1.5</v>
      </c>
      <c r="T4062">
        <v>0.1700921</v>
      </c>
      <c r="U4062">
        <v>-2.850006</v>
      </c>
      <c r="V4062">
        <v>-0.1068002</v>
      </c>
      <c r="W4062">
        <v>0.2220839</v>
      </c>
      <c r="X4062">
        <v>0.96916069999999999</v>
      </c>
      <c r="Y4062">
        <v>-0.4339094</v>
      </c>
      <c r="Z4062">
        <v>-6.7057740000000005E-2</v>
      </c>
      <c r="AA4062">
        <v>0.89845750000000002</v>
      </c>
      <c r="AB4062">
        <v>27</v>
      </c>
      <c r="AC4062">
        <v>20.547899999999998</v>
      </c>
      <c r="AD4062">
        <v>2.3313950000000001</v>
      </c>
      <c r="AE4062">
        <v>-38.789520999999901</v>
      </c>
      <c r="AF4062">
        <v>-19.1393240794029</v>
      </c>
      <c r="AG4062">
        <v>2.3313950000000001</v>
      </c>
      <c r="AH4062">
        <v>39.366285421001201</v>
      </c>
      <c r="AI4062">
        <v>86.951202952341106</v>
      </c>
      <c r="AJ4062">
        <v>115.928357060669</v>
      </c>
      <c r="AK4062">
        <v>43.834387833186099</v>
      </c>
      <c r="AL4062">
        <v>77.168540011229894</v>
      </c>
      <c r="AM4062">
        <v>96.288543934734406</v>
      </c>
      <c r="AN4062">
        <v>1.00000000189186</v>
      </c>
    </row>
    <row r="4063" spans="1:40" x14ac:dyDescent="0.25">
      <c r="A4063" t="str">
        <f>"20190303170851671"</f>
        <v>20190303170851671</v>
      </c>
      <c r="B4063" t="str">
        <f>"1551604131657352"</f>
        <v>1551604131657352</v>
      </c>
      <c r="C4063" t="s">
        <v>40</v>
      </c>
      <c r="D4063">
        <v>4.6519259999999996</v>
      </c>
      <c r="E4063">
        <v>0.3644964</v>
      </c>
      <c r="F4063" t="s">
        <v>96</v>
      </c>
      <c r="G4063">
        <v>-402.53460000000001</v>
      </c>
      <c r="H4063">
        <v>3.46495</v>
      </c>
      <c r="I4063">
        <v>1.9520489999999999</v>
      </c>
      <c r="J4063">
        <v>-423.13810000000001</v>
      </c>
      <c r="K4063">
        <v>1.123626</v>
      </c>
      <c r="L4063">
        <v>40.481900000000003</v>
      </c>
      <c r="M4063">
        <v>3.7584520000000003E-2</v>
      </c>
      <c r="N4063">
        <v>-1.407722E-2</v>
      </c>
      <c r="O4063">
        <v>-0.99919409999999997</v>
      </c>
      <c r="P4063">
        <v>0.14126069999999999</v>
      </c>
      <c r="Q4063">
        <v>0.20968529999999999</v>
      </c>
      <c r="R4063">
        <v>-0.96751089999999995</v>
      </c>
      <c r="S4063">
        <v>1.5119629999999999</v>
      </c>
      <c r="T4063">
        <v>0.1717137</v>
      </c>
      <c r="U4063">
        <v>-2.8447879999999999</v>
      </c>
      <c r="V4063">
        <v>-0.10599160000000001</v>
      </c>
      <c r="W4063">
        <v>0.22278400000000001</v>
      </c>
      <c r="X4063">
        <v>0.96908879999999997</v>
      </c>
      <c r="Y4063">
        <v>-0.4348361</v>
      </c>
      <c r="Z4063">
        <v>-6.7566119999999993E-2</v>
      </c>
      <c r="AA4063">
        <v>0.89797130000000003</v>
      </c>
      <c r="AB4063">
        <v>27</v>
      </c>
      <c r="AC4063">
        <v>20.6035</v>
      </c>
      <c r="AD4063">
        <v>2.3413240000000002</v>
      </c>
      <c r="AE4063">
        <v>-38.529851000000001</v>
      </c>
      <c r="AF4063">
        <v>-19.085865441654501</v>
      </c>
      <c r="AG4063">
        <v>2.3413240000000002</v>
      </c>
      <c r="AH4063">
        <v>39.164611793072403</v>
      </c>
      <c r="AI4063">
        <v>86.923883308433602</v>
      </c>
      <c r="AJ4063">
        <v>115.981097330746</v>
      </c>
      <c r="AK4063">
        <v>43.630481026823297</v>
      </c>
      <c r="AL4063">
        <v>77.127396684089305</v>
      </c>
      <c r="AM4063">
        <v>96.241769016609396</v>
      </c>
      <c r="AN4063">
        <v>1.0000000161059901</v>
      </c>
    </row>
    <row r="4064" spans="1:40" x14ac:dyDescent="0.25">
      <c r="A4064" t="str">
        <f>"20190303170851700"</f>
        <v>20190303170851700</v>
      </c>
      <c r="B4064" t="str">
        <f>"1551604131687607"</f>
        <v>1551604131687607</v>
      </c>
      <c r="C4064" t="s">
        <v>40</v>
      </c>
      <c r="D4064">
        <v>4.6466669999999999</v>
      </c>
      <c r="E4064">
        <v>0.36399599999999999</v>
      </c>
      <c r="F4064" t="s">
        <v>96</v>
      </c>
      <c r="G4064">
        <v>-402.4991</v>
      </c>
      <c r="H4064">
        <v>3.5174340000000002</v>
      </c>
      <c r="I4064">
        <v>1.95241</v>
      </c>
      <c r="J4064">
        <v>-423.11950000000002</v>
      </c>
      <c r="K4064">
        <v>1.123677</v>
      </c>
      <c r="L4064">
        <v>40.119959999999999</v>
      </c>
      <c r="M4064">
        <v>4.1834360000000001E-2</v>
      </c>
      <c r="N4064">
        <v>-1.4076959999999999E-2</v>
      </c>
      <c r="O4064">
        <v>-0.99902550000000001</v>
      </c>
      <c r="P4064">
        <v>0.145623</v>
      </c>
      <c r="Q4064">
        <v>0.21107970000000001</v>
      </c>
      <c r="R4064">
        <v>-0.96656059999999999</v>
      </c>
      <c r="S4064">
        <v>1.5214840000000001</v>
      </c>
      <c r="T4064">
        <v>0.17646770000000001</v>
      </c>
      <c r="U4064">
        <v>-2.840363</v>
      </c>
      <c r="V4064">
        <v>-0.1062835</v>
      </c>
      <c r="W4064">
        <v>0.2241611</v>
      </c>
      <c r="X4064">
        <v>0.96873920000000002</v>
      </c>
      <c r="Y4064">
        <v>-0.43388520000000003</v>
      </c>
      <c r="Z4064">
        <v>-6.9062589999999993E-2</v>
      </c>
      <c r="AA4064">
        <v>0.89831729999999999</v>
      </c>
      <c r="AB4064">
        <v>27</v>
      </c>
      <c r="AC4064">
        <v>20.6204</v>
      </c>
      <c r="AD4064">
        <v>2.3937569999999999</v>
      </c>
      <c r="AE4064">
        <v>-38.167549999999999</v>
      </c>
      <c r="AF4064">
        <v>-18.947780509404001</v>
      </c>
      <c r="AG4064">
        <v>2.3937569999999999</v>
      </c>
      <c r="AH4064">
        <v>38.878482039738699</v>
      </c>
      <c r="AI4064">
        <v>86.832077046419101</v>
      </c>
      <c r="AJ4064">
        <v>115.982708634536</v>
      </c>
      <c r="AK4064">
        <v>43.316103524230797</v>
      </c>
      <c r="AL4064">
        <v>77.046447383614606</v>
      </c>
      <c r="AM4064">
        <v>96.261063318885107</v>
      </c>
      <c r="AN4064">
        <v>1.0000000093710499</v>
      </c>
    </row>
    <row r="4065" spans="1:40" x14ac:dyDescent="0.25">
      <c r="A4065" t="str">
        <f>"20190303170851727"</f>
        <v>20190303170851727</v>
      </c>
      <c r="B4065" t="str">
        <f>"1551604131717863"</f>
        <v>1551604131717863</v>
      </c>
      <c r="C4065" t="s">
        <v>40</v>
      </c>
      <c r="D4065">
        <v>4.6662670000000004</v>
      </c>
      <c r="E4065">
        <v>0.3637338</v>
      </c>
      <c r="F4065" t="s">
        <v>96</v>
      </c>
      <c r="G4065">
        <v>-402.40039999999999</v>
      </c>
      <c r="H4065">
        <v>3.571561</v>
      </c>
      <c r="I4065">
        <v>1.9534149999999999</v>
      </c>
      <c r="J4065">
        <v>-423.1019</v>
      </c>
      <c r="K4065">
        <v>1.123704</v>
      </c>
      <c r="L4065">
        <v>39.800809999999998</v>
      </c>
      <c r="M4065">
        <v>4.5640060000000003E-2</v>
      </c>
      <c r="N4065">
        <v>-1.4076429999999999E-2</v>
      </c>
      <c r="O4065">
        <v>-0.99885889999999999</v>
      </c>
      <c r="P4065">
        <v>0.1488727</v>
      </c>
      <c r="Q4065">
        <v>0.2107289</v>
      </c>
      <c r="R4065">
        <v>-0.9661421</v>
      </c>
      <c r="S4065">
        <v>1.537628</v>
      </c>
      <c r="T4065">
        <v>0.1816632</v>
      </c>
      <c r="U4065">
        <v>-2.8324579999999999</v>
      </c>
      <c r="V4065">
        <v>-0.10586039999999999</v>
      </c>
      <c r="W4065">
        <v>0.22380610000000001</v>
      </c>
      <c r="X4065">
        <v>0.96886760000000005</v>
      </c>
      <c r="Y4065">
        <v>-0.43541170000000001</v>
      </c>
      <c r="Z4065">
        <v>-7.0693930000000002E-2</v>
      </c>
      <c r="AA4065">
        <v>0.89745140000000001</v>
      </c>
      <c r="AB4065">
        <v>27</v>
      </c>
      <c r="AC4065">
        <v>20.701499999999999</v>
      </c>
      <c r="AD4065">
        <v>2.4478569999999999</v>
      </c>
      <c r="AE4065">
        <v>-37.847394999999999</v>
      </c>
      <c r="AF4065">
        <v>-18.8915680457308</v>
      </c>
      <c r="AG4065">
        <v>2.4478569999999999</v>
      </c>
      <c r="AH4065">
        <v>38.628482904202002</v>
      </c>
      <c r="AI4065">
        <v>86.741889857949303</v>
      </c>
      <c r="AJ4065">
        <v>116.061314357665</v>
      </c>
      <c r="AK4065">
        <v>43.070210570638601</v>
      </c>
      <c r="AL4065">
        <v>77.067317652574303</v>
      </c>
      <c r="AM4065">
        <v>96.235515699032405</v>
      </c>
      <c r="AN4065">
        <v>1.0000000105075599</v>
      </c>
    </row>
    <row r="4066" spans="1:40" x14ac:dyDescent="0.25">
      <c r="A4066" t="str">
        <f>"20190303170851749"</f>
        <v>20190303170851749</v>
      </c>
      <c r="B4066" t="str">
        <f>"1551604131738054"</f>
        <v>1551604131738054</v>
      </c>
      <c r="C4066" t="s">
        <v>40</v>
      </c>
      <c r="D4066">
        <v>4.6523250000000003</v>
      </c>
      <c r="E4066">
        <v>0.3635813</v>
      </c>
      <c r="F4066" t="s">
        <v>96</v>
      </c>
      <c r="G4066">
        <v>-402.34399999999999</v>
      </c>
      <c r="H4066">
        <v>3.5753560000000002</v>
      </c>
      <c r="I4066">
        <v>1.9539869999999999</v>
      </c>
      <c r="J4066">
        <v>-423.0865</v>
      </c>
      <c r="K4066">
        <v>1.123731</v>
      </c>
      <c r="L4066">
        <v>39.540619999999997</v>
      </c>
      <c r="M4066">
        <v>4.8797710000000001E-2</v>
      </c>
      <c r="N4066">
        <v>-1.407592E-2</v>
      </c>
      <c r="O4066">
        <v>-0.99870939999999997</v>
      </c>
      <c r="P4066">
        <v>0.15093409999999999</v>
      </c>
      <c r="Q4066">
        <v>0.21082509999999999</v>
      </c>
      <c r="R4066">
        <v>-0.96580109999999997</v>
      </c>
      <c r="S4066">
        <v>1.550171</v>
      </c>
      <c r="T4066">
        <v>0.18308440000000001</v>
      </c>
      <c r="U4066">
        <v>-2.826355</v>
      </c>
      <c r="V4066">
        <v>-0.1048767</v>
      </c>
      <c r="W4066">
        <v>0.2239022</v>
      </c>
      <c r="X4066">
        <v>0.96895240000000005</v>
      </c>
      <c r="Y4066">
        <v>-0.43643280000000001</v>
      </c>
      <c r="Z4066">
        <v>-7.1146150000000005E-2</v>
      </c>
      <c r="AA4066">
        <v>0.89691949999999998</v>
      </c>
      <c r="AB4066">
        <v>27</v>
      </c>
      <c r="AC4066">
        <v>20.7425</v>
      </c>
      <c r="AD4066">
        <v>2.4516249999999999</v>
      </c>
      <c r="AE4066">
        <v>-37.586632999999999</v>
      </c>
      <c r="AF4066">
        <v>-18.822077567962101</v>
      </c>
      <c r="AG4066">
        <v>2.4516249999999999</v>
      </c>
      <c r="AH4066">
        <v>38.428808231782298</v>
      </c>
      <c r="AI4066">
        <v>86.720914251794795</v>
      </c>
      <c r="AJ4066">
        <v>116.095188648538</v>
      </c>
      <c r="AK4066">
        <v>42.860872263990501</v>
      </c>
      <c r="AL4066">
        <v>77.061668486950893</v>
      </c>
      <c r="AM4066">
        <v>96.177486277926306</v>
      </c>
      <c r="AN4066">
        <v>1.00000003541674</v>
      </c>
    </row>
    <row r="4067" spans="1:40" x14ac:dyDescent="0.25">
      <c r="A4067" t="str">
        <f>"20190303170851772"</f>
        <v>20190303170851772</v>
      </c>
      <c r="B4067" t="str">
        <f>"1551604131757575"</f>
        <v>1551604131757575</v>
      </c>
      <c r="C4067" t="s">
        <v>40</v>
      </c>
      <c r="D4067">
        <v>4.6510809999999996</v>
      </c>
      <c r="E4067">
        <v>0.3633805</v>
      </c>
      <c r="F4067" t="s">
        <v>96</v>
      </c>
      <c r="G4067">
        <v>-402.34809999999999</v>
      </c>
      <c r="H4067">
        <v>3.5800860000000001</v>
      </c>
      <c r="I4067">
        <v>1.953945</v>
      </c>
      <c r="J4067">
        <v>-423.07040000000001</v>
      </c>
      <c r="K4067">
        <v>1.1237619999999999</v>
      </c>
      <c r="L4067">
        <v>39.28342</v>
      </c>
      <c r="M4067">
        <v>5.1979079999999997E-2</v>
      </c>
      <c r="N4067">
        <v>-1.407578E-2</v>
      </c>
      <c r="O4067">
        <v>-0.99854900000000002</v>
      </c>
      <c r="P4067">
        <v>0.1536951</v>
      </c>
      <c r="Q4067">
        <v>0.21085880000000001</v>
      </c>
      <c r="R4067">
        <v>-0.9653583</v>
      </c>
      <c r="S4067">
        <v>1.5573429999999999</v>
      </c>
      <c r="T4067">
        <v>0.18445790000000001</v>
      </c>
      <c r="U4067">
        <v>-2.8225709999999999</v>
      </c>
      <c r="V4067">
        <v>-0.10457660000000001</v>
      </c>
      <c r="W4067">
        <v>0.2239302</v>
      </c>
      <c r="X4067">
        <v>0.96897829999999996</v>
      </c>
      <c r="Y4067">
        <v>-0.43580970000000002</v>
      </c>
      <c r="Z4067">
        <v>-7.1590710000000002E-2</v>
      </c>
      <c r="AA4067">
        <v>0.89718709999999902</v>
      </c>
      <c r="AB4067">
        <v>27</v>
      </c>
      <c r="AC4067">
        <v>20.722300000000001</v>
      </c>
      <c r="AD4067">
        <v>2.456324</v>
      </c>
      <c r="AE4067">
        <v>-37.329475000000002</v>
      </c>
      <c r="AF4067">
        <v>-18.691870350436599</v>
      </c>
      <c r="AG4067">
        <v>2.456324</v>
      </c>
      <c r="AH4067">
        <v>38.229700436994598</v>
      </c>
      <c r="AI4067">
        <v>86.696457513942306</v>
      </c>
      <c r="AJ4067">
        <v>116.05566601737</v>
      </c>
      <c r="AK4067">
        <v>42.625456481929298</v>
      </c>
      <c r="AL4067">
        <v>77.060021584370304</v>
      </c>
      <c r="AM4067">
        <v>96.159782382138701</v>
      </c>
      <c r="AN4067">
        <v>0.999999972805244</v>
      </c>
    </row>
    <row r="4068" spans="1:40" x14ac:dyDescent="0.25">
      <c r="A4068" t="str">
        <f>"20190303170851796"</f>
        <v>20190303170851796</v>
      </c>
      <c r="B4068" t="str">
        <f>"1551604131787830"</f>
        <v>1551604131787830</v>
      </c>
      <c r="C4068" t="s">
        <v>40</v>
      </c>
      <c r="D4068">
        <v>4.8922999999999996</v>
      </c>
      <c r="E4068">
        <v>0.39675519999999997</v>
      </c>
      <c r="F4068" t="s">
        <v>96</v>
      </c>
      <c r="G4068">
        <v>-402.30840000000001</v>
      </c>
      <c r="H4068">
        <v>3.5801940000000001</v>
      </c>
      <c r="I4068">
        <v>1.9543509999999999</v>
      </c>
      <c r="J4068">
        <v>-423.05110000000002</v>
      </c>
      <c r="K4068">
        <v>1.1237950000000001</v>
      </c>
      <c r="L4068">
        <v>38.993099999999998</v>
      </c>
      <c r="M4068">
        <v>5.5627820000000001E-2</v>
      </c>
      <c r="N4068">
        <v>-1.407601E-2</v>
      </c>
      <c r="O4068">
        <v>-0.99835249999999998</v>
      </c>
      <c r="P4068">
        <v>0.15640509999999999</v>
      </c>
      <c r="Q4068">
        <v>0.2114694</v>
      </c>
      <c r="R4068">
        <v>-0.96478960000000002</v>
      </c>
      <c r="S4068">
        <v>1.5671389999999901</v>
      </c>
      <c r="T4068">
        <v>0.18541340000000001</v>
      </c>
      <c r="U4068">
        <v>-2.8176570000000001</v>
      </c>
      <c r="V4068">
        <v>-0.10378510000000001</v>
      </c>
      <c r="W4068">
        <v>0.22453519999999999</v>
      </c>
      <c r="X4068">
        <v>0.96892339999999999</v>
      </c>
      <c r="Y4068">
        <v>-0.4355599</v>
      </c>
      <c r="Z4068">
        <v>-7.1902649999999999E-2</v>
      </c>
      <c r="AA4068">
        <v>0.89728339999999995</v>
      </c>
      <c r="AB4068">
        <v>27</v>
      </c>
      <c r="AC4068">
        <v>20.742699999999999</v>
      </c>
      <c r="AD4068">
        <v>2.4563990000000002</v>
      </c>
      <c r="AE4068">
        <v>-37.038749000000003</v>
      </c>
      <c r="AF4068">
        <v>-18.587750803759299</v>
      </c>
      <c r="AG4068">
        <v>2.4563990000000002</v>
      </c>
      <c r="AH4068">
        <v>38.008112258569803</v>
      </c>
      <c r="AI4068">
        <v>86.677284946932701</v>
      </c>
      <c r="AJ4068">
        <v>116.06080339607</v>
      </c>
      <c r="AK4068">
        <v>42.3810685737146</v>
      </c>
      <c r="AL4068">
        <v>77.024451958317997</v>
      </c>
      <c r="AM4068">
        <v>96.113859517208994</v>
      </c>
      <c r="AN4068">
        <v>0.99999997904430404</v>
      </c>
    </row>
    <row r="4069" spans="1:40" x14ac:dyDescent="0.25">
      <c r="A4069" t="str">
        <f>"20190303170851831"</f>
        <v>20190303170851831</v>
      </c>
      <c r="B4069" t="str">
        <f>"1551604131818086"</f>
        <v>1551604131818086</v>
      </c>
      <c r="C4069" t="s">
        <v>40</v>
      </c>
      <c r="D4069">
        <v>4.8739530000000002</v>
      </c>
      <c r="E4069">
        <v>0.45614120000000002</v>
      </c>
      <c r="F4069" t="s">
        <v>96</v>
      </c>
      <c r="G4069">
        <v>-405.47699999999998</v>
      </c>
      <c r="H4069">
        <v>1.494794</v>
      </c>
      <c r="I4069">
        <v>0.62509159999999997</v>
      </c>
      <c r="J4069">
        <v>-423.0213</v>
      </c>
      <c r="K4069">
        <v>1.1238570000000001</v>
      </c>
      <c r="L4069">
        <v>38.571840000000002</v>
      </c>
      <c r="M4069">
        <v>6.1038429999999998E-2</v>
      </c>
      <c r="N4069">
        <v>-1.407622E-2</v>
      </c>
      <c r="O4069">
        <v>-0.99803609999999998</v>
      </c>
      <c r="P4069">
        <v>0.1603501</v>
      </c>
      <c r="Q4069">
        <v>0.21262539999999999</v>
      </c>
      <c r="R4069">
        <v>-0.9638873</v>
      </c>
      <c r="S4069">
        <v>1.3232120000000001</v>
      </c>
      <c r="T4069">
        <v>2.7931810000000001E-2</v>
      </c>
      <c r="U4069">
        <v>-2.888855</v>
      </c>
      <c r="V4069">
        <v>-0.1025461</v>
      </c>
      <c r="W4069">
        <v>0.22568270000000001</v>
      </c>
      <c r="X4069">
        <v>0.96878869999999895</v>
      </c>
      <c r="Y4069">
        <v>-0.3600373</v>
      </c>
      <c r="Z4069">
        <v>-2.2762250000000001E-2</v>
      </c>
      <c r="AA4069">
        <v>0.93266020000000005</v>
      </c>
      <c r="AB4069">
        <v>27</v>
      </c>
      <c r="AC4069">
        <v>17.5443</v>
      </c>
      <c r="AD4069">
        <v>0.37093700000000002</v>
      </c>
      <c r="AE4069">
        <v>-37.946748399999997</v>
      </c>
      <c r="AF4069">
        <v>-15.1939449596573</v>
      </c>
      <c r="AG4069">
        <v>0.37093700000000002</v>
      </c>
      <c r="AH4069">
        <v>38.943896276095003</v>
      </c>
      <c r="AI4069">
        <v>89.491600743038305</v>
      </c>
      <c r="AJ4069">
        <v>111.313222329193</v>
      </c>
      <c r="AK4069">
        <v>41.8045525613935</v>
      </c>
      <c r="AL4069">
        <v>76.956972912770397</v>
      </c>
      <c r="AM4069">
        <v>96.042248265111596</v>
      </c>
      <c r="AN4069">
        <v>0.99999996447609396</v>
      </c>
    </row>
    <row r="4070" spans="1:40" x14ac:dyDescent="0.25">
      <c r="A4070" t="str">
        <f>"20190303170851858"</f>
        <v>20190303170851858</v>
      </c>
      <c r="B4070" t="str">
        <f>"1551604131847616"</f>
        <v>1551604131847616</v>
      </c>
      <c r="C4070" t="s">
        <v>40</v>
      </c>
      <c r="D4070">
        <v>4.8657899999999996</v>
      </c>
      <c r="E4070">
        <v>0.4684412</v>
      </c>
      <c r="F4070" t="s">
        <v>46</v>
      </c>
      <c r="G4070">
        <v>-410.29430000000002</v>
      </c>
      <c r="H4070">
        <v>-0.05</v>
      </c>
      <c r="I4070">
        <v>-4.7297969999999996</v>
      </c>
      <c r="J4070">
        <v>-422.99829999999997</v>
      </c>
      <c r="K4070">
        <v>1.1239110000000001</v>
      </c>
      <c r="L4070">
        <v>38.269590000000001</v>
      </c>
      <c r="M4070">
        <v>6.5034519999999998E-2</v>
      </c>
      <c r="N4070">
        <v>-1.4076679999999999E-2</v>
      </c>
      <c r="O4070">
        <v>-0.9977838</v>
      </c>
      <c r="P4070">
        <v>0.16220519999999999</v>
      </c>
      <c r="Q4070">
        <v>0.2117416</v>
      </c>
      <c r="R4070">
        <v>-0.96377109999999999</v>
      </c>
      <c r="S4070">
        <v>0.87713619999999903</v>
      </c>
      <c r="T4070">
        <v>-8.0901269999999997E-2</v>
      </c>
      <c r="U4070">
        <v>-2.9843139999999999</v>
      </c>
      <c r="V4070">
        <v>-0.10053380000000001</v>
      </c>
      <c r="W4070">
        <v>0.22480559999999999</v>
      </c>
      <c r="X4070">
        <v>0.9692035</v>
      </c>
      <c r="Y4070">
        <v>-0.21890789999999999</v>
      </c>
      <c r="Z4070">
        <v>1.2189129999999999E-2</v>
      </c>
      <c r="AA4070">
        <v>0.97566940000000002</v>
      </c>
      <c r="AB4070">
        <v>27</v>
      </c>
      <c r="AC4070">
        <v>12.703999999999899</v>
      </c>
      <c r="AD4070">
        <v>-1.1739109999999999</v>
      </c>
      <c r="AE4070">
        <v>-42.999386999999999</v>
      </c>
      <c r="AF4070">
        <v>-9.87361084502915</v>
      </c>
      <c r="AG4070">
        <v>-1.1739109999999999</v>
      </c>
      <c r="AH4070">
        <v>43.704661130708097</v>
      </c>
      <c r="AI4070">
        <v>91.500795184989798</v>
      </c>
      <c r="AJ4070">
        <v>102.730363393285</v>
      </c>
      <c r="AK4070">
        <v>44.821464307907497</v>
      </c>
      <c r="AL4070">
        <v>77.008553168413101</v>
      </c>
      <c r="AM4070">
        <v>95.922013142862895</v>
      </c>
      <c r="AN4070">
        <v>1.00000001357302</v>
      </c>
    </row>
    <row r="4071" spans="1:40" x14ac:dyDescent="0.25">
      <c r="A4071" t="str">
        <f>"20190303170851883"</f>
        <v>20190303170851883</v>
      </c>
      <c r="B4071" t="str">
        <f>"1551604131877873"</f>
        <v>1551604131877873</v>
      </c>
      <c r="C4071" t="s">
        <v>40</v>
      </c>
      <c r="D4071">
        <v>4.8645259999999997</v>
      </c>
      <c r="E4071">
        <v>0.47173900000000002</v>
      </c>
      <c r="F4071" t="s">
        <v>59</v>
      </c>
      <c r="G4071">
        <v>-415.21120000000002</v>
      </c>
      <c r="H4071">
        <v>7.9986550000000003E-2</v>
      </c>
      <c r="I4071">
        <v>8.6365739999999995</v>
      </c>
      <c r="J4071">
        <v>-422.97359999999998</v>
      </c>
      <c r="K4071">
        <v>1.123953</v>
      </c>
      <c r="L4071">
        <v>37.963650000000001</v>
      </c>
      <c r="M4071">
        <v>6.9170270000000006E-2</v>
      </c>
      <c r="N4071">
        <v>-1.407743E-2</v>
      </c>
      <c r="O4071">
        <v>-0.99750550000000004</v>
      </c>
      <c r="P4071">
        <v>0.16645789999999999</v>
      </c>
      <c r="Q4071">
        <v>0.20906269999999999</v>
      </c>
      <c r="R4071">
        <v>-0.96363100000000002</v>
      </c>
      <c r="S4071">
        <v>0.78918459999999901</v>
      </c>
      <c r="T4071">
        <v>-0.10579710000000001</v>
      </c>
      <c r="U4071">
        <v>-3.003174</v>
      </c>
      <c r="V4071">
        <v>-0.1007656</v>
      </c>
      <c r="W4071">
        <v>0.2221215</v>
      </c>
      <c r="X4071">
        <v>0.9697981</v>
      </c>
      <c r="Y4071">
        <v>-0.186526</v>
      </c>
      <c r="Z4071">
        <v>2.0244829999999998E-2</v>
      </c>
      <c r="AA4071">
        <v>0.98224140000000004</v>
      </c>
      <c r="AB4071">
        <v>26</v>
      </c>
      <c r="AC4071">
        <v>7.7623999999999498</v>
      </c>
      <c r="AD4071">
        <v>-1.0439664500000001</v>
      </c>
      <c r="AE4071">
        <v>-29.327076000000002</v>
      </c>
      <c r="AF4071">
        <v>-5.7082816630897701</v>
      </c>
      <c r="AG4071">
        <v>-1.0439664500000001</v>
      </c>
      <c r="AH4071">
        <v>29.758560025826</v>
      </c>
      <c r="AI4071">
        <v>91.973236306863797</v>
      </c>
      <c r="AJ4071">
        <v>100.85856855741601</v>
      </c>
      <c r="AK4071">
        <v>30.319073869506401</v>
      </c>
      <c r="AL4071">
        <v>77.166330620392799</v>
      </c>
      <c r="AM4071">
        <v>95.931956867696499</v>
      </c>
      <c r="AN4071">
        <v>1.0000000108346001</v>
      </c>
    </row>
    <row r="4072" spans="1:40" x14ac:dyDescent="0.25">
      <c r="A4072" t="str">
        <f>"20190303170851903"</f>
        <v>20190303170851903</v>
      </c>
      <c r="B4072" t="str">
        <f>"1551604131897394"</f>
        <v>1551604131897394</v>
      </c>
      <c r="C4072" t="s">
        <v>40</v>
      </c>
      <c r="D4072">
        <v>4.8704080000000003</v>
      </c>
      <c r="E4072">
        <v>0.47366580000000003</v>
      </c>
      <c r="F4072" t="s">
        <v>59</v>
      </c>
      <c r="G4072">
        <v>-415.82589999999999</v>
      </c>
      <c r="H4072" s="1">
        <v>-1.3545470000000001E-5</v>
      </c>
      <c r="I4072">
        <v>10.307930000000001</v>
      </c>
      <c r="J4072">
        <v>-422.95440000000002</v>
      </c>
      <c r="K4072">
        <v>1.123988</v>
      </c>
      <c r="L4072">
        <v>37.73648</v>
      </c>
      <c r="M4072">
        <v>7.2319919999999996E-2</v>
      </c>
      <c r="N4072">
        <v>-1.407825E-2</v>
      </c>
      <c r="O4072">
        <v>-0.99728229999999995</v>
      </c>
      <c r="P4072">
        <v>0.1700942</v>
      </c>
      <c r="Q4072">
        <v>0.208536</v>
      </c>
      <c r="R4072">
        <v>-0.96311009999999997</v>
      </c>
      <c r="S4072">
        <v>0.7767944</v>
      </c>
      <c r="T4072">
        <v>-0.1221498</v>
      </c>
      <c r="U4072">
        <v>-3.0055540000000001</v>
      </c>
      <c r="V4072">
        <v>-0.1013781</v>
      </c>
      <c r="W4072">
        <v>0.22158220000000001</v>
      </c>
      <c r="X4072">
        <v>0.96985759999999999</v>
      </c>
      <c r="Y4072">
        <v>-0.17940130000000001</v>
      </c>
      <c r="Z4072">
        <v>2.5530110000000002E-2</v>
      </c>
      <c r="AA4072">
        <v>0.9834446</v>
      </c>
      <c r="AB4072">
        <v>26</v>
      </c>
      <c r="AC4072">
        <v>7.12850000000003</v>
      </c>
      <c r="AD4072">
        <v>-1.1240015454700001</v>
      </c>
      <c r="AE4072">
        <v>-27.428550000000001</v>
      </c>
      <c r="AF4072">
        <v>-5.1179526442453698</v>
      </c>
      <c r="AG4072">
        <v>-1.1240015454700001</v>
      </c>
      <c r="AH4072">
        <v>27.8285216769827</v>
      </c>
      <c r="AI4072">
        <v>92.274825168449397</v>
      </c>
      <c r="AJ4072">
        <v>100.420839058396</v>
      </c>
      <c r="AK4072">
        <v>28.3175464592053</v>
      </c>
      <c r="AL4072">
        <v>77.1980194841952</v>
      </c>
      <c r="AM4072">
        <v>95.9673911352033</v>
      </c>
      <c r="AN4072">
        <v>0.999999977397104</v>
      </c>
    </row>
    <row r="4073" spans="1:40" x14ac:dyDescent="0.25">
      <c r="A4073" t="str">
        <f>"20190303170851925"</f>
        <v>20190303170851925</v>
      </c>
      <c r="B4073" t="str">
        <f>"1551604131917889"</f>
        <v>1551604131917889</v>
      </c>
      <c r="C4073" t="s">
        <v>40</v>
      </c>
      <c r="D4073">
        <v>4.8886989999999999</v>
      </c>
      <c r="E4073">
        <v>0.47487770000000001</v>
      </c>
      <c r="F4073" t="s">
        <v>59</v>
      </c>
      <c r="G4073">
        <v>-416.21109999999999</v>
      </c>
      <c r="H4073" s="1">
        <v>-1.344986E-5</v>
      </c>
      <c r="I4073">
        <v>11.519920000000001</v>
      </c>
      <c r="J4073">
        <v>-422.93110000000001</v>
      </c>
      <c r="K4073">
        <v>1.124045</v>
      </c>
      <c r="L4073">
        <v>37.4726</v>
      </c>
      <c r="M4073">
        <v>7.6069579999999998E-2</v>
      </c>
      <c r="N4073">
        <v>-1.407974E-2</v>
      </c>
      <c r="O4073">
        <v>-0.99700310000000003</v>
      </c>
      <c r="P4073">
        <v>0.17359040000000001</v>
      </c>
      <c r="Q4073">
        <v>0.20992350000000001</v>
      </c>
      <c r="R4073">
        <v>-0.96218419999999905</v>
      </c>
      <c r="S4073">
        <v>0.77325440000000001</v>
      </c>
      <c r="T4073">
        <v>-0.12888930000000001</v>
      </c>
      <c r="U4073">
        <v>-3.006256</v>
      </c>
      <c r="V4073">
        <v>-0.1013165</v>
      </c>
      <c r="W4073">
        <v>0.2229527</v>
      </c>
      <c r="X4073">
        <v>0.96955000000000002</v>
      </c>
      <c r="Y4073">
        <v>-0.174543</v>
      </c>
      <c r="Z4073">
        <v>2.7707269999999999E-2</v>
      </c>
      <c r="AA4073">
        <v>0.98425969999999996</v>
      </c>
      <c r="AB4073">
        <v>26</v>
      </c>
      <c r="AC4073">
        <v>6.7200000000000202</v>
      </c>
      <c r="AD4073">
        <v>-1.1240584498599999</v>
      </c>
      <c r="AE4073">
        <v>-25.952679999999901</v>
      </c>
      <c r="AF4073">
        <v>-4.7178256821825197</v>
      </c>
      <c r="AG4073">
        <v>-1.1240584498599999</v>
      </c>
      <c r="AH4073">
        <v>26.342394605316102</v>
      </c>
      <c r="AI4073">
        <v>92.405167574854701</v>
      </c>
      <c r="AJ4073">
        <v>100.153813179886</v>
      </c>
      <c r="AK4073">
        <v>26.785129085153802</v>
      </c>
      <c r="AL4073">
        <v>77.117482225176602</v>
      </c>
      <c r="AM4073">
        <v>95.965669765092301</v>
      </c>
      <c r="AN4073">
        <v>1.0000000710547601</v>
      </c>
    </row>
    <row r="4074" spans="1:40" x14ac:dyDescent="0.25">
      <c r="A4074" t="str">
        <f>"20190303170851968"</f>
        <v>20190303170851968</v>
      </c>
      <c r="B4074" t="str">
        <f>"1551604131957906"</f>
        <v>1551604131957906</v>
      </c>
      <c r="C4074" t="s">
        <v>40</v>
      </c>
      <c r="D4074">
        <v>4.90334</v>
      </c>
      <c r="E4074">
        <v>0.47678549999999997</v>
      </c>
      <c r="F4074" t="s">
        <v>59</v>
      </c>
      <c r="G4074">
        <v>-416.09219999999999</v>
      </c>
      <c r="H4074" s="1">
        <v>-1.3515909999999999E-5</v>
      </c>
      <c r="I4074">
        <v>10.950799999999999</v>
      </c>
      <c r="J4074">
        <v>-422.88440000000003</v>
      </c>
      <c r="K4074">
        <v>1.1241939999999999</v>
      </c>
      <c r="L4074">
        <v>36.977870000000003</v>
      </c>
      <c r="M4074">
        <v>8.3393690000000006E-2</v>
      </c>
      <c r="N4074">
        <v>-1.408443E-2</v>
      </c>
      <c r="O4074">
        <v>-0.99641729999999995</v>
      </c>
      <c r="P4074">
        <v>0.1781182</v>
      </c>
      <c r="Q4074">
        <v>0.2120823</v>
      </c>
      <c r="R4074">
        <v>-0.96088269999999998</v>
      </c>
      <c r="S4074">
        <v>0.77508540000000004</v>
      </c>
      <c r="T4074">
        <v>-0.1273957</v>
      </c>
      <c r="U4074">
        <v>-3.0058590000000001</v>
      </c>
      <c r="V4074">
        <v>-9.8874589999999998E-2</v>
      </c>
      <c r="W4074">
        <v>0.22509689999999999</v>
      </c>
      <c r="X4074">
        <v>0.96930649999999996</v>
      </c>
      <c r="Y4074">
        <v>-0.16790389999999999</v>
      </c>
      <c r="Z4074">
        <v>2.7223790000000001E-2</v>
      </c>
      <c r="AA4074">
        <v>0.98542739999999995</v>
      </c>
      <c r="AB4074">
        <v>26</v>
      </c>
      <c r="AC4074">
        <v>6.7922000000000304</v>
      </c>
      <c r="AD4074">
        <v>-1.12420751591</v>
      </c>
      <c r="AE4074">
        <v>-26.027069999999998</v>
      </c>
      <c r="AF4074">
        <v>-4.5898102967665197</v>
      </c>
      <c r="AG4074">
        <v>-1.12420751591</v>
      </c>
      <c r="AH4074">
        <v>26.456661116254999</v>
      </c>
      <c r="AI4074">
        <v>92.397405615361293</v>
      </c>
      <c r="AJ4074">
        <v>99.841950616439803</v>
      </c>
      <c r="AK4074">
        <v>26.875362667683</v>
      </c>
      <c r="AL4074">
        <v>76.991422976319299</v>
      </c>
      <c r="AM4074">
        <v>95.8243391530671</v>
      </c>
      <c r="AN4074">
        <v>0.99999994493976196</v>
      </c>
    </row>
    <row r="4075" spans="1:40" x14ac:dyDescent="0.25">
      <c r="A4075" t="str">
        <f>"20190303170851994"</f>
        <v>20190303170851994</v>
      </c>
      <c r="B4075" t="str">
        <f>"1551604131987185"</f>
        <v>1551604131987185</v>
      </c>
      <c r="C4075" t="s">
        <v>40</v>
      </c>
      <c r="D4075">
        <v>4.915324</v>
      </c>
      <c r="E4075">
        <v>0.47779539999999998</v>
      </c>
      <c r="F4075" t="s">
        <v>59</v>
      </c>
      <c r="G4075">
        <v>-415.88060000000002</v>
      </c>
      <c r="H4075" s="1">
        <v>-1.364567E-5</v>
      </c>
      <c r="I4075">
        <v>9.8726289999999999</v>
      </c>
      <c r="J4075">
        <v>-422.85520000000002</v>
      </c>
      <c r="K4075">
        <v>1.1242749999999999</v>
      </c>
      <c r="L4075">
        <v>36.689610000000002</v>
      </c>
      <c r="M4075">
        <v>8.7841849999999999E-2</v>
      </c>
      <c r="N4075">
        <v>-1.408761E-2</v>
      </c>
      <c r="O4075">
        <v>-0.99603489999999995</v>
      </c>
      <c r="P4075">
        <v>0.18210860000000001</v>
      </c>
      <c r="Q4075">
        <v>0.2100997</v>
      </c>
      <c r="R4075">
        <v>-0.96057020000000004</v>
      </c>
      <c r="S4075">
        <v>0.77664180000000005</v>
      </c>
      <c r="T4075">
        <v>-0.12466240000000001</v>
      </c>
      <c r="U4075">
        <v>-3.0056759999999998</v>
      </c>
      <c r="V4075">
        <v>-9.8562150000000001E-2</v>
      </c>
      <c r="W4075">
        <v>0.22310840000000001</v>
      </c>
      <c r="X4075">
        <v>0.96979800000000005</v>
      </c>
      <c r="Y4075">
        <v>-0.16400229999999999</v>
      </c>
      <c r="Z4075">
        <v>2.6336930000000001E-2</v>
      </c>
      <c r="AA4075">
        <v>0.98610830000000005</v>
      </c>
      <c r="AB4075">
        <v>26</v>
      </c>
      <c r="AC4075">
        <v>6.9745999999999997</v>
      </c>
      <c r="AD4075">
        <v>-1.1242886456700001</v>
      </c>
      <c r="AE4075">
        <v>-26.816980999999899</v>
      </c>
      <c r="AF4075">
        <v>-4.5842000686872399</v>
      </c>
      <c r="AG4075">
        <v>-1.1242886456700001</v>
      </c>
      <c r="AH4075">
        <v>27.281107091909501</v>
      </c>
      <c r="AI4075">
        <v>92.327304038934102</v>
      </c>
      <c r="AJ4075">
        <v>99.538625349288296</v>
      </c>
      <c r="AK4075">
        <v>27.686417597601299</v>
      </c>
      <c r="AL4075">
        <v>77.108329936422393</v>
      </c>
      <c r="AM4075">
        <v>95.803137931858103</v>
      </c>
      <c r="AN4075">
        <v>1.00000000818359</v>
      </c>
    </row>
    <row r="4076" spans="1:40" x14ac:dyDescent="0.25">
      <c r="A4076" t="str">
        <f>"20190303170852020"</f>
        <v>20190303170852020</v>
      </c>
      <c r="B4076" t="str">
        <f>"1551604132007681"</f>
        <v>1551604132007681</v>
      </c>
      <c r="C4076" t="s">
        <v>40</v>
      </c>
      <c r="D4076">
        <v>4.9191520000000004</v>
      </c>
      <c r="E4076">
        <v>0.47831849999999998</v>
      </c>
      <c r="F4076" t="s">
        <v>59</v>
      </c>
      <c r="G4076">
        <v>-416.31509999999997</v>
      </c>
      <c r="H4076" s="1">
        <v>-1.348916E-5</v>
      </c>
      <c r="I4076">
        <v>11.49958</v>
      </c>
      <c r="J4076">
        <v>-422.82190000000003</v>
      </c>
      <c r="K4076">
        <v>1.1243529999999999</v>
      </c>
      <c r="L4076">
        <v>36.376919999999998</v>
      </c>
      <c r="M4076">
        <v>9.2823859999999994E-2</v>
      </c>
      <c r="N4076">
        <v>-1.4091090000000001E-2</v>
      </c>
      <c r="O4076">
        <v>-0.995583</v>
      </c>
      <c r="P4076">
        <v>0.1857801</v>
      </c>
      <c r="Q4076">
        <v>0.20973710000000001</v>
      </c>
      <c r="R4076">
        <v>-0.95994599999999997</v>
      </c>
      <c r="S4076">
        <v>0.78009030000000001</v>
      </c>
      <c r="T4076">
        <v>-0.13410259999999999</v>
      </c>
      <c r="U4076">
        <v>-3.0046080000000002</v>
      </c>
      <c r="V4076">
        <v>-9.7449069999999999E-2</v>
      </c>
      <c r="W4076">
        <v>0.22274070000000001</v>
      </c>
      <c r="X4076">
        <v>0.96999500000000005</v>
      </c>
      <c r="Y4076">
        <v>-0.1601882</v>
      </c>
      <c r="Z4076">
        <v>2.9380719999999999E-2</v>
      </c>
      <c r="AA4076">
        <v>0.9866492</v>
      </c>
      <c r="AB4076">
        <v>26</v>
      </c>
      <c r="AC4076">
        <v>6.5068000000000499</v>
      </c>
      <c r="AD4076">
        <v>-1.12436648916</v>
      </c>
      <c r="AE4076">
        <v>-24.87734</v>
      </c>
      <c r="AF4076">
        <v>-4.1613058977591297</v>
      </c>
      <c r="AG4076">
        <v>-1.12436648916</v>
      </c>
      <c r="AH4076">
        <v>25.325537657474499</v>
      </c>
      <c r="AI4076">
        <v>92.5084722993209</v>
      </c>
      <c r="AJ4076">
        <v>99.331041703011607</v>
      </c>
      <c r="AK4076">
        <v>25.6897552424469</v>
      </c>
      <c r="AL4076">
        <v>77.129941591958797</v>
      </c>
      <c r="AM4076">
        <v>95.736884259871701</v>
      </c>
      <c r="AN4076">
        <v>1.00000002035267</v>
      </c>
    </row>
    <row r="4077" spans="1:40" x14ac:dyDescent="0.25">
      <c r="A4077" t="str">
        <f>"20190303170852041"</f>
        <v>20190303170852041</v>
      </c>
      <c r="B4077" t="str">
        <f>"1551604132027201"</f>
        <v>1551604132027201</v>
      </c>
      <c r="C4077" t="s">
        <v>40</v>
      </c>
      <c r="D4077">
        <v>4.9413239999999998</v>
      </c>
      <c r="E4077">
        <v>0.47880080000000003</v>
      </c>
      <c r="F4077" t="s">
        <v>59</v>
      </c>
      <c r="G4077">
        <v>-416.38810000000001</v>
      </c>
      <c r="H4077" s="1">
        <v>-1.3450039999999999E-5</v>
      </c>
      <c r="I4077">
        <v>11.84136</v>
      </c>
      <c r="J4077">
        <v>-422.79419999999999</v>
      </c>
      <c r="K4077">
        <v>1.124412</v>
      </c>
      <c r="L4077">
        <v>36.127960000000002</v>
      </c>
      <c r="M4077">
        <v>9.6894289999999994E-2</v>
      </c>
      <c r="N4077">
        <v>-1.409407E-2</v>
      </c>
      <c r="O4077">
        <v>-0.99519500000000005</v>
      </c>
      <c r="P4077">
        <v>0.18827720000000001</v>
      </c>
      <c r="Q4077">
        <v>0.2107668</v>
      </c>
      <c r="R4077">
        <v>-0.95923389999999997</v>
      </c>
      <c r="S4077">
        <v>0.78741459999999996</v>
      </c>
      <c r="T4077">
        <v>-0.13760810000000001</v>
      </c>
      <c r="U4077">
        <v>-3.0028380000000001</v>
      </c>
      <c r="V4077">
        <v>-9.6064579999999997E-2</v>
      </c>
      <c r="W4077">
        <v>0.22376750000000001</v>
      </c>
      <c r="X4077">
        <v>0.96989669999999895</v>
      </c>
      <c r="Y4077">
        <v>-0.15853680000000001</v>
      </c>
      <c r="Z4077">
        <v>3.05087E-2</v>
      </c>
      <c r="AA4077">
        <v>0.98688160000000003</v>
      </c>
      <c r="AB4077">
        <v>26</v>
      </c>
      <c r="AC4077">
        <v>6.4060999999999799</v>
      </c>
      <c r="AD4077">
        <v>-1.1244254500399999</v>
      </c>
      <c r="AE4077">
        <v>-24.2866</v>
      </c>
      <c r="AF4077">
        <v>-4.01443960669324</v>
      </c>
      <c r="AG4077">
        <v>-1.1244254500399999</v>
      </c>
      <c r="AH4077">
        <v>24.743488991359701</v>
      </c>
      <c r="AI4077">
        <v>92.568380675990696</v>
      </c>
      <c r="AJ4077">
        <v>99.215498235697893</v>
      </c>
      <c r="AK4077">
        <v>25.092235958838401</v>
      </c>
      <c r="AL4077">
        <v>77.069586065199104</v>
      </c>
      <c r="AM4077">
        <v>95.656480257436499</v>
      </c>
      <c r="AN4077">
        <v>0.99999995312885603</v>
      </c>
    </row>
    <row r="4078" spans="1:40" x14ac:dyDescent="0.25">
      <c r="A4078" t="str">
        <f>"20190303170852062"</f>
        <v>20190303170852062</v>
      </c>
      <c r="B4078" t="str">
        <f>"1551604132047696"</f>
        <v>1551604132047696</v>
      </c>
      <c r="C4078" t="s">
        <v>40</v>
      </c>
      <c r="D4078">
        <v>4.8899689999999998</v>
      </c>
      <c r="E4078">
        <v>0.47926990000000003</v>
      </c>
      <c r="F4078" t="s">
        <v>59</v>
      </c>
      <c r="G4078">
        <v>-416.24810000000002</v>
      </c>
      <c r="H4078" s="1">
        <v>-1.3501789999999999E-5</v>
      </c>
      <c r="I4078">
        <v>11.31002</v>
      </c>
      <c r="J4078">
        <v>-422.76769999999999</v>
      </c>
      <c r="K4078">
        <v>1.1244749999999999</v>
      </c>
      <c r="L4078">
        <v>35.898709999999902</v>
      </c>
      <c r="M4078">
        <v>0.1007328</v>
      </c>
      <c r="N4078">
        <v>-1.4097E-2</v>
      </c>
      <c r="O4078">
        <v>-0.99481379999999997</v>
      </c>
      <c r="P4078">
        <v>0.1893234</v>
      </c>
      <c r="Q4078">
        <v>0.2117029</v>
      </c>
      <c r="R4078">
        <v>-0.95882179999999995</v>
      </c>
      <c r="S4078">
        <v>0.79180909999999904</v>
      </c>
      <c r="T4078">
        <v>-0.136009299999999</v>
      </c>
      <c r="U4078">
        <v>-3.0019529999999999</v>
      </c>
      <c r="V4078">
        <v>-9.343079E-2</v>
      </c>
      <c r="W4078">
        <v>0.22471360000000001</v>
      </c>
      <c r="X4078">
        <v>0.96993529999999994</v>
      </c>
      <c r="Y4078">
        <v>-0.15615560000000001</v>
      </c>
      <c r="Z4078">
        <v>2.998613E-2</v>
      </c>
      <c r="AA4078">
        <v>0.98727719999999997</v>
      </c>
      <c r="AB4078">
        <v>26</v>
      </c>
      <c r="AC4078">
        <v>6.5195999999999596</v>
      </c>
      <c r="AD4078">
        <v>-1.1244885017899999</v>
      </c>
      <c r="AE4078">
        <v>-24.58869</v>
      </c>
      <c r="AF4078">
        <v>-4.0014791765305899</v>
      </c>
      <c r="AG4078">
        <v>-1.1244885017899999</v>
      </c>
      <c r="AH4078">
        <v>25.0714073980092</v>
      </c>
      <c r="AI4078">
        <v>92.536022114744696</v>
      </c>
      <c r="AJ4078">
        <v>99.068113258208498</v>
      </c>
      <c r="AK4078">
        <v>25.413614046566</v>
      </c>
      <c r="AL4078">
        <v>77.0139626147744</v>
      </c>
      <c r="AM4078">
        <v>95.502144682731995</v>
      </c>
      <c r="AN4078">
        <v>1.0000000003655301</v>
      </c>
    </row>
    <row r="4079" spans="1:40" x14ac:dyDescent="0.25">
      <c r="A4079" t="str">
        <f>"20190303170852081"</f>
        <v>20190303170852081</v>
      </c>
      <c r="B4079" t="str">
        <f>"1551604132067218"</f>
        <v>1551604132067218</v>
      </c>
      <c r="C4079" t="s">
        <v>40</v>
      </c>
      <c r="D4079">
        <v>4.8670920000000004</v>
      </c>
      <c r="E4079">
        <v>0.47982249999999999</v>
      </c>
      <c r="F4079" t="s">
        <v>59</v>
      </c>
      <c r="G4079">
        <v>-416.10719999999998</v>
      </c>
      <c r="H4079" s="1">
        <v>-1.3567389999999999E-5</v>
      </c>
      <c r="I4079">
        <v>10.70327</v>
      </c>
      <c r="J4079">
        <v>-422.74020000000002</v>
      </c>
      <c r="K4079">
        <v>1.124541</v>
      </c>
      <c r="L4079">
        <v>35.669429999999998</v>
      </c>
      <c r="M4079">
        <v>0.1046671</v>
      </c>
      <c r="N4079">
        <v>-1.4100369999999999E-2</v>
      </c>
      <c r="O4079">
        <v>-0.9944075</v>
      </c>
      <c r="P4079">
        <v>0.1911127</v>
      </c>
      <c r="Q4079">
        <v>0.21133080000000001</v>
      </c>
      <c r="R4079">
        <v>-0.95854870000000003</v>
      </c>
      <c r="S4079">
        <v>0.7935181</v>
      </c>
      <c r="T4079">
        <v>-0.13396949999999999</v>
      </c>
      <c r="U4079">
        <v>-3.0017399999999999</v>
      </c>
      <c r="V4079">
        <v>-9.1421479999999999E-2</v>
      </c>
      <c r="W4079">
        <v>0.22434979999999999</v>
      </c>
      <c r="X4079">
        <v>0.97021100000000005</v>
      </c>
      <c r="Y4079">
        <v>-0.1527975</v>
      </c>
      <c r="Z4079">
        <v>2.9317909999999999E-2</v>
      </c>
      <c r="AA4079">
        <v>0.98782250000000005</v>
      </c>
      <c r="AB4079">
        <v>26</v>
      </c>
      <c r="AC4079">
        <v>6.6330000000000302</v>
      </c>
      <c r="AD4079">
        <v>-1.1245545673899999</v>
      </c>
      <c r="AE4079">
        <v>-24.966159999999999</v>
      </c>
      <c r="AF4079">
        <v>-3.9756304879727402</v>
      </c>
      <c r="AG4079">
        <v>-1.1245545673899999</v>
      </c>
      <c r="AH4079">
        <v>25.475049011171599</v>
      </c>
      <c r="AI4079">
        <v>92.497398261390799</v>
      </c>
      <c r="AJ4079">
        <v>98.870019658071897</v>
      </c>
      <c r="AK4079">
        <v>25.807913183237599</v>
      </c>
      <c r="AL4079">
        <v>77.035353667368597</v>
      </c>
      <c r="AM4079">
        <v>95.382998237351799</v>
      </c>
      <c r="AN4079">
        <v>1.00000005214321</v>
      </c>
    </row>
    <row r="4080" spans="1:40" x14ac:dyDescent="0.25">
      <c r="A4080" t="str">
        <f>"20190303170852104"</f>
        <v>20190303170852104</v>
      </c>
      <c r="B4080" t="str">
        <f>"1551604132097473"</f>
        <v>1551604132097473</v>
      </c>
      <c r="C4080" t="s">
        <v>40</v>
      </c>
      <c r="D4080">
        <v>4.8304070000000001</v>
      </c>
      <c r="E4080">
        <v>0.48045979999999999</v>
      </c>
      <c r="F4080" t="s">
        <v>59</v>
      </c>
      <c r="G4080">
        <v>-416.19940000000003</v>
      </c>
      <c r="H4080" s="1">
        <v>-1.3548790000000001E-5</v>
      </c>
      <c r="I4080">
        <v>10.97058</v>
      </c>
      <c r="J4080">
        <v>-422.70870000000002</v>
      </c>
      <c r="K4080">
        <v>1.124614</v>
      </c>
      <c r="L4080">
        <v>35.417359999999903</v>
      </c>
      <c r="M4080">
        <v>0.10910110000000001</v>
      </c>
      <c r="N4080">
        <v>-1.410485E-2</v>
      </c>
      <c r="O4080">
        <v>-0.9939306</v>
      </c>
      <c r="P4080">
        <v>0.19454850000000001</v>
      </c>
      <c r="Q4080">
        <v>0.2097337</v>
      </c>
      <c r="R4080">
        <v>-0.95820810000000001</v>
      </c>
      <c r="S4080">
        <v>0.79483029999999999</v>
      </c>
      <c r="T4080">
        <v>-0.13665579999999999</v>
      </c>
      <c r="U4080">
        <v>-3.001404</v>
      </c>
      <c r="V4080">
        <v>-9.0562130000000005E-2</v>
      </c>
      <c r="W4080">
        <v>0.2227528</v>
      </c>
      <c r="X4080">
        <v>0.97065939999999995</v>
      </c>
      <c r="Y4080">
        <v>-0.14881369999999999</v>
      </c>
      <c r="Z4080">
        <v>3.0171420000000001E-2</v>
      </c>
      <c r="AA4080">
        <v>0.98840490000000003</v>
      </c>
      <c r="AB4080">
        <v>26</v>
      </c>
      <c r="AC4080">
        <v>6.5092999999999899</v>
      </c>
      <c r="AD4080">
        <v>-1.1246275487899999</v>
      </c>
      <c r="AE4080">
        <v>-24.44678</v>
      </c>
      <c r="AF4080">
        <v>-3.7954995242004701</v>
      </c>
      <c r="AG4080">
        <v>-1.1246275487899999</v>
      </c>
      <c r="AH4080">
        <v>24.961733245246698</v>
      </c>
      <c r="AI4080">
        <v>92.550388562562603</v>
      </c>
      <c r="AJ4080">
        <v>98.645755175846503</v>
      </c>
      <c r="AK4080">
        <v>25.273676629421299</v>
      </c>
      <c r="AL4080">
        <v>77.129230049793804</v>
      </c>
      <c r="AM4080">
        <v>95.330242569483403</v>
      </c>
      <c r="AN4080">
        <v>0.99999999005316798</v>
      </c>
    </row>
    <row r="4081" spans="1:40" x14ac:dyDescent="0.25">
      <c r="A4081" t="str">
        <f>"20190303170852127"</f>
        <v>20190303170852127</v>
      </c>
      <c r="B4081" t="str">
        <f>"1551604132117969"</f>
        <v>1551604132117969</v>
      </c>
      <c r="C4081" t="s">
        <v>40</v>
      </c>
      <c r="D4081">
        <v>4.8435499999999996</v>
      </c>
      <c r="E4081">
        <v>0.48079379999999999</v>
      </c>
      <c r="F4081" t="s">
        <v>59</v>
      </c>
      <c r="G4081">
        <v>-416.43</v>
      </c>
      <c r="H4081" s="1">
        <v>-1.345393E-5</v>
      </c>
      <c r="I4081">
        <v>11.89687</v>
      </c>
      <c r="J4081">
        <v>-422.673</v>
      </c>
      <c r="K4081">
        <v>1.1246929999999999</v>
      </c>
      <c r="L4081">
        <v>35.142330000000001</v>
      </c>
      <c r="M4081">
        <v>0.1140718</v>
      </c>
      <c r="N4081">
        <v>-1.411041E-2</v>
      </c>
      <c r="O4081">
        <v>-0.99337240000000004</v>
      </c>
      <c r="P4081">
        <v>0.19875399999999999</v>
      </c>
      <c r="Q4081">
        <v>0.2086277</v>
      </c>
      <c r="R4081">
        <v>-0.9575863</v>
      </c>
      <c r="S4081">
        <v>0.80075069999999904</v>
      </c>
      <c r="T4081">
        <v>-0.14342829999999901</v>
      </c>
      <c r="U4081">
        <v>-2.9996640000000001</v>
      </c>
      <c r="V4081">
        <v>-8.9978230000000006E-2</v>
      </c>
      <c r="W4081">
        <v>0.2216417</v>
      </c>
      <c r="X4081">
        <v>0.97096800000000005</v>
      </c>
      <c r="Y4081">
        <v>-0.14581160000000001</v>
      </c>
      <c r="Z4081">
        <v>3.234298E-2</v>
      </c>
      <c r="AA4081">
        <v>0.98878350000000004</v>
      </c>
      <c r="AB4081">
        <v>26</v>
      </c>
      <c r="AC4081">
        <v>6.2429999999999897</v>
      </c>
      <c r="AD4081">
        <v>-1.12470645393</v>
      </c>
      <c r="AE4081">
        <v>-23.245460000000001</v>
      </c>
      <c r="AF4081">
        <v>-3.5425902473628099</v>
      </c>
      <c r="AG4081">
        <v>-1.12470645393</v>
      </c>
      <c r="AH4081">
        <v>23.754049062483102</v>
      </c>
      <c r="AI4081">
        <v>92.681206191934095</v>
      </c>
      <c r="AJ4081">
        <v>98.482360320092695</v>
      </c>
      <c r="AK4081">
        <v>24.0430812736445</v>
      </c>
      <c r="AL4081">
        <v>77.194523633926295</v>
      </c>
      <c r="AM4081">
        <v>95.294398170407803</v>
      </c>
      <c r="AN4081">
        <v>0.99999999103841097</v>
      </c>
    </row>
    <row r="4082" spans="1:40" x14ac:dyDescent="0.25">
      <c r="A4082" t="str">
        <f>"20190303170852149"</f>
        <v>20190303170852149</v>
      </c>
      <c r="B4082" t="str">
        <f>"1551604132137489"</f>
        <v>1551604132137489</v>
      </c>
      <c r="C4082" t="s">
        <v>40</v>
      </c>
      <c r="D4082">
        <v>4.7430379999999897</v>
      </c>
      <c r="E4082">
        <v>0.48119230000000002</v>
      </c>
      <c r="F4082" t="s">
        <v>59</v>
      </c>
      <c r="G4082">
        <v>-416.47500000000002</v>
      </c>
      <c r="H4082" s="1">
        <v>-1.339861E-5</v>
      </c>
      <c r="I4082">
        <v>12.274179999999999</v>
      </c>
      <c r="J4082">
        <v>-422.64</v>
      </c>
      <c r="K4082">
        <v>1.124768</v>
      </c>
      <c r="L4082">
        <v>34.898739999999997</v>
      </c>
      <c r="M4082">
        <v>0.11859649999999999</v>
      </c>
      <c r="N4082">
        <v>-1.4115580000000001E-2</v>
      </c>
      <c r="O4082">
        <v>-0.99284240000000001</v>
      </c>
      <c r="P4082">
        <v>0.2019813</v>
      </c>
      <c r="Q4082">
        <v>0.2088131</v>
      </c>
      <c r="R4082">
        <v>-0.95687049999999996</v>
      </c>
      <c r="S4082">
        <v>0.81213380000000002</v>
      </c>
      <c r="T4082">
        <v>-0.1473711</v>
      </c>
      <c r="U4082">
        <v>-2.996429</v>
      </c>
      <c r="V4082">
        <v>-8.8873830000000001E-2</v>
      </c>
      <c r="W4082">
        <v>0.22182489999999999</v>
      </c>
      <c r="X4082">
        <v>0.97102790000000005</v>
      </c>
      <c r="Y4082">
        <v>-0.14506079999999999</v>
      </c>
      <c r="Z4082">
        <v>3.3609239999999999E-2</v>
      </c>
      <c r="AA4082">
        <v>0.9888517</v>
      </c>
      <c r="AB4082">
        <v>26</v>
      </c>
      <c r="AC4082">
        <v>6.1649999999999601</v>
      </c>
      <c r="AD4082">
        <v>-1.1247813986099999</v>
      </c>
      <c r="AE4082">
        <v>-22.624559999999999</v>
      </c>
      <c r="AF4082">
        <v>-3.4301297088214202</v>
      </c>
      <c r="AG4082">
        <v>-1.1247813986099999</v>
      </c>
      <c r="AH4082">
        <v>23.142830197496</v>
      </c>
      <c r="AI4082">
        <v>92.752462419173995</v>
      </c>
      <c r="AJ4082">
        <v>98.430753707542493</v>
      </c>
      <c r="AK4082">
        <v>23.422670910127501</v>
      </c>
      <c r="AL4082">
        <v>77.183759378446496</v>
      </c>
      <c r="AM4082">
        <v>95.229456039851101</v>
      </c>
      <c r="AN4082">
        <v>1.00000001324864</v>
      </c>
    </row>
    <row r="4083" spans="1:40" x14ac:dyDescent="0.25">
      <c r="A4083" t="str">
        <f>"20190303170852170"</f>
        <v>20190303170852170</v>
      </c>
      <c r="B4083" t="str">
        <f>"1551604132157985"</f>
        <v>1551604132157985</v>
      </c>
      <c r="C4083" t="s">
        <v>40</v>
      </c>
      <c r="D4083">
        <v>4.736243</v>
      </c>
      <c r="E4083">
        <v>0.48158869999999998</v>
      </c>
      <c r="F4083" t="s">
        <v>59</v>
      </c>
      <c r="G4083">
        <v>-416.35469999999998</v>
      </c>
      <c r="H4083" s="1">
        <v>-1.341372E-5</v>
      </c>
      <c r="I4083">
        <v>11.97451</v>
      </c>
      <c r="J4083">
        <v>-422.6062</v>
      </c>
      <c r="K4083">
        <v>1.1248469999999999</v>
      </c>
      <c r="L4083">
        <v>34.658389999999997</v>
      </c>
      <c r="M4083">
        <v>0.1231863</v>
      </c>
      <c r="N4083">
        <v>-1.412095E-2</v>
      </c>
      <c r="O4083">
        <v>-0.99228309999999997</v>
      </c>
      <c r="P4083">
        <v>0.20547840000000001</v>
      </c>
      <c r="Q4083">
        <v>0.20889849999999999</v>
      </c>
      <c r="R4083">
        <v>-0.95610689999999998</v>
      </c>
      <c r="S4083">
        <v>0.82089230000000002</v>
      </c>
      <c r="T4083">
        <v>-0.14690210000000001</v>
      </c>
      <c r="U4083">
        <v>-2.9940190000000002</v>
      </c>
      <c r="V4083">
        <v>-8.7976620000000005E-2</v>
      </c>
      <c r="W4083">
        <v>0.2219072</v>
      </c>
      <c r="X4083">
        <v>0.97109080000000003</v>
      </c>
      <c r="Y4083">
        <v>-0.14338110000000001</v>
      </c>
      <c r="Z4083">
        <v>3.3448989999999998E-2</v>
      </c>
      <c r="AA4083">
        <v>0.98910209999999998</v>
      </c>
      <c r="AB4083">
        <v>26</v>
      </c>
      <c r="AC4083">
        <v>6.2515000000000196</v>
      </c>
      <c r="AD4083">
        <v>-1.12486041372</v>
      </c>
      <c r="AE4083">
        <v>-22.683879999999998</v>
      </c>
      <c r="AF4083">
        <v>-3.4014805626187399</v>
      </c>
      <c r="AG4083">
        <v>-1.12486041372</v>
      </c>
      <c r="AH4083">
        <v>23.228164395981</v>
      </c>
      <c r="AI4083">
        <v>92.743260525361507</v>
      </c>
      <c r="AJ4083">
        <v>98.331052443735402</v>
      </c>
      <c r="AK4083">
        <v>23.502829663147899</v>
      </c>
      <c r="AL4083">
        <v>77.178923451647194</v>
      </c>
      <c r="AM4083">
        <v>95.176617806944407</v>
      </c>
      <c r="AN4083">
        <v>1.0000000164615499</v>
      </c>
    </row>
    <row r="4084" spans="1:40" x14ac:dyDescent="0.25">
      <c r="A4084" t="str">
        <f>"20190303170852193"</f>
        <v>20190303170852193</v>
      </c>
      <c r="B4084" t="str">
        <f>"1551604132177505"</f>
        <v>1551604132177505</v>
      </c>
      <c r="C4084" t="s">
        <v>40</v>
      </c>
      <c r="D4084">
        <v>4.6660890000000004</v>
      </c>
      <c r="E4084">
        <v>0.48179899999999998</v>
      </c>
      <c r="F4084" t="s">
        <v>59</v>
      </c>
      <c r="G4084">
        <v>-416.24889999999999</v>
      </c>
      <c r="H4084" s="1">
        <v>-1.34228299999999E-5</v>
      </c>
      <c r="I4084">
        <v>11.733169999999999</v>
      </c>
      <c r="J4084">
        <v>-422.56790000000001</v>
      </c>
      <c r="K4084">
        <v>1.1249309999999999</v>
      </c>
      <c r="L4084">
        <v>34.396790000000003</v>
      </c>
      <c r="M4084">
        <v>0.12832569999999999</v>
      </c>
      <c r="N4084">
        <v>-1.412744E-2</v>
      </c>
      <c r="O4084">
        <v>-0.9916315</v>
      </c>
      <c r="P4084">
        <v>0.21039369999999999</v>
      </c>
      <c r="Q4084">
        <v>0.20804880000000001</v>
      </c>
      <c r="R4084">
        <v>-0.95522260000000003</v>
      </c>
      <c r="S4084">
        <v>0.8295593</v>
      </c>
      <c r="T4084">
        <v>-0.1467832</v>
      </c>
      <c r="U4084">
        <v>-2.9915159999999998</v>
      </c>
      <c r="V4084">
        <v>-8.7955309999999995E-2</v>
      </c>
      <c r="W4084">
        <v>0.22104879999999999</v>
      </c>
      <c r="X4084">
        <v>0.9712885</v>
      </c>
      <c r="Y4084">
        <v>-0.14112849999999999</v>
      </c>
      <c r="Z4084">
        <v>3.3398200000000003E-2</v>
      </c>
      <c r="AA4084">
        <v>0.98942770000000002</v>
      </c>
      <c r="AB4084">
        <v>26</v>
      </c>
      <c r="AC4084">
        <v>6.3190000000000097</v>
      </c>
      <c r="AD4084">
        <v>-1.1249444228299901</v>
      </c>
      <c r="AE4084">
        <v>-22.663620000000002</v>
      </c>
      <c r="AF4084">
        <v>-3.3504700907943099</v>
      </c>
      <c r="AG4084">
        <v>-1.1249444228299901</v>
      </c>
      <c r="AH4084">
        <v>23.234057662438399</v>
      </c>
      <c r="AI4084">
        <v>92.743640576710206</v>
      </c>
      <c r="AJ4084">
        <v>98.205776804520497</v>
      </c>
      <c r="AK4084">
        <v>23.501331563238601</v>
      </c>
      <c r="AL4084">
        <v>77.229358858176496</v>
      </c>
      <c r="AM4084">
        <v>95.174323021692203</v>
      </c>
      <c r="AN4084">
        <v>1.0000000293854401</v>
      </c>
    </row>
    <row r="4085" spans="1:40" x14ac:dyDescent="0.25">
      <c r="A4085" t="str">
        <f>"20190303170852238"</f>
        <v>20190303170852238</v>
      </c>
      <c r="B4085" t="str">
        <f>"1551604132227280"</f>
        <v>1551604132227280</v>
      </c>
      <c r="C4085" t="s">
        <v>40</v>
      </c>
      <c r="D4085">
        <v>4.6120549999999998</v>
      </c>
      <c r="E4085">
        <v>0.49150840000000001</v>
      </c>
      <c r="F4085" t="s">
        <v>59</v>
      </c>
      <c r="G4085">
        <v>-416.22789999999998</v>
      </c>
      <c r="H4085" s="1">
        <v>-1.3377559999999999E-5</v>
      </c>
      <c r="I4085">
        <v>11.93657</v>
      </c>
      <c r="J4085">
        <v>-422.48970000000003</v>
      </c>
      <c r="K4085">
        <v>1.1250869999999999</v>
      </c>
      <c r="L4085">
        <v>33.89246</v>
      </c>
      <c r="M4085">
        <v>0.13856969999999999</v>
      </c>
      <c r="N4085">
        <v>-1.413972E-2</v>
      </c>
      <c r="O4085">
        <v>-0.99025180000000002</v>
      </c>
      <c r="P4085">
        <v>0.22123209999999999</v>
      </c>
      <c r="Q4085">
        <v>0.20863380000000001</v>
      </c>
      <c r="R4085">
        <v>-0.95264300000000002</v>
      </c>
      <c r="S4085">
        <v>0.84329219999999905</v>
      </c>
      <c r="T4085">
        <v>-0.1496315</v>
      </c>
      <c r="U4085">
        <v>-2.9874879999999999</v>
      </c>
      <c r="V4085">
        <v>-8.9052069999999997E-2</v>
      </c>
      <c r="W4085">
        <v>0.22160360000000001</v>
      </c>
      <c r="X4085">
        <v>0.97106210000000004</v>
      </c>
      <c r="Y4085">
        <v>-0.1354467</v>
      </c>
      <c r="Z4085">
        <v>3.4278070000000001E-2</v>
      </c>
      <c r="AA4085">
        <v>0.9901915</v>
      </c>
      <c r="AB4085">
        <v>26</v>
      </c>
      <c r="AC4085">
        <v>6.2618000000000498</v>
      </c>
      <c r="AD4085">
        <v>-1.1251003775599999</v>
      </c>
      <c r="AE4085">
        <v>-21.95589</v>
      </c>
      <c r="AF4085">
        <v>-3.1510013469542599</v>
      </c>
      <c r="AG4085">
        <v>-1.1251003775599999</v>
      </c>
      <c r="AH4085">
        <v>22.557037170278299</v>
      </c>
      <c r="AI4085">
        <v>92.828020121310203</v>
      </c>
      <c r="AJ4085">
        <v>97.952211384579201</v>
      </c>
      <c r="AK4085">
        <v>22.803828324415399</v>
      </c>
      <c r="AL4085">
        <v>77.196762576408801</v>
      </c>
      <c r="AM4085">
        <v>95.239702082002594</v>
      </c>
      <c r="AN4085">
        <v>1.00000001438032</v>
      </c>
    </row>
    <row r="4086" spans="1:40" x14ac:dyDescent="0.25">
      <c r="A4086" t="str">
        <f>"20190303170852259"</f>
        <v>20190303170852259</v>
      </c>
      <c r="B4086" t="str">
        <f>"1551604132247777"</f>
        <v>1551604132247777</v>
      </c>
      <c r="C4086" t="s">
        <v>40</v>
      </c>
      <c r="D4086">
        <v>4.56412</v>
      </c>
      <c r="E4086">
        <v>0.49206080000000002</v>
      </c>
      <c r="F4086" t="s">
        <v>59</v>
      </c>
      <c r="G4086">
        <v>-416.3485</v>
      </c>
      <c r="H4086" s="1">
        <v>-1.360389E-5</v>
      </c>
      <c r="I4086">
        <v>10.947950000000001</v>
      </c>
      <c r="J4086">
        <v>-422.44889999999998</v>
      </c>
      <c r="K4086">
        <v>1.12514</v>
      </c>
      <c r="L4086">
        <v>33.643159999999902</v>
      </c>
      <c r="M4086">
        <v>0.14379719999999999</v>
      </c>
      <c r="N4086">
        <v>-1.414544E-2</v>
      </c>
      <c r="O4086">
        <v>-0.98950610000000006</v>
      </c>
      <c r="P4086">
        <v>0.2260451</v>
      </c>
      <c r="Q4086">
        <v>0.20955969999999999</v>
      </c>
      <c r="R4086">
        <v>-0.95130879999999995</v>
      </c>
      <c r="S4086">
        <v>0.80166630000000005</v>
      </c>
      <c r="T4086">
        <v>-0.14686920000000001</v>
      </c>
      <c r="U4086">
        <v>-2.9951479999999999</v>
      </c>
      <c r="V4086">
        <v>-8.8903850000000006E-2</v>
      </c>
      <c r="W4086">
        <v>0.22251989999999999</v>
      </c>
      <c r="X4086">
        <v>0.97086609999999995</v>
      </c>
      <c r="Y4086">
        <v>-0.1167496</v>
      </c>
      <c r="Z4086">
        <v>3.3354290000000002E-2</v>
      </c>
      <c r="AA4086">
        <v>0.99260119999999996</v>
      </c>
      <c r="AB4086">
        <v>26</v>
      </c>
      <c r="AC4086">
        <v>6.1003999999999703</v>
      </c>
      <c r="AD4086">
        <v>-1.1251536038900001</v>
      </c>
      <c r="AE4086">
        <v>-22.695209999999999</v>
      </c>
      <c r="AF4086">
        <v>-2.7668105800377498</v>
      </c>
      <c r="AG4086">
        <v>-1.1251536038900001</v>
      </c>
      <c r="AH4086">
        <v>23.283232898706999</v>
      </c>
      <c r="AI4086">
        <v>92.747345031385706</v>
      </c>
      <c r="AJ4086">
        <v>96.776835183093695</v>
      </c>
      <c r="AK4086">
        <v>23.474031303412399</v>
      </c>
      <c r="AL4086">
        <v>77.142917806792696</v>
      </c>
      <c r="AM4086">
        <v>95.232079629859797</v>
      </c>
      <c r="AN4086">
        <v>0.99999999228502101</v>
      </c>
    </row>
    <row r="4087" spans="1:40" x14ac:dyDescent="0.25">
      <c r="A4087" t="str">
        <f>"20190303170852284"</f>
        <v>20190303170852284</v>
      </c>
      <c r="B4087" t="str">
        <f>"1551604132278034"</f>
        <v>1551604132278034</v>
      </c>
      <c r="C4087" t="s">
        <v>40</v>
      </c>
      <c r="D4087">
        <v>4.4535019999999896</v>
      </c>
      <c r="E4087">
        <v>0.49267260000000002</v>
      </c>
      <c r="F4087" t="s">
        <v>59</v>
      </c>
      <c r="G4087">
        <v>-416.00299999999999</v>
      </c>
      <c r="H4087" s="1">
        <v>-1.3673190000000001E-5</v>
      </c>
      <c r="I4087">
        <v>9.9486480000000004</v>
      </c>
      <c r="J4087">
        <v>-422.40140000000002</v>
      </c>
      <c r="K4087">
        <v>1.1252230000000001</v>
      </c>
      <c r="L4087">
        <v>33.363190000000003</v>
      </c>
      <c r="M4087">
        <v>0.14980089999999999</v>
      </c>
      <c r="N4087">
        <v>-1.415222E-2</v>
      </c>
      <c r="O4087">
        <v>-0.98861489999999996</v>
      </c>
      <c r="P4087">
        <v>0.2323606</v>
      </c>
      <c r="Q4087">
        <v>0.20928440000000001</v>
      </c>
      <c r="R4087">
        <v>-0.94984659999999999</v>
      </c>
      <c r="S4087">
        <v>0.81381230000000004</v>
      </c>
      <c r="T4087">
        <v>-0.14205319999999999</v>
      </c>
      <c r="U4087">
        <v>-2.9914860000000001</v>
      </c>
      <c r="V4087">
        <v>-8.9491810000000005E-2</v>
      </c>
      <c r="W4087">
        <v>0.22223029999999999</v>
      </c>
      <c r="X4087">
        <v>0.97087840000000003</v>
      </c>
      <c r="Y4087">
        <v>-0.1147961</v>
      </c>
      <c r="Z4087">
        <v>3.1791119999999999E-2</v>
      </c>
      <c r="AA4087">
        <v>0.99288019999999999</v>
      </c>
      <c r="AB4087">
        <v>26</v>
      </c>
      <c r="AC4087">
        <v>6.3983999999999801</v>
      </c>
      <c r="AD4087">
        <v>-1.1252366731900001</v>
      </c>
      <c r="AE4087">
        <v>-23.414542000000001</v>
      </c>
      <c r="AF4087">
        <v>-2.8122727199647399</v>
      </c>
      <c r="AG4087">
        <v>-1.1252366731900001</v>
      </c>
      <c r="AH4087">
        <v>24.0571662147964</v>
      </c>
      <c r="AI4087">
        <v>92.659883145477394</v>
      </c>
      <c r="AJ4087">
        <v>96.667590662931701</v>
      </c>
      <c r="AK4087">
        <v>24.2471087288463</v>
      </c>
      <c r="AL4087">
        <v>77.159936625881002</v>
      </c>
      <c r="AM4087">
        <v>95.266421377180905</v>
      </c>
      <c r="AN4087">
        <v>0.99999997894086201</v>
      </c>
    </row>
    <row r="4088" spans="1:40" x14ac:dyDescent="0.25">
      <c r="A4088" t="str">
        <f>"20190303170852307"</f>
        <v>20190303170852307</v>
      </c>
      <c r="B4088" t="str">
        <f>"1551604132297553"</f>
        <v>1551604132297553</v>
      </c>
      <c r="C4088" t="s">
        <v>40</v>
      </c>
      <c r="D4088">
        <v>4.4595830000000003</v>
      </c>
      <c r="E4088">
        <v>0.49778440000000002</v>
      </c>
      <c r="F4088" t="s">
        <v>59</v>
      </c>
      <c r="G4088">
        <v>-415.8854</v>
      </c>
      <c r="H4088" s="1">
        <v>-1.364526E-5</v>
      </c>
      <c r="I4088">
        <v>9.8835510000000006</v>
      </c>
      <c r="J4088">
        <v>-422.35649999999998</v>
      </c>
      <c r="K4088">
        <v>1.125302</v>
      </c>
      <c r="L4088">
        <v>33.108829999999998</v>
      </c>
      <c r="M4088">
        <v>0.1554104</v>
      </c>
      <c r="N4088">
        <v>-1.4159639999999999E-2</v>
      </c>
      <c r="O4088">
        <v>-0.98774870000000004</v>
      </c>
      <c r="P4088">
        <v>0.23790610000000001</v>
      </c>
      <c r="Q4088">
        <v>0.2086635</v>
      </c>
      <c r="R4088">
        <v>-0.9486097</v>
      </c>
      <c r="S4088">
        <v>0.82897949999999998</v>
      </c>
      <c r="T4088">
        <v>-0.14315610000000001</v>
      </c>
      <c r="U4088">
        <v>-2.987152</v>
      </c>
      <c r="V4088">
        <v>-8.9672619999999995E-2</v>
      </c>
      <c r="W4088">
        <v>0.2215984</v>
      </c>
      <c r="X4088">
        <v>0.97100620000000004</v>
      </c>
      <c r="Y4088">
        <v>-0.11420569999999999</v>
      </c>
      <c r="Z4088">
        <v>3.2129079999999997E-2</v>
      </c>
      <c r="AA4088">
        <v>0.99293739999999997</v>
      </c>
      <c r="AB4088">
        <v>26</v>
      </c>
      <c r="AC4088">
        <v>6.4710999999999697</v>
      </c>
      <c r="AD4088">
        <v>-1.1253156452599999</v>
      </c>
      <c r="AE4088">
        <v>-23.225279</v>
      </c>
      <c r="AF4088">
        <v>-2.7766003359954601</v>
      </c>
      <c r="AG4088">
        <v>-1.1253156452599999</v>
      </c>
      <c r="AH4088">
        <v>23.896752749174201</v>
      </c>
      <c r="AI4088">
        <v>92.678117801121005</v>
      </c>
      <c r="AJ4088">
        <v>96.627565987795293</v>
      </c>
      <c r="AK4088">
        <v>24.0838252086848</v>
      </c>
      <c r="AL4088">
        <v>77.197068379948306</v>
      </c>
      <c r="AM4088">
        <v>95.276311071271905</v>
      </c>
      <c r="AN4088">
        <v>1.0000000350493301</v>
      </c>
    </row>
    <row r="4089" spans="1:40" x14ac:dyDescent="0.25">
      <c r="A4089" t="str">
        <f>"20190303170852326"</f>
        <v>20190303170852326</v>
      </c>
      <c r="B4089" t="str">
        <f>"1551604132318049"</f>
        <v>1551604132318049</v>
      </c>
      <c r="C4089" t="s">
        <v>40</v>
      </c>
      <c r="D4089">
        <v>4.4042399999999997</v>
      </c>
      <c r="E4089">
        <v>0.49843169999999998</v>
      </c>
      <c r="F4089" t="s">
        <v>59</v>
      </c>
      <c r="G4089">
        <v>-416.10759999999999</v>
      </c>
      <c r="H4089" s="1">
        <v>-1.3718309999999999E-5</v>
      </c>
      <c r="I4089">
        <v>9.8982449999999993</v>
      </c>
      <c r="J4089">
        <v>-422.31580000000002</v>
      </c>
      <c r="K4089">
        <v>1.1253899999999999</v>
      </c>
      <c r="L4089">
        <v>32.885770000000001</v>
      </c>
      <c r="M4089">
        <v>0.1604749</v>
      </c>
      <c r="N4089">
        <v>-1.4168139999999999E-2</v>
      </c>
      <c r="O4089">
        <v>-0.98693839999999999</v>
      </c>
      <c r="P4089">
        <v>0.24313699999999999</v>
      </c>
      <c r="Q4089">
        <v>0.207929</v>
      </c>
      <c r="R4089">
        <v>-0.94744430000000002</v>
      </c>
      <c r="S4089">
        <v>0.8056335</v>
      </c>
      <c r="T4089">
        <v>-0.14507879999999901</v>
      </c>
      <c r="U4089">
        <v>-2.9923709999999999</v>
      </c>
      <c r="V4089">
        <v>-9.0068410000000002E-2</v>
      </c>
      <c r="W4089">
        <v>0.2208502</v>
      </c>
      <c r="X4089">
        <v>0.97114</v>
      </c>
      <c r="Y4089">
        <v>-0.1014457</v>
      </c>
      <c r="Z4089">
        <v>3.2682500000000003E-2</v>
      </c>
      <c r="AA4089">
        <v>0.99430410000000002</v>
      </c>
      <c r="AB4089">
        <v>26</v>
      </c>
      <c r="AC4089">
        <v>6.2082000000000299</v>
      </c>
      <c r="AD4089">
        <v>-1.1254037183100001</v>
      </c>
      <c r="AE4089">
        <v>-22.987525000000002</v>
      </c>
      <c r="AF4089">
        <v>-2.4329995366814501</v>
      </c>
      <c r="AG4089">
        <v>-1.1254037183100001</v>
      </c>
      <c r="AH4089">
        <v>23.633111552841701</v>
      </c>
      <c r="AI4089">
        <v>92.712040950783802</v>
      </c>
      <c r="AJ4089">
        <v>95.877822572120607</v>
      </c>
      <c r="AK4089">
        <v>23.784658541668001</v>
      </c>
      <c r="AL4089">
        <v>77.241025960314801</v>
      </c>
      <c r="AM4089">
        <v>95.298740952167904</v>
      </c>
      <c r="AN4089">
        <v>1.0000000144599801</v>
      </c>
    </row>
    <row r="4090" spans="1:40" x14ac:dyDescent="0.25">
      <c r="A4090" t="str">
        <f>"20190303170852348"</f>
        <v>20190303170852348</v>
      </c>
      <c r="B4090" t="str">
        <f>"1551604132337569"</f>
        <v>1551604132337569</v>
      </c>
      <c r="C4090" t="s">
        <v>40</v>
      </c>
      <c r="D4090">
        <v>4.3893550000000001</v>
      </c>
      <c r="E4090">
        <v>0.50275899999999996</v>
      </c>
      <c r="F4090" t="s">
        <v>59</v>
      </c>
      <c r="G4090">
        <v>-416.2715</v>
      </c>
      <c r="H4090" s="1">
        <v>-1.3604560000000001E-5</v>
      </c>
      <c r="I4090">
        <v>10.804</v>
      </c>
      <c r="J4090">
        <v>-422.27140000000003</v>
      </c>
      <c r="K4090">
        <v>1.1255029999999999</v>
      </c>
      <c r="L4090">
        <v>32.650669999999998</v>
      </c>
      <c r="M4090">
        <v>0.16596240000000001</v>
      </c>
      <c r="N4090">
        <v>-1.417883E-2</v>
      </c>
      <c r="O4090">
        <v>-0.98603030000000003</v>
      </c>
      <c r="P4090">
        <v>0.24881980000000001</v>
      </c>
      <c r="Q4090">
        <v>0.2077128</v>
      </c>
      <c r="R4090">
        <v>-0.9460151</v>
      </c>
      <c r="S4090">
        <v>0.8183899</v>
      </c>
      <c r="T4090">
        <v>-0.15237779999999901</v>
      </c>
      <c r="U4090">
        <v>-2.9898380000000002</v>
      </c>
      <c r="V4090">
        <v>-9.0547520000000006E-2</v>
      </c>
      <c r="W4090">
        <v>0.2206158</v>
      </c>
      <c r="X4090">
        <v>0.97114869999999998</v>
      </c>
      <c r="Y4090">
        <v>-0.1000521</v>
      </c>
      <c r="Z4090">
        <v>3.497393E-2</v>
      </c>
      <c r="AA4090">
        <v>0.99436740000000001</v>
      </c>
      <c r="AB4090">
        <v>26</v>
      </c>
      <c r="AC4090">
        <v>5.9999000000000198</v>
      </c>
      <c r="AD4090">
        <v>-1.12551660456</v>
      </c>
      <c r="AE4090">
        <v>-21.84667</v>
      </c>
      <c r="AF4090">
        <v>-2.2849479633966299</v>
      </c>
      <c r="AG4090">
        <v>-1.12551660456</v>
      </c>
      <c r="AH4090">
        <v>22.4840071238334</v>
      </c>
      <c r="AI4090">
        <v>92.851090611142496</v>
      </c>
      <c r="AJ4090">
        <v>95.802789119954895</v>
      </c>
      <c r="AK4090">
        <v>22.627822501671702</v>
      </c>
      <c r="AL4090">
        <v>77.254795428923501</v>
      </c>
      <c r="AM4090">
        <v>95.326717926116601</v>
      </c>
      <c r="AN4090">
        <v>0.99999999104974002</v>
      </c>
    </row>
    <row r="4091" spans="1:40" x14ac:dyDescent="0.25">
      <c r="A4091" t="str">
        <f>"20190303170852372"</f>
        <v>20190303170852372</v>
      </c>
      <c r="B4091" t="str">
        <f>"1551604132367826"</f>
        <v>1551604132367826</v>
      </c>
      <c r="C4091" t="s">
        <v>40</v>
      </c>
      <c r="D4091">
        <v>4.4732349999999999</v>
      </c>
      <c r="E4091">
        <v>0.4794638</v>
      </c>
      <c r="F4091" t="s">
        <v>59</v>
      </c>
      <c r="G4091">
        <v>-416.7432</v>
      </c>
      <c r="H4091" s="1">
        <v>-1.3531670000000001E-5</v>
      </c>
      <c r="I4091">
        <v>12.052350000000001</v>
      </c>
      <c r="J4091">
        <v>-422.22030000000001</v>
      </c>
      <c r="K4091">
        <v>1.1256389999999901</v>
      </c>
      <c r="L4091">
        <v>32.390169999999998</v>
      </c>
      <c r="M4091">
        <v>0.17224900000000001</v>
      </c>
      <c r="N4091">
        <v>-1.4192049999999999E-2</v>
      </c>
      <c r="O4091">
        <v>-0.98495129999999997</v>
      </c>
      <c r="P4091">
        <v>0.25571549999999998</v>
      </c>
      <c r="Q4091">
        <v>0.20853740000000001</v>
      </c>
      <c r="R4091">
        <v>-0.94399230000000001</v>
      </c>
      <c r="S4091">
        <v>0.80398559999999997</v>
      </c>
      <c r="T4091">
        <v>-0.16368679999999999</v>
      </c>
      <c r="U4091">
        <v>-2.9956670000000001</v>
      </c>
      <c r="V4091">
        <v>-9.1552590000000003E-2</v>
      </c>
      <c r="W4091">
        <v>0.2214101</v>
      </c>
      <c r="X4091">
        <v>0.97087369999999995</v>
      </c>
      <c r="Y4091">
        <v>-8.8720229999999997E-2</v>
      </c>
      <c r="Z4091">
        <v>3.845983E-2</v>
      </c>
      <c r="AA4091">
        <v>0.99531380000000003</v>
      </c>
      <c r="AB4091">
        <v>26</v>
      </c>
      <c r="AC4091">
        <v>5.4771000000000001</v>
      </c>
      <c r="AD4091">
        <v>-1.1256525316699999</v>
      </c>
      <c r="AE4091">
        <v>-20.337820000000001</v>
      </c>
      <c r="AF4091">
        <v>-1.8863102168686201</v>
      </c>
      <c r="AG4091">
        <v>-1.1256525316699999</v>
      </c>
      <c r="AH4091">
        <v>20.917552662542899</v>
      </c>
      <c r="AI4091">
        <v>93.067906048354004</v>
      </c>
      <c r="AJ4091">
        <v>95.152900535015405</v>
      </c>
      <c r="AK4091">
        <v>21.032576381569999</v>
      </c>
      <c r="AL4091">
        <v>77.208131874114102</v>
      </c>
      <c r="AM4091">
        <v>95.387014777723394</v>
      </c>
      <c r="AN4091">
        <v>1.0000000252347001</v>
      </c>
    </row>
    <row r="4092" spans="1:40" x14ac:dyDescent="0.25">
      <c r="A4092" t="str">
        <f>"20190303170852393"</f>
        <v>20190303170852393</v>
      </c>
      <c r="B4092" t="str">
        <f>"1551604132387346"</f>
        <v>1551604132387346</v>
      </c>
      <c r="C4092" t="s">
        <v>40</v>
      </c>
      <c r="D4092">
        <v>4.4113350000000002</v>
      </c>
      <c r="E4092">
        <v>0.43146400000000001</v>
      </c>
      <c r="F4092" t="s">
        <v>46</v>
      </c>
      <c r="G4092">
        <v>-409.9085</v>
      </c>
      <c r="H4092">
        <v>-0.05</v>
      </c>
      <c r="I4092">
        <v>-3.7151339999999999</v>
      </c>
      <c r="J4092">
        <v>-422.17160000000001</v>
      </c>
      <c r="K4092">
        <v>1.125761</v>
      </c>
      <c r="L4092">
        <v>32.150480000000002</v>
      </c>
      <c r="M4092">
        <v>0.17823129999999901</v>
      </c>
      <c r="N4092">
        <v>-1.420513E-2</v>
      </c>
      <c r="O4092">
        <v>-0.98388609999999999</v>
      </c>
      <c r="P4092">
        <v>0.26246989999999998</v>
      </c>
      <c r="Q4092">
        <v>0.20836769999999999</v>
      </c>
      <c r="R4092">
        <v>-0.94217439999999997</v>
      </c>
      <c r="S4092">
        <v>0.99862669999999998</v>
      </c>
      <c r="T4092">
        <v>-9.5357890000000001E-2</v>
      </c>
      <c r="U4092">
        <v>-2.9285580000000002</v>
      </c>
      <c r="V4092">
        <v>-9.2668769999999998E-2</v>
      </c>
      <c r="W4092">
        <v>0.2212134</v>
      </c>
      <c r="X4092">
        <v>0.97081260000000003</v>
      </c>
      <c r="Y4092">
        <v>-0.1487753</v>
      </c>
      <c r="Z4092">
        <v>1.6937210000000001E-2</v>
      </c>
      <c r="AA4092">
        <v>0.98872599999999999</v>
      </c>
      <c r="AB4092">
        <v>26</v>
      </c>
      <c r="AC4092">
        <v>12.2631</v>
      </c>
      <c r="AD4092">
        <v>-1.1757610000000001</v>
      </c>
      <c r="AE4092">
        <v>-35.865614000000001</v>
      </c>
      <c r="AF4092">
        <v>-5.6682370123124501</v>
      </c>
      <c r="AG4092">
        <v>-1.1757610000000001</v>
      </c>
      <c r="AH4092">
        <v>37.4411022256687</v>
      </c>
      <c r="AI4092">
        <v>91.778414120548007</v>
      </c>
      <c r="AJ4092">
        <v>98.608681027431899</v>
      </c>
      <c r="AK4092">
        <v>37.885979736966597</v>
      </c>
      <c r="AL4092">
        <v>77.219688023013205</v>
      </c>
      <c r="AM4092">
        <v>95.452639214443593</v>
      </c>
      <c r="AN4092">
        <v>0.99999998679581603</v>
      </c>
    </row>
    <row r="4093" spans="1:40" x14ac:dyDescent="0.25">
      <c r="A4093" t="str">
        <f>"20190303170852416"</f>
        <v>20190303170852416</v>
      </c>
      <c r="B4093" t="str">
        <f>"1551604132407842"</f>
        <v>1551604132407842</v>
      </c>
      <c r="C4093" t="s">
        <v>40</v>
      </c>
      <c r="D4093">
        <v>4.3909960000000003</v>
      </c>
      <c r="E4093">
        <v>0.42545119999999997</v>
      </c>
      <c r="F4093" t="s">
        <v>96</v>
      </c>
      <c r="G4093">
        <v>-406.6472</v>
      </c>
      <c r="H4093">
        <v>0.94591999999999998</v>
      </c>
      <c r="I4093">
        <v>0.61318969999999995</v>
      </c>
      <c r="J4093">
        <v>-422.1173</v>
      </c>
      <c r="K4093">
        <v>1.125883</v>
      </c>
      <c r="L4093">
        <v>31.8934</v>
      </c>
      <c r="M4093">
        <v>0.1848378</v>
      </c>
      <c r="N4093">
        <v>-1.421948E-2</v>
      </c>
      <c r="O4093">
        <v>-0.98266609999999999</v>
      </c>
      <c r="P4093">
        <v>0.26927440000000002</v>
      </c>
      <c r="Q4093">
        <v>0.2080129</v>
      </c>
      <c r="R4093">
        <v>-0.94033060000000002</v>
      </c>
      <c r="S4093">
        <v>1.3799129999999999</v>
      </c>
      <c r="T4093">
        <v>-1.5987870000000001E-2</v>
      </c>
      <c r="U4093">
        <v>-2.8032530000000002</v>
      </c>
      <c r="V4093">
        <v>-9.3212900000000001E-2</v>
      </c>
      <c r="W4093">
        <v>0.22084039999999999</v>
      </c>
      <c r="X4093">
        <v>0.97084539999999997</v>
      </c>
      <c r="Y4093">
        <v>-0.26813100000000001</v>
      </c>
      <c r="Z4093">
        <v>-8.4577290000000006E-3</v>
      </c>
      <c r="AA4093">
        <v>0.96334529999999996</v>
      </c>
      <c r="AB4093">
        <v>26</v>
      </c>
      <c r="AC4093">
        <v>15.4701</v>
      </c>
      <c r="AD4093">
        <v>-0.17996299999999901</v>
      </c>
      <c r="AE4093">
        <v>-31.2802103</v>
      </c>
      <c r="AF4093">
        <v>-9.4208801371316397</v>
      </c>
      <c r="AG4093">
        <v>-0.17996299999999901</v>
      </c>
      <c r="AH4093">
        <v>33.5999672185132</v>
      </c>
      <c r="AI4093">
        <v>90.295481252472698</v>
      </c>
      <c r="AJ4093">
        <v>105.66262581509299</v>
      </c>
      <c r="AK4093">
        <v>34.896176958582899</v>
      </c>
      <c r="AL4093">
        <v>77.241600952517601</v>
      </c>
      <c r="AM4093">
        <v>95.484277062504205</v>
      </c>
      <c r="AN4093">
        <v>0.99999995884986403</v>
      </c>
    </row>
    <row r="4094" spans="1:40" x14ac:dyDescent="0.25">
      <c r="A4094" t="str">
        <f>"20190303170852439"</f>
        <v>20190303170852439</v>
      </c>
      <c r="B4094" t="str">
        <f>"1551604132427362"</f>
        <v>1551604132427362</v>
      </c>
      <c r="C4094" t="s">
        <v>40</v>
      </c>
      <c r="D4094">
        <v>4.3785270000000001</v>
      </c>
      <c r="E4094">
        <v>0.42373709999999998</v>
      </c>
      <c r="F4094" t="s">
        <v>96</v>
      </c>
      <c r="G4094">
        <v>-405.84559999999999</v>
      </c>
      <c r="H4094">
        <v>1.162533</v>
      </c>
      <c r="I4094">
        <v>0.6213398</v>
      </c>
      <c r="J4094">
        <v>-422.0641</v>
      </c>
      <c r="K4094">
        <v>1.1259920000000001</v>
      </c>
      <c r="L4094">
        <v>31.649629999999998</v>
      </c>
      <c r="M4094">
        <v>0.19128729999999999</v>
      </c>
      <c r="N4094">
        <v>-1.4232740000000001E-2</v>
      </c>
      <c r="O4094">
        <v>-0.9814311</v>
      </c>
      <c r="P4094">
        <v>0.27504289999999998</v>
      </c>
      <c r="Q4094">
        <v>0.2081383</v>
      </c>
      <c r="R4094">
        <v>-0.93863229999999997</v>
      </c>
      <c r="S4094">
        <v>1.4444269999999999</v>
      </c>
      <c r="T4094">
        <v>3.2511950000000001E-3</v>
      </c>
      <c r="U4094">
        <v>-2.7760009999999999</v>
      </c>
      <c r="V4094">
        <v>-9.2861289999999999E-2</v>
      </c>
      <c r="W4094">
        <v>0.22095860000000001</v>
      </c>
      <c r="X4094">
        <v>0.9708523</v>
      </c>
      <c r="Y4094">
        <v>-0.28327190000000002</v>
      </c>
      <c r="Z4094">
        <v>-1.4624399999999999E-2</v>
      </c>
      <c r="AA4094">
        <v>0.95892820000000001</v>
      </c>
      <c r="AB4094">
        <v>26</v>
      </c>
      <c r="AC4094">
        <v>16.218499999999999</v>
      </c>
      <c r="AD4094">
        <v>3.65409999999999E-2</v>
      </c>
      <c r="AE4094">
        <v>-31.028290200000001</v>
      </c>
      <c r="AF4094">
        <v>-9.9830207248368907</v>
      </c>
      <c r="AG4094">
        <v>3.65409999999999E-2</v>
      </c>
      <c r="AH4094">
        <v>33.557877789095798</v>
      </c>
      <c r="AI4094">
        <v>89.940200915425606</v>
      </c>
      <c r="AJ4094">
        <v>106.567039061404</v>
      </c>
      <c r="AK4094">
        <v>35.0113295912208</v>
      </c>
      <c r="AL4094">
        <v>77.234658304403894</v>
      </c>
      <c r="AM4094">
        <v>95.463676549456295</v>
      </c>
      <c r="AN4094">
        <v>1.00000005525485</v>
      </c>
    </row>
    <row r="4095" spans="1:40" x14ac:dyDescent="0.25">
      <c r="A4095" t="str">
        <f>"20190303170852461"</f>
        <v>20190303170852461</v>
      </c>
      <c r="B4095" t="str">
        <f>"1551604132447857"</f>
        <v>1551604132447857</v>
      </c>
      <c r="C4095" t="s">
        <v>40</v>
      </c>
      <c r="D4095">
        <v>4.3513149999999996</v>
      </c>
      <c r="E4095">
        <v>0.42310229999999999</v>
      </c>
      <c r="F4095" t="s">
        <v>96</v>
      </c>
      <c r="G4095">
        <v>-405.5095</v>
      </c>
      <c r="H4095">
        <v>1.1945809999999999</v>
      </c>
      <c r="I4095">
        <v>0.62475590000000003</v>
      </c>
      <c r="J4095">
        <v>-422.00670000000002</v>
      </c>
      <c r="K4095">
        <v>1.1261159999999999</v>
      </c>
      <c r="L4095">
        <v>31.39621</v>
      </c>
      <c r="M4095">
        <v>0.19820289999999999</v>
      </c>
      <c r="N4095">
        <v>-1.42474E-2</v>
      </c>
      <c r="O4095">
        <v>-0.98005759999999997</v>
      </c>
      <c r="P4095">
        <v>0.28207320000000002</v>
      </c>
      <c r="Q4095">
        <v>0.2086248</v>
      </c>
      <c r="R4095">
        <v>-0.93643529999999997</v>
      </c>
      <c r="S4095">
        <v>1.474213</v>
      </c>
      <c r="T4095">
        <v>6.1056610000000001E-3</v>
      </c>
      <c r="U4095">
        <v>-2.7628170000000001</v>
      </c>
      <c r="V4095">
        <v>-9.3385819999999994E-2</v>
      </c>
      <c r="W4095">
        <v>0.22142590000000001</v>
      </c>
      <c r="X4095">
        <v>0.97069539999999999</v>
      </c>
      <c r="Y4095">
        <v>-0.28645730000000003</v>
      </c>
      <c r="Z4095">
        <v>-1.551875E-2</v>
      </c>
      <c r="AA4095">
        <v>0.95796729999999997</v>
      </c>
      <c r="AB4095">
        <v>26</v>
      </c>
      <c r="AC4095">
        <v>16.497199999999999</v>
      </c>
      <c r="AD4095">
        <v>6.8464999999999998E-2</v>
      </c>
      <c r="AE4095">
        <v>-30.7714541</v>
      </c>
      <c r="AF4095">
        <v>-10.070196802992999</v>
      </c>
      <c r="AG4095">
        <v>6.8464999999999998E-2</v>
      </c>
      <c r="AH4095">
        <v>33.430850374452298</v>
      </c>
      <c r="AI4095">
        <v>89.8876473343269</v>
      </c>
      <c r="AJ4095">
        <v>106.763597106916</v>
      </c>
      <c r="AK4095">
        <v>34.914686134437098</v>
      </c>
      <c r="AL4095">
        <v>77.207202581296997</v>
      </c>
      <c r="AM4095">
        <v>95.495232630813206</v>
      </c>
      <c r="AN4095">
        <v>0.99999995007451903</v>
      </c>
    </row>
    <row r="4096" spans="1:40" x14ac:dyDescent="0.25">
      <c r="A4096" t="str">
        <f>"20190303170852483"</f>
        <v>20190303170852483</v>
      </c>
      <c r="B4096" t="str">
        <f>"1551604132478115"</f>
        <v>1551604132478115</v>
      </c>
      <c r="C4096" t="s">
        <v>40</v>
      </c>
      <c r="D4096">
        <v>4.3199820000000004</v>
      </c>
      <c r="E4096">
        <v>0.42330479999999998</v>
      </c>
      <c r="F4096" t="s">
        <v>96</v>
      </c>
      <c r="G4096">
        <v>-405.2253</v>
      </c>
      <c r="H4096">
        <v>1.2214339999999999</v>
      </c>
      <c r="I4096">
        <v>0.62764739999999997</v>
      </c>
      <c r="J4096">
        <v>-421.95</v>
      </c>
      <c r="K4096">
        <v>1.1262490000000001</v>
      </c>
      <c r="L4096">
        <v>31.154389999999999</v>
      </c>
      <c r="M4096">
        <v>0.20501720000000001</v>
      </c>
      <c r="N4096">
        <v>-1.426262E-2</v>
      </c>
      <c r="O4096">
        <v>-0.97865469999999999</v>
      </c>
      <c r="P4096">
        <v>0.28868870000000002</v>
      </c>
      <c r="Q4096">
        <v>0.20969260000000001</v>
      </c>
      <c r="R4096">
        <v>-0.93417790000000001</v>
      </c>
      <c r="S4096">
        <v>1.4998469999999999</v>
      </c>
      <c r="T4096">
        <v>8.5169080000000001E-3</v>
      </c>
      <c r="U4096">
        <v>-2.7499690000000001</v>
      </c>
      <c r="V4096">
        <v>-9.3627199999999994E-2</v>
      </c>
      <c r="W4096">
        <v>0.22247439999999999</v>
      </c>
      <c r="X4096">
        <v>0.97043250000000003</v>
      </c>
      <c r="Y4096">
        <v>-0.28855229999999998</v>
      </c>
      <c r="Z4096">
        <v>-1.627141E-2</v>
      </c>
      <c r="AA4096">
        <v>0.95732589999999995</v>
      </c>
      <c r="AB4096">
        <v>25</v>
      </c>
      <c r="AC4096">
        <v>16.724699999999899</v>
      </c>
      <c r="AD4096">
        <v>9.5184999999999798E-2</v>
      </c>
      <c r="AE4096">
        <v>-30.526742599999999</v>
      </c>
      <c r="AF4096">
        <v>-10.1101492307535</v>
      </c>
      <c r="AG4096">
        <v>9.5184999999999798E-2</v>
      </c>
      <c r="AH4096">
        <v>33.307121854392399</v>
      </c>
      <c r="AI4096">
        <v>89.843319803044096</v>
      </c>
      <c r="AJ4096">
        <v>106.88530844429999</v>
      </c>
      <c r="AK4096">
        <v>34.8078804852533</v>
      </c>
      <c r="AL4096">
        <v>77.145592862964406</v>
      </c>
      <c r="AM4096">
        <v>95.510832564513393</v>
      </c>
      <c r="AN4096">
        <v>1.00000007414572</v>
      </c>
    </row>
    <row r="4097" spans="1:40" x14ac:dyDescent="0.25">
      <c r="A4097" t="str">
        <f>"20190303170852506"</f>
        <v>20190303170852506</v>
      </c>
      <c r="B4097" t="str">
        <f>"1551604132497634"</f>
        <v>1551604132497634</v>
      </c>
      <c r="C4097" t="s">
        <v>40</v>
      </c>
      <c r="D4097">
        <v>4.3338269999999897</v>
      </c>
      <c r="E4097">
        <v>0.4236124</v>
      </c>
      <c r="F4097" t="s">
        <v>96</v>
      </c>
      <c r="G4097">
        <v>-405.03129999999999</v>
      </c>
      <c r="H4097">
        <v>1.2627729999999999</v>
      </c>
      <c r="I4097">
        <v>0.62961959999999995</v>
      </c>
      <c r="J4097">
        <v>-421.89100000000002</v>
      </c>
      <c r="K4097">
        <v>1.1263970000000001</v>
      </c>
      <c r="L4097">
        <v>30.911439999999999</v>
      </c>
      <c r="M4097">
        <v>0.212088</v>
      </c>
      <c r="N4097">
        <v>-1.427494E-2</v>
      </c>
      <c r="O4097">
        <v>-0.97714639999999997</v>
      </c>
      <c r="P4097">
        <v>0.2968035</v>
      </c>
      <c r="Q4097">
        <v>0.2102463</v>
      </c>
      <c r="R4097">
        <v>-0.93150679999999997</v>
      </c>
      <c r="S4097">
        <v>1.5183409999999999</v>
      </c>
      <c r="T4097">
        <v>1.2249950000000001E-2</v>
      </c>
      <c r="U4097">
        <v>-2.7394099999999999</v>
      </c>
      <c r="V4097">
        <v>-9.5168169999999996E-2</v>
      </c>
      <c r="W4097">
        <v>0.2229853</v>
      </c>
      <c r="X4097">
        <v>0.97016530000000001</v>
      </c>
      <c r="Y4097">
        <v>-0.28812969999999999</v>
      </c>
      <c r="Z4097">
        <v>-1.7448060000000001E-2</v>
      </c>
      <c r="AA4097">
        <v>0.95743239999999996</v>
      </c>
      <c r="AB4097">
        <v>25</v>
      </c>
      <c r="AC4097">
        <v>16.859699999999901</v>
      </c>
      <c r="AD4097">
        <v>0.136376</v>
      </c>
      <c r="AE4097">
        <v>-30.281820399999901</v>
      </c>
      <c r="AF4097">
        <v>-10.052852203985699</v>
      </c>
      <c r="AG4097">
        <v>0.136376</v>
      </c>
      <c r="AH4097">
        <v>33.168374959134802</v>
      </c>
      <c r="AI4097">
        <v>89.774549860490595</v>
      </c>
      <c r="AJ4097">
        <v>106.861293228322</v>
      </c>
      <c r="AK4097">
        <v>34.658614128068102</v>
      </c>
      <c r="AL4097">
        <v>77.115566092995905</v>
      </c>
      <c r="AM4097">
        <v>95.602493684089893</v>
      </c>
      <c r="AN4097">
        <v>1.0000000669606599</v>
      </c>
    </row>
    <row r="4098" spans="1:40" x14ac:dyDescent="0.25">
      <c r="A4098" t="str">
        <f>"20190303170852527"</f>
        <v>20190303170852527</v>
      </c>
      <c r="B4098" t="str">
        <f>"1551604132518131"</f>
        <v>1551604132518131</v>
      </c>
      <c r="C4098" t="s">
        <v>40</v>
      </c>
      <c r="D4098">
        <v>4.2981550000000004</v>
      </c>
      <c r="E4098">
        <v>0.42408180000000001</v>
      </c>
      <c r="F4098" t="s">
        <v>96</v>
      </c>
      <c r="G4098">
        <v>-404.78640000000001</v>
      </c>
      <c r="H4098">
        <v>1.2919579999999999</v>
      </c>
      <c r="I4098">
        <v>0.63211249999999997</v>
      </c>
      <c r="J4098">
        <v>-421.83199999999999</v>
      </c>
      <c r="K4098">
        <v>1.1265540000000001</v>
      </c>
      <c r="L4098">
        <v>30.676480000000002</v>
      </c>
      <c r="M4098">
        <v>0.21915570000000001</v>
      </c>
      <c r="N4098">
        <v>-1.428338E-2</v>
      </c>
      <c r="O4098">
        <v>-0.97558540000000005</v>
      </c>
      <c r="P4098">
        <v>0.30433949999999999</v>
      </c>
      <c r="Q4098">
        <v>0.21117140000000001</v>
      </c>
      <c r="R4098">
        <v>-0.92886190000000002</v>
      </c>
      <c r="S4098">
        <v>1.5401609999999999</v>
      </c>
      <c r="T4098">
        <v>1.4905450000000001E-2</v>
      </c>
      <c r="U4098">
        <v>-2.7264710000000001</v>
      </c>
      <c r="V4098">
        <v>-9.6149269999999995E-2</v>
      </c>
      <c r="W4098">
        <v>0.22386739999999999</v>
      </c>
      <c r="X4098">
        <v>0.96986530000000004</v>
      </c>
      <c r="Y4098">
        <v>-0.28894520000000001</v>
      </c>
      <c r="Z4098">
        <v>-1.8271349999999999E-2</v>
      </c>
      <c r="AA4098">
        <v>0.95717129999999995</v>
      </c>
      <c r="AB4098">
        <v>25</v>
      </c>
      <c r="AC4098">
        <v>17.045599999999901</v>
      </c>
      <c r="AD4098">
        <v>0.165403999999999</v>
      </c>
      <c r="AE4098">
        <v>-30.0443675</v>
      </c>
      <c r="AF4098">
        <v>-10.045838050607999</v>
      </c>
      <c r="AG4098">
        <v>0.165403999999999</v>
      </c>
      <c r="AH4098">
        <v>33.049098635384503</v>
      </c>
      <c r="AI4098">
        <v>89.725643247309506</v>
      </c>
      <c r="AJ4098">
        <v>106.907545250411</v>
      </c>
      <c r="AK4098">
        <v>34.542569985941</v>
      </c>
      <c r="AL4098">
        <v>77.063713813323801</v>
      </c>
      <c r="AM4098">
        <v>95.661616699437104</v>
      </c>
      <c r="AN4098">
        <v>0.999999997524191</v>
      </c>
    </row>
    <row r="4099" spans="1:40" x14ac:dyDescent="0.25">
      <c r="A4099" t="str">
        <f>"20190303170852550"</f>
        <v>20190303170852550</v>
      </c>
      <c r="B4099" t="str">
        <f>"1551604132537650"</f>
        <v>1551604132537650</v>
      </c>
      <c r="C4099" t="s">
        <v>40</v>
      </c>
      <c r="D4099">
        <v>4.3327390000000001</v>
      </c>
      <c r="E4099">
        <v>0.42472209999999999</v>
      </c>
      <c r="F4099" t="s">
        <v>96</v>
      </c>
      <c r="G4099">
        <v>-404.58330000000001</v>
      </c>
      <c r="H4099">
        <v>1.3033939999999999</v>
      </c>
      <c r="I4099">
        <v>0.63417819999999903</v>
      </c>
      <c r="J4099">
        <v>-421.77030000000002</v>
      </c>
      <c r="K4099">
        <v>1.1267240000000001</v>
      </c>
      <c r="L4099">
        <v>30.440059999999999</v>
      </c>
      <c r="M4099">
        <v>0.22651650000000001</v>
      </c>
      <c r="N4099">
        <v>-1.429267E-2</v>
      </c>
      <c r="O4099">
        <v>-0.97390270000000001</v>
      </c>
      <c r="P4099">
        <v>0.31222850000000002</v>
      </c>
      <c r="Q4099">
        <v>0.21137719999999999</v>
      </c>
      <c r="R4099">
        <v>-0.9261933</v>
      </c>
      <c r="S4099">
        <v>1.5589900000000001</v>
      </c>
      <c r="T4099">
        <v>1.5981080000000002E-2</v>
      </c>
      <c r="U4099">
        <v>-2.7153320000000001</v>
      </c>
      <c r="V4099">
        <v>-9.7182829999999998E-2</v>
      </c>
      <c r="W4099">
        <v>0.22402820000000001</v>
      </c>
      <c r="X4099">
        <v>0.96972510000000001</v>
      </c>
      <c r="Y4099">
        <v>-0.288400299999999</v>
      </c>
      <c r="Z4099">
        <v>-1.8584860000000002E-2</v>
      </c>
      <c r="AA4099">
        <v>0.9573296</v>
      </c>
      <c r="AB4099">
        <v>25</v>
      </c>
      <c r="AC4099">
        <v>17.187000000000001</v>
      </c>
      <c r="AD4099">
        <v>0.17666999999999899</v>
      </c>
      <c r="AE4099">
        <v>-29.805881800000002</v>
      </c>
      <c r="AF4099">
        <v>-9.9876961947608098</v>
      </c>
      <c r="AG4099">
        <v>0.17666999999999899</v>
      </c>
      <c r="AH4099">
        <v>32.923655044477101</v>
      </c>
      <c r="AI4099">
        <v>89.705790343425804</v>
      </c>
      <c r="AJ4099">
        <v>106.87566075134001</v>
      </c>
      <c r="AK4099">
        <v>34.405702275283701</v>
      </c>
      <c r="AL4099">
        <v>77.054259966131497</v>
      </c>
      <c r="AM4099">
        <v>95.7228965011969</v>
      </c>
      <c r="AN4099">
        <v>0.99999995320602797</v>
      </c>
    </row>
    <row r="4100" spans="1:40" x14ac:dyDescent="0.25">
      <c r="A4100" t="str">
        <f>"20190303170852572"</f>
        <v>20190303170852572</v>
      </c>
      <c r="B4100" t="str">
        <f>"1551604132558146"</f>
        <v>1551604132558146</v>
      </c>
      <c r="C4100" t="s">
        <v>40</v>
      </c>
      <c r="D4100">
        <v>4.3183860000000003</v>
      </c>
      <c r="E4100">
        <v>0.42538690000000001</v>
      </c>
      <c r="F4100" t="s">
        <v>96</v>
      </c>
      <c r="G4100">
        <v>-404.37369999999999</v>
      </c>
      <c r="H4100">
        <v>1.2867519999999999</v>
      </c>
      <c r="I4100">
        <v>0.63630679999999995</v>
      </c>
      <c r="J4100">
        <v>-421.70389999999998</v>
      </c>
      <c r="K4100">
        <v>1.126898</v>
      </c>
      <c r="L4100">
        <v>30.194520000000001</v>
      </c>
      <c r="M4100">
        <v>0.2344589</v>
      </c>
      <c r="N4100">
        <v>-1.4306309999999999E-2</v>
      </c>
      <c r="O4100">
        <v>-0.97202089999999997</v>
      </c>
      <c r="P4100">
        <v>0.32043680000000002</v>
      </c>
      <c r="Q4100">
        <v>0.21123439999999999</v>
      </c>
      <c r="R4100">
        <v>-0.92341770000000001</v>
      </c>
      <c r="S4100">
        <v>1.5781860000000001</v>
      </c>
      <c r="T4100">
        <v>1.451504E-2</v>
      </c>
      <c r="U4100">
        <v>-2.703735</v>
      </c>
      <c r="V4100">
        <v>-9.7964289999999996E-2</v>
      </c>
      <c r="W4100">
        <v>0.2238465</v>
      </c>
      <c r="X4100">
        <v>0.96968849999999995</v>
      </c>
      <c r="Y4100">
        <v>-0.28744409999999998</v>
      </c>
      <c r="Z4100">
        <v>-1.808092E-2</v>
      </c>
      <c r="AA4100">
        <v>0.9576268</v>
      </c>
      <c r="AB4100">
        <v>25</v>
      </c>
      <c r="AC4100">
        <v>17.330199999999898</v>
      </c>
      <c r="AD4100">
        <v>0.159854</v>
      </c>
      <c r="AE4100">
        <v>-29.558213199999901</v>
      </c>
      <c r="AF4100">
        <v>-9.9159280752905197</v>
      </c>
      <c r="AG4100">
        <v>0.159854</v>
      </c>
      <c r="AH4100">
        <v>32.797058787156203</v>
      </c>
      <c r="AI4100">
        <v>89.732690747455607</v>
      </c>
      <c r="AJ4100">
        <v>106.82227138510299</v>
      </c>
      <c r="AK4100">
        <v>34.263657831350002</v>
      </c>
      <c r="AL4100">
        <v>77.064942802864607</v>
      </c>
      <c r="AM4100">
        <v>95.768822202015002</v>
      </c>
      <c r="AN4100">
        <v>1.00000002235485</v>
      </c>
    </row>
    <row r="4101" spans="1:40" x14ac:dyDescent="0.25">
      <c r="A4101" t="str">
        <f>"20190303170852595"</f>
        <v>20190303170852595</v>
      </c>
      <c r="B4101" t="str">
        <f>"1551604132587426"</f>
        <v>1551604132587426</v>
      </c>
      <c r="C4101" t="s">
        <v>40</v>
      </c>
      <c r="D4101">
        <v>4.3099530000000001</v>
      </c>
      <c r="E4101">
        <v>0.42612739999999999</v>
      </c>
      <c r="F4101" t="s">
        <v>96</v>
      </c>
      <c r="G4101">
        <v>-404.1524</v>
      </c>
      <c r="H4101">
        <v>1.2533259999999999</v>
      </c>
      <c r="I4101">
        <v>0.63856119999999905</v>
      </c>
      <c r="J4101">
        <v>-421.63389999999998</v>
      </c>
      <c r="K4101">
        <v>1.1270530000000001</v>
      </c>
      <c r="L4101">
        <v>29.945219999999999</v>
      </c>
      <c r="M4101">
        <v>0.2427734</v>
      </c>
      <c r="N4101">
        <v>-1.432012E-2</v>
      </c>
      <c r="O4101">
        <v>-0.96997730000000004</v>
      </c>
      <c r="P4101">
        <v>0.32889950000000001</v>
      </c>
      <c r="Q4101">
        <v>0.21058389999999999</v>
      </c>
      <c r="R4101">
        <v>-0.92058680000000004</v>
      </c>
      <c r="S4101">
        <v>1.598328</v>
      </c>
      <c r="T4101">
        <v>1.151085E-2</v>
      </c>
      <c r="U4101">
        <v>-2.6915279999999999</v>
      </c>
      <c r="V4101">
        <v>-9.8608029999999999E-2</v>
      </c>
      <c r="W4101">
        <v>0.22316420000000001</v>
      </c>
      <c r="X4101">
        <v>0.96978050000000005</v>
      </c>
      <c r="Y4101">
        <v>-0.28645389999999998</v>
      </c>
      <c r="Z4101">
        <v>-1.7080089999999999E-2</v>
      </c>
      <c r="AA4101">
        <v>0.95794179999999995</v>
      </c>
      <c r="AB4101">
        <v>25</v>
      </c>
      <c r="AC4101">
        <v>17.481499999999901</v>
      </c>
      <c r="AD4101">
        <v>0.126272999999999</v>
      </c>
      <c r="AE4101">
        <v>-29.306658799999902</v>
      </c>
      <c r="AF4101">
        <v>-9.8426556958371396</v>
      </c>
      <c r="AG4101">
        <v>0.126272999999999</v>
      </c>
      <c r="AH4101">
        <v>32.6737407108022</v>
      </c>
      <c r="AI4101">
        <v>89.7879830894761</v>
      </c>
      <c r="AJ4101">
        <v>106.764431497418</v>
      </c>
      <c r="AK4101">
        <v>34.124289707685598</v>
      </c>
      <c r="AL4101">
        <v>77.105050175695794</v>
      </c>
      <c r="AM4101">
        <v>95.805924855571703</v>
      </c>
      <c r="AN4101">
        <v>1.00000001096118</v>
      </c>
    </row>
    <row r="4102" spans="1:40" x14ac:dyDescent="0.25">
      <c r="A4102" t="str">
        <f>"20190303170852617"</f>
        <v>20190303170852617</v>
      </c>
      <c r="B4102" t="str">
        <f>"1551604132607922"</f>
        <v>1551604132607922</v>
      </c>
      <c r="C4102" t="s">
        <v>40</v>
      </c>
      <c r="D4102">
        <v>4.3368479999999998</v>
      </c>
      <c r="E4102">
        <v>0.43446669999999998</v>
      </c>
      <c r="F4102" t="s">
        <v>96</v>
      </c>
      <c r="G4102">
        <v>-403.94260000000003</v>
      </c>
      <c r="H4102">
        <v>1.208558</v>
      </c>
      <c r="I4102">
        <v>0.64069370000000003</v>
      </c>
      <c r="J4102">
        <v>-421.56580000000002</v>
      </c>
      <c r="K4102">
        <v>1.1271880000000001</v>
      </c>
      <c r="L4102">
        <v>29.71078</v>
      </c>
      <c r="M4102">
        <v>0.25082870000000002</v>
      </c>
      <c r="N4102">
        <v>-1.4325249999999999E-2</v>
      </c>
      <c r="O4102">
        <v>-0.96792549999999999</v>
      </c>
      <c r="P4102">
        <v>0.3368526</v>
      </c>
      <c r="Q4102">
        <v>0.20998120000000001</v>
      </c>
      <c r="R4102">
        <v>-0.91784449999999995</v>
      </c>
      <c r="S4102">
        <v>1.617462</v>
      </c>
      <c r="T4102">
        <v>7.4493889999999998E-3</v>
      </c>
      <c r="U4102">
        <v>-2.67923</v>
      </c>
      <c r="V4102">
        <v>-9.8971420000000004E-2</v>
      </c>
      <c r="W4102">
        <v>0.2225297</v>
      </c>
      <c r="X4102">
        <v>0.96988929999999995</v>
      </c>
      <c r="Y4102">
        <v>-0.28545619999999999</v>
      </c>
      <c r="Z4102">
        <v>-1.5734140000000001E-2</v>
      </c>
      <c r="AA4102">
        <v>0.95826259999999996</v>
      </c>
      <c r="AB4102">
        <v>25</v>
      </c>
      <c r="AC4102">
        <v>17.623199999999901</v>
      </c>
      <c r="AD4102">
        <v>8.1370000000000095E-2</v>
      </c>
      <c r="AE4102">
        <v>-29.0700863</v>
      </c>
      <c r="AF4102">
        <v>-9.7672788858679702</v>
      </c>
      <c r="AG4102">
        <v>8.1370000000000095E-2</v>
      </c>
      <c r="AH4102">
        <v>32.561236414717499</v>
      </c>
      <c r="AI4102">
        <v>89.862856259270004</v>
      </c>
      <c r="AJ4102">
        <v>106.697481295242</v>
      </c>
      <c r="AK4102">
        <v>33.994712453061702</v>
      </c>
      <c r="AL4102">
        <v>77.142342384505497</v>
      </c>
      <c r="AM4102">
        <v>95.826524681399306</v>
      </c>
      <c r="AN4102">
        <v>1.0000000318066899</v>
      </c>
    </row>
    <row r="4103" spans="1:40" x14ac:dyDescent="0.25">
      <c r="A4103" t="str">
        <f>"20190303170852640"</f>
        <v>20190303170852640</v>
      </c>
      <c r="B4103" t="str">
        <f>"1551604132627441"</f>
        <v>1551604132627441</v>
      </c>
      <c r="C4103" t="s">
        <v>40</v>
      </c>
      <c r="D4103">
        <v>4.303007</v>
      </c>
      <c r="E4103">
        <v>0.43554009999999999</v>
      </c>
      <c r="F4103" t="s">
        <v>96</v>
      </c>
      <c r="G4103">
        <v>-404.4984</v>
      </c>
      <c r="H4103">
        <v>0.8739846</v>
      </c>
      <c r="I4103">
        <v>0.6350403</v>
      </c>
      <c r="J4103">
        <v>-421.49509999999998</v>
      </c>
      <c r="K4103">
        <v>1.127318</v>
      </c>
      <c r="L4103">
        <v>29.475829999999998</v>
      </c>
      <c r="M4103">
        <v>0.25914769999999998</v>
      </c>
      <c r="N4103">
        <v>-1.4323010000000001E-2</v>
      </c>
      <c r="O4103">
        <v>-0.96573160000000002</v>
      </c>
      <c r="P4103">
        <v>0.34511730000000002</v>
      </c>
      <c r="Q4103">
        <v>0.20944009999999999</v>
      </c>
      <c r="R4103">
        <v>-0.91489310000000001</v>
      </c>
      <c r="S4103">
        <v>1.5811459999999999</v>
      </c>
      <c r="T4103">
        <v>-2.3459669999999998E-2</v>
      </c>
      <c r="U4103">
        <v>-2.6936339999999999</v>
      </c>
      <c r="V4103">
        <v>-9.9411769999999997E-2</v>
      </c>
      <c r="W4103">
        <v>0.2219486</v>
      </c>
      <c r="X4103">
        <v>0.96997739999999999</v>
      </c>
      <c r="Y4103">
        <v>-0.2653662</v>
      </c>
      <c r="Z4103">
        <v>-5.8151710000000001E-3</v>
      </c>
      <c r="AA4103">
        <v>0.96413020000000005</v>
      </c>
      <c r="AB4103">
        <v>25</v>
      </c>
      <c r="AC4103">
        <v>16.996699999999901</v>
      </c>
      <c r="AD4103">
        <v>-0.25333339999999999</v>
      </c>
      <c r="AE4103">
        <v>-28.840789699999998</v>
      </c>
      <c r="AF4103">
        <v>-8.9406302407567697</v>
      </c>
      <c r="AG4103">
        <v>-0.25333339999999999</v>
      </c>
      <c r="AH4103">
        <v>32.258576343501701</v>
      </c>
      <c r="AI4103">
        <v>90.433601777411496</v>
      </c>
      <c r="AJ4103">
        <v>105.490986642949</v>
      </c>
      <c r="AK4103">
        <v>33.475585052736797</v>
      </c>
      <c r="AL4103">
        <v>77.176490772414596</v>
      </c>
      <c r="AM4103">
        <v>95.851741039033797</v>
      </c>
      <c r="AN4103">
        <v>1.00000001878362</v>
      </c>
    </row>
    <row r="4104" spans="1:40" x14ac:dyDescent="0.25">
      <c r="A4104" t="str">
        <f>"20190303170852661"</f>
        <v>20190303170852661</v>
      </c>
      <c r="B4104" t="str">
        <f>"1551604132647939"</f>
        <v>1551604132647939</v>
      </c>
      <c r="C4104" t="s">
        <v>40</v>
      </c>
      <c r="D4104">
        <v>4.3426799999999997</v>
      </c>
      <c r="E4104">
        <v>0.4369133</v>
      </c>
      <c r="F4104" t="s">
        <v>96</v>
      </c>
      <c r="G4104">
        <v>-404.31909999999999</v>
      </c>
      <c r="H4104">
        <v>0.81314469999999905</v>
      </c>
      <c r="I4104">
        <v>0.63686180000000003</v>
      </c>
      <c r="J4104">
        <v>-421.4237</v>
      </c>
      <c r="K4104">
        <v>1.127459</v>
      </c>
      <c r="L4104">
        <v>29.246490000000001</v>
      </c>
      <c r="M4104">
        <v>0.26750750000000001</v>
      </c>
      <c r="N4104">
        <v>-1.431881E-2</v>
      </c>
      <c r="O4104">
        <v>-0.96344949999999996</v>
      </c>
      <c r="P4104">
        <v>0.35329559999999999</v>
      </c>
      <c r="Q4104">
        <v>0.20936679999999999</v>
      </c>
      <c r="R4104">
        <v>-0.91178289999999995</v>
      </c>
      <c r="S4104">
        <v>1.597931</v>
      </c>
      <c r="T4104">
        <v>-2.9230949999999999E-2</v>
      </c>
      <c r="U4104">
        <v>-2.6829830000000001</v>
      </c>
      <c r="V4104">
        <v>-9.9765069999999997E-2</v>
      </c>
      <c r="W4104">
        <v>0.2218319</v>
      </c>
      <c r="X4104">
        <v>0.96996780000000005</v>
      </c>
      <c r="Y4104">
        <v>-0.26314539999999997</v>
      </c>
      <c r="Z4104">
        <v>-3.9295950000000001E-3</v>
      </c>
      <c r="AA4104">
        <v>0.96474819999999994</v>
      </c>
      <c r="AB4104">
        <v>25</v>
      </c>
      <c r="AC4104">
        <v>17.104600000000001</v>
      </c>
      <c r="AD4104">
        <v>-0.31431429999999999</v>
      </c>
      <c r="AE4104">
        <v>-28.6096282</v>
      </c>
      <c r="AF4104">
        <v>-8.8262473278886109</v>
      </c>
      <c r="AG4104">
        <v>-0.31431429999999999</v>
      </c>
      <c r="AH4104">
        <v>32.139974555075</v>
      </c>
      <c r="AI4104">
        <v>90.540306517380202</v>
      </c>
      <c r="AJ4104">
        <v>105.355953810725</v>
      </c>
      <c r="AK4104">
        <v>33.331357604710803</v>
      </c>
      <c r="AL4104">
        <v>77.183347849066294</v>
      </c>
      <c r="AM4104">
        <v>95.872450204696307</v>
      </c>
      <c r="AN4104">
        <v>0.99999999704327702</v>
      </c>
    </row>
    <row r="4105" spans="1:40" x14ac:dyDescent="0.25">
      <c r="A4105" t="str">
        <f>"20190303170852684"</f>
        <v>20190303170852684</v>
      </c>
      <c r="B4105" t="str">
        <f>"1551604132678194"</f>
        <v>1551604132678194</v>
      </c>
      <c r="C4105" t="s">
        <v>40</v>
      </c>
      <c r="D4105">
        <v>4.3364339999999997</v>
      </c>
      <c r="E4105">
        <v>0.4385367</v>
      </c>
      <c r="F4105" t="s">
        <v>96</v>
      </c>
      <c r="G4105">
        <v>-404.15960000000001</v>
      </c>
      <c r="H4105">
        <v>0.79926129999999995</v>
      </c>
      <c r="I4105">
        <v>0.63848499999999997</v>
      </c>
      <c r="J4105">
        <v>-421.34679999999997</v>
      </c>
      <c r="K4105">
        <v>1.1276200000000001</v>
      </c>
      <c r="L4105">
        <v>29.00778</v>
      </c>
      <c r="M4105">
        <v>0.27646399999999999</v>
      </c>
      <c r="N4105">
        <v>-1.431437E-2</v>
      </c>
      <c r="O4105">
        <v>-0.96091769999999999</v>
      </c>
      <c r="P4105">
        <v>0.36225479999999999</v>
      </c>
      <c r="Q4105">
        <v>0.2091664</v>
      </c>
      <c r="R4105">
        <v>-0.90830710000000003</v>
      </c>
      <c r="S4105">
        <v>1.6127320000000001</v>
      </c>
      <c r="T4105">
        <v>-3.0661109999999998E-2</v>
      </c>
      <c r="U4105">
        <v>-2.6724239999999999</v>
      </c>
      <c r="V4105">
        <v>-0.1003593</v>
      </c>
      <c r="W4105">
        <v>0.22157940000000001</v>
      </c>
      <c r="X4105">
        <v>0.96996420000000005</v>
      </c>
      <c r="Y4105">
        <v>-0.25976470000000002</v>
      </c>
      <c r="Z4105">
        <v>-3.4348579999999998E-3</v>
      </c>
      <c r="AA4105">
        <v>0.96566580000000002</v>
      </c>
      <c r="AB4105">
        <v>25</v>
      </c>
      <c r="AC4105">
        <v>17.187199999999901</v>
      </c>
      <c r="AD4105">
        <v>-0.3283587</v>
      </c>
      <c r="AE4105">
        <v>-28.369295000000001</v>
      </c>
      <c r="AF4105">
        <v>-8.6724343584184496</v>
      </c>
      <c r="AG4105">
        <v>-0.3283587</v>
      </c>
      <c r="AH4105">
        <v>32.0123416475342</v>
      </c>
      <c r="AI4105">
        <v>90.567231583471397</v>
      </c>
      <c r="AJ4105">
        <v>105.158111909623</v>
      </c>
      <c r="AK4105">
        <v>33.1678904197327</v>
      </c>
      <c r="AL4105">
        <v>77.198184093670903</v>
      </c>
      <c r="AM4105">
        <v>95.907203391758699</v>
      </c>
      <c r="AN4105">
        <v>0.99999998444124405</v>
      </c>
    </row>
    <row r="4106" spans="1:40" x14ac:dyDescent="0.25">
      <c r="A4106" t="str">
        <f>"20190303170852705"</f>
        <v>20190303170852705</v>
      </c>
      <c r="B4106" t="str">
        <f>"1551604132697714"</f>
        <v>1551604132697714</v>
      </c>
      <c r="C4106" t="s">
        <v>40</v>
      </c>
      <c r="D4106">
        <v>4.3223089999999997</v>
      </c>
      <c r="E4106">
        <v>0.44479360000000001</v>
      </c>
      <c r="F4106" t="s">
        <v>96</v>
      </c>
      <c r="G4106">
        <v>-404.00400000000002</v>
      </c>
      <c r="H4106">
        <v>0.75738879999999997</v>
      </c>
      <c r="I4106">
        <v>0.64006609999999997</v>
      </c>
      <c r="J4106">
        <v>-421.2706</v>
      </c>
      <c r="K4106">
        <v>1.1277699999999999</v>
      </c>
      <c r="L4106">
        <v>28.779140000000002</v>
      </c>
      <c r="M4106">
        <v>0.28530060000000002</v>
      </c>
      <c r="N4106">
        <v>-1.4308629999999999E-2</v>
      </c>
      <c r="O4106">
        <v>-0.95833140000000006</v>
      </c>
      <c r="P4106">
        <v>0.37163439999999998</v>
      </c>
      <c r="Q4106">
        <v>0.20878820000000001</v>
      </c>
      <c r="R4106">
        <v>-0.90459719999999999</v>
      </c>
      <c r="S4106">
        <v>1.6273500000000001</v>
      </c>
      <c r="T4106">
        <v>-3.4742710000000003E-2</v>
      </c>
      <c r="U4106">
        <v>-2.6618650000000001</v>
      </c>
      <c r="V4106">
        <v>-0.1015269</v>
      </c>
      <c r="W4106">
        <v>0.2211381</v>
      </c>
      <c r="X4106">
        <v>0.96994340000000001</v>
      </c>
      <c r="Y4106">
        <v>-0.25643379999999999</v>
      </c>
      <c r="Z4106">
        <v>-2.0949470000000002E-3</v>
      </c>
      <c r="AA4106">
        <v>0.96655950000000002</v>
      </c>
      <c r="AB4106">
        <v>25</v>
      </c>
      <c r="AC4106">
        <v>17.266599999999901</v>
      </c>
      <c r="AD4106">
        <v>-0.37038120000000002</v>
      </c>
      <c r="AE4106">
        <v>-28.1390739</v>
      </c>
      <c r="AF4106">
        <v>-8.5188292734688194</v>
      </c>
      <c r="AG4106">
        <v>-0.37038120000000002</v>
      </c>
      <c r="AH4106">
        <v>31.891976900810899</v>
      </c>
      <c r="AI4106">
        <v>90.642844771742205</v>
      </c>
      <c r="AJ4106">
        <v>104.955403185572</v>
      </c>
      <c r="AK4106">
        <v>33.0122072128733</v>
      </c>
      <c r="AL4106">
        <v>77.224111934624403</v>
      </c>
      <c r="AM4106">
        <v>95.975561756073603</v>
      </c>
      <c r="AN4106">
        <v>0.99999998494938902</v>
      </c>
    </row>
    <row r="4107" spans="1:40" x14ac:dyDescent="0.25">
      <c r="A4107" t="str">
        <f>"20190303170852727"</f>
        <v>20190303170852727</v>
      </c>
      <c r="B4107" t="str">
        <f>"1551604132717234"</f>
        <v>1551604132717234</v>
      </c>
      <c r="C4107" t="s">
        <v>40</v>
      </c>
      <c r="D4107">
        <v>4.3397459999999999</v>
      </c>
      <c r="E4107">
        <v>0.44525049999999999</v>
      </c>
      <c r="F4107" t="s">
        <v>96</v>
      </c>
      <c r="G4107">
        <v>-404.27449999999999</v>
      </c>
      <c r="H4107">
        <v>0.63989469999999904</v>
      </c>
      <c r="I4107">
        <v>0.63731769999999999</v>
      </c>
      <c r="J4107">
        <v>-421.19060000000002</v>
      </c>
      <c r="K4107">
        <v>1.1279330000000001</v>
      </c>
      <c r="L4107">
        <v>28.547149999999998</v>
      </c>
      <c r="M4107">
        <v>0.29452640000000002</v>
      </c>
      <c r="N4107">
        <v>-1.430154E-2</v>
      </c>
      <c r="O4107">
        <v>-0.95553639999999995</v>
      </c>
      <c r="P4107">
        <v>0.38102150000000001</v>
      </c>
      <c r="Q4107">
        <v>0.20870859999999999</v>
      </c>
      <c r="R4107">
        <v>-0.90070190000000006</v>
      </c>
      <c r="S4107">
        <v>1.6098939999999999</v>
      </c>
      <c r="T4107">
        <v>-4.6215060000000002E-2</v>
      </c>
      <c r="U4107">
        <v>-2.6656490000000002</v>
      </c>
      <c r="V4107">
        <v>-0.102353</v>
      </c>
      <c r="W4107">
        <v>0.22099530000000001</v>
      </c>
      <c r="X4107">
        <v>0.96988920000000001</v>
      </c>
      <c r="Y4107">
        <v>-0.2418487</v>
      </c>
      <c r="Z4107">
        <v>1.5675379999999901E-3</v>
      </c>
      <c r="AA4107">
        <v>0.97031270000000003</v>
      </c>
      <c r="AB4107">
        <v>25</v>
      </c>
      <c r="AC4107">
        <v>16.9161</v>
      </c>
      <c r="AD4107">
        <v>-0.48803829999999998</v>
      </c>
      <c r="AE4107">
        <v>-27.909832300000001</v>
      </c>
      <c r="AF4107">
        <v>-7.94280261851614</v>
      </c>
      <c r="AG4107">
        <v>-0.48803829999999998</v>
      </c>
      <c r="AH4107">
        <v>31.647256780993398</v>
      </c>
      <c r="AI4107">
        <v>90.856926121754498</v>
      </c>
      <c r="AJ4107">
        <v>104.089034108416</v>
      </c>
      <c r="AK4107">
        <v>32.632424926460899</v>
      </c>
      <c r="AL4107">
        <v>77.232502308065506</v>
      </c>
      <c r="AM4107">
        <v>96.024161542876996</v>
      </c>
      <c r="AN4107">
        <v>1.0000000597538601</v>
      </c>
    </row>
    <row r="4108" spans="1:40" x14ac:dyDescent="0.25">
      <c r="A4108" t="str">
        <f>"20190303170852750"</f>
        <v>20190303170852750</v>
      </c>
      <c r="B4108" t="str">
        <f>"1551604132737731"</f>
        <v>1551604132737731</v>
      </c>
      <c r="C4108" t="s">
        <v>40</v>
      </c>
      <c r="D4108">
        <v>4.3258419999999997</v>
      </c>
      <c r="E4108">
        <v>0.44608510000000001</v>
      </c>
      <c r="F4108" t="s">
        <v>96</v>
      </c>
      <c r="G4108">
        <v>-403.97140000000002</v>
      </c>
      <c r="H4108">
        <v>0.66272379999999997</v>
      </c>
      <c r="I4108">
        <v>0.64039799999999902</v>
      </c>
      <c r="J4108">
        <v>-421.10820000000001</v>
      </c>
      <c r="K4108">
        <v>1.128104</v>
      </c>
      <c r="L4108">
        <v>28.316890000000001</v>
      </c>
      <c r="M4108">
        <v>0.30397170000000001</v>
      </c>
      <c r="N4108">
        <v>-1.4292620000000001E-2</v>
      </c>
      <c r="O4108">
        <v>-0.95257380000000003</v>
      </c>
      <c r="P4108">
        <v>0.39005319999999999</v>
      </c>
      <c r="Q4108">
        <v>0.20889079999999999</v>
      </c>
      <c r="R4108">
        <v>-0.89678480000000005</v>
      </c>
      <c r="S4108">
        <v>1.6347659999999999</v>
      </c>
      <c r="T4108">
        <v>-4.4168949999999998E-2</v>
      </c>
      <c r="U4108">
        <v>-2.6494450000000001</v>
      </c>
      <c r="V4108">
        <v>-0.10260950000000001</v>
      </c>
      <c r="W4108">
        <v>0.2211214</v>
      </c>
      <c r="X4108">
        <v>0.96983330000000001</v>
      </c>
      <c r="Y4108">
        <v>-0.24149100000000001</v>
      </c>
      <c r="Z4108">
        <v>9.5987450000000005E-4</v>
      </c>
      <c r="AA4108">
        <v>0.9704026</v>
      </c>
      <c r="AB4108">
        <v>25</v>
      </c>
      <c r="AC4108">
        <v>17.136799999999901</v>
      </c>
      <c r="AD4108">
        <v>-0.46538019999999902</v>
      </c>
      <c r="AE4108">
        <v>-27.676492</v>
      </c>
      <c r="AF4108">
        <v>-7.9103880986482196</v>
      </c>
      <c r="AG4108">
        <v>-0.46538019999999902</v>
      </c>
      <c r="AH4108">
        <v>31.5697776218678</v>
      </c>
      <c r="AI4108">
        <v>90.819231806743204</v>
      </c>
      <c r="AJ4108">
        <v>104.06688961538001</v>
      </c>
      <c r="AK4108">
        <v>32.549065696206497</v>
      </c>
      <c r="AL4108">
        <v>77.2250933413452</v>
      </c>
      <c r="AM4108">
        <v>96.039492378638798</v>
      </c>
      <c r="AN4108">
        <v>1.0000000064085499</v>
      </c>
    </row>
    <row r="4109" spans="1:40" x14ac:dyDescent="0.25">
      <c r="A4109" t="str">
        <f>"20190303170852773"</f>
        <v>20190303170852773</v>
      </c>
      <c r="B4109" t="str">
        <f>"1551604132767991"</f>
        <v>1551604132767991</v>
      </c>
      <c r="C4109" t="s">
        <v>40</v>
      </c>
      <c r="D4109">
        <v>4.3418720000000004</v>
      </c>
      <c r="E4109">
        <v>0.44707829999999898</v>
      </c>
      <c r="F4109" t="s">
        <v>96</v>
      </c>
      <c r="G4109">
        <v>-403.714</v>
      </c>
      <c r="H4109">
        <v>0.67095780000000005</v>
      </c>
      <c r="I4109">
        <v>0.64301680000000005</v>
      </c>
      <c r="J4109">
        <v>-421.01749999999998</v>
      </c>
      <c r="K4109">
        <v>1.1282749999999999</v>
      </c>
      <c r="L4109">
        <v>28.072600000000001</v>
      </c>
      <c r="M4109">
        <v>0.31429940000000001</v>
      </c>
      <c r="N4109">
        <v>-1.42837E-2</v>
      </c>
      <c r="O4109">
        <v>-0.94921670000000002</v>
      </c>
      <c r="P4109">
        <v>0.39993430000000002</v>
      </c>
      <c r="Q4109">
        <v>0.2094251</v>
      </c>
      <c r="R4109">
        <v>-0.89229729999999996</v>
      </c>
      <c r="S4109">
        <v>1.65625</v>
      </c>
      <c r="T4109">
        <v>-4.3531300000000002E-2</v>
      </c>
      <c r="U4109">
        <v>-2.6350709999999999</v>
      </c>
      <c r="V4109">
        <v>-0.10293330000000001</v>
      </c>
      <c r="W4109">
        <v>0.22159619999999999</v>
      </c>
      <c r="X4109">
        <v>0.96969059999999996</v>
      </c>
      <c r="Y4109">
        <v>-0.2390061</v>
      </c>
      <c r="Z4109">
        <v>7.9432340000000002E-4</v>
      </c>
      <c r="AA4109">
        <v>0.97101769999999998</v>
      </c>
      <c r="AB4109">
        <v>25</v>
      </c>
      <c r="AC4109">
        <v>17.3034999999999</v>
      </c>
      <c r="AD4109">
        <v>-0.45731719999999898</v>
      </c>
      <c r="AE4109">
        <v>-27.4295832</v>
      </c>
      <c r="AF4109">
        <v>-7.8029124066022701</v>
      </c>
      <c r="AG4109">
        <v>-0.45731719999999898</v>
      </c>
      <c r="AH4109">
        <v>31.472043966520602</v>
      </c>
      <c r="AI4109">
        <v>90.808039427905697</v>
      </c>
      <c r="AJ4109">
        <v>103.924646816094</v>
      </c>
      <c r="AK4109">
        <v>32.428137974252003</v>
      </c>
      <c r="AL4109">
        <v>77.197197186951001</v>
      </c>
      <c r="AM4109">
        <v>96.059294325803407</v>
      </c>
      <c r="AN4109">
        <v>0.99999999991584498</v>
      </c>
    </row>
    <row r="4110" spans="1:40" x14ac:dyDescent="0.25">
      <c r="A4110" t="str">
        <f>"20190303170852795"</f>
        <v>20190303170852795</v>
      </c>
      <c r="B4110" t="str">
        <f>"1551604132787509"</f>
        <v>1551604132787509</v>
      </c>
      <c r="C4110" t="s">
        <v>40</v>
      </c>
      <c r="D4110">
        <v>4.3551580000000003</v>
      </c>
      <c r="E4110">
        <v>0.45243850000000002</v>
      </c>
      <c r="F4110" t="s">
        <v>96</v>
      </c>
      <c r="G4110">
        <v>-403.4314</v>
      </c>
      <c r="H4110">
        <v>0.67271639999999999</v>
      </c>
      <c r="I4110">
        <v>0.645891199999999</v>
      </c>
      <c r="J4110">
        <v>-420.93209999999999</v>
      </c>
      <c r="K4110">
        <v>1.128406</v>
      </c>
      <c r="L4110">
        <v>27.850429999999999</v>
      </c>
      <c r="M4110">
        <v>0.32390350000000001</v>
      </c>
      <c r="N4110">
        <v>-1.427548E-2</v>
      </c>
      <c r="O4110">
        <v>-0.94598249999999995</v>
      </c>
      <c r="P4110">
        <v>0.40903040000000002</v>
      </c>
      <c r="Q4110">
        <v>0.2098563</v>
      </c>
      <c r="R4110">
        <v>-0.88806229999999997</v>
      </c>
      <c r="S4110">
        <v>1.6796259999999901</v>
      </c>
      <c r="T4110">
        <v>-4.3512580000000002E-2</v>
      </c>
      <c r="U4110">
        <v>-2.619507</v>
      </c>
      <c r="V4110">
        <v>-0.10313079999999999</v>
      </c>
      <c r="W4110">
        <v>0.22198019999999999</v>
      </c>
      <c r="X4110">
        <v>0.96958180000000005</v>
      </c>
      <c r="Y4110">
        <v>-0.23792540000000001</v>
      </c>
      <c r="Z4110">
        <v>8.2726999999999996E-4</v>
      </c>
      <c r="AA4110">
        <v>0.97128309999999995</v>
      </c>
      <c r="AB4110">
        <v>25</v>
      </c>
      <c r="AC4110">
        <v>17.500699999999899</v>
      </c>
      <c r="AD4110">
        <v>-0.45568959999999897</v>
      </c>
      <c r="AE4110">
        <v>-27.204538800000002</v>
      </c>
      <c r="AF4110">
        <v>-7.7429625500440604</v>
      </c>
      <c r="AG4110">
        <v>-0.45568959999999897</v>
      </c>
      <c r="AH4110">
        <v>31.400521975458901</v>
      </c>
      <c r="AI4110">
        <v>90.807250509980307</v>
      </c>
      <c r="AJ4110">
        <v>103.852052162532</v>
      </c>
      <c r="AK4110">
        <v>32.344302471907</v>
      </c>
      <c r="AL4110">
        <v>77.1746339086246</v>
      </c>
      <c r="AM4110">
        <v>96.071509807202403</v>
      </c>
      <c r="AN4110">
        <v>1.0000000189959599</v>
      </c>
    </row>
    <row r="4111" spans="1:40" x14ac:dyDescent="0.25">
      <c r="A4111" t="str">
        <f>"20190303170852818"</f>
        <v>20190303170852818</v>
      </c>
      <c r="B4111" t="str">
        <f>"1551604132808005"</f>
        <v>1551604132808005</v>
      </c>
      <c r="C4111" t="s">
        <v>40</v>
      </c>
      <c r="D4111">
        <v>4.3542319999999997</v>
      </c>
      <c r="E4111">
        <v>0.45292749999999998</v>
      </c>
      <c r="F4111" t="s">
        <v>96</v>
      </c>
      <c r="G4111">
        <v>-403.62040000000002</v>
      </c>
      <c r="H4111">
        <v>0.55898930000000002</v>
      </c>
      <c r="I4111">
        <v>0.6439705</v>
      </c>
      <c r="J4111">
        <v>-420.83870000000002</v>
      </c>
      <c r="K4111">
        <v>1.1285339999999999</v>
      </c>
      <c r="L4111">
        <v>27.615480000000002</v>
      </c>
      <c r="M4111">
        <v>0.33428720000000001</v>
      </c>
      <c r="N4111">
        <v>-1.4262540000000001E-2</v>
      </c>
      <c r="O4111">
        <v>-0.94236339999999996</v>
      </c>
      <c r="P4111">
        <v>0.41947879999999899</v>
      </c>
      <c r="Q4111">
        <v>0.20955579999999999</v>
      </c>
      <c r="R4111">
        <v>-0.88324650000000005</v>
      </c>
      <c r="S4111">
        <v>1.6687320000000001</v>
      </c>
      <c r="T4111">
        <v>-5.4890630000000003E-2</v>
      </c>
      <c r="U4111">
        <v>-2.622528</v>
      </c>
      <c r="V4111">
        <v>-0.103950399999999</v>
      </c>
      <c r="W4111">
        <v>0.22162119999999999</v>
      </c>
      <c r="X4111">
        <v>0.9695764</v>
      </c>
      <c r="Y4111">
        <v>-0.22383620000000001</v>
      </c>
      <c r="Z4111">
        <v>4.4083250000000003E-3</v>
      </c>
      <c r="AA4111">
        <v>0.97461679999999995</v>
      </c>
      <c r="AB4111">
        <v>25</v>
      </c>
      <c r="AC4111">
        <v>17.218299999999999</v>
      </c>
      <c r="AD4111">
        <v>-0.56954469999999902</v>
      </c>
      <c r="AE4111">
        <v>-26.9715095</v>
      </c>
      <c r="AF4111">
        <v>-7.2081147519142297</v>
      </c>
      <c r="AG4111">
        <v>-0.56954469999999902</v>
      </c>
      <c r="AH4111">
        <v>31.166116330919301</v>
      </c>
      <c r="AI4111">
        <v>91.020014932160706</v>
      </c>
      <c r="AJ4111">
        <v>103.02242573093299</v>
      </c>
      <c r="AK4111">
        <v>31.9938760795634</v>
      </c>
      <c r="AL4111">
        <v>77.195728513319906</v>
      </c>
      <c r="AM4111">
        <v>96.119430394201302</v>
      </c>
      <c r="AN4111">
        <v>1.00000001869327</v>
      </c>
    </row>
    <row r="4112" spans="1:40" x14ac:dyDescent="0.25">
      <c r="A4112" t="str">
        <f>"20190303170852840"</f>
        <v>20190303170852840</v>
      </c>
      <c r="B4112" t="str">
        <f>"1551604132827526"</f>
        <v>1551604132827526</v>
      </c>
      <c r="C4112" t="s">
        <v>40</v>
      </c>
      <c r="D4112">
        <v>4.3704839999999896</v>
      </c>
      <c r="E4112">
        <v>0.45330890000000001</v>
      </c>
      <c r="F4112" t="s">
        <v>96</v>
      </c>
      <c r="G4112">
        <v>-403.27420000000001</v>
      </c>
      <c r="H4112">
        <v>0.54484060000000001</v>
      </c>
      <c r="I4112">
        <v>0.64748760000000005</v>
      </c>
      <c r="J4112">
        <v>-420.74880000000002</v>
      </c>
      <c r="K4112">
        <v>1.128638</v>
      </c>
      <c r="L4112">
        <v>27.396609999999999</v>
      </c>
      <c r="M4112">
        <v>0.34415980000000002</v>
      </c>
      <c r="N4112">
        <v>-1.424715E-2</v>
      </c>
      <c r="O4112">
        <v>-0.9388031</v>
      </c>
      <c r="P4112">
        <v>0.42927969999999999</v>
      </c>
      <c r="Q4112">
        <v>0.2086568</v>
      </c>
      <c r="R4112">
        <v>-0.87873849999999998</v>
      </c>
      <c r="S4112">
        <v>1.6962279999999901</v>
      </c>
      <c r="T4112">
        <v>-5.6370499999999997E-2</v>
      </c>
      <c r="U4112">
        <v>-2.6043400000000001</v>
      </c>
      <c r="V4112">
        <v>-0.1045338</v>
      </c>
      <c r="W4112">
        <v>0.2206716</v>
      </c>
      <c r="X4112">
        <v>0.96973030000000005</v>
      </c>
      <c r="Y4112">
        <v>-0.2239411</v>
      </c>
      <c r="Z4112">
        <v>4.9141790000000003E-3</v>
      </c>
      <c r="AA4112">
        <v>0.97459030000000002</v>
      </c>
      <c r="AB4112">
        <v>25</v>
      </c>
      <c r="AC4112">
        <v>17.474599999999999</v>
      </c>
      <c r="AD4112">
        <v>-0.58379740000000002</v>
      </c>
      <c r="AE4112">
        <v>-26.749122400000001</v>
      </c>
      <c r="AF4112">
        <v>-7.1975631435426202</v>
      </c>
      <c r="AG4112">
        <v>-0.58379740000000002</v>
      </c>
      <c r="AH4112">
        <v>31.118981048738501</v>
      </c>
      <c r="AI4112">
        <v>91.047115643235799</v>
      </c>
      <c r="AJ4112">
        <v>103.02303718442801</v>
      </c>
      <c r="AK4112">
        <v>31.945840357099399</v>
      </c>
      <c r="AL4112">
        <v>77.2515184661316</v>
      </c>
      <c r="AM4112">
        <v>96.152542568211004</v>
      </c>
      <c r="AN4112">
        <v>1.0000000625635399</v>
      </c>
    </row>
    <row r="4113" spans="1:40" x14ac:dyDescent="0.25">
      <c r="A4113" t="str">
        <f>"20190303170852862"</f>
        <v>20190303170852862</v>
      </c>
      <c r="B4113" t="str">
        <f>"1551604132858073"</f>
        <v>1551604132858073</v>
      </c>
      <c r="C4113" t="s">
        <v>40</v>
      </c>
      <c r="D4113">
        <v>4.4019139999999997</v>
      </c>
      <c r="E4113">
        <v>0.42209600000000003</v>
      </c>
      <c r="F4113" t="s">
        <v>96</v>
      </c>
      <c r="G4113">
        <v>-402.94130000000001</v>
      </c>
      <c r="H4113">
        <v>0.50354840000000001</v>
      </c>
      <c r="I4113">
        <v>0.65087510000000004</v>
      </c>
      <c r="J4113">
        <v>-420.6533</v>
      </c>
      <c r="K4113">
        <v>1.128733</v>
      </c>
      <c r="L4113">
        <v>27.17117</v>
      </c>
      <c r="M4113">
        <v>0.35452289999999997</v>
      </c>
      <c r="N4113">
        <v>-1.422698E-2</v>
      </c>
      <c r="O4113">
        <v>-0.93493919999999997</v>
      </c>
      <c r="P4113">
        <v>0.44015549999999998</v>
      </c>
      <c r="Q4113">
        <v>0.2080012</v>
      </c>
      <c r="R4113">
        <v>-0.87349829999999995</v>
      </c>
      <c r="S4113">
        <v>1.7223820000000001</v>
      </c>
      <c r="T4113">
        <v>-6.0462710000000003E-2</v>
      </c>
      <c r="U4113">
        <v>-2.5869140000000002</v>
      </c>
      <c r="V4113">
        <v>-0.10584250000000001</v>
      </c>
      <c r="W4113">
        <v>0.2199451</v>
      </c>
      <c r="X4113">
        <v>0.96975330000000004</v>
      </c>
      <c r="Y4113">
        <v>-0.22300970000000001</v>
      </c>
      <c r="Z4113">
        <v>6.2341360000000004E-3</v>
      </c>
      <c r="AA4113">
        <v>0.97479629999999995</v>
      </c>
      <c r="AB4113">
        <v>25</v>
      </c>
      <c r="AC4113">
        <v>17.7119999999999</v>
      </c>
      <c r="AD4113">
        <v>-0.62518459999999998</v>
      </c>
      <c r="AE4113">
        <v>-26.5202948999999</v>
      </c>
      <c r="AF4113">
        <v>-7.1555650837176303</v>
      </c>
      <c r="AG4113">
        <v>-0.62518459999999998</v>
      </c>
      <c r="AH4113">
        <v>31.065376430076</v>
      </c>
      <c r="AI4113">
        <v>91.123499489127397</v>
      </c>
      <c r="AJ4113">
        <v>102.971205893479</v>
      </c>
      <c r="AK4113">
        <v>31.884958525827201</v>
      </c>
      <c r="AL4113">
        <v>77.294191167768204</v>
      </c>
      <c r="AM4113">
        <v>96.228820316441499</v>
      </c>
      <c r="AN4113">
        <v>0.99999997234057403</v>
      </c>
    </row>
    <row r="4114" spans="1:40" x14ac:dyDescent="0.25">
      <c r="A4114" t="str">
        <f>"20190303170852884"</f>
        <v>20190303170852884</v>
      </c>
      <c r="B4114" t="str">
        <f>"1551604132877594"</f>
        <v>1551604132877594</v>
      </c>
      <c r="C4114" t="s">
        <v>40</v>
      </c>
      <c r="D4114">
        <v>4.3212869999999999</v>
      </c>
      <c r="E4114">
        <v>0.40636260000000002</v>
      </c>
      <c r="F4114" t="s">
        <v>96</v>
      </c>
      <c r="G4114">
        <v>-399.31360000000001</v>
      </c>
      <c r="H4114">
        <v>1.091137</v>
      </c>
      <c r="I4114">
        <v>0.68777080000000002</v>
      </c>
      <c r="J4114">
        <v>-420.55610000000001</v>
      </c>
      <c r="K4114">
        <v>1.1288320000000001</v>
      </c>
      <c r="L4114">
        <v>26.94922</v>
      </c>
      <c r="M4114">
        <v>0.36490810000000001</v>
      </c>
      <c r="N4114">
        <v>-1.420066E-2</v>
      </c>
      <c r="O4114">
        <v>-0.93093530000000002</v>
      </c>
      <c r="P4114">
        <v>0.4511848</v>
      </c>
      <c r="Q4114">
        <v>0.20720479999999999</v>
      </c>
      <c r="R4114">
        <v>-0.86804309999999996</v>
      </c>
      <c r="S4114">
        <v>1.9687190000000001</v>
      </c>
      <c r="T4114">
        <v>-3.470898E-3</v>
      </c>
      <c r="U4114">
        <v>-2.4432680000000002</v>
      </c>
      <c r="V4114">
        <v>-0.107311</v>
      </c>
      <c r="W4114">
        <v>0.21906919999999999</v>
      </c>
      <c r="X4114">
        <v>0.96979020000000005</v>
      </c>
      <c r="Y4114">
        <v>-0.2999115</v>
      </c>
      <c r="Z4114">
        <v>-1.133374E-2</v>
      </c>
      <c r="AA4114">
        <v>0.95389970000000002</v>
      </c>
      <c r="AB4114">
        <v>25</v>
      </c>
      <c r="AC4114">
        <v>21.2425</v>
      </c>
      <c r="AD4114">
        <v>-3.7694999999999999E-2</v>
      </c>
      <c r="AE4114">
        <v>-26.261449199999898</v>
      </c>
      <c r="AF4114">
        <v>-10.193392154910599</v>
      </c>
      <c r="AG4114">
        <v>-3.7694999999999999E-2</v>
      </c>
      <c r="AH4114">
        <v>32.202475601879499</v>
      </c>
      <c r="AI4114">
        <v>90.063941308466994</v>
      </c>
      <c r="AJ4114">
        <v>107.564695705343</v>
      </c>
      <c r="AK4114">
        <v>33.777301541515399</v>
      </c>
      <c r="AL4114">
        <v>77.345631456338097</v>
      </c>
      <c r="AM4114">
        <v>96.314309690821602</v>
      </c>
      <c r="AN4114">
        <v>0.99999999856284005</v>
      </c>
    </row>
    <row r="4115" spans="1:40" x14ac:dyDescent="0.25">
      <c r="A4115" t="str">
        <f>"20190303170852906"</f>
        <v>20190303170852906</v>
      </c>
      <c r="B4115" t="str">
        <f>"1551604132898089"</f>
        <v>1551604132898089</v>
      </c>
      <c r="C4115" t="s">
        <v>40</v>
      </c>
      <c r="D4115">
        <v>4.3746769999999904</v>
      </c>
      <c r="E4115">
        <v>0.3606644</v>
      </c>
      <c r="F4115" t="s">
        <v>96</v>
      </c>
      <c r="G4115">
        <v>-397.0745</v>
      </c>
      <c r="H4115">
        <v>1.5886209999999901</v>
      </c>
      <c r="I4115">
        <v>0.71054269999999997</v>
      </c>
      <c r="J4115">
        <v>-420.45679999999999</v>
      </c>
      <c r="K4115">
        <v>1.1289419999999999</v>
      </c>
      <c r="L4115">
        <v>26.729769999999998</v>
      </c>
      <c r="M4115">
        <v>0.3753418</v>
      </c>
      <c r="N4115">
        <v>-1.4166949999999999E-2</v>
      </c>
      <c r="O4115">
        <v>-0.92677810000000005</v>
      </c>
      <c r="P4115">
        <v>0.4629315</v>
      </c>
      <c r="Q4115">
        <v>0.2068682</v>
      </c>
      <c r="R4115">
        <v>-0.86191649999999997</v>
      </c>
      <c r="S4115">
        <v>2.1049500000000001</v>
      </c>
      <c r="T4115">
        <v>4.1214590000000002E-2</v>
      </c>
      <c r="U4115">
        <v>-2.352112</v>
      </c>
      <c r="V4115">
        <v>-0.1096155</v>
      </c>
      <c r="W4115">
        <v>0.21862709999999999</v>
      </c>
      <c r="X4115">
        <v>0.96963220000000006</v>
      </c>
      <c r="Y4115">
        <v>-0.3381498</v>
      </c>
      <c r="Z4115">
        <v>-2.5157229999999999E-2</v>
      </c>
      <c r="AA4115">
        <v>0.94075600000000004</v>
      </c>
      <c r="AB4115">
        <v>25</v>
      </c>
      <c r="AC4115">
        <v>23.382299999999901</v>
      </c>
      <c r="AD4115">
        <v>0.45967899999999901</v>
      </c>
      <c r="AE4115">
        <v>-26.019227300000001</v>
      </c>
      <c r="AF4115">
        <v>-11.9032404638382</v>
      </c>
      <c r="AG4115">
        <v>0.45967899999999901</v>
      </c>
      <c r="AH4115">
        <v>32.888029872696102</v>
      </c>
      <c r="AI4115">
        <v>89.247018869319206</v>
      </c>
      <c r="AJ4115">
        <v>109.896826677736</v>
      </c>
      <c r="AK4115">
        <v>34.978864293031997</v>
      </c>
      <c r="AL4115">
        <v>77.371591038769495</v>
      </c>
      <c r="AM4115">
        <v>96.449820795370897</v>
      </c>
      <c r="AN4115">
        <v>0.99999998498574905</v>
      </c>
    </row>
    <row r="4116" spans="1:40" x14ac:dyDescent="0.25">
      <c r="A4116" t="str">
        <f>"20190303170852929"</f>
        <v>20190303170852929</v>
      </c>
      <c r="B4116" t="str">
        <f>"1551604132917610"</f>
        <v>1551604132917610</v>
      </c>
      <c r="C4116" t="s">
        <v>40</v>
      </c>
      <c r="D4116">
        <v>4.3594460000000002</v>
      </c>
      <c r="E4116">
        <v>0.3604907</v>
      </c>
      <c r="F4116" t="s">
        <v>96</v>
      </c>
      <c r="G4116">
        <v>-392.21980000000002</v>
      </c>
      <c r="H4116">
        <v>3.3695849999999998</v>
      </c>
      <c r="I4116">
        <v>2.0569500000000001</v>
      </c>
      <c r="J4116">
        <v>-420.35410000000002</v>
      </c>
      <c r="K4116">
        <v>1.12904</v>
      </c>
      <c r="L4116">
        <v>26.509519999999998</v>
      </c>
      <c r="M4116">
        <v>0.38597359999999997</v>
      </c>
      <c r="N4116">
        <v>-1.412504E-2</v>
      </c>
      <c r="O4116">
        <v>-0.92240200000000006</v>
      </c>
      <c r="P4116">
        <v>0.47485939999999999</v>
      </c>
      <c r="Q4116">
        <v>0.20769889999999999</v>
      </c>
      <c r="R4116">
        <v>-0.85520209999999997</v>
      </c>
      <c r="S4116">
        <v>2.4341430000000002</v>
      </c>
      <c r="T4116">
        <v>0.19314990000000001</v>
      </c>
      <c r="U4116">
        <v>-2.1268919999999998</v>
      </c>
      <c r="V4116">
        <v>-0.11208940000000001</v>
      </c>
      <c r="W4116">
        <v>0.21933759999999999</v>
      </c>
      <c r="X4116">
        <v>0.96918890000000002</v>
      </c>
      <c r="Y4116">
        <v>-0.4387104</v>
      </c>
      <c r="Z4116">
        <v>-7.2103680000000003E-2</v>
      </c>
      <c r="AA4116">
        <v>0.89573119999999995</v>
      </c>
      <c r="AB4116">
        <v>25</v>
      </c>
      <c r="AC4116">
        <v>28.1343</v>
      </c>
      <c r="AD4116">
        <v>2.240545</v>
      </c>
      <c r="AE4116">
        <v>-24.452570000000001</v>
      </c>
      <c r="AF4116">
        <v>-16.455279129568101</v>
      </c>
      <c r="AG4116">
        <v>2.240545</v>
      </c>
      <c r="AH4116">
        <v>33.297220173164298</v>
      </c>
      <c r="AI4116">
        <v>86.547827832360397</v>
      </c>
      <c r="AJ4116">
        <v>116.298296083373</v>
      </c>
      <c r="AK4116">
        <v>37.208885019430603</v>
      </c>
      <c r="AL4116">
        <v>77.329870857768199</v>
      </c>
      <c r="AM4116">
        <v>96.597107567138707</v>
      </c>
      <c r="AN4116">
        <v>1.0000000701246601</v>
      </c>
    </row>
    <row r="4117" spans="1:40" x14ac:dyDescent="0.25">
      <c r="A4117" t="str">
        <f>"20190303170852952"</f>
        <v>20190303170852952</v>
      </c>
      <c r="B4117" t="str">
        <f>"1551604132938105"</f>
        <v>1551604132938105</v>
      </c>
      <c r="C4117" t="s">
        <v>40</v>
      </c>
      <c r="D4117">
        <v>4.323626</v>
      </c>
      <c r="E4117">
        <v>0.36178189999999999</v>
      </c>
      <c r="F4117" t="s">
        <v>96</v>
      </c>
      <c r="G4117">
        <v>-391.54629999999997</v>
      </c>
      <c r="H4117">
        <v>3.3501129999999999</v>
      </c>
      <c r="I4117">
        <v>2.0638010000000002</v>
      </c>
      <c r="J4117">
        <v>-420.24799999999999</v>
      </c>
      <c r="K4117">
        <v>1.129127</v>
      </c>
      <c r="L4117">
        <v>26.28979</v>
      </c>
      <c r="M4117">
        <v>0.39674870000000001</v>
      </c>
      <c r="N4117">
        <v>-1.4075880000000001E-2</v>
      </c>
      <c r="O4117">
        <v>-0.91781950000000001</v>
      </c>
      <c r="P4117">
        <v>0.48548249999999998</v>
      </c>
      <c r="Q4117">
        <v>0.20858099999999999</v>
      </c>
      <c r="R4117">
        <v>-0.84900030000000004</v>
      </c>
      <c r="S4117">
        <v>2.4659420000000001</v>
      </c>
      <c r="T4117">
        <v>0.19012209999999999</v>
      </c>
      <c r="U4117">
        <v>-2.0925600000000002</v>
      </c>
      <c r="V4117">
        <v>-0.1129764</v>
      </c>
      <c r="W4117">
        <v>0.22012609999999999</v>
      </c>
      <c r="X4117">
        <v>0.96890710000000002</v>
      </c>
      <c r="Y4117">
        <v>-0.44121280000000002</v>
      </c>
      <c r="Z4117">
        <v>-7.0893629999999999E-2</v>
      </c>
      <c r="AA4117">
        <v>0.89459789999999995</v>
      </c>
      <c r="AB4117">
        <v>25</v>
      </c>
      <c r="AC4117">
        <v>28.701699999999999</v>
      </c>
      <c r="AD4117">
        <v>2.2209859999999999</v>
      </c>
      <c r="AE4117">
        <v>-24.225988999999998</v>
      </c>
      <c r="AF4117">
        <v>-16.674698760764699</v>
      </c>
      <c r="AG4117">
        <v>2.2209859999999999</v>
      </c>
      <c r="AH4117">
        <v>33.508603298453998</v>
      </c>
      <c r="AI4117">
        <v>86.604058175163402</v>
      </c>
      <c r="AJ4117">
        <v>116.456058460877</v>
      </c>
      <c r="AK4117">
        <v>37.494064231390098</v>
      </c>
      <c r="AL4117">
        <v>77.283561315282299</v>
      </c>
      <c r="AM4117">
        <v>96.650763480258902</v>
      </c>
      <c r="AN4117">
        <v>1.00000006764428</v>
      </c>
    </row>
    <row r="4118" spans="1:40" x14ac:dyDescent="0.25">
      <c r="A4118" t="str">
        <f>"20190303170852974"</f>
        <v>20190303170852974</v>
      </c>
      <c r="B4118" t="str">
        <f>"1551604132967386"</f>
        <v>1551604132967386</v>
      </c>
      <c r="C4118" t="s">
        <v>40</v>
      </c>
      <c r="D4118">
        <v>4.290273</v>
      </c>
      <c r="E4118">
        <v>0.36392910000000001</v>
      </c>
      <c r="F4118" t="s">
        <v>96</v>
      </c>
      <c r="G4118">
        <v>-391.13549999999998</v>
      </c>
      <c r="H4118">
        <v>3.315388</v>
      </c>
      <c r="I4118">
        <v>2.0679780000000001</v>
      </c>
      <c r="J4118">
        <v>-420.13670000000002</v>
      </c>
      <c r="K4118">
        <v>1.129194</v>
      </c>
      <c r="L4118">
        <v>26.06635</v>
      </c>
      <c r="M4118">
        <v>0.40784039999999999</v>
      </c>
      <c r="N4118">
        <v>-1.402315E-2</v>
      </c>
      <c r="O4118">
        <v>-0.91294549999999997</v>
      </c>
      <c r="P4118">
        <v>0.49621850000000001</v>
      </c>
      <c r="Q4118">
        <v>0.20816599999999999</v>
      </c>
      <c r="R4118">
        <v>-0.84287269999999903</v>
      </c>
      <c r="S4118">
        <v>2.4844059999999999</v>
      </c>
      <c r="T4118">
        <v>0.18656929999999999</v>
      </c>
      <c r="U4118">
        <v>-2.0670470000000001</v>
      </c>
      <c r="V4118">
        <v>-0.1135277</v>
      </c>
      <c r="W4118">
        <v>0.2196283</v>
      </c>
      <c r="X4118">
        <v>0.96895560000000003</v>
      </c>
      <c r="Y4118">
        <v>-0.43910700000000003</v>
      </c>
      <c r="Z4118">
        <v>-6.9528909999999999E-2</v>
      </c>
      <c r="AA4118">
        <v>0.89574030000000004</v>
      </c>
      <c r="AB4118">
        <v>25</v>
      </c>
      <c r="AC4118">
        <v>29.001200000000001</v>
      </c>
      <c r="AD4118">
        <v>2.1861939999999902</v>
      </c>
      <c r="AE4118">
        <v>-23.998372</v>
      </c>
      <c r="AF4118">
        <v>-16.634543672318301</v>
      </c>
      <c r="AG4118">
        <v>2.1861939999999902</v>
      </c>
      <c r="AH4118">
        <v>33.626963502744097</v>
      </c>
      <c r="AI4118">
        <v>86.664973868677805</v>
      </c>
      <c r="AJ4118">
        <v>116.32062343997799</v>
      </c>
      <c r="AK4118">
        <v>37.580050050615803</v>
      </c>
      <c r="AL4118">
        <v>77.312798328554294</v>
      </c>
      <c r="AM4118">
        <v>96.682593412678301</v>
      </c>
      <c r="AN4118">
        <v>1.0000000417997601</v>
      </c>
    </row>
    <row r="4119" spans="1:40" x14ac:dyDescent="0.25">
      <c r="A4119" t="str">
        <f>"20190303170852996"</f>
        <v>20190303170852996</v>
      </c>
      <c r="B4119" t="str">
        <f>"1551604132987881"</f>
        <v>1551604132987881</v>
      </c>
      <c r="C4119" t="s">
        <v>40</v>
      </c>
      <c r="D4119">
        <v>4.2777529999999997</v>
      </c>
      <c r="E4119">
        <v>0.36513069999999997</v>
      </c>
      <c r="F4119" t="s">
        <v>96</v>
      </c>
      <c r="G4119">
        <v>-390.84519999999998</v>
      </c>
      <c r="H4119">
        <v>3.2016339999999999</v>
      </c>
      <c r="I4119">
        <v>2.0709300000000002</v>
      </c>
      <c r="J4119">
        <v>-420.0283</v>
      </c>
      <c r="K4119">
        <v>1.129246</v>
      </c>
      <c r="L4119">
        <v>25.85529</v>
      </c>
      <c r="M4119">
        <v>0.41843439999999998</v>
      </c>
      <c r="N4119">
        <v>-1.396799E-2</v>
      </c>
      <c r="O4119">
        <v>-0.90813960000000005</v>
      </c>
      <c r="P4119">
        <v>0.50776540000000003</v>
      </c>
      <c r="Q4119">
        <v>0.20693590000000001</v>
      </c>
      <c r="R4119">
        <v>-0.83627260000000003</v>
      </c>
      <c r="S4119">
        <v>2.4970400000000001</v>
      </c>
      <c r="T4119">
        <v>0.1766692</v>
      </c>
      <c r="U4119">
        <v>-2.045563</v>
      </c>
      <c r="V4119">
        <v>-0.115471699999999</v>
      </c>
      <c r="W4119">
        <v>0.2182897</v>
      </c>
      <c r="X4119">
        <v>0.96902829999999995</v>
      </c>
      <c r="Y4119">
        <v>-0.4356565</v>
      </c>
      <c r="Z4119">
        <v>-6.6215369999999996E-2</v>
      </c>
      <c r="AA4119">
        <v>0.89767410000000003</v>
      </c>
      <c r="AB4119">
        <v>25</v>
      </c>
      <c r="AC4119">
        <v>29.1831</v>
      </c>
      <c r="AD4119">
        <v>2.0723880000000001</v>
      </c>
      <c r="AE4119">
        <v>-23.78436</v>
      </c>
      <c r="AF4119">
        <v>-16.5017463186295</v>
      </c>
      <c r="AG4119">
        <v>2.0723880000000001</v>
      </c>
      <c r="AH4119">
        <v>33.711878843614699</v>
      </c>
      <c r="AI4119">
        <v>86.839698374535601</v>
      </c>
      <c r="AJ4119">
        <v>116.08144876646701</v>
      </c>
      <c r="AK4119">
        <v>37.591131916364297</v>
      </c>
      <c r="AL4119">
        <v>77.391401012909597</v>
      </c>
      <c r="AM4119">
        <v>96.795456840480995</v>
      </c>
      <c r="AN4119">
        <v>0.99999997641393401</v>
      </c>
    </row>
    <row r="4120" spans="1:40" x14ac:dyDescent="0.25">
      <c r="A4120" t="str">
        <f>"20190303170853020"</f>
        <v>20190303170853020</v>
      </c>
      <c r="B4120" t="str">
        <f>"1551604133007402"</f>
        <v>1551604133007402</v>
      </c>
      <c r="C4120" t="s">
        <v>40</v>
      </c>
      <c r="D4120">
        <v>4.2811269999999997</v>
      </c>
      <c r="E4120">
        <v>0.36595090000000002</v>
      </c>
      <c r="F4120" t="s">
        <v>96</v>
      </c>
      <c r="G4120">
        <v>-390.31259999999997</v>
      </c>
      <c r="H4120">
        <v>3.1348539999999998</v>
      </c>
      <c r="I4120">
        <v>2.0414750000000002</v>
      </c>
      <c r="J4120">
        <v>-419.91269999999997</v>
      </c>
      <c r="K4120">
        <v>1.1292949999999999</v>
      </c>
      <c r="L4120">
        <v>25.636780000000002</v>
      </c>
      <c r="M4120">
        <v>0.42953029999999998</v>
      </c>
      <c r="N4120">
        <v>-1.3897380000000001E-2</v>
      </c>
      <c r="O4120">
        <v>-0.90294580000000002</v>
      </c>
      <c r="P4120">
        <v>0.51910869999999998</v>
      </c>
      <c r="Q4120">
        <v>0.20602770000000001</v>
      </c>
      <c r="R4120">
        <v>-0.82950550000000001</v>
      </c>
      <c r="S4120">
        <v>2.5169980000000001</v>
      </c>
      <c r="T4120">
        <v>0.169878</v>
      </c>
      <c r="U4120">
        <v>-2.01709</v>
      </c>
      <c r="V4120">
        <v>-0.1167204</v>
      </c>
      <c r="W4120">
        <v>0.21727150000000001</v>
      </c>
      <c r="X4120">
        <v>0.96910759999999996</v>
      </c>
      <c r="Y4120">
        <v>-0.4344037</v>
      </c>
      <c r="Z4120">
        <v>-6.38354E-2</v>
      </c>
      <c r="AA4120">
        <v>0.89845339999999996</v>
      </c>
      <c r="AB4120">
        <v>25</v>
      </c>
      <c r="AC4120">
        <v>29.600100000000001</v>
      </c>
      <c r="AD4120">
        <v>2.0055589999999999</v>
      </c>
      <c r="AE4120">
        <v>-23.595305</v>
      </c>
      <c r="AF4120">
        <v>-16.547535509239999</v>
      </c>
      <c r="AG4120">
        <v>2.0055589999999999</v>
      </c>
      <c r="AH4120">
        <v>33.9274611321636</v>
      </c>
      <c r="AI4120">
        <v>86.9587038389068</v>
      </c>
      <c r="AJ4120">
        <v>116.000009642169</v>
      </c>
      <c r="AK4120">
        <v>37.8010028597987</v>
      </c>
      <c r="AL4120">
        <v>77.451175191241106</v>
      </c>
      <c r="AM4120">
        <v>96.867687365084905</v>
      </c>
      <c r="AN4120">
        <v>1.00000004843308</v>
      </c>
    </row>
    <row r="4121" spans="1:40" x14ac:dyDescent="0.25">
      <c r="A4121" t="str">
        <f>"20190303170853042"</f>
        <v>20190303170853042</v>
      </c>
      <c r="B4121" t="str">
        <f>"1551604133037660"</f>
        <v>1551604133037660</v>
      </c>
      <c r="C4121" t="s">
        <v>40</v>
      </c>
      <c r="D4121">
        <v>4.3016750000000004</v>
      </c>
      <c r="E4121">
        <v>0.36752289999999999</v>
      </c>
      <c r="F4121" t="s">
        <v>96</v>
      </c>
      <c r="G4121">
        <v>-388.9873</v>
      </c>
      <c r="H4121">
        <v>3.1352929999999999</v>
      </c>
      <c r="I4121">
        <v>1.43259</v>
      </c>
      <c r="J4121">
        <v>-419.79109999999997</v>
      </c>
      <c r="K4121">
        <v>1.1293439999999999</v>
      </c>
      <c r="L4121">
        <v>25.413910000000001</v>
      </c>
      <c r="M4121">
        <v>0.44097449999999999</v>
      </c>
      <c r="N4121">
        <v>-1.3808040000000001E-2</v>
      </c>
      <c r="O4121">
        <v>-0.89741360000000003</v>
      </c>
      <c r="P4121">
        <v>0.53084799999999999</v>
      </c>
      <c r="Q4121">
        <v>0.20575180000000001</v>
      </c>
      <c r="R4121">
        <v>-0.82211109999999898</v>
      </c>
      <c r="S4121">
        <v>2.5387270000000002</v>
      </c>
      <c r="T4121">
        <v>0.1646743</v>
      </c>
      <c r="U4121">
        <v>-1.986969</v>
      </c>
      <c r="V4121">
        <v>-0.11818149999999999</v>
      </c>
      <c r="W4121">
        <v>0.21685860000000001</v>
      </c>
      <c r="X4121">
        <v>0.96902290000000002</v>
      </c>
      <c r="Y4121">
        <v>-0.43339090000000002</v>
      </c>
      <c r="Z4121">
        <v>-6.1910689999999997E-2</v>
      </c>
      <c r="AA4121">
        <v>0.89907700000000002</v>
      </c>
      <c r="AB4121">
        <v>25</v>
      </c>
      <c r="AC4121">
        <v>30.803799999999899</v>
      </c>
      <c r="AD4121">
        <v>2.0059490000000002</v>
      </c>
      <c r="AE4121">
        <v>-23.98132</v>
      </c>
      <c r="AF4121">
        <v>-17.025270308157999</v>
      </c>
      <c r="AG4121">
        <v>2.0059490000000002</v>
      </c>
      <c r="AH4121">
        <v>35.015740355440997</v>
      </c>
      <c r="AI4121">
        <v>87.050729772281997</v>
      </c>
      <c r="AJ4121">
        <v>115.929837882065</v>
      </c>
      <c r="AK4121">
        <v>38.9869944096247</v>
      </c>
      <c r="AL4121">
        <v>77.475409203123505</v>
      </c>
      <c r="AM4121">
        <v>96.9534221340123</v>
      </c>
      <c r="AN4121">
        <v>0.99999995003030795</v>
      </c>
    </row>
    <row r="4122" spans="1:40" x14ac:dyDescent="0.25">
      <c r="A4122" t="str">
        <f>"20190303170853064"</f>
        <v>20190303170853064</v>
      </c>
      <c r="B4122" t="str">
        <f>"1551604133058153"</f>
        <v>1551604133058153</v>
      </c>
      <c r="C4122" t="s">
        <v>40</v>
      </c>
      <c r="D4122">
        <v>4.338266</v>
      </c>
      <c r="E4122">
        <v>0.36838470000000001</v>
      </c>
      <c r="F4122" t="s">
        <v>96</v>
      </c>
      <c r="G4122">
        <v>-387.6669</v>
      </c>
      <c r="H4122">
        <v>3.1043440000000002</v>
      </c>
      <c r="I4122">
        <v>0.80622479999999996</v>
      </c>
      <c r="J4122">
        <v>-419.67070000000001</v>
      </c>
      <c r="K4122">
        <v>1.129402</v>
      </c>
      <c r="L4122">
        <v>25.199580000000001</v>
      </c>
      <c r="M4122">
        <v>0.45209840000000001</v>
      </c>
      <c r="N4122">
        <v>-1.370651E-2</v>
      </c>
      <c r="O4122">
        <v>-0.89186290000000001</v>
      </c>
      <c r="P4122">
        <v>0.54317869999999902</v>
      </c>
      <c r="Q4122">
        <v>0.20644489999999999</v>
      </c>
      <c r="R4122">
        <v>-0.81384129999999999</v>
      </c>
      <c r="S4122">
        <v>2.557007</v>
      </c>
      <c r="T4122">
        <v>0.157202799999999</v>
      </c>
      <c r="U4122">
        <v>-1.95871</v>
      </c>
      <c r="V4122">
        <v>-0.12087829999999999</v>
      </c>
      <c r="W4122">
        <v>0.21737200000000001</v>
      </c>
      <c r="X4122">
        <v>0.96857519999999997</v>
      </c>
      <c r="Y4122">
        <v>-0.431674</v>
      </c>
      <c r="Z4122">
        <v>-5.9295069999999998E-2</v>
      </c>
      <c r="AA4122">
        <v>0.90007870000000001</v>
      </c>
      <c r="AB4122">
        <v>25</v>
      </c>
      <c r="AC4122">
        <v>32.003799999999998</v>
      </c>
      <c r="AD4122">
        <v>1.974942</v>
      </c>
      <c r="AE4122">
        <v>-24.393355199999998</v>
      </c>
      <c r="AF4122">
        <v>-17.474357279352699</v>
      </c>
      <c r="AG4122">
        <v>1.974942</v>
      </c>
      <c r="AH4122">
        <v>36.140740624702801</v>
      </c>
      <c r="AI4122">
        <v>87.183492178519799</v>
      </c>
      <c r="AJ4122">
        <v>115.80416421133999</v>
      </c>
      <c r="AK4122">
        <v>40.1921222521513</v>
      </c>
      <c r="AL4122">
        <v>77.4452757894352</v>
      </c>
      <c r="AM4122">
        <v>97.1137399109044</v>
      </c>
      <c r="AN4122">
        <v>1.00000003392496</v>
      </c>
    </row>
    <row r="4123" spans="1:40" x14ac:dyDescent="0.25">
      <c r="A4123" t="str">
        <f>"20190303170853086"</f>
        <v>20190303170853086</v>
      </c>
      <c r="B4123" t="str">
        <f>"1551604133077673"</f>
        <v>1551604133077673</v>
      </c>
      <c r="C4123" t="s">
        <v>40</v>
      </c>
      <c r="D4123">
        <v>4.3001019999999999</v>
      </c>
      <c r="E4123">
        <v>0.3810866</v>
      </c>
      <c r="F4123" t="s">
        <v>96</v>
      </c>
      <c r="G4123">
        <v>-386.95729999999998</v>
      </c>
      <c r="H4123">
        <v>3.1131829999999998</v>
      </c>
      <c r="I4123">
        <v>0.8134422</v>
      </c>
      <c r="J4123">
        <v>-419.55439999999999</v>
      </c>
      <c r="K4123">
        <v>1.1294470000000001</v>
      </c>
      <c r="L4123">
        <v>24.99878</v>
      </c>
      <c r="M4123">
        <v>0.46263989999999999</v>
      </c>
      <c r="N4123">
        <v>-1.3598300000000001E-2</v>
      </c>
      <c r="O4123">
        <v>-0.88644219999999896</v>
      </c>
      <c r="P4123">
        <v>0.55456850000000002</v>
      </c>
      <c r="Q4123">
        <v>0.20661570000000001</v>
      </c>
      <c r="R4123">
        <v>-0.80607969999999995</v>
      </c>
      <c r="S4123">
        <v>2.5809329999999999</v>
      </c>
      <c r="T4123">
        <v>0.1565088</v>
      </c>
      <c r="U4123">
        <v>-1.92395</v>
      </c>
      <c r="V4123">
        <v>-0.12308529999999999</v>
      </c>
      <c r="W4123">
        <v>0.2173669</v>
      </c>
      <c r="X4123">
        <v>0.96829829999999995</v>
      </c>
      <c r="Y4123">
        <v>-0.43279060000000003</v>
      </c>
      <c r="Z4123">
        <v>-5.8781849999999997E-2</v>
      </c>
      <c r="AA4123">
        <v>0.89957600000000004</v>
      </c>
      <c r="AB4123">
        <v>25</v>
      </c>
      <c r="AC4123">
        <v>32.597099999999998</v>
      </c>
      <c r="AD4123">
        <v>1.9837359999999999</v>
      </c>
      <c r="AE4123">
        <v>-24.185337799999999</v>
      </c>
      <c r="AF4123">
        <v>-17.6657805083053</v>
      </c>
      <c r="AG4123">
        <v>1.9837359999999999</v>
      </c>
      <c r="AH4123">
        <v>36.435962786610801</v>
      </c>
      <c r="AI4123">
        <v>87.195324395422105</v>
      </c>
      <c r="AJ4123">
        <v>115.866177472239</v>
      </c>
      <c r="AK4123">
        <v>40.541267785709501</v>
      </c>
      <c r="AL4123">
        <v>77.445574455604898</v>
      </c>
      <c r="AM4123">
        <v>97.244304969604798</v>
      </c>
      <c r="AN4123">
        <v>0.99999997903729398</v>
      </c>
    </row>
    <row r="4124" spans="1:40" x14ac:dyDescent="0.25">
      <c r="A4124" t="str">
        <f>"20190303170853107"</f>
        <v>20190303170853107</v>
      </c>
      <c r="B4124" t="str">
        <f>"1551604133098170"</f>
        <v>1551604133098170</v>
      </c>
      <c r="C4124" t="s">
        <v>40</v>
      </c>
      <c r="D4124">
        <v>4.257314</v>
      </c>
      <c r="E4124">
        <v>0.38221060000000001</v>
      </c>
      <c r="F4124" t="s">
        <v>96</v>
      </c>
      <c r="G4124">
        <v>-388.16680000000002</v>
      </c>
      <c r="H4124">
        <v>2.3920750000000002</v>
      </c>
      <c r="I4124">
        <v>0.80113979999999996</v>
      </c>
      <c r="J4124">
        <v>-419.43299999999999</v>
      </c>
      <c r="K4124">
        <v>1.1295109999999999</v>
      </c>
      <c r="L4124">
        <v>24.79477</v>
      </c>
      <c r="M4124">
        <v>0.47347260000000002</v>
      </c>
      <c r="N4124">
        <v>-1.3468020000000001E-2</v>
      </c>
      <c r="O4124">
        <v>-0.88070569999999904</v>
      </c>
      <c r="P4124">
        <v>0.56554019999999905</v>
      </c>
      <c r="Q4124">
        <v>0.20642460000000001</v>
      </c>
      <c r="R4124">
        <v>-0.79846969999999995</v>
      </c>
      <c r="S4124">
        <v>2.533112</v>
      </c>
      <c r="T4124">
        <v>0.1018974</v>
      </c>
      <c r="U4124">
        <v>-1.95285</v>
      </c>
      <c r="V4124">
        <v>-0.1244773</v>
      </c>
      <c r="W4124">
        <v>0.2169941</v>
      </c>
      <c r="X4124">
        <v>0.96820399999999995</v>
      </c>
      <c r="Y4124">
        <v>-0.40771879999999999</v>
      </c>
      <c r="Z4124">
        <v>-4.1757519999999999E-2</v>
      </c>
      <c r="AA4124">
        <v>0.91215219999999997</v>
      </c>
      <c r="AB4124">
        <v>25</v>
      </c>
      <c r="AC4124">
        <v>31.266200000000001</v>
      </c>
      <c r="AD4124">
        <v>1.262564</v>
      </c>
      <c r="AE4124">
        <v>-23.993630199999998</v>
      </c>
      <c r="AF4124">
        <v>-16.160874203680301</v>
      </c>
      <c r="AG4124">
        <v>1.262564</v>
      </c>
      <c r="AH4124">
        <v>35.901427032713499</v>
      </c>
      <c r="AI4124">
        <v>88.163253221229198</v>
      </c>
      <c r="AJ4124">
        <v>114.23468873288</v>
      </c>
      <c r="AK4124">
        <v>39.3913745110085</v>
      </c>
      <c r="AL4124">
        <v>77.467457033209996</v>
      </c>
      <c r="AM4124">
        <v>97.326053211352303</v>
      </c>
      <c r="AN4124">
        <v>1.0000000116330401</v>
      </c>
    </row>
    <row r="4125" spans="1:40" x14ac:dyDescent="0.25">
      <c r="A4125" t="str">
        <f>"20190303170853131"</f>
        <v>20190303170853131</v>
      </c>
      <c r="B4125" t="str">
        <f>"1551604133117690"</f>
        <v>1551604133117690</v>
      </c>
      <c r="C4125" t="s">
        <v>40</v>
      </c>
      <c r="D4125">
        <v>4.2480949999999904</v>
      </c>
      <c r="E4125">
        <v>0.38325740000000003</v>
      </c>
      <c r="F4125" t="s">
        <v>96</v>
      </c>
      <c r="G4125">
        <v>-387.59800000000001</v>
      </c>
      <c r="H4125">
        <v>2.3643830000000001</v>
      </c>
      <c r="I4125">
        <v>0.8069267</v>
      </c>
      <c r="J4125">
        <v>-419.30770000000001</v>
      </c>
      <c r="K4125">
        <v>1.129569</v>
      </c>
      <c r="L4125">
        <v>24.590520000000001</v>
      </c>
      <c r="M4125">
        <v>0.48445880000000002</v>
      </c>
      <c r="N4125">
        <v>-1.3311399999999999E-2</v>
      </c>
      <c r="O4125">
        <v>-0.87471290000000002</v>
      </c>
      <c r="P4125">
        <v>0.57675639999999995</v>
      </c>
      <c r="Q4125">
        <v>0.20551749999999999</v>
      </c>
      <c r="R4125">
        <v>-0.79064219999999996</v>
      </c>
      <c r="S4125">
        <v>2.552765</v>
      </c>
      <c r="T4125">
        <v>9.9019170000000004E-2</v>
      </c>
      <c r="U4125">
        <v>-1.9235230000000001</v>
      </c>
      <c r="V4125">
        <v>-0.12594720000000001</v>
      </c>
      <c r="W4125">
        <v>0.21587680000000001</v>
      </c>
      <c r="X4125">
        <v>0.96826369999999895</v>
      </c>
      <c r="Y4125">
        <v>-0.40638489999999999</v>
      </c>
      <c r="Z4125">
        <v>-4.0543410000000002E-2</v>
      </c>
      <c r="AA4125">
        <v>0.912802</v>
      </c>
      <c r="AB4125">
        <v>25</v>
      </c>
      <c r="AC4125">
        <v>31.709700000000002</v>
      </c>
      <c r="AD4125">
        <v>1.2348139999999901</v>
      </c>
      <c r="AE4125">
        <v>-23.7835933</v>
      </c>
      <c r="AF4125">
        <v>-16.200425875085202</v>
      </c>
      <c r="AG4125">
        <v>1.2348139999999901</v>
      </c>
      <c r="AH4125">
        <v>36.133993524941197</v>
      </c>
      <c r="AI4125">
        <v>88.213948712478498</v>
      </c>
      <c r="AJ4125">
        <v>114.148748659166</v>
      </c>
      <c r="AK4125">
        <v>39.618733601785102</v>
      </c>
      <c r="AL4125">
        <v>77.533028216766297</v>
      </c>
      <c r="AM4125">
        <v>97.411155267473902</v>
      </c>
      <c r="AN4125">
        <v>1.0000000413518799</v>
      </c>
    </row>
    <row r="4126" spans="1:40" x14ac:dyDescent="0.25">
      <c r="A4126" t="str">
        <f>"20190303170853153"</f>
        <v>20190303170853153</v>
      </c>
      <c r="B4126" t="str">
        <f>"1551604133147946"</f>
        <v>1551604133147946</v>
      </c>
      <c r="C4126" t="s">
        <v>40</v>
      </c>
      <c r="D4126">
        <v>4.2149380000000001</v>
      </c>
      <c r="E4126">
        <v>0.39145089999999999</v>
      </c>
      <c r="F4126" t="s">
        <v>96</v>
      </c>
      <c r="G4126">
        <v>-386.9871</v>
      </c>
      <c r="H4126">
        <v>2.2964889999999998</v>
      </c>
      <c r="I4126">
        <v>0.813133199999999</v>
      </c>
      <c r="J4126">
        <v>-419.17070000000001</v>
      </c>
      <c r="K4126">
        <v>1.1296269999999999</v>
      </c>
      <c r="L4126">
        <v>24.374110000000002</v>
      </c>
      <c r="M4126">
        <v>0.49624049999999997</v>
      </c>
      <c r="N4126">
        <v>-1.3127669999999999E-2</v>
      </c>
      <c r="O4126">
        <v>-0.86808580000000002</v>
      </c>
      <c r="P4126">
        <v>0.58906840000000005</v>
      </c>
      <c r="Q4126">
        <v>0.2046577</v>
      </c>
      <c r="R4126">
        <v>-0.78173760000000003</v>
      </c>
      <c r="S4126">
        <v>2.573242</v>
      </c>
      <c r="T4126">
        <v>9.2903849999999996E-2</v>
      </c>
      <c r="U4126">
        <v>-1.8930659999999999</v>
      </c>
      <c r="V4126">
        <v>-0.12794720000000001</v>
      </c>
      <c r="W4126">
        <v>0.21476709999999999</v>
      </c>
      <c r="X4126">
        <v>0.9682482</v>
      </c>
      <c r="Y4126">
        <v>-0.40457850000000001</v>
      </c>
      <c r="Z4126">
        <v>-3.8301710000000003E-2</v>
      </c>
      <c r="AA4126">
        <v>0.91370079999999998</v>
      </c>
      <c r="AB4126">
        <v>25</v>
      </c>
      <c r="AC4126">
        <v>32.183599999999998</v>
      </c>
      <c r="AD4126">
        <v>1.1668619999999901</v>
      </c>
      <c r="AE4126">
        <v>-23.560976799999999</v>
      </c>
      <c r="AF4126">
        <v>-16.2337223819511</v>
      </c>
      <c r="AG4126">
        <v>1.1668619999999901</v>
      </c>
      <c r="AH4126">
        <v>36.395746350189697</v>
      </c>
      <c r="AI4126">
        <v>88.322866454115896</v>
      </c>
      <c r="AJ4126">
        <v>114.038472700517</v>
      </c>
      <c r="AK4126">
        <v>39.869106607606</v>
      </c>
      <c r="AL4126">
        <v>77.598135874073904</v>
      </c>
      <c r="AM4126">
        <v>97.527621883803704</v>
      </c>
      <c r="AN4126">
        <v>0.99999998501674403</v>
      </c>
    </row>
    <row r="4127" spans="1:40" x14ac:dyDescent="0.25">
      <c r="A4127" t="str">
        <f>"20190303170853175"</f>
        <v>20190303170853175</v>
      </c>
      <c r="B4127" t="str">
        <f>"1551604133167466"</f>
        <v>1551604133167466</v>
      </c>
      <c r="C4127" t="s">
        <v>40</v>
      </c>
      <c r="D4127">
        <v>4.208412</v>
      </c>
      <c r="E4127">
        <v>0.39243630000000002</v>
      </c>
      <c r="F4127" t="s">
        <v>96</v>
      </c>
      <c r="G4127">
        <v>-387.4194</v>
      </c>
      <c r="H4127">
        <v>1.8632089999999999</v>
      </c>
      <c r="I4127">
        <v>0.80873869999999903</v>
      </c>
      <c r="J4127">
        <v>-419.04039999999998</v>
      </c>
      <c r="K4127">
        <v>1.12968</v>
      </c>
      <c r="L4127">
        <v>24.17407</v>
      </c>
      <c r="M4127">
        <v>0.50722739999999999</v>
      </c>
      <c r="N4127">
        <v>-1.295642E-2</v>
      </c>
      <c r="O4127">
        <v>-0.8617148</v>
      </c>
      <c r="P4127">
        <v>0.60030869999999903</v>
      </c>
      <c r="Q4127">
        <v>0.20444709999999999</v>
      </c>
      <c r="R4127">
        <v>-0.77319559999999998</v>
      </c>
      <c r="S4127">
        <v>2.5553889999999999</v>
      </c>
      <c r="T4127">
        <v>5.9037800000000001E-2</v>
      </c>
      <c r="U4127">
        <v>-1.896576</v>
      </c>
      <c r="V4127">
        <v>-0.12965839999999901</v>
      </c>
      <c r="W4127">
        <v>0.2143275</v>
      </c>
      <c r="X4127">
        <v>0.96811800000000003</v>
      </c>
      <c r="Y4127">
        <v>-0.3893509</v>
      </c>
      <c r="Z4127">
        <v>-2.7723029999999999E-2</v>
      </c>
      <c r="AA4127">
        <v>0.92067220000000005</v>
      </c>
      <c r="AB4127">
        <v>25</v>
      </c>
      <c r="AC4127">
        <v>31.620999999999899</v>
      </c>
      <c r="AD4127">
        <v>0.73352899999999999</v>
      </c>
      <c r="AE4127">
        <v>-23.365331300000001</v>
      </c>
      <c r="AF4127">
        <v>-15.392682868962799</v>
      </c>
      <c r="AG4127">
        <v>0.73352899999999999</v>
      </c>
      <c r="AH4127">
        <v>36.1637400425899</v>
      </c>
      <c r="AI4127">
        <v>88.930796694948199</v>
      </c>
      <c r="AJ4127">
        <v>113.05647507568101</v>
      </c>
      <c r="AK4127">
        <v>39.3101621030278</v>
      </c>
      <c r="AL4127">
        <v>77.623924041761796</v>
      </c>
      <c r="AM4127">
        <v>97.628134510704996</v>
      </c>
      <c r="AN4127">
        <v>1.0000000199354</v>
      </c>
    </row>
    <row r="4128" spans="1:40" x14ac:dyDescent="0.25">
      <c r="A4128" t="str">
        <f>"20190303170853197"</f>
        <v>20190303170853197</v>
      </c>
      <c r="B4128" t="str">
        <f>"1551604133187962"</f>
        <v>1551604133187962</v>
      </c>
      <c r="C4128" t="s">
        <v>40</v>
      </c>
      <c r="D4128">
        <v>4.1961559999999896</v>
      </c>
      <c r="E4128">
        <v>0.39321869999999998</v>
      </c>
      <c r="F4128" t="s">
        <v>96</v>
      </c>
      <c r="G4128">
        <v>-386.7629</v>
      </c>
      <c r="H4128">
        <v>1.837674</v>
      </c>
      <c r="I4128">
        <v>0.81541439999999998</v>
      </c>
      <c r="J4128">
        <v>-418.90609999999998</v>
      </c>
      <c r="K4128">
        <v>1.1297349999999999</v>
      </c>
      <c r="L4128">
        <v>23.97363</v>
      </c>
      <c r="M4128">
        <v>0.51833390000000001</v>
      </c>
      <c r="N4128">
        <v>-1.278412E-2</v>
      </c>
      <c r="O4128">
        <v>-0.85508289999999998</v>
      </c>
      <c r="P4128">
        <v>0.6115893</v>
      </c>
      <c r="Q4128">
        <v>0.20455029999999999</v>
      </c>
      <c r="R4128">
        <v>-0.76427609999999901</v>
      </c>
      <c r="S4128">
        <v>2.5765690000000001</v>
      </c>
      <c r="T4128">
        <v>5.6514139999999997E-2</v>
      </c>
      <c r="U4128">
        <v>-1.8646240000000001</v>
      </c>
      <c r="V4128">
        <v>-0.13139629999999999</v>
      </c>
      <c r="W4128">
        <v>0.2142008</v>
      </c>
      <c r="X4128">
        <v>0.96791170000000004</v>
      </c>
      <c r="Y4128">
        <v>-0.38854109999999997</v>
      </c>
      <c r="Z4128">
        <v>-2.6644959999999999E-2</v>
      </c>
      <c r="AA4128">
        <v>0.92104609999999998</v>
      </c>
      <c r="AB4128">
        <v>25</v>
      </c>
      <c r="AC4128">
        <v>32.143199999999901</v>
      </c>
      <c r="AD4128">
        <v>0.70793899999999998</v>
      </c>
      <c r="AE4128">
        <v>-23.158215599999998</v>
      </c>
      <c r="AF4128">
        <v>-15.477733482487199</v>
      </c>
      <c r="AG4128">
        <v>0.70793899999999998</v>
      </c>
      <c r="AH4128">
        <v>36.454439330728803</v>
      </c>
      <c r="AI4128">
        <v>88.975924811198695</v>
      </c>
      <c r="AJ4128">
        <v>113.004983306984</v>
      </c>
      <c r="AK4128">
        <v>39.610447590256001</v>
      </c>
      <c r="AL4128">
        <v>77.631355952984293</v>
      </c>
      <c r="AM4128">
        <v>97.730779170628907</v>
      </c>
      <c r="AN4128">
        <v>1.0000000146856001</v>
      </c>
    </row>
    <row r="4129" spans="1:40" x14ac:dyDescent="0.25">
      <c r="A4129" t="str">
        <f>"20190303170853220"</f>
        <v>20190303170853220</v>
      </c>
      <c r="B4129" t="str">
        <f>"1551604133207482"</f>
        <v>1551604133207482</v>
      </c>
      <c r="C4129" t="s">
        <v>40</v>
      </c>
      <c r="D4129">
        <v>4.2273360000000002</v>
      </c>
      <c r="E4129">
        <v>0.39354810000000001</v>
      </c>
      <c r="F4129" t="s">
        <v>96</v>
      </c>
      <c r="G4129">
        <v>-386.0505</v>
      </c>
      <c r="H4129">
        <v>1.849834</v>
      </c>
      <c r="I4129">
        <v>0.82265849999999996</v>
      </c>
      <c r="J4129">
        <v>-418.76670000000001</v>
      </c>
      <c r="K4129">
        <v>1.129788</v>
      </c>
      <c r="L4129">
        <v>23.771550000000001</v>
      </c>
      <c r="M4129">
        <v>0.5296324</v>
      </c>
      <c r="N4129">
        <v>-1.2610680000000001E-2</v>
      </c>
      <c r="O4129">
        <v>-0.84813359999999904</v>
      </c>
      <c r="P4129">
        <v>0.62289819999999996</v>
      </c>
      <c r="Q4129">
        <v>0.20534820000000001</v>
      </c>
      <c r="R4129">
        <v>-0.75487109999999902</v>
      </c>
      <c r="S4129">
        <v>2.5982970000000001</v>
      </c>
      <c r="T4129">
        <v>5.6945200000000001E-2</v>
      </c>
      <c r="U4129">
        <v>-1.8308409999999999</v>
      </c>
      <c r="V4129">
        <v>-0.1331349</v>
      </c>
      <c r="W4129">
        <v>0.21476619999999999</v>
      </c>
      <c r="X4129">
        <v>0.96754870000000004</v>
      </c>
      <c r="Y4129">
        <v>-0.38794430000000002</v>
      </c>
      <c r="Z4129">
        <v>-2.6454470000000001E-2</v>
      </c>
      <c r="AA4129">
        <v>0.92130310000000004</v>
      </c>
      <c r="AB4129">
        <v>25</v>
      </c>
      <c r="AC4129">
        <v>32.716200000000001</v>
      </c>
      <c r="AD4129">
        <v>0.72004599999999996</v>
      </c>
      <c r="AE4129">
        <v>-22.948891499999998</v>
      </c>
      <c r="AF4129">
        <v>-15.589410068107799</v>
      </c>
      <c r="AG4129">
        <v>0.72004599999999996</v>
      </c>
      <c r="AH4129">
        <v>36.782267867878602</v>
      </c>
      <c r="AI4129">
        <v>88.967418879935494</v>
      </c>
      <c r="AJ4129">
        <v>112.96866349613801</v>
      </c>
      <c r="AK4129">
        <v>39.9560183454022</v>
      </c>
      <c r="AL4129">
        <v>77.598188288648402</v>
      </c>
      <c r="AM4129">
        <v>97.834711255616298</v>
      </c>
      <c r="AN4129">
        <v>0.99999995456606905</v>
      </c>
    </row>
    <row r="4130" spans="1:40" x14ac:dyDescent="0.25">
      <c r="A4130" t="str">
        <f>"20190303170853243"</f>
        <v>20190303170853243</v>
      </c>
      <c r="B4130" t="str">
        <f>"1551604133237738"</f>
        <v>1551604133237738</v>
      </c>
      <c r="C4130" t="s">
        <v>40</v>
      </c>
      <c r="D4130">
        <v>4.2318110000000004</v>
      </c>
      <c r="E4130">
        <v>0.40073130000000001</v>
      </c>
      <c r="F4130" t="s">
        <v>96</v>
      </c>
      <c r="G4130">
        <v>-385.214</v>
      </c>
      <c r="H4130">
        <v>1.8988769999999999</v>
      </c>
      <c r="I4130">
        <v>0.83116909999999899</v>
      </c>
      <c r="J4130">
        <v>-418.61939999999998</v>
      </c>
      <c r="K4130">
        <v>1.129837</v>
      </c>
      <c r="L4130">
        <v>23.564</v>
      </c>
      <c r="M4130">
        <v>0.54132799999999903</v>
      </c>
      <c r="N4130">
        <v>-1.243617E-2</v>
      </c>
      <c r="O4130">
        <v>-0.84071960000000001</v>
      </c>
      <c r="P4130">
        <v>0.63421229999999995</v>
      </c>
      <c r="Q4130">
        <v>0.20514840000000001</v>
      </c>
      <c r="R4130">
        <v>-0.74544580000000005</v>
      </c>
      <c r="S4130">
        <v>2.622986</v>
      </c>
      <c r="T4130">
        <v>6.0121540000000001E-2</v>
      </c>
      <c r="U4130">
        <v>-1.7933650000000001</v>
      </c>
      <c r="V4130">
        <v>-0.1343355</v>
      </c>
      <c r="W4130">
        <v>0.21434520000000001</v>
      </c>
      <c r="X4130">
        <v>0.96747620000000001</v>
      </c>
      <c r="Y4130">
        <v>-0.38817190000000001</v>
      </c>
      <c r="Z4130">
        <v>-2.7068479999999999E-2</v>
      </c>
      <c r="AA4130">
        <v>0.92118940000000005</v>
      </c>
      <c r="AB4130">
        <v>25</v>
      </c>
      <c r="AC4130">
        <v>33.405399999999901</v>
      </c>
      <c r="AD4130">
        <v>0.76903999999999995</v>
      </c>
      <c r="AE4130">
        <v>-22.7328308999999</v>
      </c>
      <c r="AF4130">
        <v>-15.7741621228397</v>
      </c>
      <c r="AG4130">
        <v>0.76903999999999995</v>
      </c>
      <c r="AH4130">
        <v>37.184619892629499</v>
      </c>
      <c r="AI4130">
        <v>88.909255900146604</v>
      </c>
      <c r="AJ4130">
        <v>112.98723968566399</v>
      </c>
      <c r="AK4130">
        <v>40.399400611377501</v>
      </c>
      <c r="AL4130">
        <v>77.622886085290702</v>
      </c>
      <c r="AM4130">
        <v>97.905059754372999</v>
      </c>
      <c r="AN4130">
        <v>1.00000004444486</v>
      </c>
    </row>
    <row r="4131" spans="1:40" x14ac:dyDescent="0.25">
      <c r="A4131" t="str">
        <f>"20190303170853265"</f>
        <v>20190303170853265</v>
      </c>
      <c r="B4131" t="str">
        <f>"1551604133257837"</f>
        <v>1551604133257837</v>
      </c>
      <c r="C4131" t="s">
        <v>40</v>
      </c>
      <c r="D4131">
        <v>4.2227309999999996</v>
      </c>
      <c r="E4131">
        <v>0.4013314</v>
      </c>
      <c r="F4131" t="s">
        <v>96</v>
      </c>
      <c r="G4131">
        <v>-385.54579999999999</v>
      </c>
      <c r="H4131">
        <v>1.87541</v>
      </c>
      <c r="I4131">
        <v>0.82779119999999995</v>
      </c>
      <c r="J4131">
        <v>-418.47660000000002</v>
      </c>
      <c r="K4131">
        <v>1.1298919999999999</v>
      </c>
      <c r="L4131">
        <v>23.36835</v>
      </c>
      <c r="M4131">
        <v>0.55243399999999998</v>
      </c>
      <c r="N4131">
        <v>-1.227991E-2</v>
      </c>
      <c r="O4131">
        <v>-0.83346640000000005</v>
      </c>
      <c r="P4131">
        <v>0.64544799999999902</v>
      </c>
      <c r="Q4131">
        <v>0.20485690000000001</v>
      </c>
      <c r="R4131">
        <v>-0.73582000000000003</v>
      </c>
      <c r="S4131">
        <v>2.6057739999999998</v>
      </c>
      <c r="T4131">
        <v>5.8739420000000001E-2</v>
      </c>
      <c r="U4131">
        <v>-1.7913209999999999</v>
      </c>
      <c r="V4131">
        <v>-0.13616889999999901</v>
      </c>
      <c r="W4131">
        <v>0.21383559999999999</v>
      </c>
      <c r="X4131">
        <v>0.96733259999999999</v>
      </c>
      <c r="Y4131">
        <v>-0.37357560000000001</v>
      </c>
      <c r="Z4131">
        <v>-2.6388229999999999E-2</v>
      </c>
      <c r="AA4131">
        <v>0.9272243</v>
      </c>
      <c r="AB4131">
        <v>25</v>
      </c>
      <c r="AC4131">
        <v>32.930799999999998</v>
      </c>
      <c r="AD4131">
        <v>0.74551799999999901</v>
      </c>
      <c r="AE4131">
        <v>-22.540558799999999</v>
      </c>
      <c r="AF4131">
        <v>-14.990440495948899</v>
      </c>
      <c r="AG4131">
        <v>0.74551799999999901</v>
      </c>
      <c r="AH4131">
        <v>36.9687714277323</v>
      </c>
      <c r="AI4131">
        <v>88.929368348809206</v>
      </c>
      <c r="AJ4131">
        <v>112.072026745409</v>
      </c>
      <c r="AK4131">
        <v>39.899362955150401</v>
      </c>
      <c r="AL4131">
        <v>77.652776463883598</v>
      </c>
      <c r="AM4131">
        <v>98.012729690368303</v>
      </c>
      <c r="AN4131">
        <v>0.99999999608866497</v>
      </c>
    </row>
    <row r="4132" spans="1:40" x14ac:dyDescent="0.25">
      <c r="A4132" t="str">
        <f>"20190303170853287"</f>
        <v>20190303170853287</v>
      </c>
      <c r="B4132" t="str">
        <f>"1551604133277358"</f>
        <v>1551604133277358</v>
      </c>
      <c r="C4132" t="s">
        <v>40</v>
      </c>
      <c r="D4132">
        <v>4.2456339999999999</v>
      </c>
      <c r="E4132">
        <v>0.40685399999999999</v>
      </c>
      <c r="F4132" t="s">
        <v>96</v>
      </c>
      <c r="G4132">
        <v>-384.7867</v>
      </c>
      <c r="H4132">
        <v>1.865669</v>
      </c>
      <c r="I4132">
        <v>0.89033700000000005</v>
      </c>
      <c r="J4132">
        <v>-418.33359999999999</v>
      </c>
      <c r="K4132">
        <v>1.1299520000000001</v>
      </c>
      <c r="L4132">
        <v>23.17801</v>
      </c>
      <c r="M4132">
        <v>0.56330669999999905</v>
      </c>
      <c r="N4132">
        <v>-1.2136269999999999E-2</v>
      </c>
      <c r="O4132">
        <v>-0.82615879999999997</v>
      </c>
      <c r="P4132">
        <v>0.6552886</v>
      </c>
      <c r="Q4132">
        <v>0.2056886</v>
      </c>
      <c r="R4132">
        <v>-0.72683520000000001</v>
      </c>
      <c r="S4132">
        <v>2.6296080000000002</v>
      </c>
      <c r="T4132">
        <v>5.7427880000000001E-2</v>
      </c>
      <c r="U4132">
        <v>-1.754486</v>
      </c>
      <c r="V4132">
        <v>-0.13669870000000001</v>
      </c>
      <c r="W4132">
        <v>0.21448909999999999</v>
      </c>
      <c r="X4132">
        <v>0.96711320000000001</v>
      </c>
      <c r="Y4132">
        <v>-0.3743031</v>
      </c>
      <c r="Z4132">
        <v>-2.569167E-2</v>
      </c>
      <c r="AA4132">
        <v>0.92695050000000001</v>
      </c>
      <c r="AB4132">
        <v>25</v>
      </c>
      <c r="AC4132">
        <v>33.546899999999901</v>
      </c>
      <c r="AD4132">
        <v>0.73571699999999896</v>
      </c>
      <c r="AE4132">
        <v>-22.287673000000002</v>
      </c>
      <c r="AF4132">
        <v>-15.1563296145153</v>
      </c>
      <c r="AG4132">
        <v>0.73571699999999896</v>
      </c>
      <c r="AH4132">
        <v>37.3006504310571</v>
      </c>
      <c r="AI4132">
        <v>88.953145062391698</v>
      </c>
      <c r="AJ4132">
        <v>112.113324995637</v>
      </c>
      <c r="AK4132">
        <v>40.269021958173298</v>
      </c>
      <c r="AL4132">
        <v>77.614444656103601</v>
      </c>
      <c r="AM4132">
        <v>98.045298911895102</v>
      </c>
      <c r="AN4132">
        <v>1.00000002510736</v>
      </c>
    </row>
    <row r="4133" spans="1:40" x14ac:dyDescent="0.25">
      <c r="A4133" t="str">
        <f>"20190303170853309"</f>
        <v>20190303170853309</v>
      </c>
      <c r="B4133" t="str">
        <f>"1551604133297853"</f>
        <v>1551604133297853</v>
      </c>
      <c r="C4133" t="s">
        <v>40</v>
      </c>
      <c r="D4133">
        <v>4.2402639999999998</v>
      </c>
      <c r="E4133">
        <v>0.40737289999999998</v>
      </c>
      <c r="F4133" t="s">
        <v>96</v>
      </c>
      <c r="G4133">
        <v>-384.8494</v>
      </c>
      <c r="H4133">
        <v>1.7213259999999999</v>
      </c>
      <c r="I4133">
        <v>0.83899310000000005</v>
      </c>
      <c r="J4133">
        <v>-418.18540000000002</v>
      </c>
      <c r="K4133">
        <v>1.130023</v>
      </c>
      <c r="L4133">
        <v>22.98593</v>
      </c>
      <c r="M4133">
        <v>0.57434209999999997</v>
      </c>
      <c r="N4133">
        <v>-1.20007E-2</v>
      </c>
      <c r="O4133">
        <v>-0.81852769999999897</v>
      </c>
      <c r="P4133">
        <v>0.66605969999999903</v>
      </c>
      <c r="Q4133">
        <v>0.20650499999999999</v>
      </c>
      <c r="R4133">
        <v>-0.71674340000000003</v>
      </c>
      <c r="S4133">
        <v>2.6227719999999999</v>
      </c>
      <c r="T4133">
        <v>4.6319369999999999E-2</v>
      </c>
      <c r="U4133">
        <v>-1.7497860000000001</v>
      </c>
      <c r="V4133">
        <v>-0.13834440000000001</v>
      </c>
      <c r="W4133">
        <v>0.21510850000000001</v>
      </c>
      <c r="X4133">
        <v>0.96674150000000003</v>
      </c>
      <c r="Y4133">
        <v>-0.3619385</v>
      </c>
      <c r="Z4133">
        <v>-2.2135849999999999E-2</v>
      </c>
      <c r="AA4133">
        <v>0.93193910000000002</v>
      </c>
      <c r="AB4133">
        <v>25</v>
      </c>
      <c r="AC4133">
        <v>33.335999999999999</v>
      </c>
      <c r="AD4133">
        <v>0.59130299999999902</v>
      </c>
      <c r="AE4133">
        <v>-22.146936899999901</v>
      </c>
      <c r="AF4133">
        <v>-14.564387683869301</v>
      </c>
      <c r="AG4133">
        <v>0.59130299999999902</v>
      </c>
      <c r="AH4133">
        <v>37.26869023543</v>
      </c>
      <c r="AI4133">
        <v>89.153367294923797</v>
      </c>
      <c r="AJ4133">
        <v>111.345269432321</v>
      </c>
      <c r="AK4133">
        <v>40.0178247748212</v>
      </c>
      <c r="AL4133">
        <v>77.578106958540701</v>
      </c>
      <c r="AM4133">
        <v>98.143952670498294</v>
      </c>
      <c r="AN4133">
        <v>0.99999998380292898</v>
      </c>
    </row>
    <row r="4134" spans="1:40" x14ac:dyDescent="0.25">
      <c r="A4134" t="str">
        <f>"20190303170853323"</f>
        <v>20190303170853323</v>
      </c>
      <c r="B4134" t="str">
        <f>"1551604133317374"</f>
        <v>1551604133317374</v>
      </c>
      <c r="C4134" t="s">
        <v>40</v>
      </c>
      <c r="D4134">
        <v>4.249377</v>
      </c>
      <c r="E4134">
        <v>0.4076089</v>
      </c>
      <c r="F4134" t="s">
        <v>96</v>
      </c>
      <c r="G4134">
        <v>-384.46109999999999</v>
      </c>
      <c r="H4134">
        <v>1.737271</v>
      </c>
      <c r="I4134">
        <v>1.1568449999999999</v>
      </c>
      <c r="J4134">
        <v>-418.08620000000002</v>
      </c>
      <c r="K4134">
        <v>1.1300619999999999</v>
      </c>
      <c r="L4134">
        <v>22.860990000000001</v>
      </c>
      <c r="M4134">
        <v>0.58157289999999995</v>
      </c>
      <c r="N4134">
        <v>-1.191764E-2</v>
      </c>
      <c r="O4134">
        <v>-0.81340709999999905</v>
      </c>
      <c r="P4134">
        <v>0.67276359999999902</v>
      </c>
      <c r="Q4134">
        <v>0.20689469999999999</v>
      </c>
      <c r="R4134">
        <v>-0.71034090000000005</v>
      </c>
      <c r="S4134">
        <v>2.6461489999999999</v>
      </c>
      <c r="T4134">
        <v>4.7645090000000001E-2</v>
      </c>
      <c r="U4134">
        <v>-1.712799</v>
      </c>
      <c r="V4134">
        <v>-0.13895979999999999</v>
      </c>
      <c r="W4134">
        <v>0.21538650000000001</v>
      </c>
      <c r="X4134">
        <v>0.96659139999999999</v>
      </c>
      <c r="Y4134">
        <v>-0.36660239999999999</v>
      </c>
      <c r="Z4134">
        <v>-2.2340260000000001E-2</v>
      </c>
      <c r="AA4134">
        <v>0.93010939999999998</v>
      </c>
      <c r="AB4134">
        <v>25</v>
      </c>
      <c r="AC4134">
        <v>33.625100000000003</v>
      </c>
      <c r="AD4134">
        <v>0.607208999999999</v>
      </c>
      <c r="AE4134">
        <v>-21.704145</v>
      </c>
      <c r="AF4134">
        <v>-14.726007448690501</v>
      </c>
      <c r="AG4134">
        <v>0.607208999999999</v>
      </c>
      <c r="AH4134">
        <v>37.2038279456848</v>
      </c>
      <c r="AI4134">
        <v>89.130570186254403</v>
      </c>
      <c r="AJ4134">
        <v>111.594634369536</v>
      </c>
      <c r="AK4134">
        <v>40.016856597697497</v>
      </c>
      <c r="AL4134">
        <v>77.561797272281098</v>
      </c>
      <c r="AM4134">
        <v>98.180943417779801</v>
      </c>
      <c r="AN4134">
        <v>1.0000000524761199</v>
      </c>
    </row>
    <row r="4135" spans="1:40" x14ac:dyDescent="0.25">
      <c r="A4135" t="str">
        <f>"20190303170853343"</f>
        <v>20190303170853343</v>
      </c>
      <c r="B4135" t="str">
        <f>"1551604133337869"</f>
        <v>1551604133337869</v>
      </c>
      <c r="C4135" t="s">
        <v>40</v>
      </c>
      <c r="D4135">
        <v>4.2673240000000003</v>
      </c>
      <c r="E4135">
        <v>0.38876379999999999</v>
      </c>
      <c r="F4135" t="s">
        <v>96</v>
      </c>
      <c r="G4135">
        <v>-384.21210000000002</v>
      </c>
      <c r="H4135">
        <v>1.7491000000000001</v>
      </c>
      <c r="I4135">
        <v>1.360598</v>
      </c>
      <c r="J4135">
        <v>-417.94589999999999</v>
      </c>
      <c r="K4135">
        <v>1.130115</v>
      </c>
      <c r="L4135">
        <v>22.687470000000001</v>
      </c>
      <c r="M4135">
        <v>0.59163259999999995</v>
      </c>
      <c r="N4135">
        <v>-1.1807140000000001E-2</v>
      </c>
      <c r="O4135">
        <v>-0.80612150000000005</v>
      </c>
      <c r="P4135">
        <v>0.68204809999999905</v>
      </c>
      <c r="Q4135">
        <v>0.20759610000000001</v>
      </c>
      <c r="R4135">
        <v>-0.70122369999999901</v>
      </c>
      <c r="S4135">
        <v>2.6609799999999999</v>
      </c>
      <c r="T4135">
        <v>4.8626540000000003E-2</v>
      </c>
      <c r="U4135">
        <v>-1.688965</v>
      </c>
      <c r="V4135">
        <v>-0.1398374</v>
      </c>
      <c r="W4135">
        <v>0.2159373</v>
      </c>
      <c r="X4135">
        <v>0.96634189999999998</v>
      </c>
      <c r="Y4135">
        <v>-0.36332569999999997</v>
      </c>
      <c r="Z4135">
        <v>-2.235643E-2</v>
      </c>
      <c r="AA4135">
        <v>0.9313939</v>
      </c>
      <c r="AB4135">
        <v>25</v>
      </c>
      <c r="AC4135">
        <v>33.733799999999903</v>
      </c>
      <c r="AD4135">
        <v>0.61898500000000001</v>
      </c>
      <c r="AE4135">
        <v>-21.326872000000002</v>
      </c>
      <c r="AF4135">
        <v>-14.573376245260301</v>
      </c>
      <c r="AG4135">
        <v>0.61898500000000001</v>
      </c>
      <c r="AH4135">
        <v>37.1437131705922</v>
      </c>
      <c r="AI4135">
        <v>89.111226477448994</v>
      </c>
      <c r="AJ4135">
        <v>111.422613808723</v>
      </c>
      <c r="AK4135">
        <v>39.905160890734003</v>
      </c>
      <c r="AL4135">
        <v>77.529478094748697</v>
      </c>
      <c r="AM4135">
        <v>98.234000481959598</v>
      </c>
      <c r="AN4135">
        <v>1.0000000418328201</v>
      </c>
    </row>
    <row r="4136" spans="1:40" x14ac:dyDescent="0.25">
      <c r="A4136" t="str">
        <f>"20190303170853365"</f>
        <v>20190303170853365</v>
      </c>
      <c r="B4136" t="str">
        <f>"1551604133357994"</f>
        <v>1551604133357994</v>
      </c>
      <c r="C4136" t="s">
        <v>40</v>
      </c>
      <c r="D4136">
        <v>4.263706</v>
      </c>
      <c r="E4136">
        <v>0.3477614</v>
      </c>
      <c r="F4136" t="s">
        <v>97</v>
      </c>
      <c r="G4136">
        <v>-364.76560000000001</v>
      </c>
      <c r="H4136">
        <v>2.6210089999999999</v>
      </c>
      <c r="I4136">
        <v>-6.8158539999999901</v>
      </c>
      <c r="J4136">
        <v>-417.78930000000003</v>
      </c>
      <c r="K4136">
        <v>1.130163</v>
      </c>
      <c r="L4136">
        <v>22.498750000000001</v>
      </c>
      <c r="M4136">
        <v>0.60261679999999995</v>
      </c>
      <c r="N4136">
        <v>-1.169273E-2</v>
      </c>
      <c r="O4136">
        <v>-0.79794509999999996</v>
      </c>
      <c r="P4136">
        <v>0.69226709999999902</v>
      </c>
      <c r="Q4136">
        <v>0.2075534</v>
      </c>
      <c r="R4136">
        <v>-0.69114980000000004</v>
      </c>
      <c r="S4136">
        <v>2.7857970000000001</v>
      </c>
      <c r="T4136">
        <v>7.8099009999999996E-2</v>
      </c>
      <c r="U4136">
        <v>-1.5455019999999999</v>
      </c>
      <c r="V4136">
        <v>-0.1408131</v>
      </c>
      <c r="W4136">
        <v>0.21573990000000001</v>
      </c>
      <c r="X4136">
        <v>0.9662442</v>
      </c>
      <c r="Y4136">
        <v>-0.4049643</v>
      </c>
      <c r="Z4136">
        <v>-3.0519439999999998E-2</v>
      </c>
      <c r="AA4136">
        <v>0.91382300000000005</v>
      </c>
      <c r="AB4136">
        <v>25</v>
      </c>
      <c r="AC4136">
        <v>53.023699999999998</v>
      </c>
      <c r="AD4136">
        <v>1.4908459999999999</v>
      </c>
      <c r="AE4136">
        <v>-29.314603999999999</v>
      </c>
      <c r="AF4136">
        <v>-24.631298563906199</v>
      </c>
      <c r="AG4136">
        <v>1.4908459999999999</v>
      </c>
      <c r="AH4136">
        <v>55.314705918188402</v>
      </c>
      <c r="AI4136">
        <v>88.589585644126601</v>
      </c>
      <c r="AJ4136">
        <v>114.003116085458</v>
      </c>
      <c r="AK4136">
        <v>60.569300652687701</v>
      </c>
      <c r="AL4136">
        <v>77.541060067549694</v>
      </c>
      <c r="AM4136">
        <v>98.291483061578603</v>
      </c>
      <c r="AN4136">
        <v>0.999999943808628</v>
      </c>
    </row>
    <row r="4137" spans="1:40" x14ac:dyDescent="0.25">
      <c r="A4137" t="str">
        <f>"20190303170853379"</f>
        <v>20190303170853379</v>
      </c>
      <c r="B4137" t="str">
        <f>"1551604133367754"</f>
        <v>1551604133367754</v>
      </c>
      <c r="C4137" t="s">
        <v>40</v>
      </c>
      <c r="D4137">
        <v>4.180593</v>
      </c>
      <c r="E4137">
        <v>0.34214450000000002</v>
      </c>
      <c r="F4137" t="s">
        <v>97</v>
      </c>
      <c r="G4137">
        <v>-364.55130000000003</v>
      </c>
      <c r="H4137">
        <v>5.3828279999999999</v>
      </c>
      <c r="I4137">
        <v>0.29835650000000002</v>
      </c>
      <c r="J4137">
        <v>-417.69229999999999</v>
      </c>
      <c r="K4137">
        <v>1.130185</v>
      </c>
      <c r="L4137">
        <v>22.384830000000001</v>
      </c>
      <c r="M4137">
        <v>0.60927799999999999</v>
      </c>
      <c r="N4137">
        <v>-1.162534E-2</v>
      </c>
      <c r="O4137">
        <v>-0.79287159999999901</v>
      </c>
      <c r="P4137">
        <v>0.69838059999999902</v>
      </c>
      <c r="Q4137">
        <v>0.20761499999999999</v>
      </c>
      <c r="R4137">
        <v>-0.68495340000000005</v>
      </c>
      <c r="S4137">
        <v>3.0088499999999998</v>
      </c>
      <c r="T4137">
        <v>0.2403479</v>
      </c>
      <c r="U4137">
        <v>-1.2546999999999999</v>
      </c>
      <c r="V4137">
        <v>-0.1413374</v>
      </c>
      <c r="W4137">
        <v>0.2157115</v>
      </c>
      <c r="X4137">
        <v>0.96617410000000004</v>
      </c>
      <c r="Y4137">
        <v>-0.49408069999999998</v>
      </c>
      <c r="Z4137">
        <v>-7.7524099999999999E-2</v>
      </c>
      <c r="AA4137">
        <v>0.86595279999999997</v>
      </c>
      <c r="AB4137">
        <v>25</v>
      </c>
      <c r="AC4137">
        <v>53.140999999999899</v>
      </c>
      <c r="AD4137">
        <v>4.252643</v>
      </c>
      <c r="AE4137">
        <v>-22.0864735</v>
      </c>
      <c r="AF4137">
        <v>-28.523361910100999</v>
      </c>
      <c r="AG4137">
        <v>4.252643</v>
      </c>
      <c r="AH4137">
        <v>49.6217714914673</v>
      </c>
      <c r="AI4137">
        <v>85.750686252435301</v>
      </c>
      <c r="AJ4137">
        <v>119.890955479547</v>
      </c>
      <c r="AK4137">
        <v>57.393269231604599</v>
      </c>
      <c r="AL4137">
        <v>77.542727871233893</v>
      </c>
      <c r="AM4137">
        <v>98.322519119663099</v>
      </c>
      <c r="AN4137">
        <v>1.0000000516909</v>
      </c>
    </row>
    <row r="4138" spans="1:40" x14ac:dyDescent="0.25">
      <c r="A4138" t="str">
        <f>"20190303170853398"</f>
        <v>20190303170853398</v>
      </c>
      <c r="B4138" t="str">
        <f>"1551604133387274"</f>
        <v>1551604133387274</v>
      </c>
      <c r="C4138" t="s">
        <v>40</v>
      </c>
      <c r="D4138">
        <v>4.3661370000000002</v>
      </c>
      <c r="E4138">
        <v>0.340860099999999</v>
      </c>
      <c r="F4138" t="s">
        <v>97</v>
      </c>
      <c r="G4138">
        <v>-360.9581</v>
      </c>
      <c r="H4138">
        <v>6.1228179999999996</v>
      </c>
      <c r="I4138">
        <v>0.16497229999999999</v>
      </c>
      <c r="J4138">
        <v>-417.55410000000001</v>
      </c>
      <c r="K4138">
        <v>1.1302160000000001</v>
      </c>
      <c r="L4138">
        <v>22.225429999999999</v>
      </c>
      <c r="M4138">
        <v>0.61861009999999905</v>
      </c>
      <c r="N4138">
        <v>-1.153118E-2</v>
      </c>
      <c r="O4138">
        <v>-0.78561369999999997</v>
      </c>
      <c r="P4138">
        <v>0.70668339999999996</v>
      </c>
      <c r="Q4138">
        <v>0.2083981</v>
      </c>
      <c r="R4138">
        <v>-0.67614289999999999</v>
      </c>
      <c r="S4138">
        <v>3.0459290000000001</v>
      </c>
      <c r="T4138">
        <v>0.26804289999999997</v>
      </c>
      <c r="U4138">
        <v>-1.1929320000000001</v>
      </c>
      <c r="V4138">
        <v>-0.141888299999999</v>
      </c>
      <c r="W4138">
        <v>0.21637400000000001</v>
      </c>
      <c r="X4138">
        <v>0.9659451</v>
      </c>
      <c r="Y4138">
        <v>-0.50197760000000002</v>
      </c>
      <c r="Z4138">
        <v>-8.4957569999999996E-2</v>
      </c>
      <c r="AA4138">
        <v>0.86069779999999996</v>
      </c>
      <c r="AB4138">
        <v>25</v>
      </c>
      <c r="AC4138">
        <v>56.595999999999997</v>
      </c>
      <c r="AD4138">
        <v>4.9926019999999998</v>
      </c>
      <c r="AE4138">
        <v>-22.060457700000001</v>
      </c>
      <c r="AF4138">
        <v>-30.6110238786415</v>
      </c>
      <c r="AG4138">
        <v>4.9926019999999998</v>
      </c>
      <c r="AH4138">
        <v>51.994083570618301</v>
      </c>
      <c r="AI4138">
        <v>85.2697338051549</v>
      </c>
      <c r="AJ4138">
        <v>120.487046079615</v>
      </c>
      <c r="AK4138">
        <v>60.542097617918799</v>
      </c>
      <c r="AL4138">
        <v>77.5038502289772</v>
      </c>
      <c r="AM4138">
        <v>98.3564540250307</v>
      </c>
      <c r="AN4138">
        <v>0.99999996688344905</v>
      </c>
    </row>
    <row r="4139" spans="1:40" x14ac:dyDescent="0.25">
      <c r="A4139" t="str">
        <f>"20190303170853412"</f>
        <v>20190303170853412</v>
      </c>
      <c r="B4139" t="str">
        <f>"1551604133407770"</f>
        <v>1551604133407770</v>
      </c>
      <c r="C4139" t="s">
        <v>40</v>
      </c>
      <c r="D4139">
        <v>4.2210340000000004</v>
      </c>
      <c r="E4139">
        <v>0.34051140000000002</v>
      </c>
      <c r="F4139" t="s">
        <v>97</v>
      </c>
      <c r="G4139">
        <v>-358.57310000000001</v>
      </c>
      <c r="H4139">
        <v>6.2819349999999998</v>
      </c>
      <c r="I4139">
        <v>0.16491989999999901</v>
      </c>
      <c r="J4139">
        <v>-417.45499999999998</v>
      </c>
      <c r="K4139">
        <v>1.130239</v>
      </c>
      <c r="L4139">
        <v>22.113219999999998</v>
      </c>
      <c r="M4139">
        <v>0.62518530000000005</v>
      </c>
      <c r="N4139">
        <v>-1.146521E-2</v>
      </c>
      <c r="O4139">
        <v>-0.78039209999999903</v>
      </c>
      <c r="P4139">
        <v>0.71281280000000002</v>
      </c>
      <c r="Q4139">
        <v>0.208646</v>
      </c>
      <c r="R4139">
        <v>-0.66960050000000004</v>
      </c>
      <c r="S4139">
        <v>3.0681759999999998</v>
      </c>
      <c r="T4139">
        <v>0.26799129999999999</v>
      </c>
      <c r="U4139">
        <v>-1.147583</v>
      </c>
      <c r="V4139">
        <v>-0.14264549999999901</v>
      </c>
      <c r="W4139">
        <v>0.216529</v>
      </c>
      <c r="X4139">
        <v>0.96579890000000002</v>
      </c>
      <c r="Y4139">
        <v>-0.50796609999999998</v>
      </c>
      <c r="Z4139">
        <v>-8.4597919999999993E-2</v>
      </c>
      <c r="AA4139">
        <v>0.85721270000000005</v>
      </c>
      <c r="AB4139">
        <v>25</v>
      </c>
      <c r="AC4139">
        <v>58.881899999999902</v>
      </c>
      <c r="AD4139">
        <v>5.1516959999999896</v>
      </c>
      <c r="AE4139">
        <v>-21.948300100000001</v>
      </c>
      <c r="AF4139">
        <v>-32.016153522524696</v>
      </c>
      <c r="AG4139">
        <v>5.1516959999999896</v>
      </c>
      <c r="AH4139">
        <v>53.5837882764393</v>
      </c>
      <c r="AI4139">
        <v>85.281913459735094</v>
      </c>
      <c r="AJ4139">
        <v>120.85819118037701</v>
      </c>
      <c r="AK4139">
        <v>62.632231511487497</v>
      </c>
      <c r="AL4139">
        <v>77.494754548849002</v>
      </c>
      <c r="AM4139">
        <v>98.401667814218598</v>
      </c>
      <c r="AN4139">
        <v>1.00000003087622</v>
      </c>
    </row>
    <row r="4140" spans="1:40" x14ac:dyDescent="0.25">
      <c r="A4140" t="str">
        <f>"20190303170853426"</f>
        <v>20190303170853426</v>
      </c>
      <c r="B4140" t="str">
        <f>"1551604133417530"</f>
        <v>1551604133417530</v>
      </c>
      <c r="C4140" t="s">
        <v>40</v>
      </c>
      <c r="D4140">
        <v>4.2491770000000004</v>
      </c>
      <c r="E4140">
        <v>0.33955999999999997</v>
      </c>
      <c r="F4140" t="s">
        <v>97</v>
      </c>
      <c r="G4140">
        <v>-357.37450000000001</v>
      </c>
      <c r="H4140">
        <v>6.3400809999999996</v>
      </c>
      <c r="I4140">
        <v>0.3216214</v>
      </c>
      <c r="J4140">
        <v>-417.35090000000002</v>
      </c>
      <c r="K4140">
        <v>1.130255</v>
      </c>
      <c r="L4140">
        <v>21.99747</v>
      </c>
      <c r="M4140">
        <v>0.63198129999999997</v>
      </c>
      <c r="N4140">
        <v>-1.1399029999999999E-2</v>
      </c>
      <c r="O4140">
        <v>-0.77489980000000003</v>
      </c>
      <c r="P4140">
        <v>0.71854609999999997</v>
      </c>
      <c r="Q4140">
        <v>0.20894160000000001</v>
      </c>
      <c r="R4140">
        <v>-0.66335119999999903</v>
      </c>
      <c r="S4140">
        <v>3.0808110000000002</v>
      </c>
      <c r="T4140">
        <v>0.26715080000000002</v>
      </c>
      <c r="U4140">
        <v>-1.117432</v>
      </c>
      <c r="V4140">
        <v>-0.14259179999999999</v>
      </c>
      <c r="W4140">
        <v>0.21675249999999999</v>
      </c>
      <c r="X4140">
        <v>0.96575670000000002</v>
      </c>
      <c r="Y4140">
        <v>-0.50904419999999995</v>
      </c>
      <c r="Z4140">
        <v>-8.3933640000000004E-2</v>
      </c>
      <c r="AA4140">
        <v>0.85663829999999996</v>
      </c>
      <c r="AB4140">
        <v>25</v>
      </c>
      <c r="AC4140">
        <v>59.976399999999998</v>
      </c>
      <c r="AD4140">
        <v>5.2098259999999996</v>
      </c>
      <c r="AE4140">
        <v>-21.675848599999998</v>
      </c>
      <c r="AF4140">
        <v>-32.561789234996702</v>
      </c>
      <c r="AG4140">
        <v>5.2098259999999996</v>
      </c>
      <c r="AH4140">
        <v>54.341465804738696</v>
      </c>
      <c r="AI4140">
        <v>85.298670144293993</v>
      </c>
      <c r="AJ4140">
        <v>120.93033831506899</v>
      </c>
      <c r="AK4140">
        <v>63.564198342637901</v>
      </c>
      <c r="AL4140">
        <v>77.481637489803902</v>
      </c>
      <c r="AM4140">
        <v>98.398911812322197</v>
      </c>
      <c r="AN4140">
        <v>1.0000000356391801</v>
      </c>
    </row>
    <row r="4141" spans="1:40" x14ac:dyDescent="0.25">
      <c r="A4141" t="str">
        <f>"20190303170853445"</f>
        <v>20190303170853445</v>
      </c>
      <c r="B4141" t="str">
        <f>"1551604133438026"</f>
        <v>1551604133438026</v>
      </c>
      <c r="C4141" t="s">
        <v>40</v>
      </c>
      <c r="D4141">
        <v>4.3230829999999996</v>
      </c>
      <c r="E4141">
        <v>0.3400318</v>
      </c>
      <c r="F4141" t="s">
        <v>97</v>
      </c>
      <c r="G4141">
        <v>-355.51190000000003</v>
      </c>
      <c r="H4141">
        <v>6.6247309999999997</v>
      </c>
      <c r="I4141">
        <v>0.32152700000000001</v>
      </c>
      <c r="J4141">
        <v>-417.20659999999998</v>
      </c>
      <c r="K4141">
        <v>1.130274</v>
      </c>
      <c r="L4141">
        <v>21.840669999999999</v>
      </c>
      <c r="M4141">
        <v>0.64120239999999995</v>
      </c>
      <c r="N4141">
        <v>-1.131157E-2</v>
      </c>
      <c r="O4141">
        <v>-0.76728839999999998</v>
      </c>
      <c r="P4141">
        <v>0.72643419999999903</v>
      </c>
      <c r="Q4141">
        <v>0.2091047</v>
      </c>
      <c r="R4141">
        <v>-0.6546516</v>
      </c>
      <c r="S4141">
        <v>3.0939640000000002</v>
      </c>
      <c r="T4141">
        <v>0.2749028</v>
      </c>
      <c r="U4141">
        <v>-1.084503</v>
      </c>
      <c r="V4141">
        <v>-0.14265600000000001</v>
      </c>
      <c r="W4141">
        <v>0.2168176</v>
      </c>
      <c r="X4141">
        <v>0.96573260000000005</v>
      </c>
      <c r="Y4141">
        <v>-0.50785170000000002</v>
      </c>
      <c r="Z4141">
        <v>-8.5502099999999998E-2</v>
      </c>
      <c r="AA4141">
        <v>0.85719080000000003</v>
      </c>
      <c r="AB4141">
        <v>25</v>
      </c>
      <c r="AC4141">
        <v>61.694699999999898</v>
      </c>
      <c r="AD4141">
        <v>5.4944569999999997</v>
      </c>
      <c r="AE4141">
        <v>-21.519143</v>
      </c>
      <c r="AF4141">
        <v>-33.306134454047204</v>
      </c>
      <c r="AG4141">
        <v>5.4944569999999997</v>
      </c>
      <c r="AH4141">
        <v>55.680043530498601</v>
      </c>
      <c r="AI4141">
        <v>85.159460326799007</v>
      </c>
      <c r="AJ4141">
        <v>120.886599891136</v>
      </c>
      <c r="AK4141">
        <v>65.113400291753607</v>
      </c>
      <c r="AL4141">
        <v>77.477816605986405</v>
      </c>
      <c r="AM4141">
        <v>98.402846027132895</v>
      </c>
      <c r="AN4141">
        <v>1.00000003035425</v>
      </c>
    </row>
    <row r="4142" spans="1:40" x14ac:dyDescent="0.25">
      <c r="A4142" t="str">
        <f>"20190303170853469"</f>
        <v>20190303170853469</v>
      </c>
      <c r="B4142" t="str">
        <f>"1551604133457546"</f>
        <v>1551604133457546</v>
      </c>
      <c r="C4142" t="s">
        <v>40</v>
      </c>
      <c r="D4142">
        <v>4.3496379999999997</v>
      </c>
      <c r="E4142">
        <v>0.34186939999999999</v>
      </c>
      <c r="F4142" t="s">
        <v>98</v>
      </c>
      <c r="G4142">
        <v>-350.39</v>
      </c>
      <c r="H4142">
        <v>6.9863799999999996</v>
      </c>
      <c r="I4142">
        <v>-0.7667079</v>
      </c>
      <c r="J4142">
        <v>-417.02800000000002</v>
      </c>
      <c r="K4142">
        <v>1.1302920000000001</v>
      </c>
      <c r="L4142">
        <v>21.651</v>
      </c>
      <c r="M4142">
        <v>0.6523603</v>
      </c>
      <c r="N4142">
        <v>-1.120637E-2</v>
      </c>
      <c r="O4142">
        <v>-0.75782629999999995</v>
      </c>
      <c r="P4142">
        <v>0.73568299999999998</v>
      </c>
      <c r="Q4142">
        <v>0.20941560000000001</v>
      </c>
      <c r="R4142">
        <v>-0.64413980000000004</v>
      </c>
      <c r="S4142">
        <v>3.1047060000000002</v>
      </c>
      <c r="T4142">
        <v>0.27211020000000002</v>
      </c>
      <c r="U4142">
        <v>-1.050476</v>
      </c>
      <c r="V4142">
        <v>-0.14236889999999999</v>
      </c>
      <c r="W4142">
        <v>0.21702109999999999</v>
      </c>
      <c r="X4142">
        <v>0.96572919999999995</v>
      </c>
      <c r="Y4142">
        <v>-0.50471899999999903</v>
      </c>
      <c r="Z4142">
        <v>-8.3904670000000001E-2</v>
      </c>
      <c r="AA4142">
        <v>0.85919650000000003</v>
      </c>
      <c r="AB4142">
        <v>25</v>
      </c>
      <c r="AC4142">
        <v>66.638000000000005</v>
      </c>
      <c r="AD4142">
        <v>5.8560879999999997</v>
      </c>
      <c r="AE4142">
        <v>-22.4177079</v>
      </c>
      <c r="AF4142">
        <v>-35.630663650241402</v>
      </c>
      <c r="AG4142">
        <v>5.8560879999999997</v>
      </c>
      <c r="AH4142">
        <v>60.047915446709602</v>
      </c>
      <c r="AI4142">
        <v>85.205818140413399</v>
      </c>
      <c r="AJ4142">
        <v>120.683645066278</v>
      </c>
      <c r="AK4142">
        <v>70.068467289612997</v>
      </c>
      <c r="AL4142">
        <v>77.465871811123293</v>
      </c>
      <c r="AM4142">
        <v>98.386204850344399</v>
      </c>
      <c r="AN4142">
        <v>0.99999997463252899</v>
      </c>
    </row>
    <row r="4143" spans="1:40" x14ac:dyDescent="0.25">
      <c r="A4143" t="str">
        <f>"20190303170853489"</f>
        <v>20190303170853489</v>
      </c>
      <c r="B4143" t="str">
        <f>"1551604133478042"</f>
        <v>1551604133478042</v>
      </c>
      <c r="C4143" t="s">
        <v>40</v>
      </c>
      <c r="D4143">
        <v>4.3499030000000003</v>
      </c>
      <c r="E4143">
        <v>0.34362880000000001</v>
      </c>
      <c r="F4143" t="s">
        <v>98</v>
      </c>
      <c r="G4143">
        <v>-350.54129999999998</v>
      </c>
      <c r="H4143">
        <v>6.7286009999999896</v>
      </c>
      <c r="I4143">
        <v>-9.2861650000000004E-2</v>
      </c>
      <c r="J4143">
        <v>-416.8698</v>
      </c>
      <c r="K4143">
        <v>1.130315</v>
      </c>
      <c r="L4143">
        <v>21.487950000000001</v>
      </c>
      <c r="M4143">
        <v>0.66196709999999903</v>
      </c>
      <c r="N4143">
        <v>-1.111816E-2</v>
      </c>
      <c r="O4143">
        <v>-0.74945069999999903</v>
      </c>
      <c r="P4143">
        <v>0.74360930000000003</v>
      </c>
      <c r="Q4143">
        <v>0.20928630000000001</v>
      </c>
      <c r="R4143">
        <v>-0.63501580000000002</v>
      </c>
      <c r="S4143">
        <v>3.1121219999999998</v>
      </c>
      <c r="T4143">
        <v>0.26204709999999998</v>
      </c>
      <c r="U4143">
        <v>-1.017792</v>
      </c>
      <c r="V4143">
        <v>-0.1420112</v>
      </c>
      <c r="W4143">
        <v>0.21680459999999999</v>
      </c>
      <c r="X4143">
        <v>0.96583050000000004</v>
      </c>
      <c r="Y4143">
        <v>-0.50278889999999998</v>
      </c>
      <c r="Z4143">
        <v>-8.0442819999999998E-2</v>
      </c>
      <c r="AA4143">
        <v>0.86065800000000003</v>
      </c>
      <c r="AB4143">
        <v>25</v>
      </c>
      <c r="AC4143">
        <v>66.328500000000005</v>
      </c>
      <c r="AD4143">
        <v>5.5982859999999999</v>
      </c>
      <c r="AE4143">
        <v>-21.580811650000001</v>
      </c>
      <c r="AF4143">
        <v>-35.199586106712097</v>
      </c>
      <c r="AG4143">
        <v>5.5982859999999999</v>
      </c>
      <c r="AH4143">
        <v>59.7001623554319</v>
      </c>
      <c r="AI4143">
        <v>85.381786137918198</v>
      </c>
      <c r="AJ4143">
        <v>120.52386518988</v>
      </c>
      <c r="AK4143">
        <v>69.530288748764505</v>
      </c>
      <c r="AL4143">
        <v>77.478579024385098</v>
      </c>
      <c r="AM4143">
        <v>98.364568168658707</v>
      </c>
      <c r="AN4143">
        <v>0.99999998511842403</v>
      </c>
    </row>
    <row r="4144" spans="1:40" x14ac:dyDescent="0.25">
      <c r="A4144" t="str">
        <f>"20190303170853505"</f>
        <v>20190303170853505</v>
      </c>
      <c r="B4144" t="str">
        <f>"1551604133497562"</f>
        <v>1551604133497562</v>
      </c>
      <c r="C4144" t="s">
        <v>40</v>
      </c>
      <c r="D4144">
        <v>4.3429399999999996</v>
      </c>
      <c r="E4144">
        <v>0.34467409999999998</v>
      </c>
      <c r="F4144" t="s">
        <v>98</v>
      </c>
      <c r="G4144">
        <v>-350.2835</v>
      </c>
      <c r="H4144">
        <v>6.5040100000000001</v>
      </c>
      <c r="I4144">
        <v>0.32156560000000001</v>
      </c>
      <c r="J4144">
        <v>-416.74360000000001</v>
      </c>
      <c r="K4144">
        <v>1.130328</v>
      </c>
      <c r="L4144">
        <v>21.360959999999999</v>
      </c>
      <c r="M4144">
        <v>0.66946380000000005</v>
      </c>
      <c r="N4144">
        <v>-1.105125E-2</v>
      </c>
      <c r="O4144">
        <v>-0.74276239999999905</v>
      </c>
      <c r="P4144">
        <v>0.74999059999999995</v>
      </c>
      <c r="Q4144">
        <v>0.20888509999999999</v>
      </c>
      <c r="R4144">
        <v>-0.62759949999999998</v>
      </c>
      <c r="S4144">
        <v>3.11734</v>
      </c>
      <c r="T4144">
        <v>0.25157770000000002</v>
      </c>
      <c r="U4144">
        <v>-0.99093629999999999</v>
      </c>
      <c r="V4144">
        <v>-0.14198359999999999</v>
      </c>
      <c r="W4144">
        <v>0.21633260000000001</v>
      </c>
      <c r="X4144">
        <v>0.96594040000000003</v>
      </c>
      <c r="Y4144">
        <v>-0.50155899999999998</v>
      </c>
      <c r="Z4144">
        <v>-7.7040940000000002E-2</v>
      </c>
      <c r="AA4144">
        <v>0.86168630000000002</v>
      </c>
      <c r="AB4144">
        <v>25</v>
      </c>
      <c r="AC4144">
        <v>66.460099999999997</v>
      </c>
      <c r="AD4144">
        <v>5.3736819999999996</v>
      </c>
      <c r="AE4144">
        <v>-21.039394399999999</v>
      </c>
      <c r="AF4144">
        <v>-35.072699761674201</v>
      </c>
      <c r="AG4144">
        <v>5.3736819999999996</v>
      </c>
      <c r="AH4144">
        <v>59.768424270161397</v>
      </c>
      <c r="AI4144">
        <v>85.565965326411799</v>
      </c>
      <c r="AJ4144">
        <v>120.404830316336</v>
      </c>
      <c r="AK4144">
        <v>69.507087887119098</v>
      </c>
      <c r="AL4144">
        <v>77.506280193839302</v>
      </c>
      <c r="AM4144">
        <v>98.362027458037304</v>
      </c>
      <c r="AN4144">
        <v>0.99999999642194004</v>
      </c>
    </row>
    <row r="4145" spans="1:40" x14ac:dyDescent="0.25">
      <c r="A4145" t="str">
        <f>"20190303170853523"</f>
        <v>20190303170853523</v>
      </c>
      <c r="B4145" t="str">
        <f>"1551604133518058"</f>
        <v>1551604133518058</v>
      </c>
      <c r="C4145" t="s">
        <v>40</v>
      </c>
      <c r="D4145">
        <v>4.3385170000000004</v>
      </c>
      <c r="E4145">
        <v>0.34549659999999999</v>
      </c>
      <c r="F4145" t="s">
        <v>98</v>
      </c>
      <c r="G4145">
        <v>-348.54219999999998</v>
      </c>
      <c r="H4145">
        <v>6.4720740000000001</v>
      </c>
      <c r="I4145">
        <v>0.25546029999999997</v>
      </c>
      <c r="J4145">
        <v>-416.59539999999998</v>
      </c>
      <c r="K4145">
        <v>1.1303369999999999</v>
      </c>
      <c r="L4145">
        <v>21.214749999999999</v>
      </c>
      <c r="M4145">
        <v>0.67808889999999999</v>
      </c>
      <c r="N4145">
        <v>-1.0976710000000001E-2</v>
      </c>
      <c r="O4145">
        <v>-0.7348981</v>
      </c>
      <c r="P4145">
        <v>0.7575499</v>
      </c>
      <c r="Q4145">
        <v>0.2083198</v>
      </c>
      <c r="R4145">
        <v>-0.61864509999999995</v>
      </c>
      <c r="S4145">
        <v>3.1231689999999999</v>
      </c>
      <c r="T4145">
        <v>0.24461649999999999</v>
      </c>
      <c r="U4145">
        <v>-0.96649169999999995</v>
      </c>
      <c r="V4145">
        <v>-0.14229939999999999</v>
      </c>
      <c r="W4145">
        <v>0.21567890000000001</v>
      </c>
      <c r="X4145">
        <v>0.96604009999999996</v>
      </c>
      <c r="Y4145">
        <v>-0.49828689999999998</v>
      </c>
      <c r="Z4145">
        <v>-7.4471609999999994E-2</v>
      </c>
      <c r="AA4145">
        <v>0.86380789999999996</v>
      </c>
      <c r="AB4145">
        <v>26</v>
      </c>
      <c r="AC4145">
        <v>68.053200000000004</v>
      </c>
      <c r="AD4145">
        <v>5.3417370000000002</v>
      </c>
      <c r="AE4145">
        <v>-20.959289699999999</v>
      </c>
      <c r="AF4145">
        <v>-35.601711065302197</v>
      </c>
      <c r="AG4145">
        <v>5.3417370000000002</v>
      </c>
      <c r="AH4145">
        <v>61.208315204593703</v>
      </c>
      <c r="AI4145">
        <v>85.685864765157802</v>
      </c>
      <c r="AJ4145">
        <v>120.184349544018</v>
      </c>
      <c r="AK4145">
        <v>71.010378362175501</v>
      </c>
      <c r="AL4145">
        <v>77.544639972723701</v>
      </c>
      <c r="AM4145">
        <v>98.379509828403201</v>
      </c>
      <c r="AN4145">
        <v>0.99999999097678904</v>
      </c>
    </row>
    <row r="4146" spans="1:40" x14ac:dyDescent="0.25">
      <c r="A4146" t="str">
        <f>"20190303170853536"</f>
        <v>20190303170853536</v>
      </c>
      <c r="B4146" t="str">
        <f>"1551604133527818"</f>
        <v>1551604133527818</v>
      </c>
      <c r="C4146" t="s">
        <v>40</v>
      </c>
      <c r="D4146">
        <v>4.3669370000000001</v>
      </c>
      <c r="E4146">
        <v>0.34594459999999999</v>
      </c>
      <c r="F4146" t="s">
        <v>98</v>
      </c>
      <c r="G4146">
        <v>-346.35120000000001</v>
      </c>
      <c r="H4146">
        <v>6.487101</v>
      </c>
      <c r="I4146">
        <v>0.25040770000000001</v>
      </c>
      <c r="J4146">
        <v>-416.48340000000002</v>
      </c>
      <c r="K4146">
        <v>1.1303479999999999</v>
      </c>
      <c r="L4146">
        <v>21.106570000000001</v>
      </c>
      <c r="M4146">
        <v>0.68447349999999996</v>
      </c>
      <c r="N4146">
        <v>-1.092284E-2</v>
      </c>
      <c r="O4146">
        <v>-0.7289561</v>
      </c>
      <c r="P4146">
        <v>0.76340739999999996</v>
      </c>
      <c r="Q4146">
        <v>0.20797869999999999</v>
      </c>
      <c r="R4146">
        <v>-0.61151820000000001</v>
      </c>
      <c r="S4146">
        <v>3.1313170000000001</v>
      </c>
      <c r="T4146">
        <v>0.2387917</v>
      </c>
      <c r="U4146">
        <v>-0.93453980000000003</v>
      </c>
      <c r="V4146">
        <v>-0.14299829999999999</v>
      </c>
      <c r="W4146">
        <v>0.2152617</v>
      </c>
      <c r="X4146">
        <v>0.9660299</v>
      </c>
      <c r="Y4146">
        <v>-0.4996022</v>
      </c>
      <c r="Z4146">
        <v>-7.2492749999999995E-2</v>
      </c>
      <c r="AA4146">
        <v>0.86321630000000005</v>
      </c>
      <c r="AB4146">
        <v>26</v>
      </c>
      <c r="AC4146">
        <v>70.132199999999997</v>
      </c>
      <c r="AD4146">
        <v>5.3567530000000003</v>
      </c>
      <c r="AE4146">
        <v>-20.856162300000001</v>
      </c>
      <c r="AF4146">
        <v>-36.653534765549601</v>
      </c>
      <c r="AG4146">
        <v>5.3567530000000003</v>
      </c>
      <c r="AH4146">
        <v>62.8736185023673</v>
      </c>
      <c r="AI4146">
        <v>85.790366309491702</v>
      </c>
      <c r="AJ4146">
        <v>120.240971461515</v>
      </c>
      <c r="AK4146">
        <v>72.974436051905101</v>
      </c>
      <c r="AL4146">
        <v>77.569118132056005</v>
      </c>
      <c r="AM4146">
        <v>98.420164626557593</v>
      </c>
      <c r="AN4146">
        <v>0.999999940491893</v>
      </c>
    </row>
    <row r="4147" spans="1:40" x14ac:dyDescent="0.25">
      <c r="A4147" t="str">
        <f>"20190303170853557"</f>
        <v>20190303170853557</v>
      </c>
      <c r="B4147" t="str">
        <f>"1551604133547338"</f>
        <v>1551604133547338</v>
      </c>
      <c r="C4147" t="s">
        <v>40</v>
      </c>
      <c r="D4147">
        <v>4.3546889999999996</v>
      </c>
      <c r="E4147">
        <v>0.34703600000000001</v>
      </c>
      <c r="F4147" t="s">
        <v>98</v>
      </c>
      <c r="G4147">
        <v>-344.19699999999898</v>
      </c>
      <c r="H4147">
        <v>6.5612550000000001</v>
      </c>
      <c r="I4147">
        <v>0.19079209999999999</v>
      </c>
      <c r="J4147">
        <v>-416.322</v>
      </c>
      <c r="K4147">
        <v>1.130368</v>
      </c>
      <c r="L4147">
        <v>20.953700000000001</v>
      </c>
      <c r="M4147">
        <v>0.69349959999999999</v>
      </c>
      <c r="N4147">
        <v>-1.084861E-2</v>
      </c>
      <c r="O4147">
        <v>-0.72037569999999995</v>
      </c>
      <c r="P4147">
        <v>0.77095930000000001</v>
      </c>
      <c r="Q4147">
        <v>0.208617</v>
      </c>
      <c r="R4147">
        <v>-0.60174850000000002</v>
      </c>
      <c r="S4147">
        <v>3.1381839999999999</v>
      </c>
      <c r="T4147">
        <v>0.23577300000000001</v>
      </c>
      <c r="U4147">
        <v>-0.90802000000000005</v>
      </c>
      <c r="V4147">
        <v>-0.14317349999999901</v>
      </c>
      <c r="W4147">
        <v>0.21581210000000001</v>
      </c>
      <c r="X4147">
        <v>0.9658812</v>
      </c>
      <c r="Y4147">
        <v>-0.49616539999999998</v>
      </c>
      <c r="Z4147">
        <v>-7.0979669999999995E-2</v>
      </c>
      <c r="AA4147">
        <v>0.86532180000000003</v>
      </c>
      <c r="AB4147">
        <v>26</v>
      </c>
      <c r="AC4147">
        <v>72.125</v>
      </c>
      <c r="AD4147">
        <v>5.4308870000000002</v>
      </c>
      <c r="AE4147">
        <v>-20.762907899999998</v>
      </c>
      <c r="AF4147">
        <v>-37.3645912923837</v>
      </c>
      <c r="AG4147">
        <v>5.4308870000000002</v>
      </c>
      <c r="AH4147">
        <v>64.641103792661198</v>
      </c>
      <c r="AI4147">
        <v>85.8397163320641</v>
      </c>
      <c r="AJ4147">
        <v>120.02926317943199</v>
      </c>
      <c r="AK4147">
        <v>74.860400183189299</v>
      </c>
      <c r="AL4147">
        <v>77.536824261341494</v>
      </c>
      <c r="AM4147">
        <v>98.431611978082998</v>
      </c>
      <c r="AN4147">
        <v>1.0000000030610401</v>
      </c>
    </row>
    <row r="4148" spans="1:40" x14ac:dyDescent="0.25">
      <c r="A4148" t="str">
        <f>"20190303170853570"</f>
        <v>20190303170853570</v>
      </c>
      <c r="B4148" t="str">
        <f>"1551604133558074"</f>
        <v>1551604133558074</v>
      </c>
      <c r="C4148" t="s">
        <v>40</v>
      </c>
      <c r="D4148">
        <v>4.396458</v>
      </c>
      <c r="E4148">
        <v>0.3476284</v>
      </c>
      <c r="F4148" t="s">
        <v>98</v>
      </c>
      <c r="G4148">
        <v>-342.0591</v>
      </c>
      <c r="H4148">
        <v>6.5779500000000004</v>
      </c>
      <c r="I4148">
        <v>0.25698470000000001</v>
      </c>
      <c r="J4148">
        <v>-416.21179999999998</v>
      </c>
      <c r="K4148">
        <v>1.1303840000000001</v>
      </c>
      <c r="L4148">
        <v>20.85117</v>
      </c>
      <c r="M4148">
        <v>0.6995441</v>
      </c>
      <c r="N4148">
        <v>-1.0800290000000001E-2</v>
      </c>
      <c r="O4148">
        <v>-0.71450809999999998</v>
      </c>
      <c r="P4148">
        <v>0.77589169999999996</v>
      </c>
      <c r="Q4148">
        <v>0.2094849</v>
      </c>
      <c r="R4148">
        <v>-0.59507010000000005</v>
      </c>
      <c r="S4148">
        <v>3.1447750000000001</v>
      </c>
      <c r="T4148">
        <v>0.23068630000000001</v>
      </c>
      <c r="U4148">
        <v>-0.8764343</v>
      </c>
      <c r="V4148">
        <v>-0.14323930000000001</v>
      </c>
      <c r="W4148">
        <v>0.2166226</v>
      </c>
      <c r="X4148">
        <v>0.96569000000000005</v>
      </c>
      <c r="Y4148">
        <v>-0.49752439999999998</v>
      </c>
      <c r="Z4148">
        <v>-6.9251899999999894E-2</v>
      </c>
      <c r="AA4148">
        <v>0.86468129999999999</v>
      </c>
      <c r="AB4148">
        <v>26</v>
      </c>
      <c r="AC4148">
        <v>74.152699999999896</v>
      </c>
      <c r="AD4148">
        <v>5.4475660000000001</v>
      </c>
      <c r="AE4148">
        <v>-20.594185299999999</v>
      </c>
      <c r="AF4148">
        <v>-38.3860720956799</v>
      </c>
      <c r="AG4148">
        <v>5.4475660000000001</v>
      </c>
      <c r="AH4148">
        <v>66.259671126644307</v>
      </c>
      <c r="AI4148">
        <v>85.930854229566805</v>
      </c>
      <c r="AJ4148">
        <v>120.084907039526</v>
      </c>
      <c r="AK4148">
        <v>76.769202966229599</v>
      </c>
      <c r="AL4148">
        <v>77.489261045874102</v>
      </c>
      <c r="AM4148">
        <v>98.437077377355706</v>
      </c>
      <c r="AN4148">
        <v>1.00000001199762</v>
      </c>
    </row>
    <row r="4149" spans="1:40" x14ac:dyDescent="0.25">
      <c r="A4149" t="str">
        <f>"20190303170853583"</f>
        <v>20190303170853583</v>
      </c>
      <c r="B4149" t="str">
        <f>"1551604133567834"</f>
        <v>1551604133567834</v>
      </c>
      <c r="C4149" t="s">
        <v>40</v>
      </c>
      <c r="D4149">
        <v>4.396134</v>
      </c>
      <c r="E4149">
        <v>0.34820200000000001</v>
      </c>
      <c r="F4149" t="s">
        <v>99</v>
      </c>
      <c r="G4149">
        <v>-279.02</v>
      </c>
      <c r="H4149">
        <v>11.188739999999999</v>
      </c>
      <c r="I4149">
        <v>-16.337820000000001</v>
      </c>
      <c r="J4149">
        <v>-416.10169999999999</v>
      </c>
      <c r="K4149">
        <v>1.130403</v>
      </c>
      <c r="L4149">
        <v>20.750979999999998</v>
      </c>
      <c r="M4149">
        <v>0.70547109999999902</v>
      </c>
      <c r="N4149">
        <v>-1.075635E-2</v>
      </c>
      <c r="O4149">
        <v>-0.70865699999999998</v>
      </c>
      <c r="P4149">
        <v>0.78050640000000004</v>
      </c>
      <c r="Q4149">
        <v>0.21052789999999999</v>
      </c>
      <c r="R4149">
        <v>-0.58863219999999905</v>
      </c>
      <c r="S4149">
        <v>3.1494450000000001</v>
      </c>
      <c r="T4149">
        <v>0.23090469999999999</v>
      </c>
      <c r="U4149">
        <v>-0.85372919999999997</v>
      </c>
      <c r="V4149">
        <v>-0.14301939999999999</v>
      </c>
      <c r="W4149">
        <v>0.2176187</v>
      </c>
      <c r="X4149">
        <v>0.96549859999999998</v>
      </c>
      <c r="Y4149">
        <v>-0.49644899999999997</v>
      </c>
      <c r="Z4149">
        <v>-6.8909209999999999E-2</v>
      </c>
      <c r="AA4149">
        <v>0.865326499999999</v>
      </c>
      <c r="AB4149">
        <v>26</v>
      </c>
      <c r="AC4149">
        <v>137.08170000000001</v>
      </c>
      <c r="AD4149">
        <v>10.058337</v>
      </c>
      <c r="AE4149">
        <v>-37.088799999999999</v>
      </c>
      <c r="AF4149">
        <v>-70.628621842428501</v>
      </c>
      <c r="AG4149">
        <v>10.058337</v>
      </c>
      <c r="AH4149">
        <v>122.383583571432</v>
      </c>
      <c r="AI4149">
        <v>85.928356102259002</v>
      </c>
      <c r="AJ4149">
        <v>119.9896150913</v>
      </c>
      <c r="AK4149">
        <v>141.659146878527</v>
      </c>
      <c r="AL4149">
        <v>77.430793780840304</v>
      </c>
      <c r="AM4149">
        <v>98.425956902580694</v>
      </c>
      <c r="AN4149">
        <v>0.99999999698400399</v>
      </c>
    </row>
    <row r="4150" spans="1:40" x14ac:dyDescent="0.25">
      <c r="A4150" t="str">
        <f>"20190303170853600"</f>
        <v>20190303170853600</v>
      </c>
      <c r="B4150" t="str">
        <f>"1551604133587354"</f>
        <v>1551604133587354</v>
      </c>
      <c r="C4150" t="s">
        <v>40</v>
      </c>
      <c r="D4150">
        <v>4.367019</v>
      </c>
      <c r="E4150">
        <v>0.34920190000000001</v>
      </c>
      <c r="F4150" t="s">
        <v>99</v>
      </c>
      <c r="G4150">
        <v>-279.02</v>
      </c>
      <c r="H4150">
        <v>11.28937</v>
      </c>
      <c r="I4150">
        <v>-15.380179999999999</v>
      </c>
      <c r="J4150">
        <v>-415.96780000000001</v>
      </c>
      <c r="K4150">
        <v>1.1304289999999999</v>
      </c>
      <c r="L4150">
        <v>20.631229999999999</v>
      </c>
      <c r="M4150">
        <v>0.71255279999999999</v>
      </c>
      <c r="N4150">
        <v>-1.070495E-2</v>
      </c>
      <c r="O4150">
        <v>-0.70153699999999997</v>
      </c>
      <c r="P4150">
        <v>0.78638560000000002</v>
      </c>
      <c r="Q4150">
        <v>0.21127789999999999</v>
      </c>
      <c r="R4150">
        <v>-0.58048239999999995</v>
      </c>
      <c r="S4150">
        <v>3.1537169999999999</v>
      </c>
      <c r="T4150">
        <v>0.2337185</v>
      </c>
      <c r="U4150">
        <v>-0.83123780000000003</v>
      </c>
      <c r="V4150">
        <v>-0.14325570000000001</v>
      </c>
      <c r="W4150">
        <v>0.21830279999999999</v>
      </c>
      <c r="X4150">
        <v>0.96530910000000003</v>
      </c>
      <c r="Y4150">
        <v>-0.49375380000000002</v>
      </c>
      <c r="Z4150">
        <v>-6.9142040000000002E-2</v>
      </c>
      <c r="AA4150">
        <v>0.86684859999999897</v>
      </c>
      <c r="AB4150">
        <v>26</v>
      </c>
      <c r="AC4150">
        <v>136.9478</v>
      </c>
      <c r="AD4150">
        <v>10.158941</v>
      </c>
      <c r="AE4150">
        <v>-36.011409999999998</v>
      </c>
      <c r="AF4150">
        <v>-70.057362417082601</v>
      </c>
      <c r="AG4150">
        <v>10.158941</v>
      </c>
      <c r="AH4150">
        <v>122.223819580951</v>
      </c>
      <c r="AI4150">
        <v>85.875456719024797</v>
      </c>
      <c r="AJ4150">
        <v>119.82086518455</v>
      </c>
      <c r="AK4150">
        <v>141.244115573134</v>
      </c>
      <c r="AL4150">
        <v>77.390631977209694</v>
      </c>
      <c r="AM4150">
        <v>98.441311051698605</v>
      </c>
      <c r="AN4150">
        <v>0.99999998330656903</v>
      </c>
    </row>
    <row r="4151" spans="1:40" x14ac:dyDescent="0.25">
      <c r="A4151" t="str">
        <f>"20190303170853625"</f>
        <v>20190303170853625</v>
      </c>
      <c r="B4151" t="str">
        <f>"1551604133617609"</f>
        <v>1551604133617609</v>
      </c>
      <c r="C4151" t="s">
        <v>40</v>
      </c>
      <c r="D4151">
        <v>4.3933429999999998</v>
      </c>
      <c r="E4151">
        <v>0.35075210000000001</v>
      </c>
      <c r="F4151" t="s">
        <v>99</v>
      </c>
      <c r="G4151">
        <v>-279.02</v>
      </c>
      <c r="H4151">
        <v>11.206950000000001</v>
      </c>
      <c r="I4151">
        <v>-14.3012</v>
      </c>
      <c r="J4151">
        <v>-415.7484</v>
      </c>
      <c r="K4151">
        <v>1.130463</v>
      </c>
      <c r="L4151">
        <v>20.439609999999998</v>
      </c>
      <c r="M4151">
        <v>0.7238812</v>
      </c>
      <c r="N4151">
        <v>-1.062229E-2</v>
      </c>
      <c r="O4151">
        <v>-0.68984299999999998</v>
      </c>
      <c r="P4151">
        <v>0.79633419999999999</v>
      </c>
      <c r="Q4151">
        <v>0.2116355</v>
      </c>
      <c r="R4151">
        <v>-0.56662360000000001</v>
      </c>
      <c r="S4151">
        <v>3.1578979999999999</v>
      </c>
      <c r="T4151">
        <v>0.23235600000000001</v>
      </c>
      <c r="U4151">
        <v>-0.80551149999999905</v>
      </c>
      <c r="V4151">
        <v>-0.14440829999999999</v>
      </c>
      <c r="W4151">
        <v>0.21853639999999999</v>
      </c>
      <c r="X4151">
        <v>0.96508450000000001</v>
      </c>
      <c r="Y4151">
        <v>-0.48657529999999999</v>
      </c>
      <c r="Z4151">
        <v>-6.7809300000000003E-2</v>
      </c>
      <c r="AA4151">
        <v>0.87100309999999903</v>
      </c>
      <c r="AB4151">
        <v>26</v>
      </c>
      <c r="AC4151">
        <v>136.72839999999999</v>
      </c>
      <c r="AD4151">
        <v>10.076487</v>
      </c>
      <c r="AE4151">
        <v>-34.740809999999897</v>
      </c>
      <c r="AF4151">
        <v>-68.825665975068503</v>
      </c>
      <c r="AG4151">
        <v>10.076487</v>
      </c>
      <c r="AH4151">
        <v>122.323666283588</v>
      </c>
      <c r="AI4151">
        <v>85.893672049304399</v>
      </c>
      <c r="AJ4151">
        <v>119.364372553601</v>
      </c>
      <c r="AK4151">
        <v>140.71811262318499</v>
      </c>
      <c r="AL4151">
        <v>77.376916783976995</v>
      </c>
      <c r="AM4151">
        <v>98.510188687174505</v>
      </c>
      <c r="AN4151">
        <v>1.00000000368705</v>
      </c>
    </row>
    <row r="4152" spans="1:40" x14ac:dyDescent="0.25">
      <c r="A4152" t="str">
        <f>"20190303170853640"</f>
        <v>20190303170853640</v>
      </c>
      <c r="B4152" t="str">
        <f>"1551604133627370"</f>
        <v>1551604133627370</v>
      </c>
      <c r="C4152" t="s">
        <v>40</v>
      </c>
      <c r="D4152">
        <v>4.4332140000000004</v>
      </c>
      <c r="E4152">
        <v>0.35118729999999998</v>
      </c>
      <c r="F4152" t="s">
        <v>99</v>
      </c>
      <c r="G4152">
        <v>-279.02</v>
      </c>
      <c r="H4152">
        <v>10.941800000000001</v>
      </c>
      <c r="I4152">
        <v>-12.430580000000001</v>
      </c>
      <c r="J4152">
        <v>-415.62329999999997</v>
      </c>
      <c r="K4152">
        <v>1.1304749999999999</v>
      </c>
      <c r="L4152">
        <v>20.333310000000001</v>
      </c>
      <c r="M4152">
        <v>0.73017829999999995</v>
      </c>
      <c r="N4152">
        <v>-1.0574149999999999E-2</v>
      </c>
      <c r="O4152">
        <v>-0.68317490000000003</v>
      </c>
      <c r="P4152">
        <v>0.80150250000000001</v>
      </c>
      <c r="Q4152">
        <v>0.21168409999999999</v>
      </c>
      <c r="R4152">
        <v>-0.55927099999999996</v>
      </c>
      <c r="S4152">
        <v>3.1654360000000001</v>
      </c>
      <c r="T4152">
        <v>0.22714500000000001</v>
      </c>
      <c r="U4152">
        <v>-0.7609863</v>
      </c>
      <c r="V4152">
        <v>-0.14444299999999999</v>
      </c>
      <c r="W4152">
        <v>0.2185289</v>
      </c>
      <c r="X4152">
        <v>0.96508099999999997</v>
      </c>
      <c r="Y4152">
        <v>-0.49074060000000003</v>
      </c>
      <c r="Z4152">
        <v>-6.612469E-2</v>
      </c>
      <c r="AA4152">
        <v>0.86879300000000004</v>
      </c>
      <c r="AB4152">
        <v>26</v>
      </c>
      <c r="AC4152">
        <v>136.60329999999999</v>
      </c>
      <c r="AD4152">
        <v>9.8113250000000001</v>
      </c>
      <c r="AE4152">
        <v>-32.763890000000004</v>
      </c>
      <c r="AF4152">
        <v>-69.067430060552795</v>
      </c>
      <c r="AG4152">
        <v>9.8113250000000001</v>
      </c>
      <c r="AH4152">
        <v>121.54217193872699</v>
      </c>
      <c r="AI4152">
        <v>85.985372600622796</v>
      </c>
      <c r="AJ4152">
        <v>119.607792535087</v>
      </c>
      <c r="AK4152">
        <v>140.139471787959</v>
      </c>
      <c r="AL4152">
        <v>77.377357079126298</v>
      </c>
      <c r="AM4152">
        <v>98.512234072426594</v>
      </c>
      <c r="AN4152">
        <v>0.99999999847260401</v>
      </c>
    </row>
    <row r="4153" spans="1:40" x14ac:dyDescent="0.25">
      <c r="A4153" t="str">
        <f>"20190303170853659"</f>
        <v>20190303170853659</v>
      </c>
      <c r="B4153" t="str">
        <f>"1551604133647419"</f>
        <v>1551604133647419</v>
      </c>
      <c r="C4153" t="s">
        <v>40</v>
      </c>
      <c r="D4153">
        <v>4.4447939999999999</v>
      </c>
      <c r="E4153">
        <v>0.35214899999999999</v>
      </c>
      <c r="F4153" t="s">
        <v>99</v>
      </c>
      <c r="G4153">
        <v>-279.02</v>
      </c>
      <c r="H4153">
        <v>10.926270000000001</v>
      </c>
      <c r="I4153">
        <v>-11.320399999999999</v>
      </c>
      <c r="J4153">
        <v>-415.45949999999999</v>
      </c>
      <c r="K4153">
        <v>1.1304860000000001</v>
      </c>
      <c r="L4153">
        <v>20.196899999999999</v>
      </c>
      <c r="M4153">
        <v>0.73825540000000001</v>
      </c>
      <c r="N4153">
        <v>-1.051143E-2</v>
      </c>
      <c r="O4153">
        <v>-0.67443949999999997</v>
      </c>
      <c r="P4153">
        <v>0.80793429999999999</v>
      </c>
      <c r="Q4153">
        <v>0.2120185</v>
      </c>
      <c r="R4153">
        <v>-0.54980929999999995</v>
      </c>
      <c r="S4153">
        <v>3.1702880000000002</v>
      </c>
      <c r="T4153">
        <v>0.22734080000000001</v>
      </c>
      <c r="U4153">
        <v>-0.73461909999999997</v>
      </c>
      <c r="V4153">
        <v>-0.14426989999999901</v>
      </c>
      <c r="W4153">
        <v>0.21879599999999999</v>
      </c>
      <c r="X4153">
        <v>0.96504639999999997</v>
      </c>
      <c r="Y4153">
        <v>-0.4875565</v>
      </c>
      <c r="Z4153">
        <v>-6.5511169999999994E-2</v>
      </c>
      <c r="AA4153">
        <v>0.87063020000000002</v>
      </c>
      <c r="AB4153">
        <v>26</v>
      </c>
      <c r="AC4153">
        <v>136.43950000000001</v>
      </c>
      <c r="AD4153">
        <v>9.7957839999999994</v>
      </c>
      <c r="AE4153">
        <v>-31.517299999999999</v>
      </c>
      <c r="AF4153">
        <v>-68.421343003104496</v>
      </c>
      <c r="AG4153">
        <v>9.7957839999999994</v>
      </c>
      <c r="AH4153">
        <v>121.396383739703</v>
      </c>
      <c r="AI4153">
        <v>85.978950073678007</v>
      </c>
      <c r="AJ4153">
        <v>119.40644643931699</v>
      </c>
      <c r="AK4153">
        <v>139.694379083771</v>
      </c>
      <c r="AL4153">
        <v>77.361674177772699</v>
      </c>
      <c r="AM4153">
        <v>98.502482594812093</v>
      </c>
      <c r="AN4153">
        <v>1.00000002390748</v>
      </c>
    </row>
    <row r="4154" spans="1:40" x14ac:dyDescent="0.25">
      <c r="A4154" t="str">
        <f>"20190303170853689"</f>
        <v>20190303170853689</v>
      </c>
      <c r="B4154" t="str">
        <f>"1551604133677653"</f>
        <v>1551604133677653</v>
      </c>
      <c r="C4154" t="s">
        <v>40</v>
      </c>
      <c r="D4154">
        <v>4.4619460000000002</v>
      </c>
      <c r="E4154">
        <v>0.35380800000000001</v>
      </c>
      <c r="F4154" t="s">
        <v>41</v>
      </c>
      <c r="G4154">
        <v>-351.10759999999999</v>
      </c>
      <c r="H4154">
        <v>5.7587159999999997</v>
      </c>
      <c r="I4154">
        <v>5.9420140000000004</v>
      </c>
      <c r="J4154">
        <v>-415.18709999999999</v>
      </c>
      <c r="K4154">
        <v>1.1305160000000001</v>
      </c>
      <c r="L4154">
        <v>19.976749999999999</v>
      </c>
      <c r="M4154">
        <v>0.75127449999999996</v>
      </c>
      <c r="N4154">
        <v>-1.0409409999999999E-2</v>
      </c>
      <c r="O4154">
        <v>-0.65990769999999999</v>
      </c>
      <c r="P4154">
        <v>0.81774259999999999</v>
      </c>
      <c r="Q4154">
        <v>0.21207119999999999</v>
      </c>
      <c r="R4154">
        <v>-0.5350916</v>
      </c>
      <c r="S4154">
        <v>3.1747130000000001</v>
      </c>
      <c r="T4154">
        <v>0.228328</v>
      </c>
      <c r="U4154">
        <v>-0.70324709999999901</v>
      </c>
      <c r="V4154">
        <v>-0.14292369999999999</v>
      </c>
      <c r="W4154">
        <v>0.21876950000000001</v>
      </c>
      <c r="X4154">
        <v>0.96525269999999996</v>
      </c>
      <c r="Y4154">
        <v>-0.47900229999999999</v>
      </c>
      <c r="Z4154">
        <v>-6.4572110000000002E-2</v>
      </c>
      <c r="AA4154">
        <v>0.87543549999999903</v>
      </c>
      <c r="AB4154">
        <v>26</v>
      </c>
      <c r="AC4154">
        <v>64.079499999999996</v>
      </c>
      <c r="AD4154">
        <v>4.6281999999999996</v>
      </c>
      <c r="AE4154">
        <v>-14.034736000000001</v>
      </c>
      <c r="AF4154">
        <v>-31.587103453425399</v>
      </c>
      <c r="AG4154">
        <v>4.6281999999999996</v>
      </c>
      <c r="AH4154">
        <v>57.121697511399503</v>
      </c>
      <c r="AI4154">
        <v>85.944247505741799</v>
      </c>
      <c r="AJ4154">
        <v>118.941675646813</v>
      </c>
      <c r="AK4154">
        <v>65.437402656288398</v>
      </c>
      <c r="AL4154">
        <v>77.363230246394494</v>
      </c>
      <c r="AM4154">
        <v>98.422513964852698</v>
      </c>
      <c r="AN4154">
        <v>1.0000000265046101</v>
      </c>
    </row>
    <row r="4155" spans="1:40" x14ac:dyDescent="0.25">
      <c r="A4155" t="str">
        <f>"20190303170853703"</f>
        <v>20190303170853703</v>
      </c>
      <c r="B4155" t="str">
        <f>"1551604133687413"</f>
        <v>1551604133687413</v>
      </c>
      <c r="C4155" t="s">
        <v>40</v>
      </c>
      <c r="D4155">
        <v>4.4633750000000001</v>
      </c>
      <c r="E4155">
        <v>0.35380800000000001</v>
      </c>
      <c r="F4155" t="s">
        <v>99</v>
      </c>
      <c r="G4155">
        <v>-279.02</v>
      </c>
      <c r="H4155">
        <v>10.70926</v>
      </c>
      <c r="I4155">
        <v>-8.1324710000000007</v>
      </c>
      <c r="J4155">
        <v>-415.06169999999997</v>
      </c>
      <c r="K4155">
        <v>1.130525</v>
      </c>
      <c r="L4155">
        <v>19.87885</v>
      </c>
      <c r="M4155">
        <v>0.75707740000000001</v>
      </c>
      <c r="N4155">
        <v>-1.036427E-2</v>
      </c>
      <c r="O4155">
        <v>-0.65324329999999997</v>
      </c>
      <c r="P4155">
        <v>0.82254099999999997</v>
      </c>
      <c r="Q4155">
        <v>0.21201829999999999</v>
      </c>
      <c r="R4155">
        <v>-0.52770719999999904</v>
      </c>
      <c r="S4155">
        <v>3.180939</v>
      </c>
      <c r="T4155">
        <v>0.22376470000000001</v>
      </c>
      <c r="U4155">
        <v>-0.65664669999999903</v>
      </c>
      <c r="V4155">
        <v>-0.143099799999999</v>
      </c>
      <c r="W4155">
        <v>0.21866389999999999</v>
      </c>
      <c r="X4155">
        <v>0.96525050000000001</v>
      </c>
      <c r="Y4155">
        <v>-0.48398439999999998</v>
      </c>
      <c r="Z4155">
        <v>-6.3121350000000007E-2</v>
      </c>
      <c r="AA4155">
        <v>0.87279709999999999</v>
      </c>
      <c r="AB4155">
        <v>26</v>
      </c>
      <c r="AC4155">
        <v>136.04169999999999</v>
      </c>
      <c r="AD4155">
        <v>9.578735</v>
      </c>
      <c r="AE4155">
        <v>-28.011320999999999</v>
      </c>
      <c r="AF4155">
        <v>-67.344920454866397</v>
      </c>
      <c r="AG4155">
        <v>9.578735</v>
      </c>
      <c r="AH4155">
        <v>120.724630726893</v>
      </c>
      <c r="AI4155">
        <v>86.036221423301896</v>
      </c>
      <c r="AJ4155">
        <v>119.15448713537801</v>
      </c>
      <c r="AK4155">
        <v>138.56957436399</v>
      </c>
      <c r="AL4155">
        <v>77.369430348056</v>
      </c>
      <c r="AM4155">
        <v>98.432761379856203</v>
      </c>
      <c r="AN4155">
        <v>0.99999999083674995</v>
      </c>
    </row>
    <row r="4156" spans="1:40" x14ac:dyDescent="0.25">
      <c r="A4156" t="str">
        <f>"20190303170853716"</f>
        <v>20190303170853716</v>
      </c>
      <c r="B4156" t="str">
        <f>"1551604133707909"</f>
        <v>1551604133707909</v>
      </c>
      <c r="C4156" t="s">
        <v>40</v>
      </c>
      <c r="D4156">
        <v>4.5116399999999999</v>
      </c>
      <c r="E4156">
        <v>0.37478319999999998</v>
      </c>
      <c r="F4156" t="s">
        <v>99</v>
      </c>
      <c r="G4156">
        <v>-279.02</v>
      </c>
      <c r="H4156">
        <v>10.62562</v>
      </c>
      <c r="I4156">
        <v>-6.9469919999999998</v>
      </c>
      <c r="J4156">
        <v>-414.93560000000002</v>
      </c>
      <c r="K4156">
        <v>1.1305270000000001</v>
      </c>
      <c r="L4156">
        <v>19.781739999999999</v>
      </c>
      <c r="M4156">
        <v>0.76281639999999995</v>
      </c>
      <c r="N4156">
        <v>-1.0319979999999999E-2</v>
      </c>
      <c r="O4156">
        <v>-0.64653300000000002</v>
      </c>
      <c r="P4156">
        <v>0.82727240000000002</v>
      </c>
      <c r="Q4156">
        <v>0.21159059999999999</v>
      </c>
      <c r="R4156">
        <v>-0.52043309999999998</v>
      </c>
      <c r="S4156">
        <v>3.1867369999999999</v>
      </c>
      <c r="T4156">
        <v>0.2224199</v>
      </c>
      <c r="U4156">
        <v>-0.62838749999999999</v>
      </c>
      <c r="V4156">
        <v>-0.14315449999999999</v>
      </c>
      <c r="W4156">
        <v>0.2181883</v>
      </c>
      <c r="X4156">
        <v>0.96535000000000004</v>
      </c>
      <c r="Y4156">
        <v>-0.48406929999999998</v>
      </c>
      <c r="Z4156">
        <v>-6.2310600000000001E-2</v>
      </c>
      <c r="AA4156">
        <v>0.87280829999999998</v>
      </c>
      <c r="AB4156">
        <v>26</v>
      </c>
      <c r="AC4156">
        <v>135.91560000000001</v>
      </c>
      <c r="AD4156">
        <v>9.4950930000000007</v>
      </c>
      <c r="AE4156">
        <v>-26.728732000000001</v>
      </c>
      <c r="AF4156">
        <v>-67.172763127423593</v>
      </c>
      <c r="AG4156">
        <v>9.4950930000000007</v>
      </c>
      <c r="AH4156">
        <v>120.40035174993901</v>
      </c>
      <c r="AI4156">
        <v>86.060296126679901</v>
      </c>
      <c r="AJ4156">
        <v>119.157658440785</v>
      </c>
      <c r="AK4156">
        <v>138.197617919994</v>
      </c>
      <c r="AL4156">
        <v>77.397354401947496</v>
      </c>
      <c r="AM4156">
        <v>98.435081439521198</v>
      </c>
      <c r="AN4156">
        <v>0.99999998381356903</v>
      </c>
    </row>
    <row r="4157" spans="1:40" x14ac:dyDescent="0.25">
      <c r="A4157" t="str">
        <f>"20190303170853736"</f>
        <v>20190303170853736</v>
      </c>
      <c r="B4157" t="str">
        <f>"1551604133727429"</f>
        <v>1551604133727429</v>
      </c>
      <c r="C4157" t="s">
        <v>40</v>
      </c>
      <c r="D4157">
        <v>4.5459209999999999</v>
      </c>
      <c r="E4157">
        <v>0.37599290000000002</v>
      </c>
      <c r="F4157" t="s">
        <v>99</v>
      </c>
      <c r="G4157">
        <v>-279.02</v>
      </c>
      <c r="H4157">
        <v>7.4763130000000002</v>
      </c>
      <c r="I4157">
        <v>-12.781879999999999</v>
      </c>
      <c r="J4157">
        <v>-414.7593</v>
      </c>
      <c r="K4157">
        <v>1.1305229999999999</v>
      </c>
      <c r="L4157">
        <v>19.648900000000001</v>
      </c>
      <c r="M4157">
        <v>0.77064630000000001</v>
      </c>
      <c r="N4157">
        <v>-1.026093E-2</v>
      </c>
      <c r="O4157">
        <v>-0.63718079999999999</v>
      </c>
      <c r="P4157">
        <v>0.8342754</v>
      </c>
      <c r="Q4157">
        <v>0.21120459999999999</v>
      </c>
      <c r="R4157">
        <v>-0.50929099999999905</v>
      </c>
      <c r="S4157">
        <v>3.119049</v>
      </c>
      <c r="T4157">
        <v>0.145625799999999</v>
      </c>
      <c r="U4157">
        <v>-0.7472839</v>
      </c>
      <c r="V4157">
        <v>-0.1443854</v>
      </c>
      <c r="W4157">
        <v>0.21771180000000001</v>
      </c>
      <c r="X4157">
        <v>0.96527430000000003</v>
      </c>
      <c r="Y4157">
        <v>-0.43889499999999998</v>
      </c>
      <c r="Z4157">
        <v>-4.1702910000000003E-2</v>
      </c>
      <c r="AA4157">
        <v>0.89757009999999904</v>
      </c>
      <c r="AB4157">
        <v>26</v>
      </c>
      <c r="AC4157">
        <v>135.73929999999999</v>
      </c>
      <c r="AD4157">
        <v>6.34579</v>
      </c>
      <c r="AE4157">
        <v>-32.430779999999999</v>
      </c>
      <c r="AF4157">
        <v>-61.374148493591903</v>
      </c>
      <c r="AG4157">
        <v>6.34579</v>
      </c>
      <c r="AH4157">
        <v>125.0193502481</v>
      </c>
      <c r="AI4157">
        <v>87.391174803958506</v>
      </c>
      <c r="AJ4157">
        <v>116.14721530230899</v>
      </c>
      <c r="AK4157">
        <v>139.41625834347499</v>
      </c>
      <c r="AL4157">
        <v>77.425328836909998</v>
      </c>
      <c r="AM4157">
        <v>98.507210317225102</v>
      </c>
      <c r="AN4157">
        <v>1.0000000229164401</v>
      </c>
    </row>
    <row r="4158" spans="1:40" x14ac:dyDescent="0.25">
      <c r="A4158" t="str">
        <f>"20190303170853756"</f>
        <v>20190303170853756</v>
      </c>
      <c r="B4158" t="str">
        <f>"1551604133747925"</f>
        <v>1551604133747925</v>
      </c>
      <c r="C4158" t="s">
        <v>40</v>
      </c>
      <c r="D4158">
        <v>4.5510760000000001</v>
      </c>
      <c r="E4158">
        <v>0.3777142</v>
      </c>
      <c r="F4158" t="s">
        <v>99</v>
      </c>
      <c r="G4158">
        <v>-279.02</v>
      </c>
      <c r="H4158">
        <v>7.0938649999999903</v>
      </c>
      <c r="I4158">
        <v>-11.37773</v>
      </c>
      <c r="J4158">
        <v>-414.56099999999998</v>
      </c>
      <c r="K4158">
        <v>1.130512</v>
      </c>
      <c r="L4158">
        <v>19.503299999999999</v>
      </c>
      <c r="M4158">
        <v>0.77920029999999996</v>
      </c>
      <c r="N4158">
        <v>-1.0199059999999999E-2</v>
      </c>
      <c r="O4158">
        <v>-0.62669219999999903</v>
      </c>
      <c r="P4158">
        <v>0.84140239999999999</v>
      </c>
      <c r="Q4158">
        <v>0.21163370000000001</v>
      </c>
      <c r="R4158">
        <v>-0.49724590000000002</v>
      </c>
      <c r="S4158">
        <v>3.1251220000000002</v>
      </c>
      <c r="T4158">
        <v>0.13729379999999999</v>
      </c>
      <c r="U4158">
        <v>-0.71432499999999999</v>
      </c>
      <c r="V4158">
        <v>-0.14513870000000001</v>
      </c>
      <c r="W4158">
        <v>0.21806130000000001</v>
      </c>
      <c r="X4158">
        <v>0.96508240000000001</v>
      </c>
      <c r="Y4158">
        <v>-0.43624429999999997</v>
      </c>
      <c r="Z4158">
        <v>-3.90473E-2</v>
      </c>
      <c r="AA4158">
        <v>0.89898069999999897</v>
      </c>
      <c r="AB4158">
        <v>26</v>
      </c>
      <c r="AC4158">
        <v>135.541</v>
      </c>
      <c r="AD4158">
        <v>5.9633529999999899</v>
      </c>
      <c r="AE4158">
        <v>-30.881029999999999</v>
      </c>
      <c r="AF4158">
        <v>-60.771308457215397</v>
      </c>
      <c r="AG4158">
        <v>5.9633529999999899</v>
      </c>
      <c r="AH4158">
        <v>124.743422449202</v>
      </c>
      <c r="AI4158">
        <v>87.539152633100102</v>
      </c>
      <c r="AJ4158">
        <v>115.97397519620399</v>
      </c>
      <c r="AK4158">
        <v>138.887130271112</v>
      </c>
      <c r="AL4158">
        <v>77.404810783760098</v>
      </c>
      <c r="AM4158">
        <v>98.552615559370594</v>
      </c>
      <c r="AN4158">
        <v>1.00000000579257</v>
      </c>
    </row>
    <row r="4159" spans="1:40" x14ac:dyDescent="0.25">
      <c r="A4159" t="str">
        <f>"20190303170853771"</f>
        <v>20190303170853771</v>
      </c>
      <c r="B4159" t="str">
        <f>"1551604133757686"</f>
        <v>1551604133757686</v>
      </c>
      <c r="C4159" t="s">
        <v>40</v>
      </c>
      <c r="D4159">
        <v>4.5588660000000001</v>
      </c>
      <c r="E4159">
        <v>0.37843979999999999</v>
      </c>
      <c r="F4159" t="s">
        <v>99</v>
      </c>
      <c r="G4159">
        <v>-279.33690000000001</v>
      </c>
      <c r="H4159">
        <v>6.7379600000000002</v>
      </c>
      <c r="I4159">
        <v>-9.9689630000000005</v>
      </c>
      <c r="J4159">
        <v>-414.43740000000003</v>
      </c>
      <c r="K4159">
        <v>1.130504</v>
      </c>
      <c r="L4159">
        <v>19.41422</v>
      </c>
      <c r="M4159">
        <v>0.78440589999999999</v>
      </c>
      <c r="N4159">
        <v>-1.0162640000000001E-2</v>
      </c>
      <c r="O4159">
        <v>-0.62016450000000001</v>
      </c>
      <c r="P4159">
        <v>0.84578069999999905</v>
      </c>
      <c r="Q4159">
        <v>0.21161550000000001</v>
      </c>
      <c r="R4159">
        <v>-0.48976900000000001</v>
      </c>
      <c r="S4159">
        <v>3.1297299999999999</v>
      </c>
      <c r="T4159">
        <v>0.12978319999999999</v>
      </c>
      <c r="U4159">
        <v>-0.68212890000000004</v>
      </c>
      <c r="V4159">
        <v>-0.1456346</v>
      </c>
      <c r="W4159">
        <v>0.2179961</v>
      </c>
      <c r="X4159">
        <v>0.96502239999999995</v>
      </c>
      <c r="Y4159">
        <v>-0.43793989999999999</v>
      </c>
      <c r="Z4159">
        <v>-3.6901759999999999E-2</v>
      </c>
      <c r="AA4159">
        <v>0.89824660000000001</v>
      </c>
      <c r="AB4159">
        <v>26</v>
      </c>
      <c r="AC4159">
        <v>135.10050000000001</v>
      </c>
      <c r="AD4159">
        <v>5.607456</v>
      </c>
      <c r="AE4159">
        <v>-29.383182999999999</v>
      </c>
      <c r="AF4159">
        <v>-60.639584053737103</v>
      </c>
      <c r="AG4159">
        <v>5.607456</v>
      </c>
      <c r="AH4159">
        <v>123.998488260209</v>
      </c>
      <c r="AI4159">
        <v>87.673674175994094</v>
      </c>
      <c r="AJ4159">
        <v>116.060245342993</v>
      </c>
      <c r="AK4159">
        <v>138.14567603736</v>
      </c>
      <c r="AL4159">
        <v>77.408638282165498</v>
      </c>
      <c r="AM4159">
        <v>98.581928825590495</v>
      </c>
      <c r="AN4159">
        <v>0.99999998441706395</v>
      </c>
    </row>
    <row r="4160" spans="1:40" x14ac:dyDescent="0.25">
      <c r="A4160" t="str">
        <f>"20190303170853791"</f>
        <v>20190303170853791</v>
      </c>
      <c r="B4160" t="str">
        <f>"1551604133778181"</f>
        <v>1551604133778181</v>
      </c>
      <c r="C4160" t="s">
        <v>40</v>
      </c>
      <c r="D4160">
        <v>4.580425</v>
      </c>
      <c r="E4160">
        <v>0.38722659999999998</v>
      </c>
      <c r="F4160" t="s">
        <v>99</v>
      </c>
      <c r="G4160">
        <v>-279.02</v>
      </c>
      <c r="H4160">
        <v>6.5568770000000001</v>
      </c>
      <c r="I4160">
        <v>-9.1033919999999995</v>
      </c>
      <c r="J4160">
        <v>-414.24360000000001</v>
      </c>
      <c r="K4160">
        <v>1.1304860000000001</v>
      </c>
      <c r="L4160">
        <v>19.278079999999999</v>
      </c>
      <c r="M4160">
        <v>0.79234669999999996</v>
      </c>
      <c r="N4160">
        <v>-1.011021E-2</v>
      </c>
      <c r="O4160">
        <v>-0.60998730000000001</v>
      </c>
      <c r="P4160">
        <v>0.85256209999999899</v>
      </c>
      <c r="Q4160">
        <v>0.21167150000000001</v>
      </c>
      <c r="R4160">
        <v>-0.4778423</v>
      </c>
      <c r="S4160">
        <v>3.1334840000000002</v>
      </c>
      <c r="T4160">
        <v>0.12556329999999999</v>
      </c>
      <c r="U4160">
        <v>-0.65988159999999996</v>
      </c>
      <c r="V4160">
        <v>-0.1467184</v>
      </c>
      <c r="W4160">
        <v>0.21797800000000001</v>
      </c>
      <c r="X4160">
        <v>0.96486229999999995</v>
      </c>
      <c r="Y4160">
        <v>-0.43272329999999998</v>
      </c>
      <c r="Z4160">
        <v>-3.5316149999999998E-2</v>
      </c>
      <c r="AA4160">
        <v>0.90083480000000005</v>
      </c>
      <c r="AB4160">
        <v>26</v>
      </c>
      <c r="AC4160">
        <v>135.2236</v>
      </c>
      <c r="AD4160">
        <v>5.4263909999999997</v>
      </c>
      <c r="AE4160">
        <v>-28.381471999999999</v>
      </c>
      <c r="AF4160">
        <v>-59.907378343064799</v>
      </c>
      <c r="AG4160">
        <v>5.4263909999999997</v>
      </c>
      <c r="AH4160">
        <v>124.270996223174</v>
      </c>
      <c r="AI4160">
        <v>87.747495396070505</v>
      </c>
      <c r="AJ4160">
        <v>115.737343357128</v>
      </c>
      <c r="AK4160">
        <v>138.06382654962201</v>
      </c>
      <c r="AL4160">
        <v>77.409700803420904</v>
      </c>
      <c r="AM4160">
        <v>98.646246165108394</v>
      </c>
      <c r="AN4160">
        <v>0.99999997767192395</v>
      </c>
    </row>
    <row r="4161" spans="1:40" x14ac:dyDescent="0.25">
      <c r="A4161" t="str">
        <f>"20190303170853815"</f>
        <v>20190303170853815</v>
      </c>
      <c r="B4161" t="str">
        <f>"1551604133807461"</f>
        <v>1551604133807461</v>
      </c>
      <c r="C4161" t="s">
        <v>40</v>
      </c>
      <c r="D4161">
        <v>4.6022610000000004</v>
      </c>
      <c r="E4161">
        <v>0.38951989999999997</v>
      </c>
      <c r="F4161" t="s">
        <v>99</v>
      </c>
      <c r="G4161">
        <v>-279.55990000000003</v>
      </c>
      <c r="H4161">
        <v>4.5857239999999999</v>
      </c>
      <c r="I4161">
        <v>-10.12571</v>
      </c>
      <c r="J4161">
        <v>-414.02080000000001</v>
      </c>
      <c r="K4161">
        <v>1.1304529999999999</v>
      </c>
      <c r="L4161">
        <v>19.126159999999999</v>
      </c>
      <c r="M4161">
        <v>0.80116049999999905</v>
      </c>
      <c r="N4161">
        <v>-1.0055669999999999E-2</v>
      </c>
      <c r="O4161">
        <v>-0.59836519999999904</v>
      </c>
      <c r="P4161">
        <v>0.86026789999999997</v>
      </c>
      <c r="Q4161">
        <v>0.21109729999999999</v>
      </c>
      <c r="R4161">
        <v>-0.46408759999999999</v>
      </c>
      <c r="S4161">
        <v>3.1174930000000001</v>
      </c>
      <c r="T4161">
        <v>7.9977629999999994E-2</v>
      </c>
      <c r="U4161">
        <v>-0.68060299999999996</v>
      </c>
      <c r="V4161">
        <v>-0.148203</v>
      </c>
      <c r="W4161">
        <v>0.21732170000000001</v>
      </c>
      <c r="X4161">
        <v>0.96478339999999996</v>
      </c>
      <c r="Y4161">
        <v>-0.4133153</v>
      </c>
      <c r="Z4161">
        <v>-2.3610949999999999E-2</v>
      </c>
      <c r="AA4161">
        <v>0.91028180000000003</v>
      </c>
      <c r="AB4161">
        <v>26</v>
      </c>
      <c r="AC4161">
        <v>134.46089999999899</v>
      </c>
      <c r="AD4161">
        <v>3.4552710000000002</v>
      </c>
      <c r="AE4161">
        <v>-29.25187</v>
      </c>
      <c r="AF4161">
        <v>-56.988227174602599</v>
      </c>
      <c r="AG4161">
        <v>3.4552710000000002</v>
      </c>
      <c r="AH4161">
        <v>125.15547234989999</v>
      </c>
      <c r="AI4161">
        <v>88.560705001625394</v>
      </c>
      <c r="AJ4161">
        <v>114.481647487727</v>
      </c>
      <c r="AK4161">
        <v>137.56267369208101</v>
      </c>
      <c r="AL4161">
        <v>77.448227020214802</v>
      </c>
      <c r="AM4161">
        <v>98.733096140984401</v>
      </c>
      <c r="AN4161">
        <v>0.999999929707722</v>
      </c>
    </row>
    <row r="4162" spans="1:40" x14ac:dyDescent="0.25">
      <c r="A4162" t="str">
        <f>"20190303170853835"</f>
        <v>20190303170853835</v>
      </c>
      <c r="B4162" t="str">
        <f>"1551604133827957"</f>
        <v>1551604133827957</v>
      </c>
      <c r="C4162" t="s">
        <v>40</v>
      </c>
      <c r="D4162">
        <v>4.5842619999999998</v>
      </c>
      <c r="E4162">
        <v>0.39067560000000001</v>
      </c>
      <c r="F4162" t="s">
        <v>99</v>
      </c>
      <c r="G4162">
        <v>-279.02</v>
      </c>
      <c r="H4162">
        <v>4.1493180000000001</v>
      </c>
      <c r="I4162">
        <v>-8.891311</v>
      </c>
      <c r="J4162">
        <v>-413.81099999999998</v>
      </c>
      <c r="K4162">
        <v>1.1304209999999999</v>
      </c>
      <c r="L4162">
        <v>18.98706</v>
      </c>
      <c r="M4162">
        <v>0.80917499999999998</v>
      </c>
      <c r="N4162">
        <v>-1.0009240000000001E-2</v>
      </c>
      <c r="O4162">
        <v>-0.58748239999999996</v>
      </c>
      <c r="P4162">
        <v>0.86722569999999999</v>
      </c>
      <c r="Q4162">
        <v>0.21068410000000001</v>
      </c>
      <c r="R4162">
        <v>-0.45114510000000002</v>
      </c>
      <c r="S4162">
        <v>3.1207889999999998</v>
      </c>
      <c r="T4162">
        <v>6.9786550000000003E-2</v>
      </c>
      <c r="U4162">
        <v>-0.64767459999999999</v>
      </c>
      <c r="V4162">
        <v>-0.14965989999999901</v>
      </c>
      <c r="W4162">
        <v>0.2168339</v>
      </c>
      <c r="X4162">
        <v>0.96466830000000003</v>
      </c>
      <c r="Y4162">
        <v>-0.4104836</v>
      </c>
      <c r="Z4162">
        <v>-2.0805170000000001E-2</v>
      </c>
      <c r="AA4162">
        <v>0.91163059999999996</v>
      </c>
      <c r="AB4162">
        <v>26</v>
      </c>
      <c r="AC4162">
        <v>134.791</v>
      </c>
      <c r="AD4162">
        <v>3.0188969999999999</v>
      </c>
      <c r="AE4162">
        <v>-27.878371000000001</v>
      </c>
      <c r="AF4162">
        <v>-56.604468890333301</v>
      </c>
      <c r="AG4162">
        <v>3.0188969999999999</v>
      </c>
      <c r="AH4162">
        <v>125.393528612582</v>
      </c>
      <c r="AI4162">
        <v>88.742947460842402</v>
      </c>
      <c r="AJ4162">
        <v>114.295111124945</v>
      </c>
      <c r="AK4162">
        <v>137.61074324109899</v>
      </c>
      <c r="AL4162">
        <v>77.476859252297501</v>
      </c>
      <c r="AM4162">
        <v>98.818639110374306</v>
      </c>
      <c r="AN4162">
        <v>0.99999997744105396</v>
      </c>
    </row>
    <row r="4163" spans="1:40" x14ac:dyDescent="0.25">
      <c r="A4163" t="str">
        <f>"20190303170853860"</f>
        <v>20190303170853860</v>
      </c>
      <c r="B4163" t="str">
        <f>"1551604133847477"</f>
        <v>1551604133847477</v>
      </c>
      <c r="C4163" t="s">
        <v>40</v>
      </c>
      <c r="D4163">
        <v>4.6270280000000001</v>
      </c>
      <c r="E4163">
        <v>0.39095819999999998</v>
      </c>
      <c r="F4163" t="s">
        <v>99</v>
      </c>
      <c r="G4163">
        <v>-279.02</v>
      </c>
      <c r="H4163">
        <v>3.8864999999999998</v>
      </c>
      <c r="I4163">
        <v>-7.3145800000000003</v>
      </c>
      <c r="J4163">
        <v>-413.57639999999998</v>
      </c>
      <c r="K4163">
        <v>1.1303890000000001</v>
      </c>
      <c r="L4163">
        <v>18.83615</v>
      </c>
      <c r="M4163">
        <v>0.8178145</v>
      </c>
      <c r="N4163">
        <v>-9.9626839999999994E-3</v>
      </c>
      <c r="O4163">
        <v>-0.57539580000000001</v>
      </c>
      <c r="P4163">
        <v>0.87443409999999999</v>
      </c>
      <c r="Q4163">
        <v>0.21071770000000001</v>
      </c>
      <c r="R4163">
        <v>-0.43699399999999999</v>
      </c>
      <c r="S4163">
        <v>3.1263730000000001</v>
      </c>
      <c r="T4163">
        <v>6.392515E-2</v>
      </c>
      <c r="U4163">
        <v>-0.61004639999999999</v>
      </c>
      <c r="V4163">
        <v>-0.1509876</v>
      </c>
      <c r="W4163">
        <v>0.21679760000000001</v>
      </c>
      <c r="X4163">
        <v>0.96446960000000004</v>
      </c>
      <c r="Y4163">
        <v>-0.40785290000000002</v>
      </c>
      <c r="Z4163">
        <v>-1.903943E-2</v>
      </c>
      <c r="AA4163">
        <v>0.91284909999999997</v>
      </c>
      <c r="AB4163">
        <v>27</v>
      </c>
      <c r="AC4163">
        <v>134.5564</v>
      </c>
      <c r="AD4163">
        <v>2.7561110000000002</v>
      </c>
      <c r="AE4163">
        <v>-26.150729999999999</v>
      </c>
      <c r="AF4163">
        <v>-56.016871997657198</v>
      </c>
      <c r="AG4163">
        <v>2.7561110000000002</v>
      </c>
      <c r="AH4163">
        <v>125.044841654382</v>
      </c>
      <c r="AI4163">
        <v>88.847658551490198</v>
      </c>
      <c r="AJ4163">
        <v>114.131151915948</v>
      </c>
      <c r="AK4163">
        <v>137.04633712951099</v>
      </c>
      <c r="AL4163">
        <v>77.4789904632066</v>
      </c>
      <c r="AM4163">
        <v>98.897430751097602</v>
      </c>
      <c r="AN4163">
        <v>1.0000000320218301</v>
      </c>
    </row>
    <row r="4164" spans="1:40" x14ac:dyDescent="0.25">
      <c r="A4164" t="str">
        <f>"20190303170853881"</f>
        <v>20190303170853881</v>
      </c>
      <c r="B4164" t="str">
        <f>"1551604133867974"</f>
        <v>1551604133867974</v>
      </c>
      <c r="C4164" t="s">
        <v>40</v>
      </c>
      <c r="D4164">
        <v>4.6623359999999998</v>
      </c>
      <c r="E4164">
        <v>0.39720159999999999</v>
      </c>
      <c r="F4164" t="s">
        <v>99</v>
      </c>
      <c r="G4164">
        <v>-279.02</v>
      </c>
      <c r="H4164">
        <v>3.872617</v>
      </c>
      <c r="I4164">
        <v>-5.282203</v>
      </c>
      <c r="J4164">
        <v>-413.36399999999998</v>
      </c>
      <c r="K4164">
        <v>1.130368</v>
      </c>
      <c r="L4164">
        <v>18.70346</v>
      </c>
      <c r="M4164">
        <v>0.82535340000000001</v>
      </c>
      <c r="N4164">
        <v>-9.9248289999999996E-3</v>
      </c>
      <c r="O4164">
        <v>-0.56452930000000001</v>
      </c>
      <c r="P4164">
        <v>0.88013240000000004</v>
      </c>
      <c r="Q4164">
        <v>0.21138370000000001</v>
      </c>
      <c r="R4164">
        <v>-0.42506929999999998</v>
      </c>
      <c r="S4164">
        <v>3.1346129999999999</v>
      </c>
      <c r="T4164">
        <v>6.3882709999999995E-2</v>
      </c>
      <c r="U4164">
        <v>-0.56185909999999994</v>
      </c>
      <c r="V4164">
        <v>-0.1512529</v>
      </c>
      <c r="W4164">
        <v>0.21742690000000001</v>
      </c>
      <c r="X4164">
        <v>0.96428630000000004</v>
      </c>
      <c r="Y4164">
        <v>-0.4097924</v>
      </c>
      <c r="Z4164">
        <v>-1.8717689999999999E-2</v>
      </c>
      <c r="AA4164">
        <v>0.91198670000000004</v>
      </c>
      <c r="AB4164">
        <v>27</v>
      </c>
      <c r="AC4164">
        <v>134.34399999999999</v>
      </c>
      <c r="AD4164">
        <v>2.7422490000000002</v>
      </c>
      <c r="AE4164">
        <v>-23.985662999999999</v>
      </c>
      <c r="AF4164">
        <v>-56.024612462199798</v>
      </c>
      <c r="AG4164">
        <v>2.7422490000000002</v>
      </c>
      <c r="AH4164">
        <v>124.377789051118</v>
      </c>
      <c r="AI4164">
        <v>88.848366536129404</v>
      </c>
      <c r="AJ4164">
        <v>114.24866113143599</v>
      </c>
      <c r="AK4164">
        <v>136.440871956911</v>
      </c>
      <c r="AL4164">
        <v>77.442052518557503</v>
      </c>
      <c r="AM4164">
        <v>98.914480654164095</v>
      </c>
      <c r="AN4164">
        <v>0.999999982484854</v>
      </c>
    </row>
    <row r="4165" spans="1:40" x14ac:dyDescent="0.25">
      <c r="A4165" t="str">
        <f>"20190303170853903"</f>
        <v>20190303170853903</v>
      </c>
      <c r="B4165" t="str">
        <f>"1551604133897253"</f>
        <v>1551604133897253</v>
      </c>
      <c r="C4165" t="s">
        <v>40</v>
      </c>
      <c r="D4165">
        <v>4.6882710000000003</v>
      </c>
      <c r="E4165">
        <v>0.39757710000000002</v>
      </c>
      <c r="F4165" t="s">
        <v>99</v>
      </c>
      <c r="G4165">
        <v>-279.02</v>
      </c>
      <c r="H4165">
        <v>3.6590690000000001</v>
      </c>
      <c r="I4165">
        <v>-5.5870800000000003</v>
      </c>
      <c r="J4165">
        <v>-413.14609999999999</v>
      </c>
      <c r="K4165">
        <v>1.1303399999999999</v>
      </c>
      <c r="L4165">
        <v>18.57123</v>
      </c>
      <c r="M4165">
        <v>0.83281729999999998</v>
      </c>
      <c r="N4165">
        <v>-9.8895609999999998E-3</v>
      </c>
      <c r="O4165">
        <v>-0.55345959999999905</v>
      </c>
      <c r="P4165">
        <v>0.88583149999999999</v>
      </c>
      <c r="Q4165">
        <v>0.210705</v>
      </c>
      <c r="R4165">
        <v>-0.41340759999999999</v>
      </c>
      <c r="S4165">
        <v>3.121826</v>
      </c>
      <c r="T4165">
        <v>5.8760880000000001E-2</v>
      </c>
      <c r="U4165">
        <v>-0.56445310000000004</v>
      </c>
      <c r="V4165">
        <v>-0.15117410000000001</v>
      </c>
      <c r="W4165">
        <v>0.21672549999999999</v>
      </c>
      <c r="X4165">
        <v>0.9644566</v>
      </c>
      <c r="Y4165">
        <v>-0.39622540000000001</v>
      </c>
      <c r="Z4165">
        <v>-1.7208040000000001E-2</v>
      </c>
      <c r="AA4165">
        <v>0.91799200000000003</v>
      </c>
      <c r="AB4165">
        <v>27</v>
      </c>
      <c r="AC4165">
        <v>134.12610000000001</v>
      </c>
      <c r="AD4165">
        <v>2.5287289999999998</v>
      </c>
      <c r="AE4165">
        <v>-24.15831</v>
      </c>
      <c r="AF4165">
        <v>-54.0979410829583</v>
      </c>
      <c r="AG4165">
        <v>2.5287289999999998</v>
      </c>
      <c r="AH4165">
        <v>125.036255040619</v>
      </c>
      <c r="AI4165">
        <v>88.936644608510306</v>
      </c>
      <c r="AJ4165">
        <v>113.396110143038</v>
      </c>
      <c r="AK4165">
        <v>136.26095102542601</v>
      </c>
      <c r="AL4165">
        <v>77.483222225498196</v>
      </c>
      <c r="AM4165">
        <v>98.908362861166395</v>
      </c>
      <c r="AN4165">
        <v>1.0000000420723001</v>
      </c>
    </row>
    <row r="4166" spans="1:40" x14ac:dyDescent="0.25">
      <c r="A4166" t="str">
        <f>"20190303170853926"</f>
        <v>20190303170853926</v>
      </c>
      <c r="B4166" t="str">
        <f>"1551604133917749"</f>
        <v>1551604133917749</v>
      </c>
      <c r="C4166" t="s">
        <v>40</v>
      </c>
      <c r="D4166">
        <v>4.7261839999999999</v>
      </c>
      <c r="E4166">
        <v>0.40430559999999899</v>
      </c>
      <c r="F4166" t="s">
        <v>99</v>
      </c>
      <c r="G4166">
        <v>-279.02</v>
      </c>
      <c r="H4166">
        <v>3.6955689999999999</v>
      </c>
      <c r="I4166">
        <v>-3.961354</v>
      </c>
      <c r="J4166">
        <v>-412.9135</v>
      </c>
      <c r="K4166">
        <v>1.130301</v>
      </c>
      <c r="L4166">
        <v>18.434080000000002</v>
      </c>
      <c r="M4166">
        <v>0.84050230000000004</v>
      </c>
      <c r="N4166">
        <v>-9.8555929999999993E-3</v>
      </c>
      <c r="O4166">
        <v>-0.5417187</v>
      </c>
      <c r="P4166">
        <v>0.89156880000000005</v>
      </c>
      <c r="Q4166">
        <v>0.21002370000000001</v>
      </c>
      <c r="R4166">
        <v>-0.4012425</v>
      </c>
      <c r="S4166">
        <v>3.1272280000000001</v>
      </c>
      <c r="T4166">
        <v>5.9809800000000003E-2</v>
      </c>
      <c r="U4166">
        <v>-0.5253601</v>
      </c>
      <c r="V4166">
        <v>-0.15089849999999999</v>
      </c>
      <c r="W4166">
        <v>0.21603</v>
      </c>
      <c r="X4166">
        <v>0.96465579999999995</v>
      </c>
      <c r="Y4166">
        <v>-0.39475490000000002</v>
      </c>
      <c r="Z4166">
        <v>-1.7111729999999999E-2</v>
      </c>
      <c r="AA4166">
        <v>0.91862710000000003</v>
      </c>
      <c r="AB4166">
        <v>27</v>
      </c>
      <c r="AC4166">
        <v>133.89349999999999</v>
      </c>
      <c r="AD4166">
        <v>2.5652680000000001</v>
      </c>
      <c r="AE4166">
        <v>-22.395434000000002</v>
      </c>
      <c r="AF4166">
        <v>-53.692624450272298</v>
      </c>
      <c r="AG4166">
        <v>2.5652680000000001</v>
      </c>
      <c r="AH4166">
        <v>124.63134730927401</v>
      </c>
      <c r="AI4166">
        <v>88.917052191345505</v>
      </c>
      <c r="AJ4166">
        <v>113.306935917513</v>
      </c>
      <c r="AK4166">
        <v>135.72933084781101</v>
      </c>
      <c r="AL4166">
        <v>77.524038680557794</v>
      </c>
      <c r="AM4166">
        <v>98.890575194452893</v>
      </c>
      <c r="AN4166">
        <v>1.0000000653379399</v>
      </c>
    </row>
    <row r="4167" spans="1:40" x14ac:dyDescent="0.25">
      <c r="A4167" t="str">
        <f>"20190303170853948"</f>
        <v>20190303170853948</v>
      </c>
      <c r="B4167" t="str">
        <f>"1551604133937270"</f>
        <v>1551604133937270</v>
      </c>
      <c r="C4167" t="s">
        <v>40</v>
      </c>
      <c r="D4167">
        <v>4.7140050000000002</v>
      </c>
      <c r="E4167">
        <v>0.40539399999999998</v>
      </c>
      <c r="F4167" t="s">
        <v>99</v>
      </c>
      <c r="G4167">
        <v>-279.02</v>
      </c>
      <c r="H4167">
        <v>2.321952</v>
      </c>
      <c r="I4167">
        <v>-4.4392420000000001</v>
      </c>
      <c r="J4167">
        <v>-412.69200000000001</v>
      </c>
      <c r="K4167">
        <v>1.1302669999999999</v>
      </c>
      <c r="L4167">
        <v>18.307400000000001</v>
      </c>
      <c r="M4167">
        <v>0.84755249999999904</v>
      </c>
      <c r="N4167">
        <v>-9.8263659999999996E-3</v>
      </c>
      <c r="O4167">
        <v>-0.53062069999999995</v>
      </c>
      <c r="P4167">
        <v>0.896871999999999</v>
      </c>
      <c r="Q4167">
        <v>0.2101189</v>
      </c>
      <c r="R4167">
        <v>-0.38919209999999999</v>
      </c>
      <c r="S4167">
        <v>3.1185299999999998</v>
      </c>
      <c r="T4167">
        <v>2.7754899999999999E-2</v>
      </c>
      <c r="U4167">
        <v>-0.53274540000000004</v>
      </c>
      <c r="V4167">
        <v>-0.15119009999999999</v>
      </c>
      <c r="W4167">
        <v>0.2160984</v>
      </c>
      <c r="X4167">
        <v>0.96459479999999997</v>
      </c>
      <c r="Y4167">
        <v>-0.38025100000000001</v>
      </c>
      <c r="Z4167">
        <v>-9.6925280000000006E-3</v>
      </c>
      <c r="AA4167">
        <v>0.9248326</v>
      </c>
      <c r="AB4167">
        <v>27</v>
      </c>
      <c r="AC4167">
        <v>133.671999999999</v>
      </c>
      <c r="AD4167">
        <v>1.1916850000000001</v>
      </c>
      <c r="AE4167">
        <v>-22.746642000000001</v>
      </c>
      <c r="AF4167">
        <v>-51.648658107205797</v>
      </c>
      <c r="AG4167">
        <v>1.1916850000000001</v>
      </c>
      <c r="AH4167">
        <v>125.360239010458</v>
      </c>
      <c r="AI4167">
        <v>89.496421238757407</v>
      </c>
      <c r="AJ4167">
        <v>112.391754689999</v>
      </c>
      <c r="AK4167">
        <v>135.58832369409001</v>
      </c>
      <c r="AL4167">
        <v>77.520024600358099</v>
      </c>
      <c r="AM4167">
        <v>98.908034597543406</v>
      </c>
      <c r="AN4167">
        <v>1.0000000465037999</v>
      </c>
    </row>
    <row r="4168" spans="1:40" x14ac:dyDescent="0.25">
      <c r="A4168" t="str">
        <f>"20190303170853971"</f>
        <v>20190303170853971</v>
      </c>
      <c r="B4168" t="str">
        <f>"1551604133957765"</f>
        <v>1551604133957765</v>
      </c>
      <c r="C4168" t="s">
        <v>40</v>
      </c>
      <c r="D4168">
        <v>4.7486709999999999</v>
      </c>
      <c r="E4168">
        <v>0.40624870000000002</v>
      </c>
      <c r="F4168" t="s">
        <v>99</v>
      </c>
      <c r="G4168">
        <v>-279.02</v>
      </c>
      <c r="H4168">
        <v>2.1873239999999998</v>
      </c>
      <c r="I4168">
        <v>-3.0895809999999999</v>
      </c>
      <c r="J4168">
        <v>-412.4538</v>
      </c>
      <c r="K4168">
        <v>1.130239</v>
      </c>
      <c r="L4168">
        <v>18.175419999999999</v>
      </c>
      <c r="M4168">
        <v>0.85485029999999995</v>
      </c>
      <c r="N4168">
        <v>-9.7976220000000006E-3</v>
      </c>
      <c r="O4168">
        <v>-0.51878230000000003</v>
      </c>
      <c r="P4168">
        <v>0.90224300000000002</v>
      </c>
      <c r="Q4168">
        <v>0.21065</v>
      </c>
      <c r="R4168">
        <v>-0.37627709999999998</v>
      </c>
      <c r="S4168">
        <v>3.1222840000000001</v>
      </c>
      <c r="T4168">
        <v>2.4690509999999999E-2</v>
      </c>
      <c r="U4168">
        <v>-0.49978640000000002</v>
      </c>
      <c r="V4168">
        <v>-0.15155489999999999</v>
      </c>
      <c r="W4168">
        <v>0.21660260000000001</v>
      </c>
      <c r="X4168">
        <v>0.96442439999999996</v>
      </c>
      <c r="Y4168">
        <v>-0.37708550000000002</v>
      </c>
      <c r="Z4168">
        <v>-8.8006319999999992E-3</v>
      </c>
      <c r="AA4168">
        <v>0.92613659999999998</v>
      </c>
      <c r="AB4168">
        <v>27</v>
      </c>
      <c r="AC4168">
        <v>133.43379999999999</v>
      </c>
      <c r="AD4168">
        <v>1.0570850000000001</v>
      </c>
      <c r="AE4168">
        <v>-21.265001000000002</v>
      </c>
      <c r="AF4168">
        <v>-51.0440244739261</v>
      </c>
      <c r="AG4168">
        <v>1.0570850000000001</v>
      </c>
      <c r="AH4168">
        <v>125.09617165702799</v>
      </c>
      <c r="AI4168">
        <v>89.551731543420004</v>
      </c>
      <c r="AJ4168">
        <v>112.197338905585</v>
      </c>
      <c r="AK4168">
        <v>135.11351533594501</v>
      </c>
      <c r="AL4168">
        <v>77.490434660529601</v>
      </c>
      <c r="AM4168">
        <v>98.930734713083595</v>
      </c>
      <c r="AN4168">
        <v>0.99999999867806399</v>
      </c>
    </row>
    <row r="4169" spans="1:40" x14ac:dyDescent="0.25">
      <c r="A4169" t="str">
        <f>"20190303170853992"</f>
        <v>20190303170853992</v>
      </c>
      <c r="B4169" t="str">
        <f>"1551604133988021"</f>
        <v>1551604133988021</v>
      </c>
      <c r="C4169" t="s">
        <v>40</v>
      </c>
      <c r="D4169">
        <v>4.7802550000000004</v>
      </c>
      <c r="E4169">
        <v>0.40769519999999998</v>
      </c>
      <c r="F4169" t="s">
        <v>99</v>
      </c>
      <c r="G4169">
        <v>-279.02</v>
      </c>
      <c r="H4169">
        <v>2.3061090000000002</v>
      </c>
      <c r="I4169">
        <v>-1.543291</v>
      </c>
      <c r="J4169">
        <v>-412.22309999999999</v>
      </c>
      <c r="K4169">
        <v>1.130206</v>
      </c>
      <c r="L4169">
        <v>18.051639999999999</v>
      </c>
      <c r="M4169">
        <v>0.86165230000000004</v>
      </c>
      <c r="N4169">
        <v>-9.7726529999999992E-3</v>
      </c>
      <c r="O4169">
        <v>-0.5074052</v>
      </c>
      <c r="P4169">
        <v>0.90692110000000004</v>
      </c>
      <c r="Q4169">
        <v>0.21076880000000001</v>
      </c>
      <c r="R4169">
        <v>-0.36478870000000002</v>
      </c>
      <c r="S4169">
        <v>3.1259160000000001</v>
      </c>
      <c r="T4169">
        <v>2.754676E-2</v>
      </c>
      <c r="U4169">
        <v>-0.46194459999999998</v>
      </c>
      <c r="V4169">
        <v>-0.15099019999999999</v>
      </c>
      <c r="W4169">
        <v>0.21672079999999999</v>
      </c>
      <c r="X4169">
        <v>0.96448639999999997</v>
      </c>
      <c r="Y4169">
        <v>-0.37592120000000001</v>
      </c>
      <c r="Z4169">
        <v>-9.204505E-3</v>
      </c>
      <c r="AA4169">
        <v>0.92660589999999998</v>
      </c>
      <c r="AB4169">
        <v>27</v>
      </c>
      <c r="AC4169">
        <v>133.20310000000001</v>
      </c>
      <c r="AD4169">
        <v>1.1759029999999999</v>
      </c>
      <c r="AE4169">
        <v>-19.594930999999999</v>
      </c>
      <c r="AF4169">
        <v>-50.702476225358303</v>
      </c>
      <c r="AG4169">
        <v>1.1759029999999999</v>
      </c>
      <c r="AH4169">
        <v>124.71375584028701</v>
      </c>
      <c r="AI4169">
        <v>89.499558956565593</v>
      </c>
      <c r="AJ4169">
        <v>112.124239531298</v>
      </c>
      <c r="AK4169">
        <v>134.631514657747</v>
      </c>
      <c r="AL4169">
        <v>77.483497291246493</v>
      </c>
      <c r="AM4169">
        <v>98.897429009362995</v>
      </c>
      <c r="AN4169">
        <v>0.99999998071681895</v>
      </c>
    </row>
    <row r="4170" spans="1:40" x14ac:dyDescent="0.25">
      <c r="A4170" t="str">
        <f>"20190303170854015"</f>
        <v>20190303170854015</v>
      </c>
      <c r="B4170" t="str">
        <f>"1551604134007541"</f>
        <v>1551604134007541</v>
      </c>
      <c r="C4170" t="s">
        <v>40</v>
      </c>
      <c r="D4170">
        <v>4.7958530000000001</v>
      </c>
      <c r="E4170">
        <v>0.41498429999999997</v>
      </c>
      <c r="F4170" t="s">
        <v>99</v>
      </c>
      <c r="G4170">
        <v>-279.02</v>
      </c>
      <c r="H4170">
        <v>2.1914609999999999</v>
      </c>
      <c r="I4170">
        <v>-0.38439180000000001</v>
      </c>
      <c r="J4170">
        <v>-411.98820000000001</v>
      </c>
      <c r="K4170">
        <v>1.130188</v>
      </c>
      <c r="L4170">
        <v>17.929379999999998</v>
      </c>
      <c r="M4170">
        <v>0.86833359999999904</v>
      </c>
      <c r="N4170">
        <v>-9.7508990000000004E-3</v>
      </c>
      <c r="O4170">
        <v>-0.49588500000000002</v>
      </c>
      <c r="P4170">
        <v>0.91174350000000004</v>
      </c>
      <c r="Q4170">
        <v>0.2104656</v>
      </c>
      <c r="R4170">
        <v>-0.3527438</v>
      </c>
      <c r="S4170">
        <v>3.1279300000000001</v>
      </c>
      <c r="T4170">
        <v>2.492082E-2</v>
      </c>
      <c r="U4170">
        <v>-0.43292239999999999</v>
      </c>
      <c r="V4170">
        <v>-0.15093570000000001</v>
      </c>
      <c r="W4170">
        <v>0.21640709999999999</v>
      </c>
      <c r="X4170">
        <v>0.96456540000000002</v>
      </c>
      <c r="Y4170">
        <v>-0.37209880000000001</v>
      </c>
      <c r="Z4170">
        <v>-8.4371489999999997E-3</v>
      </c>
      <c r="AA4170">
        <v>0.92815479999999995</v>
      </c>
      <c r="AB4170">
        <v>27</v>
      </c>
      <c r="AC4170">
        <v>132.9682</v>
      </c>
      <c r="AD4170">
        <v>1.0612729999999999</v>
      </c>
      <c r="AE4170">
        <v>-18.313771800000001</v>
      </c>
      <c r="AF4170">
        <v>-50.033716958092697</v>
      </c>
      <c r="AG4170">
        <v>1.0612729999999999</v>
      </c>
      <c r="AH4170">
        <v>124.540399977676</v>
      </c>
      <c r="AI4170">
        <v>89.546956998421905</v>
      </c>
      <c r="AJ4170">
        <v>111.887640904142</v>
      </c>
      <c r="AK4170">
        <v>134.21926225256399</v>
      </c>
      <c r="AL4170">
        <v>77.501908321294195</v>
      </c>
      <c r="AM4170">
        <v>98.893552017009696</v>
      </c>
      <c r="AN4170">
        <v>1.0000000146710299</v>
      </c>
    </row>
    <row r="4171" spans="1:40" x14ac:dyDescent="0.25">
      <c r="A4171" t="str">
        <f>"20190303170854037"</f>
        <v>20190303170854037</v>
      </c>
      <c r="B4171" t="str">
        <f>"1551604134028037"</f>
        <v>1551604134028037</v>
      </c>
      <c r="C4171" t="s">
        <v>40</v>
      </c>
      <c r="D4171">
        <v>4.8321239999999896</v>
      </c>
      <c r="E4171">
        <v>0.41560209999999997</v>
      </c>
      <c r="F4171" t="s">
        <v>99</v>
      </c>
      <c r="G4171">
        <v>-279.02</v>
      </c>
      <c r="H4171">
        <v>1.2453669999999999</v>
      </c>
      <c r="I4171">
        <v>-1.1080970000000001</v>
      </c>
      <c r="J4171">
        <v>-411.74939999999998</v>
      </c>
      <c r="K4171">
        <v>1.13017099999999</v>
      </c>
      <c r="L4171">
        <v>17.80902</v>
      </c>
      <c r="M4171">
        <v>0.87488069999999896</v>
      </c>
      <c r="N4171">
        <v>-9.7324490000000007E-3</v>
      </c>
      <c r="O4171">
        <v>-0.48424070000000002</v>
      </c>
      <c r="P4171">
        <v>0.91636399999999996</v>
      </c>
      <c r="Q4171">
        <v>0.21096400000000001</v>
      </c>
      <c r="R4171">
        <v>-0.340252099999999</v>
      </c>
      <c r="S4171">
        <v>3.1171259999999998</v>
      </c>
      <c r="T4171">
        <v>2.70009E-3</v>
      </c>
      <c r="U4171">
        <v>-0.44628909999999999</v>
      </c>
      <c r="V4171">
        <v>-0.15117820000000001</v>
      </c>
      <c r="W4171">
        <v>0.21688660000000001</v>
      </c>
      <c r="X4171">
        <v>0.96441969999999999</v>
      </c>
      <c r="Y4171">
        <v>-0.35534779999999999</v>
      </c>
      <c r="Z4171">
        <v>-3.7019679999999999E-3</v>
      </c>
      <c r="AA4171">
        <v>0.93472679999999997</v>
      </c>
      <c r="AB4171">
        <v>27</v>
      </c>
      <c r="AC4171">
        <v>132.7294</v>
      </c>
      <c r="AD4171">
        <v>0.11519600000000001</v>
      </c>
      <c r="AE4171">
        <v>-18.917117000000001</v>
      </c>
      <c r="AF4171">
        <v>-47.724981728263003</v>
      </c>
      <c r="AG4171">
        <v>0.11519600000000001</v>
      </c>
      <c r="AH4171">
        <v>125.28866875652</v>
      </c>
      <c r="AI4171">
        <v>89.9507703907734</v>
      </c>
      <c r="AJ4171">
        <v>110.852846652493</v>
      </c>
      <c r="AK4171">
        <v>134.070644325529</v>
      </c>
      <c r="AL4171">
        <v>77.473766464507307</v>
      </c>
      <c r="AM4171">
        <v>98.908935977960695</v>
      </c>
      <c r="AN4171">
        <v>1.0000000015814401</v>
      </c>
    </row>
    <row r="4172" spans="1:40" x14ac:dyDescent="0.25">
      <c r="A4172" t="str">
        <f>"20190303170854061"</f>
        <v>20190303170854061</v>
      </c>
      <c r="B4172" t="str">
        <f>"1551604134047557"</f>
        <v>1551604134047557</v>
      </c>
      <c r="C4172" t="s">
        <v>40</v>
      </c>
      <c r="D4172">
        <v>4.8342729999999996</v>
      </c>
      <c r="E4172">
        <v>0.41984949999999999</v>
      </c>
      <c r="F4172" t="s">
        <v>99</v>
      </c>
      <c r="G4172">
        <v>-279.02</v>
      </c>
      <c r="H4172">
        <v>1.2693049999999999</v>
      </c>
      <c r="I4172">
        <v>0.43126680000000001</v>
      </c>
      <c r="J4172">
        <v>-411.50540000000001</v>
      </c>
      <c r="K4172">
        <v>1.1301589999999999</v>
      </c>
      <c r="L4172">
        <v>17.68994</v>
      </c>
      <c r="M4172">
        <v>0.8813223</v>
      </c>
      <c r="N4172">
        <v>-9.7160990000000006E-3</v>
      </c>
      <c r="O4172">
        <v>-0.4724159</v>
      </c>
      <c r="P4172">
        <v>0.92057469999999997</v>
      </c>
      <c r="Q4172">
        <v>0.21219279999999999</v>
      </c>
      <c r="R4172">
        <v>-0.3278973</v>
      </c>
      <c r="S4172">
        <v>3.1213069999999998</v>
      </c>
      <c r="T4172">
        <v>3.2719369999999999E-3</v>
      </c>
      <c r="U4172">
        <v>-0.40866089999999999</v>
      </c>
      <c r="V4172">
        <v>-0.1510502</v>
      </c>
      <c r="W4172">
        <v>0.21810499999999999</v>
      </c>
      <c r="X4172">
        <v>0.96416500000000005</v>
      </c>
      <c r="Y4172">
        <v>-0.3539967</v>
      </c>
      <c r="Z4172">
        <v>-3.6822640000000002E-3</v>
      </c>
      <c r="AA4172">
        <v>0.93523940000000005</v>
      </c>
      <c r="AB4172">
        <v>27</v>
      </c>
      <c r="AC4172">
        <v>132.4854</v>
      </c>
      <c r="AD4172">
        <v>0.13914599999999999</v>
      </c>
      <c r="AE4172">
        <v>-17.2586732</v>
      </c>
      <c r="AF4172">
        <v>-47.379936673049102</v>
      </c>
      <c r="AG4172">
        <v>0.13914599999999999</v>
      </c>
      <c r="AH4172">
        <v>124.92135882821</v>
      </c>
      <c r="AI4172">
        <v>89.940327860938098</v>
      </c>
      <c r="AJ4172">
        <v>110.77063996909</v>
      </c>
      <c r="AK4172">
        <v>133.60472915371699</v>
      </c>
      <c r="AL4172">
        <v>77.402245778784504</v>
      </c>
      <c r="AM4172">
        <v>98.903827586799494</v>
      </c>
      <c r="AN4172">
        <v>1.00000005058501</v>
      </c>
    </row>
    <row r="4173" spans="1:40" x14ac:dyDescent="0.25">
      <c r="A4173" t="str">
        <f>"20190303170854083"</f>
        <v>20190303170854083</v>
      </c>
      <c r="B4173" t="str">
        <f>"1551604134077814"</f>
        <v>1551604134077814</v>
      </c>
      <c r="C4173" t="s">
        <v>40</v>
      </c>
      <c r="D4173">
        <v>4.8600399999999997</v>
      </c>
      <c r="E4173">
        <v>0.40988079999999999</v>
      </c>
      <c r="F4173" t="s">
        <v>99</v>
      </c>
      <c r="G4173">
        <v>-279.02</v>
      </c>
      <c r="H4173">
        <v>0.88163019999999903</v>
      </c>
      <c r="I4173">
        <v>0.7233849</v>
      </c>
      <c r="J4173">
        <v>-411.26459999999997</v>
      </c>
      <c r="K4173">
        <v>1.13015</v>
      </c>
      <c r="L4173">
        <v>17.576170000000001</v>
      </c>
      <c r="M4173">
        <v>0.88744969999999901</v>
      </c>
      <c r="N4173">
        <v>-9.7013359999999996E-3</v>
      </c>
      <c r="O4173">
        <v>-0.4608024</v>
      </c>
      <c r="P4173">
        <v>0.92468720000000004</v>
      </c>
      <c r="Q4173">
        <v>0.21323810000000001</v>
      </c>
      <c r="R4173">
        <v>-0.31540849999999998</v>
      </c>
      <c r="S4173">
        <v>3.1179199999999998</v>
      </c>
      <c r="T4173">
        <v>-5.8488849999999998E-3</v>
      </c>
      <c r="U4173">
        <v>-0.39929199999999998</v>
      </c>
      <c r="V4173">
        <v>-0.15134549999999999</v>
      </c>
      <c r="W4173">
        <v>0.21913099999999999</v>
      </c>
      <c r="X4173">
        <v>0.96388600000000002</v>
      </c>
      <c r="Y4173">
        <v>-0.34433809999999998</v>
      </c>
      <c r="Z4173">
        <v>-1.7906689999999999E-3</v>
      </c>
      <c r="AA4173">
        <v>0.93884400000000001</v>
      </c>
      <c r="AB4173">
        <v>27</v>
      </c>
      <c r="AC4173">
        <v>132.24459999999999</v>
      </c>
      <c r="AD4173">
        <v>-0.24851980000000001</v>
      </c>
      <c r="AE4173">
        <v>-16.852785099999998</v>
      </c>
      <c r="AF4173">
        <v>-45.984635615631397</v>
      </c>
      <c r="AG4173">
        <v>-0.24851980000000001</v>
      </c>
      <c r="AH4173">
        <v>125.131692062987</v>
      </c>
      <c r="AI4173">
        <v>90.106809168111894</v>
      </c>
      <c r="AJ4173">
        <v>110.177871295316</v>
      </c>
      <c r="AK4173">
        <v>133.313873371602</v>
      </c>
      <c r="AL4173">
        <v>77.342002910613104</v>
      </c>
      <c r="AM4173">
        <v>98.923495340168799</v>
      </c>
      <c r="AN4173">
        <v>1.0000000382636201</v>
      </c>
    </row>
    <row r="4174" spans="1:40" x14ac:dyDescent="0.25">
      <c r="A4174" t="str">
        <f>"20190303170854108"</f>
        <v>20190303170854108</v>
      </c>
      <c r="B4174" t="str">
        <f>"1551604134097334"</f>
        <v>1551604134097334</v>
      </c>
      <c r="C4174" t="s">
        <v>40</v>
      </c>
      <c r="D4174">
        <v>4.8502400000000003</v>
      </c>
      <c r="E4174">
        <v>0.40777590000000002</v>
      </c>
      <c r="F4174" t="s">
        <v>99</v>
      </c>
      <c r="G4174">
        <v>-266.01979999999998</v>
      </c>
      <c r="H4174">
        <v>1.9404079999999999</v>
      </c>
      <c r="I4174">
        <v>4.6005919999999998</v>
      </c>
      <c r="J4174">
        <v>-410.9864</v>
      </c>
      <c r="K4174">
        <v>1.1301330000000001</v>
      </c>
      <c r="L4174">
        <v>17.449189999999899</v>
      </c>
      <c r="M4174">
        <v>0.89425080000000001</v>
      </c>
      <c r="N4174">
        <v>-9.6859119999999996E-3</v>
      </c>
      <c r="O4174">
        <v>-0.44746150000000001</v>
      </c>
      <c r="P4174">
        <v>0.92932619999999999</v>
      </c>
      <c r="Q4174">
        <v>0.2131585</v>
      </c>
      <c r="R4174">
        <v>-0.3015236</v>
      </c>
      <c r="S4174">
        <v>3.1444700000000001</v>
      </c>
      <c r="T4174">
        <v>1.7541649999999999E-2</v>
      </c>
      <c r="U4174">
        <v>-0.28091430000000001</v>
      </c>
      <c r="V4174">
        <v>-0.1513477</v>
      </c>
      <c r="W4174">
        <v>0.21904119999999999</v>
      </c>
      <c r="X4174">
        <v>0.96390600000000004</v>
      </c>
      <c r="Y4174">
        <v>-0.36608370000000001</v>
      </c>
      <c r="Z4174">
        <v>-6.1200480000000003E-3</v>
      </c>
      <c r="AA4174">
        <v>0.93056179999999999</v>
      </c>
      <c r="AB4174">
        <v>27</v>
      </c>
      <c r="AC4174">
        <v>144.9666</v>
      </c>
      <c r="AD4174">
        <v>0.81027499999999997</v>
      </c>
      <c r="AE4174">
        <v>-12.848598000000001</v>
      </c>
      <c r="AF4174">
        <v>-53.377949879691698</v>
      </c>
      <c r="AG4174">
        <v>0.81027499999999997</v>
      </c>
      <c r="AH4174">
        <v>135.387898361217</v>
      </c>
      <c r="AI4174">
        <v>89.680995395877105</v>
      </c>
      <c r="AJ4174">
        <v>111.517303839937</v>
      </c>
      <c r="AK4174">
        <v>145.532625557301</v>
      </c>
      <c r="AL4174">
        <v>77.347275371791298</v>
      </c>
      <c r="AM4174">
        <v>98.923440791242299</v>
      </c>
      <c r="AN4174">
        <v>0.99999997521436401</v>
      </c>
    </row>
    <row r="4175" spans="1:40" x14ac:dyDescent="0.25">
      <c r="A4175" t="str">
        <f>"20190303170854133"</f>
        <v>20190303170854133</v>
      </c>
      <c r="B4175" t="str">
        <f>"1551604134127589"</f>
        <v>1551604134127589</v>
      </c>
      <c r="C4175" t="s">
        <v>40</v>
      </c>
      <c r="D4175">
        <v>4.8475390000000003</v>
      </c>
      <c r="E4175">
        <v>0.40732990000000002</v>
      </c>
      <c r="F4175" t="s">
        <v>61</v>
      </c>
      <c r="G4175">
        <v>-241.07</v>
      </c>
      <c r="H4175">
        <v>2.3118449999999999</v>
      </c>
      <c r="I4175">
        <v>5.7264499999999998</v>
      </c>
      <c r="J4175">
        <v>-410.71539999999999</v>
      </c>
      <c r="K4175">
        <v>1.1301190000000001</v>
      </c>
      <c r="L4175">
        <v>17.330570000000002</v>
      </c>
      <c r="M4175">
        <v>0.90059690000000003</v>
      </c>
      <c r="N4175">
        <v>-9.6733310000000003E-3</v>
      </c>
      <c r="O4175">
        <v>-0.43454769999999998</v>
      </c>
      <c r="P4175">
        <v>0.93361439999999996</v>
      </c>
      <c r="Q4175">
        <v>0.2121151</v>
      </c>
      <c r="R4175">
        <v>-0.28874090000000002</v>
      </c>
      <c r="S4175">
        <v>3.1525569999999998</v>
      </c>
      <c r="T4175">
        <v>2.1924849999999999E-2</v>
      </c>
      <c r="U4175">
        <v>-0.21749879999999999</v>
      </c>
      <c r="V4175">
        <v>-0.15077869999999999</v>
      </c>
      <c r="W4175">
        <v>0.218005</v>
      </c>
      <c r="X4175">
        <v>0.96423009999999998</v>
      </c>
      <c r="Y4175">
        <v>-0.37149199999999999</v>
      </c>
      <c r="Z4175">
        <v>-6.7438159999999997E-3</v>
      </c>
      <c r="AA4175">
        <v>0.92841169999999995</v>
      </c>
      <c r="AB4175">
        <v>27</v>
      </c>
      <c r="AC4175">
        <v>169.6454</v>
      </c>
      <c r="AD4175">
        <v>1.1817259999999901</v>
      </c>
      <c r="AE4175">
        <v>-11.60412</v>
      </c>
      <c r="AF4175">
        <v>-63.268286845358197</v>
      </c>
      <c r="AG4175">
        <v>1.1817259999999901</v>
      </c>
      <c r="AH4175">
        <v>157.824422924446</v>
      </c>
      <c r="AI4175">
        <v>89.601803273814596</v>
      </c>
      <c r="AJ4175">
        <v>111.84474701367699</v>
      </c>
      <c r="AK4175">
        <v>170.03770484254301</v>
      </c>
      <c r="AL4175">
        <v>77.408116508013507</v>
      </c>
      <c r="AM4175">
        <v>98.887488946255502</v>
      </c>
      <c r="AN4175">
        <v>1.00000004107234</v>
      </c>
    </row>
    <row r="4176" spans="1:40" x14ac:dyDescent="0.25">
      <c r="A4176" t="str">
        <f>"20190303170854150"</f>
        <v>20190303170854150</v>
      </c>
      <c r="B4176" t="str">
        <f>"1551604134137349"</f>
        <v>1551604134137349</v>
      </c>
      <c r="C4176" t="s">
        <v>40</v>
      </c>
      <c r="D4176">
        <v>4.8712589999999896</v>
      </c>
      <c r="E4176">
        <v>0.40736359999999999</v>
      </c>
      <c r="F4176" t="s">
        <v>61</v>
      </c>
      <c r="G4176">
        <v>-241.07</v>
      </c>
      <c r="H4176">
        <v>2.1027260000000001</v>
      </c>
      <c r="I4176">
        <v>8.1452069999999992</v>
      </c>
      <c r="J4176">
        <v>-410.5258</v>
      </c>
      <c r="K4176">
        <v>1.130112</v>
      </c>
      <c r="L4176">
        <v>17.249939999999999</v>
      </c>
      <c r="M4176">
        <v>0.90488740000000001</v>
      </c>
      <c r="N4176">
        <v>-9.6654989999999993E-3</v>
      </c>
      <c r="O4176">
        <v>-0.42554110000000001</v>
      </c>
      <c r="P4176">
        <v>0.93641200000000002</v>
      </c>
      <c r="Q4176">
        <v>0.21184620000000001</v>
      </c>
      <c r="R4176">
        <v>-0.27973819999999999</v>
      </c>
      <c r="S4176">
        <v>3.156342</v>
      </c>
      <c r="T4176">
        <v>1.8095730000000001E-2</v>
      </c>
      <c r="U4176">
        <v>-0.17089840000000001</v>
      </c>
      <c r="V4176">
        <v>-0.15045810000000001</v>
      </c>
      <c r="W4176">
        <v>0.21773970000000001</v>
      </c>
      <c r="X4176">
        <v>0.96434010000000003</v>
      </c>
      <c r="Y4176">
        <v>-0.37596689999999999</v>
      </c>
      <c r="Z4176">
        <v>-5.8532339999999997E-3</v>
      </c>
      <c r="AA4176">
        <v>0.92661459999999995</v>
      </c>
      <c r="AB4176">
        <v>27</v>
      </c>
      <c r="AC4176">
        <v>169.45580000000001</v>
      </c>
      <c r="AD4176">
        <v>0.97261399999999898</v>
      </c>
      <c r="AE4176">
        <v>-9.1047329999999906</v>
      </c>
      <c r="AF4176">
        <v>-63.8725395430207</v>
      </c>
      <c r="AG4176">
        <v>0.97261399999999898</v>
      </c>
      <c r="AH4176">
        <v>157.21504745474701</v>
      </c>
      <c r="AI4176">
        <v>89.671609748368795</v>
      </c>
      <c r="AJ4176">
        <v>112.11067660701001</v>
      </c>
      <c r="AK4176">
        <v>169.69743201317499</v>
      </c>
      <c r="AL4176">
        <v>77.423690989265594</v>
      </c>
      <c r="AM4176">
        <v>98.867896677052997</v>
      </c>
      <c r="AN4176">
        <v>1.00000002263985</v>
      </c>
    </row>
    <row r="4177" spans="1:40" x14ac:dyDescent="0.25">
      <c r="A4177" t="str">
        <f>"20190303170854174"</f>
        <v>20190303170854174</v>
      </c>
      <c r="B4177" t="str">
        <f>"1551604134167605"</f>
        <v>1551604134167605</v>
      </c>
      <c r="C4177" t="s">
        <v>40</v>
      </c>
      <c r="D4177">
        <v>4.8936729999999997</v>
      </c>
      <c r="E4177">
        <v>0.40804760000000001</v>
      </c>
      <c r="F4177" t="s">
        <v>61</v>
      </c>
      <c r="G4177">
        <v>-241.07</v>
      </c>
      <c r="H4177">
        <v>2.011177</v>
      </c>
      <c r="I4177">
        <v>9.6659140000000008</v>
      </c>
      <c r="J4177">
        <v>-410.2482</v>
      </c>
      <c r="K4177">
        <v>1.1301099999999999</v>
      </c>
      <c r="L4177">
        <v>17.136320000000001</v>
      </c>
      <c r="M4177">
        <v>0.91093760000000001</v>
      </c>
      <c r="N4177">
        <v>-9.6561370000000004E-3</v>
      </c>
      <c r="O4177">
        <v>-0.41243109999999999</v>
      </c>
      <c r="P4177">
        <v>0.93980710000000001</v>
      </c>
      <c r="Q4177">
        <v>0.2129374</v>
      </c>
      <c r="R4177">
        <v>-0.26724579999999998</v>
      </c>
      <c r="S4177">
        <v>3.1577760000000001</v>
      </c>
      <c r="T4177">
        <v>1.641834E-2</v>
      </c>
      <c r="U4177">
        <v>-0.14132690000000001</v>
      </c>
      <c r="V4177">
        <v>-0.1492916</v>
      </c>
      <c r="W4177">
        <v>0.2188504</v>
      </c>
      <c r="X4177">
        <v>0.96426990000000001</v>
      </c>
      <c r="Y4177">
        <v>-0.37126599999999998</v>
      </c>
      <c r="Z4177">
        <v>-5.3421519999999898E-3</v>
      </c>
      <c r="AA4177">
        <v>0.92851110000000003</v>
      </c>
      <c r="AB4177">
        <v>27</v>
      </c>
      <c r="AC4177">
        <v>169.1782</v>
      </c>
      <c r="AD4177">
        <v>0.88106700000000004</v>
      </c>
      <c r="AE4177">
        <v>-7.4704059999999997</v>
      </c>
      <c r="AF4177">
        <v>-62.970509805307799</v>
      </c>
      <c r="AG4177">
        <v>0.88106700000000004</v>
      </c>
      <c r="AH4177">
        <v>157.19488770575799</v>
      </c>
      <c r="AI4177">
        <v>89.701893109757606</v>
      </c>
      <c r="AJ4177">
        <v>111.83048561670699</v>
      </c>
      <c r="AK4177">
        <v>169.34076327046799</v>
      </c>
      <c r="AL4177">
        <v>77.358479047175294</v>
      </c>
      <c r="AM4177">
        <v>98.800854903615004</v>
      </c>
      <c r="AN4177">
        <v>0.99999995972836397</v>
      </c>
    </row>
    <row r="4178" spans="1:40" x14ac:dyDescent="0.25">
      <c r="A4178" t="str">
        <f>"20190303170854195"</f>
        <v>20190303170854195</v>
      </c>
      <c r="B4178" t="str">
        <f>"1551604134188102"</f>
        <v>1551604134188102</v>
      </c>
      <c r="C4178" t="s">
        <v>40</v>
      </c>
      <c r="D4178">
        <v>4.9042979999999998</v>
      </c>
      <c r="E4178">
        <v>0.4087982</v>
      </c>
      <c r="F4178" t="s">
        <v>87</v>
      </c>
      <c r="G4178">
        <v>-274.49669999999998</v>
      </c>
      <c r="H4178">
        <v>1.8249010000000001</v>
      </c>
      <c r="I4178">
        <v>12.613939999999999</v>
      </c>
      <c r="J4178">
        <v>-410.01299999999998</v>
      </c>
      <c r="K4178">
        <v>1.1300969999999999</v>
      </c>
      <c r="L4178">
        <v>17.043369999999999</v>
      </c>
      <c r="M4178">
        <v>0.91586670000000003</v>
      </c>
      <c r="N4178">
        <v>-9.6486479999999993E-3</v>
      </c>
      <c r="O4178">
        <v>-0.40136709999999998</v>
      </c>
      <c r="P4178">
        <v>0.94263479999999999</v>
      </c>
      <c r="Q4178">
        <v>0.213529</v>
      </c>
      <c r="R4178">
        <v>-0.256604</v>
      </c>
      <c r="S4178">
        <v>3.1585999999999999</v>
      </c>
      <c r="T4178">
        <v>1.6166090000000001E-2</v>
      </c>
      <c r="U4178">
        <v>-0.1052246</v>
      </c>
      <c r="V4178">
        <v>-0.1484685</v>
      </c>
      <c r="W4178">
        <v>0.21945619999999999</v>
      </c>
      <c r="X4178">
        <v>0.96425930000000004</v>
      </c>
      <c r="Y4178">
        <v>-0.37062800000000001</v>
      </c>
      <c r="Z4178">
        <v>-5.1278549999999997E-3</v>
      </c>
      <c r="AA4178">
        <v>0.92876729999999996</v>
      </c>
      <c r="AB4178">
        <v>28</v>
      </c>
      <c r="AC4178">
        <v>135.5163</v>
      </c>
      <c r="AD4178">
        <v>0.69480399999999998</v>
      </c>
      <c r="AE4178">
        <v>-4.42943</v>
      </c>
      <c r="AF4178">
        <v>-50.336026775643397</v>
      </c>
      <c r="AG4178">
        <v>0.69480399999999998</v>
      </c>
      <c r="AH4178">
        <v>125.895219754716</v>
      </c>
      <c r="AI4178">
        <v>89.706391148416401</v>
      </c>
      <c r="AJ4178">
        <v>111.79275364430499</v>
      </c>
      <c r="AK4178">
        <v>135.58688985755501</v>
      </c>
      <c r="AL4178">
        <v>77.322904442373002</v>
      </c>
      <c r="AM4178">
        <v>98.753180737802793</v>
      </c>
      <c r="AN4178">
        <v>0.99999995842358902</v>
      </c>
    </row>
    <row r="4179" spans="1:40" x14ac:dyDescent="0.25">
      <c r="A4179" t="str">
        <f>"20190303170854219"</f>
        <v>20190303170854219</v>
      </c>
      <c r="B4179" t="str">
        <f>"1551604134207622"</f>
        <v>1551604134207622</v>
      </c>
      <c r="C4179" t="s">
        <v>40</v>
      </c>
      <c r="D4179">
        <v>4.9240469999999998</v>
      </c>
      <c r="E4179">
        <v>0.40972779999999998</v>
      </c>
      <c r="F4179" t="s">
        <v>87</v>
      </c>
      <c r="G4179">
        <v>-274.49669999999998</v>
      </c>
      <c r="H4179">
        <v>1.8811599999999999</v>
      </c>
      <c r="I4179">
        <v>13.88397</v>
      </c>
      <c r="J4179">
        <v>-409.74880000000002</v>
      </c>
      <c r="K4179">
        <v>1.130085</v>
      </c>
      <c r="L4179">
        <v>16.942779999999999</v>
      </c>
      <c r="M4179">
        <v>0.92117789999999999</v>
      </c>
      <c r="N4179">
        <v>-9.6392200000000004E-3</v>
      </c>
      <c r="O4179">
        <v>-0.3890226</v>
      </c>
      <c r="P4179">
        <v>0.94562380000000001</v>
      </c>
      <c r="Q4179">
        <v>0.21306539999999999</v>
      </c>
      <c r="R4179">
        <v>-0.24576190000000001</v>
      </c>
      <c r="S4179">
        <v>3.1585999999999999</v>
      </c>
      <c r="T4179">
        <v>1.7505759999999999E-2</v>
      </c>
      <c r="U4179">
        <v>-7.3638919999999997E-2</v>
      </c>
      <c r="V4179">
        <v>-0.14660039999999999</v>
      </c>
      <c r="W4179">
        <v>0.2190356</v>
      </c>
      <c r="X4179">
        <v>0.96464070000000002</v>
      </c>
      <c r="Y4179">
        <v>-0.36742279999999999</v>
      </c>
      <c r="Z4179">
        <v>-5.1865459999999898E-3</v>
      </c>
      <c r="AA4179">
        <v>0.93003959999999997</v>
      </c>
      <c r="AB4179">
        <v>28</v>
      </c>
      <c r="AC4179">
        <v>135.25210000000001</v>
      </c>
      <c r="AD4179">
        <v>0.75107499999999905</v>
      </c>
      <c r="AE4179">
        <v>-3.05880999999999</v>
      </c>
      <c r="AF4179">
        <v>-49.799188678510902</v>
      </c>
      <c r="AG4179">
        <v>0.75107499999999905</v>
      </c>
      <c r="AH4179">
        <v>125.78314475650301</v>
      </c>
      <c r="AI4179">
        <v>89.681902826438204</v>
      </c>
      <c r="AJ4179">
        <v>111.599259145979</v>
      </c>
      <c r="AK4179">
        <v>135.28459931392399</v>
      </c>
      <c r="AL4179">
        <v>77.347604220212105</v>
      </c>
      <c r="AM4179">
        <v>98.641351996857495</v>
      </c>
      <c r="AN4179">
        <v>0.99999997572200405</v>
      </c>
    </row>
    <row r="4180" spans="1:40" x14ac:dyDescent="0.25">
      <c r="A4180" t="str">
        <f>"20190303170854238"</f>
        <v>20190303170854238</v>
      </c>
      <c r="B4180" t="str">
        <f>"1551604134228117"</f>
        <v>1551604134228117</v>
      </c>
      <c r="C4180" t="s">
        <v>40</v>
      </c>
      <c r="D4180">
        <v>4.9431209999999997</v>
      </c>
      <c r="E4180">
        <v>0.42035080000000002</v>
      </c>
      <c r="F4180" t="s">
        <v>87</v>
      </c>
      <c r="G4180">
        <v>-273.40989999999999</v>
      </c>
      <c r="H4180">
        <v>1.6891349999999901</v>
      </c>
      <c r="I4180">
        <v>15.03111</v>
      </c>
      <c r="J4180">
        <v>-409.5213</v>
      </c>
      <c r="K4180">
        <v>1.1300509999999999</v>
      </c>
      <c r="L4180">
        <v>16.859249999999999</v>
      </c>
      <c r="M4180">
        <v>0.92556400000000005</v>
      </c>
      <c r="N4180">
        <v>-9.6289979999999997E-3</v>
      </c>
      <c r="O4180">
        <v>-0.37846879999999999</v>
      </c>
      <c r="P4180">
        <v>0.94809969999999999</v>
      </c>
      <c r="Q4180">
        <v>0.21242839999999999</v>
      </c>
      <c r="R4180">
        <v>-0.23660320000000001</v>
      </c>
      <c r="S4180">
        <v>3.1580810000000001</v>
      </c>
      <c r="T4180">
        <v>1.294959E-2</v>
      </c>
      <c r="U4180">
        <v>-4.4281010000000003E-2</v>
      </c>
      <c r="V4180">
        <v>-0.144927799999999</v>
      </c>
      <c r="W4180">
        <v>0.2184401</v>
      </c>
      <c r="X4180">
        <v>0.96502849999999996</v>
      </c>
      <c r="Y4180">
        <v>-0.3654403</v>
      </c>
      <c r="Z4180">
        <v>-4.2274189999999996E-3</v>
      </c>
      <c r="AA4180">
        <v>0.93082520000000002</v>
      </c>
      <c r="AB4180">
        <v>28</v>
      </c>
      <c r="AC4180">
        <v>136.1114</v>
      </c>
      <c r="AD4180">
        <v>0.55908399999999903</v>
      </c>
      <c r="AE4180">
        <v>-1.8281400000000001</v>
      </c>
      <c r="AF4180">
        <v>-49.823325329889002</v>
      </c>
      <c r="AG4180">
        <v>0.55908399999999903</v>
      </c>
      <c r="AH4180">
        <v>126.675437338386</v>
      </c>
      <c r="AI4180">
        <v>89.764673459822006</v>
      </c>
      <c r="AJ4180">
        <v>111.470449112697</v>
      </c>
      <c r="AK4180">
        <v>136.12252843199201</v>
      </c>
      <c r="AL4180">
        <v>77.382571891789496</v>
      </c>
      <c r="AM4180">
        <v>98.540841183297104</v>
      </c>
      <c r="AN4180">
        <v>1.0000000751565401</v>
      </c>
    </row>
    <row r="4181" spans="1:40" x14ac:dyDescent="0.25">
      <c r="A4181" t="str">
        <f>"20190303170854264"</f>
        <v>20190303170854264</v>
      </c>
      <c r="B4181" t="str">
        <f>"1551604134257398"</f>
        <v>1551604134257398</v>
      </c>
      <c r="C4181" t="s">
        <v>40</v>
      </c>
      <c r="D4181">
        <v>4.9619559999999998</v>
      </c>
      <c r="E4181">
        <v>0.42193120000000001</v>
      </c>
      <c r="F4181" t="s">
        <v>46</v>
      </c>
      <c r="G4181">
        <v>-293.28719999999998</v>
      </c>
      <c r="H4181">
        <v>-0.05</v>
      </c>
      <c r="I4181">
        <v>13.31935</v>
      </c>
      <c r="J4181">
        <v>-409.23910000000001</v>
      </c>
      <c r="K4181">
        <v>1.1299920000000001</v>
      </c>
      <c r="L4181">
        <v>16.759460000000001</v>
      </c>
      <c r="M4181">
        <v>0.93076000000000003</v>
      </c>
      <c r="N4181">
        <v>-9.6129790000000007E-3</v>
      </c>
      <c r="O4181">
        <v>-0.3655042</v>
      </c>
      <c r="P4181">
        <v>0.95108630000000005</v>
      </c>
      <c r="Q4181">
        <v>0.2119538</v>
      </c>
      <c r="R4181">
        <v>-0.2247449</v>
      </c>
      <c r="S4181">
        <v>3.1474609999999998</v>
      </c>
      <c r="T4181">
        <v>-3.1954169999999997E-2</v>
      </c>
      <c r="U4181">
        <v>-9.5855709999999997E-2</v>
      </c>
      <c r="V4181">
        <v>-0.14349609999999999</v>
      </c>
      <c r="W4181">
        <v>0.218004</v>
      </c>
      <c r="X4181">
        <v>0.96534089999999995</v>
      </c>
      <c r="Y4181">
        <v>-0.33698470000000003</v>
      </c>
      <c r="Z4181">
        <v>3.3878350000000001E-3</v>
      </c>
      <c r="AA4181">
        <v>0.94150400000000001</v>
      </c>
      <c r="AB4181">
        <v>28</v>
      </c>
      <c r="AC4181">
        <v>115.95189999999999</v>
      </c>
      <c r="AD4181">
        <v>-1.1799919999999999</v>
      </c>
      <c r="AE4181">
        <v>-3.4401099999999998</v>
      </c>
      <c r="AF4181">
        <v>-39.176748188545098</v>
      </c>
      <c r="AG4181">
        <v>-1.1799919999999999</v>
      </c>
      <c r="AH4181">
        <v>109.174518738158</v>
      </c>
      <c r="AI4181">
        <v>90.582857953285298</v>
      </c>
      <c r="AJ4181">
        <v>109.74027905396601</v>
      </c>
      <c r="AK4181">
        <v>115.996920310227</v>
      </c>
      <c r="AL4181">
        <v>77.408174229073296</v>
      </c>
      <c r="AM4181">
        <v>98.454997465203405</v>
      </c>
      <c r="AN4181">
        <v>0.99999996397200897</v>
      </c>
    </row>
    <row r="4182" spans="1:40" x14ac:dyDescent="0.25">
      <c r="A4182" t="str">
        <f>"20190303170854293"</f>
        <v>20190303170854293</v>
      </c>
      <c r="B4182" t="str">
        <f>"1551604134287654"</f>
        <v>1551604134287654</v>
      </c>
      <c r="C4182" t="s">
        <v>40</v>
      </c>
      <c r="D4182">
        <v>4.9764169999999996</v>
      </c>
      <c r="E4182">
        <v>0.42358079999999998</v>
      </c>
      <c r="F4182" t="s">
        <v>46</v>
      </c>
      <c r="G4182">
        <v>-293.50009999999997</v>
      </c>
      <c r="H4182">
        <v>-0.05</v>
      </c>
      <c r="I4182">
        <v>14.232710000000001</v>
      </c>
      <c r="J4182">
        <v>-408.90249999999997</v>
      </c>
      <c r="K4182">
        <v>1.129894</v>
      </c>
      <c r="L4182">
        <v>16.645900000000001</v>
      </c>
      <c r="M4182">
        <v>0.93660180000000004</v>
      </c>
      <c r="N4182">
        <v>-9.5894199999999995E-3</v>
      </c>
      <c r="O4182">
        <v>-0.35026439999999998</v>
      </c>
      <c r="P4182">
        <v>0.9542273</v>
      </c>
      <c r="Q4182">
        <v>0.2118439</v>
      </c>
      <c r="R4182">
        <v>-0.21112259999999999</v>
      </c>
      <c r="S4182">
        <v>3.145203</v>
      </c>
      <c r="T4182">
        <v>-3.2066230000000001E-2</v>
      </c>
      <c r="U4182">
        <v>-6.8664550000000005E-2</v>
      </c>
      <c r="V4182">
        <v>-0.1414957</v>
      </c>
      <c r="W4182">
        <v>0.21795149999999999</v>
      </c>
      <c r="X4182">
        <v>0.96564810000000001</v>
      </c>
      <c r="Y4182">
        <v>-0.3297214</v>
      </c>
      <c r="Z4182">
        <v>3.3538510000000001E-3</v>
      </c>
      <c r="AA4182">
        <v>0.94407229999999998</v>
      </c>
      <c r="AB4182">
        <v>28</v>
      </c>
      <c r="AC4182">
        <v>115.4024</v>
      </c>
      <c r="AD4182">
        <v>-1.179894</v>
      </c>
      <c r="AE4182">
        <v>-2.4131900000000002</v>
      </c>
      <c r="AF4182">
        <v>-38.158921122948598</v>
      </c>
      <c r="AG4182">
        <v>-1.179894</v>
      </c>
      <c r="AH4182">
        <v>108.924975497331</v>
      </c>
      <c r="AI4182">
        <v>90.585714667416397</v>
      </c>
      <c r="AJ4182">
        <v>109.306530013426</v>
      </c>
      <c r="AK4182">
        <v>115.42159979056299</v>
      </c>
      <c r="AL4182">
        <v>77.411257744298595</v>
      </c>
      <c r="AM4182">
        <v>98.336184308931905</v>
      </c>
      <c r="AN4182">
        <v>1.0000000712521699</v>
      </c>
    </row>
    <row r="4183" spans="1:40" x14ac:dyDescent="0.25">
      <c r="A4183" t="str">
        <f>"20190303170854308"</f>
        <v>20190303170854308</v>
      </c>
      <c r="B4183" t="str">
        <f>"1551604134297413"</f>
        <v>1551604134297413</v>
      </c>
      <c r="C4183" t="s">
        <v>40</v>
      </c>
      <c r="D4183">
        <v>4.9861630000000003</v>
      </c>
      <c r="E4183">
        <v>0.42432629999999999</v>
      </c>
      <c r="F4183" t="s">
        <v>46</v>
      </c>
      <c r="G4183">
        <v>-309.43029999999999</v>
      </c>
      <c r="H4183">
        <v>-0.05</v>
      </c>
      <c r="I4183">
        <v>15.48827</v>
      </c>
      <c r="J4183">
        <v>-408.72210000000001</v>
      </c>
      <c r="K4183">
        <v>1.1298330000000001</v>
      </c>
      <c r="L4183">
        <v>16.58728</v>
      </c>
      <c r="M4183">
        <v>0.93957690000000005</v>
      </c>
      <c r="N4183">
        <v>-9.5752549999999995E-3</v>
      </c>
      <c r="O4183">
        <v>-0.34220420000000001</v>
      </c>
      <c r="P4183">
        <v>0.95562219999999998</v>
      </c>
      <c r="Q4183">
        <v>0.21267259999999999</v>
      </c>
      <c r="R4183">
        <v>-0.20385519999999999</v>
      </c>
      <c r="S4183">
        <v>3.144104</v>
      </c>
      <c r="T4183">
        <v>-3.729391E-2</v>
      </c>
      <c r="U4183">
        <v>-3.6590579999999998E-2</v>
      </c>
      <c r="V4183">
        <v>-0.14046639999999999</v>
      </c>
      <c r="W4183">
        <v>0.2188109</v>
      </c>
      <c r="X4183">
        <v>0.96560389999999996</v>
      </c>
      <c r="Y4183">
        <v>-0.33122069999999998</v>
      </c>
      <c r="Z4183">
        <v>4.2145430000000003E-3</v>
      </c>
      <c r="AA4183">
        <v>0.94354389999999999</v>
      </c>
      <c r="AB4183">
        <v>28</v>
      </c>
      <c r="AC4183">
        <v>99.291799999999995</v>
      </c>
      <c r="AD4183">
        <v>-1.1798329999999999</v>
      </c>
      <c r="AE4183">
        <v>-1.0990099999999901</v>
      </c>
      <c r="AF4183">
        <v>-32.942323835401602</v>
      </c>
      <c r="AG4183">
        <v>-1.1798329999999999</v>
      </c>
      <c r="AH4183">
        <v>93.659432243478193</v>
      </c>
      <c r="AI4183">
        <v>90.680838415406498</v>
      </c>
      <c r="AJ4183">
        <v>109.378026250763</v>
      </c>
      <c r="AK4183">
        <v>99.290875480856997</v>
      </c>
      <c r="AL4183">
        <v>77.360798393023103</v>
      </c>
      <c r="AM4183">
        <v>98.276759998171698</v>
      </c>
      <c r="AN4183">
        <v>0.99999995559148902</v>
      </c>
    </row>
    <row r="4184" spans="1:40" x14ac:dyDescent="0.25">
      <c r="A4184" t="str">
        <f>"20190303170854330"</f>
        <v>20190303170854330</v>
      </c>
      <c r="B4184" t="str">
        <f>"1551604134317909"</f>
        <v>1551604134317909</v>
      </c>
      <c r="C4184" t="s">
        <v>40</v>
      </c>
      <c r="D4184">
        <v>4.9749270000000001</v>
      </c>
      <c r="E4184">
        <v>0.430838</v>
      </c>
      <c r="F4184" t="s">
        <v>46</v>
      </c>
      <c r="G4184">
        <v>-306.6739</v>
      </c>
      <c r="H4184">
        <v>-0.05</v>
      </c>
      <c r="I4184">
        <v>15.978960000000001</v>
      </c>
      <c r="J4184">
        <v>-408.46699999999998</v>
      </c>
      <c r="K4184">
        <v>1.12975</v>
      </c>
      <c r="L4184">
        <v>16.50732</v>
      </c>
      <c r="M4184">
        <v>0.94360290000000002</v>
      </c>
      <c r="N4184">
        <v>-9.5548690000000006E-3</v>
      </c>
      <c r="O4184">
        <v>-0.33094179999999901</v>
      </c>
      <c r="P4184">
        <v>0.95764090000000002</v>
      </c>
      <c r="Q4184">
        <v>0.21392510000000001</v>
      </c>
      <c r="R4184">
        <v>-0.19276989999999999</v>
      </c>
      <c r="S4184">
        <v>3.1433719999999998</v>
      </c>
      <c r="T4184">
        <v>-3.6342140000000002E-2</v>
      </c>
      <c r="U4184">
        <v>-1.8737790000000001E-2</v>
      </c>
      <c r="V4184">
        <v>-0.13999210000000001</v>
      </c>
      <c r="W4184">
        <v>0.22008140000000001</v>
      </c>
      <c r="X4184">
        <v>0.96538409999999997</v>
      </c>
      <c r="Y4184">
        <v>-0.32528679999999999</v>
      </c>
      <c r="Z4184">
        <v>3.9953749999999998E-3</v>
      </c>
      <c r="AA4184">
        <v>0.94560690000000003</v>
      </c>
      <c r="AB4184">
        <v>28</v>
      </c>
      <c r="AC4184">
        <v>101.793099999999</v>
      </c>
      <c r="AD4184">
        <v>-1.1797500000000001</v>
      </c>
      <c r="AE4184">
        <v>-0.52835999999999905</v>
      </c>
      <c r="AF4184">
        <v>-33.186083984751598</v>
      </c>
      <c r="AG4184">
        <v>-1.1797500000000001</v>
      </c>
      <c r="AH4184">
        <v>96.218580026225794</v>
      </c>
      <c r="AI4184">
        <v>90.664090562529196</v>
      </c>
      <c r="AJ4184">
        <v>109.029471425674</v>
      </c>
      <c r="AK4184">
        <v>101.787637375904</v>
      </c>
      <c r="AL4184">
        <v>77.286186409082703</v>
      </c>
      <c r="AM4184">
        <v>98.251050207817897</v>
      </c>
      <c r="AN4184">
        <v>1.00000003561058</v>
      </c>
    </row>
    <row r="4185" spans="1:40" x14ac:dyDescent="0.25">
      <c r="A4185" t="str">
        <f>"20190303170854351"</f>
        <v>20190303170854351</v>
      </c>
      <c r="B4185" t="str">
        <f>"1551604134337430"</f>
        <v>1551604134337430</v>
      </c>
      <c r="C4185" t="s">
        <v>40</v>
      </c>
      <c r="D4185">
        <v>5.0038869999999998</v>
      </c>
      <c r="E4185">
        <v>0.43156810000000001</v>
      </c>
      <c r="F4185" t="s">
        <v>43</v>
      </c>
      <c r="G4185">
        <v>-338.88279999999997</v>
      </c>
      <c r="H4185" s="1">
        <v>-1.3930390000000001E-6</v>
      </c>
      <c r="I4185">
        <v>15.7572799999999</v>
      </c>
      <c r="J4185">
        <v>-408.21469999999999</v>
      </c>
      <c r="K4185">
        <v>1.1296440000000001</v>
      </c>
      <c r="L4185">
        <v>16.431339999999999</v>
      </c>
      <c r="M4185">
        <v>0.94736620000000005</v>
      </c>
      <c r="N4185">
        <v>-9.5330439999999992E-3</v>
      </c>
      <c r="O4185">
        <v>-0.32000980000000001</v>
      </c>
      <c r="P4185">
        <v>0.95942629999999995</v>
      </c>
      <c r="Q4185">
        <v>0.21480769999999999</v>
      </c>
      <c r="R4185">
        <v>-0.18264340000000001</v>
      </c>
      <c r="S4185">
        <v>3.1373289999999998</v>
      </c>
      <c r="T4185">
        <v>-5.0936820000000001E-2</v>
      </c>
      <c r="U4185">
        <v>-3.381348E-2</v>
      </c>
      <c r="V4185">
        <v>-0.13892479999999999</v>
      </c>
      <c r="W4185">
        <v>0.22100130000000001</v>
      </c>
      <c r="X4185">
        <v>0.96532810000000002</v>
      </c>
      <c r="Y4185">
        <v>-0.30972519999999998</v>
      </c>
      <c r="Z4185">
        <v>6.0202529999999997E-3</v>
      </c>
      <c r="AA4185">
        <v>0.95080699999999996</v>
      </c>
      <c r="AB4185">
        <v>28</v>
      </c>
      <c r="AC4185">
        <v>69.331900000000005</v>
      </c>
      <c r="AD4185">
        <v>-1.129645393039</v>
      </c>
      <c r="AE4185">
        <v>-0.67405999999999999</v>
      </c>
      <c r="AF4185">
        <v>-21.543567760367299</v>
      </c>
      <c r="AG4185">
        <v>-1.129645393039</v>
      </c>
      <c r="AH4185">
        <v>65.883914736969999</v>
      </c>
      <c r="AI4185">
        <v>90.933658306153305</v>
      </c>
      <c r="AJ4185">
        <v>108.10737363776499</v>
      </c>
      <c r="AK4185">
        <v>69.325980927988894</v>
      </c>
      <c r="AL4185">
        <v>77.232149141355606</v>
      </c>
      <c r="AM4185">
        <v>98.189469189458094</v>
      </c>
      <c r="AN4185">
        <v>1.0000000076531701</v>
      </c>
    </row>
    <row r="4186" spans="1:40" x14ac:dyDescent="0.25">
      <c r="A4186" t="str">
        <f>"20190303170854373"</f>
        <v>20190303170854373</v>
      </c>
      <c r="B4186" t="str">
        <f>"1551604134367686"</f>
        <v>1551604134367686</v>
      </c>
      <c r="C4186" t="s">
        <v>40</v>
      </c>
      <c r="D4186">
        <v>5.0083129999999896</v>
      </c>
      <c r="E4186">
        <v>0.43278650000000002</v>
      </c>
      <c r="F4186" t="s">
        <v>43</v>
      </c>
      <c r="G4186">
        <v>-339.34500000000003</v>
      </c>
      <c r="H4186" s="1">
        <v>-1.0925929999999999E-6</v>
      </c>
      <c r="I4186">
        <v>16.295259999999999</v>
      </c>
      <c r="J4186">
        <v>-407.94740000000002</v>
      </c>
      <c r="K4186">
        <v>1.129532</v>
      </c>
      <c r="L4186">
        <v>16.354099999999999</v>
      </c>
      <c r="M4186">
        <v>0.95113429999999999</v>
      </c>
      <c r="N4186">
        <v>-9.5079499999999994E-3</v>
      </c>
      <c r="O4186">
        <v>-0.30863190000000001</v>
      </c>
      <c r="P4186">
        <v>0.96138009999999996</v>
      </c>
      <c r="Q4186">
        <v>0.21489820000000001</v>
      </c>
      <c r="R4186">
        <v>-0.17195279999999999</v>
      </c>
      <c r="S4186">
        <v>3.1372070000000001</v>
      </c>
      <c r="T4186">
        <v>-5.1458480000000001E-2</v>
      </c>
      <c r="U4186">
        <v>-6.1950679999999998E-3</v>
      </c>
      <c r="V4186">
        <v>-0.1380315</v>
      </c>
      <c r="W4186">
        <v>0.2211255</v>
      </c>
      <c r="X4186">
        <v>0.96542779999999995</v>
      </c>
      <c r="Y4186">
        <v>-0.30669610000000003</v>
      </c>
      <c r="Z4186">
        <v>6.0002969999999999E-3</v>
      </c>
      <c r="AA4186">
        <v>0.95178859999999998</v>
      </c>
      <c r="AB4186">
        <v>28</v>
      </c>
      <c r="AC4186">
        <v>68.602399999999903</v>
      </c>
      <c r="AD4186">
        <v>-1.1295330925929901</v>
      </c>
      <c r="AE4186">
        <v>-5.8839999999999899E-2</v>
      </c>
      <c r="AF4186">
        <v>-21.112150152177101</v>
      </c>
      <c r="AG4186">
        <v>-1.1295330925929901</v>
      </c>
      <c r="AH4186">
        <v>65.253499607972202</v>
      </c>
      <c r="AI4186">
        <v>90.943540571962004</v>
      </c>
      <c r="AJ4186">
        <v>107.928495080033</v>
      </c>
      <c r="AK4186">
        <v>68.593133330844196</v>
      </c>
      <c r="AL4186">
        <v>77.224852504552203</v>
      </c>
      <c r="AM4186">
        <v>98.136688518935699</v>
      </c>
      <c r="AN4186">
        <v>1.00000000937767</v>
      </c>
    </row>
    <row r="4187" spans="1:40" x14ac:dyDescent="0.25">
      <c r="A4187" t="str">
        <f>"20190303170854396"</f>
        <v>20190303170854396</v>
      </c>
      <c r="B4187" t="str">
        <f>"1551604134388181"</f>
        <v>1551604134388181</v>
      </c>
      <c r="C4187" t="s">
        <v>40</v>
      </c>
      <c r="D4187">
        <v>5.0199170000000004</v>
      </c>
      <c r="E4187">
        <v>0.43396030000000002</v>
      </c>
      <c r="F4187" t="s">
        <v>43</v>
      </c>
      <c r="G4187">
        <v>-341.81270000000001</v>
      </c>
      <c r="H4187" s="1">
        <v>-4.0020659999999997E-6</v>
      </c>
      <c r="I4187">
        <v>16.75562</v>
      </c>
      <c r="J4187">
        <v>-407.67070000000001</v>
      </c>
      <c r="K4187">
        <v>1.129416</v>
      </c>
      <c r="L4187">
        <v>16.2775</v>
      </c>
      <c r="M4187">
        <v>0.95480560000000003</v>
      </c>
      <c r="N4187">
        <v>-9.4814340000000004E-3</v>
      </c>
      <c r="O4187">
        <v>-0.2970796</v>
      </c>
      <c r="P4187">
        <v>0.96339770000000002</v>
      </c>
      <c r="Q4187">
        <v>0.2149015</v>
      </c>
      <c r="R4187">
        <v>-0.16025739999999999</v>
      </c>
      <c r="S4187">
        <v>3.1358950000000001</v>
      </c>
      <c r="T4187">
        <v>-5.3558950000000001E-2</v>
      </c>
      <c r="U4187">
        <v>1.9042969999999999E-2</v>
      </c>
      <c r="V4187">
        <v>-0.13799410000000001</v>
      </c>
      <c r="W4187">
        <v>0.22114320000000001</v>
      </c>
      <c r="X4187">
        <v>0.96542910000000004</v>
      </c>
      <c r="Y4187">
        <v>-0.30281010000000003</v>
      </c>
      <c r="Z4187">
        <v>6.1888999999999998E-3</v>
      </c>
      <c r="AA4187">
        <v>0.95303079999999996</v>
      </c>
      <c r="AB4187">
        <v>28</v>
      </c>
      <c r="AC4187">
        <v>65.858000000000004</v>
      </c>
      <c r="AD4187">
        <v>-1.1294200020659999</v>
      </c>
      <c r="AE4187">
        <v>0.47811999999999999</v>
      </c>
      <c r="AF4187">
        <v>-20.0165942021337</v>
      </c>
      <c r="AG4187">
        <v>-1.1294200020659999</v>
      </c>
      <c r="AH4187">
        <v>62.723924184864302</v>
      </c>
      <c r="AI4187">
        <v>90.9827504072925</v>
      </c>
      <c r="AJ4187">
        <v>107.699035461885</v>
      </c>
      <c r="AK4187">
        <v>65.850059211382401</v>
      </c>
      <c r="AL4187">
        <v>77.223812722216707</v>
      </c>
      <c r="AM4187">
        <v>98.134502565068203</v>
      </c>
      <c r="AN4187">
        <v>1.00000001683393</v>
      </c>
    </row>
    <row r="4188" spans="1:40" x14ac:dyDescent="0.25">
      <c r="A4188" t="str">
        <f>"20190303170854419"</f>
        <v>20190303170854419</v>
      </c>
      <c r="B4188" t="str">
        <f>"1551604134407702"</f>
        <v>1551604134407702</v>
      </c>
      <c r="C4188" t="s">
        <v>40</v>
      </c>
      <c r="D4188">
        <v>5.0167449999999896</v>
      </c>
      <c r="E4188">
        <v>0.44068180000000001</v>
      </c>
      <c r="F4188" t="s">
        <v>43</v>
      </c>
      <c r="G4188">
        <v>-345.69490000000002</v>
      </c>
      <c r="H4188" s="1">
        <v>-2.2556270000000002E-6</v>
      </c>
      <c r="I4188">
        <v>17.212050000000001</v>
      </c>
      <c r="J4188">
        <v>-407.40210000000002</v>
      </c>
      <c r="K4188">
        <v>1.129294</v>
      </c>
      <c r="L4188">
        <v>16.206240000000001</v>
      </c>
      <c r="M4188">
        <v>0.95815490000000003</v>
      </c>
      <c r="N4188">
        <v>-9.4552439999999998E-3</v>
      </c>
      <c r="O4188">
        <v>-0.28609370000000001</v>
      </c>
      <c r="P4188">
        <v>0.96489950000000002</v>
      </c>
      <c r="Q4188">
        <v>0.21657650000000001</v>
      </c>
      <c r="R4188">
        <v>-0.1485379</v>
      </c>
      <c r="S4188">
        <v>3.1345830000000001</v>
      </c>
      <c r="T4188">
        <v>-5.7123180000000003E-2</v>
      </c>
      <c r="U4188">
        <v>4.7271729999999998E-2</v>
      </c>
      <c r="V4188">
        <v>-0.1384996</v>
      </c>
      <c r="W4188">
        <v>0.2228193</v>
      </c>
      <c r="X4188">
        <v>0.96497120000000003</v>
      </c>
      <c r="Y4188">
        <v>-0.30043740000000002</v>
      </c>
      <c r="Z4188">
        <v>6.5855590000000004E-3</v>
      </c>
      <c r="AA4188">
        <v>0.95377880000000004</v>
      </c>
      <c r="AB4188">
        <v>28</v>
      </c>
      <c r="AC4188">
        <v>61.7072</v>
      </c>
      <c r="AD4188">
        <v>-1.1292962556270001</v>
      </c>
      <c r="AE4188">
        <v>1.0058100000000001</v>
      </c>
      <c r="AF4188">
        <v>-18.612364872075801</v>
      </c>
      <c r="AG4188">
        <v>-1.1292962556270001</v>
      </c>
      <c r="AH4188">
        <v>58.8202407328994</v>
      </c>
      <c r="AI4188">
        <v>91.048658038545398</v>
      </c>
      <c r="AJ4188">
        <v>107.558824070265</v>
      </c>
      <c r="AK4188">
        <v>61.7050739894256</v>
      </c>
      <c r="AL4188">
        <v>77.125321759302395</v>
      </c>
      <c r="AM4188">
        <v>98.167721598356906</v>
      </c>
      <c r="AN4188">
        <v>0.99999999824104502</v>
      </c>
    </row>
    <row r="4189" spans="1:40" x14ac:dyDescent="0.25">
      <c r="A4189" t="str">
        <f>"20190303170854441"</f>
        <v>20190303170854441</v>
      </c>
      <c r="B4189" t="str">
        <f>"1551604134427222"</f>
        <v>1551604134427222</v>
      </c>
      <c r="C4189" t="s">
        <v>40</v>
      </c>
      <c r="D4189">
        <v>5.0137929999999997</v>
      </c>
      <c r="E4189">
        <v>0.44201190000000001</v>
      </c>
      <c r="F4189" t="s">
        <v>43</v>
      </c>
      <c r="G4189">
        <v>-348.29570000000001</v>
      </c>
      <c r="H4189" s="1">
        <v>-1.312849E-6</v>
      </c>
      <c r="I4189">
        <v>16.809439999999999</v>
      </c>
      <c r="J4189">
        <v>-407.13290000000001</v>
      </c>
      <c r="K4189">
        <v>1.129167</v>
      </c>
      <c r="L4189">
        <v>16.137820000000001</v>
      </c>
      <c r="M4189">
        <v>0.96130780000000005</v>
      </c>
      <c r="N4189">
        <v>-9.4275810000000008E-3</v>
      </c>
      <c r="O4189">
        <v>-0.2753158</v>
      </c>
      <c r="P4189">
        <v>0.96630669999999996</v>
      </c>
      <c r="Q4189">
        <v>0.21760070000000001</v>
      </c>
      <c r="R4189">
        <v>-0.13748389999999999</v>
      </c>
      <c r="S4189">
        <v>3.127472</v>
      </c>
      <c r="T4189">
        <v>-5.9753889999999997E-2</v>
      </c>
      <c r="U4189">
        <v>3.1921390000000001E-2</v>
      </c>
      <c r="V4189">
        <v>-0.13859369999999999</v>
      </c>
      <c r="W4189">
        <v>0.22385579999999999</v>
      </c>
      <c r="X4189">
        <v>0.96471770000000001</v>
      </c>
      <c r="Y4189">
        <v>-0.28503630000000002</v>
      </c>
      <c r="Z4189">
        <v>6.6560329999999996E-3</v>
      </c>
      <c r="AA4189">
        <v>0.95849359999999995</v>
      </c>
      <c r="AB4189">
        <v>28</v>
      </c>
      <c r="AC4189">
        <v>58.837200000000003</v>
      </c>
      <c r="AD4189">
        <v>-1.129168312849</v>
      </c>
      <c r="AE4189">
        <v>0.671619999999997</v>
      </c>
      <c r="AF4189">
        <v>-16.8389887921448</v>
      </c>
      <c r="AG4189">
        <v>-1.129168312849</v>
      </c>
      <c r="AH4189">
        <v>56.357492842554997</v>
      </c>
      <c r="AI4189">
        <v>91.099784483228106</v>
      </c>
      <c r="AJ4189">
        <v>106.63555743875</v>
      </c>
      <c r="AK4189">
        <v>58.830209621582597</v>
      </c>
      <c r="AL4189">
        <v>77.064394951962598</v>
      </c>
      <c r="AM4189">
        <v>98.175314648505406</v>
      </c>
      <c r="AN4189">
        <v>0.99999993678330801</v>
      </c>
    </row>
    <row r="4190" spans="1:40" x14ac:dyDescent="0.25">
      <c r="A4190" t="str">
        <f>"20190303170854465"</f>
        <v>20190303170854465</v>
      </c>
      <c r="B4190" t="str">
        <f>"1551604134457478"</f>
        <v>1551604134457478</v>
      </c>
      <c r="C4190" t="s">
        <v>40</v>
      </c>
      <c r="D4190">
        <v>5.0496589999999903</v>
      </c>
      <c r="E4190">
        <v>0.44329259999999898</v>
      </c>
      <c r="F4190" t="s">
        <v>43</v>
      </c>
      <c r="G4190">
        <v>-352.31920000000002</v>
      </c>
      <c r="H4190" s="1">
        <v>-3.7147580000000001E-6</v>
      </c>
      <c r="I4190">
        <v>17.150300000000001</v>
      </c>
      <c r="J4190">
        <v>-406.84640000000002</v>
      </c>
      <c r="K4190">
        <v>1.1290230000000001</v>
      </c>
      <c r="L4190">
        <v>16.068149999999999</v>
      </c>
      <c r="M4190">
        <v>0.96445020000000004</v>
      </c>
      <c r="N4190">
        <v>-9.3972689999999998E-3</v>
      </c>
      <c r="O4190">
        <v>-0.26409779999999999</v>
      </c>
      <c r="P4190">
        <v>0.9676631</v>
      </c>
      <c r="Q4190">
        <v>0.2183224</v>
      </c>
      <c r="R4190">
        <v>-0.1263476</v>
      </c>
      <c r="S4190">
        <v>3.1272890000000002</v>
      </c>
      <c r="T4190">
        <v>-6.4422610000000005E-2</v>
      </c>
      <c r="U4190">
        <v>5.776978E-2</v>
      </c>
      <c r="V4190">
        <v>-0.1383537</v>
      </c>
      <c r="W4190">
        <v>0.2246002</v>
      </c>
      <c r="X4190">
        <v>0.96457919999999997</v>
      </c>
      <c r="Y4190">
        <v>-0.28177609999999997</v>
      </c>
      <c r="Z4190">
        <v>7.1172249999999996E-3</v>
      </c>
      <c r="AA4190">
        <v>0.95945380000000002</v>
      </c>
      <c r="AB4190">
        <v>28</v>
      </c>
      <c r="AC4190">
        <v>54.527199999999901</v>
      </c>
      <c r="AD4190">
        <v>-1.129026714758</v>
      </c>
      <c r="AE4190">
        <v>1.0821499999999999</v>
      </c>
      <c r="AF4190">
        <v>-15.438257987617201</v>
      </c>
      <c r="AG4190">
        <v>-1.129026714758</v>
      </c>
      <c r="AH4190">
        <v>52.282874959634</v>
      </c>
      <c r="AI4190">
        <v>91.186457381600306</v>
      </c>
      <c r="AJ4190">
        <v>106.450988599542</v>
      </c>
      <c r="AK4190">
        <v>54.526264543425199</v>
      </c>
      <c r="AL4190">
        <v>77.020630586624506</v>
      </c>
      <c r="AM4190">
        <v>98.162504562702495</v>
      </c>
      <c r="AN4190">
        <v>1.00000001460818</v>
      </c>
    </row>
    <row r="4191" spans="1:40" x14ac:dyDescent="0.25">
      <c r="A4191" t="str">
        <f>"20190303170854487"</f>
        <v>20190303170854487</v>
      </c>
      <c r="B4191" t="str">
        <f>"1551604134477974"</f>
        <v>1551604134477974</v>
      </c>
      <c r="C4191" t="s">
        <v>40</v>
      </c>
      <c r="D4191">
        <v>5.0270900000000003</v>
      </c>
      <c r="E4191">
        <v>0.44878570000000001</v>
      </c>
      <c r="F4191" t="s">
        <v>43</v>
      </c>
      <c r="G4191">
        <v>-354.6814</v>
      </c>
      <c r="H4191" s="1">
        <v>-2.646415E-6</v>
      </c>
      <c r="I4191">
        <v>17.460190000000001</v>
      </c>
      <c r="J4191">
        <v>-406.57749999999999</v>
      </c>
      <c r="K4191">
        <v>1.1288800000000001</v>
      </c>
      <c r="L4191">
        <v>16.005710000000001</v>
      </c>
      <c r="M4191">
        <v>0.9672096</v>
      </c>
      <c r="N4191">
        <v>-9.3691369999999996E-3</v>
      </c>
      <c r="O4191">
        <v>-0.2538068</v>
      </c>
      <c r="P4191">
        <v>0.96913039999999995</v>
      </c>
      <c r="Q4191">
        <v>0.21778059999999999</v>
      </c>
      <c r="R4191">
        <v>-0.11557779999999999</v>
      </c>
      <c r="S4191">
        <v>3.1264340000000002</v>
      </c>
      <c r="T4191">
        <v>-6.7666530000000003E-2</v>
      </c>
      <c r="U4191">
        <v>8.3435060000000005E-2</v>
      </c>
      <c r="V4191">
        <v>-0.1387487</v>
      </c>
      <c r="W4191">
        <v>0.22406860000000001</v>
      </c>
      <c r="X4191">
        <v>0.96464609999999995</v>
      </c>
      <c r="Y4191">
        <v>-0.2794199</v>
      </c>
      <c r="Z4191">
        <v>7.387696E-3</v>
      </c>
      <c r="AA4191">
        <v>0.96014060000000001</v>
      </c>
      <c r="AB4191">
        <v>28</v>
      </c>
      <c r="AC4191">
        <v>51.896099999999898</v>
      </c>
      <c r="AD4191">
        <v>-1.1288826464149999</v>
      </c>
      <c r="AE4191">
        <v>1.45448</v>
      </c>
      <c r="AF4191">
        <v>-14.5721195294098</v>
      </c>
      <c r="AG4191">
        <v>-1.1288826464149999</v>
      </c>
      <c r="AH4191">
        <v>49.803886335491903</v>
      </c>
      <c r="AI4191">
        <v>91.246243766022602</v>
      </c>
      <c r="AJ4191">
        <v>106.308948550606</v>
      </c>
      <c r="AK4191">
        <v>51.9042208084023</v>
      </c>
      <c r="AL4191">
        <v>77.051885699449699</v>
      </c>
      <c r="AM4191">
        <v>98.184933178462998</v>
      </c>
      <c r="AN4191">
        <v>1.00000001875142</v>
      </c>
    </row>
    <row r="4192" spans="1:40" x14ac:dyDescent="0.25">
      <c r="A4192" t="str">
        <f>"20190303170854512"</f>
        <v>20190303170854512</v>
      </c>
      <c r="B4192" t="str">
        <f>"1551604134497493"</f>
        <v>1551604134497493</v>
      </c>
      <c r="C4192" t="s">
        <v>40</v>
      </c>
      <c r="D4192">
        <v>5.0247909999999996</v>
      </c>
      <c r="E4192">
        <v>0.44901039999999998</v>
      </c>
      <c r="F4192" t="s">
        <v>100</v>
      </c>
      <c r="G4192">
        <v>-366.36619999999999</v>
      </c>
      <c r="H4192" s="1">
        <v>-2.1891619999999999E-6</v>
      </c>
      <c r="I4192">
        <v>16.960989999999999</v>
      </c>
      <c r="J4192">
        <v>-406.28339999999997</v>
      </c>
      <c r="K4192">
        <v>1.128735</v>
      </c>
      <c r="L4192">
        <v>15.94064</v>
      </c>
      <c r="M4192">
        <v>0.97002889999999997</v>
      </c>
      <c r="N4192">
        <v>-9.34514E-3</v>
      </c>
      <c r="O4192">
        <v>-0.24280969999999999</v>
      </c>
      <c r="P4192">
        <v>0.97048380000000001</v>
      </c>
      <c r="Q4192">
        <v>0.21712210000000001</v>
      </c>
      <c r="R4192">
        <v>-0.1049726</v>
      </c>
      <c r="S4192">
        <v>3.1241150000000002</v>
      </c>
      <c r="T4192">
        <v>-8.7705610000000003E-2</v>
      </c>
      <c r="U4192">
        <v>7.421875E-2</v>
      </c>
      <c r="V4192">
        <v>-0.13828779999999999</v>
      </c>
      <c r="W4192">
        <v>0.22344639999999999</v>
      </c>
      <c r="X4192">
        <v>0.96485659999999895</v>
      </c>
      <c r="Y4192">
        <v>-0.26561079999999998</v>
      </c>
      <c r="Z4192">
        <v>9.4520000000000003E-3</v>
      </c>
      <c r="AA4192">
        <v>0.96403399999999995</v>
      </c>
      <c r="AB4192">
        <v>28</v>
      </c>
      <c r="AC4192">
        <v>39.917199999999902</v>
      </c>
      <c r="AD4192">
        <v>-1.1287371891619999</v>
      </c>
      <c r="AE4192">
        <v>1.0203499999999901</v>
      </c>
      <c r="AF4192">
        <v>-10.673989882380599</v>
      </c>
      <c r="AG4192">
        <v>-1.1287371891619999</v>
      </c>
      <c r="AH4192">
        <v>38.444048506330503</v>
      </c>
      <c r="AI4192">
        <v>91.620483557639901</v>
      </c>
      <c r="AJ4192">
        <v>105.517313824955</v>
      </c>
      <c r="AK4192">
        <v>39.914320402688197</v>
      </c>
      <c r="AL4192">
        <v>77.088462744308998</v>
      </c>
      <c r="AM4192">
        <v>98.156354908322299</v>
      </c>
      <c r="AN4192">
        <v>1.00000003393267</v>
      </c>
    </row>
    <row r="4193" spans="1:40" x14ac:dyDescent="0.25">
      <c r="A4193" t="str">
        <f>"20190303170854530"</f>
        <v>20190303170854530</v>
      </c>
      <c r="B4193" t="str">
        <f>"1551604134517990"</f>
        <v>1551604134517990</v>
      </c>
      <c r="C4193" t="s">
        <v>40</v>
      </c>
      <c r="D4193">
        <v>5.0437949999999896</v>
      </c>
      <c r="E4193">
        <v>0.45269350000000003</v>
      </c>
      <c r="F4193" t="s">
        <v>100</v>
      </c>
      <c r="G4193">
        <v>-367.45830000000001</v>
      </c>
      <c r="H4193" s="1">
        <v>-1.6208779999999901E-6</v>
      </c>
      <c r="I4193">
        <v>17.25451</v>
      </c>
      <c r="J4193">
        <v>-406.04340000000002</v>
      </c>
      <c r="K4193">
        <v>1.1286210000000001</v>
      </c>
      <c r="L4193">
        <v>15.889860000000001</v>
      </c>
      <c r="M4193">
        <v>0.97218700000000002</v>
      </c>
      <c r="N4193">
        <v>-9.3342660000000008E-3</v>
      </c>
      <c r="O4193">
        <v>-0.23402039999999999</v>
      </c>
      <c r="P4193">
        <v>0.97126020000000002</v>
      </c>
      <c r="Q4193">
        <v>0.2171757</v>
      </c>
      <c r="R4193">
        <v>-9.7410670000000005E-2</v>
      </c>
      <c r="S4193">
        <v>3.1229550000000001</v>
      </c>
      <c r="T4193">
        <v>-9.0791460000000004E-2</v>
      </c>
      <c r="U4193">
        <v>0.105682399999999</v>
      </c>
      <c r="V4193">
        <v>-0.1370034</v>
      </c>
      <c r="W4193">
        <v>0.22355320000000001</v>
      </c>
      <c r="X4193">
        <v>0.96501510000000001</v>
      </c>
      <c r="Y4193">
        <v>-0.26658589999999999</v>
      </c>
      <c r="Z4193">
        <v>9.6803740000000003E-3</v>
      </c>
      <c r="AA4193">
        <v>0.96376249999999997</v>
      </c>
      <c r="AB4193">
        <v>29</v>
      </c>
      <c r="AC4193">
        <v>38.585099999999997</v>
      </c>
      <c r="AD4193">
        <v>-1.1286226208779999</v>
      </c>
      <c r="AE4193">
        <v>1.3646499999999899</v>
      </c>
      <c r="AF4193">
        <v>-10.3480030501306</v>
      </c>
      <c r="AG4193">
        <v>-1.1286226208779999</v>
      </c>
      <c r="AH4193">
        <v>37.162437058576401</v>
      </c>
      <c r="AI4193">
        <v>91.675820065134701</v>
      </c>
      <c r="AJ4193">
        <v>105.56003650759899</v>
      </c>
      <c r="AK4193">
        <v>38.5927672534443</v>
      </c>
      <c r="AL4193">
        <v>77.082185011062194</v>
      </c>
      <c r="AM4193">
        <v>98.080295232366794</v>
      </c>
      <c r="AN4193">
        <v>1.0000000540349001</v>
      </c>
    </row>
    <row r="4194" spans="1:40" x14ac:dyDescent="0.25">
      <c r="A4194" t="str">
        <f>"20190303170854554"</f>
        <v>20190303170854554</v>
      </c>
      <c r="B4194" t="str">
        <f>"1551604134547270"</f>
        <v>1551604134547270</v>
      </c>
      <c r="C4194" t="s">
        <v>40</v>
      </c>
      <c r="D4194">
        <v>5.0218249999999998</v>
      </c>
      <c r="E4194">
        <v>0.45398909999999998</v>
      </c>
      <c r="F4194" t="s">
        <v>101</v>
      </c>
      <c r="G4194">
        <v>-373.35669999999999</v>
      </c>
      <c r="H4194" s="1">
        <v>-3.5926819999999999E-6</v>
      </c>
      <c r="I4194">
        <v>16.956019999999999</v>
      </c>
      <c r="J4194">
        <v>-405.74919999999997</v>
      </c>
      <c r="K4194">
        <v>1.1285099999999999</v>
      </c>
      <c r="L4194">
        <v>15.830690000000001</v>
      </c>
      <c r="M4194">
        <v>0.9746726</v>
      </c>
      <c r="N4194">
        <v>-9.3307159999999993E-3</v>
      </c>
      <c r="O4194">
        <v>-0.22344159999999999</v>
      </c>
      <c r="P4194">
        <v>0.97202390000000005</v>
      </c>
      <c r="Q4194">
        <v>0.2175511</v>
      </c>
      <c r="R4194">
        <v>-8.8551290000000005E-2</v>
      </c>
      <c r="S4194">
        <v>3.1231080000000002</v>
      </c>
      <c r="T4194">
        <v>-0.1078365</v>
      </c>
      <c r="U4194">
        <v>0.10186770000000001</v>
      </c>
      <c r="V4194">
        <v>-0.13523579999999999</v>
      </c>
      <c r="W4194">
        <v>0.22399849999999999</v>
      </c>
      <c r="X4194">
        <v>0.96516109999999999</v>
      </c>
      <c r="Y4194">
        <v>-0.25484659999999998</v>
      </c>
      <c r="Z4194">
        <v>1.1160079999999999E-2</v>
      </c>
      <c r="AA4194">
        <v>0.96691709999999997</v>
      </c>
      <c r="AB4194">
        <v>29</v>
      </c>
      <c r="AC4194">
        <v>32.392499999999899</v>
      </c>
      <c r="AD4194">
        <v>-1.128513592682</v>
      </c>
      <c r="AE4194">
        <v>1.1253299999999999</v>
      </c>
      <c r="AF4194">
        <v>-8.3249315536156203</v>
      </c>
      <c r="AG4194">
        <v>-1.128513592682</v>
      </c>
      <c r="AH4194">
        <v>31.284077048922601</v>
      </c>
      <c r="AI4194">
        <v>91.996518689112406</v>
      </c>
      <c r="AJ4194">
        <v>104.901508999299</v>
      </c>
      <c r="AK4194">
        <v>32.3924606213263</v>
      </c>
      <c r="AL4194">
        <v>77.056006631796294</v>
      </c>
      <c r="AM4194">
        <v>97.976203785887193</v>
      </c>
      <c r="AN4194">
        <v>0.99999999927854899</v>
      </c>
    </row>
    <row r="4195" spans="1:40" x14ac:dyDescent="0.25">
      <c r="A4195" t="str">
        <f>"20190303170854576"</f>
        <v>20190303170854576</v>
      </c>
      <c r="B4195" t="str">
        <f>"1551604134567766"</f>
        <v>1551604134567766</v>
      </c>
      <c r="C4195" t="s">
        <v>40</v>
      </c>
      <c r="D4195">
        <v>5.0112579999999998</v>
      </c>
      <c r="E4195">
        <v>0.45838210000000001</v>
      </c>
      <c r="F4195" t="s">
        <v>101</v>
      </c>
      <c r="G4195">
        <v>-372.64080000000001</v>
      </c>
      <c r="H4195" s="1">
        <v>-3.9046800000000004E-6</v>
      </c>
      <c r="I4195">
        <v>17.104879999999898</v>
      </c>
      <c r="J4195">
        <v>-405.47210000000001</v>
      </c>
      <c r="K4195">
        <v>1.128414</v>
      </c>
      <c r="L4195">
        <v>15.77774</v>
      </c>
      <c r="M4195">
        <v>0.97686379999999995</v>
      </c>
      <c r="N4195">
        <v>-9.3417459999999997E-3</v>
      </c>
      <c r="O4195">
        <v>-0.2136584</v>
      </c>
      <c r="P4195">
        <v>0.97287199999999996</v>
      </c>
      <c r="Q4195">
        <v>0.2169343</v>
      </c>
      <c r="R4195">
        <v>-8.0372940000000004E-2</v>
      </c>
      <c r="S4195">
        <v>3.1210939999999998</v>
      </c>
      <c r="T4195">
        <v>-0.1063839</v>
      </c>
      <c r="U4195">
        <v>0.12011719999999999</v>
      </c>
      <c r="V4195">
        <v>-0.1336368</v>
      </c>
      <c r="W4195">
        <v>0.22345789999999999</v>
      </c>
      <c r="X4195">
        <v>0.96550910000000001</v>
      </c>
      <c r="Y4195">
        <v>-0.25082949999999998</v>
      </c>
      <c r="Z4195">
        <v>1.0682860000000001E-2</v>
      </c>
      <c r="AA4195">
        <v>0.96797230000000001</v>
      </c>
      <c r="AB4195">
        <v>29</v>
      </c>
      <c r="AC4195">
        <v>32.831299999999999</v>
      </c>
      <c r="AD4195">
        <v>-1.12841790468</v>
      </c>
      <c r="AE4195">
        <v>1.32713999999999</v>
      </c>
      <c r="AF4195">
        <v>-8.30168958987195</v>
      </c>
      <c r="AG4195">
        <v>-1.12841790468</v>
      </c>
      <c r="AH4195">
        <v>31.752092126861299</v>
      </c>
      <c r="AI4195">
        <v>91.969204579765304</v>
      </c>
      <c r="AJ4195">
        <v>104.652184560487</v>
      </c>
      <c r="AK4195">
        <v>32.838799177906601</v>
      </c>
      <c r="AL4195">
        <v>77.087786630130594</v>
      </c>
      <c r="AM4195">
        <v>97.880281820543701</v>
      </c>
      <c r="AN4195">
        <v>1.0000000247847201</v>
      </c>
    </row>
    <row r="4196" spans="1:40" x14ac:dyDescent="0.25">
      <c r="A4196" t="str">
        <f>"20190303170854598"</f>
        <v>20190303170854598</v>
      </c>
      <c r="B4196" t="str">
        <f>"1551604134587286"</f>
        <v>1551604134587286</v>
      </c>
      <c r="C4196" t="s">
        <v>40</v>
      </c>
      <c r="D4196">
        <v>5.0067380000000004</v>
      </c>
      <c r="E4196">
        <v>0.46009909999999998</v>
      </c>
      <c r="F4196" t="s">
        <v>101</v>
      </c>
      <c r="G4196">
        <v>-376.47629999999998</v>
      </c>
      <c r="H4196" s="1">
        <v>-2.143444E-6</v>
      </c>
      <c r="I4196">
        <v>16.81269</v>
      </c>
      <c r="J4196">
        <v>-405.19600000000003</v>
      </c>
      <c r="K4196">
        <v>1.12832</v>
      </c>
      <c r="L4196">
        <v>15.72766</v>
      </c>
      <c r="M4196">
        <v>0.97890580000000005</v>
      </c>
      <c r="N4196">
        <v>-9.3646519999999994E-3</v>
      </c>
      <c r="O4196">
        <v>-0.20409740000000001</v>
      </c>
      <c r="P4196">
        <v>0.9736167</v>
      </c>
      <c r="Q4196">
        <v>0.21626970000000001</v>
      </c>
      <c r="R4196">
        <v>-7.2786240000000002E-2</v>
      </c>
      <c r="S4196">
        <v>3.119904</v>
      </c>
      <c r="T4196">
        <v>-0.1214161</v>
      </c>
      <c r="U4196">
        <v>0.1113586</v>
      </c>
      <c r="V4196">
        <v>-0.1316832</v>
      </c>
      <c r="W4196">
        <v>0.22288759999999999</v>
      </c>
      <c r="X4196">
        <v>0.96590920000000002</v>
      </c>
      <c r="Y4196">
        <v>-0.23858460000000001</v>
      </c>
      <c r="Z4196">
        <v>1.17409E-2</v>
      </c>
      <c r="AA4196">
        <v>0.97105070000000004</v>
      </c>
      <c r="AB4196">
        <v>29</v>
      </c>
      <c r="AC4196">
        <v>28.7196999999999</v>
      </c>
      <c r="AD4196">
        <v>-1.1283221434440001</v>
      </c>
      <c r="AE4196">
        <v>1.0850299999999899</v>
      </c>
      <c r="AF4196">
        <v>-6.91340620912157</v>
      </c>
      <c r="AG4196">
        <v>-1.1283221434440001</v>
      </c>
      <c r="AH4196">
        <v>27.850725766488299</v>
      </c>
      <c r="AI4196">
        <v>92.251704124745402</v>
      </c>
      <c r="AJ4196">
        <v>103.94079558715799</v>
      </c>
      <c r="AK4196">
        <v>28.718134026984501</v>
      </c>
      <c r="AL4196">
        <v>77.121307071773103</v>
      </c>
      <c r="AM4196">
        <v>97.763320487286705</v>
      </c>
      <c r="AN4196">
        <v>0.99999996502031896</v>
      </c>
    </row>
    <row r="4197" spans="1:40" x14ac:dyDescent="0.25">
      <c r="A4197" t="str">
        <f>"20190303170854619"</f>
        <v>20190303170854619</v>
      </c>
      <c r="B4197" t="str">
        <f>"1551604134607782"</f>
        <v>1551604134607782</v>
      </c>
      <c r="C4197" t="s">
        <v>40</v>
      </c>
      <c r="D4197">
        <v>4.9952959999999997</v>
      </c>
      <c r="E4197">
        <v>0.4608218</v>
      </c>
      <c r="F4197" t="s">
        <v>101</v>
      </c>
      <c r="G4197">
        <v>-376.84980000000002</v>
      </c>
      <c r="H4197" s="1">
        <v>-1.9629939999999999E-6</v>
      </c>
      <c r="I4197">
        <v>16.834669999999999</v>
      </c>
      <c r="J4197">
        <v>-404.92970000000003</v>
      </c>
      <c r="K4197">
        <v>1.1282160000000001</v>
      </c>
      <c r="L4197">
        <v>15.681699999999999</v>
      </c>
      <c r="M4197">
        <v>0.98074629999999996</v>
      </c>
      <c r="N4197">
        <v>-9.3938649999999995E-3</v>
      </c>
      <c r="O4197">
        <v>-0.1950605</v>
      </c>
      <c r="P4197">
        <v>0.97438440000000004</v>
      </c>
      <c r="Q4197">
        <v>0.21488380000000001</v>
      </c>
      <c r="R4197">
        <v>-6.6334039999999997E-2</v>
      </c>
      <c r="S4197">
        <v>3.11795</v>
      </c>
      <c r="T4197">
        <v>-0.1241101</v>
      </c>
      <c r="U4197">
        <v>0.1217651</v>
      </c>
      <c r="V4197">
        <v>-0.12914229999999999</v>
      </c>
      <c r="W4197">
        <v>0.22161800000000001</v>
      </c>
      <c r="X4197">
        <v>0.96654419999999996</v>
      </c>
      <c r="Y4197">
        <v>-0.23287759999999999</v>
      </c>
      <c r="Z4197">
        <v>1.161585E-2</v>
      </c>
      <c r="AA4197">
        <v>0.97243670000000004</v>
      </c>
      <c r="AB4197">
        <v>29</v>
      </c>
      <c r="AC4197">
        <v>28.079899999999999</v>
      </c>
      <c r="AD4197">
        <v>-1.1282179629939999</v>
      </c>
      <c r="AE4197">
        <v>1.1529700000000001</v>
      </c>
      <c r="AF4197">
        <v>-6.5977084718710097</v>
      </c>
      <c r="AG4197">
        <v>-1.1282179629939999</v>
      </c>
      <c r="AH4197">
        <v>27.271610810420999</v>
      </c>
      <c r="AI4197">
        <v>92.3026066506322</v>
      </c>
      <c r="AJ4197">
        <v>103.600022736234</v>
      </c>
      <c r="AK4197">
        <v>28.0810147438958</v>
      </c>
      <c r="AL4197">
        <v>77.195916045317006</v>
      </c>
      <c r="AM4197">
        <v>97.610353413038595</v>
      </c>
      <c r="AN4197">
        <v>0.99999998106346399</v>
      </c>
    </row>
    <row r="4198" spans="1:40" x14ac:dyDescent="0.25">
      <c r="A4198" t="str">
        <f>"20190303170854642"</f>
        <v>20190303170854642</v>
      </c>
      <c r="B4198" t="str">
        <f>"1551604134638038"</f>
        <v>1551604134638038</v>
      </c>
      <c r="C4198" t="s">
        <v>40</v>
      </c>
      <c r="D4198">
        <v>5.0045099999999998</v>
      </c>
      <c r="E4198">
        <v>0.4670993</v>
      </c>
      <c r="F4198" t="s">
        <v>101</v>
      </c>
      <c r="G4198">
        <v>-378.05450000000002</v>
      </c>
      <c r="H4198" s="1">
        <v>-1.4632299999999901E-6</v>
      </c>
      <c r="I4198">
        <v>16.865469999999998</v>
      </c>
      <c r="J4198">
        <v>-404.64530000000002</v>
      </c>
      <c r="K4198">
        <v>1.128088</v>
      </c>
      <c r="L4198">
        <v>15.635249999999999</v>
      </c>
      <c r="M4198">
        <v>0.98257450000000002</v>
      </c>
      <c r="N4198">
        <v>-9.4340699999999993E-3</v>
      </c>
      <c r="O4198">
        <v>-0.1856305</v>
      </c>
      <c r="P4198">
        <v>0.97514259999999997</v>
      </c>
      <c r="Q4198">
        <v>0.2134276</v>
      </c>
      <c r="R4198">
        <v>-5.954806E-2</v>
      </c>
      <c r="S4198">
        <v>3.1170960000000001</v>
      </c>
      <c r="T4198">
        <v>-0.13085559999999999</v>
      </c>
      <c r="U4198">
        <v>0.13729859999999999</v>
      </c>
      <c r="V4198">
        <v>-0.12654019999999999</v>
      </c>
      <c r="W4198">
        <v>0.2202963</v>
      </c>
      <c r="X4198">
        <v>0.96719029999999995</v>
      </c>
      <c r="Y4198">
        <v>-0.22835549999999999</v>
      </c>
      <c r="Z4198">
        <v>1.187069E-2</v>
      </c>
      <c r="AA4198">
        <v>0.97350539999999997</v>
      </c>
      <c r="AB4198">
        <v>29</v>
      </c>
      <c r="AC4198">
        <v>26.590800000000002</v>
      </c>
      <c r="AD4198">
        <v>-1.12808946323</v>
      </c>
      <c r="AE4198">
        <v>1.2302200000000001</v>
      </c>
      <c r="AF4198">
        <v>-6.13410217131685</v>
      </c>
      <c r="AG4198">
        <v>-1.12808946323</v>
      </c>
      <c r="AH4198">
        <v>25.853791693071301</v>
      </c>
      <c r="AI4198">
        <v>92.431022788015895</v>
      </c>
      <c r="AJ4198">
        <v>103.347267184244</v>
      </c>
      <c r="AK4198">
        <v>26.595457134516899</v>
      </c>
      <c r="AL4198">
        <v>77.273563022136699</v>
      </c>
      <c r="AM4198">
        <v>97.453829172199406</v>
      </c>
      <c r="AN4198">
        <v>0.99999997921190897</v>
      </c>
    </row>
    <row r="4199" spans="1:40" x14ac:dyDescent="0.25">
      <c r="A4199" t="str">
        <f>"20190303170854667"</f>
        <v>20190303170854667</v>
      </c>
      <c r="B4199" t="str">
        <f>"1551604134657558"</f>
        <v>1551604134657558</v>
      </c>
      <c r="C4199" t="s">
        <v>40</v>
      </c>
      <c r="D4199">
        <v>4.9489269999999896</v>
      </c>
      <c r="E4199">
        <v>0.46836100000000003</v>
      </c>
      <c r="F4199" t="s">
        <v>102</v>
      </c>
      <c r="G4199">
        <v>-380.58150000000001</v>
      </c>
      <c r="H4199" s="1">
        <v>-5.0081259999999998E-6</v>
      </c>
      <c r="I4199">
        <v>16.48462</v>
      </c>
      <c r="J4199">
        <v>-404.33170000000001</v>
      </c>
      <c r="K4199">
        <v>1.127926</v>
      </c>
      <c r="L4199">
        <v>15.586819999999999</v>
      </c>
      <c r="M4199">
        <v>0.98443630000000004</v>
      </c>
      <c r="N4199">
        <v>-9.4917630000000003E-3</v>
      </c>
      <c r="O4199">
        <v>-0.17548469999999999</v>
      </c>
      <c r="P4199">
        <v>0.97586030000000001</v>
      </c>
      <c r="Q4199">
        <v>0.212117</v>
      </c>
      <c r="R4199">
        <v>-5.19914E-2</v>
      </c>
      <c r="S4199">
        <v>3.1152039999999999</v>
      </c>
      <c r="T4199">
        <v>-0.14603849999999999</v>
      </c>
      <c r="U4199">
        <v>0.10995480000000001</v>
      </c>
      <c r="V4199">
        <v>-0.1239855</v>
      </c>
      <c r="W4199">
        <v>0.21914449999999999</v>
      </c>
      <c r="X4199">
        <v>0.9677827</v>
      </c>
      <c r="Y4199">
        <v>-0.20971239999999999</v>
      </c>
      <c r="Z4199">
        <v>1.243169E-2</v>
      </c>
      <c r="AA4199">
        <v>0.97768409999999994</v>
      </c>
      <c r="AB4199">
        <v>29</v>
      </c>
      <c r="AC4199">
        <v>23.7502</v>
      </c>
      <c r="AD4199">
        <v>-1.1279310081259999</v>
      </c>
      <c r="AE4199">
        <v>0.89779999999999804</v>
      </c>
      <c r="AF4199">
        <v>-5.0404994041527802</v>
      </c>
      <c r="AG4199">
        <v>-1.1279310081259999</v>
      </c>
      <c r="AH4199">
        <v>23.171869242326299</v>
      </c>
      <c r="AI4199">
        <v>92.723188191380004</v>
      </c>
      <c r="AJ4199">
        <v>102.272179052025</v>
      </c>
      <c r="AK4199">
        <v>23.740564163174898</v>
      </c>
      <c r="AL4199">
        <v>77.341210109975705</v>
      </c>
      <c r="AM4199">
        <v>97.300563650202506</v>
      </c>
      <c r="AN4199">
        <v>1.0000000352548899</v>
      </c>
    </row>
    <row r="4200" spans="1:40" x14ac:dyDescent="0.25">
      <c r="A4200" t="str">
        <f>"20190303170854689"</f>
        <v>20190303170854689</v>
      </c>
      <c r="B4200" t="str">
        <f>"1551604134678054"</f>
        <v>1551604134678054</v>
      </c>
      <c r="C4200" t="s">
        <v>40</v>
      </c>
      <c r="D4200">
        <v>4.9792680000000002</v>
      </c>
      <c r="E4200">
        <v>0.4690587</v>
      </c>
      <c r="F4200" t="s">
        <v>102</v>
      </c>
      <c r="G4200">
        <v>-381.6438</v>
      </c>
      <c r="H4200" s="1">
        <v>-4.5047670000000002E-6</v>
      </c>
      <c r="I4200">
        <v>16.491409999999998</v>
      </c>
      <c r="J4200">
        <v>-404.05459999999999</v>
      </c>
      <c r="K4200">
        <v>1.1277729999999999</v>
      </c>
      <c r="L4200">
        <v>15.546569999999999</v>
      </c>
      <c r="M4200">
        <v>0.98594959999999998</v>
      </c>
      <c r="N4200">
        <v>-9.5519950000000006E-3</v>
      </c>
      <c r="O4200">
        <v>-0.16677020000000001</v>
      </c>
      <c r="P4200">
        <v>0.97629359999999998</v>
      </c>
      <c r="Q4200">
        <v>0.21155579999999999</v>
      </c>
      <c r="R4200">
        <v>-4.5772680000000003E-2</v>
      </c>
      <c r="S4200">
        <v>3.1144409999999998</v>
      </c>
      <c r="T4200">
        <v>-0.1548349</v>
      </c>
      <c r="U4200">
        <v>0.12417599999999999</v>
      </c>
      <c r="V4200">
        <v>-0.12151000000000001</v>
      </c>
      <c r="W4200">
        <v>0.2187365</v>
      </c>
      <c r="X4200">
        <v>0.96818890000000002</v>
      </c>
      <c r="Y4200">
        <v>-0.20549149999999999</v>
      </c>
      <c r="Z4200">
        <v>1.274978E-2</v>
      </c>
      <c r="AA4200">
        <v>0.97857590000000005</v>
      </c>
      <c r="AB4200">
        <v>29</v>
      </c>
      <c r="AC4200">
        <v>22.410799999999899</v>
      </c>
      <c r="AD4200">
        <v>-1.127777504767</v>
      </c>
      <c r="AE4200">
        <v>0.94484000000000101</v>
      </c>
      <c r="AF4200">
        <v>-4.6574572624158197</v>
      </c>
      <c r="AG4200">
        <v>-1.127777504767</v>
      </c>
      <c r="AH4200">
        <v>21.884026597031699</v>
      </c>
      <c r="AI4200">
        <v>92.885573498542399</v>
      </c>
      <c r="AJ4200">
        <v>102.014687932146</v>
      </c>
      <c r="AK4200">
        <v>22.402553656917799</v>
      </c>
      <c r="AL4200">
        <v>77.365168127556601</v>
      </c>
      <c r="AM4200">
        <v>97.153355358523697</v>
      </c>
      <c r="AN4200">
        <v>1.0000000413077199</v>
      </c>
    </row>
    <row r="4201" spans="1:40" x14ac:dyDescent="0.25">
      <c r="A4201" t="str">
        <f>"20190303170854712"</f>
        <v>20190303170854712</v>
      </c>
      <c r="B4201" t="str">
        <f>"1551604134708310"</f>
        <v>1551604134708310</v>
      </c>
      <c r="C4201" t="s">
        <v>40</v>
      </c>
      <c r="D4201">
        <v>4.9298789999999997</v>
      </c>
      <c r="E4201">
        <v>0.47003230000000001</v>
      </c>
      <c r="F4201" t="s">
        <v>102</v>
      </c>
      <c r="G4201">
        <v>-381.92439999999999</v>
      </c>
      <c r="H4201" s="1">
        <v>-4.3661109999999997E-6</v>
      </c>
      <c r="I4201">
        <v>16.52544</v>
      </c>
      <c r="J4201">
        <v>-403.76319999999998</v>
      </c>
      <c r="K4201">
        <v>1.12761</v>
      </c>
      <c r="L4201">
        <v>15.506869999999999</v>
      </c>
      <c r="M4201">
        <v>0.98740879999999998</v>
      </c>
      <c r="N4201">
        <v>-9.6265380000000005E-3</v>
      </c>
      <c r="O4201">
        <v>-0.15789629999999999</v>
      </c>
      <c r="P4201">
        <v>0.97671280000000005</v>
      </c>
      <c r="Q4201">
        <v>0.2108785</v>
      </c>
      <c r="R4201">
        <v>-3.9525829999999998E-2</v>
      </c>
      <c r="S4201">
        <v>3.1136780000000002</v>
      </c>
      <c r="T4201">
        <v>-0.15867579999999901</v>
      </c>
      <c r="U4201">
        <v>0.13772579999999901</v>
      </c>
      <c r="V4201">
        <v>-0.1189066</v>
      </c>
      <c r="W4201">
        <v>0.2182325</v>
      </c>
      <c r="X4201">
        <v>0.96862570000000003</v>
      </c>
      <c r="Y4201">
        <v>-0.20094110000000001</v>
      </c>
      <c r="Z4201">
        <v>1.2579750000000001E-2</v>
      </c>
      <c r="AA4201">
        <v>0.97952249999999996</v>
      </c>
      <c r="AB4201">
        <v>29</v>
      </c>
      <c r="AC4201">
        <v>21.8387999999999</v>
      </c>
      <c r="AD4201">
        <v>-1.1276143661110001</v>
      </c>
      <c r="AE4201">
        <v>1.01856999999999</v>
      </c>
      <c r="AF4201">
        <v>-4.4423991533660399</v>
      </c>
      <c r="AG4201">
        <v>-1.1276143661110001</v>
      </c>
      <c r="AH4201">
        <v>21.3471975545745</v>
      </c>
      <c r="AI4201">
        <v>92.960395176098501</v>
      </c>
      <c r="AJ4201">
        <v>101.755597227556</v>
      </c>
      <c r="AK4201">
        <v>21.833672797550999</v>
      </c>
      <c r="AL4201">
        <v>77.394759282146893</v>
      </c>
      <c r="AM4201">
        <v>96.998503469131407</v>
      </c>
      <c r="AN4201">
        <v>0.99999997514014904</v>
      </c>
    </row>
    <row r="4202" spans="1:40" x14ac:dyDescent="0.25">
      <c r="A4202" t="str">
        <f>"20190303170854731"</f>
        <v>20190303170854731</v>
      </c>
      <c r="B4202" t="str">
        <f>"1551604134727830"</f>
        <v>1551604134727830</v>
      </c>
      <c r="C4202" t="s">
        <v>40</v>
      </c>
      <c r="D4202">
        <v>4.9252089999999997</v>
      </c>
      <c r="E4202">
        <v>0.47736529999999999</v>
      </c>
      <c r="F4202" t="s">
        <v>102</v>
      </c>
      <c r="G4202">
        <v>-382.077</v>
      </c>
      <c r="H4202" s="1">
        <v>-4.2898879999999999E-6</v>
      </c>
      <c r="I4202">
        <v>16.54833</v>
      </c>
      <c r="J4202">
        <v>-403.51600000000002</v>
      </c>
      <c r="K4202">
        <v>1.1274569999999999</v>
      </c>
      <c r="L4202">
        <v>15.474909999999999</v>
      </c>
      <c r="M4202">
        <v>0.98854940000000002</v>
      </c>
      <c r="N4202">
        <v>-9.6955840000000001E-3</v>
      </c>
      <c r="O4202">
        <v>-0.15058640000000001</v>
      </c>
      <c r="P4202">
        <v>0.97708569999999995</v>
      </c>
      <c r="Q4202">
        <v>0.20998729999999999</v>
      </c>
      <c r="R4202">
        <v>-3.4770669999999997E-2</v>
      </c>
      <c r="S4202">
        <v>3.1124879999999999</v>
      </c>
      <c r="T4202">
        <v>-0.16184019999999999</v>
      </c>
      <c r="U4202">
        <v>0.1494751</v>
      </c>
      <c r="V4202">
        <v>-0.11638030000000001</v>
      </c>
      <c r="W4202">
        <v>0.21749950000000001</v>
      </c>
      <c r="X4202">
        <v>0.96909730000000005</v>
      </c>
      <c r="Y4202">
        <v>-0.1973926</v>
      </c>
      <c r="Z4202">
        <v>1.242738E-2</v>
      </c>
      <c r="AA4202">
        <v>0.98024579999999994</v>
      </c>
      <c r="AB4202">
        <v>29</v>
      </c>
      <c r="AC4202">
        <v>21.438999999999901</v>
      </c>
      <c r="AD4202">
        <v>-1.1274612898880001</v>
      </c>
      <c r="AE4202">
        <v>1.07341999999999</v>
      </c>
      <c r="AF4202">
        <v>-4.27795011702477</v>
      </c>
      <c r="AG4202">
        <v>-1.1274612898880001</v>
      </c>
      <c r="AH4202">
        <v>20.974990779209101</v>
      </c>
      <c r="AI4202">
        <v>93.014889690977597</v>
      </c>
      <c r="AJ4202">
        <v>101.52764424480699</v>
      </c>
      <c r="AK4202">
        <v>21.436470426631701</v>
      </c>
      <c r="AL4202">
        <v>77.437790975924202</v>
      </c>
      <c r="AM4202">
        <v>96.847938678214504</v>
      </c>
      <c r="AN4202">
        <v>0.99999999179781496</v>
      </c>
    </row>
    <row r="4203" spans="1:40" x14ac:dyDescent="0.25">
      <c r="A4203" t="str">
        <f>"20190303170854754"</f>
        <v>20190303170854754</v>
      </c>
      <c r="B4203" t="str">
        <f>"1551604134748327"</f>
        <v>1551604134748327</v>
      </c>
      <c r="C4203" t="s">
        <v>40</v>
      </c>
      <c r="D4203">
        <v>4.8916510000000004</v>
      </c>
      <c r="E4203">
        <v>0.47792020000000002</v>
      </c>
      <c r="F4203" t="s">
        <v>102</v>
      </c>
      <c r="G4203">
        <v>-382.13510000000002</v>
      </c>
      <c r="H4203" s="1">
        <v>-4.3227259999999996E-6</v>
      </c>
      <c r="I4203">
        <v>16.208539999999999</v>
      </c>
      <c r="J4203">
        <v>-403.22820000000002</v>
      </c>
      <c r="K4203">
        <v>1.1272979999999999</v>
      </c>
      <c r="L4203">
        <v>15.439909999999999</v>
      </c>
      <c r="M4203">
        <v>0.98977479999999995</v>
      </c>
      <c r="N4203">
        <v>-9.7762100000000005E-3</v>
      </c>
      <c r="O4203">
        <v>-0.1423035</v>
      </c>
      <c r="P4203">
        <v>0.97747479999999998</v>
      </c>
      <c r="Q4203">
        <v>0.20898910000000001</v>
      </c>
      <c r="R4203">
        <v>-2.9439099999999999E-2</v>
      </c>
      <c r="S4203">
        <v>3.109375</v>
      </c>
      <c r="T4203">
        <v>-0.16396369999999999</v>
      </c>
      <c r="U4203">
        <v>0.10668950000000001</v>
      </c>
      <c r="V4203">
        <v>-0.113471699999999</v>
      </c>
      <c r="W4203">
        <v>0.2166785</v>
      </c>
      <c r="X4203">
        <v>0.96962599999999999</v>
      </c>
      <c r="Y4203">
        <v>-0.17575009999999999</v>
      </c>
      <c r="Z4203">
        <v>1.157851E-2</v>
      </c>
      <c r="AA4203">
        <v>0.98436670000000004</v>
      </c>
      <c r="AB4203">
        <v>29</v>
      </c>
      <c r="AC4203">
        <v>21.0931</v>
      </c>
      <c r="AD4203">
        <v>-1.127302322726</v>
      </c>
      <c r="AE4203">
        <v>0.76862999999999804</v>
      </c>
      <c r="AF4203">
        <v>-3.7518701777915902</v>
      </c>
      <c r="AG4203">
        <v>-1.127302322726</v>
      </c>
      <c r="AH4203">
        <v>20.709957568767202</v>
      </c>
      <c r="AI4203">
        <v>93.065891236320397</v>
      </c>
      <c r="AJ4203">
        <v>100.268483314501</v>
      </c>
      <c r="AK4203">
        <v>21.077231385026899</v>
      </c>
      <c r="AL4203">
        <v>77.485980004873298</v>
      </c>
      <c r="AM4203">
        <v>96.674750462544495</v>
      </c>
      <c r="AN4203">
        <v>0.99999998946956903</v>
      </c>
    </row>
    <row r="4204" spans="1:40" x14ac:dyDescent="0.25">
      <c r="A4204" t="str">
        <f>"20190303170854777"</f>
        <v>20190303170854777</v>
      </c>
      <c r="B4204" t="str">
        <f>"1551604134767846"</f>
        <v>1551604134767846</v>
      </c>
      <c r="C4204" t="s">
        <v>40</v>
      </c>
      <c r="D4204">
        <v>4.879543</v>
      </c>
      <c r="E4204">
        <v>0.4782536</v>
      </c>
      <c r="F4204" t="s">
        <v>102</v>
      </c>
      <c r="G4204">
        <v>-382.32810000000001</v>
      </c>
      <c r="H4204" s="1">
        <v>-4.2247719999999998E-6</v>
      </c>
      <c r="I4204">
        <v>16.246469999999999</v>
      </c>
      <c r="J4204">
        <v>-402.92500000000001</v>
      </c>
      <c r="K4204">
        <v>1.127138</v>
      </c>
      <c r="L4204">
        <v>15.4054</v>
      </c>
      <c r="M4204">
        <v>0.99095200000000006</v>
      </c>
      <c r="N4204">
        <v>-9.8605810000000002E-3</v>
      </c>
      <c r="O4204">
        <v>-0.1338541</v>
      </c>
      <c r="P4204">
        <v>0.9776859</v>
      </c>
      <c r="Q4204">
        <v>0.20863370000000001</v>
      </c>
      <c r="R4204">
        <v>-2.454168E-2</v>
      </c>
      <c r="S4204">
        <v>3.1086119999999999</v>
      </c>
      <c r="T4204">
        <v>-0.16767109999999999</v>
      </c>
      <c r="U4204">
        <v>0.1199646</v>
      </c>
      <c r="V4204">
        <v>-0.1099627</v>
      </c>
      <c r="W4204">
        <v>0.21651129999999999</v>
      </c>
      <c r="X4204">
        <v>0.97006760000000003</v>
      </c>
      <c r="Y4204">
        <v>-0.1715526</v>
      </c>
      <c r="Z4204">
        <v>1.134778E-2</v>
      </c>
      <c r="AA4204">
        <v>0.98510960000000003</v>
      </c>
      <c r="AB4204">
        <v>29</v>
      </c>
      <c r="AC4204">
        <v>20.596900000000002</v>
      </c>
      <c r="AD4204">
        <v>-1.127142224772</v>
      </c>
      <c r="AE4204">
        <v>0.84107000000000198</v>
      </c>
      <c r="AF4204">
        <v>-3.5799111207555199</v>
      </c>
      <c r="AG4204">
        <v>-1.127142224772</v>
      </c>
      <c r="AH4204">
        <v>20.238438060643901</v>
      </c>
      <c r="AI4204">
        <v>93.139058098388105</v>
      </c>
      <c r="AJ4204">
        <v>100.03110120242501</v>
      </c>
      <c r="AK4204">
        <v>20.583502820508699</v>
      </c>
      <c r="AL4204">
        <v>77.4957934861594</v>
      </c>
      <c r="AM4204">
        <v>96.467197835296602</v>
      </c>
      <c r="AN4204">
        <v>1.0000000434943599</v>
      </c>
    </row>
    <row r="4205" spans="1:40" x14ac:dyDescent="0.25">
      <c r="A4205" t="str">
        <f>"20190303170854810"</f>
        <v>20190303170854810</v>
      </c>
      <c r="B4205" t="str">
        <f>"1551604134798102"</f>
        <v>1551604134798102</v>
      </c>
      <c r="C4205" t="s">
        <v>40</v>
      </c>
      <c r="D4205">
        <v>4.8687149999999999</v>
      </c>
      <c r="E4205">
        <v>0.47949140000000001</v>
      </c>
      <c r="F4205" t="s">
        <v>102</v>
      </c>
      <c r="G4205">
        <v>-382.01780000000002</v>
      </c>
      <c r="H4205" s="1">
        <v>-4.3628150000000002E-6</v>
      </c>
      <c r="I4205">
        <v>16.29504</v>
      </c>
      <c r="J4205">
        <v>-402.50639999999999</v>
      </c>
      <c r="K4205">
        <v>1.1268959999999999</v>
      </c>
      <c r="L4205">
        <v>15.361330000000001</v>
      </c>
      <c r="M4205">
        <v>0.99239949999999999</v>
      </c>
      <c r="N4205">
        <v>-9.9706889999999996E-3</v>
      </c>
      <c r="O4205">
        <v>-0.12265429999999999</v>
      </c>
      <c r="P4205">
        <v>0.97773650000000001</v>
      </c>
      <c r="Q4205">
        <v>0.2091298</v>
      </c>
      <c r="R4205">
        <v>-1.7215589999999999E-2</v>
      </c>
      <c r="S4205">
        <v>3.1075740000000001</v>
      </c>
      <c r="T4205">
        <v>-0.16753419999999999</v>
      </c>
      <c r="U4205">
        <v>0.13223270000000001</v>
      </c>
      <c r="V4205">
        <v>-0.1061261</v>
      </c>
      <c r="W4205">
        <v>0.21724260000000001</v>
      </c>
      <c r="X4205">
        <v>0.97033130000000001</v>
      </c>
      <c r="Y4205">
        <v>-0.1643415</v>
      </c>
      <c r="Z4205">
        <v>1.06184E-2</v>
      </c>
      <c r="AA4205">
        <v>0.98634639999999996</v>
      </c>
      <c r="AB4205">
        <v>29</v>
      </c>
      <c r="AC4205">
        <v>20.488599999999899</v>
      </c>
      <c r="AD4205">
        <v>-1.1269003628149901</v>
      </c>
      <c r="AE4205">
        <v>0.93371000000000104</v>
      </c>
      <c r="AF4205">
        <v>-3.4294456935995199</v>
      </c>
      <c r="AG4205">
        <v>-1.1269003628149901</v>
      </c>
      <c r="AH4205">
        <v>20.158499265579898</v>
      </c>
      <c r="AI4205">
        <v>93.154389896555898</v>
      </c>
      <c r="AJ4205">
        <v>99.654953510158407</v>
      </c>
      <c r="AK4205">
        <v>20.479162454393599</v>
      </c>
      <c r="AL4205">
        <v>77.4528704819529</v>
      </c>
      <c r="AM4205">
        <v>96.241687604354595</v>
      </c>
      <c r="AN4205">
        <v>0.99999996405782898</v>
      </c>
    </row>
    <row r="4206" spans="1:40" x14ac:dyDescent="0.25">
      <c r="A4206" t="str">
        <f>"20190303170854832"</f>
        <v>20190303170854832</v>
      </c>
      <c r="B4206" t="str">
        <f>"1551604134817622"</f>
        <v>1551604134817622</v>
      </c>
      <c r="C4206" t="s">
        <v>40</v>
      </c>
      <c r="D4206">
        <v>4.8693629999999999</v>
      </c>
      <c r="E4206">
        <v>0.48005019999999998</v>
      </c>
      <c r="F4206" t="s">
        <v>102</v>
      </c>
      <c r="G4206">
        <v>-381.34840000000003</v>
      </c>
      <c r="H4206" s="1">
        <v>-4.667685E-6</v>
      </c>
      <c r="I4206">
        <v>16.360320000000002</v>
      </c>
      <c r="J4206">
        <v>-402.22109999999998</v>
      </c>
      <c r="K4206">
        <v>1.1266989999999999</v>
      </c>
      <c r="L4206">
        <v>15.33386</v>
      </c>
      <c r="M4206">
        <v>0.99326780000000003</v>
      </c>
      <c r="N4206">
        <v>-1.0037239999999999E-2</v>
      </c>
      <c r="O4206">
        <v>-0.1154067</v>
      </c>
      <c r="P4206">
        <v>0.97805719999999996</v>
      </c>
      <c r="Q4206">
        <v>0.20789769999999999</v>
      </c>
      <c r="R4206">
        <v>-1.352014E-2</v>
      </c>
      <c r="S4206">
        <v>3.1063230000000002</v>
      </c>
      <c r="T4206">
        <v>-0.16544639999999999</v>
      </c>
      <c r="U4206">
        <v>0.14666750000000001</v>
      </c>
      <c r="V4206">
        <v>-0.1026069</v>
      </c>
      <c r="W4206">
        <v>0.2161836</v>
      </c>
      <c r="X4206">
        <v>0.97094619999999998</v>
      </c>
      <c r="Y4206">
        <v>-0.16175290000000001</v>
      </c>
      <c r="Z4206">
        <v>1.008964E-2</v>
      </c>
      <c r="AA4206">
        <v>0.98677969999999904</v>
      </c>
      <c r="AB4206">
        <v>29</v>
      </c>
      <c r="AC4206">
        <v>20.872699999999899</v>
      </c>
      <c r="AD4206">
        <v>-1.126703667685</v>
      </c>
      <c r="AE4206">
        <v>1.0264599999999999</v>
      </c>
      <c r="AF4206">
        <v>-3.4186339233165799</v>
      </c>
      <c r="AG4206">
        <v>-1.126703667685</v>
      </c>
      <c r="AH4206">
        <v>20.555006023312799</v>
      </c>
      <c r="AI4206">
        <v>93.095045593766201</v>
      </c>
      <c r="AJ4206">
        <v>99.442792852277904</v>
      </c>
      <c r="AK4206">
        <v>20.8677931673393</v>
      </c>
      <c r="AL4206">
        <v>77.515024531419499</v>
      </c>
      <c r="AM4206">
        <v>96.032469247631994</v>
      </c>
      <c r="AN4206">
        <v>1.0000000240655</v>
      </c>
    </row>
    <row r="4207" spans="1:40" x14ac:dyDescent="0.25">
      <c r="A4207" t="str">
        <f>"20190303170854855"</f>
        <v>20190303170854855</v>
      </c>
      <c r="B4207" t="str">
        <f>"1551604134847879"</f>
        <v>1551604134847879</v>
      </c>
      <c r="C4207" t="s">
        <v>40</v>
      </c>
      <c r="D4207">
        <v>4.863696</v>
      </c>
      <c r="E4207">
        <v>0.48074169999999999</v>
      </c>
      <c r="F4207" t="s">
        <v>102</v>
      </c>
      <c r="G4207">
        <v>-381.69450000000001</v>
      </c>
      <c r="H4207" s="1">
        <v>-4.5056459999999997E-6</v>
      </c>
      <c r="I4207">
        <v>16.35145</v>
      </c>
      <c r="J4207">
        <v>-401.93209999999999</v>
      </c>
      <c r="K4207">
        <v>1.1264959999999999</v>
      </c>
      <c r="L4207">
        <v>15.307829999999999</v>
      </c>
      <c r="M4207">
        <v>0.99406530000000004</v>
      </c>
      <c r="N4207">
        <v>-1.009818E-2</v>
      </c>
      <c r="O4207">
        <v>-0.1083151</v>
      </c>
      <c r="P4207">
        <v>0.97846739999999999</v>
      </c>
      <c r="Q4207">
        <v>0.2061788</v>
      </c>
      <c r="R4207">
        <v>-9.5808170000000002E-3</v>
      </c>
      <c r="S4207">
        <v>3.1056819999999998</v>
      </c>
      <c r="T4207">
        <v>-0.17047039999999999</v>
      </c>
      <c r="U4207">
        <v>0.15396119999999999</v>
      </c>
      <c r="V4207">
        <v>-9.9488450000000006E-2</v>
      </c>
      <c r="W4207">
        <v>0.21462510000000001</v>
      </c>
      <c r="X4207">
        <v>0.97161629999999999</v>
      </c>
      <c r="Y4207">
        <v>-0.1570221</v>
      </c>
      <c r="Z4207">
        <v>9.9367670000000009E-3</v>
      </c>
      <c r="AA4207">
        <v>0.98754509999999995</v>
      </c>
      <c r="AB4207">
        <v>29</v>
      </c>
      <c r="AC4207">
        <v>20.237599999999901</v>
      </c>
      <c r="AD4207">
        <v>-1.126500505646</v>
      </c>
      <c r="AE4207">
        <v>1.04362</v>
      </c>
      <c r="AF4207">
        <v>-3.2196792784871402</v>
      </c>
      <c r="AG4207">
        <v>-1.126500505646</v>
      </c>
      <c r="AH4207">
        <v>19.943845449040801</v>
      </c>
      <c r="AI4207">
        <v>93.191602557596397</v>
      </c>
      <c r="AJ4207">
        <v>99.170550932297502</v>
      </c>
      <c r="AK4207">
        <v>20.233445315634398</v>
      </c>
      <c r="AL4207">
        <v>77.606467070860504</v>
      </c>
      <c r="AM4207">
        <v>95.846413685578</v>
      </c>
      <c r="AN4207">
        <v>1.00000005982954</v>
      </c>
    </row>
    <row r="4208" spans="1:40" x14ac:dyDescent="0.25">
      <c r="A4208" t="str">
        <f>"20190303170854879"</f>
        <v>20190303170854879</v>
      </c>
      <c r="B4208" t="str">
        <f>"1551604134867398"</f>
        <v>1551604134867398</v>
      </c>
      <c r="C4208" t="s">
        <v>40</v>
      </c>
      <c r="D4208">
        <v>4.8835959999999998</v>
      </c>
      <c r="E4208">
        <v>0.48896099999999998</v>
      </c>
      <c r="F4208" t="s">
        <v>102</v>
      </c>
      <c r="G4208">
        <v>-382.16370000000001</v>
      </c>
      <c r="H4208" s="1">
        <v>-4.2880170000000001E-6</v>
      </c>
      <c r="I4208">
        <v>16.327919999999999</v>
      </c>
      <c r="J4208">
        <v>-401.61779999999999</v>
      </c>
      <c r="K4208">
        <v>1.1262490000000001</v>
      </c>
      <c r="L4208">
        <v>15.28159</v>
      </c>
      <c r="M4208">
        <v>0.99483900000000003</v>
      </c>
      <c r="N4208">
        <v>-1.016369E-2</v>
      </c>
      <c r="O4208">
        <v>-0.1009559</v>
      </c>
      <c r="P4208">
        <v>0.97883010000000004</v>
      </c>
      <c r="Q4208">
        <v>0.20461070000000001</v>
      </c>
      <c r="R4208">
        <v>-5.1090470000000002E-3</v>
      </c>
      <c r="S4208">
        <v>3.1048580000000001</v>
      </c>
      <c r="T4208">
        <v>-0.17693029999999901</v>
      </c>
      <c r="U4208">
        <v>0.16021729999999901</v>
      </c>
      <c r="V4208">
        <v>-9.6618560000000006E-2</v>
      </c>
      <c r="W4208">
        <v>0.2132221</v>
      </c>
      <c r="X4208">
        <v>0.97221460000000004</v>
      </c>
      <c r="Y4208">
        <v>-0.15169750000000001</v>
      </c>
      <c r="Z4208">
        <v>9.8035210000000008E-3</v>
      </c>
      <c r="AA4208">
        <v>0.98837830000000004</v>
      </c>
      <c r="AB4208">
        <v>29</v>
      </c>
      <c r="AC4208">
        <v>19.454099999999901</v>
      </c>
      <c r="AD4208">
        <v>-1.126253288017</v>
      </c>
      <c r="AE4208">
        <v>1.04633</v>
      </c>
      <c r="AF4208">
        <v>-2.9950819293245199</v>
      </c>
      <c r="AG4208">
        <v>-1.126253288017</v>
      </c>
      <c r="AH4208">
        <v>19.1849437129009</v>
      </c>
      <c r="AI4208">
        <v>93.319578488532798</v>
      </c>
      <c r="AJ4208">
        <v>98.873179663436702</v>
      </c>
      <c r="AK4208">
        <v>19.449962146474999</v>
      </c>
      <c r="AL4208">
        <v>77.688757548917394</v>
      </c>
      <c r="AM4208">
        <v>95.675411907808197</v>
      </c>
      <c r="AN4208">
        <v>1.0000000192590199</v>
      </c>
    </row>
    <row r="4209" spans="1:40" x14ac:dyDescent="0.25">
      <c r="A4209" t="str">
        <f>"20190303170854902"</f>
        <v>20190303170854902</v>
      </c>
      <c r="B4209" t="str">
        <f>"1551604134887894"</f>
        <v>1551604134887894</v>
      </c>
      <c r="C4209" t="s">
        <v>40</v>
      </c>
      <c r="D4209">
        <v>4.9715949999999998</v>
      </c>
      <c r="E4209">
        <v>0.52584249999999999</v>
      </c>
      <c r="F4209" t="s">
        <v>102</v>
      </c>
      <c r="G4209">
        <v>-384.08240000000001</v>
      </c>
      <c r="H4209" s="1">
        <v>-3.4579719999999998E-6</v>
      </c>
      <c r="I4209">
        <v>15.8942</v>
      </c>
      <c r="J4209">
        <v>-401.31720000000001</v>
      </c>
      <c r="K4209">
        <v>1.125999</v>
      </c>
      <c r="L4209">
        <v>15.258240000000001</v>
      </c>
      <c r="M4209">
        <v>0.99549270000000001</v>
      </c>
      <c r="N4209">
        <v>-1.022737E-2</v>
      </c>
      <c r="O4209">
        <v>-9.4286750000000003E-2</v>
      </c>
      <c r="P4209">
        <v>0.97915909999999995</v>
      </c>
      <c r="Q4209">
        <v>0.20309189999999999</v>
      </c>
      <c r="R4209">
        <v>-1.283595E-3</v>
      </c>
      <c r="S4209">
        <v>3.1071469999999999</v>
      </c>
      <c r="T4209">
        <v>-0.19956370000000001</v>
      </c>
      <c r="U4209">
        <v>0.10855099999999999</v>
      </c>
      <c r="V4209">
        <v>-9.3776849999999995E-2</v>
      </c>
      <c r="W4209">
        <v>0.21186569999999999</v>
      </c>
      <c r="X4209">
        <v>0.97278920000000002</v>
      </c>
      <c r="Y4209">
        <v>-0.12854939999999901</v>
      </c>
      <c r="Z4209">
        <v>9.8606140000000002E-3</v>
      </c>
      <c r="AA4209">
        <v>0.99165409999999998</v>
      </c>
      <c r="AB4209">
        <v>29</v>
      </c>
      <c r="AC4209">
        <v>17.2348</v>
      </c>
      <c r="AD4209">
        <v>-1.126002457972</v>
      </c>
      <c r="AE4209">
        <v>0.63595999999999997</v>
      </c>
      <c r="AF4209">
        <v>-2.2486395124087699</v>
      </c>
      <c r="AG4209">
        <v>-1.126002457972</v>
      </c>
      <c r="AH4209">
        <v>17.025473714832401</v>
      </c>
      <c r="AI4209">
        <v>93.751339405569993</v>
      </c>
      <c r="AJ4209">
        <v>97.523794112255203</v>
      </c>
      <c r="AK4209">
        <v>17.210200940331099</v>
      </c>
      <c r="AL4209">
        <v>77.768290524169998</v>
      </c>
      <c r="AM4209">
        <v>95.506296919346099</v>
      </c>
      <c r="AN4209">
        <v>1.0000000000345199</v>
      </c>
    </row>
    <row r="4210" spans="1:40" x14ac:dyDescent="0.25">
      <c r="A4210" t="str">
        <f>"20190303170854922"</f>
        <v>20190303170854922</v>
      </c>
      <c r="B4210" t="str">
        <f>"1551604134918150"</f>
        <v>1551604134918150</v>
      </c>
      <c r="C4210" t="s">
        <v>40</v>
      </c>
      <c r="D4210">
        <v>4.9029249999999998</v>
      </c>
      <c r="E4210">
        <v>0.58215760000000005</v>
      </c>
      <c r="F4210" t="s">
        <v>47</v>
      </c>
      <c r="G4210">
        <v>-400.49630000000002</v>
      </c>
      <c r="H4210">
        <v>1.032486</v>
      </c>
      <c r="I4210">
        <v>15.21421</v>
      </c>
      <c r="J4210">
        <v>-401.06580000000002</v>
      </c>
      <c r="K4210">
        <v>1.1257870000000001</v>
      </c>
      <c r="L4210">
        <v>15.23996</v>
      </c>
      <c r="M4210">
        <v>0.99597760000000002</v>
      </c>
      <c r="N4210">
        <v>-1.0279E-2</v>
      </c>
      <c r="O4210">
        <v>-8.9010829999999999E-2</v>
      </c>
      <c r="P4210">
        <v>0.97912940000000004</v>
      </c>
      <c r="Q4210">
        <v>0.20323060000000001</v>
      </c>
      <c r="R4210">
        <v>1.717809E-3</v>
      </c>
      <c r="S4210">
        <v>3.1379389999999998</v>
      </c>
      <c r="T4210">
        <v>-0.35807349999999999</v>
      </c>
      <c r="U4210">
        <v>-0.1667786</v>
      </c>
      <c r="V4210">
        <v>-9.148104E-2</v>
      </c>
      <c r="W4210">
        <v>0.21213560000000001</v>
      </c>
      <c r="X4210">
        <v>0.97294899999999995</v>
      </c>
      <c r="Y4210">
        <v>-3.5302609999999998E-2</v>
      </c>
      <c r="Z4210">
        <v>1.1376570000000001E-2</v>
      </c>
      <c r="AA4210">
        <v>0.99931190000000003</v>
      </c>
      <c r="AB4210">
        <v>29</v>
      </c>
      <c r="AC4210">
        <v>0.569500000000005</v>
      </c>
      <c r="AD4210">
        <v>-9.3300999999999995E-2</v>
      </c>
      <c r="AE4210">
        <v>-2.57499999999986E-2</v>
      </c>
      <c r="AF4210">
        <v>-2.4393186815638901E-2</v>
      </c>
      <c r="AG4210">
        <v>-9.3300999999999995E-2</v>
      </c>
      <c r="AH4210">
        <v>0.554674198917392</v>
      </c>
      <c r="AI4210">
        <v>99.539211776808401</v>
      </c>
      <c r="AJ4210">
        <v>92.518102856067202</v>
      </c>
      <c r="AK4210">
        <v>0.56299517858386094</v>
      </c>
      <c r="AL4210">
        <v>77.752467021351507</v>
      </c>
      <c r="AM4210">
        <v>95.371415119174202</v>
      </c>
      <c r="AN4210">
        <v>1.00000002503392</v>
      </c>
    </row>
    <row r="4211" spans="1:40" x14ac:dyDescent="0.25">
      <c r="A4211" t="str">
        <f>"20190303170854944"</f>
        <v>20190303170854944</v>
      </c>
      <c r="B4211" t="str">
        <f>"1551604134937670"</f>
        <v>1551604134937670</v>
      </c>
      <c r="C4211" t="s">
        <v>40</v>
      </c>
      <c r="D4211">
        <v>4.951797</v>
      </c>
      <c r="E4211">
        <v>0.58456529999999995</v>
      </c>
      <c r="F4211" t="s">
        <v>47</v>
      </c>
      <c r="G4211">
        <v>-400.286</v>
      </c>
      <c r="H4211">
        <v>0.97111250000000005</v>
      </c>
      <c r="I4211">
        <v>15.094779999999901</v>
      </c>
      <c r="J4211">
        <v>-400.77069999999998</v>
      </c>
      <c r="K4211">
        <v>1.125513</v>
      </c>
      <c r="L4211">
        <v>15.21982</v>
      </c>
      <c r="M4211">
        <v>0.99648170000000003</v>
      </c>
      <c r="N4211">
        <v>-1.033741E-2</v>
      </c>
      <c r="O4211">
        <v>-8.3169800000000002E-2</v>
      </c>
      <c r="P4211">
        <v>0.97906210000000005</v>
      </c>
      <c r="Q4211">
        <v>0.2034851</v>
      </c>
      <c r="R4211">
        <v>5.5847140000000002E-3</v>
      </c>
      <c r="S4211">
        <v>3.1966549999999998</v>
      </c>
      <c r="T4211">
        <v>-0.63439040000000002</v>
      </c>
      <c r="U4211">
        <v>-0.59429929999999997</v>
      </c>
      <c r="V4211">
        <v>-8.9467340000000006E-2</v>
      </c>
      <c r="W4211">
        <v>0.21253250000000001</v>
      </c>
      <c r="X4211">
        <v>0.97304959999999996</v>
      </c>
      <c r="Y4211">
        <v>9.9797949999999996E-2</v>
      </c>
      <c r="Z4211">
        <v>5.0675800000000003E-3</v>
      </c>
      <c r="AA4211">
        <v>0.99499479999999996</v>
      </c>
      <c r="AB4211">
        <v>29</v>
      </c>
      <c r="AC4211">
        <v>0.48469999999997498</v>
      </c>
      <c r="AD4211">
        <v>-0.154400499999999</v>
      </c>
      <c r="AE4211">
        <v>-0.12504000000000201</v>
      </c>
      <c r="AF4211">
        <v>7.6969214657142002E-2</v>
      </c>
      <c r="AG4211">
        <v>-0.154400499999999</v>
      </c>
      <c r="AH4211">
        <v>0.45055423489796897</v>
      </c>
      <c r="AI4211">
        <v>108.664789867991</v>
      </c>
      <c r="AJ4211">
        <v>80.305613434991997</v>
      </c>
      <c r="AK4211">
        <v>0.48245506836355401</v>
      </c>
      <c r="AL4211">
        <v>77.729195315170799</v>
      </c>
      <c r="AM4211">
        <v>95.253307303585203</v>
      </c>
      <c r="AN4211">
        <v>0.99999999627154201</v>
      </c>
    </row>
    <row r="4212" spans="1:40" x14ac:dyDescent="0.25">
      <c r="A4212" t="str">
        <f>"20190303170854965"</f>
        <v>20190303170854965</v>
      </c>
      <c r="B4212" t="str">
        <f>"1551604134958166"</f>
        <v>1551604134958166</v>
      </c>
      <c r="C4212" t="s">
        <v>40</v>
      </c>
      <c r="D4212">
        <v>4.9373670000000001</v>
      </c>
      <c r="E4212">
        <v>0.58618590000000004</v>
      </c>
      <c r="F4212" t="s">
        <v>47</v>
      </c>
      <c r="G4212">
        <v>-400.02730000000003</v>
      </c>
      <c r="H4212">
        <v>0.96645190000000003</v>
      </c>
      <c r="I4212">
        <v>15.08095</v>
      </c>
      <c r="J4212">
        <v>-400.4819</v>
      </c>
      <c r="K4212">
        <v>1.125235</v>
      </c>
      <c r="L4212">
        <v>15.201449999999999</v>
      </c>
      <c r="M4212">
        <v>0.99691300000000005</v>
      </c>
      <c r="N4212">
        <v>-1.039576E-2</v>
      </c>
      <c r="O4212">
        <v>-7.7824790000000005E-2</v>
      </c>
      <c r="P4212">
        <v>0.97934849999999996</v>
      </c>
      <c r="Q4212">
        <v>0.20198830000000001</v>
      </c>
      <c r="R4212">
        <v>8.7926569999999902E-3</v>
      </c>
      <c r="S4212">
        <v>3.210388</v>
      </c>
      <c r="T4212">
        <v>-0.68725930000000002</v>
      </c>
      <c r="U4212">
        <v>-0.59878540000000002</v>
      </c>
      <c r="V4212">
        <v>-8.7293960000000004E-2</v>
      </c>
      <c r="W4212">
        <v>0.21118200000000001</v>
      </c>
      <c r="X4212">
        <v>0.97354090000000004</v>
      </c>
      <c r="Y4212">
        <v>0.10540380000000001</v>
      </c>
      <c r="Z4212">
        <v>3.8777249999999998E-3</v>
      </c>
      <c r="AA4212">
        <v>0.99442200000000003</v>
      </c>
      <c r="AB4212">
        <v>29</v>
      </c>
      <c r="AC4212">
        <v>0.45459999999996997</v>
      </c>
      <c r="AD4212">
        <v>-0.15878309999999901</v>
      </c>
      <c r="AE4212">
        <v>-0.120499999999999</v>
      </c>
      <c r="AF4212">
        <v>7.6081087240976494E-2</v>
      </c>
      <c r="AG4212">
        <v>-0.15878309999999901</v>
      </c>
      <c r="AH4212">
        <v>0.415264238502289</v>
      </c>
      <c r="AI4212">
        <v>110.611594457506</v>
      </c>
      <c r="AJ4212">
        <v>79.617908793214994</v>
      </c>
      <c r="AK4212">
        <v>0.45104854778644998</v>
      </c>
      <c r="AL4212">
        <v>77.808370277404293</v>
      </c>
      <c r="AM4212">
        <v>95.123806750407994</v>
      </c>
      <c r="AN4212">
        <v>0.99999997827464504</v>
      </c>
    </row>
    <row r="4213" spans="1:40" x14ac:dyDescent="0.25">
      <c r="A4213" t="str">
        <f>"20190303170854989"</f>
        <v>20190303170854989</v>
      </c>
      <c r="B4213" t="str">
        <f>"1551604134977686"</f>
        <v>1551604134977686</v>
      </c>
      <c r="C4213" t="s">
        <v>40</v>
      </c>
      <c r="D4213">
        <v>4.9089070000000001</v>
      </c>
      <c r="E4213">
        <v>0.58735909999999902</v>
      </c>
      <c r="F4213" t="s">
        <v>47</v>
      </c>
      <c r="G4213">
        <v>-399.76659999999998</v>
      </c>
      <c r="H4213">
        <v>0.96534319999999896</v>
      </c>
      <c r="I4213">
        <v>15.06836</v>
      </c>
      <c r="J4213">
        <v>-400.18529999999998</v>
      </c>
      <c r="K4213">
        <v>1.1249559999999901</v>
      </c>
      <c r="L4213">
        <v>15.18375</v>
      </c>
      <c r="M4213">
        <v>0.99729840000000003</v>
      </c>
      <c r="N4213">
        <v>-1.04647E-2</v>
      </c>
      <c r="O4213">
        <v>-7.2710449999999996E-2</v>
      </c>
      <c r="P4213">
        <v>0.97952220000000001</v>
      </c>
      <c r="Q4213">
        <v>0.20102809999999999</v>
      </c>
      <c r="R4213">
        <v>1.1149360000000001E-2</v>
      </c>
      <c r="S4213">
        <v>3.2169189999999999</v>
      </c>
      <c r="T4213">
        <v>-0.71902069999999996</v>
      </c>
      <c r="U4213">
        <v>-0.59869380000000005</v>
      </c>
      <c r="V4213">
        <v>-8.4494890000000003E-2</v>
      </c>
      <c r="W4213">
        <v>0.21038129999999999</v>
      </c>
      <c r="X4213">
        <v>0.97396119999999997</v>
      </c>
      <c r="Y4213">
        <v>0.109822699999999</v>
      </c>
      <c r="Z4213">
        <v>2.5262800000000001E-3</v>
      </c>
      <c r="AA4213">
        <v>0.99394800000000005</v>
      </c>
      <c r="AB4213">
        <v>29</v>
      </c>
      <c r="AC4213">
        <v>0.41870000000000102</v>
      </c>
      <c r="AD4213">
        <v>-0.1596128</v>
      </c>
      <c r="AE4213">
        <v>-0.11538999999999899</v>
      </c>
      <c r="AF4213">
        <v>7.4567662122897893E-2</v>
      </c>
      <c r="AG4213">
        <v>-0.1596128</v>
      </c>
      <c r="AH4213">
        <v>0.37529373862572202</v>
      </c>
      <c r="AI4213">
        <v>112.643290214915</v>
      </c>
      <c r="AJ4213">
        <v>78.762175658299597</v>
      </c>
      <c r="AK4213">
        <v>0.41458650775198502</v>
      </c>
      <c r="AL4213">
        <v>77.855302269720596</v>
      </c>
      <c r="AM4213">
        <v>94.958215796675702</v>
      </c>
      <c r="AN4213">
        <v>1.00000004846562</v>
      </c>
    </row>
    <row r="4214" spans="1:40" x14ac:dyDescent="0.25">
      <c r="A4214" t="str">
        <f>"20190303170855012"</f>
        <v>20190303170855012</v>
      </c>
      <c r="B4214" t="str">
        <f>"1551604135007942"</f>
        <v>1551604135007942</v>
      </c>
      <c r="C4214" t="s">
        <v>40</v>
      </c>
      <c r="D4214">
        <v>4.9253289999999996</v>
      </c>
      <c r="E4214">
        <v>0.58849560000000001</v>
      </c>
      <c r="F4214" t="s">
        <v>47</v>
      </c>
      <c r="G4214">
        <v>-399.50310000000002</v>
      </c>
      <c r="H4214">
        <v>0.96914940000000005</v>
      </c>
      <c r="I4214">
        <v>15.056179999999999</v>
      </c>
      <c r="J4214">
        <v>-399.88279999999997</v>
      </c>
      <c r="K4214">
        <v>1.124701</v>
      </c>
      <c r="L4214">
        <v>15.16699</v>
      </c>
      <c r="M4214">
        <v>0.99763610000000003</v>
      </c>
      <c r="N4214">
        <v>-1.055178E-2</v>
      </c>
      <c r="O4214">
        <v>-6.7906049999999996E-2</v>
      </c>
      <c r="P4214">
        <v>0.97952620000000001</v>
      </c>
      <c r="Q4214">
        <v>0.2008875</v>
      </c>
      <c r="R4214">
        <v>1.315475E-2</v>
      </c>
      <c r="S4214">
        <v>3.2206419999999998</v>
      </c>
      <c r="T4214">
        <v>-0.73620209999999997</v>
      </c>
      <c r="U4214">
        <v>-0.60018919999999998</v>
      </c>
      <c r="V4214">
        <v>-8.1651749999999995E-2</v>
      </c>
      <c r="W4214">
        <v>0.2104106</v>
      </c>
      <c r="X4214">
        <v>0.97419730000000004</v>
      </c>
      <c r="Y4214">
        <v>0.1145663</v>
      </c>
      <c r="Z4214">
        <v>1.0243240000000001E-3</v>
      </c>
      <c r="AA4214">
        <v>0.9934151</v>
      </c>
      <c r="AB4214">
        <v>29</v>
      </c>
      <c r="AC4214">
        <v>0.37969999999995702</v>
      </c>
      <c r="AD4214">
        <v>-0.15555159999999901</v>
      </c>
      <c r="AE4214">
        <v>-0.11081000000000001</v>
      </c>
      <c r="AF4214">
        <v>7.3414704034654596E-2</v>
      </c>
      <c r="AG4214">
        <v>-0.15555159999999901</v>
      </c>
      <c r="AH4214">
        <v>0.33460014007279798</v>
      </c>
      <c r="AI4214">
        <v>114.42215500656</v>
      </c>
      <c r="AJ4214">
        <v>77.624815104086395</v>
      </c>
      <c r="AK4214">
        <v>0.376222371434491</v>
      </c>
      <c r="AL4214">
        <v>77.853584518900107</v>
      </c>
      <c r="AM4214">
        <v>94.791012886878306</v>
      </c>
      <c r="AN4214">
        <v>1.0000000040988499</v>
      </c>
    </row>
    <row r="4215" spans="1:40" x14ac:dyDescent="0.25">
      <c r="A4215" t="str">
        <f>"20190303170855034"</f>
        <v>20190303170855034</v>
      </c>
      <c r="B4215" t="str">
        <f>"1551604135027462"</f>
        <v>1551604135027462</v>
      </c>
      <c r="C4215" t="s">
        <v>40</v>
      </c>
      <c r="D4215">
        <v>4.9461199999999996</v>
      </c>
      <c r="E4215">
        <v>0.58860669999999904</v>
      </c>
      <c r="F4215" t="s">
        <v>47</v>
      </c>
      <c r="G4215">
        <v>-399.0034</v>
      </c>
      <c r="H4215">
        <v>0.92053130000000005</v>
      </c>
      <c r="I4215">
        <v>15.002549999999999</v>
      </c>
      <c r="J4215">
        <v>-399.60230000000001</v>
      </c>
      <c r="K4215">
        <v>1.1244959999999999</v>
      </c>
      <c r="L4215">
        <v>15.1524</v>
      </c>
      <c r="M4215">
        <v>0.99790990000000002</v>
      </c>
      <c r="N4215">
        <v>-1.064475E-2</v>
      </c>
      <c r="O4215">
        <v>-6.3740660000000005E-2</v>
      </c>
      <c r="P4215">
        <v>0.97926290000000005</v>
      </c>
      <c r="Q4215">
        <v>0.2020467</v>
      </c>
      <c r="R4215">
        <v>1.4884359999999999E-2</v>
      </c>
      <c r="S4215">
        <v>3.224335</v>
      </c>
      <c r="T4215">
        <v>-0.74888659999999996</v>
      </c>
      <c r="U4215">
        <v>-0.60174559999999999</v>
      </c>
      <c r="V4215">
        <v>-7.9176189999999994E-2</v>
      </c>
      <c r="W4215">
        <v>0.21172730000000001</v>
      </c>
      <c r="X4215">
        <v>0.97411630000000005</v>
      </c>
      <c r="Y4215">
        <v>0.1187169</v>
      </c>
      <c r="Z4215">
        <v>-3.4384520000000003E-4</v>
      </c>
      <c r="AA4215">
        <v>0.99292809999999998</v>
      </c>
      <c r="AB4215">
        <v>29</v>
      </c>
      <c r="AC4215">
        <v>0.59890000000001398</v>
      </c>
      <c r="AD4215">
        <v>-0.203964699999999</v>
      </c>
      <c r="AE4215">
        <v>-0.14985000000000001</v>
      </c>
      <c r="AF4215">
        <v>0.100409011370007</v>
      </c>
      <c r="AG4215">
        <v>-0.203964699999999</v>
      </c>
      <c r="AH4215">
        <v>0.54747621393851298</v>
      </c>
      <c r="AI4215">
        <v>110.12497811167199</v>
      </c>
      <c r="AJ4215">
        <v>79.607257006551805</v>
      </c>
      <c r="AK4215">
        <v>0.59280163059731905</v>
      </c>
      <c r="AL4215">
        <v>77.776403614692498</v>
      </c>
      <c r="AM4215">
        <v>94.646787023603594</v>
      </c>
      <c r="AN4215">
        <v>0.999999942276946</v>
      </c>
    </row>
    <row r="4216" spans="1:40" x14ac:dyDescent="0.25">
      <c r="A4216" t="str">
        <f>"20190303170855057"</f>
        <v>20190303170855057</v>
      </c>
      <c r="B4216" t="str">
        <f>"1551604135047958"</f>
        <v>1551604135047958</v>
      </c>
      <c r="C4216" t="s">
        <v>40</v>
      </c>
      <c r="D4216">
        <v>4.9629969999999997</v>
      </c>
      <c r="E4216">
        <v>0.58868759999999998</v>
      </c>
      <c r="F4216" t="s">
        <v>47</v>
      </c>
      <c r="G4216">
        <v>-398.73970000000003</v>
      </c>
      <c r="H4216">
        <v>0.92373340000000004</v>
      </c>
      <c r="I4216">
        <v>14.99316</v>
      </c>
      <c r="J4216">
        <v>-399.29910000000001</v>
      </c>
      <c r="K4216">
        <v>1.124315</v>
      </c>
      <c r="L4216">
        <v>15.137700000000001</v>
      </c>
      <c r="M4216">
        <v>0.99817109999999998</v>
      </c>
      <c r="N4216">
        <v>-1.075366E-2</v>
      </c>
      <c r="O4216">
        <v>-5.9489399999999998E-2</v>
      </c>
      <c r="P4216">
        <v>0.97907200000000005</v>
      </c>
      <c r="Q4216">
        <v>0.2028315</v>
      </c>
      <c r="R4216">
        <v>1.6660810000000002E-2</v>
      </c>
      <c r="S4216">
        <v>3.2275999999999998</v>
      </c>
      <c r="T4216">
        <v>-0.75133219999999901</v>
      </c>
      <c r="U4216">
        <v>-0.5954895</v>
      </c>
      <c r="V4216">
        <v>-7.6679800000000006E-2</v>
      </c>
      <c r="W4216">
        <v>0.21267839999999999</v>
      </c>
      <c r="X4216">
        <v>0.97410890000000006</v>
      </c>
      <c r="Y4216">
        <v>0.1207382</v>
      </c>
      <c r="Z4216">
        <v>-1.515773E-3</v>
      </c>
      <c r="AA4216">
        <v>0.99268319999999999</v>
      </c>
      <c r="AB4216">
        <v>29</v>
      </c>
      <c r="AC4216">
        <v>0.55939999999998202</v>
      </c>
      <c r="AD4216">
        <v>-0.200581599999999</v>
      </c>
      <c r="AE4216">
        <v>-0.144539999999999</v>
      </c>
      <c r="AF4216">
        <v>9.9064185389052498E-2</v>
      </c>
      <c r="AG4216">
        <v>-0.200581599999999</v>
      </c>
      <c r="AH4216">
        <v>0.50602111091857005</v>
      </c>
      <c r="AI4216">
        <v>111.256300057986</v>
      </c>
      <c r="AJ4216">
        <v>78.923248361570899</v>
      </c>
      <c r="AK4216">
        <v>0.55326671306036501</v>
      </c>
      <c r="AL4216">
        <v>77.720640588923402</v>
      </c>
      <c r="AM4216">
        <v>94.500921680070206</v>
      </c>
      <c r="AN4216">
        <v>1.0000000213069</v>
      </c>
    </row>
    <row r="4217" spans="1:40" x14ac:dyDescent="0.25">
      <c r="A4217" t="str">
        <f>"20190303170855079"</f>
        <v>20190303170855079</v>
      </c>
      <c r="B4217" t="str">
        <f>"1551604135068099"</f>
        <v>1551604135068099</v>
      </c>
      <c r="C4217" t="s">
        <v>40</v>
      </c>
      <c r="D4217">
        <v>4.9731040000000002</v>
      </c>
      <c r="E4217">
        <v>0.58918559999999998</v>
      </c>
      <c r="F4217" t="s">
        <v>47</v>
      </c>
      <c r="G4217">
        <v>-398.47359999999998</v>
      </c>
      <c r="H4217">
        <v>0.93193079999999995</v>
      </c>
      <c r="I4217">
        <v>14.98677</v>
      </c>
      <c r="J4217">
        <v>-399.00360000000001</v>
      </c>
      <c r="K4217">
        <v>1.124177</v>
      </c>
      <c r="L4217">
        <v>15.12439</v>
      </c>
      <c r="M4217">
        <v>0.99839610000000001</v>
      </c>
      <c r="N4217">
        <v>-1.088246E-2</v>
      </c>
      <c r="O4217">
        <v>-5.5559659999999997E-2</v>
      </c>
      <c r="P4217">
        <v>0.97904500000000005</v>
      </c>
      <c r="Q4217">
        <v>0.20282939999999999</v>
      </c>
      <c r="R4217">
        <v>1.8203839999999999E-2</v>
      </c>
      <c r="S4217">
        <v>3.230194</v>
      </c>
      <c r="T4217">
        <v>-0.75318459999999998</v>
      </c>
      <c r="U4217">
        <v>-0.58892819999999901</v>
      </c>
      <c r="V4217">
        <v>-7.4289640000000004E-2</v>
      </c>
      <c r="W4217">
        <v>0.21285309999999999</v>
      </c>
      <c r="X4217">
        <v>0.97425589999999995</v>
      </c>
      <c r="Y4217">
        <v>0.1224037</v>
      </c>
      <c r="Z4217">
        <v>-2.5823759999999999E-3</v>
      </c>
      <c r="AA4217">
        <v>0.9924771</v>
      </c>
      <c r="AB4217">
        <v>29</v>
      </c>
      <c r="AC4217">
        <v>0.530000000000029</v>
      </c>
      <c r="AD4217">
        <v>-0.19224619999999901</v>
      </c>
      <c r="AE4217">
        <v>-0.13761999999999799</v>
      </c>
      <c r="AF4217">
        <v>9.6112126874915105E-2</v>
      </c>
      <c r="AG4217">
        <v>-0.19224619999999901</v>
      </c>
      <c r="AH4217">
        <v>0.47791888094407398</v>
      </c>
      <c r="AI4217">
        <v>111.522359526518</v>
      </c>
      <c r="AJ4217">
        <v>78.629174873057707</v>
      </c>
      <c r="AK4217">
        <v>0.52402538021521095</v>
      </c>
      <c r="AL4217">
        <v>77.710395890260898</v>
      </c>
      <c r="AM4217">
        <v>94.360519406956897</v>
      </c>
      <c r="AN4217">
        <v>0.99999997573787403</v>
      </c>
    </row>
    <row r="4218" spans="1:40" x14ac:dyDescent="0.25">
      <c r="A4218" t="str">
        <f>"20190303170855102"</f>
        <v>20190303170855102</v>
      </c>
      <c r="B4218" t="str">
        <f>"1551604135098355"</f>
        <v>1551604135098355</v>
      </c>
      <c r="C4218" t="s">
        <v>40</v>
      </c>
      <c r="D4218">
        <v>4.9097549999999996</v>
      </c>
      <c r="E4218">
        <v>0.60003149999999905</v>
      </c>
      <c r="F4218" t="s">
        <v>47</v>
      </c>
      <c r="G4218">
        <v>-398.20769999999999</v>
      </c>
      <c r="H4218">
        <v>0.93907269999999998</v>
      </c>
      <c r="I4218">
        <v>14.979950000000001</v>
      </c>
      <c r="J4218">
        <v>-398.71359999999999</v>
      </c>
      <c r="K4218">
        <v>1.1240600000000001</v>
      </c>
      <c r="L4218">
        <v>15.112299999999999</v>
      </c>
      <c r="M4218">
        <v>0.99859229999999999</v>
      </c>
      <c r="N4218">
        <v>-1.10411E-2</v>
      </c>
      <c r="O4218">
        <v>-5.1880130000000003E-2</v>
      </c>
      <c r="P4218">
        <v>0.97905279999999995</v>
      </c>
      <c r="Q4218">
        <v>0.20269290000000001</v>
      </c>
      <c r="R4218">
        <v>1.9268E-2</v>
      </c>
      <c r="S4218">
        <v>3.2307739999999998</v>
      </c>
      <c r="T4218">
        <v>-0.75128269999999997</v>
      </c>
      <c r="U4218">
        <v>-0.58679199999999998</v>
      </c>
      <c r="V4218">
        <v>-7.1679359999999998E-2</v>
      </c>
      <c r="W4218">
        <v>0.21291930000000001</v>
      </c>
      <c r="X4218">
        <v>0.974437</v>
      </c>
      <c r="Y4218">
        <v>0.12523570000000001</v>
      </c>
      <c r="Z4218">
        <v>-3.7308020000000001E-3</v>
      </c>
      <c r="AA4218">
        <v>0.99212</v>
      </c>
      <c r="AB4218">
        <v>29</v>
      </c>
      <c r="AC4218">
        <v>0.50589999999999602</v>
      </c>
      <c r="AD4218">
        <v>-0.18498729999999999</v>
      </c>
      <c r="AE4218">
        <v>-0.132349999999998</v>
      </c>
      <c r="AF4218">
        <v>9.4142756267716704E-2</v>
      </c>
      <c r="AG4218">
        <v>-0.18498729999999999</v>
      </c>
      <c r="AH4218">
        <v>0.45512948058998598</v>
      </c>
      <c r="AI4218">
        <v>111.70374468958801</v>
      </c>
      <c r="AJ4218">
        <v>78.313282355996904</v>
      </c>
      <c r="AK4218">
        <v>0.500225952766431</v>
      </c>
      <c r="AL4218">
        <v>77.706514388048703</v>
      </c>
      <c r="AM4218">
        <v>94.207086949463005</v>
      </c>
      <c r="AN4218">
        <v>1.00000001296574</v>
      </c>
    </row>
    <row r="4219" spans="1:40" x14ac:dyDescent="0.25">
      <c r="A4219" t="str">
        <f>"20190303170855124"</f>
        <v>20190303170855124</v>
      </c>
      <c r="B4219" t="str">
        <f>"1551604135117876"</f>
        <v>1551604135117876</v>
      </c>
      <c r="C4219" t="s">
        <v>40</v>
      </c>
      <c r="D4219">
        <v>4.9522950000000003</v>
      </c>
      <c r="E4219">
        <v>0.59906479999999995</v>
      </c>
      <c r="F4219" t="s">
        <v>47</v>
      </c>
      <c r="G4219">
        <v>-397.9264</v>
      </c>
      <c r="H4219">
        <v>0.98020879999999999</v>
      </c>
      <c r="I4219">
        <v>14.945080000000001</v>
      </c>
      <c r="J4219">
        <v>-398.41550000000001</v>
      </c>
      <c r="K4219">
        <v>1.123969</v>
      </c>
      <c r="L4219">
        <v>15.100829999999901</v>
      </c>
      <c r="M4219">
        <v>0.99877229999999995</v>
      </c>
      <c r="N4219">
        <v>-1.124609E-2</v>
      </c>
      <c r="O4219">
        <v>-4.8245620000000003E-2</v>
      </c>
      <c r="P4219">
        <v>0.97911380000000003</v>
      </c>
      <c r="Q4219">
        <v>0.2022815</v>
      </c>
      <c r="R4219">
        <v>2.0456240000000001E-2</v>
      </c>
      <c r="S4219">
        <v>3.1985779999999999</v>
      </c>
      <c r="T4219">
        <v>-0.58489599999999997</v>
      </c>
      <c r="U4219">
        <v>-0.67785640000000003</v>
      </c>
      <c r="V4219">
        <v>-6.9243700000000005E-2</v>
      </c>
      <c r="W4219">
        <v>0.212751</v>
      </c>
      <c r="X4219">
        <v>0.97464980000000001</v>
      </c>
      <c r="Y4219">
        <v>0.15788829999999901</v>
      </c>
      <c r="Z4219">
        <v>-6.9596019999999996E-3</v>
      </c>
      <c r="AA4219">
        <v>0.98743250000000005</v>
      </c>
      <c r="AB4219">
        <v>29</v>
      </c>
      <c r="AC4219">
        <v>0.48910000000000697</v>
      </c>
      <c r="AD4219">
        <v>-0.1437602</v>
      </c>
      <c r="AE4219">
        <v>-0.155749999999999</v>
      </c>
      <c r="AF4219">
        <v>0.122371429837176</v>
      </c>
      <c r="AG4219">
        <v>-0.1437602</v>
      </c>
      <c r="AH4219">
        <v>0.45996562636888999</v>
      </c>
      <c r="AI4219">
        <v>106.80637056504</v>
      </c>
      <c r="AJ4219">
        <v>75.101856671516799</v>
      </c>
      <c r="AK4219">
        <v>0.49720231232905598</v>
      </c>
      <c r="AL4219">
        <v>77.716382665662593</v>
      </c>
      <c r="AM4219">
        <v>94.063733462308704</v>
      </c>
      <c r="AN4219">
        <v>0.99999995531536401</v>
      </c>
    </row>
    <row r="4220" spans="1:40" x14ac:dyDescent="0.25">
      <c r="A4220" t="str">
        <f>"20190303170855146"</f>
        <v>20190303170855146</v>
      </c>
      <c r="B4220" t="str">
        <f>"1551604135137396"</f>
        <v>1551604135137396</v>
      </c>
      <c r="C4220" t="s">
        <v>40</v>
      </c>
      <c r="D4220">
        <v>4.9169229999999997</v>
      </c>
      <c r="E4220">
        <v>0.59873160000000003</v>
      </c>
      <c r="F4220" t="s">
        <v>47</v>
      </c>
      <c r="G4220">
        <v>-397.66129999999998</v>
      </c>
      <c r="H4220">
        <v>0.98565349999999996</v>
      </c>
      <c r="I4220">
        <v>14.943809999999999</v>
      </c>
      <c r="J4220">
        <v>-398.13380000000001</v>
      </c>
      <c r="K4220">
        <v>1.1239049999999999</v>
      </c>
      <c r="L4220">
        <v>15.09088</v>
      </c>
      <c r="M4220">
        <v>0.9989247</v>
      </c>
      <c r="N4220">
        <v>-1.148212E-2</v>
      </c>
      <c r="O4220">
        <v>-4.491974E-2</v>
      </c>
      <c r="P4220">
        <v>0.97912770000000005</v>
      </c>
      <c r="Q4220">
        <v>0.20207149999999999</v>
      </c>
      <c r="R4220">
        <v>2.183065E-2</v>
      </c>
      <c r="S4220">
        <v>3.1991580000000002</v>
      </c>
      <c r="T4220">
        <v>-0.58699730000000006</v>
      </c>
      <c r="U4220">
        <v>-0.66488649999999905</v>
      </c>
      <c r="V4220">
        <v>-6.7304749999999997E-2</v>
      </c>
      <c r="W4220">
        <v>0.2128061</v>
      </c>
      <c r="X4220">
        <v>0.97477360000000002</v>
      </c>
      <c r="Y4220">
        <v>0.15724850000000001</v>
      </c>
      <c r="Z4220">
        <v>-7.5083179999999999E-3</v>
      </c>
      <c r="AA4220">
        <v>0.98753049999999998</v>
      </c>
      <c r="AB4220">
        <v>29</v>
      </c>
      <c r="AC4220">
        <v>0.47250000000002501</v>
      </c>
      <c r="AD4220">
        <v>-0.138251499999999</v>
      </c>
      <c r="AE4220">
        <v>-0.14706999999999701</v>
      </c>
      <c r="AF4220">
        <v>0.11659523000345599</v>
      </c>
      <c r="AG4220">
        <v>-0.138251499999999</v>
      </c>
      <c r="AH4220">
        <v>0.44397711276057999</v>
      </c>
      <c r="AI4220">
        <v>106.761287904444</v>
      </c>
      <c r="AJ4220">
        <v>75.285510220509494</v>
      </c>
      <c r="AK4220">
        <v>0.47939920897622401</v>
      </c>
      <c r="AL4220">
        <v>77.713151843389298</v>
      </c>
      <c r="AM4220">
        <v>93.949806819983394</v>
      </c>
      <c r="AN4220">
        <v>0.99999996841336503</v>
      </c>
    </row>
    <row r="4221" spans="1:40" x14ac:dyDescent="0.25">
      <c r="A4221" t="str">
        <f>"20190303170855168"</f>
        <v>20190303170855168</v>
      </c>
      <c r="B4221" t="str">
        <f>"1551604135157893"</f>
        <v>1551604135157893</v>
      </c>
      <c r="C4221" t="s">
        <v>40</v>
      </c>
      <c r="D4221">
        <v>4.8954760000000004</v>
      </c>
      <c r="E4221">
        <v>0.59771240000000003</v>
      </c>
      <c r="F4221" t="s">
        <v>47</v>
      </c>
      <c r="G4221">
        <v>-397.39780000000002</v>
      </c>
      <c r="H4221">
        <v>0.98886759999999996</v>
      </c>
      <c r="I4221">
        <v>14.939220000000001</v>
      </c>
      <c r="J4221">
        <v>-397.84199999999998</v>
      </c>
      <c r="K4221">
        <v>1.1238520000000001</v>
      </c>
      <c r="L4221">
        <v>15.08142</v>
      </c>
      <c r="M4221">
        <v>0.99906709999999999</v>
      </c>
      <c r="N4221">
        <v>-1.175555E-2</v>
      </c>
      <c r="O4221">
        <v>-4.1558270000000001E-2</v>
      </c>
      <c r="P4221">
        <v>0.97898719999999995</v>
      </c>
      <c r="Q4221">
        <v>0.2026078</v>
      </c>
      <c r="R4221">
        <v>2.31203E-2</v>
      </c>
      <c r="S4221">
        <v>3.1998600000000001</v>
      </c>
      <c r="T4221">
        <v>-0.58741999999999905</v>
      </c>
      <c r="U4221">
        <v>-0.65795899999999996</v>
      </c>
      <c r="V4221">
        <v>-6.5251009999999998E-2</v>
      </c>
      <c r="W4221">
        <v>0.21364</v>
      </c>
      <c r="X4221">
        <v>0.97473080000000001</v>
      </c>
      <c r="Y4221">
        <v>0.1584006</v>
      </c>
      <c r="Z4221">
        <v>-8.2222860000000005E-3</v>
      </c>
      <c r="AA4221">
        <v>0.98734069999999996</v>
      </c>
      <c r="AB4221">
        <v>29</v>
      </c>
      <c r="AC4221">
        <v>0.44419999999996601</v>
      </c>
      <c r="AD4221">
        <v>-0.1349844</v>
      </c>
      <c r="AE4221">
        <v>-0.14219999999999999</v>
      </c>
      <c r="AF4221">
        <v>0.11406180835928301</v>
      </c>
      <c r="AG4221">
        <v>-0.1349844</v>
      </c>
      <c r="AH4221">
        <v>0.41496825574686802</v>
      </c>
      <c r="AI4221">
        <v>107.414317020086</v>
      </c>
      <c r="AJ4221">
        <v>74.630740000580005</v>
      </c>
      <c r="AK4221">
        <v>0.45103163708009297</v>
      </c>
      <c r="AL4221">
        <v>77.664247902415497</v>
      </c>
      <c r="AM4221">
        <v>93.829814169005601</v>
      </c>
      <c r="AN4221">
        <v>0.99999993818732802</v>
      </c>
    </row>
    <row r="4222" spans="1:40" x14ac:dyDescent="0.25">
      <c r="A4222" t="str">
        <f>"20190303170855191"</f>
        <v>20190303170855191</v>
      </c>
      <c r="B4222" t="str">
        <f>"1551604135177412"</f>
        <v>1551604135177412</v>
      </c>
      <c r="C4222" t="s">
        <v>40</v>
      </c>
      <c r="D4222">
        <v>4.8700729999999997</v>
      </c>
      <c r="E4222">
        <v>0.59742959999999901</v>
      </c>
      <c r="F4222" t="s">
        <v>47</v>
      </c>
      <c r="G4222">
        <v>-397.13380000000001</v>
      </c>
      <c r="H4222">
        <v>0.99345019999999995</v>
      </c>
      <c r="I4222">
        <v>14.93882</v>
      </c>
      <c r="J4222">
        <v>-397.55549999999999</v>
      </c>
      <c r="K4222">
        <v>1.123804</v>
      </c>
      <c r="L4222">
        <v>15.073090000000001</v>
      </c>
      <c r="M4222">
        <v>0.99919230000000003</v>
      </c>
      <c r="N4222">
        <v>-1.2024730000000001E-2</v>
      </c>
      <c r="O4222">
        <v>-3.8342519999999998E-2</v>
      </c>
      <c r="P4222">
        <v>0.97890820000000001</v>
      </c>
      <c r="Q4222">
        <v>0.2028721</v>
      </c>
      <c r="R4222">
        <v>2.4121980000000001E-2</v>
      </c>
      <c r="S4222">
        <v>3.20166</v>
      </c>
      <c r="T4222">
        <v>-0.58961830000000004</v>
      </c>
      <c r="U4222">
        <v>-0.64404300000000003</v>
      </c>
      <c r="V4222">
        <v>-6.3060340000000006E-2</v>
      </c>
      <c r="W4222">
        <v>0.2141961</v>
      </c>
      <c r="X4222">
        <v>0.97475299999999998</v>
      </c>
      <c r="Y4222">
        <v>0.1572993</v>
      </c>
      <c r="Z4222">
        <v>-8.7145209999999994E-3</v>
      </c>
      <c r="AA4222">
        <v>0.98751250000000002</v>
      </c>
      <c r="AB4222">
        <v>29</v>
      </c>
      <c r="AC4222">
        <v>0.42169999999998697</v>
      </c>
      <c r="AD4222">
        <v>-0.13035379999999899</v>
      </c>
      <c r="AE4222">
        <v>-0.134269999999997</v>
      </c>
      <c r="AF4222">
        <v>0.10858091656384</v>
      </c>
      <c r="AG4222">
        <v>-0.13035379999999899</v>
      </c>
      <c r="AH4222">
        <v>0.39248754880320202</v>
      </c>
      <c r="AI4222">
        <v>107.749801168179</v>
      </c>
      <c r="AJ4222">
        <v>74.535998196578504</v>
      </c>
      <c r="AK4222">
        <v>0.42758438299571899</v>
      </c>
      <c r="AL4222">
        <v>77.631631374056994</v>
      </c>
      <c r="AM4222">
        <v>93.701515532012294</v>
      </c>
      <c r="AN4222">
        <v>0.99999999337256196</v>
      </c>
    </row>
    <row r="4223" spans="1:40" x14ac:dyDescent="0.25">
      <c r="A4223" t="str">
        <f>"20190303170855211"</f>
        <v>20190303170855211</v>
      </c>
      <c r="B4223" t="str">
        <f>"1551604135207669"</f>
        <v>1551604135207669</v>
      </c>
      <c r="C4223" t="s">
        <v>40</v>
      </c>
      <c r="D4223">
        <v>4.8223419999999999</v>
      </c>
      <c r="E4223">
        <v>0.59663940000000004</v>
      </c>
      <c r="F4223" t="s">
        <v>47</v>
      </c>
      <c r="G4223">
        <v>-396.63049999999998</v>
      </c>
      <c r="H4223">
        <v>0.95341849999999995</v>
      </c>
      <c r="I4223">
        <v>14.889189999999999</v>
      </c>
      <c r="J4223">
        <v>-397.27850000000001</v>
      </c>
      <c r="K4223">
        <v>1.1237539999999999</v>
      </c>
      <c r="L4223">
        <v>15.065799999999999</v>
      </c>
      <c r="M4223">
        <v>0.99930059999999998</v>
      </c>
      <c r="N4223">
        <v>-1.2268340000000001E-2</v>
      </c>
      <c r="O4223">
        <v>-3.5325750000000003E-2</v>
      </c>
      <c r="P4223">
        <v>0.97899610000000004</v>
      </c>
      <c r="Q4223">
        <v>0.20233280000000001</v>
      </c>
      <c r="R4223">
        <v>2.5067019999999999E-2</v>
      </c>
      <c r="S4223">
        <v>3.2026059999999998</v>
      </c>
      <c r="T4223">
        <v>-0.59021469999999998</v>
      </c>
      <c r="U4223">
        <v>-0.63583369999999995</v>
      </c>
      <c r="V4223">
        <v>-6.1011860000000001E-2</v>
      </c>
      <c r="W4223">
        <v>0.21392269999999999</v>
      </c>
      <c r="X4223">
        <v>0.97494340000000002</v>
      </c>
      <c r="Y4223">
        <v>0.1577296</v>
      </c>
      <c r="Z4223">
        <v>-9.3000340000000004E-3</v>
      </c>
      <c r="AA4223">
        <v>0.98743860000000006</v>
      </c>
      <c r="AB4223">
        <v>29</v>
      </c>
      <c r="AC4223">
        <v>0.648000000000024</v>
      </c>
      <c r="AD4223">
        <v>-0.1703355</v>
      </c>
      <c r="AE4223">
        <v>-0.17660999999999999</v>
      </c>
      <c r="AF4223">
        <v>0.14432409989775399</v>
      </c>
      <c r="AG4223">
        <v>-0.1703355</v>
      </c>
      <c r="AH4223">
        <v>0.61432199531278797</v>
      </c>
      <c r="AI4223">
        <v>105.105569918269</v>
      </c>
      <c r="AJ4223">
        <v>76.779122964060704</v>
      </c>
      <c r="AK4223">
        <v>0.65363226840222</v>
      </c>
      <c r="AL4223">
        <v>77.647667847960406</v>
      </c>
      <c r="AM4223">
        <v>93.580894444157593</v>
      </c>
      <c r="AN4223">
        <v>1.0000000009197501</v>
      </c>
    </row>
    <row r="4224" spans="1:40" x14ac:dyDescent="0.25">
      <c r="A4224" t="str">
        <f>"20190303170855234"</f>
        <v>20190303170855234</v>
      </c>
      <c r="B4224" t="str">
        <f>"1551604135228164"</f>
        <v>1551604135228164</v>
      </c>
      <c r="C4224" t="s">
        <v>40</v>
      </c>
      <c r="D4224">
        <v>4.7908790000000003</v>
      </c>
      <c r="E4224">
        <v>0.5961651</v>
      </c>
      <c r="F4224" t="s">
        <v>47</v>
      </c>
      <c r="G4224">
        <v>-396.36880000000002</v>
      </c>
      <c r="H4224">
        <v>0.95544340000000005</v>
      </c>
      <c r="I4224">
        <v>14.88785</v>
      </c>
      <c r="J4224">
        <v>-396.97789999999998</v>
      </c>
      <c r="K4224">
        <v>1.1236950000000001</v>
      </c>
      <c r="L4224">
        <v>15.05878</v>
      </c>
      <c r="M4224">
        <v>0.99940519999999999</v>
      </c>
      <c r="N4224">
        <v>-1.2510479999999999E-2</v>
      </c>
      <c r="O4224">
        <v>-3.2137449999999998E-2</v>
      </c>
      <c r="P4224">
        <v>0.97915399999999997</v>
      </c>
      <c r="Q4224">
        <v>0.20137540000000001</v>
      </c>
      <c r="R4224">
        <v>2.6566929999999999E-2</v>
      </c>
      <c r="S4224">
        <v>3.2028500000000002</v>
      </c>
      <c r="T4224">
        <v>-0.59277080000000004</v>
      </c>
      <c r="U4224">
        <v>-0.6254883</v>
      </c>
      <c r="V4224">
        <v>-5.9348320000000003E-2</v>
      </c>
      <c r="W4224">
        <v>0.21322820000000001</v>
      </c>
      <c r="X4224">
        <v>0.97519820000000002</v>
      </c>
      <c r="Y4224">
        <v>0.15772410000000001</v>
      </c>
      <c r="Z4224">
        <v>-9.9018590000000007E-3</v>
      </c>
      <c r="AA4224">
        <v>0.98743360000000002</v>
      </c>
      <c r="AB4224">
        <v>29</v>
      </c>
      <c r="AC4224">
        <v>0.60909999999995501</v>
      </c>
      <c r="AD4224">
        <v>-0.168251599999999</v>
      </c>
      <c r="AE4224">
        <v>-0.170929999999998</v>
      </c>
      <c r="AF4224">
        <v>0.14127265642758899</v>
      </c>
      <c r="AG4224">
        <v>-0.168251599999999</v>
      </c>
      <c r="AH4224">
        <v>0.57369972411616099</v>
      </c>
      <c r="AI4224">
        <v>105.895247624059</v>
      </c>
      <c r="AJ4224">
        <v>76.166239480489693</v>
      </c>
      <c r="AK4224">
        <v>0.61432722372334103</v>
      </c>
      <c r="AL4224">
        <v>77.688399687459196</v>
      </c>
      <c r="AM4224">
        <v>93.482594180655994</v>
      </c>
      <c r="AN4224">
        <v>1.0000000088226499</v>
      </c>
    </row>
    <row r="4225" spans="1:40" x14ac:dyDescent="0.25">
      <c r="A4225" t="str">
        <f>"20190303170855257"</f>
        <v>20190303170855257</v>
      </c>
      <c r="B4225" t="str">
        <f>"1551604135247684"</f>
        <v>1551604135247684</v>
      </c>
      <c r="C4225" t="s">
        <v>40</v>
      </c>
      <c r="D4225">
        <v>4.7821730000000002</v>
      </c>
      <c r="E4225">
        <v>0.5957325</v>
      </c>
      <c r="F4225" t="s">
        <v>47</v>
      </c>
      <c r="G4225">
        <v>-396.10550000000001</v>
      </c>
      <c r="H4225">
        <v>0.96159119999999998</v>
      </c>
      <c r="I4225">
        <v>14.89034</v>
      </c>
      <c r="J4225">
        <v>-396.67720000000003</v>
      </c>
      <c r="K4225">
        <v>1.123618</v>
      </c>
      <c r="L4225">
        <v>15.05264</v>
      </c>
      <c r="M4225">
        <v>0.99949659999999996</v>
      </c>
      <c r="N4225">
        <v>-1.273037E-2</v>
      </c>
      <c r="O4225">
        <v>-2.905895E-2</v>
      </c>
      <c r="P4225">
        <v>0.97904380000000002</v>
      </c>
      <c r="Q4225">
        <v>0.20170920000000001</v>
      </c>
      <c r="R4225">
        <v>2.8045810000000001E-2</v>
      </c>
      <c r="S4225">
        <v>3.203033</v>
      </c>
      <c r="T4225">
        <v>-0.5951748</v>
      </c>
      <c r="U4225">
        <v>-0.61831669999999905</v>
      </c>
      <c r="V4225">
        <v>-5.7764950000000002E-2</v>
      </c>
      <c r="W4225">
        <v>0.2137993</v>
      </c>
      <c r="X4225">
        <v>0.97516820000000004</v>
      </c>
      <c r="Y4225">
        <v>0.1585416</v>
      </c>
      <c r="Z4225">
        <v>-1.0563990000000001E-2</v>
      </c>
      <c r="AA4225">
        <v>0.98729579999999995</v>
      </c>
      <c r="AB4225">
        <v>29</v>
      </c>
      <c r="AC4225">
        <v>0.57170000000002097</v>
      </c>
      <c r="AD4225">
        <v>-0.1620268</v>
      </c>
      <c r="AE4225">
        <v>-0.1623</v>
      </c>
      <c r="AF4225">
        <v>0.13554201274626301</v>
      </c>
      <c r="AG4225">
        <v>-0.1620268</v>
      </c>
      <c r="AH4225">
        <v>0.53631024994160603</v>
      </c>
      <c r="AI4225">
        <v>106.325540589036</v>
      </c>
      <c r="AJ4225">
        <v>75.816602446300806</v>
      </c>
      <c r="AK4225">
        <v>0.57641391840410705</v>
      </c>
      <c r="AL4225">
        <v>77.654905264093301</v>
      </c>
      <c r="AM4225">
        <v>93.390004778978195</v>
      </c>
      <c r="AN4225">
        <v>0.99999997421011599</v>
      </c>
    </row>
    <row r="4226" spans="1:40" x14ac:dyDescent="0.25">
      <c r="A4226" t="str">
        <f>"20190303170855280"</f>
        <v>20190303170855280</v>
      </c>
      <c r="B4226" t="str">
        <f>"1551604135277940"</f>
        <v>1551604135277940</v>
      </c>
      <c r="C4226" t="s">
        <v>40</v>
      </c>
      <c r="D4226">
        <v>4.8414780000000004</v>
      </c>
      <c r="E4226">
        <v>0.59255170000000001</v>
      </c>
      <c r="F4226" t="s">
        <v>47</v>
      </c>
      <c r="G4226">
        <v>-395.84160000000003</v>
      </c>
      <c r="H4226">
        <v>0.96899389999999996</v>
      </c>
      <c r="I4226">
        <v>14.8929299999999</v>
      </c>
      <c r="J4226">
        <v>-396.3793</v>
      </c>
      <c r="K4226">
        <v>1.123521</v>
      </c>
      <c r="L4226">
        <v>15.047269999999999</v>
      </c>
      <c r="M4226">
        <v>0.99957419999999997</v>
      </c>
      <c r="N4226">
        <v>-1.29251E-2</v>
      </c>
      <c r="O4226">
        <v>-2.6161420000000001E-2</v>
      </c>
      <c r="P4226">
        <v>0.97880820000000002</v>
      </c>
      <c r="Q4226">
        <v>0.2027571</v>
      </c>
      <c r="R4226">
        <v>2.8707770000000001E-2</v>
      </c>
      <c r="S4226">
        <v>3.2039179999999998</v>
      </c>
      <c r="T4226">
        <v>-0.59309489999999998</v>
      </c>
      <c r="U4226">
        <v>-0.61105350000000003</v>
      </c>
      <c r="V4226">
        <v>-5.5528630000000002E-2</v>
      </c>
      <c r="W4226">
        <v>0.2150656</v>
      </c>
      <c r="X4226">
        <v>0.97501959999999999</v>
      </c>
      <c r="Y4226">
        <v>0.15915299999999999</v>
      </c>
      <c r="Z4226">
        <v>-1.110212E-2</v>
      </c>
      <c r="AA4226">
        <v>0.9871915</v>
      </c>
      <c r="AB4226">
        <v>29</v>
      </c>
      <c r="AC4226">
        <v>0.53769999999997198</v>
      </c>
      <c r="AD4226">
        <v>-0.154527099999999</v>
      </c>
      <c r="AE4226">
        <v>-0.154340000000003</v>
      </c>
      <c r="AF4226">
        <v>0.13027828710687001</v>
      </c>
      <c r="AG4226">
        <v>-0.154527099999999</v>
      </c>
      <c r="AH4226">
        <v>0.50316100396055696</v>
      </c>
      <c r="AI4226">
        <v>106.55766562963299</v>
      </c>
      <c r="AJ4226">
        <v>75.483777370701304</v>
      </c>
      <c r="AK4226">
        <v>0.54223800367781805</v>
      </c>
      <c r="AL4226">
        <v>77.580623186007202</v>
      </c>
      <c r="AM4226">
        <v>93.259547890200594</v>
      </c>
      <c r="AN4226">
        <v>0.99999993071859605</v>
      </c>
    </row>
    <row r="4227" spans="1:40" x14ac:dyDescent="0.25">
      <c r="A4227" t="str">
        <f>"20190303170855304"</f>
        <v>20190303170855304</v>
      </c>
      <c r="B4227" t="str">
        <f>"1551604135297460"</f>
        <v>1551604135297460</v>
      </c>
      <c r="C4227" t="s">
        <v>40</v>
      </c>
      <c r="D4227">
        <v>4.6599500000000003</v>
      </c>
      <c r="E4227">
        <v>0.52449799999999902</v>
      </c>
      <c r="F4227" t="s">
        <v>47</v>
      </c>
      <c r="G4227">
        <v>-395.5779</v>
      </c>
      <c r="H4227">
        <v>0.97690529999999998</v>
      </c>
      <c r="I4227">
        <v>14.90142</v>
      </c>
      <c r="J4227">
        <v>-396.07260000000002</v>
      </c>
      <c r="K4227">
        <v>1.123372</v>
      </c>
      <c r="L4227">
        <v>15.042450000000001</v>
      </c>
      <c r="M4227">
        <v>0.99964050000000004</v>
      </c>
      <c r="N4227">
        <v>-1.3101109999999999E-2</v>
      </c>
      <c r="O4227">
        <v>-2.339695E-2</v>
      </c>
      <c r="P4227">
        <v>0.97863829999999996</v>
      </c>
      <c r="Q4227">
        <v>0.20339499999999999</v>
      </c>
      <c r="R4227">
        <v>2.9963469999999999E-2</v>
      </c>
      <c r="S4227">
        <v>3.2033999999999998</v>
      </c>
      <c r="T4227">
        <v>-0.58613559999999998</v>
      </c>
      <c r="U4227">
        <v>-0.58209230000000001</v>
      </c>
      <c r="V4227">
        <v>-5.3991499999999998E-2</v>
      </c>
      <c r="W4227">
        <v>0.21590519999999999</v>
      </c>
      <c r="X4227">
        <v>0.97492049999999997</v>
      </c>
      <c r="Y4227">
        <v>0.15338879999999999</v>
      </c>
      <c r="Z4227">
        <v>-1.0921109999999999E-2</v>
      </c>
      <c r="AA4227">
        <v>0.98810549999999997</v>
      </c>
      <c r="AB4227">
        <v>29</v>
      </c>
      <c r="AC4227">
        <v>0.49470000000002201</v>
      </c>
      <c r="AD4227">
        <v>-0.14646670000000001</v>
      </c>
      <c r="AE4227">
        <v>-0.14102999999999799</v>
      </c>
      <c r="AF4227">
        <v>0.119710977403679</v>
      </c>
      <c r="AG4227">
        <v>-0.14646670000000001</v>
      </c>
      <c r="AH4227">
        <v>0.46052947309452502</v>
      </c>
      <c r="AI4227">
        <v>107.10891064104101</v>
      </c>
      <c r="AJ4227">
        <v>75.428893654186695</v>
      </c>
      <c r="AK4227">
        <v>0.49786605418380903</v>
      </c>
      <c r="AL4227">
        <v>77.531361944931007</v>
      </c>
      <c r="AM4227">
        <v>93.169825974356897</v>
      </c>
      <c r="AN4227">
        <v>1.00000005938976</v>
      </c>
    </row>
    <row r="4228" spans="1:40" x14ac:dyDescent="0.25">
      <c r="A4228" t="str">
        <f>"20190303170855325"</f>
        <v>20190303170855325</v>
      </c>
      <c r="B4228" t="str">
        <f>"1551604135317956"</f>
        <v>1551604135317956</v>
      </c>
      <c r="C4228" t="s">
        <v>40</v>
      </c>
      <c r="D4228">
        <v>4.5961589999999903</v>
      </c>
      <c r="E4228">
        <v>0.5147349</v>
      </c>
      <c r="F4228" t="s">
        <v>102</v>
      </c>
      <c r="G4228">
        <v>-384.8836</v>
      </c>
      <c r="H4228" s="1">
        <v>-3.2616400000000001E-6</v>
      </c>
      <c r="I4228">
        <v>14.86586</v>
      </c>
      <c r="J4228">
        <v>-395.79750000000001</v>
      </c>
      <c r="K4228">
        <v>1.123184</v>
      </c>
      <c r="L4228">
        <v>15.038600000000001</v>
      </c>
      <c r="M4228">
        <v>0.99968840000000003</v>
      </c>
      <c r="N4228">
        <v>-1.323854E-2</v>
      </c>
      <c r="O4228">
        <v>-2.116347E-2</v>
      </c>
      <c r="P4228">
        <v>0.97888679999999995</v>
      </c>
      <c r="Q4228">
        <v>0.20190060000000001</v>
      </c>
      <c r="R4228">
        <v>3.1888819999999998E-2</v>
      </c>
      <c r="S4228">
        <v>3.1323850000000002</v>
      </c>
      <c r="T4228">
        <v>-0.3144923</v>
      </c>
      <c r="U4228">
        <v>-4.943848E-2</v>
      </c>
      <c r="V4228">
        <v>-5.3628710000000003E-2</v>
      </c>
      <c r="W4228">
        <v>0.21457570000000001</v>
      </c>
      <c r="X4228">
        <v>0.97523389999999999</v>
      </c>
      <c r="Y4228">
        <v>-5.2750039999999998E-3</v>
      </c>
      <c r="Z4228">
        <v>2.1387110000000002E-3</v>
      </c>
      <c r="AA4228">
        <v>0.99998379999999998</v>
      </c>
      <c r="AB4228">
        <v>29</v>
      </c>
      <c r="AC4228">
        <v>10.9139</v>
      </c>
      <c r="AD4228">
        <v>-1.1231872616399901</v>
      </c>
      <c r="AE4228">
        <v>-0.17273999999999901</v>
      </c>
      <c r="AF4228">
        <v>-5.7684138031743798E-2</v>
      </c>
      <c r="AG4228">
        <v>-1.1231872616399901</v>
      </c>
      <c r="AH4228">
        <v>10.8007472473638</v>
      </c>
      <c r="AI4228">
        <v>95.936857338281897</v>
      </c>
      <c r="AJ4228">
        <v>90.305999775274998</v>
      </c>
      <c r="AK4228">
        <v>10.859144449998199</v>
      </c>
      <c r="AL4228">
        <v>77.609363800073595</v>
      </c>
      <c r="AM4228">
        <v>93.147559887057795</v>
      </c>
      <c r="AN4228">
        <v>0.99999996463798102</v>
      </c>
    </row>
    <row r="4229" spans="1:40" x14ac:dyDescent="0.25">
      <c r="A4229" t="str">
        <f>"20190303170855346"</f>
        <v>20190303170855346</v>
      </c>
      <c r="B4229" t="str">
        <f>"1551604135337476"</f>
        <v>1551604135337476</v>
      </c>
      <c r="C4229" t="s">
        <v>40</v>
      </c>
      <c r="D4229">
        <v>4.5866939999999996</v>
      </c>
      <c r="E4229">
        <v>0.50964279999999995</v>
      </c>
      <c r="F4229" t="s">
        <v>101</v>
      </c>
      <c r="G4229">
        <v>-379.50420000000003</v>
      </c>
      <c r="H4229" s="1">
        <v>-1.3554819999999999E-6</v>
      </c>
      <c r="I4229">
        <v>15.178269999999999</v>
      </c>
      <c r="J4229">
        <v>-395.52659999999997</v>
      </c>
      <c r="K4229">
        <v>1.122962</v>
      </c>
      <c r="L4229">
        <v>15.035130000000001</v>
      </c>
      <c r="M4229">
        <v>0.99972589999999995</v>
      </c>
      <c r="N4229">
        <v>-1.33571E-2</v>
      </c>
      <c r="O4229">
        <v>-1.9231660000000001E-2</v>
      </c>
      <c r="P4229">
        <v>0.9791088</v>
      </c>
      <c r="Q4229">
        <v>0.200655</v>
      </c>
      <c r="R4229">
        <v>3.2919709999999998E-2</v>
      </c>
      <c r="S4229">
        <v>3.1080320000000001</v>
      </c>
      <c r="T4229">
        <v>-0.2142521</v>
      </c>
      <c r="U4229">
        <v>2.6641850000000002E-2</v>
      </c>
      <c r="V4229">
        <v>-5.2651080000000003E-2</v>
      </c>
      <c r="W4229">
        <v>0.21348300000000001</v>
      </c>
      <c r="X4229">
        <v>0.97552700000000003</v>
      </c>
      <c r="Y4229">
        <v>-2.7694549999999998E-2</v>
      </c>
      <c r="Z4229">
        <v>2.2061030000000001E-3</v>
      </c>
      <c r="AA4229">
        <v>0.999614</v>
      </c>
      <c r="AB4229">
        <v>29</v>
      </c>
      <c r="AC4229">
        <v>16.022399999999902</v>
      </c>
      <c r="AD4229">
        <v>-1.122963355482</v>
      </c>
      <c r="AE4229">
        <v>0.14314000000000199</v>
      </c>
      <c r="AF4229">
        <v>-0.44907258233654501</v>
      </c>
      <c r="AG4229">
        <v>-1.122963355482</v>
      </c>
      <c r="AH4229">
        <v>15.9383967934226</v>
      </c>
      <c r="AI4229">
        <v>94.02860554131</v>
      </c>
      <c r="AJ4229">
        <v>91.613911272022406</v>
      </c>
      <c r="AK4229">
        <v>15.984217379232099</v>
      </c>
      <c r="AL4229">
        <v>77.673456889111307</v>
      </c>
      <c r="AM4229">
        <v>93.089366680056202</v>
      </c>
      <c r="AN4229">
        <v>1.0000000276215799</v>
      </c>
    </row>
    <row r="4230" spans="1:40" x14ac:dyDescent="0.25">
      <c r="A4230" t="str">
        <f>"20190303170855370"</f>
        <v>20190303170855370</v>
      </c>
      <c r="B4230" t="str">
        <f>"1551604135357972"</f>
        <v>1551604135357972</v>
      </c>
      <c r="C4230" t="s">
        <v>40</v>
      </c>
      <c r="D4230">
        <v>4.7153429999999998</v>
      </c>
      <c r="E4230">
        <v>0.50651190000000001</v>
      </c>
      <c r="F4230" t="s">
        <v>101</v>
      </c>
      <c r="G4230">
        <v>-375.83800000000002</v>
      </c>
      <c r="H4230" s="1">
        <v>-2.6906929999999999E-6</v>
      </c>
      <c r="I4230">
        <v>15.45133</v>
      </c>
      <c r="J4230">
        <v>-395.22320000000002</v>
      </c>
      <c r="K4230">
        <v>1.1226910000000001</v>
      </c>
      <c r="L4230">
        <v>15.031459999999999</v>
      </c>
      <c r="M4230">
        <v>0.99975760000000002</v>
      </c>
      <c r="N4230">
        <v>-1.3472659999999999E-2</v>
      </c>
      <c r="O4230">
        <v>-1.7417530000000001E-2</v>
      </c>
      <c r="P4230">
        <v>0.97917650000000001</v>
      </c>
      <c r="Q4230">
        <v>0.20011680000000001</v>
      </c>
      <c r="R4230">
        <v>3.4159299999999997E-2</v>
      </c>
      <c r="S4230">
        <v>3.0980219999999998</v>
      </c>
      <c r="T4230">
        <v>-0.17669960000000001</v>
      </c>
      <c r="U4230">
        <v>6.5490720000000002E-2</v>
      </c>
      <c r="V4230">
        <v>-5.197036E-2</v>
      </c>
      <c r="W4230">
        <v>0.2130968</v>
      </c>
      <c r="X4230">
        <v>0.97564790000000001</v>
      </c>
      <c r="Y4230">
        <v>-3.8453050000000003E-2</v>
      </c>
      <c r="Z4230">
        <v>2.1129529999999999E-3</v>
      </c>
      <c r="AA4230">
        <v>0.99925819999999999</v>
      </c>
      <c r="AB4230">
        <v>29</v>
      </c>
      <c r="AC4230">
        <v>19.385200000000001</v>
      </c>
      <c r="AD4230">
        <v>-1.1226936906929901</v>
      </c>
      <c r="AE4230">
        <v>0.41986999999999702</v>
      </c>
      <c r="AF4230">
        <v>-0.75494820222671699</v>
      </c>
      <c r="AG4230">
        <v>-1.1226936906929901</v>
      </c>
      <c r="AH4230">
        <v>19.310206149994801</v>
      </c>
      <c r="AI4230">
        <v>93.324891445247204</v>
      </c>
      <c r="AJ4230">
        <v>92.2388848282894</v>
      </c>
      <c r="AK4230">
        <v>19.357542443876</v>
      </c>
      <c r="AL4230">
        <v>77.6961052790233</v>
      </c>
      <c r="AM4230">
        <v>93.049123306305106</v>
      </c>
      <c r="AN4230">
        <v>0.99999999463158895</v>
      </c>
    </row>
    <row r="4231" spans="1:40" x14ac:dyDescent="0.25">
      <c r="A4231" t="str">
        <f>"20190303170855390"</f>
        <v>20190303170855390</v>
      </c>
      <c r="B4231" t="str">
        <f>"1551604135377493"</f>
        <v>1551604135377493</v>
      </c>
      <c r="C4231" t="s">
        <v>40</v>
      </c>
      <c r="D4231">
        <v>4.7195309999999999</v>
      </c>
      <c r="E4231">
        <v>0.50492329999999996</v>
      </c>
      <c r="F4231" t="s">
        <v>101</v>
      </c>
      <c r="G4231">
        <v>-371.95179999999999</v>
      </c>
      <c r="H4231" s="1">
        <v>-4.4759940000000003E-6</v>
      </c>
      <c r="I4231">
        <v>15.72049</v>
      </c>
      <c r="J4231">
        <v>-394.96129999999999</v>
      </c>
      <c r="K4231">
        <v>1.12246</v>
      </c>
      <c r="L4231">
        <v>15.028409999999999</v>
      </c>
      <c r="M4231">
        <v>0.99977740000000004</v>
      </c>
      <c r="N4231">
        <v>-1.355894E-2</v>
      </c>
      <c r="O4231">
        <v>-1.617594E-2</v>
      </c>
      <c r="P4231">
        <v>0.9791126</v>
      </c>
      <c r="Q4231">
        <v>0.20039999999999999</v>
      </c>
      <c r="R4231">
        <v>3.4332460000000002E-2</v>
      </c>
      <c r="S4231">
        <v>3.0910950000000001</v>
      </c>
      <c r="T4231">
        <v>-0.14912510000000001</v>
      </c>
      <c r="U4231">
        <v>9.1522220000000001E-2</v>
      </c>
      <c r="V4231">
        <v>-5.0799900000000002E-2</v>
      </c>
      <c r="W4231">
        <v>0.2134984</v>
      </c>
      <c r="X4231">
        <v>0.97562179999999998</v>
      </c>
      <c r="Y4231">
        <v>-4.5684080000000002E-2</v>
      </c>
      <c r="Z4231">
        <v>1.9717110000000001E-3</v>
      </c>
      <c r="AA4231">
        <v>0.99895400000000001</v>
      </c>
      <c r="AB4231">
        <v>29</v>
      </c>
      <c r="AC4231">
        <v>23.009499999999999</v>
      </c>
      <c r="AD4231">
        <v>-1.1224644759939999</v>
      </c>
      <c r="AE4231">
        <v>0.69207999999999803</v>
      </c>
      <c r="AF4231">
        <v>-1.0616995827603899</v>
      </c>
      <c r="AG4231">
        <v>-1.1224644759939999</v>
      </c>
      <c r="AH4231">
        <v>22.940748992953701</v>
      </c>
      <c r="AI4231">
        <v>92.798192399660905</v>
      </c>
      <c r="AJ4231">
        <v>92.6497622557375</v>
      </c>
      <c r="AK4231">
        <v>22.9927183443282</v>
      </c>
      <c r="AL4231">
        <v>77.672553949579196</v>
      </c>
      <c r="AM4231">
        <v>92.980656755659496</v>
      </c>
      <c r="AN4231">
        <v>1.0000000466389001</v>
      </c>
    </row>
    <row r="4232" spans="1:40" x14ac:dyDescent="0.25">
      <c r="A4232" t="str">
        <f>"20190303170855414"</f>
        <v>20190303170855414</v>
      </c>
      <c r="B4232" t="str">
        <f>"1551604135407748"</f>
        <v>1551604135407748</v>
      </c>
      <c r="C4232" t="s">
        <v>40</v>
      </c>
      <c r="D4232">
        <v>4.6074460000000004</v>
      </c>
      <c r="E4232">
        <v>0.50337889999999996</v>
      </c>
      <c r="F4232" t="s">
        <v>100</v>
      </c>
      <c r="G4232">
        <v>-368.9495</v>
      </c>
      <c r="H4232" s="1">
        <v>-1.394532E-6</v>
      </c>
      <c r="I4232">
        <v>15.89301</v>
      </c>
      <c r="J4232">
        <v>-394.65199999999999</v>
      </c>
      <c r="K4232">
        <v>1.1222190000000001</v>
      </c>
      <c r="L4232">
        <v>15.024900000000001</v>
      </c>
      <c r="M4232">
        <v>0.99979390000000001</v>
      </c>
      <c r="N4232">
        <v>-1.364668E-2</v>
      </c>
      <c r="O4232">
        <v>-1.503344E-2</v>
      </c>
      <c r="P4232">
        <v>0.97896839999999996</v>
      </c>
      <c r="Q4232">
        <v>0.20110720000000001</v>
      </c>
      <c r="R4232">
        <v>3.430072E-2</v>
      </c>
      <c r="S4232">
        <v>3.0877080000000001</v>
      </c>
      <c r="T4232">
        <v>-0.13324059999999999</v>
      </c>
      <c r="U4232">
        <v>0.1026306</v>
      </c>
      <c r="V4232">
        <v>-4.9516009999999999E-2</v>
      </c>
      <c r="W4232">
        <v>0.21432470000000001</v>
      </c>
      <c r="X4232">
        <v>0.9755066</v>
      </c>
      <c r="Y4232">
        <v>-4.8177379999999999E-2</v>
      </c>
      <c r="Z4232">
        <v>1.8109689999999999E-3</v>
      </c>
      <c r="AA4232">
        <v>0.99883719999999998</v>
      </c>
      <c r="AB4232">
        <v>29</v>
      </c>
      <c r="AC4232">
        <v>25.702499999999901</v>
      </c>
      <c r="AD4232">
        <v>-1.122220394532</v>
      </c>
      <c r="AE4232">
        <v>0.86810999999999905</v>
      </c>
      <c r="AF4232">
        <v>-1.25206067678416</v>
      </c>
      <c r="AG4232">
        <v>-1.122220394532</v>
      </c>
      <c r="AH4232">
        <v>25.637723848355801</v>
      </c>
      <c r="AI4232">
        <v>92.503384499130206</v>
      </c>
      <c r="AJ4232">
        <v>92.795912865595099</v>
      </c>
      <c r="AK4232">
        <v>25.692798965406698</v>
      </c>
      <c r="AL4232">
        <v>77.624088280659706</v>
      </c>
      <c r="AM4232">
        <v>92.905798471055704</v>
      </c>
      <c r="AN4232">
        <v>1.0000000194599801</v>
      </c>
    </row>
    <row r="4233" spans="1:40" x14ac:dyDescent="0.25">
      <c r="A4233" t="str">
        <f>"20190303170855437"</f>
        <v>20190303170855437</v>
      </c>
      <c r="B4233" t="str">
        <f>"1551604135428245"</f>
        <v>1551604135428245</v>
      </c>
      <c r="C4233" t="s">
        <v>40</v>
      </c>
      <c r="D4233">
        <v>4.7125680000000001</v>
      </c>
      <c r="E4233">
        <v>0.50267479999999998</v>
      </c>
      <c r="F4233" t="s">
        <v>100</v>
      </c>
      <c r="G4233">
        <v>-365.31420000000003</v>
      </c>
      <c r="H4233" s="1">
        <v>-2.838516E-6</v>
      </c>
      <c r="I4233">
        <v>16.103729999999999</v>
      </c>
      <c r="J4233">
        <v>-394.35789999999997</v>
      </c>
      <c r="K4233">
        <v>1.122017</v>
      </c>
      <c r="L4233">
        <v>15.021509999999999</v>
      </c>
      <c r="M4233">
        <v>0.99980460000000004</v>
      </c>
      <c r="N4233">
        <v>-1.3717969999999999E-2</v>
      </c>
      <c r="O4233">
        <v>-1.424214E-2</v>
      </c>
      <c r="P4233">
        <v>0.97898940000000001</v>
      </c>
      <c r="Q4233">
        <v>0.20116899999999999</v>
      </c>
      <c r="R4233">
        <v>3.3333309999999998E-2</v>
      </c>
      <c r="S4233">
        <v>3.0847169999999999</v>
      </c>
      <c r="T4233">
        <v>-0.1179959</v>
      </c>
      <c r="U4233">
        <v>0.1134338</v>
      </c>
      <c r="V4233">
        <v>-4.7663329999999997E-2</v>
      </c>
      <c r="W4233">
        <v>0.21448629999999999</v>
      </c>
      <c r="X4233">
        <v>0.97556330000000002</v>
      </c>
      <c r="Y4233">
        <v>-5.0923309999999999E-2</v>
      </c>
      <c r="Z4233">
        <v>1.672022E-3</v>
      </c>
      <c r="AA4233">
        <v>0.99870119999999896</v>
      </c>
      <c r="AB4233">
        <v>29</v>
      </c>
      <c r="AC4233">
        <v>29.043699999999902</v>
      </c>
      <c r="AD4233">
        <v>-1.1220198385160001</v>
      </c>
      <c r="AE4233">
        <v>1.08221999999999</v>
      </c>
      <c r="AF4233">
        <v>-1.4935675586227899</v>
      </c>
      <c r="AG4233">
        <v>-1.1220198385160001</v>
      </c>
      <c r="AH4233">
        <v>28.9821449582351</v>
      </c>
      <c r="AI4233">
        <v>92.214116460179</v>
      </c>
      <c r="AJ4233">
        <v>92.950074347477297</v>
      </c>
      <c r="AK4233">
        <v>29.042286393298099</v>
      </c>
      <c r="AL4233">
        <v>77.614608076573106</v>
      </c>
      <c r="AM4233">
        <v>92.797089470217102</v>
      </c>
      <c r="AN4233">
        <v>0.999999959110633</v>
      </c>
    </row>
    <row r="4234" spans="1:40" x14ac:dyDescent="0.25">
      <c r="A4234" t="str">
        <f>"20190303170855463"</f>
        <v>20190303170855463</v>
      </c>
      <c r="B4234" t="str">
        <f>"1551604135457527"</f>
        <v>1551604135457527</v>
      </c>
      <c r="C4234" t="s">
        <v>40</v>
      </c>
      <c r="D4234">
        <v>4.767531</v>
      </c>
      <c r="E4234">
        <v>0.5017549</v>
      </c>
      <c r="F4234" t="s">
        <v>100</v>
      </c>
      <c r="G4234">
        <v>-363.49090000000001</v>
      </c>
      <c r="H4234" s="1">
        <v>-3.6884729999999998E-6</v>
      </c>
      <c r="I4234">
        <v>16.17109</v>
      </c>
      <c r="J4234">
        <v>-394.03269999999998</v>
      </c>
      <c r="K4234">
        <v>1.1218090000000001</v>
      </c>
      <c r="L4234">
        <v>15.017729999999901</v>
      </c>
      <c r="M4234">
        <v>0.99981109999999895</v>
      </c>
      <c r="N4234">
        <v>-1.378475E-2</v>
      </c>
      <c r="O4234">
        <v>-1.369774E-2</v>
      </c>
      <c r="P4234">
        <v>0.97910200000000003</v>
      </c>
      <c r="Q4234">
        <v>0.2008673</v>
      </c>
      <c r="R4234">
        <v>3.1808690000000001E-2</v>
      </c>
      <c r="S4234">
        <v>3.0834959999999998</v>
      </c>
      <c r="T4234">
        <v>-0.11208559999999999</v>
      </c>
      <c r="U4234">
        <v>0.1148376</v>
      </c>
      <c r="V4234">
        <v>-4.5491509999999999E-2</v>
      </c>
      <c r="W4234">
        <v>0.21428</v>
      </c>
      <c r="X4234">
        <v>0.97571240000000004</v>
      </c>
      <c r="Y4234">
        <v>-5.0853170000000003E-2</v>
      </c>
      <c r="Z4234">
        <v>1.5833139999999999E-3</v>
      </c>
      <c r="AA4234">
        <v>0.99870490000000001</v>
      </c>
      <c r="AB4234">
        <v>29</v>
      </c>
      <c r="AC4234">
        <v>30.541799999999899</v>
      </c>
      <c r="AD4234">
        <v>-1.121812688473</v>
      </c>
      <c r="AE4234">
        <v>1.1533599999999999</v>
      </c>
      <c r="AF4234">
        <v>-1.56953071221135</v>
      </c>
      <c r="AG4234">
        <v>-1.121812688473</v>
      </c>
      <c r="AH4234">
        <v>30.482068655991501</v>
      </c>
      <c r="AI4234">
        <v>92.104883940443699</v>
      </c>
      <c r="AJ4234">
        <v>92.9475735191415</v>
      </c>
      <c r="AK4234">
        <v>30.543058129682599</v>
      </c>
      <c r="AL4234">
        <v>77.626710598298402</v>
      </c>
      <c r="AM4234">
        <v>92.669419131992598</v>
      </c>
      <c r="AN4234">
        <v>1.00000004169791</v>
      </c>
    </row>
    <row r="4235" spans="1:40" x14ac:dyDescent="0.25">
      <c r="A4235" t="str">
        <f>"20190303170855481"</f>
        <v>20190303170855481</v>
      </c>
      <c r="B4235" t="str">
        <f>"1551604135468260"</f>
        <v>1551604135468260</v>
      </c>
      <c r="C4235" t="s">
        <v>40</v>
      </c>
      <c r="D4235">
        <v>4.7622260000000001</v>
      </c>
      <c r="E4235">
        <v>0.50164430000000004</v>
      </c>
      <c r="F4235" t="s">
        <v>100</v>
      </c>
      <c r="G4235">
        <v>-361.65039999999999</v>
      </c>
      <c r="H4235" s="1">
        <v>-4.5454029999999996E-6</v>
      </c>
      <c r="I4235">
        <v>16.244779999999999</v>
      </c>
      <c r="J4235">
        <v>-393.77719999999999</v>
      </c>
      <c r="K4235">
        <v>1.121629</v>
      </c>
      <c r="L4235">
        <v>15.014679999999901</v>
      </c>
      <c r="M4235">
        <v>0.99981310000000001</v>
      </c>
      <c r="N4235">
        <v>-1.3829610000000001E-2</v>
      </c>
      <c r="O4235">
        <v>-1.3512720000000001E-2</v>
      </c>
      <c r="P4235">
        <v>0.97923190000000004</v>
      </c>
      <c r="Q4235">
        <v>0.2004842</v>
      </c>
      <c r="R4235">
        <v>3.0185389999999999E-2</v>
      </c>
      <c r="S4235">
        <v>3.0821529999999999</v>
      </c>
      <c r="T4235">
        <v>-0.1067746</v>
      </c>
      <c r="U4235">
        <v>0.1167908</v>
      </c>
      <c r="V4235">
        <v>-4.359441E-2</v>
      </c>
      <c r="W4235">
        <v>0.21396409999999999</v>
      </c>
      <c r="X4235">
        <v>0.97586830000000002</v>
      </c>
      <c r="Y4235">
        <v>-5.1320310000000001E-2</v>
      </c>
      <c r="Z4235">
        <v>1.524573E-3</v>
      </c>
      <c r="AA4235">
        <v>0.99868109999999999</v>
      </c>
      <c r="AB4235">
        <v>29</v>
      </c>
      <c r="AC4235">
        <v>32.126800000000003</v>
      </c>
      <c r="AD4235">
        <v>-1.121633545403</v>
      </c>
      <c r="AE4235">
        <v>1.2301</v>
      </c>
      <c r="AF4235">
        <v>-1.66212662825588</v>
      </c>
      <c r="AG4235">
        <v>-1.121633545403</v>
      </c>
      <c r="AH4235">
        <v>32.068212015440601</v>
      </c>
      <c r="AI4235">
        <v>92.000505601593403</v>
      </c>
      <c r="AJ4235">
        <v>92.967040961053996</v>
      </c>
      <c r="AK4235">
        <v>32.130841081518199</v>
      </c>
      <c r="AL4235">
        <v>77.645239865936006</v>
      </c>
      <c r="AM4235">
        <v>92.557841204439697</v>
      </c>
      <c r="AN4235">
        <v>1.0000000238084701</v>
      </c>
    </row>
    <row r="4236" spans="1:40" x14ac:dyDescent="0.25">
      <c r="A4236" t="str">
        <f>"20190303170855505"</f>
        <v>20190303170855505</v>
      </c>
      <c r="B4236" t="str">
        <f>"1551604135497540"</f>
        <v>1551604135497540</v>
      </c>
      <c r="C4236" t="s">
        <v>40</v>
      </c>
      <c r="D4236">
        <v>4.7663909999999996</v>
      </c>
      <c r="E4236">
        <v>0.50139920000000004</v>
      </c>
      <c r="F4236" t="s">
        <v>100</v>
      </c>
      <c r="G4236">
        <v>-361.37560000000002</v>
      </c>
      <c r="H4236" s="1">
        <v>-4.682236E-6</v>
      </c>
      <c r="I4236">
        <v>16.20562</v>
      </c>
      <c r="J4236">
        <v>-393.48630000000003</v>
      </c>
      <c r="K4236">
        <v>1.1214059999999999</v>
      </c>
      <c r="L4236">
        <v>15.010960000000001</v>
      </c>
      <c r="M4236">
        <v>0.99981160000000002</v>
      </c>
      <c r="N4236">
        <v>-1.3874259999999999E-2</v>
      </c>
      <c r="O4236">
        <v>-1.3567350000000001E-2</v>
      </c>
      <c r="P4236">
        <v>0.97940039999999995</v>
      </c>
      <c r="Q4236">
        <v>0.19995579999999999</v>
      </c>
      <c r="R4236">
        <v>2.815519E-2</v>
      </c>
      <c r="S4236">
        <v>3.082001</v>
      </c>
      <c r="T4236">
        <v>-0.10668850000000001</v>
      </c>
      <c r="U4236">
        <v>0.1132813</v>
      </c>
      <c r="V4236">
        <v>-4.1501789999999997E-2</v>
      </c>
      <c r="W4236">
        <v>0.21350669999999999</v>
      </c>
      <c r="X4236">
        <v>0.97605969999999997</v>
      </c>
      <c r="Y4236">
        <v>-5.024203E-2</v>
      </c>
      <c r="Z4236">
        <v>1.499102E-3</v>
      </c>
      <c r="AA4236">
        <v>0.99873599999999996</v>
      </c>
      <c r="AB4236">
        <v>29</v>
      </c>
      <c r="AC4236">
        <v>32.110700000000001</v>
      </c>
      <c r="AD4236">
        <v>-1.1214106822359999</v>
      </c>
      <c r="AE4236">
        <v>1.1946599999999901</v>
      </c>
      <c r="AF4236">
        <v>-1.6282659619256199</v>
      </c>
      <c r="AG4236">
        <v>-1.1214106822359999</v>
      </c>
      <c r="AH4236">
        <v>32.052495700253303</v>
      </c>
      <c r="AI4236">
        <v>92.001193859429407</v>
      </c>
      <c r="AJ4236">
        <v>92.908124248566395</v>
      </c>
      <c r="AK4236">
        <v>32.113412969906399</v>
      </c>
      <c r="AL4236">
        <v>77.6720668840114</v>
      </c>
      <c r="AM4236">
        <v>92.434734219741003</v>
      </c>
      <c r="AN4236">
        <v>1.00000002374109</v>
      </c>
    </row>
    <row r="4237" spans="1:40" x14ac:dyDescent="0.25">
      <c r="A4237" t="str">
        <f>"20190303170855527"</f>
        <v>20190303170855527</v>
      </c>
      <c r="B4237" t="str">
        <f>"1551604135508276"</f>
        <v>1551604135508276</v>
      </c>
      <c r="C4237" t="s">
        <v>40</v>
      </c>
      <c r="D4237">
        <v>4.8230950000000004</v>
      </c>
      <c r="E4237">
        <v>0.50133399999999995</v>
      </c>
      <c r="F4237" t="s">
        <v>100</v>
      </c>
      <c r="G4237">
        <v>-360.59399999999999</v>
      </c>
      <c r="H4237" s="1">
        <v>-5.0568329999999999E-6</v>
      </c>
      <c r="I4237">
        <v>16.176850000000002</v>
      </c>
      <c r="J4237">
        <v>-393.20010000000002</v>
      </c>
      <c r="K4237">
        <v>1.121162</v>
      </c>
      <c r="L4237">
        <v>15.006930000000001</v>
      </c>
      <c r="M4237">
        <v>0.99980630000000004</v>
      </c>
      <c r="N4237">
        <v>-1.391277E-2</v>
      </c>
      <c r="O4237">
        <v>-1.3921599999999999E-2</v>
      </c>
      <c r="P4237">
        <v>0.97953590000000001</v>
      </c>
      <c r="Q4237">
        <v>0.1995323</v>
      </c>
      <c r="R4237">
        <v>2.6391919999999999E-2</v>
      </c>
      <c r="S4237">
        <v>3.0813899999999999</v>
      </c>
      <c r="T4237">
        <v>-0.105055</v>
      </c>
      <c r="U4237">
        <v>0.1092224</v>
      </c>
      <c r="V4237">
        <v>-3.9956480000000003E-2</v>
      </c>
      <c r="W4237">
        <v>0.213148</v>
      </c>
      <c r="X4237">
        <v>0.97620249999999997</v>
      </c>
      <c r="Y4237">
        <v>-4.9291229999999998E-2</v>
      </c>
      <c r="Z4237">
        <v>1.4636670000000001E-3</v>
      </c>
      <c r="AA4237">
        <v>0.99878330000000004</v>
      </c>
      <c r="AB4237">
        <v>29</v>
      </c>
      <c r="AC4237">
        <v>32.606099999999998</v>
      </c>
      <c r="AD4237">
        <v>-1.1211670568330001</v>
      </c>
      <c r="AE4237">
        <v>1.1699200000000001</v>
      </c>
      <c r="AF4237">
        <v>-1.62186448618773</v>
      </c>
      <c r="AG4237">
        <v>-1.1211670568330001</v>
      </c>
      <c r="AH4237">
        <v>32.548217161591403</v>
      </c>
      <c r="AI4237">
        <v>91.970407230693894</v>
      </c>
      <c r="AJ4237">
        <v>92.852666016358498</v>
      </c>
      <c r="AK4237">
        <v>32.607880955054299</v>
      </c>
      <c r="AL4237">
        <v>77.693102265740293</v>
      </c>
      <c r="AM4237">
        <v>92.343837987832401</v>
      </c>
      <c r="AN4237">
        <v>0.99999995560211896</v>
      </c>
    </row>
    <row r="4238" spans="1:40" x14ac:dyDescent="0.25">
      <c r="A4238" t="str">
        <f>"20190303170855549"</f>
        <v>20190303170855549</v>
      </c>
      <c r="B4238" t="str">
        <f>"1551604135537556"</f>
        <v>1551604135537556</v>
      </c>
      <c r="C4238" t="s">
        <v>40</v>
      </c>
      <c r="D4238">
        <v>4.7630790000000003</v>
      </c>
      <c r="E4238">
        <v>0.50125889999999995</v>
      </c>
      <c r="F4238" t="s">
        <v>100</v>
      </c>
      <c r="G4238">
        <v>-360.45440000000002</v>
      </c>
      <c r="H4238" s="1">
        <v>-5.1347569999999901E-6</v>
      </c>
      <c r="I4238">
        <v>16.109559999999998</v>
      </c>
      <c r="J4238">
        <v>-392.9169</v>
      </c>
      <c r="K4238">
        <v>1.1208979999999999</v>
      </c>
      <c r="L4238">
        <v>15.0025</v>
      </c>
      <c r="M4238">
        <v>0.99979649999999998</v>
      </c>
      <c r="N4238">
        <v>-1.394479E-2</v>
      </c>
      <c r="O4238">
        <v>-1.458254E-2</v>
      </c>
      <c r="P4238">
        <v>0.9797553</v>
      </c>
      <c r="Q4238">
        <v>0.19858039999999999</v>
      </c>
      <c r="R4238">
        <v>2.541125E-2</v>
      </c>
      <c r="S4238">
        <v>3.0814210000000002</v>
      </c>
      <c r="T4238">
        <v>-0.1055036</v>
      </c>
      <c r="U4238">
        <v>0.1037598</v>
      </c>
      <c r="V4238">
        <v>-3.9489509999999999E-2</v>
      </c>
      <c r="W4238">
        <v>0.21225579999999999</v>
      </c>
      <c r="X4238">
        <v>0.9764159</v>
      </c>
      <c r="Y4238">
        <v>-4.8183040000000003E-2</v>
      </c>
      <c r="Z4238">
        <v>1.4563410000000001E-3</v>
      </c>
      <c r="AA4238">
        <v>0.99883750000000004</v>
      </c>
      <c r="AB4238">
        <v>29</v>
      </c>
      <c r="AC4238">
        <v>32.462499999999899</v>
      </c>
      <c r="AD4238">
        <v>-1.120903134757</v>
      </c>
      <c r="AE4238">
        <v>1.1070599999999999</v>
      </c>
      <c r="AF4238">
        <v>-1.57849417048049</v>
      </c>
      <c r="AG4238">
        <v>-1.120903134757</v>
      </c>
      <c r="AH4238">
        <v>32.404312648163398</v>
      </c>
      <c r="AI4238">
        <v>91.978793723510094</v>
      </c>
      <c r="AJ4238">
        <v>92.788814581718</v>
      </c>
      <c r="AK4238">
        <v>32.462093984887503</v>
      </c>
      <c r="AL4238">
        <v>77.7454189922354</v>
      </c>
      <c r="AM4238">
        <v>92.315969926337701</v>
      </c>
      <c r="AN4238">
        <v>0.99999997790324402</v>
      </c>
    </row>
    <row r="4239" spans="1:40" x14ac:dyDescent="0.25">
      <c r="A4239" t="str">
        <f>"20190303170855571"</f>
        <v>20190303170855571</v>
      </c>
      <c r="B4239" t="str">
        <f>"1551604135558052"</f>
        <v>1551604135558052</v>
      </c>
      <c r="C4239" t="s">
        <v>40</v>
      </c>
      <c r="D4239">
        <v>4.9382950000000001</v>
      </c>
      <c r="E4239">
        <v>0.50127579999999905</v>
      </c>
      <c r="F4239" t="s">
        <v>100</v>
      </c>
      <c r="G4239">
        <v>-360.5634</v>
      </c>
      <c r="H4239" s="1">
        <v>-5.0949780000000002E-6</v>
      </c>
      <c r="I4239">
        <v>16.04336</v>
      </c>
      <c r="J4239">
        <v>-392.63580000000002</v>
      </c>
      <c r="K4239">
        <v>1.1206370000000001</v>
      </c>
      <c r="L4239">
        <v>14.9975</v>
      </c>
      <c r="M4239">
        <v>0.99978109999999998</v>
      </c>
      <c r="N4239">
        <v>-1.39655E-2</v>
      </c>
      <c r="O4239">
        <v>-1.558002E-2</v>
      </c>
      <c r="P4239">
        <v>0.97993520000000001</v>
      </c>
      <c r="Q4239">
        <v>0.19783819999999999</v>
      </c>
      <c r="R4239">
        <v>2.4226270000000001E-2</v>
      </c>
      <c r="S4239">
        <v>3.0810550000000001</v>
      </c>
      <c r="T4239">
        <v>-0.10674450000000001</v>
      </c>
      <c r="U4239">
        <v>9.9121089999999995E-2</v>
      </c>
      <c r="V4239">
        <v>-3.9147759999999997E-2</v>
      </c>
      <c r="W4239">
        <v>0.21156140000000001</v>
      </c>
      <c r="X4239">
        <v>0.97658040000000002</v>
      </c>
      <c r="Y4239">
        <v>-4.7680649999999998E-2</v>
      </c>
      <c r="Z4239">
        <v>1.4806839999999999E-3</v>
      </c>
      <c r="AA4239">
        <v>0.99886160000000002</v>
      </c>
      <c r="AB4239">
        <v>29</v>
      </c>
      <c r="AC4239">
        <v>32.072400000000002</v>
      </c>
      <c r="AD4239">
        <v>-1.1206420949779901</v>
      </c>
      <c r="AE4239">
        <v>1.04585999999999</v>
      </c>
      <c r="AF4239">
        <v>-1.54358787213038</v>
      </c>
      <c r="AG4239">
        <v>-1.1206420949779901</v>
      </c>
      <c r="AH4239">
        <v>32.013167779648199</v>
      </c>
      <c r="AI4239">
        <v>92.002533377614</v>
      </c>
      <c r="AJ4239">
        <v>92.760508656241896</v>
      </c>
      <c r="AK4239">
        <v>32.069945642484797</v>
      </c>
      <c r="AL4239">
        <v>77.786130334155402</v>
      </c>
      <c r="AM4239">
        <v>92.295562281705003</v>
      </c>
      <c r="AN4239">
        <v>1.0000000253735599</v>
      </c>
    </row>
    <row r="4240" spans="1:40" x14ac:dyDescent="0.25">
      <c r="A4240" t="str">
        <f>"20190303170855592"</f>
        <v>20190303170855592</v>
      </c>
      <c r="B4240" t="str">
        <f>"1551604135577572"</f>
        <v>1551604135577572</v>
      </c>
      <c r="C4240" t="s">
        <v>40</v>
      </c>
      <c r="D4240">
        <v>4.8817089999999999</v>
      </c>
      <c r="E4240">
        <v>0.501251</v>
      </c>
      <c r="F4240" t="s">
        <v>100</v>
      </c>
      <c r="G4240">
        <v>-360.59179999999998</v>
      </c>
      <c r="H4240" s="1">
        <v>-5.0932479999999901E-6</v>
      </c>
      <c r="I4240">
        <v>15.977359999999999</v>
      </c>
      <c r="J4240">
        <v>-392.36410000000001</v>
      </c>
      <c r="K4240">
        <v>1.1204000000000001</v>
      </c>
      <c r="L4240">
        <v>14.99207</v>
      </c>
      <c r="M4240">
        <v>0.99976069999999995</v>
      </c>
      <c r="N4240">
        <v>-1.3978630000000001E-2</v>
      </c>
      <c r="O4240">
        <v>-1.683169E-2</v>
      </c>
      <c r="P4240">
        <v>0.97980959999999995</v>
      </c>
      <c r="Q4240">
        <v>0.1986483</v>
      </c>
      <c r="R4240">
        <v>2.2633879999999999E-2</v>
      </c>
      <c r="S4240">
        <v>3.0808409999999999</v>
      </c>
      <c r="T4240">
        <v>-0.10774309999999999</v>
      </c>
      <c r="U4240">
        <v>9.4207760000000001E-2</v>
      </c>
      <c r="V4240">
        <v>-3.865296E-2</v>
      </c>
      <c r="W4240">
        <v>0.21240400000000001</v>
      </c>
      <c r="X4240">
        <v>0.97641719999999999</v>
      </c>
      <c r="Y4240">
        <v>-4.734124E-2</v>
      </c>
      <c r="Z4240">
        <v>1.511627E-3</v>
      </c>
      <c r="AA4240">
        <v>0.99887760000000003</v>
      </c>
      <c r="AB4240">
        <v>29</v>
      </c>
      <c r="AC4240">
        <v>31.772300000000001</v>
      </c>
      <c r="AD4240">
        <v>-1.1204050932480001</v>
      </c>
      <c r="AE4240">
        <v>0.985289999999999</v>
      </c>
      <c r="AF4240">
        <v>-1.51809813808478</v>
      </c>
      <c r="AG4240">
        <v>-1.1204050932480001</v>
      </c>
      <c r="AH4240">
        <v>31.711816052307299</v>
      </c>
      <c r="AI4240">
        <v>92.021153656308201</v>
      </c>
      <c r="AJ4240">
        <v>92.740753251764403</v>
      </c>
      <c r="AK4240">
        <v>31.767895852026601</v>
      </c>
      <c r="AL4240">
        <v>77.736730265388303</v>
      </c>
      <c r="AM4240">
        <v>92.266956896633999</v>
      </c>
      <c r="AN4240">
        <v>1.0000000294942999</v>
      </c>
    </row>
    <row r="4241" spans="1:40" x14ac:dyDescent="0.25">
      <c r="A4241" t="str">
        <f>"20190303170855616"</f>
        <v>20190303170855616</v>
      </c>
      <c r="B4241" t="str">
        <f>"1551604135607829"</f>
        <v>1551604135607829</v>
      </c>
      <c r="C4241" t="s">
        <v>40</v>
      </c>
      <c r="D4241">
        <v>4.9459739999999996</v>
      </c>
      <c r="E4241">
        <v>0.50114629999999905</v>
      </c>
      <c r="F4241" t="s">
        <v>43</v>
      </c>
      <c r="G4241">
        <v>-359.27929999999998</v>
      </c>
      <c r="H4241" s="1">
        <v>-1.2062340000000001E-6</v>
      </c>
      <c r="I4241">
        <v>15.952199999999999</v>
      </c>
      <c r="J4241">
        <v>-392.05560000000003</v>
      </c>
      <c r="K4241">
        <v>1.120185</v>
      </c>
      <c r="L4241">
        <v>14.985110000000001</v>
      </c>
      <c r="M4241">
        <v>0.99973040000000002</v>
      </c>
      <c r="N4241">
        <v>-1.398925E-2</v>
      </c>
      <c r="O4241">
        <v>-1.85326E-2</v>
      </c>
      <c r="P4241">
        <v>0.97972570000000003</v>
      </c>
      <c r="Q4241">
        <v>0.19928100000000001</v>
      </c>
      <c r="R4241">
        <v>2.061526E-2</v>
      </c>
      <c r="S4241">
        <v>3.080902</v>
      </c>
      <c r="T4241">
        <v>-0.1043332</v>
      </c>
      <c r="U4241">
        <v>8.9416499999999996E-2</v>
      </c>
      <c r="V4241">
        <v>-3.818034E-2</v>
      </c>
      <c r="W4241">
        <v>0.21306600000000001</v>
      </c>
      <c r="X4241">
        <v>0.97629149999999998</v>
      </c>
      <c r="Y4241">
        <v>-4.7490150000000002E-2</v>
      </c>
      <c r="Z4241">
        <v>1.504247E-3</v>
      </c>
      <c r="AA4241">
        <v>0.99887060000000005</v>
      </c>
      <c r="AB4241">
        <v>29</v>
      </c>
      <c r="AC4241">
        <v>32.776299999999999</v>
      </c>
      <c r="AD4241">
        <v>-1.120186206234</v>
      </c>
      <c r="AE4241">
        <v>0.96708999999999801</v>
      </c>
      <c r="AF4241">
        <v>-1.5725781216733199</v>
      </c>
      <c r="AG4241">
        <v>-1.120186206234</v>
      </c>
      <c r="AH4241">
        <v>32.714566403120301</v>
      </c>
      <c r="AI4241">
        <v>91.958850306188495</v>
      </c>
      <c r="AJ4241">
        <v>92.752070281871397</v>
      </c>
      <c r="AK4241">
        <v>32.771491788284102</v>
      </c>
      <c r="AL4241">
        <v>77.697911234464698</v>
      </c>
      <c r="AM4241">
        <v>92.239554622346901</v>
      </c>
      <c r="AN4241">
        <v>0.99999997584538203</v>
      </c>
    </row>
    <row r="4242" spans="1:40" x14ac:dyDescent="0.25">
      <c r="A4242" t="str">
        <f>"20190303170855637"</f>
        <v>20190303170855637</v>
      </c>
      <c r="B4242" t="str">
        <f>"1551604135628324"</f>
        <v>1551604135628324</v>
      </c>
      <c r="C4242" t="s">
        <v>40</v>
      </c>
      <c r="D4242">
        <v>4.6996359999999999</v>
      </c>
      <c r="E4242">
        <v>0.50113459999999999</v>
      </c>
      <c r="F4242" t="s">
        <v>43</v>
      </c>
      <c r="G4242">
        <v>-357.95030000000003</v>
      </c>
      <c r="H4242" s="1">
        <v>-1.6681979999999999E-6</v>
      </c>
      <c r="I4242">
        <v>15.9157299999999</v>
      </c>
      <c r="J4242">
        <v>-391.78489999999999</v>
      </c>
      <c r="K4242">
        <v>1.120039</v>
      </c>
      <c r="L4242">
        <v>14.97836</v>
      </c>
      <c r="M4242">
        <v>0.99969779999999997</v>
      </c>
      <c r="N4242">
        <v>-1.399386E-2</v>
      </c>
      <c r="O4242">
        <v>-2.0221200000000002E-2</v>
      </c>
      <c r="P4242">
        <v>0.97965170000000001</v>
      </c>
      <c r="Q4242">
        <v>0.19982739999999999</v>
      </c>
      <c r="R4242">
        <v>1.8758810000000001E-2</v>
      </c>
      <c r="S4242">
        <v>3.080902</v>
      </c>
      <c r="T4242">
        <v>-0.1011919</v>
      </c>
      <c r="U4242">
        <v>8.4075929999999993E-2</v>
      </c>
      <c r="V4242">
        <v>-3.7893459999999997E-2</v>
      </c>
      <c r="W4242">
        <v>0.21362970000000001</v>
      </c>
      <c r="X4242">
        <v>0.97617949999999998</v>
      </c>
      <c r="Y4242">
        <v>-4.7449239999999997E-2</v>
      </c>
      <c r="Z4242">
        <v>1.4920689999999999E-3</v>
      </c>
      <c r="AA4242">
        <v>0.99887250000000005</v>
      </c>
      <c r="AB4242">
        <v>29</v>
      </c>
      <c r="AC4242">
        <v>33.834599999999902</v>
      </c>
      <c r="AD4242">
        <v>-1.120040668198</v>
      </c>
      <c r="AE4242">
        <v>0.93736999999999704</v>
      </c>
      <c r="AF4242">
        <v>-1.6196478635315099</v>
      </c>
      <c r="AG4242">
        <v>-1.120040668198</v>
      </c>
      <c r="AH4242">
        <v>33.771744006723203</v>
      </c>
      <c r="AI4242">
        <v>91.897340489089501</v>
      </c>
      <c r="AJ4242">
        <v>92.745725478241297</v>
      </c>
      <c r="AK4242">
        <v>33.829106455180103</v>
      </c>
      <c r="AL4242">
        <v>77.664852639821603</v>
      </c>
      <c r="AM4242">
        <v>92.222998732425694</v>
      </c>
      <c r="AN4242">
        <v>0.99999998962655501</v>
      </c>
    </row>
    <row r="4243" spans="1:40" x14ac:dyDescent="0.25">
      <c r="A4243" t="str">
        <f>"20190303170855659"</f>
        <v>20190303170855659</v>
      </c>
      <c r="B4243" t="str">
        <f>"1551604135647844"</f>
        <v>1551604135647844</v>
      </c>
      <c r="C4243" t="s">
        <v>40</v>
      </c>
      <c r="D4243">
        <v>4.9440429999999997</v>
      </c>
      <c r="E4243">
        <v>0.50109939999999997</v>
      </c>
      <c r="F4243" t="s">
        <v>43</v>
      </c>
      <c r="G4243">
        <v>-356.92930000000001</v>
      </c>
      <c r="H4243" s="1">
        <v>-2.030826E-6</v>
      </c>
      <c r="I4243">
        <v>15.858650000000001</v>
      </c>
      <c r="J4243">
        <v>-391.5009</v>
      </c>
      <c r="K4243">
        <v>1.1199239999999999</v>
      </c>
      <c r="L4243">
        <v>14.970579999999901</v>
      </c>
      <c r="M4243">
        <v>0.99965700000000002</v>
      </c>
      <c r="N4243">
        <v>-1.398843E-2</v>
      </c>
      <c r="O4243">
        <v>-2.2147960000000001E-2</v>
      </c>
      <c r="P4243">
        <v>0.9794678</v>
      </c>
      <c r="Q4243">
        <v>0.20095350000000001</v>
      </c>
      <c r="R4243">
        <v>1.614757E-2</v>
      </c>
      <c r="S4243">
        <v>3.0810240000000002</v>
      </c>
      <c r="T4243">
        <v>-9.9004980000000006E-2</v>
      </c>
      <c r="U4243">
        <v>7.7819819999999998E-2</v>
      </c>
      <c r="V4243">
        <v>-3.709693E-2</v>
      </c>
      <c r="W4243">
        <v>0.2147559</v>
      </c>
      <c r="X4243">
        <v>0.97596289999999997</v>
      </c>
      <c r="Y4243">
        <v>-4.7347889999999997E-2</v>
      </c>
      <c r="Z4243">
        <v>1.4934429999999999E-3</v>
      </c>
      <c r="AA4243">
        <v>0.99887729999999997</v>
      </c>
      <c r="AB4243">
        <v>29</v>
      </c>
      <c r="AC4243">
        <v>34.571599999999897</v>
      </c>
      <c r="AD4243">
        <v>-1.119926030826</v>
      </c>
      <c r="AE4243">
        <v>0.88807000000000202</v>
      </c>
      <c r="AF4243">
        <v>-1.65188499142004</v>
      </c>
      <c r="AG4243">
        <v>-1.119926030826</v>
      </c>
      <c r="AH4243">
        <v>34.507259275189298</v>
      </c>
      <c r="AI4243">
        <v>91.856745562038597</v>
      </c>
      <c r="AJ4243">
        <v>92.740694061109906</v>
      </c>
      <c r="AK4243">
        <v>34.5649229859483</v>
      </c>
      <c r="AL4243">
        <v>77.598792230952398</v>
      </c>
      <c r="AM4243">
        <v>92.176798692861496</v>
      </c>
      <c r="AN4243">
        <v>0.99999993048832003</v>
      </c>
    </row>
    <row r="4244" spans="1:40" x14ac:dyDescent="0.25">
      <c r="A4244" t="str">
        <f>"20190303170855680"</f>
        <v>20190303170855680</v>
      </c>
      <c r="B4244" t="str">
        <f>"1551604135667365"</f>
        <v>1551604135667365</v>
      </c>
      <c r="C4244" t="s">
        <v>40</v>
      </c>
      <c r="D4244">
        <v>5.0009839999999999</v>
      </c>
      <c r="E4244">
        <v>0.50109300000000001</v>
      </c>
      <c r="F4244" t="s">
        <v>43</v>
      </c>
      <c r="G4244">
        <v>-355.01350000000002</v>
      </c>
      <c r="H4244" s="1">
        <v>-2.7998479999999999E-6</v>
      </c>
      <c r="I4244">
        <v>15.79194</v>
      </c>
      <c r="J4244">
        <v>-391.23599999999999</v>
      </c>
      <c r="K4244">
        <v>1.1198429999999999</v>
      </c>
      <c r="L4244">
        <v>14.962770000000001</v>
      </c>
      <c r="M4244">
        <v>0.99961339999999999</v>
      </c>
      <c r="N4244">
        <v>-1.396902E-2</v>
      </c>
      <c r="O4244">
        <v>-2.4038440000000001E-2</v>
      </c>
      <c r="P4244">
        <v>0.97911669999999995</v>
      </c>
      <c r="Q4244">
        <v>0.20290179999999999</v>
      </c>
      <c r="R4244">
        <v>1.2704109999999999E-2</v>
      </c>
      <c r="S4244">
        <v>3.0811769999999998</v>
      </c>
      <c r="T4244">
        <v>-9.457219E-2</v>
      </c>
      <c r="U4244">
        <v>6.9366460000000005E-2</v>
      </c>
      <c r="V4244">
        <v>-3.5447960000000001E-2</v>
      </c>
      <c r="W4244">
        <v>0.21668219999999999</v>
      </c>
      <c r="X4244">
        <v>0.97559839999999998</v>
      </c>
      <c r="Y4244">
        <v>-4.6500260000000002E-2</v>
      </c>
      <c r="Z4244">
        <v>1.4401479999999901E-3</v>
      </c>
      <c r="AA4244">
        <v>0.99891719999999895</v>
      </c>
      <c r="AB4244">
        <v>29</v>
      </c>
      <c r="AC4244">
        <v>36.222499999999897</v>
      </c>
      <c r="AD4244">
        <v>-1.11984579984799</v>
      </c>
      <c r="AE4244">
        <v>0.82916999999999697</v>
      </c>
      <c r="AF4244">
        <v>-1.6981255519495599</v>
      </c>
      <c r="AG4244">
        <v>-1.11984579984799</v>
      </c>
      <c r="AH4244">
        <v>36.1575563178327</v>
      </c>
      <c r="AI4244">
        <v>91.772004659404502</v>
      </c>
      <c r="AJ4244">
        <v>92.688898189246203</v>
      </c>
      <c r="AK4244">
        <v>36.2147285490705</v>
      </c>
      <c r="AL4244">
        <v>77.485762805760203</v>
      </c>
      <c r="AM4244">
        <v>92.080902780157601</v>
      </c>
      <c r="AN4244">
        <v>0.99999998587378003</v>
      </c>
    </row>
    <row r="4245" spans="1:40" x14ac:dyDescent="0.25">
      <c r="A4245" t="str">
        <f>"20190303170855705"</f>
        <v>20190303170855705</v>
      </c>
      <c r="B4245" t="str">
        <f>"1551604135697620"</f>
        <v>1551604135697620</v>
      </c>
      <c r="C4245" t="s">
        <v>40</v>
      </c>
      <c r="D4245">
        <v>4.9903740000000001</v>
      </c>
      <c r="E4245">
        <v>0.50106870000000003</v>
      </c>
      <c r="F4245" t="s">
        <v>43</v>
      </c>
      <c r="G4245">
        <v>-351.92090000000002</v>
      </c>
      <c r="H4245" s="1">
        <v>-4.1383139999999998E-6</v>
      </c>
      <c r="I4245">
        <v>15.72584</v>
      </c>
      <c r="J4245">
        <v>-390.92189999999999</v>
      </c>
      <c r="K4245">
        <v>1.119775</v>
      </c>
      <c r="L4245">
        <v>14.952730000000001</v>
      </c>
      <c r="M4245">
        <v>0.99955620000000001</v>
      </c>
      <c r="N4245">
        <v>-1.392324E-2</v>
      </c>
      <c r="O4245">
        <v>-2.6337969999999999E-2</v>
      </c>
      <c r="P4245">
        <v>0.97894000000000003</v>
      </c>
      <c r="Q4245">
        <v>0.20399439999999999</v>
      </c>
      <c r="R4245">
        <v>7.9769230000000003E-3</v>
      </c>
      <c r="S4245">
        <v>3.0813899999999999</v>
      </c>
      <c r="T4245">
        <v>-8.7770100000000004E-2</v>
      </c>
      <c r="U4245">
        <v>5.9814449999999998E-2</v>
      </c>
      <c r="V4245">
        <v>-3.293306E-2</v>
      </c>
      <c r="W4245">
        <v>0.2177239</v>
      </c>
      <c r="X4245">
        <v>0.97545459999999995</v>
      </c>
      <c r="Y4245">
        <v>-4.5706289999999997E-2</v>
      </c>
      <c r="Z4245">
        <v>1.3523910000000001E-3</v>
      </c>
      <c r="AA4245">
        <v>0.99895400000000001</v>
      </c>
      <c r="AB4245">
        <v>29</v>
      </c>
      <c r="AC4245">
        <v>39.000999999999898</v>
      </c>
      <c r="AD4245">
        <v>-1.1197791383140001</v>
      </c>
      <c r="AE4245">
        <v>0.77310999999999996</v>
      </c>
      <c r="AF4245">
        <v>-1.79866627385369</v>
      </c>
      <c r="AG4245">
        <v>-1.1197791383140001</v>
      </c>
      <c r="AH4245">
        <v>38.935020038931803</v>
      </c>
      <c r="AI4245">
        <v>91.645630134811</v>
      </c>
      <c r="AJ4245">
        <v>92.644990764907007</v>
      </c>
      <c r="AK4245">
        <v>38.992626112065402</v>
      </c>
      <c r="AL4245">
        <v>77.424617968473299</v>
      </c>
      <c r="AM4245">
        <v>91.933671637021604</v>
      </c>
      <c r="AN4245">
        <v>0.999999979866666</v>
      </c>
    </row>
    <row r="4246" spans="1:40" x14ac:dyDescent="0.25">
      <c r="A4246" t="str">
        <f>"20190303170855738"</f>
        <v>20190303170855738</v>
      </c>
      <c r="B4246" t="str">
        <f>"1551604135727876"</f>
        <v>1551604135727876</v>
      </c>
      <c r="C4246" t="s">
        <v>40</v>
      </c>
      <c r="D4246">
        <v>4.8492170000000003</v>
      </c>
      <c r="E4246">
        <v>0.53057410000000005</v>
      </c>
      <c r="F4246" t="s">
        <v>43</v>
      </c>
      <c r="G4246">
        <v>-349.92790000000002</v>
      </c>
      <c r="H4246" s="1">
        <v>-1.0838220000000001E-6</v>
      </c>
      <c r="I4246">
        <v>15.58267</v>
      </c>
      <c r="J4246">
        <v>-390.50209999999998</v>
      </c>
      <c r="K4246">
        <v>1.119713</v>
      </c>
      <c r="L4246">
        <v>14.938079999999999</v>
      </c>
      <c r="M4246">
        <v>0.99947180000000002</v>
      </c>
      <c r="N4246">
        <v>-1.382008E-2</v>
      </c>
      <c r="O4246">
        <v>-2.941705E-2</v>
      </c>
      <c r="P4246">
        <v>0.97931250000000003</v>
      </c>
      <c r="Q4246">
        <v>0.2023364</v>
      </c>
      <c r="R4246">
        <v>2.7377619999999999E-3</v>
      </c>
      <c r="S4246">
        <v>3.0817570000000001</v>
      </c>
      <c r="T4246">
        <v>-8.4180119999999997E-2</v>
      </c>
      <c r="U4246">
        <v>4.7363280000000001E-2</v>
      </c>
      <c r="V4246">
        <v>-3.07131E-2</v>
      </c>
      <c r="W4246">
        <v>0.21596480000000001</v>
      </c>
      <c r="X4246">
        <v>0.97591799999999995</v>
      </c>
      <c r="Y4246">
        <v>-4.4749039999999997E-2</v>
      </c>
      <c r="Z4246">
        <v>1.31714299999999E-3</v>
      </c>
      <c r="AA4246">
        <v>0.99899740000000004</v>
      </c>
      <c r="AB4246">
        <v>28</v>
      </c>
      <c r="AC4246">
        <v>40.574199999999898</v>
      </c>
      <c r="AD4246">
        <v>-1.1197140838220001</v>
      </c>
      <c r="AE4246">
        <v>0.64459000000000199</v>
      </c>
      <c r="AF4246">
        <v>-1.83659975170486</v>
      </c>
      <c r="AG4246">
        <v>-1.1197140838220001</v>
      </c>
      <c r="AH4246">
        <v>40.506832076587102</v>
      </c>
      <c r="AI4246">
        <v>91.581776779689605</v>
      </c>
      <c r="AJ4246">
        <v>92.596040940016806</v>
      </c>
      <c r="AK4246">
        <v>40.563903943756401</v>
      </c>
      <c r="AL4246">
        <v>77.527864057167307</v>
      </c>
      <c r="AM4246">
        <v>91.802559632562193</v>
      </c>
      <c r="AN4246">
        <v>1.0000000160373199</v>
      </c>
    </row>
    <row r="4247" spans="1:40" x14ac:dyDescent="0.25">
      <c r="A4247" t="str">
        <f>"20190303170855760"</f>
        <v>20190303170855760</v>
      </c>
      <c r="B4247" t="str">
        <f>"1551604135747396"</f>
        <v>1551604135747396</v>
      </c>
      <c r="C4247" t="s">
        <v>40</v>
      </c>
      <c r="D4247">
        <v>4.842568</v>
      </c>
      <c r="E4247">
        <v>0.53375810000000001</v>
      </c>
      <c r="F4247" t="s">
        <v>43</v>
      </c>
      <c r="G4247">
        <v>-341.3852</v>
      </c>
      <c r="H4247" s="1">
        <v>-5.0856899999999996E-6</v>
      </c>
      <c r="I4247">
        <v>11.68055</v>
      </c>
      <c r="J4247">
        <v>-390.22559999999999</v>
      </c>
      <c r="K4247">
        <v>1.1197090000000001</v>
      </c>
      <c r="L4247">
        <v>14.92773</v>
      </c>
      <c r="M4247">
        <v>0.99941250000000004</v>
      </c>
      <c r="N4247">
        <v>-1.3738770000000001E-2</v>
      </c>
      <c r="O4247">
        <v>-3.1402869999999999E-2</v>
      </c>
      <c r="P4247">
        <v>0.97963219999999995</v>
      </c>
      <c r="Q4247">
        <v>0.20080100000000001</v>
      </c>
      <c r="R4247">
        <v>4.411107E-4</v>
      </c>
      <c r="S4247">
        <v>3.07843</v>
      </c>
      <c r="T4247">
        <v>-7.0178989999999997E-2</v>
      </c>
      <c r="U4247">
        <v>-0.2041626</v>
      </c>
      <c r="V4247">
        <v>-3.038443E-2</v>
      </c>
      <c r="W4247">
        <v>0.21435209999999999</v>
      </c>
      <c r="X4247">
        <v>0.97628369999999998</v>
      </c>
      <c r="Y4247">
        <v>3.4792199999999898E-2</v>
      </c>
      <c r="Z4247">
        <v>-3.5180440000000002E-4</v>
      </c>
      <c r="AA4247">
        <v>0.99939449999999996</v>
      </c>
      <c r="AB4247">
        <v>28</v>
      </c>
      <c r="AC4247">
        <v>48.840399999999903</v>
      </c>
      <c r="AD4247">
        <v>-1.1197140856899901</v>
      </c>
      <c r="AE4247">
        <v>-3.24717999999999</v>
      </c>
      <c r="AF4247">
        <v>1.71080965277088</v>
      </c>
      <c r="AG4247">
        <v>-1.1197140856899901</v>
      </c>
      <c r="AH4247">
        <v>48.892703218730702</v>
      </c>
      <c r="AI4247">
        <v>91.311125310159099</v>
      </c>
      <c r="AJ4247">
        <v>87.995975059853194</v>
      </c>
      <c r="AK4247">
        <v>48.935437643251902</v>
      </c>
      <c r="AL4247">
        <v>77.622480144690599</v>
      </c>
      <c r="AM4247">
        <v>91.782614871673601</v>
      </c>
      <c r="AN4247">
        <v>0.999999949623261</v>
      </c>
    </row>
    <row r="4248" spans="1:40" x14ac:dyDescent="0.25">
      <c r="A4248" t="str">
        <f>"20190303170855782"</f>
        <v>20190303170855782</v>
      </c>
      <c r="B4248" t="str">
        <f>"1551604135767893"</f>
        <v>1551604135767893</v>
      </c>
      <c r="C4248" t="s">
        <v>40</v>
      </c>
      <c r="D4248">
        <v>4.8383399999999996</v>
      </c>
      <c r="E4248">
        <v>0.53515290000000004</v>
      </c>
      <c r="F4248" t="s">
        <v>43</v>
      </c>
      <c r="G4248">
        <v>-339.68799999999999</v>
      </c>
      <c r="H4248" s="1">
        <v>-2.3767289999999998E-6</v>
      </c>
      <c r="I4248">
        <v>11.030340000000001</v>
      </c>
      <c r="J4248">
        <v>-389.94110000000001</v>
      </c>
      <c r="K4248">
        <v>1.1197459999999999</v>
      </c>
      <c r="L4248">
        <v>14.916600000000001</v>
      </c>
      <c r="M4248">
        <v>0.99934979999999995</v>
      </c>
      <c r="N4248">
        <v>-1.3649430000000001E-2</v>
      </c>
      <c r="O4248">
        <v>-3.3374090000000002E-2</v>
      </c>
      <c r="P4248">
        <v>0.97948489999999999</v>
      </c>
      <c r="Q4248">
        <v>0.201513</v>
      </c>
      <c r="R4248">
        <v>-1.360932E-3</v>
      </c>
      <c r="S4248">
        <v>3.076416</v>
      </c>
      <c r="T4248">
        <v>-6.8161009999999994E-2</v>
      </c>
      <c r="U4248">
        <v>-0.2372437</v>
      </c>
      <c r="V4248">
        <v>-3.0528199999999998E-2</v>
      </c>
      <c r="W4248">
        <v>0.21497250000000001</v>
      </c>
      <c r="X4248">
        <v>0.97614279999999998</v>
      </c>
      <c r="Y4248">
        <v>4.3551369999999999E-2</v>
      </c>
      <c r="Z4248">
        <v>-4.9658919999999896E-4</v>
      </c>
      <c r="AA4248">
        <v>0.99905109999999997</v>
      </c>
      <c r="AB4248">
        <v>28</v>
      </c>
      <c r="AC4248">
        <v>50.253099999999897</v>
      </c>
      <c r="AD4248">
        <v>-1.119748376729</v>
      </c>
      <c r="AE4248">
        <v>-3.88626</v>
      </c>
      <c r="AF4248">
        <v>2.20569846636148</v>
      </c>
      <c r="AG4248">
        <v>-1.119748376729</v>
      </c>
      <c r="AH4248">
        <v>50.329972710771102</v>
      </c>
      <c r="AI4248">
        <v>91.273292617678507</v>
      </c>
      <c r="AJ4248">
        <v>87.490632475103098</v>
      </c>
      <c r="AK4248">
        <v>50.390724297420597</v>
      </c>
      <c r="AL4248">
        <v>77.586085503844004</v>
      </c>
      <c r="AM4248">
        <v>91.791302546646804</v>
      </c>
      <c r="AN4248">
        <v>0.99999995637166395</v>
      </c>
    </row>
    <row r="4249" spans="1:40" x14ac:dyDescent="0.25">
      <c r="A4249" t="str">
        <f>"20190303170855804"</f>
        <v>20190303170855804</v>
      </c>
      <c r="B4249" t="str">
        <f>"1551604135798149"</f>
        <v>1551604135798149</v>
      </c>
      <c r="C4249" t="s">
        <v>40</v>
      </c>
      <c r="D4249">
        <v>4.8125359999999997</v>
      </c>
      <c r="E4249">
        <v>0.53559669999999904</v>
      </c>
      <c r="F4249" t="s">
        <v>43</v>
      </c>
      <c r="G4249">
        <v>-336.7149</v>
      </c>
      <c r="H4249" s="1">
        <v>-3.5284899999999999E-6</v>
      </c>
      <c r="I4249">
        <v>10.50422</v>
      </c>
      <c r="J4249">
        <v>-389.66559999999998</v>
      </c>
      <c r="K4249">
        <v>1.1198159999999999</v>
      </c>
      <c r="L4249">
        <v>14.9054</v>
      </c>
      <c r="M4249">
        <v>0.99928989999999995</v>
      </c>
      <c r="N4249">
        <v>-1.355368E-2</v>
      </c>
      <c r="O4249">
        <v>-3.5158439999999999E-2</v>
      </c>
      <c r="P4249">
        <v>0.97904749999999996</v>
      </c>
      <c r="Q4249">
        <v>0.20361109999999999</v>
      </c>
      <c r="R4249">
        <v>-2.918239E-3</v>
      </c>
      <c r="S4249">
        <v>3.075806</v>
      </c>
      <c r="T4249">
        <v>-6.4707399999999998E-2</v>
      </c>
      <c r="U4249">
        <v>-0.25497439999999999</v>
      </c>
      <c r="V4249">
        <v>-3.0736820000000002E-2</v>
      </c>
      <c r="W4249">
        <v>0.21696570000000001</v>
      </c>
      <c r="X4249">
        <v>0.97569519999999998</v>
      </c>
      <c r="Y4249">
        <v>4.7504640000000001E-2</v>
      </c>
      <c r="Z4249">
        <v>-5.5937979999999999E-4</v>
      </c>
      <c r="AA4249">
        <v>0.99887079999999995</v>
      </c>
      <c r="AB4249">
        <v>28</v>
      </c>
      <c r="AC4249">
        <v>52.950699999999898</v>
      </c>
      <c r="AD4249">
        <v>-1.1198195284900001</v>
      </c>
      <c r="AE4249">
        <v>-4.4011800000000001</v>
      </c>
      <c r="AF4249">
        <v>2.5354973338657798</v>
      </c>
      <c r="AG4249">
        <v>-1.1198195284900001</v>
      </c>
      <c r="AH4249">
        <v>53.049146530587898</v>
      </c>
      <c r="AI4249">
        <v>91.207904053555495</v>
      </c>
      <c r="AJ4249">
        <v>87.263616156668107</v>
      </c>
      <c r="AK4249">
        <v>53.121508733564902</v>
      </c>
      <c r="AL4249">
        <v>77.469123736358299</v>
      </c>
      <c r="AM4249">
        <v>91.804362505812904</v>
      </c>
      <c r="AN4249">
        <v>0.99999999519162097</v>
      </c>
    </row>
    <row r="4250" spans="1:40" x14ac:dyDescent="0.25">
      <c r="A4250" t="str">
        <f>"20190303170855827"</f>
        <v>20190303170855827</v>
      </c>
      <c r="B4250" t="str">
        <f>"1551604135817669"</f>
        <v>1551604135817669</v>
      </c>
      <c r="C4250" t="s">
        <v>40</v>
      </c>
      <c r="D4250">
        <v>4.8477030000000001</v>
      </c>
      <c r="E4250">
        <v>0.5354719</v>
      </c>
      <c r="F4250" t="s">
        <v>43</v>
      </c>
      <c r="G4250">
        <v>-328.85070000000002</v>
      </c>
      <c r="H4250" s="1">
        <v>-3.064008E-6</v>
      </c>
      <c r="I4250">
        <v>9.7001340000000003</v>
      </c>
      <c r="J4250">
        <v>-389.36419999999998</v>
      </c>
      <c r="K4250">
        <v>1.119958</v>
      </c>
      <c r="L4250">
        <v>14.892729999999901</v>
      </c>
      <c r="M4250">
        <v>0.99922909999999998</v>
      </c>
      <c r="N4250">
        <v>-1.3427059999999999E-2</v>
      </c>
      <c r="O4250">
        <v>-3.689535E-2</v>
      </c>
      <c r="P4250">
        <v>0.97840629999999995</v>
      </c>
      <c r="Q4250">
        <v>0.20663029999999999</v>
      </c>
      <c r="R4250">
        <v>-5.0471739999999998E-3</v>
      </c>
      <c r="S4250">
        <v>3.0752259999999998</v>
      </c>
      <c r="T4250">
        <v>-5.6625839999999997E-2</v>
      </c>
      <c r="U4250">
        <v>-0.26321409999999901</v>
      </c>
      <c r="V4250">
        <v>-3.0351099999999898E-2</v>
      </c>
      <c r="W4250">
        <v>0.21984139999999999</v>
      </c>
      <c r="X4250">
        <v>0.97506340000000002</v>
      </c>
      <c r="Y4250">
        <v>4.8444000000000001E-2</v>
      </c>
      <c r="Z4250">
        <v>-5.8813539999999997E-4</v>
      </c>
      <c r="AA4250">
        <v>0.99882570000000004</v>
      </c>
      <c r="AB4250">
        <v>28</v>
      </c>
      <c r="AC4250">
        <v>60.513499999999901</v>
      </c>
      <c r="AD4250">
        <v>-1.119961064008</v>
      </c>
      <c r="AE4250">
        <v>-5.1925959999999902</v>
      </c>
      <c r="AF4250">
        <v>2.9551873966700302</v>
      </c>
      <c r="AG4250">
        <v>-1.119961064008</v>
      </c>
      <c r="AH4250">
        <v>60.643270494558401</v>
      </c>
      <c r="AI4250">
        <v>91.056765552588402</v>
      </c>
      <c r="AJ4250">
        <v>87.210145031938595</v>
      </c>
      <c r="AK4250">
        <v>60.725560529405698</v>
      </c>
      <c r="AL4250">
        <v>77.300282588517007</v>
      </c>
      <c r="AM4250">
        <v>91.7828877780059</v>
      </c>
      <c r="AN4250">
        <v>1.0000000322223599</v>
      </c>
    </row>
    <row r="4251" spans="1:40" x14ac:dyDescent="0.25">
      <c r="A4251" t="str">
        <f>"20190303170855850"</f>
        <v>20190303170855850</v>
      </c>
      <c r="B4251" t="str">
        <f>"1551604135838165"</f>
        <v>1551604135838165</v>
      </c>
      <c r="C4251" t="s">
        <v>40</v>
      </c>
      <c r="D4251">
        <v>4.8047279999999999</v>
      </c>
      <c r="E4251">
        <v>0.53560359999999996</v>
      </c>
      <c r="F4251" t="s">
        <v>46</v>
      </c>
      <c r="G4251">
        <v>-311.0419</v>
      </c>
      <c r="H4251">
        <v>-0.05</v>
      </c>
      <c r="I4251">
        <v>8.0848239999999993</v>
      </c>
      <c r="J4251">
        <v>-389.07650000000001</v>
      </c>
      <c r="K4251">
        <v>1.1201490000000001</v>
      </c>
      <c r="L4251">
        <v>14.880459999999999</v>
      </c>
      <c r="M4251">
        <v>0.99917940000000005</v>
      </c>
      <c r="N4251">
        <v>-1.3280439999999999E-2</v>
      </c>
      <c r="O4251">
        <v>-3.8267959999999997E-2</v>
      </c>
      <c r="P4251">
        <v>0.97801360000000004</v>
      </c>
      <c r="Q4251">
        <v>0.2084385</v>
      </c>
      <c r="R4251">
        <v>-6.5615209999999998E-3</v>
      </c>
      <c r="S4251">
        <v>3.0745239999999998</v>
      </c>
      <c r="T4251">
        <v>-4.5926450000000001E-2</v>
      </c>
      <c r="U4251">
        <v>-0.26724239999999999</v>
      </c>
      <c r="V4251">
        <v>-3.0265630000000002E-2</v>
      </c>
      <c r="W4251">
        <v>0.2214864</v>
      </c>
      <c r="X4251">
        <v>0.9746937</v>
      </c>
      <c r="Y4251">
        <v>4.8393949999999998E-2</v>
      </c>
      <c r="Z4251">
        <v>-6.2014120000000001E-4</v>
      </c>
      <c r="AA4251">
        <v>0.9988281</v>
      </c>
      <c r="AB4251">
        <v>28</v>
      </c>
      <c r="AC4251">
        <v>78.034599999999998</v>
      </c>
      <c r="AD4251">
        <v>-1.1701489999999899</v>
      </c>
      <c r="AE4251">
        <v>-6.795636</v>
      </c>
      <c r="AF4251">
        <v>3.8033207328855099</v>
      </c>
      <c r="AG4251">
        <v>-1.1701489999999899</v>
      </c>
      <c r="AH4251">
        <v>78.220052648133304</v>
      </c>
      <c r="AI4251">
        <v>90.8560528873941</v>
      </c>
      <c r="AJ4251">
        <v>87.216279855977305</v>
      </c>
      <c r="AK4251">
        <v>78.321204878092502</v>
      </c>
      <c r="AL4251">
        <v>77.203648852180393</v>
      </c>
      <c r="AM4251">
        <v>91.778544226976095</v>
      </c>
      <c r="AN4251">
        <v>1.00000002128197</v>
      </c>
    </row>
    <row r="4252" spans="1:40" x14ac:dyDescent="0.25">
      <c r="A4252" t="str">
        <f>"20190303170855870"</f>
        <v>20190303170855870</v>
      </c>
      <c r="B4252" t="str">
        <f>"1551604135857685"</f>
        <v>1551604135857685</v>
      </c>
      <c r="C4252" t="s">
        <v>40</v>
      </c>
      <c r="D4252">
        <v>4.7943530000000001</v>
      </c>
      <c r="E4252">
        <v>0.53565949999999996</v>
      </c>
      <c r="F4252" t="s">
        <v>46</v>
      </c>
      <c r="G4252">
        <v>-301.90230000000003</v>
      </c>
      <c r="H4252">
        <v>-0.05</v>
      </c>
      <c r="I4252">
        <v>7.1859440000000001</v>
      </c>
      <c r="J4252">
        <v>-388.81880000000001</v>
      </c>
      <c r="K4252">
        <v>1.1203559999999999</v>
      </c>
      <c r="L4252">
        <v>14.86938</v>
      </c>
      <c r="M4252">
        <v>0.99914499999999995</v>
      </c>
      <c r="N4252">
        <v>-1.3135880000000001E-2</v>
      </c>
      <c r="O4252">
        <v>-3.9199060000000001E-2</v>
      </c>
      <c r="P4252">
        <v>0.97794740000000002</v>
      </c>
      <c r="Q4252">
        <v>0.20872669999999999</v>
      </c>
      <c r="R4252">
        <v>-7.2101909999999899E-3</v>
      </c>
      <c r="S4252">
        <v>3.0743710000000002</v>
      </c>
      <c r="T4252">
        <v>-4.126763E-2</v>
      </c>
      <c r="U4252">
        <v>-0.2713623</v>
      </c>
      <c r="V4252">
        <v>-3.064534E-2</v>
      </c>
      <c r="W4252">
        <v>0.22161700000000001</v>
      </c>
      <c r="X4252">
        <v>0.97465210000000002</v>
      </c>
      <c r="Y4252">
        <v>4.8797239999999999E-2</v>
      </c>
      <c r="Z4252">
        <v>-6.3747390000000004E-4</v>
      </c>
      <c r="AA4252">
        <v>0.99880849999999999</v>
      </c>
      <c r="AB4252">
        <v>28</v>
      </c>
      <c r="AC4252">
        <v>86.9164999999999</v>
      </c>
      <c r="AD4252">
        <v>-1.170356</v>
      </c>
      <c r="AE4252">
        <v>-7.6834359999999897</v>
      </c>
      <c r="AF4252">
        <v>4.2694222123793004</v>
      </c>
      <c r="AG4252">
        <v>-1.170356</v>
      </c>
      <c r="AH4252">
        <v>87.135219445160601</v>
      </c>
      <c r="AI4252">
        <v>90.768599577389693</v>
      </c>
      <c r="AJ4252">
        <v>87.194884020349093</v>
      </c>
      <c r="AK4252">
        <v>87.2476026429987</v>
      </c>
      <c r="AL4252">
        <v>77.195974707499403</v>
      </c>
      <c r="AM4252">
        <v>91.800919901602498</v>
      </c>
      <c r="AN4252">
        <v>0.99999997379356198</v>
      </c>
    </row>
    <row r="4253" spans="1:40" x14ac:dyDescent="0.25">
      <c r="A4253" t="str">
        <f>"20190303170855906"</f>
        <v>20190303170855906</v>
      </c>
      <c r="B4253" t="str">
        <f>"1551604135897701"</f>
        <v>1551604135897701</v>
      </c>
      <c r="C4253" t="s">
        <v>40</v>
      </c>
      <c r="D4253">
        <v>4.7910620000000002</v>
      </c>
      <c r="E4253">
        <v>0.53571979999999997</v>
      </c>
      <c r="F4253" t="s">
        <v>46</v>
      </c>
      <c r="G4253">
        <v>-300.50889999999998</v>
      </c>
      <c r="H4253">
        <v>-0.05</v>
      </c>
      <c r="I4253">
        <v>7.0061649999999904</v>
      </c>
      <c r="J4253">
        <v>-388.36680000000001</v>
      </c>
      <c r="K4253">
        <v>1.1206969999999901</v>
      </c>
      <c r="L4253">
        <v>14.85019</v>
      </c>
      <c r="M4253">
        <v>0.99910880000000002</v>
      </c>
      <c r="N4253">
        <v>-1.288418E-2</v>
      </c>
      <c r="O4253">
        <v>-4.0195689999999999E-2</v>
      </c>
      <c r="P4253">
        <v>0.97721309999999995</v>
      </c>
      <c r="Q4253">
        <v>0.21196870000000001</v>
      </c>
      <c r="R4253">
        <v>-1.1140799999999999E-2</v>
      </c>
      <c r="S4253">
        <v>3.074341</v>
      </c>
      <c r="T4253">
        <v>-4.0743710000000002E-2</v>
      </c>
      <c r="U4253">
        <v>-0.27374270000000001</v>
      </c>
      <c r="V4253">
        <v>-2.7874550000000001E-2</v>
      </c>
      <c r="W4253">
        <v>0.22457189999999999</v>
      </c>
      <c r="X4253">
        <v>0.97405870000000006</v>
      </c>
      <c r="Y4253">
        <v>4.8569540000000001E-2</v>
      </c>
      <c r="Z4253">
        <v>-6.2067579999999995E-4</v>
      </c>
      <c r="AA4253">
        <v>0.99881960000000003</v>
      </c>
      <c r="AB4253">
        <v>28</v>
      </c>
      <c r="AC4253">
        <v>87.857900000000001</v>
      </c>
      <c r="AD4253">
        <v>-1.1706970000000001</v>
      </c>
      <c r="AE4253">
        <v>-7.8440250000000002</v>
      </c>
      <c r="AF4253">
        <v>4.3051243648415696</v>
      </c>
      <c r="AG4253">
        <v>-1.1706970000000001</v>
      </c>
      <c r="AH4253">
        <v>88.086689607249795</v>
      </c>
      <c r="AI4253">
        <v>90.760524612366396</v>
      </c>
      <c r="AJ4253">
        <v>87.201968423408502</v>
      </c>
      <c r="AK4253">
        <v>88.199600414211204</v>
      </c>
      <c r="AL4253">
        <v>77.022293578591402</v>
      </c>
      <c r="AM4253">
        <v>91.639180797642496</v>
      </c>
      <c r="AN4253">
        <v>0.99999993992649905</v>
      </c>
    </row>
    <row r="4254" spans="1:40" x14ac:dyDescent="0.25">
      <c r="A4254" t="str">
        <f>"20190303170855929"</f>
        <v>20190303170855929</v>
      </c>
      <c r="B4254" t="str">
        <f>"1551604135918196"</f>
        <v>1551604135918196</v>
      </c>
      <c r="C4254" t="s">
        <v>40</v>
      </c>
      <c r="D4254">
        <v>4.8165199999999997</v>
      </c>
      <c r="E4254">
        <v>0.53572640000000005</v>
      </c>
      <c r="F4254" t="s">
        <v>46</v>
      </c>
      <c r="G4254">
        <v>-280.50670000000002</v>
      </c>
      <c r="H4254">
        <v>-0.05</v>
      </c>
      <c r="I4254">
        <v>4.8882750000000001</v>
      </c>
      <c r="J4254">
        <v>-388.06569999999999</v>
      </c>
      <c r="K4254">
        <v>1.1209579999999999</v>
      </c>
      <c r="L4254">
        <v>14.837680000000001</v>
      </c>
      <c r="M4254">
        <v>0.99910469999999896</v>
      </c>
      <c r="N4254">
        <v>-1.27136E-2</v>
      </c>
      <c r="O4254">
        <v>-4.0350619999999997E-2</v>
      </c>
      <c r="P4254">
        <v>0.97658990000000001</v>
      </c>
      <c r="Q4254">
        <v>0.21453459999999999</v>
      </c>
      <c r="R4254">
        <v>-1.5723250000000001E-2</v>
      </c>
      <c r="S4254">
        <v>3.0739139999999998</v>
      </c>
      <c r="T4254">
        <v>-3.3363820000000002E-2</v>
      </c>
      <c r="U4254">
        <v>-0.28390500000000002</v>
      </c>
      <c r="V4254">
        <v>-2.357302E-2</v>
      </c>
      <c r="W4254">
        <v>0.2269447</v>
      </c>
      <c r="X4254">
        <v>0.97362230000000005</v>
      </c>
      <c r="Y4254">
        <v>5.1703770000000003E-2</v>
      </c>
      <c r="Z4254">
        <v>-6.8494539999999998E-4</v>
      </c>
      <c r="AA4254">
        <v>0.99866220000000006</v>
      </c>
      <c r="AB4254">
        <v>28</v>
      </c>
      <c r="AC4254">
        <v>107.558999999999</v>
      </c>
      <c r="AD4254">
        <v>-1.1709579999999999</v>
      </c>
      <c r="AE4254">
        <v>-9.9494050000000005</v>
      </c>
      <c r="AF4254">
        <v>5.6002194998169701</v>
      </c>
      <c r="AG4254">
        <v>-1.1709579999999999</v>
      </c>
      <c r="AH4254">
        <v>107.86020990356501</v>
      </c>
      <c r="AI4254">
        <v>90.621156560595296</v>
      </c>
      <c r="AJ4254">
        <v>87.027809655854298</v>
      </c>
      <c r="AK4254">
        <v>108.01184417240999</v>
      </c>
      <c r="AL4254">
        <v>76.882739863198196</v>
      </c>
      <c r="AM4254">
        <v>91.386955427148393</v>
      </c>
      <c r="AN4254">
        <v>0.99999998359365005</v>
      </c>
    </row>
    <row r="4255" spans="1:40" x14ac:dyDescent="0.25">
      <c r="A4255" t="str">
        <f>"20190303170855950"</f>
        <v>20190303170855950</v>
      </c>
      <c r="B4255" t="str">
        <f>"1551604135937716"</f>
        <v>1551604135937716</v>
      </c>
      <c r="C4255" t="s">
        <v>40</v>
      </c>
      <c r="D4255">
        <v>4.8227229999999999</v>
      </c>
      <c r="E4255">
        <v>0.53541479999999997</v>
      </c>
      <c r="F4255" t="s">
        <v>99</v>
      </c>
      <c r="G4255">
        <v>-279.33690000000001</v>
      </c>
      <c r="H4255">
        <v>0.16364500000000001</v>
      </c>
      <c r="I4255">
        <v>4.4433309999999997</v>
      </c>
      <c r="J4255">
        <v>-387.80090000000001</v>
      </c>
      <c r="K4255">
        <v>1.1212329999999999</v>
      </c>
      <c r="L4255">
        <v>14.82709</v>
      </c>
      <c r="M4255">
        <v>0.99912120000000004</v>
      </c>
      <c r="N4255">
        <v>-1.255992E-2</v>
      </c>
      <c r="O4255">
        <v>-3.9991699999999998E-2</v>
      </c>
      <c r="P4255">
        <v>0.97675959999999995</v>
      </c>
      <c r="Q4255">
        <v>0.21355579999999999</v>
      </c>
      <c r="R4255">
        <v>-1.8297029999999999E-2</v>
      </c>
      <c r="S4255">
        <v>3.0731809999999999</v>
      </c>
      <c r="T4255">
        <v>-2.7058120000000001E-2</v>
      </c>
      <c r="U4255">
        <v>-0.29379270000000002</v>
      </c>
      <c r="V4255">
        <v>-2.0821369999999999E-2</v>
      </c>
      <c r="W4255">
        <v>0.22580259999999999</v>
      </c>
      <c r="X4255">
        <v>0.9739506</v>
      </c>
      <c r="Y4255">
        <v>5.5270649999999998E-2</v>
      </c>
      <c r="Z4255">
        <v>-7.4112560000000002E-4</v>
      </c>
      <c r="AA4255">
        <v>0.99847109999999994</v>
      </c>
      <c r="AB4255">
        <v>28</v>
      </c>
      <c r="AC4255">
        <v>108.464</v>
      </c>
      <c r="AD4255">
        <v>-0.95758799999999999</v>
      </c>
      <c r="AE4255">
        <v>-10.383759</v>
      </c>
      <c r="AF4255">
        <v>6.0369831695322</v>
      </c>
      <c r="AG4255">
        <v>-0.95758799999999999</v>
      </c>
      <c r="AH4255">
        <v>108.78411117472901</v>
      </c>
      <c r="AI4255">
        <v>90.503566644895102</v>
      </c>
      <c r="AJ4255">
        <v>86.823624110251998</v>
      </c>
      <c r="AK4255">
        <v>108.955701937268</v>
      </c>
      <c r="AL4255">
        <v>76.949922354879106</v>
      </c>
      <c r="AM4255">
        <v>91.224697569312397</v>
      </c>
      <c r="AN4255">
        <v>1.00000005742789</v>
      </c>
    </row>
    <row r="4256" spans="1:40" x14ac:dyDescent="0.25">
      <c r="A4256" t="str">
        <f>"20190303170855970"</f>
        <v>20190303170855970</v>
      </c>
      <c r="B4256" t="str">
        <f>"1551604135958213"</f>
        <v>1551604135958213</v>
      </c>
      <c r="C4256" t="s">
        <v>40</v>
      </c>
      <c r="D4256">
        <v>4.7989069999999998</v>
      </c>
      <c r="E4256">
        <v>0.53535279999999996</v>
      </c>
      <c r="F4256" t="s">
        <v>46</v>
      </c>
      <c r="G4256">
        <v>-269.10359999999997</v>
      </c>
      <c r="H4256">
        <v>-0.05</v>
      </c>
      <c r="I4256">
        <v>3.337936</v>
      </c>
      <c r="J4256">
        <v>-387.53949999999998</v>
      </c>
      <c r="K4256">
        <v>1.121513</v>
      </c>
      <c r="L4256">
        <v>14.81714</v>
      </c>
      <c r="M4256">
        <v>0.99915149999999997</v>
      </c>
      <c r="N4256">
        <v>-1.241432E-2</v>
      </c>
      <c r="O4256">
        <v>-3.9271500000000001E-2</v>
      </c>
      <c r="P4256">
        <v>0.97749169999999996</v>
      </c>
      <c r="Q4256">
        <v>0.2102097</v>
      </c>
      <c r="R4256">
        <v>-1.7946449999999999E-2</v>
      </c>
      <c r="S4256">
        <v>3.0724490000000002</v>
      </c>
      <c r="T4256">
        <v>-3.0317070000000002E-2</v>
      </c>
      <c r="U4256">
        <v>-0.29739379999999999</v>
      </c>
      <c r="V4256">
        <v>-2.0663770000000001E-2</v>
      </c>
      <c r="W4256">
        <v>0.2223089</v>
      </c>
      <c r="X4256">
        <v>0.97475730000000005</v>
      </c>
      <c r="Y4256">
        <v>5.7171180000000002E-2</v>
      </c>
      <c r="Z4256">
        <v>-7.3753529999999999E-4</v>
      </c>
      <c r="AA4256">
        <v>0.99836409999999998</v>
      </c>
      <c r="AB4256">
        <v>28</v>
      </c>
      <c r="AC4256">
        <v>118.4359</v>
      </c>
      <c r="AD4256">
        <v>-1.171513</v>
      </c>
      <c r="AE4256">
        <v>-11.479203999999999</v>
      </c>
      <c r="AF4256">
        <v>6.8181727205604901</v>
      </c>
      <c r="AG4256">
        <v>-1.171513</v>
      </c>
      <c r="AH4256">
        <v>118.78384809251899</v>
      </c>
      <c r="AI4256">
        <v>90.564136307931904</v>
      </c>
      <c r="AJ4256">
        <v>86.714836735886294</v>
      </c>
      <c r="AK4256">
        <v>118.98513558265699</v>
      </c>
      <c r="AL4256">
        <v>77.155318120762999</v>
      </c>
      <c r="AM4256">
        <v>91.214424867848706</v>
      </c>
      <c r="AN4256">
        <v>1.0000000161565501</v>
      </c>
    </row>
    <row r="4257" spans="1:40" x14ac:dyDescent="0.25">
      <c r="A4257" t="str">
        <f>"20190303170855994"</f>
        <v>20190303170855994</v>
      </c>
      <c r="B4257" t="str">
        <f>"1551604135987492"</f>
        <v>1551604135987492</v>
      </c>
      <c r="C4257" t="s">
        <v>40</v>
      </c>
      <c r="D4257">
        <v>4.8813279999999999</v>
      </c>
      <c r="E4257">
        <v>0.50166650000000002</v>
      </c>
      <c r="F4257" t="s">
        <v>46</v>
      </c>
      <c r="G4257">
        <v>-299.3186</v>
      </c>
      <c r="H4257">
        <v>-0.05</v>
      </c>
      <c r="I4257">
        <v>6.2804719999999996</v>
      </c>
      <c r="J4257">
        <v>-387.24209999999999</v>
      </c>
      <c r="K4257">
        <v>1.1218410000000001</v>
      </c>
      <c r="L4257">
        <v>14.80655</v>
      </c>
      <c r="M4257">
        <v>0.99920240000000005</v>
      </c>
      <c r="N4257">
        <v>-1.225567E-2</v>
      </c>
      <c r="O4257">
        <v>-3.8008930000000003E-2</v>
      </c>
      <c r="P4257">
        <v>0.97816970000000003</v>
      </c>
      <c r="Q4257">
        <v>0.2071933</v>
      </c>
      <c r="R4257">
        <v>-1.597929E-2</v>
      </c>
      <c r="S4257">
        <v>3.0724179999999999</v>
      </c>
      <c r="T4257">
        <v>-4.0799620000000002E-2</v>
      </c>
      <c r="U4257">
        <v>-0.29730220000000002</v>
      </c>
      <c r="V4257">
        <v>-2.160699E-2</v>
      </c>
      <c r="W4257">
        <v>0.2191263</v>
      </c>
      <c r="X4257">
        <v>0.97545720000000002</v>
      </c>
      <c r="Y4257">
        <v>5.8400540000000001E-2</v>
      </c>
      <c r="Z4257">
        <v>-7.0742630000000003E-4</v>
      </c>
      <c r="AA4257">
        <v>0.99829299999999999</v>
      </c>
      <c r="AB4257">
        <v>28</v>
      </c>
      <c r="AC4257">
        <v>87.923499999999905</v>
      </c>
      <c r="AD4257">
        <v>-1.1718409999999999</v>
      </c>
      <c r="AE4257">
        <v>-8.5260779999999894</v>
      </c>
      <c r="AF4257">
        <v>5.1768764690891498</v>
      </c>
      <c r="AG4257">
        <v>-1.1718409999999999</v>
      </c>
      <c r="AH4257">
        <v>88.168532427841299</v>
      </c>
      <c r="AI4257">
        <v>90.7601597879395</v>
      </c>
      <c r="AJ4257">
        <v>86.639696649874693</v>
      </c>
      <c r="AK4257">
        <v>88.328157298705094</v>
      </c>
      <c r="AL4257">
        <v>77.342278071409297</v>
      </c>
      <c r="AM4257">
        <v>91.268930016888902</v>
      </c>
      <c r="AN4257">
        <v>0.99999997320019396</v>
      </c>
    </row>
    <row r="4258" spans="1:40" x14ac:dyDescent="0.25">
      <c r="A4258" t="str">
        <f>"20190303170856016"</f>
        <v>20190303170856016</v>
      </c>
      <c r="B4258" t="str">
        <f>"1551604136007989"</f>
        <v>1551604136007989</v>
      </c>
      <c r="C4258" t="s">
        <v>40</v>
      </c>
      <c r="D4258">
        <v>4.9482460000000001</v>
      </c>
      <c r="E4258">
        <v>0.49595909999999899</v>
      </c>
      <c r="F4258" t="s">
        <v>103</v>
      </c>
      <c r="G4258">
        <v>-279.68</v>
      </c>
      <c r="H4258">
        <v>0.584816</v>
      </c>
      <c r="I4258">
        <v>13.93721</v>
      </c>
      <c r="J4258">
        <v>-386.96280000000002</v>
      </c>
      <c r="K4258">
        <v>1.122139</v>
      </c>
      <c r="L4258">
        <v>14.797420000000001</v>
      </c>
      <c r="M4258">
        <v>0.99926349999999997</v>
      </c>
      <c r="N4258">
        <v>-1.210724E-2</v>
      </c>
      <c r="O4258">
        <v>-3.6415469999999998E-2</v>
      </c>
      <c r="P4258">
        <v>0.97829379999999999</v>
      </c>
      <c r="Q4258">
        <v>0.2067406</v>
      </c>
      <c r="R4258">
        <v>-1.4131029999999999E-2</v>
      </c>
      <c r="S4258">
        <v>3.0697939999999999</v>
      </c>
      <c r="T4258">
        <v>-1.5326499999999899E-2</v>
      </c>
      <c r="U4258">
        <v>-2.4810789999999999E-2</v>
      </c>
      <c r="V4258">
        <v>-2.2068250000000001E-2</v>
      </c>
      <c r="W4258">
        <v>0.2185126</v>
      </c>
      <c r="X4258">
        <v>0.97558460000000002</v>
      </c>
      <c r="Y4258">
        <v>-2.8338209999999999E-2</v>
      </c>
      <c r="Z4258" s="1">
        <v>-1.6921510000000001E-5</v>
      </c>
      <c r="AA4258">
        <v>0.9995984</v>
      </c>
      <c r="AB4258">
        <v>28</v>
      </c>
      <c r="AC4258">
        <v>107.28279999999999</v>
      </c>
      <c r="AD4258">
        <v>-0.537323</v>
      </c>
      <c r="AE4258">
        <v>-0.86021000000000003</v>
      </c>
      <c r="AF4258">
        <v>-3.0473237268232101</v>
      </c>
      <c r="AG4258">
        <v>-0.537323</v>
      </c>
      <c r="AH4258">
        <v>107.240270164245</v>
      </c>
      <c r="AI4258">
        <v>90.286959935096206</v>
      </c>
      <c r="AJ4258">
        <v>91.627670435351206</v>
      </c>
      <c r="AK4258">
        <v>107.28490314486299</v>
      </c>
      <c r="AL4258">
        <v>77.378314635733901</v>
      </c>
      <c r="AM4258">
        <v>91.295840452638103</v>
      </c>
      <c r="AN4258">
        <v>1.00000003788699</v>
      </c>
    </row>
    <row r="4259" spans="1:40" x14ac:dyDescent="0.25">
      <c r="A4259" t="str">
        <f>"20190303170856038"</f>
        <v>20190303170856038</v>
      </c>
      <c r="B4259" t="str">
        <f>"1551604136027509"</f>
        <v>1551604136027509</v>
      </c>
      <c r="C4259" t="s">
        <v>40</v>
      </c>
      <c r="D4259">
        <v>4.8368729999999998</v>
      </c>
      <c r="E4259">
        <v>0.49451040000000002</v>
      </c>
      <c r="F4259" t="s">
        <v>46</v>
      </c>
      <c r="G4259">
        <v>-284.6671</v>
      </c>
      <c r="H4259">
        <v>-0.05</v>
      </c>
      <c r="I4259">
        <v>15.752929999999999</v>
      </c>
      <c r="J4259">
        <v>-386.6816</v>
      </c>
      <c r="K4259">
        <v>1.122433</v>
      </c>
      <c r="L4259">
        <v>14.78909</v>
      </c>
      <c r="M4259">
        <v>0.99933559999999999</v>
      </c>
      <c r="N4259">
        <v>-1.196302E-2</v>
      </c>
      <c r="O4259">
        <v>-3.4429889999999998E-2</v>
      </c>
      <c r="P4259">
        <v>0.97802129999999998</v>
      </c>
      <c r="Q4259">
        <v>0.20817669999999999</v>
      </c>
      <c r="R4259">
        <v>-1.1715410000000001E-2</v>
      </c>
      <c r="S4259">
        <v>3.0744319999999998</v>
      </c>
      <c r="T4259">
        <v>-3.5227889999999998E-2</v>
      </c>
      <c r="U4259">
        <v>2.8717039999999999E-2</v>
      </c>
      <c r="V4259">
        <v>-2.2693330000000001E-2</v>
      </c>
      <c r="W4259">
        <v>0.21978600000000001</v>
      </c>
      <c r="X4259">
        <v>0.97528409999999999</v>
      </c>
      <c r="Y4259">
        <v>-4.3759630000000001E-2</v>
      </c>
      <c r="Z4259">
        <v>4.9498290000000002E-4</v>
      </c>
      <c r="AA4259">
        <v>0.99904199999999999</v>
      </c>
      <c r="AB4259">
        <v>29</v>
      </c>
      <c r="AC4259">
        <v>102.0145</v>
      </c>
      <c r="AD4259">
        <v>-1.1724330000000001</v>
      </c>
      <c r="AE4259">
        <v>0.96383999999999903</v>
      </c>
      <c r="AF4259">
        <v>-4.4752764801461398</v>
      </c>
      <c r="AG4259">
        <v>-1.1724330000000001</v>
      </c>
      <c r="AH4259">
        <v>101.907362072073</v>
      </c>
      <c r="AI4259">
        <v>90.6585179373633</v>
      </c>
      <c r="AJ4259">
        <v>92.514536776952497</v>
      </c>
      <c r="AK4259">
        <v>102.01231858556</v>
      </c>
      <c r="AL4259">
        <v>77.303535608844996</v>
      </c>
      <c r="AM4259">
        <v>91.332942320248804</v>
      </c>
      <c r="AN4259">
        <v>0.99999997436764898</v>
      </c>
    </row>
    <row r="4260" spans="1:40" x14ac:dyDescent="0.25">
      <c r="A4260" t="str">
        <f>"20190303170856060"</f>
        <v>20190303170856060</v>
      </c>
      <c r="B4260" t="str">
        <f>"1551604136048005"</f>
        <v>1551604136048005</v>
      </c>
      <c r="C4260" t="s">
        <v>40</v>
      </c>
      <c r="D4260">
        <v>4.8908360000000002</v>
      </c>
      <c r="E4260">
        <v>0.49378060000000001</v>
      </c>
      <c r="F4260" t="s">
        <v>46</v>
      </c>
      <c r="G4260">
        <v>-292.36689999999999</v>
      </c>
      <c r="H4260">
        <v>-0.05</v>
      </c>
      <c r="I4260">
        <v>16.318919999999999</v>
      </c>
      <c r="J4260">
        <v>-386.40789999999998</v>
      </c>
      <c r="K4260">
        <v>1.1226959999999999</v>
      </c>
      <c r="L4260">
        <v>14.781829999999999</v>
      </c>
      <c r="M4260">
        <v>0.99941219999999997</v>
      </c>
      <c r="N4260">
        <v>-1.1828180000000001E-2</v>
      </c>
      <c r="O4260">
        <v>-3.217486E-2</v>
      </c>
      <c r="P4260">
        <v>0.97790120000000003</v>
      </c>
      <c r="Q4260">
        <v>0.20895169999999999</v>
      </c>
      <c r="R4260">
        <v>-6.984835E-3</v>
      </c>
      <c r="S4260">
        <v>3.0761409999999998</v>
      </c>
      <c r="T4260">
        <v>-3.8239719999999998E-2</v>
      </c>
      <c r="U4260">
        <v>4.9896240000000001E-2</v>
      </c>
      <c r="V4260">
        <v>-2.535345E-2</v>
      </c>
      <c r="W4260">
        <v>0.2204024</v>
      </c>
      <c r="X4260">
        <v>0.97507949999999999</v>
      </c>
      <c r="Y4260">
        <v>-4.837545E-2</v>
      </c>
      <c r="Z4260">
        <v>6.0611330000000002E-4</v>
      </c>
      <c r="AA4260">
        <v>0.99882910000000003</v>
      </c>
      <c r="AB4260">
        <v>29</v>
      </c>
      <c r="AC4260">
        <v>94.040999999999997</v>
      </c>
      <c r="AD4260">
        <v>-1.172696</v>
      </c>
      <c r="AE4260">
        <v>1.5370900000000001</v>
      </c>
      <c r="AF4260">
        <v>-4.5615528104323699</v>
      </c>
      <c r="AG4260">
        <v>-1.172696</v>
      </c>
      <c r="AH4260">
        <v>93.928242675202497</v>
      </c>
      <c r="AI4260">
        <v>90.714459858098394</v>
      </c>
      <c r="AJ4260">
        <v>92.780341008383402</v>
      </c>
      <c r="AK4260">
        <v>94.046253258715794</v>
      </c>
      <c r="AL4260">
        <v>77.267331328326406</v>
      </c>
      <c r="AM4260">
        <v>91.489435936883496</v>
      </c>
      <c r="AN4260">
        <v>1.0000000233364501</v>
      </c>
    </row>
    <row r="4261" spans="1:40" x14ac:dyDescent="0.25">
      <c r="A4261" t="str">
        <f>"20190303170856082"</f>
        <v>20190303170856082</v>
      </c>
      <c r="B4261" t="str">
        <f>"1551604136067529"</f>
        <v>1551604136067529</v>
      </c>
      <c r="C4261" t="s">
        <v>40</v>
      </c>
      <c r="D4261">
        <v>4.7786379999999999</v>
      </c>
      <c r="E4261">
        <v>0.49351230000000001</v>
      </c>
      <c r="F4261" t="s">
        <v>46</v>
      </c>
      <c r="G4261">
        <v>-296.65960000000001</v>
      </c>
      <c r="H4261">
        <v>-0.05</v>
      </c>
      <c r="I4261">
        <v>16.8123</v>
      </c>
      <c r="J4261">
        <v>-386.12220000000002</v>
      </c>
      <c r="K4261">
        <v>1.1229199999999999</v>
      </c>
      <c r="L4261">
        <v>14.7753</v>
      </c>
      <c r="M4261">
        <v>0.99949529999999998</v>
      </c>
      <c r="N4261">
        <v>-1.1687609999999999E-2</v>
      </c>
      <c r="O4261">
        <v>-2.9542820000000001E-2</v>
      </c>
      <c r="P4261">
        <v>0.97792520000000005</v>
      </c>
      <c r="Q4261">
        <v>0.20894969999999999</v>
      </c>
      <c r="R4261">
        <v>-1.6194619999999999E-3</v>
      </c>
      <c r="S4261">
        <v>3.0768430000000002</v>
      </c>
      <c r="T4261">
        <v>-4.0203570000000001E-2</v>
      </c>
      <c r="U4261">
        <v>6.9610599999999995E-2</v>
      </c>
      <c r="V4261">
        <v>-2.826596E-2</v>
      </c>
      <c r="W4261">
        <v>0.22023580000000001</v>
      </c>
      <c r="X4261">
        <v>0.97503700000000004</v>
      </c>
      <c r="Y4261">
        <v>-5.2137200000000002E-2</v>
      </c>
      <c r="Z4261">
        <v>6.8600659999999995E-4</v>
      </c>
      <c r="AA4261">
        <v>0.99863970000000002</v>
      </c>
      <c r="AB4261">
        <v>29</v>
      </c>
      <c r="AC4261">
        <v>89.462599999999995</v>
      </c>
      <c r="AD4261">
        <v>-1.17292</v>
      </c>
      <c r="AE4261">
        <v>2.0369999999999999</v>
      </c>
      <c r="AF4261">
        <v>-4.6784647041562897</v>
      </c>
      <c r="AG4261">
        <v>-1.17292</v>
      </c>
      <c r="AH4261">
        <v>89.348012636112003</v>
      </c>
      <c r="AI4261">
        <v>90.751080848774393</v>
      </c>
      <c r="AJ4261">
        <v>92.997399609275107</v>
      </c>
      <c r="AK4261">
        <v>89.478104222973201</v>
      </c>
      <c r="AL4261">
        <v>77.277116469575603</v>
      </c>
      <c r="AM4261">
        <v>91.660518277467006</v>
      </c>
      <c r="AN4261">
        <v>0.99999996173268002</v>
      </c>
    </row>
    <row r="4262" spans="1:40" x14ac:dyDescent="0.25">
      <c r="A4262" t="str">
        <f>"20190303170856108"</f>
        <v>20190303170856108</v>
      </c>
      <c r="B4262" t="str">
        <f>"1551604136097785"</f>
        <v>1551604136097785</v>
      </c>
      <c r="C4262" t="s">
        <v>40</v>
      </c>
      <c r="D4262">
        <v>4.8277080000000003</v>
      </c>
      <c r="E4262">
        <v>0.493421</v>
      </c>
      <c r="F4262" t="s">
        <v>46</v>
      </c>
      <c r="G4262">
        <v>-296.05439999999999</v>
      </c>
      <c r="H4262">
        <v>-0.05</v>
      </c>
      <c r="I4262">
        <v>17.304690000000001</v>
      </c>
      <c r="J4262">
        <v>-385.79289999999997</v>
      </c>
      <c r="K4262">
        <v>1.123119</v>
      </c>
      <c r="L4262">
        <v>14.768890000000001</v>
      </c>
      <c r="M4262">
        <v>0.99958880000000006</v>
      </c>
      <c r="N4262">
        <v>-1.152125E-2</v>
      </c>
      <c r="O4262">
        <v>-2.625837E-2</v>
      </c>
      <c r="P4262">
        <v>0.97768029999999995</v>
      </c>
      <c r="Q4262">
        <v>0.21007400000000001</v>
      </c>
      <c r="R4262">
        <v>3.1955429999999999E-3</v>
      </c>
      <c r="S4262">
        <v>3.076416</v>
      </c>
      <c r="T4262">
        <v>-4.0063019999999998E-2</v>
      </c>
      <c r="U4262">
        <v>8.6395260000000001E-2</v>
      </c>
      <c r="V4262">
        <v>-2.997594E-2</v>
      </c>
      <c r="W4262">
        <v>0.22117249999999999</v>
      </c>
      <c r="X4262">
        <v>0.97477389999999997</v>
      </c>
      <c r="Y4262">
        <v>-5.4303400000000002E-2</v>
      </c>
      <c r="Z4262">
        <v>7.058174E-4</v>
      </c>
      <c r="AA4262">
        <v>0.99852419999999997</v>
      </c>
      <c r="AB4262">
        <v>29</v>
      </c>
      <c r="AC4262">
        <v>89.738499999999902</v>
      </c>
      <c r="AD4262">
        <v>-1.173119</v>
      </c>
      <c r="AE4262">
        <v>2.5358000000000001</v>
      </c>
      <c r="AF4262">
        <v>-4.8906335331949498</v>
      </c>
      <c r="AG4262">
        <v>-1.173119</v>
      </c>
      <c r="AH4262">
        <v>89.625658468939307</v>
      </c>
      <c r="AI4262">
        <v>90.748793386184005</v>
      </c>
      <c r="AJ4262">
        <v>93.123380528841395</v>
      </c>
      <c r="AK4262">
        <v>89.766659515296197</v>
      </c>
      <c r="AL4262">
        <v>77.222091033218206</v>
      </c>
      <c r="AM4262">
        <v>91.761386680210606</v>
      </c>
      <c r="AN4262">
        <v>0.99999999392817096</v>
      </c>
    </row>
    <row r="4263" spans="1:40" x14ac:dyDescent="0.25">
      <c r="A4263" t="str">
        <f>"20190303170856130"</f>
        <v>20190303170856130</v>
      </c>
      <c r="B4263" t="str">
        <f>"1551604136118282"</f>
        <v>1551604136118282</v>
      </c>
      <c r="C4263" t="s">
        <v>40</v>
      </c>
      <c r="D4263">
        <v>4.8319749999999999</v>
      </c>
      <c r="E4263">
        <v>0.49356329999999998</v>
      </c>
      <c r="F4263" t="s">
        <v>46</v>
      </c>
      <c r="G4263">
        <v>-285.01010000000002</v>
      </c>
      <c r="H4263">
        <v>-0.05</v>
      </c>
      <c r="I4263">
        <v>18.095659999999999</v>
      </c>
      <c r="J4263">
        <v>-385.50990000000002</v>
      </c>
      <c r="K4263">
        <v>1.1232310000000001</v>
      </c>
      <c r="L4263">
        <v>14.7645</v>
      </c>
      <c r="M4263">
        <v>0.99966440000000001</v>
      </c>
      <c r="N4263">
        <v>-1.1372749999999999E-2</v>
      </c>
      <c r="O4263">
        <v>-2.3282609999999999E-2</v>
      </c>
      <c r="P4263">
        <v>0.9772322</v>
      </c>
      <c r="Q4263">
        <v>0.2120668</v>
      </c>
      <c r="R4263">
        <v>6.7517979999999998E-3</v>
      </c>
      <c r="S4263">
        <v>3.0758670000000001</v>
      </c>
      <c r="T4263">
        <v>-3.580332E-2</v>
      </c>
      <c r="U4263">
        <v>0.101532</v>
      </c>
      <c r="V4263">
        <v>-3.0684650000000001E-2</v>
      </c>
      <c r="W4263">
        <v>0.2230029</v>
      </c>
      <c r="X4263">
        <v>0.9743347</v>
      </c>
      <c r="Y4263">
        <v>-5.624622E-2</v>
      </c>
      <c r="Z4263">
        <v>6.534307E-4</v>
      </c>
      <c r="AA4263">
        <v>0.99841670000000005</v>
      </c>
      <c r="AB4263">
        <v>29</v>
      </c>
      <c r="AC4263">
        <v>100.49979999999999</v>
      </c>
      <c r="AD4263">
        <v>-1.1732309999999999</v>
      </c>
      <c r="AE4263">
        <v>3.3311600000000001</v>
      </c>
      <c r="AF4263">
        <v>-5.6695336746075702</v>
      </c>
      <c r="AG4263">
        <v>-1.1732309999999999</v>
      </c>
      <c r="AH4263">
        <v>100.381325130633</v>
      </c>
      <c r="AI4263">
        <v>90.668562375214904</v>
      </c>
      <c r="AJ4263">
        <v>93.232629161390406</v>
      </c>
      <c r="AK4263">
        <v>100.548150246779</v>
      </c>
      <c r="AL4263">
        <v>77.1145304262444</v>
      </c>
      <c r="AM4263">
        <v>91.803815522275798</v>
      </c>
      <c r="AN4263">
        <v>0.99999997438906096</v>
      </c>
    </row>
    <row r="4264" spans="1:40" x14ac:dyDescent="0.25">
      <c r="A4264" t="str">
        <f>"20190303170856150"</f>
        <v>20190303170856150</v>
      </c>
      <c r="B4264" t="str">
        <f>"1551604136137800"</f>
        <v>1551604136137800</v>
      </c>
      <c r="C4264" t="s">
        <v>40</v>
      </c>
      <c r="D4264">
        <v>4.823016</v>
      </c>
      <c r="E4264">
        <v>0.49383280000000002</v>
      </c>
      <c r="F4264" t="s">
        <v>103</v>
      </c>
      <c r="G4264">
        <v>-279.68</v>
      </c>
      <c r="H4264">
        <v>0.17363310000000001</v>
      </c>
      <c r="I4264">
        <v>18.596910000000001</v>
      </c>
      <c r="J4264">
        <v>-385.25850000000003</v>
      </c>
      <c r="K4264">
        <v>1.1232930000000001</v>
      </c>
      <c r="L4264">
        <v>14.761380000000001</v>
      </c>
      <c r="M4264">
        <v>0.99972519999999998</v>
      </c>
      <c r="N4264">
        <v>-1.123447E-2</v>
      </c>
      <c r="O4264">
        <v>-2.0579940000000001E-2</v>
      </c>
      <c r="P4264">
        <v>0.97654799999999997</v>
      </c>
      <c r="Q4264">
        <v>0.21508250000000001</v>
      </c>
      <c r="R4264">
        <v>9.7014719999999992E-3</v>
      </c>
      <c r="S4264">
        <v>3.0751040000000001</v>
      </c>
      <c r="T4264">
        <v>-2.7592419999999999E-2</v>
      </c>
      <c r="U4264">
        <v>0.1113586</v>
      </c>
      <c r="V4264">
        <v>-3.1029729999999998E-2</v>
      </c>
      <c r="W4264">
        <v>0.2258695</v>
      </c>
      <c r="X4264">
        <v>0.97366330000000001</v>
      </c>
      <c r="Y4264">
        <v>-5.674415E-2</v>
      </c>
      <c r="Z4264">
        <v>5.2683949999999895E-4</v>
      </c>
      <c r="AA4264">
        <v>0.99838859999999996</v>
      </c>
      <c r="AB4264">
        <v>29</v>
      </c>
      <c r="AC4264">
        <v>105.57850000000001</v>
      </c>
      <c r="AD4264">
        <v>-0.9496599</v>
      </c>
      <c r="AE4264">
        <v>3.8355299999999999</v>
      </c>
      <c r="AF4264">
        <v>-6.0071682769809698</v>
      </c>
      <c r="AG4264">
        <v>-0.9496599</v>
      </c>
      <c r="AH4264">
        <v>105.468674935537</v>
      </c>
      <c r="AI4264">
        <v>90.5150533777107</v>
      </c>
      <c r="AJ4264">
        <v>93.259867660789993</v>
      </c>
      <c r="AK4264">
        <v>105.643879696325</v>
      </c>
      <c r="AL4264">
        <v>76.945987495727707</v>
      </c>
      <c r="AM4264">
        <v>91.825344597111695</v>
      </c>
      <c r="AN4264">
        <v>1.0000000484705001</v>
      </c>
    </row>
    <row r="4265" spans="1:40" x14ac:dyDescent="0.25">
      <c r="A4265" t="str">
        <f>"20190303170856171"</f>
        <v>20190303170856171</v>
      </c>
      <c r="B4265" t="str">
        <f>"1551604136157322"</f>
        <v>1551604136157322</v>
      </c>
      <c r="C4265" t="s">
        <v>40</v>
      </c>
      <c r="D4265">
        <v>4.6630539999999998</v>
      </c>
      <c r="E4265">
        <v>0.49406470000000002</v>
      </c>
      <c r="F4265" t="s">
        <v>103</v>
      </c>
      <c r="G4265">
        <v>-279.68</v>
      </c>
      <c r="H4265">
        <v>0.54691859999999903</v>
      </c>
      <c r="I4265">
        <v>18.799160000000001</v>
      </c>
      <c r="J4265">
        <v>-384.97809999999998</v>
      </c>
      <c r="K4265">
        <v>1.123324</v>
      </c>
      <c r="L4265">
        <v>14.758760000000001</v>
      </c>
      <c r="M4265">
        <v>0.99978480000000003</v>
      </c>
      <c r="N4265">
        <v>-1.108338E-2</v>
      </c>
      <c r="O4265">
        <v>-1.754151E-2</v>
      </c>
      <c r="P4265">
        <v>0.97628599999999999</v>
      </c>
      <c r="Q4265">
        <v>0.21607779999999999</v>
      </c>
      <c r="R4265">
        <v>1.3281019999999999E-2</v>
      </c>
      <c r="S4265">
        <v>3.074554</v>
      </c>
      <c r="T4265">
        <v>-1.6784549999999999E-2</v>
      </c>
      <c r="U4265">
        <v>0.1175842</v>
      </c>
      <c r="V4265">
        <v>-3.1665020000000002E-2</v>
      </c>
      <c r="W4265">
        <v>0.2267083</v>
      </c>
      <c r="X4265">
        <v>0.97344779999999997</v>
      </c>
      <c r="Y4265">
        <v>-5.5737469999999997E-2</v>
      </c>
      <c r="Z4265">
        <v>3.6247690000000001E-4</v>
      </c>
      <c r="AA4265">
        <v>0.99844540000000004</v>
      </c>
      <c r="AB4265">
        <v>29</v>
      </c>
      <c r="AC4265">
        <v>105.298099999999</v>
      </c>
      <c r="AD4265">
        <v>-0.57640539999999996</v>
      </c>
      <c r="AE4265">
        <v>4.0404</v>
      </c>
      <c r="AF4265">
        <v>-5.88680306850459</v>
      </c>
      <c r="AG4265">
        <v>-0.57640539999999996</v>
      </c>
      <c r="AH4265">
        <v>105.207869424555</v>
      </c>
      <c r="AI4265">
        <v>90.313414670912096</v>
      </c>
      <c r="AJ4265">
        <v>93.202589612528897</v>
      </c>
      <c r="AK4265">
        <v>105.374012367408</v>
      </c>
      <c r="AL4265">
        <v>76.896646934101398</v>
      </c>
      <c r="AM4265">
        <v>91.863101961282197</v>
      </c>
      <c r="AN4265">
        <v>0.99999997305266397</v>
      </c>
    </row>
    <row r="4266" spans="1:40" x14ac:dyDescent="0.25">
      <c r="A4266" t="str">
        <f>"20190303170856196"</f>
        <v>20190303170856196</v>
      </c>
      <c r="B4266" t="str">
        <f>"1551604136187577"</f>
        <v>1551604136187577</v>
      </c>
      <c r="C4266" t="s">
        <v>40</v>
      </c>
      <c r="D4266">
        <v>4.6988779999999997</v>
      </c>
      <c r="E4266">
        <v>0.49437449999999999</v>
      </c>
      <c r="F4266" t="s">
        <v>103</v>
      </c>
      <c r="G4266">
        <v>-279.68</v>
      </c>
      <c r="H4266">
        <v>0.67087699999999995</v>
      </c>
      <c r="I4266">
        <v>19.08333</v>
      </c>
      <c r="J4266">
        <v>-384.66759999999999</v>
      </c>
      <c r="K4266">
        <v>1.123326</v>
      </c>
      <c r="L4266">
        <v>14.75684</v>
      </c>
      <c r="M4266">
        <v>0.99983979999999995</v>
      </c>
      <c r="N4266">
        <v>-1.0922640000000001E-2</v>
      </c>
      <c r="O4266">
        <v>-1.417943E-2</v>
      </c>
      <c r="P4266">
        <v>0.97645999999999999</v>
      </c>
      <c r="Q4266">
        <v>0.2151023</v>
      </c>
      <c r="R4266">
        <v>1.60197999999999E-2</v>
      </c>
      <c r="S4266">
        <v>3.0740660000000002</v>
      </c>
      <c r="T4266">
        <v>-1.3208630000000001E-2</v>
      </c>
      <c r="U4266">
        <v>0.12625120000000001</v>
      </c>
      <c r="V4266">
        <v>-3.1129830000000001E-2</v>
      </c>
      <c r="W4266">
        <v>0.22558049999999999</v>
      </c>
      <c r="X4266">
        <v>0.97372700000000001</v>
      </c>
      <c r="Y4266">
        <v>-5.5197280000000001E-2</v>
      </c>
      <c r="Z4266">
        <v>3.262192E-4</v>
      </c>
      <c r="AA4266">
        <v>0.99847540000000001</v>
      </c>
      <c r="AB4266">
        <v>29</v>
      </c>
      <c r="AC4266">
        <v>104.9876</v>
      </c>
      <c r="AD4266">
        <v>-0.45244899999999999</v>
      </c>
      <c r="AE4266">
        <v>4.3264899999999997</v>
      </c>
      <c r="AF4266">
        <v>-5.8147003289819503</v>
      </c>
      <c r="AG4266">
        <v>-0.45244899999999999</v>
      </c>
      <c r="AH4266">
        <v>104.913748006422</v>
      </c>
      <c r="AI4266">
        <v>90.2467125106336</v>
      </c>
      <c r="AJ4266">
        <v>93.1722943150845</v>
      </c>
      <c r="AK4266">
        <v>105.07573445267199</v>
      </c>
      <c r="AL4266">
        <v>76.962983339660596</v>
      </c>
      <c r="AM4266">
        <v>91.831109328541601</v>
      </c>
      <c r="AN4266">
        <v>0.999999949412538</v>
      </c>
    </row>
    <row r="4267" spans="1:40" x14ac:dyDescent="0.25">
      <c r="A4267" t="str">
        <f>"20190303170856217"</f>
        <v>20190303170856217</v>
      </c>
      <c r="B4267" t="str">
        <f>"1551604136208073"</f>
        <v>1551604136208073</v>
      </c>
      <c r="C4267" t="s">
        <v>40</v>
      </c>
      <c r="D4267">
        <v>4.6601839999999903</v>
      </c>
      <c r="E4267">
        <v>0.49453789999999997</v>
      </c>
      <c r="F4267" t="s">
        <v>103</v>
      </c>
      <c r="G4267">
        <v>-279.68</v>
      </c>
      <c r="H4267">
        <v>0.58566399999999996</v>
      </c>
      <c r="I4267">
        <v>19.277729999999998</v>
      </c>
      <c r="J4267">
        <v>-384.38850000000002</v>
      </c>
      <c r="K4267">
        <v>1.123313</v>
      </c>
      <c r="L4267">
        <v>14.75601</v>
      </c>
      <c r="M4267">
        <v>0.99987939999999997</v>
      </c>
      <c r="N4267">
        <v>-1.078166E-2</v>
      </c>
      <c r="O4267">
        <v>-1.117391E-2</v>
      </c>
      <c r="P4267">
        <v>0.97641999999999995</v>
      </c>
      <c r="Q4267">
        <v>0.2150986</v>
      </c>
      <c r="R4267">
        <v>1.8343330000000001E-2</v>
      </c>
      <c r="S4267">
        <v>3.073639</v>
      </c>
      <c r="T4267">
        <v>-1.5740629999999999E-2</v>
      </c>
      <c r="U4267">
        <v>0.13235469999999999</v>
      </c>
      <c r="V4267">
        <v>-3.0524900000000001E-2</v>
      </c>
      <c r="W4267">
        <v>0.22544210000000001</v>
      </c>
      <c r="X4267">
        <v>0.97377820000000004</v>
      </c>
      <c r="Y4267">
        <v>-5.4180529999999998E-2</v>
      </c>
      <c r="Z4267">
        <v>3.676792E-4</v>
      </c>
      <c r="AA4267">
        <v>0.9985311</v>
      </c>
      <c r="AB4267">
        <v>29</v>
      </c>
      <c r="AC4267">
        <v>104.7085</v>
      </c>
      <c r="AD4267">
        <v>-0.53764899999999904</v>
      </c>
      <c r="AE4267">
        <v>4.5217199999999904</v>
      </c>
      <c r="AF4267">
        <v>-5.6913593142907102</v>
      </c>
      <c r="AG4267">
        <v>-0.53764899999999904</v>
      </c>
      <c r="AH4267">
        <v>104.648680082886</v>
      </c>
      <c r="AI4267">
        <v>90.293929100883204</v>
      </c>
      <c r="AJ4267">
        <v>93.112986583545606</v>
      </c>
      <c r="AK4267">
        <v>104.80470829300501</v>
      </c>
      <c r="AL4267">
        <v>76.971122702342797</v>
      </c>
      <c r="AM4267">
        <v>91.795455498444099</v>
      </c>
      <c r="AN4267">
        <v>0.99999994638382805</v>
      </c>
    </row>
    <row r="4268" spans="1:40" x14ac:dyDescent="0.25">
      <c r="A4268" t="str">
        <f>"20190303170856241"</f>
        <v>20190303170856241</v>
      </c>
      <c r="B4268" t="str">
        <f>"1551604136237353"</f>
        <v>1551604136237353</v>
      </c>
      <c r="C4268" t="s">
        <v>40</v>
      </c>
      <c r="D4268">
        <v>4.863416</v>
      </c>
      <c r="E4268">
        <v>0.49484889999999998</v>
      </c>
      <c r="F4268" t="s">
        <v>103</v>
      </c>
      <c r="G4268">
        <v>-279.68</v>
      </c>
      <c r="H4268">
        <v>0.57581190000000004</v>
      </c>
      <c r="I4268">
        <v>19.46799</v>
      </c>
      <c r="J4268">
        <v>-384.08620000000002</v>
      </c>
      <c r="K4268">
        <v>1.123302</v>
      </c>
      <c r="L4268">
        <v>14.755979999999999</v>
      </c>
      <c r="M4268">
        <v>0.99991200000000002</v>
      </c>
      <c r="N4268">
        <v>-1.063181E-2</v>
      </c>
      <c r="O4268">
        <v>-7.9446389999999999E-3</v>
      </c>
      <c r="P4268">
        <v>0.97619590000000001</v>
      </c>
      <c r="Q4268">
        <v>0.2159008</v>
      </c>
      <c r="R4268">
        <v>2.07082E-2</v>
      </c>
      <c r="S4268">
        <v>3.0733950000000001</v>
      </c>
      <c r="T4268">
        <v>-1.6070129999999998E-2</v>
      </c>
      <c r="U4268">
        <v>0.1383057</v>
      </c>
      <c r="V4268">
        <v>-2.9744340000000001E-2</v>
      </c>
      <c r="W4268">
        <v>0.2261003</v>
      </c>
      <c r="X4268">
        <v>0.97364980000000001</v>
      </c>
      <c r="Y4268">
        <v>-5.2888780000000003E-2</v>
      </c>
      <c r="Z4268">
        <v>3.7660690000000001E-4</v>
      </c>
      <c r="AA4268">
        <v>0.99860040000000005</v>
      </c>
      <c r="AB4268">
        <v>29</v>
      </c>
      <c r="AC4268">
        <v>104.4062</v>
      </c>
      <c r="AD4268">
        <v>-0.54749009999999998</v>
      </c>
      <c r="AE4268">
        <v>4.7120100000000003</v>
      </c>
      <c r="AF4268">
        <v>-5.5412255992276398</v>
      </c>
      <c r="AG4268">
        <v>-0.54749009999999998</v>
      </c>
      <c r="AH4268">
        <v>104.362603404645</v>
      </c>
      <c r="AI4268">
        <v>90.300150251193799</v>
      </c>
      <c r="AJ4268">
        <v>93.039316588425706</v>
      </c>
      <c r="AK4268">
        <v>104.511042076645</v>
      </c>
      <c r="AL4268">
        <v>76.932411840142805</v>
      </c>
      <c r="AM4268">
        <v>91.749802938167804</v>
      </c>
      <c r="AN4268">
        <v>1.00000000223108</v>
      </c>
    </row>
    <row r="4269" spans="1:40" x14ac:dyDescent="0.25">
      <c r="A4269" t="str">
        <f>"20190303170856261"</f>
        <v>20190303170856261</v>
      </c>
      <c r="B4269" t="str">
        <f>"1551604136257849"</f>
        <v>1551604136257849</v>
      </c>
      <c r="C4269" t="s">
        <v>40</v>
      </c>
      <c r="D4269">
        <v>4.8644749999999997</v>
      </c>
      <c r="E4269">
        <v>0.49503259999999999</v>
      </c>
      <c r="F4269" t="s">
        <v>103</v>
      </c>
      <c r="G4269">
        <v>-279.68</v>
      </c>
      <c r="H4269">
        <v>0.67596579999999995</v>
      </c>
      <c r="I4269">
        <v>19.610489999999999</v>
      </c>
      <c r="J4269">
        <v>-383.83300000000003</v>
      </c>
      <c r="K4269">
        <v>1.123286</v>
      </c>
      <c r="L4269">
        <v>14.756740000000001</v>
      </c>
      <c r="M4269">
        <v>0.99993100000000001</v>
      </c>
      <c r="N4269">
        <v>-1.0511370000000001E-2</v>
      </c>
      <c r="O4269">
        <v>-5.2590479999999997E-3</v>
      </c>
      <c r="P4269">
        <v>0.97619920000000004</v>
      </c>
      <c r="Q4269">
        <v>0.21566060000000001</v>
      </c>
      <c r="R4269">
        <v>2.2928460000000001E-2</v>
      </c>
      <c r="S4269">
        <v>3.0729980000000001</v>
      </c>
      <c r="T4269">
        <v>-1.316643E-2</v>
      </c>
      <c r="U4269">
        <v>0.14288329999999999</v>
      </c>
      <c r="V4269">
        <v>-2.934521E-2</v>
      </c>
      <c r="W4269">
        <v>0.22574540000000001</v>
      </c>
      <c r="X4269">
        <v>0.97374430000000001</v>
      </c>
      <c r="Y4269">
        <v>-5.1697489999999999E-2</v>
      </c>
      <c r="Z4269">
        <v>3.4982479999999999E-4</v>
      </c>
      <c r="AA4269">
        <v>0.99866270000000001</v>
      </c>
      <c r="AB4269">
        <v>29</v>
      </c>
      <c r="AC4269">
        <v>104.15300000000001</v>
      </c>
      <c r="AD4269">
        <v>-0.4473202</v>
      </c>
      <c r="AE4269">
        <v>4.8537499999999998</v>
      </c>
      <c r="AF4269">
        <v>-5.4013593023939599</v>
      </c>
      <c r="AG4269">
        <v>-0.4473202</v>
      </c>
      <c r="AH4269">
        <v>104.12411553561699</v>
      </c>
      <c r="AI4269">
        <v>90.245812298731195</v>
      </c>
      <c r="AJ4269">
        <v>92.969513304117498</v>
      </c>
      <c r="AK4269">
        <v>104.26507667358899</v>
      </c>
      <c r="AL4269">
        <v>76.953286364171007</v>
      </c>
      <c r="AM4269">
        <v>91.7261697478298</v>
      </c>
      <c r="AN4269">
        <v>1.00000004437679</v>
      </c>
    </row>
    <row r="4270" spans="1:40" x14ac:dyDescent="0.25">
      <c r="A4270" t="str">
        <f>"20190303170856285"</f>
        <v>20190303170856285</v>
      </c>
      <c r="B4270" t="str">
        <f>"1551604136277369"</f>
        <v>1551604136277369</v>
      </c>
      <c r="C4270" t="s">
        <v>40</v>
      </c>
      <c r="D4270">
        <v>4.9277730000000002</v>
      </c>
      <c r="E4270">
        <v>0.495278</v>
      </c>
      <c r="F4270" t="s">
        <v>103</v>
      </c>
      <c r="G4270">
        <v>-279.68</v>
      </c>
      <c r="H4270">
        <v>0.64507769999999898</v>
      </c>
      <c r="I4270">
        <v>19.797440000000002</v>
      </c>
      <c r="J4270">
        <v>-383.52249999999998</v>
      </c>
      <c r="K4270">
        <v>1.123265</v>
      </c>
      <c r="L4270">
        <v>14.75854</v>
      </c>
      <c r="M4270">
        <v>0.99994430000000001</v>
      </c>
      <c r="N4270">
        <v>-1.0367940000000001E-2</v>
      </c>
      <c r="O4270">
        <v>-1.9803500000000001E-3</v>
      </c>
      <c r="P4270">
        <v>0.97638290000000005</v>
      </c>
      <c r="Q4270">
        <v>0.21445510000000001</v>
      </c>
      <c r="R4270">
        <v>2.61815E-2</v>
      </c>
      <c r="S4270">
        <v>3.0727540000000002</v>
      </c>
      <c r="T4270">
        <v>-1.410818E-2</v>
      </c>
      <c r="U4270">
        <v>0.14871219999999999</v>
      </c>
      <c r="V4270">
        <v>-2.9394969999999999E-2</v>
      </c>
      <c r="W4270">
        <v>0.2244023</v>
      </c>
      <c r="X4270">
        <v>0.97405310000000001</v>
      </c>
      <c r="Y4270">
        <v>-5.0316729999999997E-2</v>
      </c>
      <c r="Z4270">
        <v>3.6501470000000001E-4</v>
      </c>
      <c r="AA4270">
        <v>0.99873319999999999</v>
      </c>
      <c r="AB4270">
        <v>29</v>
      </c>
      <c r="AC4270">
        <v>103.84249999999901</v>
      </c>
      <c r="AD4270">
        <v>-0.47818729999999998</v>
      </c>
      <c r="AE4270">
        <v>5.0388999999999902</v>
      </c>
      <c r="AF4270">
        <v>-5.2444347158594598</v>
      </c>
      <c r="AG4270">
        <v>-0.47818729999999998</v>
      </c>
      <c r="AH4270">
        <v>103.830120448236</v>
      </c>
      <c r="AI4270">
        <v>90.263536613692594</v>
      </c>
      <c r="AJ4270">
        <v>92.891538882101202</v>
      </c>
      <c r="AK4270">
        <v>103.96358338802099</v>
      </c>
      <c r="AL4270">
        <v>77.032265575568502</v>
      </c>
      <c r="AM4270">
        <v>91.728547163782693</v>
      </c>
      <c r="AN4270">
        <v>0.99999994906309897</v>
      </c>
    </row>
    <row r="4271" spans="1:40" x14ac:dyDescent="0.25">
      <c r="A4271" t="str">
        <f>"20190303170856309"</f>
        <v>20190303170856309</v>
      </c>
      <c r="B4271" t="str">
        <f>"1551604136297865"</f>
        <v>1551604136297865</v>
      </c>
      <c r="C4271" t="s">
        <v>40</v>
      </c>
      <c r="D4271">
        <v>4.8751179999999996</v>
      </c>
      <c r="E4271">
        <v>0.49554120000000002</v>
      </c>
      <c r="F4271" t="s">
        <v>104</v>
      </c>
      <c r="G4271">
        <v>-279.68</v>
      </c>
      <c r="H4271">
        <v>0.52575899999999998</v>
      </c>
      <c r="I4271">
        <v>20.043970000000002</v>
      </c>
      <c r="J4271">
        <v>-383.22140000000002</v>
      </c>
      <c r="K4271">
        <v>1.1232500000000001</v>
      </c>
      <c r="L4271">
        <v>14.761229999999999</v>
      </c>
      <c r="M4271">
        <v>0.99994700000000003</v>
      </c>
      <c r="N4271">
        <v>-1.023292E-2</v>
      </c>
      <c r="O4271">
        <v>1.1904929999999999E-3</v>
      </c>
      <c r="P4271">
        <v>0.97670069999999998</v>
      </c>
      <c r="Q4271">
        <v>0.21249879999999999</v>
      </c>
      <c r="R4271">
        <v>3.0004780000000002E-2</v>
      </c>
      <c r="S4271">
        <v>3.072235</v>
      </c>
      <c r="T4271">
        <v>-1.7677430000000001E-2</v>
      </c>
      <c r="U4271">
        <v>0.15637210000000001</v>
      </c>
      <c r="V4271">
        <v>-3.0113870000000001E-2</v>
      </c>
      <c r="W4271">
        <v>0.22231400000000001</v>
      </c>
      <c r="X4271">
        <v>0.97450999999999999</v>
      </c>
      <c r="Y4271">
        <v>-4.9641350000000001E-2</v>
      </c>
      <c r="Z4271">
        <v>4.0221689999999998E-4</v>
      </c>
      <c r="AA4271">
        <v>0.99876699999999996</v>
      </c>
      <c r="AB4271">
        <v>29</v>
      </c>
      <c r="AC4271">
        <v>103.5414</v>
      </c>
      <c r="AD4271">
        <v>-0.59749099999999999</v>
      </c>
      <c r="AE4271">
        <v>5.2827400000000004</v>
      </c>
      <c r="AF4271">
        <v>-5.1592931434836196</v>
      </c>
      <c r="AG4271">
        <v>-0.59749099999999999</v>
      </c>
      <c r="AH4271">
        <v>103.54417701979099</v>
      </c>
      <c r="AI4271">
        <v>90.330206077364593</v>
      </c>
      <c r="AJ4271">
        <v>92.852516273915697</v>
      </c>
      <c r="AK4271">
        <v>103.674355054378</v>
      </c>
      <c r="AL4271">
        <v>77.155018853550303</v>
      </c>
      <c r="AM4271">
        <v>91.769965185402299</v>
      </c>
      <c r="AN4271">
        <v>1.0000000499311801</v>
      </c>
    </row>
    <row r="4272" spans="1:40" x14ac:dyDescent="0.25">
      <c r="A4272" t="str">
        <f>"20190303170856331"</f>
        <v>20190303170856331</v>
      </c>
      <c r="B4272" t="str">
        <f>"1551604136318361"</f>
        <v>1551604136318361</v>
      </c>
      <c r="C4272" t="s">
        <v>40</v>
      </c>
      <c r="D4272">
        <v>4.9300739999999896</v>
      </c>
      <c r="E4272">
        <v>0.4956817</v>
      </c>
      <c r="F4272" t="s">
        <v>104</v>
      </c>
      <c r="G4272">
        <v>-279.68</v>
      </c>
      <c r="H4272">
        <v>0.3279357</v>
      </c>
      <c r="I4272">
        <v>20.353280000000002</v>
      </c>
      <c r="J4272">
        <v>-382.93299999999999</v>
      </c>
      <c r="K4272">
        <v>1.1232390000000001</v>
      </c>
      <c r="L4272">
        <v>14.76474</v>
      </c>
      <c r="M4272">
        <v>0.99993989999999999</v>
      </c>
      <c r="N4272">
        <v>-1.010925E-2</v>
      </c>
      <c r="O4272">
        <v>4.2232550000000004E-3</v>
      </c>
      <c r="P4272">
        <v>0.97680069999999997</v>
      </c>
      <c r="Q4272">
        <v>0.21152779999999999</v>
      </c>
      <c r="R4272">
        <v>3.3415790000000001E-2</v>
      </c>
      <c r="S4272">
        <v>3.0716549999999998</v>
      </c>
      <c r="T4272">
        <v>-2.3593659999999999E-2</v>
      </c>
      <c r="U4272">
        <v>0.1658936</v>
      </c>
      <c r="V4272">
        <v>-3.055892E-2</v>
      </c>
      <c r="W4272">
        <v>0.2212218</v>
      </c>
      <c r="X4272">
        <v>0.97474459999999996</v>
      </c>
      <c r="Y4272">
        <v>-4.9708090000000003E-2</v>
      </c>
      <c r="Z4272">
        <v>4.5246929999999999E-4</v>
      </c>
      <c r="AA4272">
        <v>0.99876370000000003</v>
      </c>
      <c r="AB4272">
        <v>29</v>
      </c>
      <c r="AC4272">
        <v>103.253</v>
      </c>
      <c r="AD4272">
        <v>-0.79530329999999905</v>
      </c>
      <c r="AE4272">
        <v>5.5885399999999903</v>
      </c>
      <c r="AF4272">
        <v>-5.1520993170429001</v>
      </c>
      <c r="AG4272">
        <v>-0.79530329999999905</v>
      </c>
      <c r="AH4272">
        <v>103.269573246525</v>
      </c>
      <c r="AI4272">
        <v>90.440691489653602</v>
      </c>
      <c r="AJ4272">
        <v>92.856107474477895</v>
      </c>
      <c r="AK4272">
        <v>103.40107056134001</v>
      </c>
      <c r="AL4272">
        <v>77.219194472616607</v>
      </c>
      <c r="AM4272">
        <v>91.795674321334005</v>
      </c>
      <c r="AN4272">
        <v>0.99999998380798305</v>
      </c>
    </row>
    <row r="4273" spans="1:40" x14ac:dyDescent="0.25">
      <c r="A4273" t="str">
        <f>"20190303170856350"</f>
        <v>20190303170856350</v>
      </c>
      <c r="B4273" t="str">
        <f>"1551604136337881"</f>
        <v>1551604136337881</v>
      </c>
      <c r="C4273" t="s">
        <v>40</v>
      </c>
      <c r="D4273">
        <v>4.7240669999999998</v>
      </c>
      <c r="E4273">
        <v>0.50148590000000004</v>
      </c>
      <c r="F4273" t="s">
        <v>104</v>
      </c>
      <c r="G4273">
        <v>-279.68</v>
      </c>
      <c r="H4273">
        <v>0.21671770000000001</v>
      </c>
      <c r="I4273">
        <v>20.63053</v>
      </c>
      <c r="J4273">
        <v>-382.6739</v>
      </c>
      <c r="K4273">
        <v>1.1232249999999999</v>
      </c>
      <c r="L4273">
        <v>14.7686799999999</v>
      </c>
      <c r="M4273">
        <v>0.99992599999999998</v>
      </c>
      <c r="N4273">
        <v>-1.0001029999999999E-2</v>
      </c>
      <c r="O4273">
        <v>6.9467490000000003E-3</v>
      </c>
      <c r="P4273">
        <v>0.9765897</v>
      </c>
      <c r="Q4273">
        <v>0.21199519999999999</v>
      </c>
      <c r="R4273">
        <v>3.6481760000000002E-2</v>
      </c>
      <c r="S4273">
        <v>3.0711059999999999</v>
      </c>
      <c r="T4273">
        <v>-2.6963000000000001E-2</v>
      </c>
      <c r="U4273">
        <v>0.17446900000000001</v>
      </c>
      <c r="V4273">
        <v>-3.097047E-2</v>
      </c>
      <c r="W4273">
        <v>0.22157940000000001</v>
      </c>
      <c r="X4273">
        <v>0.97465040000000003</v>
      </c>
      <c r="Y4273">
        <v>-4.9777000000000002E-2</v>
      </c>
      <c r="Z4273">
        <v>4.7594649999999999E-4</v>
      </c>
      <c r="AA4273">
        <v>0.99876019999999999</v>
      </c>
      <c r="AB4273">
        <v>29</v>
      </c>
      <c r="AC4273">
        <v>102.9939</v>
      </c>
      <c r="AD4273">
        <v>-0.90650730000000002</v>
      </c>
      <c r="AE4273">
        <v>5.8618499999999996</v>
      </c>
      <c r="AF4273">
        <v>-5.1458027460424098</v>
      </c>
      <c r="AG4273">
        <v>-0.90650730000000002</v>
      </c>
      <c r="AH4273">
        <v>103.02418219089699</v>
      </c>
      <c r="AI4273">
        <v>90.503503539794295</v>
      </c>
      <c r="AJ4273">
        <v>92.859406025926603</v>
      </c>
      <c r="AK4273">
        <v>103.156595317456</v>
      </c>
      <c r="AL4273">
        <v>77.198184314047097</v>
      </c>
      <c r="AM4273">
        <v>91.820017048825605</v>
      </c>
      <c r="AN4273">
        <v>1.0000000013682699</v>
      </c>
    </row>
    <row r="4274" spans="1:40" x14ac:dyDescent="0.25">
      <c r="A4274" t="str">
        <f>"20190303170856373"</f>
        <v>20190303170856373</v>
      </c>
      <c r="B4274" t="str">
        <f>"1551604136368137"</f>
        <v>1551604136368137</v>
      </c>
      <c r="C4274" t="s">
        <v>40</v>
      </c>
      <c r="D4274">
        <v>4.882358</v>
      </c>
      <c r="E4274">
        <v>0.5017374</v>
      </c>
      <c r="F4274" t="s">
        <v>103</v>
      </c>
      <c r="G4274">
        <v>-279.68</v>
      </c>
      <c r="H4274">
        <v>0.36805579999999999</v>
      </c>
      <c r="I4274">
        <v>19.39282</v>
      </c>
      <c r="J4274">
        <v>-382.37279999999998</v>
      </c>
      <c r="K4274">
        <v>1.1232169999999999</v>
      </c>
      <c r="L4274">
        <v>14.77411</v>
      </c>
      <c r="M4274">
        <v>0.99990009999999996</v>
      </c>
      <c r="N4274">
        <v>-9.8824550000000001E-3</v>
      </c>
      <c r="O4274">
        <v>1.0112110000000001E-2</v>
      </c>
      <c r="P4274">
        <v>0.97637169999999895</v>
      </c>
      <c r="Q4274">
        <v>0.21230180000000001</v>
      </c>
      <c r="R4274">
        <v>4.0329259999999999E-2</v>
      </c>
      <c r="S4274">
        <v>3.0716549999999998</v>
      </c>
      <c r="T4274">
        <v>-2.252185E-2</v>
      </c>
      <c r="U4274">
        <v>0.1379089</v>
      </c>
      <c r="V4274">
        <v>-3.1731740000000001E-2</v>
      </c>
      <c r="W4274">
        <v>0.22176489999999999</v>
      </c>
      <c r="X4274">
        <v>0.97458370000000005</v>
      </c>
      <c r="Y4274">
        <v>-3.4745209999999999E-2</v>
      </c>
      <c r="Z4274">
        <v>3.248848E-4</v>
      </c>
      <c r="AA4274">
        <v>0.99939610000000001</v>
      </c>
      <c r="AB4274">
        <v>29</v>
      </c>
      <c r="AC4274">
        <v>102.692799999999</v>
      </c>
      <c r="AD4274">
        <v>-0.75516119999999898</v>
      </c>
      <c r="AE4274">
        <v>4.6187100000000001</v>
      </c>
      <c r="AF4274">
        <v>-3.5797891049926198</v>
      </c>
      <c r="AG4274">
        <v>-0.75516119999999898</v>
      </c>
      <c r="AH4274">
        <v>102.728712244001</v>
      </c>
      <c r="AI4274">
        <v>90.420919570063205</v>
      </c>
      <c r="AJ4274">
        <v>91.995779386576601</v>
      </c>
      <c r="AK4274">
        <v>102.79383968791601</v>
      </c>
      <c r="AL4274">
        <v>77.187284518051499</v>
      </c>
      <c r="AM4274">
        <v>91.864850324221194</v>
      </c>
      <c r="AN4274">
        <v>0.999999981250563</v>
      </c>
    </row>
    <row r="4275" spans="1:40" x14ac:dyDescent="0.25">
      <c r="A4275" t="str">
        <f>"20190303170856396"</f>
        <v>20190303170856396</v>
      </c>
      <c r="B4275" t="str">
        <f>"1551604136387657"</f>
        <v>1551604136387657</v>
      </c>
      <c r="C4275" t="s">
        <v>40</v>
      </c>
      <c r="D4275">
        <v>4.8231669999999998</v>
      </c>
      <c r="E4275">
        <v>0.50245200000000001</v>
      </c>
      <c r="F4275" t="s">
        <v>103</v>
      </c>
      <c r="G4275">
        <v>-279.68</v>
      </c>
      <c r="H4275">
        <v>0.48652430000000002</v>
      </c>
      <c r="I4275">
        <v>19.71489</v>
      </c>
      <c r="J4275">
        <v>-382.08170000000001</v>
      </c>
      <c r="K4275">
        <v>1.12321</v>
      </c>
      <c r="L4275">
        <v>14.78027</v>
      </c>
      <c r="M4275">
        <v>0.99986549999999996</v>
      </c>
      <c r="N4275">
        <v>-9.7736869999999997E-3</v>
      </c>
      <c r="O4275">
        <v>1.3173610000000001E-2</v>
      </c>
      <c r="P4275">
        <v>0.97624290000000002</v>
      </c>
      <c r="Q4275">
        <v>0.21211530000000001</v>
      </c>
      <c r="R4275">
        <v>4.4236619999999997E-2</v>
      </c>
      <c r="S4275">
        <v>3.0706479999999998</v>
      </c>
      <c r="T4275">
        <v>-1.903784E-2</v>
      </c>
      <c r="U4275">
        <v>0.14773559999999999</v>
      </c>
      <c r="V4275">
        <v>-3.2651810000000003E-2</v>
      </c>
      <c r="W4275">
        <v>0.22146679999999999</v>
      </c>
      <c r="X4275">
        <v>0.97462110000000002</v>
      </c>
      <c r="Y4275">
        <v>-3.4891770000000003E-2</v>
      </c>
      <c r="Z4275">
        <v>3.2579510000000001E-4</v>
      </c>
      <c r="AA4275">
        <v>0.99939100000000003</v>
      </c>
      <c r="AB4275">
        <v>29</v>
      </c>
      <c r="AC4275">
        <v>102.40170000000001</v>
      </c>
      <c r="AD4275">
        <v>-0.63668570000000002</v>
      </c>
      <c r="AE4275">
        <v>4.93461999999999</v>
      </c>
      <c r="AF4275">
        <v>-3.58498905077776</v>
      </c>
      <c r="AG4275">
        <v>-0.63668570000000002</v>
      </c>
      <c r="AH4275">
        <v>102.453871573892</v>
      </c>
      <c r="AI4275">
        <v>90.355834506099697</v>
      </c>
      <c r="AJ4275">
        <v>92.004033316803003</v>
      </c>
      <c r="AK4275">
        <v>102.518551080545</v>
      </c>
      <c r="AL4275">
        <v>77.204799994410706</v>
      </c>
      <c r="AM4275">
        <v>91.918808706666994</v>
      </c>
      <c r="AN4275">
        <v>0.99999998638186205</v>
      </c>
    </row>
    <row r="4276" spans="1:40" x14ac:dyDescent="0.25">
      <c r="A4276" t="str">
        <f>"20190303170856418"</f>
        <v>20190303170856418</v>
      </c>
      <c r="B4276" t="str">
        <f>"1551604136408153"</f>
        <v>1551604136408153</v>
      </c>
      <c r="C4276" t="s">
        <v>40</v>
      </c>
      <c r="D4276">
        <v>4.9377890000000004</v>
      </c>
      <c r="E4276">
        <v>0.5031776</v>
      </c>
      <c r="F4276" t="s">
        <v>103</v>
      </c>
      <c r="G4276">
        <v>-279.68</v>
      </c>
      <c r="H4276">
        <v>0.49251339999999999</v>
      </c>
      <c r="I4276">
        <v>19.893129999999999</v>
      </c>
      <c r="J4276">
        <v>-381.78919999999999</v>
      </c>
      <c r="K4276">
        <v>1.123202</v>
      </c>
      <c r="L4276">
        <v>14.78729</v>
      </c>
      <c r="M4276">
        <v>0.99982119999999997</v>
      </c>
      <c r="N4276">
        <v>-9.6707619999999994E-3</v>
      </c>
      <c r="O4276">
        <v>1.6247859999999999E-2</v>
      </c>
      <c r="P4276">
        <v>0.97618170000000004</v>
      </c>
      <c r="Q4276">
        <v>0.21165590000000001</v>
      </c>
      <c r="R4276">
        <v>4.7655169999999997E-2</v>
      </c>
      <c r="S4276">
        <v>3.0701290000000001</v>
      </c>
      <c r="T4276">
        <v>-1.8908979999999999E-2</v>
      </c>
      <c r="U4276">
        <v>0.1532898</v>
      </c>
      <c r="V4276">
        <v>-3.3067890000000003E-2</v>
      </c>
      <c r="W4276">
        <v>0.22090460000000001</v>
      </c>
      <c r="X4276">
        <v>0.97473469999999995</v>
      </c>
      <c r="Y4276">
        <v>-3.3630779999999999E-2</v>
      </c>
      <c r="Z4276">
        <v>3.2329039999999998E-4</v>
      </c>
      <c r="AA4276">
        <v>0.9994343</v>
      </c>
      <c r="AB4276">
        <v>29</v>
      </c>
      <c r="AC4276">
        <v>102.1092</v>
      </c>
      <c r="AD4276">
        <v>-0.63068859999999904</v>
      </c>
      <c r="AE4276">
        <v>5.1058399999999997</v>
      </c>
      <c r="AF4276">
        <v>-3.44590118967505</v>
      </c>
      <c r="AG4276">
        <v>-0.63068859999999904</v>
      </c>
      <c r="AH4276">
        <v>102.174794352254</v>
      </c>
      <c r="AI4276">
        <v>90.353460987149703</v>
      </c>
      <c r="AJ4276">
        <v>91.931599587032906</v>
      </c>
      <c r="AK4276">
        <v>102.234830679395</v>
      </c>
      <c r="AL4276">
        <v>77.237830359562594</v>
      </c>
      <c r="AM4276">
        <v>91.9430150384417</v>
      </c>
      <c r="AN4276">
        <v>1.00000003151715</v>
      </c>
    </row>
    <row r="4277" spans="1:40" x14ac:dyDescent="0.25">
      <c r="A4277" t="str">
        <f>"20190303170856441"</f>
        <v>20190303170856441</v>
      </c>
      <c r="B4277" t="str">
        <f>"1551604136427673"</f>
        <v>1551604136427673</v>
      </c>
      <c r="C4277" t="s">
        <v>40</v>
      </c>
      <c r="D4277">
        <v>4.9357300000000004</v>
      </c>
      <c r="E4277">
        <v>0.50343859999999996</v>
      </c>
      <c r="F4277" t="s">
        <v>104</v>
      </c>
      <c r="G4277">
        <v>-279.68</v>
      </c>
      <c r="H4277">
        <v>0.46932010000000002</v>
      </c>
      <c r="I4277">
        <v>20.02618</v>
      </c>
      <c r="J4277">
        <v>-381.5</v>
      </c>
      <c r="K4277">
        <v>1.1231979999999999</v>
      </c>
      <c r="L4277">
        <v>14.79514</v>
      </c>
      <c r="M4277">
        <v>0.99976810000000005</v>
      </c>
      <c r="N4277">
        <v>-9.5745870000000007E-3</v>
      </c>
      <c r="O4277">
        <v>1.928711E-2</v>
      </c>
      <c r="P4277">
        <v>0.97598249999999998</v>
      </c>
      <c r="Q4277">
        <v>0.2120619</v>
      </c>
      <c r="R4277">
        <v>4.9878569999999997E-2</v>
      </c>
      <c r="S4277">
        <v>3.0697939999999999</v>
      </c>
      <c r="T4277">
        <v>-1.965809E-2</v>
      </c>
      <c r="U4277">
        <v>0.15750120000000001</v>
      </c>
      <c r="V4277">
        <v>-3.2331599999999898E-2</v>
      </c>
      <c r="W4277">
        <v>0.2212199</v>
      </c>
      <c r="X4277">
        <v>0.97468790000000005</v>
      </c>
      <c r="Y4277">
        <v>-3.196566E-2</v>
      </c>
      <c r="Z4277">
        <v>3.165938E-4</v>
      </c>
      <c r="AA4277">
        <v>0.99948890000000001</v>
      </c>
      <c r="AB4277">
        <v>29</v>
      </c>
      <c r="AC4277">
        <v>101.82</v>
      </c>
      <c r="AD4277">
        <v>-0.65387789999999901</v>
      </c>
      <c r="AE4277">
        <v>5.2310400000000001</v>
      </c>
      <c r="AF4277">
        <v>-3.2660288871133201</v>
      </c>
      <c r="AG4277">
        <v>-0.65387789999999901</v>
      </c>
      <c r="AH4277">
        <v>101.89776334606201</v>
      </c>
      <c r="AI4277">
        <v>90.367473239186893</v>
      </c>
      <c r="AJ4277">
        <v>91.835816831552407</v>
      </c>
      <c r="AK4277">
        <v>101.952188186078</v>
      </c>
      <c r="AL4277">
        <v>77.219306823631399</v>
      </c>
      <c r="AM4277">
        <v>91.8998750595037</v>
      </c>
      <c r="AN4277">
        <v>1.00000003946048</v>
      </c>
    </row>
    <row r="4278" spans="1:40" x14ac:dyDescent="0.25">
      <c r="A4278" t="str">
        <f>"20190303170856464"</f>
        <v>20190303170856464</v>
      </c>
      <c r="B4278" t="str">
        <f>"1551604136457929"</f>
        <v>1551604136457929</v>
      </c>
      <c r="C4278" t="s">
        <v>40</v>
      </c>
      <c r="D4278">
        <v>4.9370729999999998</v>
      </c>
      <c r="E4278">
        <v>0.50446530000000001</v>
      </c>
      <c r="F4278" t="s">
        <v>104</v>
      </c>
      <c r="G4278">
        <v>-279.68</v>
      </c>
      <c r="H4278">
        <v>0.50342629999999999</v>
      </c>
      <c r="I4278">
        <v>20.208909999999999</v>
      </c>
      <c r="J4278">
        <v>-381.19959999999998</v>
      </c>
      <c r="K4278">
        <v>1.1231599999999999</v>
      </c>
      <c r="L4278">
        <v>14.80429</v>
      </c>
      <c r="M4278">
        <v>0.99971549999999998</v>
      </c>
      <c r="N4278">
        <v>-9.2984920000000002E-3</v>
      </c>
      <c r="O4278">
        <v>2.1969510000000001E-2</v>
      </c>
      <c r="P4278">
        <v>0.97590299999999996</v>
      </c>
      <c r="Q4278">
        <v>0.21201159999999999</v>
      </c>
      <c r="R4278">
        <v>5.1618400000000002E-2</v>
      </c>
      <c r="S4278">
        <v>3.06955</v>
      </c>
      <c r="T4278">
        <v>-1.8684030000000001E-2</v>
      </c>
      <c r="U4278">
        <v>0.16320799999999999</v>
      </c>
      <c r="V4278">
        <v>-3.146525E-2</v>
      </c>
      <c r="W4278">
        <v>0.22090370000000001</v>
      </c>
      <c r="X4278">
        <v>0.97478799999999999</v>
      </c>
      <c r="Y4278">
        <v>-3.1141390000000001E-2</v>
      </c>
      <c r="Z4278">
        <v>3.1018590000000002E-4</v>
      </c>
      <c r="AA4278">
        <v>0.99951489999999998</v>
      </c>
      <c r="AB4278">
        <v>29</v>
      </c>
      <c r="AC4278">
        <v>101.519599999999</v>
      </c>
      <c r="AD4278">
        <v>-0.61973369999999905</v>
      </c>
      <c r="AE4278">
        <v>5.4046200000000004</v>
      </c>
      <c r="AF4278">
        <v>-3.1727654656514299</v>
      </c>
      <c r="AG4278">
        <v>-0.61973369999999905</v>
      </c>
      <c r="AH4278">
        <v>101.61006133204</v>
      </c>
      <c r="AI4278">
        <v>90.349280256753701</v>
      </c>
      <c r="AJ4278">
        <v>91.788474709445396</v>
      </c>
      <c r="AK4278">
        <v>101.661472911128</v>
      </c>
      <c r="AL4278">
        <v>77.237883806464794</v>
      </c>
      <c r="AM4278">
        <v>91.848812534569205</v>
      </c>
      <c r="AN4278">
        <v>1.00000007578762</v>
      </c>
    </row>
    <row r="4279" spans="1:40" x14ac:dyDescent="0.25">
      <c r="A4279" t="str">
        <f>"20190303170856486"</f>
        <v>20190303170856486</v>
      </c>
      <c r="B4279" t="str">
        <f>"1551604136477449"</f>
        <v>1551604136477449</v>
      </c>
      <c r="C4279" t="s">
        <v>40</v>
      </c>
      <c r="D4279">
        <v>4.9387230000000004</v>
      </c>
      <c r="E4279">
        <v>0.5049922</v>
      </c>
      <c r="F4279" t="s">
        <v>104</v>
      </c>
      <c r="G4279">
        <v>-279.68</v>
      </c>
      <c r="H4279">
        <v>0.55428909999999998</v>
      </c>
      <c r="I4279">
        <v>20.143979999999999</v>
      </c>
      <c r="J4279">
        <v>-380.904</v>
      </c>
      <c r="K4279">
        <v>1.1230469999999999</v>
      </c>
      <c r="L4279">
        <v>14.81415</v>
      </c>
      <c r="M4279">
        <v>0.99964770000000003</v>
      </c>
      <c r="N4279">
        <v>-9.3365800000000006E-3</v>
      </c>
      <c r="O4279">
        <v>2.4849179999999998E-2</v>
      </c>
      <c r="P4279">
        <v>0.97616530000000001</v>
      </c>
      <c r="Q4279">
        <v>0.2100407</v>
      </c>
      <c r="R4279">
        <v>5.4631699999999998E-2</v>
      </c>
      <c r="S4279">
        <v>3.0693049999999999</v>
      </c>
      <c r="T4279">
        <v>-1.7198919999999999E-2</v>
      </c>
      <c r="U4279">
        <v>0.161438</v>
      </c>
      <c r="V4279">
        <v>-3.1595039999999998E-2</v>
      </c>
      <c r="W4279">
        <v>0.21898020000000001</v>
      </c>
      <c r="X4279">
        <v>0.97521760000000002</v>
      </c>
      <c r="Y4279">
        <v>-2.7691790000000001E-2</v>
      </c>
      <c r="Z4279">
        <v>2.996958E-4</v>
      </c>
      <c r="AA4279">
        <v>0.99961639999999996</v>
      </c>
      <c r="AB4279">
        <v>29</v>
      </c>
      <c r="AC4279">
        <v>101.224</v>
      </c>
      <c r="AD4279">
        <v>-0.56875789999999904</v>
      </c>
      <c r="AE4279">
        <v>5.3298299999999896</v>
      </c>
      <c r="AF4279">
        <v>-2.8126527005703701</v>
      </c>
      <c r="AG4279">
        <v>-0.56875789999999904</v>
      </c>
      <c r="AH4279">
        <v>101.321998144872</v>
      </c>
      <c r="AI4279">
        <v>90.3214952073278</v>
      </c>
      <c r="AJ4279">
        <v>91.5900964903729</v>
      </c>
      <c r="AK4279">
        <v>101.362625305545</v>
      </c>
      <c r="AL4279">
        <v>77.350857321841005</v>
      </c>
      <c r="AM4279">
        <v>91.855616098079807</v>
      </c>
      <c r="AN4279">
        <v>0.99999997094719995</v>
      </c>
    </row>
    <row r="4280" spans="1:40" x14ac:dyDescent="0.25">
      <c r="A4280" t="str">
        <f>"20190303170856509"</f>
        <v>20190303170856509</v>
      </c>
      <c r="B4280" t="str">
        <f>"1551604136497945"</f>
        <v>1551604136497945</v>
      </c>
      <c r="C4280" t="s">
        <v>40</v>
      </c>
      <c r="D4280">
        <v>4.8233870000000003</v>
      </c>
      <c r="E4280">
        <v>0.50541519999999995</v>
      </c>
      <c r="F4280" t="s">
        <v>104</v>
      </c>
      <c r="G4280">
        <v>-279.68</v>
      </c>
      <c r="H4280">
        <v>0.35934969999999999</v>
      </c>
      <c r="I4280">
        <v>20.306059999999999</v>
      </c>
      <c r="J4280">
        <v>-380.601</v>
      </c>
      <c r="K4280">
        <v>1.122846</v>
      </c>
      <c r="L4280">
        <v>14.825010000000001</v>
      </c>
      <c r="M4280">
        <v>0.9995463</v>
      </c>
      <c r="N4280">
        <v>-9.5851329999999992E-3</v>
      </c>
      <c r="O4280">
        <v>2.8550369999999999E-2</v>
      </c>
      <c r="P4280">
        <v>0.97613479999999997</v>
      </c>
      <c r="Q4280">
        <v>0.208922</v>
      </c>
      <c r="R4280">
        <v>5.9264890000000001E-2</v>
      </c>
      <c r="S4280">
        <v>3.0689090000000001</v>
      </c>
      <c r="T4280">
        <v>-2.315366E-2</v>
      </c>
      <c r="U4280">
        <v>0.16650390000000001</v>
      </c>
      <c r="V4280">
        <v>-3.2495700000000002E-2</v>
      </c>
      <c r="W4280">
        <v>0.21811620000000001</v>
      </c>
      <c r="X4280">
        <v>0.97538170000000002</v>
      </c>
      <c r="Y4280">
        <v>-2.564197E-2</v>
      </c>
      <c r="Z4280">
        <v>2.7801490000000002E-4</v>
      </c>
      <c r="AA4280">
        <v>0.99967119999999998</v>
      </c>
      <c r="AB4280">
        <v>30</v>
      </c>
      <c r="AC4280">
        <v>100.92100000000001</v>
      </c>
      <c r="AD4280">
        <v>-0.76349629999999902</v>
      </c>
      <c r="AE4280">
        <v>5.4810499999999998</v>
      </c>
      <c r="AF4280">
        <v>-2.5972027193306899</v>
      </c>
      <c r="AG4280">
        <v>-0.76349629999999902</v>
      </c>
      <c r="AH4280">
        <v>101.03058415511499</v>
      </c>
      <c r="AI4280">
        <v>90.432837607616506</v>
      </c>
      <c r="AJ4280">
        <v>91.4725836564524</v>
      </c>
      <c r="AK4280">
        <v>101.066845816466</v>
      </c>
      <c r="AL4280">
        <v>77.401588278295606</v>
      </c>
      <c r="AM4280">
        <v>91.908153559239494</v>
      </c>
      <c r="AN4280">
        <v>1.0000000539578999</v>
      </c>
    </row>
    <row r="4281" spans="1:40" x14ac:dyDescent="0.25">
      <c r="A4281" t="str">
        <f>"20190303170856532"</f>
        <v>20190303170856532</v>
      </c>
      <c r="B4281" t="str">
        <f>"1551604136517465"</f>
        <v>1551604136517465</v>
      </c>
      <c r="C4281" t="s">
        <v>40</v>
      </c>
      <c r="D4281">
        <v>4.8818789999999996</v>
      </c>
      <c r="E4281">
        <v>0.50564189999999998</v>
      </c>
      <c r="F4281" t="s">
        <v>104</v>
      </c>
      <c r="G4281">
        <v>-279.68</v>
      </c>
      <c r="H4281">
        <v>0.28085179999999998</v>
      </c>
      <c r="I4281">
        <v>20.63317</v>
      </c>
      <c r="J4281">
        <v>-380.3109</v>
      </c>
      <c r="K4281">
        <v>1.122725</v>
      </c>
      <c r="L4281">
        <v>14.8363</v>
      </c>
      <c r="M4281">
        <v>0.99943850000000001</v>
      </c>
      <c r="N4281">
        <v>-9.6101199999999998E-3</v>
      </c>
      <c r="O4281">
        <v>3.210089E-2</v>
      </c>
      <c r="P4281">
        <v>0.97602730000000004</v>
      </c>
      <c r="Q4281">
        <v>0.2082492</v>
      </c>
      <c r="R4281">
        <v>6.327149E-2</v>
      </c>
      <c r="S4281">
        <v>3.0681150000000001</v>
      </c>
      <c r="T4281">
        <v>-2.5597450000000001E-2</v>
      </c>
      <c r="U4281">
        <v>0.1765747</v>
      </c>
      <c r="V4281">
        <v>-3.2998680000000002E-2</v>
      </c>
      <c r="W4281">
        <v>0.2174711</v>
      </c>
      <c r="X4281">
        <v>0.97550879999999995</v>
      </c>
      <c r="Y4281">
        <v>-2.537563E-2</v>
      </c>
      <c r="Z4281">
        <v>2.6866550000000002E-4</v>
      </c>
      <c r="AA4281">
        <v>0.99967799999999996</v>
      </c>
      <c r="AB4281">
        <v>30</v>
      </c>
      <c r="AC4281">
        <v>100.6309</v>
      </c>
      <c r="AD4281">
        <v>-0.84187319999999999</v>
      </c>
      <c r="AE4281">
        <v>5.7968699999999904</v>
      </c>
      <c r="AF4281">
        <v>-2.5632129998757098</v>
      </c>
      <c r="AG4281">
        <v>-0.84187319999999999</v>
      </c>
      <c r="AH4281">
        <v>100.758098052032</v>
      </c>
      <c r="AI4281">
        <v>90.478562620195603</v>
      </c>
      <c r="AJ4281">
        <v>91.457248809412206</v>
      </c>
      <c r="AK4281">
        <v>100.79421181015501</v>
      </c>
      <c r="AL4281">
        <v>77.439458256086496</v>
      </c>
      <c r="AM4281">
        <v>91.937414027518201</v>
      </c>
      <c r="AN4281">
        <v>1.00000000554719</v>
      </c>
    </row>
    <row r="4282" spans="1:40" x14ac:dyDescent="0.25">
      <c r="A4282" t="str">
        <f>"20190303170856552"</f>
        <v>20190303170856552</v>
      </c>
      <c r="B4282" t="str">
        <f>"1551604136547722"</f>
        <v>1551604136547722</v>
      </c>
      <c r="C4282" t="s">
        <v>40</v>
      </c>
      <c r="D4282">
        <v>4.8874620000000002</v>
      </c>
      <c r="E4282">
        <v>0.5055383</v>
      </c>
      <c r="F4282" t="s">
        <v>104</v>
      </c>
      <c r="G4282">
        <v>-279.68</v>
      </c>
      <c r="H4282">
        <v>0.22024540000000001</v>
      </c>
      <c r="I4282">
        <v>20.948340000000002</v>
      </c>
      <c r="J4282">
        <v>-380.03660000000002</v>
      </c>
      <c r="K4282">
        <v>1.1227339999999999</v>
      </c>
      <c r="L4282">
        <v>14.84784</v>
      </c>
      <c r="M4282">
        <v>0.99934009999999995</v>
      </c>
      <c r="N4282">
        <v>-9.5341880000000007E-3</v>
      </c>
      <c r="O4282">
        <v>3.5053470000000003E-2</v>
      </c>
      <c r="P4282">
        <v>0.97556010000000004</v>
      </c>
      <c r="Q4282">
        <v>0.2095757</v>
      </c>
      <c r="R4282">
        <v>6.6038180000000002E-2</v>
      </c>
      <c r="S4282">
        <v>3.0674739999999998</v>
      </c>
      <c r="T4282">
        <v>-2.750969E-2</v>
      </c>
      <c r="U4282">
        <v>0.1863098</v>
      </c>
      <c r="V4282">
        <v>-3.2937210000000001E-2</v>
      </c>
      <c r="W4282">
        <v>0.2187151</v>
      </c>
      <c r="X4282">
        <v>0.97523269999999995</v>
      </c>
      <c r="Y4282">
        <v>-2.559554E-2</v>
      </c>
      <c r="Z4282">
        <v>2.5690959999999998E-4</v>
      </c>
      <c r="AA4282">
        <v>0.99967240000000002</v>
      </c>
      <c r="AB4282">
        <v>30</v>
      </c>
      <c r="AC4282">
        <v>100.3566</v>
      </c>
      <c r="AD4282">
        <v>-0.90248859999999997</v>
      </c>
      <c r="AE4282">
        <v>6.1004999999999896</v>
      </c>
      <c r="AF4282">
        <v>-2.5785362961124498</v>
      </c>
      <c r="AG4282">
        <v>-0.90248859999999997</v>
      </c>
      <c r="AH4282">
        <v>100.50067482305199</v>
      </c>
      <c r="AI4282">
        <v>90.5143287694587</v>
      </c>
      <c r="AJ4282">
        <v>91.469709953431504</v>
      </c>
      <c r="AK4282">
        <v>100.537798737551</v>
      </c>
      <c r="AL4282">
        <v>77.3664239850076</v>
      </c>
      <c r="AM4282">
        <v>91.934354820112404</v>
      </c>
      <c r="AN4282">
        <v>0.99999998695994097</v>
      </c>
    </row>
    <row r="4283" spans="1:40" x14ac:dyDescent="0.25">
      <c r="A4283" t="str">
        <f>"20190303170856577"</f>
        <v>20190303170856577</v>
      </c>
      <c r="B4283" t="str">
        <f>"1551604136568217"</f>
        <v>1551604136568217</v>
      </c>
      <c r="C4283" t="s">
        <v>40</v>
      </c>
      <c r="D4283">
        <v>4.9050190000000002</v>
      </c>
      <c r="E4283">
        <v>0.50039209999999901</v>
      </c>
      <c r="F4283" t="s">
        <v>104</v>
      </c>
      <c r="G4283">
        <v>-279.68</v>
      </c>
      <c r="H4283">
        <v>0.81747579999999997</v>
      </c>
      <c r="I4283">
        <v>21.22608</v>
      </c>
      <c r="J4283">
        <v>-379.71409999999997</v>
      </c>
      <c r="K4283">
        <v>1.12279</v>
      </c>
      <c r="L4283">
        <v>14.86252</v>
      </c>
      <c r="M4283">
        <v>0.99922770000000005</v>
      </c>
      <c r="N4283">
        <v>-9.4549879999999992E-3</v>
      </c>
      <c r="O4283">
        <v>3.8139579999999999E-2</v>
      </c>
      <c r="P4283">
        <v>0.9750046</v>
      </c>
      <c r="Q4283">
        <v>0.2112318</v>
      </c>
      <c r="R4283">
        <v>6.8899210000000002E-2</v>
      </c>
      <c r="S4283">
        <v>3.063965</v>
      </c>
      <c r="T4283">
        <v>-9.3196630000000006E-3</v>
      </c>
      <c r="U4283">
        <v>0.19473270000000001</v>
      </c>
      <c r="V4283">
        <v>-3.2863000000000003E-2</v>
      </c>
      <c r="W4283">
        <v>0.22028329999999999</v>
      </c>
      <c r="X4283">
        <v>0.97488220000000003</v>
      </c>
      <c r="Y4283">
        <v>-2.5317470000000002E-2</v>
      </c>
      <c r="Z4283">
        <v>4.0287260000000002E-4</v>
      </c>
      <c r="AA4283">
        <v>0.9996794</v>
      </c>
      <c r="AB4283">
        <v>30</v>
      </c>
      <c r="AC4283">
        <v>100.034099999999</v>
      </c>
      <c r="AD4283">
        <v>-0.30531419999999898</v>
      </c>
      <c r="AE4283">
        <v>6.3635599999999899</v>
      </c>
      <c r="AF4283">
        <v>-2.54347693160042</v>
      </c>
      <c r="AG4283">
        <v>-0.30531419999999898</v>
      </c>
      <c r="AH4283">
        <v>100.203095525313</v>
      </c>
      <c r="AI4283">
        <v>90.174520838165293</v>
      </c>
      <c r="AJ4283">
        <v>91.454038983254307</v>
      </c>
      <c r="AK4283">
        <v>100.23583612918701</v>
      </c>
      <c r="AL4283">
        <v>77.274326978079301</v>
      </c>
      <c r="AM4283">
        <v>91.930693242623803</v>
      </c>
      <c r="AN4283">
        <v>1.00000000645236</v>
      </c>
    </row>
    <row r="4284" spans="1:40" x14ac:dyDescent="0.25">
      <c r="A4284" t="str">
        <f>"20190303170856597"</f>
        <v>20190303170856597</v>
      </c>
      <c r="B4284" t="str">
        <f>"1551604136587737"</f>
        <v>1551604136587737</v>
      </c>
      <c r="C4284" t="s">
        <v>40</v>
      </c>
      <c r="D4284">
        <v>4.8962909999999997</v>
      </c>
      <c r="E4284">
        <v>0.49739840000000002</v>
      </c>
      <c r="F4284" t="s">
        <v>87</v>
      </c>
      <c r="G4284">
        <v>-273.40989999999999</v>
      </c>
      <c r="H4284">
        <v>1.6480159999999999</v>
      </c>
      <c r="I4284">
        <v>23.32741</v>
      </c>
      <c r="J4284">
        <v>-379.43279999999999</v>
      </c>
      <c r="K4284">
        <v>1.1228020000000001</v>
      </c>
      <c r="L4284">
        <v>14.87616</v>
      </c>
      <c r="M4284">
        <v>0.99912579999999995</v>
      </c>
      <c r="N4284">
        <v>-9.3980690000000002E-3</v>
      </c>
      <c r="O4284">
        <v>4.0734079999999999E-2</v>
      </c>
      <c r="P4284">
        <v>0.97443829999999998</v>
      </c>
      <c r="Q4284">
        <v>0.21293860000000001</v>
      </c>
      <c r="R4284">
        <v>7.1605409999999994E-2</v>
      </c>
      <c r="S4284">
        <v>3.0563959999999999</v>
      </c>
      <c r="T4284">
        <v>1.5101079999999999E-2</v>
      </c>
      <c r="U4284">
        <v>0.2433777</v>
      </c>
      <c r="V4284">
        <v>-3.3081859999999998E-2</v>
      </c>
      <c r="W4284">
        <v>0.22192719999999999</v>
      </c>
      <c r="X4284">
        <v>0.97450190000000003</v>
      </c>
      <c r="Y4284">
        <v>-3.8709060000000003E-2</v>
      </c>
      <c r="Z4284">
        <v>6.6998060000000002E-4</v>
      </c>
      <c r="AA4284">
        <v>0.99925030000000004</v>
      </c>
      <c r="AB4284">
        <v>30</v>
      </c>
      <c r="AC4284">
        <v>106.02290000000001</v>
      </c>
      <c r="AD4284">
        <v>0.52521399999999896</v>
      </c>
      <c r="AE4284">
        <v>8.4512499999999999</v>
      </c>
      <c r="AF4284">
        <v>-4.1251983153140399</v>
      </c>
      <c r="AG4284">
        <v>0.52521399999999896</v>
      </c>
      <c r="AH4284">
        <v>106.276573197103</v>
      </c>
      <c r="AI4284">
        <v>89.717062225354596</v>
      </c>
      <c r="AJ4284">
        <v>92.222859191395798</v>
      </c>
      <c r="AK4284">
        <v>106.35790107653401</v>
      </c>
      <c r="AL4284">
        <v>77.177748309151497</v>
      </c>
      <c r="AM4284">
        <v>91.944299272079306</v>
      </c>
      <c r="AN4284">
        <v>1.00000002233225</v>
      </c>
    </row>
    <row r="4285" spans="1:40" x14ac:dyDescent="0.25">
      <c r="A4285" t="str">
        <f>"20190303170856620"</f>
        <v>20190303170856620</v>
      </c>
      <c r="B4285" t="str">
        <f>"1551604136608233"</f>
        <v>1551604136608233</v>
      </c>
      <c r="C4285" t="s">
        <v>40</v>
      </c>
      <c r="D4285">
        <v>4.9655930000000001</v>
      </c>
      <c r="E4285">
        <v>0.49579859999999998</v>
      </c>
      <c r="F4285" t="s">
        <v>105</v>
      </c>
      <c r="G4285">
        <v>-276.89839999999998</v>
      </c>
      <c r="H4285">
        <v>2.237466</v>
      </c>
      <c r="I4285">
        <v>24.12002</v>
      </c>
      <c r="J4285">
        <v>-379.12439999999998</v>
      </c>
      <c r="K4285">
        <v>1.12276</v>
      </c>
      <c r="L4285">
        <v>14.891970000000001</v>
      </c>
      <c r="M4285">
        <v>0.99900560000000005</v>
      </c>
      <c r="N4285">
        <v>-9.3320069999999998E-3</v>
      </c>
      <c r="O4285">
        <v>4.36E-2</v>
      </c>
      <c r="P4285">
        <v>0.9741706</v>
      </c>
      <c r="Q4285">
        <v>0.21322769999999999</v>
      </c>
      <c r="R4285">
        <v>7.4334670000000005E-2</v>
      </c>
      <c r="S4285">
        <v>3.0512700000000001</v>
      </c>
      <c r="T4285">
        <v>3.3170699999999997E-2</v>
      </c>
      <c r="U4285">
        <v>0.27508539999999998</v>
      </c>
      <c r="V4285">
        <v>-3.3004360000000003E-2</v>
      </c>
      <c r="W4285">
        <v>0.22215409999999999</v>
      </c>
      <c r="X4285">
        <v>0.97445280000000001</v>
      </c>
      <c r="Y4285">
        <v>-4.6287559999999998E-2</v>
      </c>
      <c r="Z4285">
        <v>8.4433719999999998E-4</v>
      </c>
      <c r="AA4285">
        <v>0.99892780000000003</v>
      </c>
      <c r="AB4285">
        <v>30</v>
      </c>
      <c r="AC4285">
        <v>102.226</v>
      </c>
      <c r="AD4285">
        <v>1.114706</v>
      </c>
      <c r="AE4285">
        <v>9.2280499999999996</v>
      </c>
      <c r="AF4285">
        <v>-4.7614652424420703</v>
      </c>
      <c r="AG4285">
        <v>1.114706</v>
      </c>
      <c r="AH4285">
        <v>102.519050581849</v>
      </c>
      <c r="AI4285">
        <v>89.377709153815204</v>
      </c>
      <c r="AJ4285">
        <v>92.659173616986095</v>
      </c>
      <c r="AK4285">
        <v>102.635616882859</v>
      </c>
      <c r="AL4285">
        <v>77.164414716750898</v>
      </c>
      <c r="AM4285">
        <v>91.939845561085903</v>
      </c>
      <c r="AN4285">
        <v>0.99999999567682896</v>
      </c>
    </row>
    <row r="4286" spans="1:40" x14ac:dyDescent="0.25">
      <c r="A4286" t="str">
        <f>"20190303170856641"</f>
        <v>20190303170856641</v>
      </c>
      <c r="B4286" t="str">
        <f>"1551604136637513"</f>
        <v>1551604136637513</v>
      </c>
      <c r="C4286" t="s">
        <v>40</v>
      </c>
      <c r="D4286">
        <v>4.8934110000000004</v>
      </c>
      <c r="E4286">
        <v>0.49463610000000002</v>
      </c>
      <c r="F4286" t="s">
        <v>105</v>
      </c>
      <c r="G4286">
        <v>-276.36720000000003</v>
      </c>
      <c r="H4286">
        <v>2.470796</v>
      </c>
      <c r="I4286">
        <v>24.85643</v>
      </c>
      <c r="J4286">
        <v>-378.85379999999998</v>
      </c>
      <c r="K4286">
        <v>1.122689</v>
      </c>
      <c r="L4286">
        <v>14.906459999999999</v>
      </c>
      <c r="M4286">
        <v>0.99889229999999996</v>
      </c>
      <c r="N4286">
        <v>-9.2736269999999996E-3</v>
      </c>
      <c r="O4286">
        <v>4.6131499999999999E-2</v>
      </c>
      <c r="P4286">
        <v>0.97410450000000004</v>
      </c>
      <c r="Q4286">
        <v>0.21294489999999999</v>
      </c>
      <c r="R4286">
        <v>7.5995430000000003E-2</v>
      </c>
      <c r="S4286">
        <v>3.0482480000000001</v>
      </c>
      <c r="T4286">
        <v>3.9988879999999997E-2</v>
      </c>
      <c r="U4286">
        <v>0.2955933</v>
      </c>
      <c r="V4286">
        <v>-3.2158369999999999E-2</v>
      </c>
      <c r="W4286">
        <v>0.22182389999999999</v>
      </c>
      <c r="X4286">
        <v>0.97455630000000004</v>
      </c>
      <c r="Y4286">
        <v>-5.0508129999999998E-2</v>
      </c>
      <c r="Z4286">
        <v>9.3462289999999995E-4</v>
      </c>
      <c r="AA4286">
        <v>0.99872320000000003</v>
      </c>
      <c r="AB4286">
        <v>30</v>
      </c>
      <c r="AC4286">
        <v>102.486599999999</v>
      </c>
      <c r="AD4286">
        <v>1.3481069999999999</v>
      </c>
      <c r="AE4286">
        <v>9.9499700000000004</v>
      </c>
      <c r="AF4286">
        <v>-5.21041894563432</v>
      </c>
      <c r="AG4286">
        <v>1.3481069999999999</v>
      </c>
      <c r="AH4286">
        <v>102.818883316042</v>
      </c>
      <c r="AI4286">
        <v>89.249773557546803</v>
      </c>
      <c r="AJ4286">
        <v>92.901022165088804</v>
      </c>
      <c r="AK4286">
        <v>102.959645611425</v>
      </c>
      <c r="AL4286">
        <v>77.183817869259698</v>
      </c>
      <c r="AM4286">
        <v>91.889958081091606</v>
      </c>
      <c r="AN4286">
        <v>0.99999999262097805</v>
      </c>
    </row>
    <row r="4287" spans="1:40" x14ac:dyDescent="0.25">
      <c r="A4287" t="str">
        <f>"20190303170856664"</f>
        <v>20190303170856664</v>
      </c>
      <c r="B4287" t="str">
        <f>"1551604136658009"</f>
        <v>1551604136658009</v>
      </c>
      <c r="C4287" t="s">
        <v>40</v>
      </c>
      <c r="D4287">
        <v>4.8870149999999999</v>
      </c>
      <c r="E4287">
        <v>0.4942049</v>
      </c>
      <c r="F4287" t="s">
        <v>105</v>
      </c>
      <c r="G4287">
        <v>-276.98500000000001</v>
      </c>
      <c r="H4287">
        <v>2.556149</v>
      </c>
      <c r="I4287">
        <v>25.295760000000001</v>
      </c>
      <c r="J4287">
        <v>-378.54169999999999</v>
      </c>
      <c r="K4287">
        <v>1.122614</v>
      </c>
      <c r="L4287">
        <v>14.92389</v>
      </c>
      <c r="M4287">
        <v>0.99875550000000002</v>
      </c>
      <c r="N4287">
        <v>-9.2078939999999995E-3</v>
      </c>
      <c r="O4287">
        <v>4.901954E-2</v>
      </c>
      <c r="P4287">
        <v>0.97418760000000004</v>
      </c>
      <c r="Q4287">
        <v>0.2122009</v>
      </c>
      <c r="R4287">
        <v>7.7003589999999997E-2</v>
      </c>
      <c r="S4287">
        <v>3.0461429999999998</v>
      </c>
      <c r="T4287">
        <v>4.2864199999999998E-2</v>
      </c>
      <c r="U4287">
        <v>0.31066890000000003</v>
      </c>
      <c r="V4287">
        <v>-3.0292989999999999E-2</v>
      </c>
      <c r="W4287">
        <v>0.22103300000000001</v>
      </c>
      <c r="X4287">
        <v>0.97479579999999999</v>
      </c>
      <c r="Y4287">
        <v>-5.2582110000000001E-2</v>
      </c>
      <c r="Z4287">
        <v>1.011659E-3</v>
      </c>
      <c r="AA4287">
        <v>0.99861610000000001</v>
      </c>
      <c r="AB4287">
        <v>30</v>
      </c>
      <c r="AC4287">
        <v>101.556699999999</v>
      </c>
      <c r="AD4287">
        <v>1.433535</v>
      </c>
      <c r="AE4287">
        <v>10.371869999999999</v>
      </c>
      <c r="AF4287">
        <v>-5.3798660596760897</v>
      </c>
      <c r="AG4287">
        <v>1.433535</v>
      </c>
      <c r="AH4287">
        <v>101.922947433674</v>
      </c>
      <c r="AI4287">
        <v>89.195314366709397</v>
      </c>
      <c r="AJ4287">
        <v>93.021476885844294</v>
      </c>
      <c r="AK4287">
        <v>102.07489992639501</v>
      </c>
      <c r="AL4287">
        <v>77.230287385603603</v>
      </c>
      <c r="AM4287">
        <v>91.779964656465793</v>
      </c>
      <c r="AN4287">
        <v>1.00000005201488</v>
      </c>
    </row>
    <row r="4288" spans="1:40" x14ac:dyDescent="0.25">
      <c r="A4288" t="str">
        <f>"20190303170856687"</f>
        <v>20190303170856687</v>
      </c>
      <c r="B4288" t="str">
        <f>"1551604136678154"</f>
        <v>1551604136678154</v>
      </c>
      <c r="C4288" t="s">
        <v>40</v>
      </c>
      <c r="D4288">
        <v>4.8217970000000001</v>
      </c>
      <c r="E4288">
        <v>0.49397400000000002</v>
      </c>
      <c r="F4288" t="s">
        <v>105</v>
      </c>
      <c r="G4288">
        <v>-276.33940000000001</v>
      </c>
      <c r="H4288">
        <v>2.5388359999999999</v>
      </c>
      <c r="I4288">
        <v>25.58089</v>
      </c>
      <c r="J4288">
        <v>-378.23849999999999</v>
      </c>
      <c r="K4288">
        <v>1.122557</v>
      </c>
      <c r="L4288">
        <v>14.9415</v>
      </c>
      <c r="M4288">
        <v>0.99861849999999996</v>
      </c>
      <c r="N4288">
        <v>-9.1414300000000007E-3</v>
      </c>
      <c r="O4288">
        <v>5.1743989999999997E-2</v>
      </c>
      <c r="P4288">
        <v>0.97439549999999997</v>
      </c>
      <c r="Q4288">
        <v>0.21117900000000001</v>
      </c>
      <c r="R4288">
        <v>7.7180670000000007E-2</v>
      </c>
      <c r="S4288">
        <v>3.0451969999999999</v>
      </c>
      <c r="T4288">
        <v>4.2197350000000002E-2</v>
      </c>
      <c r="U4288">
        <v>0.31753540000000002</v>
      </c>
      <c r="V4288">
        <v>-2.775766E-2</v>
      </c>
      <c r="W4288">
        <v>0.2199661</v>
      </c>
      <c r="X4288">
        <v>0.9751126</v>
      </c>
      <c r="Y4288">
        <v>-5.2117690000000001E-2</v>
      </c>
      <c r="Z4288">
        <v>1.065274E-3</v>
      </c>
      <c r="AA4288">
        <v>0.99864039999999998</v>
      </c>
      <c r="AB4288">
        <v>30</v>
      </c>
      <c r="AC4288">
        <v>101.899099999999</v>
      </c>
      <c r="AD4288">
        <v>1.4162789999999901</v>
      </c>
      <c r="AE4288">
        <v>10.639389999999899</v>
      </c>
      <c r="AF4288">
        <v>-5.3512269467324503</v>
      </c>
      <c r="AG4288">
        <v>1.4162789999999901</v>
      </c>
      <c r="AH4288">
        <v>102.29358253458599</v>
      </c>
      <c r="AI4288">
        <v>89.207859978892699</v>
      </c>
      <c r="AJ4288">
        <v>92.994552423326496</v>
      </c>
      <c r="AK4288">
        <v>102.44324528147899</v>
      </c>
      <c r="AL4288">
        <v>77.292959111765796</v>
      </c>
      <c r="AM4288">
        <v>91.6305474870409</v>
      </c>
      <c r="AN4288">
        <v>1.00000007775831</v>
      </c>
    </row>
    <row r="4289" spans="1:40" x14ac:dyDescent="0.25">
      <c r="A4289" t="str">
        <f>"20190303170856710"</f>
        <v>20190303170856710</v>
      </c>
      <c r="B4289" t="str">
        <f>"1551604136697674"</f>
        <v>1551604136697674</v>
      </c>
      <c r="C4289" t="s">
        <v>40</v>
      </c>
      <c r="D4289">
        <v>4.8807450000000001</v>
      </c>
      <c r="E4289">
        <v>0.49388939999999998</v>
      </c>
      <c r="F4289" t="s">
        <v>105</v>
      </c>
      <c r="G4289">
        <v>-276.37599999999998</v>
      </c>
      <c r="H4289">
        <v>2.4522300000000001</v>
      </c>
      <c r="I4289">
        <v>25.639679999999998</v>
      </c>
      <c r="J4289">
        <v>-377.93599999999998</v>
      </c>
      <c r="K4289">
        <v>1.122519</v>
      </c>
      <c r="L4289">
        <v>14.959809999999999</v>
      </c>
      <c r="M4289">
        <v>0.99848029999999999</v>
      </c>
      <c r="N4289">
        <v>-9.0746520000000008E-3</v>
      </c>
      <c r="O4289">
        <v>5.435856E-2</v>
      </c>
      <c r="P4289">
        <v>0.97444920000000002</v>
      </c>
      <c r="Q4289">
        <v>0.21086730000000001</v>
      </c>
      <c r="R4289">
        <v>7.7355939999999998E-2</v>
      </c>
      <c r="S4289">
        <v>3.0448909999999998</v>
      </c>
      <c r="T4289">
        <v>3.9746759999999999E-2</v>
      </c>
      <c r="U4289">
        <v>0.31979370000000001</v>
      </c>
      <c r="V4289">
        <v>-2.5347890000000001E-2</v>
      </c>
      <c r="W4289">
        <v>0.2196051</v>
      </c>
      <c r="X4289">
        <v>0.97525949999999995</v>
      </c>
      <c r="Y4289">
        <v>-5.0245829999999998E-2</v>
      </c>
      <c r="Z4289">
        <v>1.100859E-3</v>
      </c>
      <c r="AA4289">
        <v>0.99873630000000002</v>
      </c>
      <c r="AB4289">
        <v>30</v>
      </c>
      <c r="AC4289">
        <v>101.56</v>
      </c>
      <c r="AD4289">
        <v>1.3297110000000001</v>
      </c>
      <c r="AE4289">
        <v>10.6798699999999</v>
      </c>
      <c r="AF4289">
        <v>-5.1423240626717801</v>
      </c>
      <c r="AG4289">
        <v>1.3297110000000001</v>
      </c>
      <c r="AH4289">
        <v>101.973106076607</v>
      </c>
      <c r="AI4289">
        <v>89.2538636665263</v>
      </c>
      <c r="AJ4289">
        <v>92.886879744216102</v>
      </c>
      <c r="AK4289">
        <v>102.11134114788599</v>
      </c>
      <c r="AL4289">
        <v>77.314160366262797</v>
      </c>
      <c r="AM4289">
        <v>91.488834735695903</v>
      </c>
      <c r="AN4289">
        <v>1.00000000390685</v>
      </c>
    </row>
    <row r="4290" spans="1:40" x14ac:dyDescent="0.25">
      <c r="A4290" t="str">
        <f>"20190303170856734"</f>
        <v>20190303170856734</v>
      </c>
      <c r="B4290" t="str">
        <f>"1551604136727930"</f>
        <v>1551604136727930</v>
      </c>
      <c r="C4290" t="s">
        <v>40</v>
      </c>
      <c r="D4290">
        <v>4.8932370000000001</v>
      </c>
      <c r="E4290">
        <v>0.49388149999999997</v>
      </c>
      <c r="F4290" t="s">
        <v>105</v>
      </c>
      <c r="G4290">
        <v>-276.33069999999998</v>
      </c>
      <c r="H4290">
        <v>2.4546579999999998</v>
      </c>
      <c r="I4290">
        <v>25.679220000000001</v>
      </c>
      <c r="J4290">
        <v>-377.60829999999999</v>
      </c>
      <c r="K4290">
        <v>1.12249</v>
      </c>
      <c r="L4290">
        <v>14.980499999999999</v>
      </c>
      <c r="M4290">
        <v>0.99832920000000003</v>
      </c>
      <c r="N4290">
        <v>-9.0079119999999999E-3</v>
      </c>
      <c r="O4290">
        <v>5.7076330000000002E-2</v>
      </c>
      <c r="P4290">
        <v>0.97445029999999999</v>
      </c>
      <c r="Q4290">
        <v>0.21068729999999999</v>
      </c>
      <c r="R4290">
        <v>7.7828759999999997E-2</v>
      </c>
      <c r="S4290">
        <v>3.044495</v>
      </c>
      <c r="T4290">
        <v>3.991604E-2</v>
      </c>
      <c r="U4290">
        <v>0.32119750000000002</v>
      </c>
      <c r="V4290">
        <v>-2.3139199999999999E-2</v>
      </c>
      <c r="W4290">
        <v>0.21937290000000001</v>
      </c>
      <c r="X4290">
        <v>0.97536670000000003</v>
      </c>
      <c r="Y4290">
        <v>-4.7996700000000003E-2</v>
      </c>
      <c r="Z4290">
        <v>1.161666E-3</v>
      </c>
      <c r="AA4290">
        <v>0.99884680000000003</v>
      </c>
      <c r="AB4290">
        <v>30</v>
      </c>
      <c r="AC4290">
        <v>101.27760000000001</v>
      </c>
      <c r="AD4290">
        <v>1.332168</v>
      </c>
      <c r="AE4290">
        <v>10.69872</v>
      </c>
      <c r="AF4290">
        <v>-4.8996512086774997</v>
      </c>
      <c r="AG4290">
        <v>1.332168</v>
      </c>
      <c r="AH4290">
        <v>101.70575134695</v>
      </c>
      <c r="AI4290">
        <v>89.250437300215296</v>
      </c>
      <c r="AJ4290">
        <v>92.758078678242001</v>
      </c>
      <c r="AK4290">
        <v>101.832416796394</v>
      </c>
      <c r="AL4290">
        <v>77.327797513078295</v>
      </c>
      <c r="AM4290">
        <v>91.359006684722999</v>
      </c>
      <c r="AN4290">
        <v>1.00000004564996</v>
      </c>
    </row>
    <row r="4291" spans="1:40" x14ac:dyDescent="0.25">
      <c r="A4291" t="str">
        <f>"20190303170856756"</f>
        <v>20190303170856756</v>
      </c>
      <c r="B4291" t="str">
        <f>"1551604136747450"</f>
        <v>1551604136747450</v>
      </c>
      <c r="C4291" t="s">
        <v>40</v>
      </c>
      <c r="D4291">
        <v>4.8934110000000004</v>
      </c>
      <c r="E4291">
        <v>0.49391030000000002</v>
      </c>
      <c r="F4291" t="s">
        <v>105</v>
      </c>
      <c r="G4291">
        <v>-276.3372</v>
      </c>
      <c r="H4291">
        <v>2.491981</v>
      </c>
      <c r="I4291">
        <v>25.72626</v>
      </c>
      <c r="J4291">
        <v>-377.31819999999999</v>
      </c>
      <c r="K4291">
        <v>1.1224700000000001</v>
      </c>
      <c r="L4291">
        <v>14.999479999999901</v>
      </c>
      <c r="M4291">
        <v>0.99819310000000006</v>
      </c>
      <c r="N4291">
        <v>-8.9547900000000007E-3</v>
      </c>
      <c r="O4291">
        <v>5.9417909999999997E-2</v>
      </c>
      <c r="P4291">
        <v>0.97437750000000001</v>
      </c>
      <c r="Q4291">
        <v>0.21087410000000001</v>
      </c>
      <c r="R4291">
        <v>7.8236620000000007E-2</v>
      </c>
      <c r="S4291">
        <v>3.044006</v>
      </c>
      <c r="T4291">
        <v>4.1164039999999999E-2</v>
      </c>
      <c r="U4291">
        <v>0.32299800000000001</v>
      </c>
      <c r="V4291">
        <v>-2.124552E-2</v>
      </c>
      <c r="W4291">
        <v>0.21951850000000001</v>
      </c>
      <c r="X4291">
        <v>0.97537700000000005</v>
      </c>
      <c r="Y4291">
        <v>-4.6255600000000001E-2</v>
      </c>
      <c r="Z4291">
        <v>1.227274E-3</v>
      </c>
      <c r="AA4291">
        <v>0.99892890000000001</v>
      </c>
      <c r="AB4291">
        <v>30</v>
      </c>
      <c r="AC4291">
        <v>100.98099999999999</v>
      </c>
      <c r="AD4291">
        <v>1.3695109999999999</v>
      </c>
      <c r="AE4291">
        <v>10.72678</v>
      </c>
      <c r="AF4291">
        <v>-4.7066501932814502</v>
      </c>
      <c r="AG4291">
        <v>1.3695109999999999</v>
      </c>
      <c r="AH4291">
        <v>101.42151407115701</v>
      </c>
      <c r="AI4291">
        <v>89.227204496021002</v>
      </c>
      <c r="AJ4291">
        <v>92.6570087875632</v>
      </c>
      <c r="AK4291">
        <v>101.539901678635</v>
      </c>
      <c r="AL4291">
        <v>77.319246466579401</v>
      </c>
      <c r="AM4291">
        <v>91.247811022874203</v>
      </c>
      <c r="AN4291">
        <v>1.0000000180456601</v>
      </c>
    </row>
    <row r="4292" spans="1:40" x14ac:dyDescent="0.25">
      <c r="A4292" t="str">
        <f>"20190303170856776"</f>
        <v>20190303170856776</v>
      </c>
      <c r="B4292" t="str">
        <f>"1551604136768341"</f>
        <v>1551604136768341</v>
      </c>
      <c r="C4292" t="s">
        <v>40</v>
      </c>
      <c r="D4292">
        <v>4.8856999999999999</v>
      </c>
      <c r="E4292">
        <v>0.49393389999999998</v>
      </c>
      <c r="F4292" t="s">
        <v>105</v>
      </c>
      <c r="G4292">
        <v>-276.3451</v>
      </c>
      <c r="H4292">
        <v>2.543803</v>
      </c>
      <c r="I4292">
        <v>25.752479999999998</v>
      </c>
      <c r="J4292">
        <v>-377.04579999999999</v>
      </c>
      <c r="K4292">
        <v>1.1224639999999999</v>
      </c>
      <c r="L4292">
        <v>15.017849999999999</v>
      </c>
      <c r="M4292">
        <v>0.99806340000000004</v>
      </c>
      <c r="N4292">
        <v>-8.9086579999999999E-3</v>
      </c>
      <c r="O4292">
        <v>6.1564569999999999E-2</v>
      </c>
      <c r="P4292">
        <v>0.97431809999999996</v>
      </c>
      <c r="Q4292">
        <v>0.21067939999999999</v>
      </c>
      <c r="R4292">
        <v>7.949022E-2</v>
      </c>
      <c r="S4292">
        <v>3.0436100000000001</v>
      </c>
      <c r="T4292">
        <v>4.2842860000000003E-2</v>
      </c>
      <c r="U4292">
        <v>0.3241272</v>
      </c>
      <c r="V4292">
        <v>-2.0383390000000001E-2</v>
      </c>
      <c r="W4292">
        <v>0.21928449999999999</v>
      </c>
      <c r="X4292">
        <v>0.97544799999999998</v>
      </c>
      <c r="Y4292">
        <v>-4.4488319999999998E-2</v>
      </c>
      <c r="Z4292">
        <v>1.2971040000000001E-3</v>
      </c>
      <c r="AA4292">
        <v>0.99900909999999998</v>
      </c>
      <c r="AB4292">
        <v>30</v>
      </c>
      <c r="AC4292">
        <v>100.700699999999</v>
      </c>
      <c r="AD4292">
        <v>1.4213389999999999</v>
      </c>
      <c r="AE4292">
        <v>10.734629999999999</v>
      </c>
      <c r="AF4292">
        <v>-4.51353583810912</v>
      </c>
      <c r="AG4292">
        <v>1.4213389999999999</v>
      </c>
      <c r="AH4292">
        <v>101.15064033592699</v>
      </c>
      <c r="AI4292">
        <v>89.195749742383001</v>
      </c>
      <c r="AJ4292">
        <v>92.554952885863798</v>
      </c>
      <c r="AK4292">
        <v>101.26126727768499</v>
      </c>
      <c r="AL4292">
        <v>77.3329881164874</v>
      </c>
      <c r="AM4292">
        <v>91.1971035607056</v>
      </c>
      <c r="AN4292">
        <v>0.99999998761607101</v>
      </c>
    </row>
    <row r="4293" spans="1:40" x14ac:dyDescent="0.25">
      <c r="A4293" t="str">
        <f>"20190303170856799"</f>
        <v>20190303170856799</v>
      </c>
      <c r="B4293" t="str">
        <f>"1551604136787860"</f>
        <v>1551604136787860</v>
      </c>
      <c r="C4293" t="s">
        <v>40</v>
      </c>
      <c r="D4293">
        <v>4.8947430000000001</v>
      </c>
      <c r="E4293">
        <v>0.49394250000000001</v>
      </c>
      <c r="F4293" t="s">
        <v>105</v>
      </c>
      <c r="G4293">
        <v>-276.34809999999999</v>
      </c>
      <c r="H4293">
        <v>2.5404369999999998</v>
      </c>
      <c r="I4293">
        <v>25.869689999999999</v>
      </c>
      <c r="J4293">
        <v>-376.72829999999999</v>
      </c>
      <c r="K4293">
        <v>1.1224419999999999</v>
      </c>
      <c r="L4293">
        <v>15.039949999999999</v>
      </c>
      <c r="M4293">
        <v>0.99791070000000004</v>
      </c>
      <c r="N4293">
        <v>-8.8555049999999996E-3</v>
      </c>
      <c r="O4293">
        <v>6.3999009999999995E-2</v>
      </c>
      <c r="P4293">
        <v>0.97428040000000005</v>
      </c>
      <c r="Q4293">
        <v>0.21034050000000001</v>
      </c>
      <c r="R4293">
        <v>8.0839540000000001E-2</v>
      </c>
      <c r="S4293">
        <v>3.0430600000000001</v>
      </c>
      <c r="T4293">
        <v>4.2850729999999997E-2</v>
      </c>
      <c r="U4293">
        <v>0.32794190000000001</v>
      </c>
      <c r="V4293">
        <v>-1.9327380000000002E-2</v>
      </c>
      <c r="W4293">
        <v>0.21890119999999999</v>
      </c>
      <c r="X4293">
        <v>0.97555559999999997</v>
      </c>
      <c r="Y4293">
        <v>-4.330908E-2</v>
      </c>
      <c r="Z4293">
        <v>1.351465E-3</v>
      </c>
      <c r="AA4293">
        <v>0.99906079999999997</v>
      </c>
      <c r="AB4293">
        <v>30</v>
      </c>
      <c r="AC4293">
        <v>100.3802</v>
      </c>
      <c r="AD4293">
        <v>1.4179949999999999</v>
      </c>
      <c r="AE4293">
        <v>10.829739999999999</v>
      </c>
      <c r="AF4293">
        <v>-4.3821873281208203</v>
      </c>
      <c r="AG4293">
        <v>1.4179949999999999</v>
      </c>
      <c r="AH4293">
        <v>100.84762775912</v>
      </c>
      <c r="AI4293">
        <v>89.195189845056404</v>
      </c>
      <c r="AJ4293">
        <v>92.488139702595902</v>
      </c>
      <c r="AK4293">
        <v>100.952752811604</v>
      </c>
      <c r="AL4293">
        <v>77.355496685598098</v>
      </c>
      <c r="AM4293">
        <v>91.134976268435196</v>
      </c>
      <c r="AN4293">
        <v>1.0000000058352301</v>
      </c>
    </row>
    <row r="4294" spans="1:40" x14ac:dyDescent="0.25">
      <c r="A4294" t="str">
        <f>"20190303170856823"</f>
        <v>20190303170856823</v>
      </c>
      <c r="B4294" t="str">
        <f>"1551604136818117"</f>
        <v>1551604136818117</v>
      </c>
      <c r="C4294" t="s">
        <v>40</v>
      </c>
      <c r="D4294">
        <v>4.9510569999999996</v>
      </c>
      <c r="E4294">
        <v>0.4939846</v>
      </c>
      <c r="F4294" t="s">
        <v>105</v>
      </c>
      <c r="G4294">
        <v>-276.3519</v>
      </c>
      <c r="H4294">
        <v>2.5377670000000001</v>
      </c>
      <c r="I4294">
        <v>26.009689999999999</v>
      </c>
      <c r="J4294">
        <v>-376.40440000000001</v>
      </c>
      <c r="K4294">
        <v>1.122403</v>
      </c>
      <c r="L4294">
        <v>15.06326</v>
      </c>
      <c r="M4294">
        <v>0.99775389999999997</v>
      </c>
      <c r="N4294">
        <v>-8.8045609999999903E-3</v>
      </c>
      <c r="O4294">
        <v>6.6406049999999994E-2</v>
      </c>
      <c r="P4294">
        <v>0.97390929999999998</v>
      </c>
      <c r="Q4294">
        <v>0.21138709999999999</v>
      </c>
      <c r="R4294">
        <v>8.2560259999999996E-2</v>
      </c>
      <c r="S4294">
        <v>3.0423580000000001</v>
      </c>
      <c r="T4294">
        <v>4.2897699999999997E-2</v>
      </c>
      <c r="U4294">
        <v>0.33248899999999998</v>
      </c>
      <c r="V4294">
        <v>-1.8691820000000001E-2</v>
      </c>
      <c r="W4294">
        <v>0.21990090000000001</v>
      </c>
      <c r="X4294">
        <v>0.97534310000000002</v>
      </c>
      <c r="Y4294">
        <v>-4.2400029999999998E-2</v>
      </c>
      <c r="Z4294">
        <v>1.4051059999999999E-3</v>
      </c>
      <c r="AA4294">
        <v>0.99909970000000003</v>
      </c>
      <c r="AB4294">
        <v>30</v>
      </c>
      <c r="AC4294">
        <v>100.05249999999999</v>
      </c>
      <c r="AD4294">
        <v>1.4153639999999901</v>
      </c>
      <c r="AE4294">
        <v>10.9464299999999</v>
      </c>
      <c r="AF4294">
        <v>-4.2770716627295098</v>
      </c>
      <c r="AG4294">
        <v>1.4153639999999901</v>
      </c>
      <c r="AH4294">
        <v>100.53869116708</v>
      </c>
      <c r="AI4294">
        <v>89.194183269353601</v>
      </c>
      <c r="AJ4294">
        <v>92.435982390140197</v>
      </c>
      <c r="AK4294">
        <v>100.63957978275801</v>
      </c>
      <c r="AL4294">
        <v>77.296787250941094</v>
      </c>
      <c r="AM4294">
        <v>91.097902178877106</v>
      </c>
      <c r="AN4294">
        <v>0.99999997633666504</v>
      </c>
    </row>
    <row r="4295" spans="1:40" x14ac:dyDescent="0.25">
      <c r="A4295" t="str">
        <f>"20190303170856843"</f>
        <v>20190303170856843</v>
      </c>
      <c r="B4295" t="str">
        <f>"1551604136837636"</f>
        <v>1551604136837636</v>
      </c>
      <c r="C4295" t="s">
        <v>40</v>
      </c>
      <c r="D4295">
        <v>4.8916370000000002</v>
      </c>
      <c r="E4295">
        <v>0.49404369999999997</v>
      </c>
      <c r="F4295" t="s">
        <v>105</v>
      </c>
      <c r="G4295">
        <v>-276.37830000000002</v>
      </c>
      <c r="H4295">
        <v>2.6937329999999999</v>
      </c>
      <c r="I4295">
        <v>26.175979999999999</v>
      </c>
      <c r="J4295">
        <v>-376.12799999999999</v>
      </c>
      <c r="K4295">
        <v>1.1223749999999999</v>
      </c>
      <c r="L4295">
        <v>15.08365</v>
      </c>
      <c r="M4295">
        <v>0.99762019999999996</v>
      </c>
      <c r="N4295">
        <v>-8.7658600000000003E-3</v>
      </c>
      <c r="O4295">
        <v>6.8389499999999895E-2</v>
      </c>
      <c r="P4295">
        <v>0.97354010000000002</v>
      </c>
      <c r="Q4295">
        <v>0.21221860000000001</v>
      </c>
      <c r="R4295">
        <v>8.4754239999999995E-2</v>
      </c>
      <c r="S4295">
        <v>3.0413510000000001</v>
      </c>
      <c r="T4295">
        <v>4.7777180000000002E-2</v>
      </c>
      <c r="U4295">
        <v>0.33789059999999999</v>
      </c>
      <c r="V4295">
        <v>-1.8942270000000001E-2</v>
      </c>
      <c r="W4295">
        <v>0.22069440000000001</v>
      </c>
      <c r="X4295">
        <v>0.975159</v>
      </c>
      <c r="Y4295">
        <v>-4.2204989999999998E-2</v>
      </c>
      <c r="Z4295">
        <v>1.5229639999999999E-3</v>
      </c>
      <c r="AA4295">
        <v>0.99910779999999999</v>
      </c>
      <c r="AB4295">
        <v>30</v>
      </c>
      <c r="AC4295">
        <v>99.749700000000004</v>
      </c>
      <c r="AD4295">
        <v>1.571358</v>
      </c>
      <c r="AE4295">
        <v>11.09233</v>
      </c>
      <c r="AF4295">
        <v>-4.2432232500946796</v>
      </c>
      <c r="AG4295">
        <v>1.571358</v>
      </c>
      <c r="AH4295">
        <v>100.250191893175</v>
      </c>
      <c r="AI4295">
        <v>89.102801815309206</v>
      </c>
      <c r="AJ4295">
        <v>92.423673721589196</v>
      </c>
      <c r="AK4295">
        <v>100.352255002729</v>
      </c>
      <c r="AL4295">
        <v>77.250177661723797</v>
      </c>
      <c r="AM4295">
        <v>91.112819193500798</v>
      </c>
      <c r="AN4295">
        <v>0.99999995153255505</v>
      </c>
    </row>
    <row r="4296" spans="1:40" x14ac:dyDescent="0.25">
      <c r="A4296" t="str">
        <f>"20190303170856865"</f>
        <v>20190303170856865</v>
      </c>
      <c r="B4296" t="str">
        <f>"1551604136858132"</f>
        <v>1551604136858132</v>
      </c>
      <c r="C4296" t="s">
        <v>40</v>
      </c>
      <c r="D4296">
        <v>4.8349449999999896</v>
      </c>
      <c r="E4296">
        <v>0.49398700000000001</v>
      </c>
      <c r="F4296" t="s">
        <v>87</v>
      </c>
      <c r="G4296">
        <v>-274.15660000000003</v>
      </c>
      <c r="H4296">
        <v>2.8482590000000001</v>
      </c>
      <c r="I4296">
        <v>26.632269999999998</v>
      </c>
      <c r="J4296">
        <v>-375.82319999999999</v>
      </c>
      <c r="K4296">
        <v>1.1223299999999901</v>
      </c>
      <c r="L4296">
        <v>15.106719999999999</v>
      </c>
      <c r="M4296">
        <v>0.99747399999999997</v>
      </c>
      <c r="N4296">
        <v>-8.7278119999999997E-3</v>
      </c>
      <c r="O4296">
        <v>7.0494940000000006E-2</v>
      </c>
      <c r="P4296">
        <v>0.97328380000000003</v>
      </c>
      <c r="Q4296">
        <v>0.21218119999999999</v>
      </c>
      <c r="R4296">
        <v>8.7737599999999999E-2</v>
      </c>
      <c r="S4296">
        <v>3.0403440000000002</v>
      </c>
      <c r="T4296">
        <v>5.1458480000000001E-2</v>
      </c>
      <c r="U4296">
        <v>0.34432980000000002</v>
      </c>
      <c r="V4296">
        <v>-1.9842370000000002E-2</v>
      </c>
      <c r="W4296">
        <v>0.2206186</v>
      </c>
      <c r="X4296">
        <v>0.97515830000000003</v>
      </c>
      <c r="Y4296">
        <v>-4.2224369999999997E-2</v>
      </c>
      <c r="Z4296">
        <v>1.6302790000000001E-3</v>
      </c>
      <c r="AA4296">
        <v>0.99910679999999996</v>
      </c>
      <c r="AB4296">
        <v>31</v>
      </c>
      <c r="AC4296">
        <v>101.66659999999899</v>
      </c>
      <c r="AD4296">
        <v>1.725929</v>
      </c>
      <c r="AE4296">
        <v>11.525550000000001</v>
      </c>
      <c r="AF4296">
        <v>-4.32838870187509</v>
      </c>
      <c r="AG4296">
        <v>1.725929</v>
      </c>
      <c r="AH4296">
        <v>102.197092862796</v>
      </c>
      <c r="AI4296">
        <v>89.033333572300904</v>
      </c>
      <c r="AJ4296">
        <v>92.425218469218507</v>
      </c>
      <c r="AK4296">
        <v>102.303272524756</v>
      </c>
      <c r="AL4296">
        <v>77.254631040492498</v>
      </c>
      <c r="AM4296">
        <v>91.165684784015397</v>
      </c>
      <c r="AN4296">
        <v>0.99999999818603302</v>
      </c>
    </row>
    <row r="4297" spans="1:40" x14ac:dyDescent="0.25">
      <c r="A4297" t="str">
        <f>"20190303170856889"</f>
        <v>20190303170856889</v>
      </c>
      <c r="B4297" t="str">
        <f>"1551604136877652"</f>
        <v>1551604136877652</v>
      </c>
      <c r="C4297" t="s">
        <v>40</v>
      </c>
      <c r="D4297">
        <v>4.8403910000000003</v>
      </c>
      <c r="E4297">
        <v>0.47157290000000002</v>
      </c>
      <c r="F4297" t="s">
        <v>87</v>
      </c>
      <c r="G4297">
        <v>-274.15660000000003</v>
      </c>
      <c r="H4297">
        <v>2.8567290000000001</v>
      </c>
      <c r="I4297">
        <v>26.943840000000002</v>
      </c>
      <c r="J4297">
        <v>-375.51609999999999</v>
      </c>
      <c r="K4297">
        <v>1.1222730000000001</v>
      </c>
      <c r="L4297">
        <v>15.13049</v>
      </c>
      <c r="M4297">
        <v>0.99732960000000004</v>
      </c>
      <c r="N4297">
        <v>-8.6941399999999995E-3</v>
      </c>
      <c r="O4297">
        <v>7.2513939999999999E-2</v>
      </c>
      <c r="P4297">
        <v>0.97298830000000003</v>
      </c>
      <c r="Q4297">
        <v>0.212252</v>
      </c>
      <c r="R4297">
        <v>9.0792369999999997E-2</v>
      </c>
      <c r="S4297">
        <v>3.0391539999999999</v>
      </c>
      <c r="T4297">
        <v>5.18471E-2</v>
      </c>
      <c r="U4297">
        <v>0.35385129999999998</v>
      </c>
      <c r="V4297">
        <v>-2.0896319999999999E-2</v>
      </c>
      <c r="W4297">
        <v>0.22065489999999999</v>
      </c>
      <c r="X4297">
        <v>0.97512810000000005</v>
      </c>
      <c r="Y4297">
        <v>-4.3335720000000001E-2</v>
      </c>
      <c r="Z4297">
        <v>1.680707E-3</v>
      </c>
      <c r="AA4297">
        <v>0.99905909999999998</v>
      </c>
      <c r="AB4297">
        <v>31</v>
      </c>
      <c r="AC4297">
        <v>101.359499999999</v>
      </c>
      <c r="AD4297">
        <v>1.734456</v>
      </c>
      <c r="AE4297">
        <v>11.81335</v>
      </c>
      <c r="AF4297">
        <v>-4.4307140071490698</v>
      </c>
      <c r="AG4297">
        <v>1.734456</v>
      </c>
      <c r="AH4297">
        <v>101.919861572182</v>
      </c>
      <c r="AI4297">
        <v>89.025963429232604</v>
      </c>
      <c r="AJ4297">
        <v>92.4892250562783</v>
      </c>
      <c r="AK4297">
        <v>102.03086663908</v>
      </c>
      <c r="AL4297">
        <v>77.252499016970901</v>
      </c>
      <c r="AM4297">
        <v>91.2276209920377</v>
      </c>
      <c r="AN4297">
        <v>1.00000002624658</v>
      </c>
    </row>
    <row r="4298" spans="1:40" x14ac:dyDescent="0.25">
      <c r="A4298" t="str">
        <f>"20190303170856912"</f>
        <v>20190303170856912</v>
      </c>
      <c r="B4298" t="str">
        <f>"1551604136907908"</f>
        <v>1551604136907908</v>
      </c>
      <c r="C4298" t="s">
        <v>40</v>
      </c>
      <c r="D4298">
        <v>4.850657</v>
      </c>
      <c r="E4298">
        <v>0.46074520000000002</v>
      </c>
      <c r="F4298" t="s">
        <v>62</v>
      </c>
      <c r="G4298">
        <v>-244.5789</v>
      </c>
      <c r="H4298">
        <v>1.568592</v>
      </c>
      <c r="I4298">
        <v>38.650019999999998</v>
      </c>
      <c r="J4298">
        <v>-375.1961</v>
      </c>
      <c r="K4298">
        <v>1.1222019999999999</v>
      </c>
      <c r="L4298">
        <v>15.15582</v>
      </c>
      <c r="M4298">
        <v>0.99718519999999999</v>
      </c>
      <c r="N4298">
        <v>-8.6640160000000001E-3</v>
      </c>
      <c r="O4298">
        <v>7.447637E-2</v>
      </c>
      <c r="P4298">
        <v>0.97236429999999996</v>
      </c>
      <c r="Q4298">
        <v>0.21396209999999999</v>
      </c>
      <c r="R4298">
        <v>9.3423900000000004E-2</v>
      </c>
      <c r="S4298">
        <v>3.0302730000000002</v>
      </c>
      <c r="T4298">
        <v>1.0329369999999999E-2</v>
      </c>
      <c r="U4298">
        <v>0.54431149999999995</v>
      </c>
      <c r="V4298">
        <v>-2.160486E-2</v>
      </c>
      <c r="W4298">
        <v>0.22233349999999999</v>
      </c>
      <c r="X4298">
        <v>0.97473129999999997</v>
      </c>
      <c r="Y4298">
        <v>-0.1030042</v>
      </c>
      <c r="Z4298">
        <v>1.1685389999999999E-3</v>
      </c>
      <c r="AA4298">
        <v>0.99468020000000001</v>
      </c>
      <c r="AB4298">
        <v>31</v>
      </c>
      <c r="AC4298">
        <v>130.6172</v>
      </c>
      <c r="AD4298">
        <v>0.44638999999999901</v>
      </c>
      <c r="AE4298">
        <v>23.494199999999999</v>
      </c>
      <c r="AF4298">
        <v>-13.7005320320864</v>
      </c>
      <c r="AG4298">
        <v>0.44638999999999901</v>
      </c>
      <c r="AH4298">
        <v>132.002754782681</v>
      </c>
      <c r="AI4298">
        <v>89.807280442963204</v>
      </c>
      <c r="AJ4298">
        <v>95.925497923769996</v>
      </c>
      <c r="AK4298">
        <v>132.71258837130301</v>
      </c>
      <c r="AL4298">
        <v>77.153872661411498</v>
      </c>
      <c r="AM4298">
        <v>91.269749560404193</v>
      </c>
      <c r="AN4298">
        <v>1.00000003119877</v>
      </c>
    </row>
    <row r="4299" spans="1:40" x14ac:dyDescent="0.25">
      <c r="A4299" t="str">
        <f>"20190303170856945"</f>
        <v>20190303170856945</v>
      </c>
      <c r="B4299" t="str">
        <f>"1551604136938165"</f>
        <v>1551604136938165</v>
      </c>
      <c r="C4299" t="s">
        <v>40</v>
      </c>
      <c r="D4299">
        <v>4.7624870000000001</v>
      </c>
      <c r="E4299">
        <v>0.45841320000000002</v>
      </c>
      <c r="F4299" t="s">
        <v>106</v>
      </c>
      <c r="G4299">
        <v>-280.00740000000002</v>
      </c>
      <c r="H4299">
        <v>1.4778800000000001</v>
      </c>
      <c r="I4299">
        <v>35.287700000000001</v>
      </c>
      <c r="J4299">
        <v>-374.74209999999999</v>
      </c>
      <c r="K4299">
        <v>1.122079</v>
      </c>
      <c r="L4299">
        <v>15.192629999999999</v>
      </c>
      <c r="M4299">
        <v>0.99699210000000005</v>
      </c>
      <c r="N4299">
        <v>-8.6285819999999992E-3</v>
      </c>
      <c r="O4299">
        <v>7.702175E-2</v>
      </c>
      <c r="P4299">
        <v>0.971719</v>
      </c>
      <c r="Q4299">
        <v>0.21543709999999999</v>
      </c>
      <c r="R4299">
        <v>9.6689979999999995E-2</v>
      </c>
      <c r="S4299">
        <v>3.0213930000000002</v>
      </c>
      <c r="T4299">
        <v>1.128972E-2</v>
      </c>
      <c r="U4299">
        <v>0.63900760000000001</v>
      </c>
      <c r="V4299">
        <v>-2.234792E-2</v>
      </c>
      <c r="W4299">
        <v>0.22377540000000001</v>
      </c>
      <c r="X4299">
        <v>0.97438449999999999</v>
      </c>
      <c r="Y4299">
        <v>-0.1309517</v>
      </c>
      <c r="Z4299">
        <v>1.2722110000000001E-3</v>
      </c>
      <c r="AA4299">
        <v>0.99138800000000005</v>
      </c>
      <c r="AB4299">
        <v>31</v>
      </c>
      <c r="AC4299">
        <v>94.734699999999904</v>
      </c>
      <c r="AD4299">
        <v>0.35580099999999898</v>
      </c>
      <c r="AE4299">
        <v>20.09507</v>
      </c>
      <c r="AF4299">
        <v>-12.7382956088338</v>
      </c>
      <c r="AG4299">
        <v>0.35580099999999898</v>
      </c>
      <c r="AH4299">
        <v>95.999780540374203</v>
      </c>
      <c r="AI4299">
        <v>89.789492493396693</v>
      </c>
      <c r="AJ4299">
        <v>97.558473577827399</v>
      </c>
      <c r="AK4299">
        <v>96.841874378647006</v>
      </c>
      <c r="AL4299">
        <v>77.069122353945204</v>
      </c>
      <c r="AM4299">
        <v>91.313872551663806</v>
      </c>
      <c r="AN4299">
        <v>1.0000000065068599</v>
      </c>
    </row>
    <row r="4300" spans="1:40" x14ac:dyDescent="0.25">
      <c r="A4300" t="str">
        <f>"20190303170856966"</f>
        <v>20190303170856966</v>
      </c>
      <c r="B4300" t="str">
        <f>"1551604136957685"</f>
        <v>1551604136957685</v>
      </c>
      <c r="C4300" t="s">
        <v>40</v>
      </c>
      <c r="D4300">
        <v>4.735538</v>
      </c>
      <c r="E4300">
        <v>0.45792080000000002</v>
      </c>
      <c r="F4300" t="s">
        <v>106</v>
      </c>
      <c r="G4300">
        <v>-280.86259999999999</v>
      </c>
      <c r="H4300">
        <v>1.385969</v>
      </c>
      <c r="I4300">
        <v>35.960059999999999</v>
      </c>
      <c r="J4300">
        <v>-374.452</v>
      </c>
      <c r="K4300">
        <v>1.1219950000000001</v>
      </c>
      <c r="L4300">
        <v>15.21658</v>
      </c>
      <c r="M4300">
        <v>0.99687619999999999</v>
      </c>
      <c r="N4300">
        <v>-8.6101630000000005E-3</v>
      </c>
      <c r="O4300">
        <v>7.8510179999999999E-2</v>
      </c>
      <c r="P4300">
        <v>0.97143950000000001</v>
      </c>
      <c r="Q4300">
        <v>0.21543039999999999</v>
      </c>
      <c r="R4300">
        <v>9.9474740000000006E-2</v>
      </c>
      <c r="S4300">
        <v>3.019012</v>
      </c>
      <c r="T4300">
        <v>8.4863899999999999E-3</v>
      </c>
      <c r="U4300">
        <v>0.66784670000000002</v>
      </c>
      <c r="V4300">
        <v>-2.3641079999999998E-2</v>
      </c>
      <c r="W4300">
        <v>0.2237508</v>
      </c>
      <c r="X4300">
        <v>0.97435959999999999</v>
      </c>
      <c r="Y4300">
        <v>-0.1386713</v>
      </c>
      <c r="Z4300">
        <v>1.298886E-3</v>
      </c>
      <c r="AA4300">
        <v>0.99033760000000004</v>
      </c>
      <c r="AB4300">
        <v>31</v>
      </c>
      <c r="AC4300">
        <v>93.589399999999998</v>
      </c>
      <c r="AD4300">
        <v>0.26397399999999899</v>
      </c>
      <c r="AE4300">
        <v>20.743480000000002</v>
      </c>
      <c r="AF4300">
        <v>-13.3313530150188</v>
      </c>
      <c r="AG4300">
        <v>0.26397399999999899</v>
      </c>
      <c r="AH4300">
        <v>94.928412072988905</v>
      </c>
      <c r="AI4300">
        <v>89.842222333667706</v>
      </c>
      <c r="AJ4300">
        <v>97.994101702801203</v>
      </c>
      <c r="AK4300">
        <v>95.860304997339298</v>
      </c>
      <c r="AL4300">
        <v>77.070568093172398</v>
      </c>
      <c r="AM4300">
        <v>91.389906144487995</v>
      </c>
      <c r="AN4300">
        <v>0.99999997563818199</v>
      </c>
    </row>
    <row r="4301" spans="1:40" x14ac:dyDescent="0.25">
      <c r="A4301" t="str">
        <f>"20190303170856989"</f>
        <v>20190303170856989</v>
      </c>
      <c r="B4301" t="str">
        <f>"1551604136978180"</f>
        <v>1551604136978180</v>
      </c>
      <c r="C4301" t="s">
        <v>40</v>
      </c>
      <c r="D4301">
        <v>4.7203350000000004</v>
      </c>
      <c r="E4301">
        <v>0.45761449999999998</v>
      </c>
      <c r="F4301" t="s">
        <v>106</v>
      </c>
      <c r="G4301">
        <v>-280.86259999999999</v>
      </c>
      <c r="H4301">
        <v>1.2808850000000001</v>
      </c>
      <c r="I4301">
        <v>36.285989999999998</v>
      </c>
      <c r="J4301">
        <v>-374.12729999999999</v>
      </c>
      <c r="K4301">
        <v>1.121891</v>
      </c>
      <c r="L4301">
        <v>15.243740000000001</v>
      </c>
      <c r="M4301">
        <v>0.99675670000000005</v>
      </c>
      <c r="N4301">
        <v>-8.6023319999999903E-3</v>
      </c>
      <c r="O4301">
        <v>8.0012899999999901E-2</v>
      </c>
      <c r="P4301">
        <v>0.97114880000000003</v>
      </c>
      <c r="Q4301">
        <v>0.21573049999999999</v>
      </c>
      <c r="R4301">
        <v>0.1016396</v>
      </c>
      <c r="S4301">
        <v>3.0175169999999998</v>
      </c>
      <c r="T4301">
        <v>5.1230190000000004E-3</v>
      </c>
      <c r="U4301">
        <v>0.67932130000000002</v>
      </c>
      <c r="V4301">
        <v>-2.4291699999999999E-2</v>
      </c>
      <c r="W4301">
        <v>0.2240463</v>
      </c>
      <c r="X4301">
        <v>0.97427569999999997</v>
      </c>
      <c r="Y4301">
        <v>-0.14086750000000001</v>
      </c>
      <c r="Z4301">
        <v>1.310952E-3</v>
      </c>
      <c r="AA4301">
        <v>0.99002760000000001</v>
      </c>
      <c r="AB4301">
        <v>31</v>
      </c>
      <c r="AC4301">
        <v>93.264700000000005</v>
      </c>
      <c r="AD4301">
        <v>0.158994</v>
      </c>
      <c r="AE4301">
        <v>21.042249999999999</v>
      </c>
      <c r="AF4301">
        <v>-13.5120872607328</v>
      </c>
      <c r="AG4301">
        <v>0.158994</v>
      </c>
      <c r="AH4301">
        <v>94.649107185627898</v>
      </c>
      <c r="AI4301">
        <v>89.904719198746406</v>
      </c>
      <c r="AJ4301">
        <v>98.124636283109794</v>
      </c>
      <c r="AK4301">
        <v>95.608866075642695</v>
      </c>
      <c r="AL4301">
        <v>77.053196287938903</v>
      </c>
      <c r="AM4301">
        <v>91.428264693484095</v>
      </c>
      <c r="AN4301">
        <v>0.99999998542153501</v>
      </c>
    </row>
    <row r="4302" spans="1:40" x14ac:dyDescent="0.25">
      <c r="A4302" t="str">
        <f>"20190303170857010"</f>
        <v>20190303170857010</v>
      </c>
      <c r="B4302" t="str">
        <f>"1551604136997701"</f>
        <v>1551604136997701</v>
      </c>
      <c r="C4302" t="s">
        <v>40</v>
      </c>
      <c r="D4302">
        <v>4.7246579999999998</v>
      </c>
      <c r="E4302">
        <v>0.45755889999999999</v>
      </c>
      <c r="F4302" t="s">
        <v>106</v>
      </c>
      <c r="G4302">
        <v>-280.86259999999999</v>
      </c>
      <c r="H4302">
        <v>1.2772190000000001</v>
      </c>
      <c r="I4302">
        <v>36.524560000000001</v>
      </c>
      <c r="J4302">
        <v>-373.84140000000002</v>
      </c>
      <c r="K4302">
        <v>1.1217900000000001</v>
      </c>
      <c r="L4302">
        <v>15.267910000000001</v>
      </c>
      <c r="M4302">
        <v>0.99666319999999997</v>
      </c>
      <c r="N4302">
        <v>-8.6103289999999999E-3</v>
      </c>
      <c r="O4302">
        <v>8.1170279999999997E-2</v>
      </c>
      <c r="P4302">
        <v>0.97094400000000003</v>
      </c>
      <c r="Q4302">
        <v>0.21657850000000001</v>
      </c>
      <c r="R4302">
        <v>0.1017914</v>
      </c>
      <c r="S4302">
        <v>3.0159609999999999</v>
      </c>
      <c r="T4302">
        <v>5.0230029999999998E-3</v>
      </c>
      <c r="U4302">
        <v>0.68817139999999999</v>
      </c>
      <c r="V4302">
        <v>-2.3267659999999999E-2</v>
      </c>
      <c r="W4302">
        <v>0.2249101</v>
      </c>
      <c r="X4302">
        <v>0.97410169999999996</v>
      </c>
      <c r="Y4302">
        <v>-0.142590299999999</v>
      </c>
      <c r="Z4302">
        <v>1.32973799999999E-3</v>
      </c>
      <c r="AA4302">
        <v>0.98978089999999996</v>
      </c>
      <c r="AB4302">
        <v>31</v>
      </c>
      <c r="AC4302">
        <v>92.978800000000007</v>
      </c>
      <c r="AD4302">
        <v>0.15542900000000001</v>
      </c>
      <c r="AE4302">
        <v>21.25665</v>
      </c>
      <c r="AF4302">
        <v>-13.639073002659799</v>
      </c>
      <c r="AG4302">
        <v>0.15542900000000001</v>
      </c>
      <c r="AH4302">
        <v>94.397191643263398</v>
      </c>
      <c r="AI4302">
        <v>89.906629714644197</v>
      </c>
      <c r="AJ4302">
        <v>98.221541752153598</v>
      </c>
      <c r="AK4302">
        <v>95.377556378221996</v>
      </c>
      <c r="AL4302">
        <v>77.002408612573802</v>
      </c>
      <c r="AM4302">
        <v>91.368322487608495</v>
      </c>
      <c r="AN4302">
        <v>1.00000002951338</v>
      </c>
    </row>
    <row r="4303" spans="1:40" x14ac:dyDescent="0.25">
      <c r="A4303" t="str">
        <f>"20190303170857032"</f>
        <v>20190303170857032</v>
      </c>
      <c r="B4303" t="str">
        <f>"1551604137027956"</f>
        <v>1551604137027956</v>
      </c>
      <c r="C4303" t="s">
        <v>40</v>
      </c>
      <c r="D4303">
        <v>4.7047189999999999</v>
      </c>
      <c r="E4303">
        <v>0.4580148</v>
      </c>
      <c r="F4303" t="s">
        <v>106</v>
      </c>
      <c r="G4303">
        <v>-280.86259999999999</v>
      </c>
      <c r="H4303">
        <v>1.3368150000000001</v>
      </c>
      <c r="I4303">
        <v>36.523240000000001</v>
      </c>
      <c r="J4303">
        <v>-373.53820000000002</v>
      </c>
      <c r="K4303">
        <v>1.1216839999999999</v>
      </c>
      <c r="L4303">
        <v>15.29379</v>
      </c>
      <c r="M4303">
        <v>0.99657309999999999</v>
      </c>
      <c r="N4303">
        <v>-8.6266780000000005E-3</v>
      </c>
      <c r="O4303">
        <v>8.2266130000000007E-2</v>
      </c>
      <c r="P4303">
        <v>0.97085480000000002</v>
      </c>
      <c r="Q4303">
        <v>0.2171573</v>
      </c>
      <c r="R4303">
        <v>0.10141</v>
      </c>
      <c r="S4303">
        <v>3.01593</v>
      </c>
      <c r="T4303">
        <v>6.974816E-3</v>
      </c>
      <c r="U4303">
        <v>0.68945310000000004</v>
      </c>
      <c r="V4303">
        <v>-2.1760040000000001E-2</v>
      </c>
      <c r="W4303">
        <v>0.2255141</v>
      </c>
      <c r="X4303">
        <v>0.97399690000000005</v>
      </c>
      <c r="Y4303">
        <v>-0.141904799999999</v>
      </c>
      <c r="Z4303">
        <v>1.3480510000000001E-3</v>
      </c>
      <c r="AA4303">
        <v>0.98987939999999996</v>
      </c>
      <c r="AB4303">
        <v>31</v>
      </c>
      <c r="AC4303">
        <v>92.675600000000003</v>
      </c>
      <c r="AD4303">
        <v>0.21513099999999899</v>
      </c>
      <c r="AE4303">
        <v>21.22945</v>
      </c>
      <c r="AF4303">
        <v>-13.5330695896034</v>
      </c>
      <c r="AG4303">
        <v>0.21513099999999899</v>
      </c>
      <c r="AH4303">
        <v>94.107490924803599</v>
      </c>
      <c r="AI4303">
        <v>89.870354945695496</v>
      </c>
      <c r="AJ4303">
        <v>98.183282644734206</v>
      </c>
      <c r="AK4303">
        <v>95.075812392144201</v>
      </c>
      <c r="AL4303">
        <v>76.966889538598096</v>
      </c>
      <c r="AM4303">
        <v>91.279830653595795</v>
      </c>
      <c r="AN4303">
        <v>1.0000000349246101</v>
      </c>
    </row>
    <row r="4304" spans="1:40" x14ac:dyDescent="0.25">
      <c r="A4304" t="str">
        <f>"20190303170857056"</f>
        <v>20190303170857056</v>
      </c>
      <c r="B4304" t="str">
        <f>"1551604137047476"</f>
        <v>1551604137047476</v>
      </c>
      <c r="C4304" t="s">
        <v>40</v>
      </c>
      <c r="D4304">
        <v>4.6323239999999997</v>
      </c>
      <c r="E4304">
        <v>0.45829399999999998</v>
      </c>
      <c r="F4304" t="s">
        <v>106</v>
      </c>
      <c r="G4304">
        <v>-280.86259999999999</v>
      </c>
      <c r="H4304">
        <v>1.329215</v>
      </c>
      <c r="I4304">
        <v>36.342199999999998</v>
      </c>
      <c r="J4304">
        <v>-373.20530000000002</v>
      </c>
      <c r="K4304">
        <v>1.1215649999999999</v>
      </c>
      <c r="L4304">
        <v>15.322419999999999</v>
      </c>
      <c r="M4304">
        <v>0.99648650000000005</v>
      </c>
      <c r="N4304">
        <v>-8.6546969999999994E-3</v>
      </c>
      <c r="O4304">
        <v>8.330543E-2</v>
      </c>
      <c r="P4304">
        <v>0.97099199999999997</v>
      </c>
      <c r="Q4304">
        <v>0.21657290000000001</v>
      </c>
      <c r="R4304">
        <v>0.10134410000000001</v>
      </c>
      <c r="S4304">
        <v>3.0169679999999999</v>
      </c>
      <c r="T4304">
        <v>6.7560669999999897E-3</v>
      </c>
      <c r="U4304">
        <v>0.68521119999999902</v>
      </c>
      <c r="V4304">
        <v>-2.0595100000000002E-2</v>
      </c>
      <c r="W4304">
        <v>0.2249678</v>
      </c>
      <c r="X4304">
        <v>0.97414849999999997</v>
      </c>
      <c r="Y4304">
        <v>-0.13947479999999901</v>
      </c>
      <c r="Z4304">
        <v>1.3548270000000001E-3</v>
      </c>
      <c r="AA4304">
        <v>0.99022469999999996</v>
      </c>
      <c r="AB4304">
        <v>31</v>
      </c>
      <c r="AC4304">
        <v>92.342699999999994</v>
      </c>
      <c r="AD4304">
        <v>0.20765</v>
      </c>
      <c r="AE4304">
        <v>21.019780000000001</v>
      </c>
      <c r="AF4304">
        <v>-13.2537110572339</v>
      </c>
      <c r="AG4304">
        <v>0.20765</v>
      </c>
      <c r="AH4304">
        <v>93.772374937007001</v>
      </c>
      <c r="AI4304">
        <v>89.8743727604014</v>
      </c>
      <c r="AJ4304">
        <v>98.044851177723601</v>
      </c>
      <c r="AK4304">
        <v>94.704605361290504</v>
      </c>
      <c r="AL4304">
        <v>76.999015101501101</v>
      </c>
      <c r="AM4304">
        <v>91.211146499853996</v>
      </c>
      <c r="AN4304">
        <v>0.99999998461654904</v>
      </c>
    </row>
    <row r="4305" spans="1:40" x14ac:dyDescent="0.25">
      <c r="A4305" t="str">
        <f>"20190303170857078"</f>
        <v>20190303170857078</v>
      </c>
      <c r="B4305" t="str">
        <f>"1551604137067972"</f>
        <v>1551604137067972</v>
      </c>
      <c r="C4305" t="s">
        <v>40</v>
      </c>
      <c r="D4305">
        <v>4.6934040000000001</v>
      </c>
      <c r="E4305">
        <v>0.45861590000000002</v>
      </c>
      <c r="F4305" t="s">
        <v>106</v>
      </c>
      <c r="G4305">
        <v>-280.86259999999999</v>
      </c>
      <c r="H4305">
        <v>1.206861</v>
      </c>
      <c r="I4305">
        <v>36.205460000000002</v>
      </c>
      <c r="J4305">
        <v>-372.90069999999997</v>
      </c>
      <c r="K4305">
        <v>1.1214599999999999</v>
      </c>
      <c r="L4305">
        <v>15.348789999999999</v>
      </c>
      <c r="M4305">
        <v>0.99641959999999996</v>
      </c>
      <c r="N4305">
        <v>-8.6886040000000008E-3</v>
      </c>
      <c r="O4305">
        <v>8.4099289999999993E-2</v>
      </c>
      <c r="P4305">
        <v>0.97122660000000005</v>
      </c>
      <c r="Q4305">
        <v>0.2154442</v>
      </c>
      <c r="R4305">
        <v>0.1015035</v>
      </c>
      <c r="S4305">
        <v>3.017792</v>
      </c>
      <c r="T4305">
        <v>2.7875899999999999E-3</v>
      </c>
      <c r="U4305">
        <v>0.68246459999999998</v>
      </c>
      <c r="V4305">
        <v>-1.98909E-2</v>
      </c>
      <c r="W4305">
        <v>0.22388130000000001</v>
      </c>
      <c r="X4305">
        <v>0.97441339999999999</v>
      </c>
      <c r="Y4305">
        <v>-0.13776859999999999</v>
      </c>
      <c r="Z4305">
        <v>1.3436050000000001E-3</v>
      </c>
      <c r="AA4305">
        <v>0.9904636</v>
      </c>
      <c r="AB4305">
        <v>31</v>
      </c>
      <c r="AC4305">
        <v>92.0381</v>
      </c>
      <c r="AD4305">
        <v>8.5400999999999797E-2</v>
      </c>
      <c r="AE4305">
        <v>20.856669999999902</v>
      </c>
      <c r="AF4305">
        <v>-13.0421362171766</v>
      </c>
      <c r="AG4305">
        <v>8.5400999999999797E-2</v>
      </c>
      <c r="AH4305">
        <v>93.466039989655201</v>
      </c>
      <c r="AI4305">
        <v>89.948150547535406</v>
      </c>
      <c r="AJ4305">
        <v>97.943690201427003</v>
      </c>
      <c r="AK4305">
        <v>94.371633671278602</v>
      </c>
      <c r="AL4305">
        <v>77.062896420470807</v>
      </c>
      <c r="AM4305">
        <v>91.169428048996494</v>
      </c>
      <c r="AN4305">
        <v>0.99999997924602901</v>
      </c>
    </row>
    <row r="4306" spans="1:40" x14ac:dyDescent="0.25">
      <c r="A4306" t="str">
        <f>"20190303170857099"</f>
        <v>20190303170857099</v>
      </c>
      <c r="B4306" t="str">
        <f>"1551604137087493"</f>
        <v>1551604137087493</v>
      </c>
      <c r="C4306" t="s">
        <v>40</v>
      </c>
      <c r="D4306">
        <v>4.6831620000000003</v>
      </c>
      <c r="E4306">
        <v>0.45890920000000002</v>
      </c>
      <c r="F4306" t="s">
        <v>106</v>
      </c>
      <c r="G4306">
        <v>-280.86259999999999</v>
      </c>
      <c r="H4306">
        <v>1.0329759999999999</v>
      </c>
      <c r="I4306">
        <v>36.088729999999998</v>
      </c>
      <c r="J4306">
        <v>-372.60770000000002</v>
      </c>
      <c r="K4306">
        <v>1.121346</v>
      </c>
      <c r="L4306">
        <v>15.37421</v>
      </c>
      <c r="M4306">
        <v>0.99636769999999997</v>
      </c>
      <c r="N4306">
        <v>-8.7264390000000008E-3</v>
      </c>
      <c r="O4306">
        <v>8.4707859999999996E-2</v>
      </c>
      <c r="P4306">
        <v>0.97129770000000004</v>
      </c>
      <c r="Q4306">
        <v>0.21519050000000001</v>
      </c>
      <c r="R4306">
        <v>0.1013604</v>
      </c>
      <c r="S4306">
        <v>3.0184329999999999</v>
      </c>
      <c r="T4306">
        <v>-2.9017930000000002E-3</v>
      </c>
      <c r="U4306">
        <v>0.6801758</v>
      </c>
      <c r="V4306">
        <v>-1.9080110000000001E-2</v>
      </c>
      <c r="W4306">
        <v>0.22367219999999999</v>
      </c>
      <c r="X4306">
        <v>0.97447760000000005</v>
      </c>
      <c r="Y4306">
        <v>-0.1364012</v>
      </c>
      <c r="Z4306">
        <v>1.3196079999999999E-3</v>
      </c>
      <c r="AA4306">
        <v>0.9906528</v>
      </c>
      <c r="AB4306">
        <v>31</v>
      </c>
      <c r="AC4306">
        <v>91.745099999999994</v>
      </c>
      <c r="AD4306">
        <v>-8.8369999999999796E-2</v>
      </c>
      <c r="AE4306">
        <v>20.71452</v>
      </c>
      <c r="AF4306">
        <v>-12.8682251075665</v>
      </c>
      <c r="AG4306">
        <v>-8.8369999999999796E-2</v>
      </c>
      <c r="AH4306">
        <v>93.169994509650294</v>
      </c>
      <c r="AI4306">
        <v>90.053832930608806</v>
      </c>
      <c r="AJ4306">
        <v>97.863687670670302</v>
      </c>
      <c r="AK4306">
        <v>94.054489013572194</v>
      </c>
      <c r="AL4306">
        <v>77.075188287852399</v>
      </c>
      <c r="AM4306">
        <v>91.121698545482303</v>
      </c>
      <c r="AN4306">
        <v>0.99999994827610394</v>
      </c>
    </row>
    <row r="4307" spans="1:40" x14ac:dyDescent="0.25">
      <c r="A4307" t="str">
        <f>"20190303170857122"</f>
        <v>20190303170857122</v>
      </c>
      <c r="B4307" t="str">
        <f>"1551604137107988"</f>
        <v>1551604137107988</v>
      </c>
      <c r="C4307" t="s">
        <v>40</v>
      </c>
      <c r="D4307">
        <v>4.6397199999999996</v>
      </c>
      <c r="E4307">
        <v>0.45904869999999998</v>
      </c>
      <c r="F4307" t="s">
        <v>106</v>
      </c>
      <c r="G4307">
        <v>-280.86259999999999</v>
      </c>
      <c r="H4307">
        <v>0.97119710000000004</v>
      </c>
      <c r="I4307">
        <v>35.980370000000001</v>
      </c>
      <c r="J4307">
        <v>-372.28</v>
      </c>
      <c r="K4307">
        <v>1.121202</v>
      </c>
      <c r="L4307">
        <v>15.402679999999901</v>
      </c>
      <c r="M4307">
        <v>0.99632529999999997</v>
      </c>
      <c r="N4307">
        <v>-8.7762610000000005E-3</v>
      </c>
      <c r="O4307">
        <v>8.5199129999999998E-2</v>
      </c>
      <c r="P4307">
        <v>0.97143729999999995</v>
      </c>
      <c r="Q4307">
        <v>0.21475649999999999</v>
      </c>
      <c r="R4307">
        <v>0.1009399</v>
      </c>
      <c r="S4307">
        <v>3.0189819999999998</v>
      </c>
      <c r="T4307">
        <v>-4.940748E-3</v>
      </c>
      <c r="U4307">
        <v>0.67807010000000001</v>
      </c>
      <c r="V4307">
        <v>-1.8086379999999999E-2</v>
      </c>
      <c r="W4307">
        <v>0.22329570000000001</v>
      </c>
      <c r="X4307">
        <v>0.97458290000000003</v>
      </c>
      <c r="Y4307">
        <v>-0.13521540000000001</v>
      </c>
      <c r="Z4307">
        <v>1.313687E-3</v>
      </c>
      <c r="AA4307">
        <v>0.99081529999999995</v>
      </c>
      <c r="AB4307">
        <v>31</v>
      </c>
      <c r="AC4307">
        <v>91.417400000000001</v>
      </c>
      <c r="AD4307">
        <v>-0.1500049</v>
      </c>
      <c r="AE4307">
        <v>20.57769</v>
      </c>
      <c r="AF4307">
        <v>-12.713847159163899</v>
      </c>
      <c r="AG4307">
        <v>-0.1500049</v>
      </c>
      <c r="AH4307">
        <v>92.838006420552006</v>
      </c>
      <c r="AI4307">
        <v>90.091720657646803</v>
      </c>
      <c r="AJ4307">
        <v>97.797953735644498</v>
      </c>
      <c r="AK4307">
        <v>93.704641545651597</v>
      </c>
      <c r="AL4307">
        <v>77.097320037848604</v>
      </c>
      <c r="AM4307">
        <v>91.063177181100201</v>
      </c>
      <c r="AN4307">
        <v>0.999999957876201</v>
      </c>
    </row>
    <row r="4308" spans="1:40" x14ac:dyDescent="0.25">
      <c r="A4308" t="str">
        <f>"20190303170857148"</f>
        <v>20190303170857148</v>
      </c>
      <c r="B4308" t="str">
        <f>"1551604137138245"</f>
        <v>1551604137138245</v>
      </c>
      <c r="C4308" t="s">
        <v>40</v>
      </c>
      <c r="D4308">
        <v>4.6497279999999996</v>
      </c>
      <c r="E4308">
        <v>0.45923999999999998</v>
      </c>
      <c r="F4308" t="s">
        <v>106</v>
      </c>
      <c r="G4308">
        <v>-280.86259999999999</v>
      </c>
      <c r="H4308">
        <v>0.92147250000000003</v>
      </c>
      <c r="I4308">
        <v>35.887279999999997</v>
      </c>
      <c r="J4308">
        <v>-371.94130000000001</v>
      </c>
      <c r="K4308">
        <v>1.1210560000000001</v>
      </c>
      <c r="L4308">
        <v>15.43207</v>
      </c>
      <c r="M4308">
        <v>0.99629769999999895</v>
      </c>
      <c r="N4308">
        <v>-8.84190199999999E-3</v>
      </c>
      <c r="O4308">
        <v>8.5515800000000003E-2</v>
      </c>
      <c r="P4308">
        <v>0.97163770000000005</v>
      </c>
      <c r="Q4308">
        <v>0.21417639999999999</v>
      </c>
      <c r="R4308">
        <v>0.1002458</v>
      </c>
      <c r="S4308">
        <v>3.0193789999999998</v>
      </c>
      <c r="T4308">
        <v>-6.5966840000000002E-3</v>
      </c>
      <c r="U4308">
        <v>0.67657469999999997</v>
      </c>
      <c r="V4308">
        <v>-1.6980970000000001E-2</v>
      </c>
      <c r="W4308">
        <v>0.2227886</v>
      </c>
      <c r="X4308">
        <v>0.97471890000000005</v>
      </c>
      <c r="Y4308">
        <v>-0.13440460000000001</v>
      </c>
      <c r="Z4308">
        <v>1.311956E-3</v>
      </c>
      <c r="AA4308">
        <v>0.99092570000000002</v>
      </c>
      <c r="AB4308">
        <v>31</v>
      </c>
      <c r="AC4308">
        <v>91.078699999999998</v>
      </c>
      <c r="AD4308">
        <v>-0.1995835</v>
      </c>
      <c r="AE4308">
        <v>20.455209999999902</v>
      </c>
      <c r="AF4308">
        <v>-12.591243921986401</v>
      </c>
      <c r="AG4308">
        <v>-0.1995835</v>
      </c>
      <c r="AH4308">
        <v>92.493924772011198</v>
      </c>
      <c r="AI4308">
        <v>90.122502841321605</v>
      </c>
      <c r="AJ4308">
        <v>97.752051547731696</v>
      </c>
      <c r="AK4308">
        <v>93.347230150695395</v>
      </c>
      <c r="AL4308">
        <v>77.127126429817594</v>
      </c>
      <c r="AM4308">
        <v>90.998071854735798</v>
      </c>
      <c r="AN4308">
        <v>1.00000002382465</v>
      </c>
    </row>
    <row r="4309" spans="1:40" x14ac:dyDescent="0.25">
      <c r="A4309" t="str">
        <f>"20190303170857169"</f>
        <v>20190303170857169</v>
      </c>
      <c r="B4309" t="str">
        <f>"1551604137157766"</f>
        <v>1551604137157766</v>
      </c>
      <c r="C4309" t="s">
        <v>40</v>
      </c>
      <c r="D4309">
        <v>4.6400309999999996</v>
      </c>
      <c r="E4309">
        <v>0.4592948</v>
      </c>
      <c r="F4309" t="s">
        <v>106</v>
      </c>
      <c r="G4309">
        <v>-280.86259999999999</v>
      </c>
      <c r="H4309">
        <v>0.80791950000000001</v>
      </c>
      <c r="I4309">
        <v>35.712569999999999</v>
      </c>
      <c r="J4309">
        <v>-371.63659999999999</v>
      </c>
      <c r="K4309">
        <v>1.120935</v>
      </c>
      <c r="L4309">
        <v>15.45844</v>
      </c>
      <c r="M4309">
        <v>0.99628720000000004</v>
      </c>
      <c r="N4309">
        <v>-8.9271519999999903E-3</v>
      </c>
      <c r="O4309">
        <v>8.5628930000000006E-2</v>
      </c>
      <c r="P4309">
        <v>0.97166350000000001</v>
      </c>
      <c r="Q4309">
        <v>0.2143494</v>
      </c>
      <c r="R4309">
        <v>9.9623429999999999E-2</v>
      </c>
      <c r="S4309">
        <v>3.020508</v>
      </c>
      <c r="T4309">
        <v>-1.038468E-2</v>
      </c>
      <c r="U4309">
        <v>0.67257690000000003</v>
      </c>
      <c r="V4309">
        <v>-1.6171709999999999E-2</v>
      </c>
      <c r="W4309">
        <v>0.22305079999999999</v>
      </c>
      <c r="X4309">
        <v>0.97467269999999995</v>
      </c>
      <c r="Y4309">
        <v>-0.13296189999999999</v>
      </c>
      <c r="Z4309">
        <v>1.294316E-3</v>
      </c>
      <c r="AA4309">
        <v>0.99112029999999995</v>
      </c>
      <c r="AB4309">
        <v>31</v>
      </c>
      <c r="AC4309">
        <v>90.774000000000001</v>
      </c>
      <c r="AD4309">
        <v>-0.3130155</v>
      </c>
      <c r="AE4309">
        <v>20.25413</v>
      </c>
      <c r="AF4309">
        <v>-12.406402628161301</v>
      </c>
      <c r="AG4309">
        <v>-0.3130155</v>
      </c>
      <c r="AH4309">
        <v>92.173933830599196</v>
      </c>
      <c r="AI4309">
        <v>90.192832381479306</v>
      </c>
      <c r="AJ4309">
        <v>97.665810954147801</v>
      </c>
      <c r="AK4309">
        <v>93.005649735287406</v>
      </c>
      <c r="AL4309">
        <v>77.111715746316705</v>
      </c>
      <c r="AM4309">
        <v>90.950560858612704</v>
      </c>
      <c r="AN4309">
        <v>1.00000002785512</v>
      </c>
    </row>
    <row r="4310" spans="1:40" x14ac:dyDescent="0.25">
      <c r="A4310" t="str">
        <f>"20190303170857189"</f>
        <v>20190303170857189</v>
      </c>
      <c r="B4310" t="str">
        <f>"1551604137178260"</f>
        <v>1551604137178260</v>
      </c>
      <c r="C4310" t="s">
        <v>40</v>
      </c>
      <c r="D4310">
        <v>4.6147530000000003</v>
      </c>
      <c r="E4310">
        <v>0.45940609999999998</v>
      </c>
      <c r="F4310" t="s">
        <v>106</v>
      </c>
      <c r="G4310">
        <v>-280.86259999999999</v>
      </c>
      <c r="H4310">
        <v>0.77515979999999995</v>
      </c>
      <c r="I4310">
        <v>35.546309999999998</v>
      </c>
      <c r="J4310">
        <v>-371.3449</v>
      </c>
      <c r="K4310">
        <v>1.1208119999999999</v>
      </c>
      <c r="L4310">
        <v>15.48352</v>
      </c>
      <c r="M4310">
        <v>0.99629250000000003</v>
      </c>
      <c r="N4310">
        <v>-9.033157E-3</v>
      </c>
      <c r="O4310">
        <v>8.5555080000000006E-2</v>
      </c>
      <c r="P4310">
        <v>0.97154370000000001</v>
      </c>
      <c r="Q4310">
        <v>0.2152501</v>
      </c>
      <c r="R4310">
        <v>9.8844479999999998E-2</v>
      </c>
      <c r="S4310">
        <v>3.0214840000000001</v>
      </c>
      <c r="T4310">
        <v>-1.1509299999999899E-2</v>
      </c>
      <c r="U4310">
        <v>0.66864009999999996</v>
      </c>
      <c r="V4310">
        <v>-1.5401669999999999E-2</v>
      </c>
      <c r="W4310">
        <v>0.22405890000000001</v>
      </c>
      <c r="X4310">
        <v>0.97445389999999998</v>
      </c>
      <c r="Y4310">
        <v>-0.13173599999999999</v>
      </c>
      <c r="Z4310">
        <v>1.295231E-3</v>
      </c>
      <c r="AA4310">
        <v>0.99128400000000005</v>
      </c>
      <c r="AB4310">
        <v>31</v>
      </c>
      <c r="AC4310">
        <v>90.482299999999995</v>
      </c>
      <c r="AD4310">
        <v>-0.34565220000000002</v>
      </c>
      <c r="AE4310">
        <v>20.06279</v>
      </c>
      <c r="AF4310">
        <v>-12.2475160457304</v>
      </c>
      <c r="AG4310">
        <v>-0.34565220000000002</v>
      </c>
      <c r="AH4310">
        <v>91.865780139736103</v>
      </c>
      <c r="AI4310">
        <v>90.213688165936702</v>
      </c>
      <c r="AJ4310">
        <v>97.593874529144699</v>
      </c>
      <c r="AK4310">
        <v>92.679246249719398</v>
      </c>
      <c r="AL4310">
        <v>77.052455755987594</v>
      </c>
      <c r="AM4310">
        <v>90.905509452271602</v>
      </c>
      <c r="AN4310">
        <v>1.0000000026666001</v>
      </c>
    </row>
    <row r="4311" spans="1:40" x14ac:dyDescent="0.25">
      <c r="A4311" t="str">
        <f>"20190303170857212"</f>
        <v>20190303170857212</v>
      </c>
      <c r="B4311" t="str">
        <f>"1551604137207541"</f>
        <v>1551604137207541</v>
      </c>
      <c r="C4311" t="s">
        <v>40</v>
      </c>
      <c r="D4311">
        <v>4.5596800000000002</v>
      </c>
      <c r="E4311">
        <v>0.4591153</v>
      </c>
      <c r="F4311" t="s">
        <v>106</v>
      </c>
      <c r="G4311">
        <v>-280.86259999999999</v>
      </c>
      <c r="H4311">
        <v>0.81323809999999996</v>
      </c>
      <c r="I4311">
        <v>35.388719999999999</v>
      </c>
      <c r="J4311">
        <v>-371.0326</v>
      </c>
      <c r="K4311">
        <v>1.1206780000000001</v>
      </c>
      <c r="L4311">
        <v>15.510160000000001</v>
      </c>
      <c r="M4311">
        <v>0.99631590000000003</v>
      </c>
      <c r="N4311">
        <v>-9.1637309999999996E-3</v>
      </c>
      <c r="O4311">
        <v>8.5269910000000004E-2</v>
      </c>
      <c r="P4311">
        <v>0.97133840000000005</v>
      </c>
      <c r="Q4311">
        <v>0.2164644</v>
      </c>
      <c r="R4311">
        <v>9.8209389999999994E-2</v>
      </c>
      <c r="S4311">
        <v>3.022491</v>
      </c>
      <c r="T4311">
        <v>-1.0274169999999999E-2</v>
      </c>
      <c r="U4311">
        <v>0.66491699999999998</v>
      </c>
      <c r="V4311">
        <v>-1.497824E-2</v>
      </c>
      <c r="W4311">
        <v>0.22540360000000001</v>
      </c>
      <c r="X4311">
        <v>0.97415039999999997</v>
      </c>
      <c r="Y4311">
        <v>-0.13078609999999999</v>
      </c>
      <c r="Z4311">
        <v>1.3152210000000001E-3</v>
      </c>
      <c r="AA4311">
        <v>0.99140969999999995</v>
      </c>
      <c r="AB4311">
        <v>31</v>
      </c>
      <c r="AC4311">
        <v>90.17</v>
      </c>
      <c r="AD4311">
        <v>-0.30743989999999999</v>
      </c>
      <c r="AE4311">
        <v>19.87856</v>
      </c>
      <c r="AF4311">
        <v>-12.116910207175099</v>
      </c>
      <c r="AG4311">
        <v>-0.30743989999999999</v>
      </c>
      <c r="AH4311">
        <v>91.535662445104904</v>
      </c>
      <c r="AI4311">
        <v>90.190773855760199</v>
      </c>
      <c r="AJ4311">
        <v>97.540611523134203</v>
      </c>
      <c r="AK4311">
        <v>92.334671340320696</v>
      </c>
      <c r="AL4311">
        <v>76.973388455441693</v>
      </c>
      <c r="AM4311">
        <v>90.880893050314796</v>
      </c>
      <c r="AN4311">
        <v>1.0000000661933</v>
      </c>
    </row>
    <row r="4312" spans="1:40" x14ac:dyDescent="0.25">
      <c r="A4312" t="str">
        <f>"20190303170857236"</f>
        <v>20190303170857236</v>
      </c>
      <c r="B4312" t="str">
        <f>"1551604137228037"</f>
        <v>1551604137228037</v>
      </c>
      <c r="C4312" t="s">
        <v>40</v>
      </c>
      <c r="D4312">
        <v>4.5798500000000004</v>
      </c>
      <c r="E4312">
        <v>0.45876800000000001</v>
      </c>
      <c r="F4312" t="s">
        <v>106</v>
      </c>
      <c r="G4312">
        <v>-280.86259999999999</v>
      </c>
      <c r="H4312">
        <v>0.92716980000000004</v>
      </c>
      <c r="I4312">
        <v>35.34393</v>
      </c>
      <c r="J4312">
        <v>-370.69279999999998</v>
      </c>
      <c r="K4312">
        <v>1.1205350000000001</v>
      </c>
      <c r="L4312">
        <v>15.538819999999999</v>
      </c>
      <c r="M4312">
        <v>0.9963573</v>
      </c>
      <c r="N4312">
        <v>-9.3094349999999996E-3</v>
      </c>
      <c r="O4312">
        <v>8.4767419999999996E-2</v>
      </c>
      <c r="P4312">
        <v>0.97139500000000001</v>
      </c>
      <c r="Q4312">
        <v>0.21643419999999999</v>
      </c>
      <c r="R4312">
        <v>9.7713919999999996E-2</v>
      </c>
      <c r="S4312">
        <v>3.0227659999999998</v>
      </c>
      <c r="T4312">
        <v>-6.4868929999999997E-3</v>
      </c>
      <c r="U4312">
        <v>0.66488649999999905</v>
      </c>
      <c r="V4312">
        <v>-1.4880279999999999E-2</v>
      </c>
      <c r="W4312">
        <v>0.22552150000000001</v>
      </c>
      <c r="X4312">
        <v>0.97412460000000001</v>
      </c>
      <c r="Y4312">
        <v>-0.1312594</v>
      </c>
      <c r="Z4312">
        <v>1.3605850000000001E-3</v>
      </c>
      <c r="AA4312">
        <v>0.99134710000000004</v>
      </c>
      <c r="AB4312">
        <v>31</v>
      </c>
      <c r="AC4312">
        <v>89.830199999999905</v>
      </c>
      <c r="AD4312">
        <v>-0.19336519999999999</v>
      </c>
      <c r="AE4312">
        <v>19.805109999999999</v>
      </c>
      <c r="AF4312">
        <v>-12.1187629325169</v>
      </c>
      <c r="AG4312">
        <v>-0.19336519999999999</v>
      </c>
      <c r="AH4312">
        <v>91.185349807038904</v>
      </c>
      <c r="AI4312">
        <v>90.120440689016206</v>
      </c>
      <c r="AJ4312">
        <v>97.570389469624303</v>
      </c>
      <c r="AK4312">
        <v>91.987335131240599</v>
      </c>
      <c r="AL4312">
        <v>76.966454578551406</v>
      </c>
      <c r="AM4312">
        <v>90.875155947389402</v>
      </c>
      <c r="AN4312">
        <v>1.0000000530101401</v>
      </c>
    </row>
    <row r="4313" spans="1:40" x14ac:dyDescent="0.25">
      <c r="A4313" t="str">
        <f>"20190303170857257"</f>
        <v>20190303170857257</v>
      </c>
      <c r="B4313" t="str">
        <f>"1551604137247557"</f>
        <v>1551604137247557</v>
      </c>
      <c r="C4313" t="s">
        <v>40</v>
      </c>
      <c r="D4313">
        <v>4.5671099999999996</v>
      </c>
      <c r="E4313">
        <v>0.45851839999999999</v>
      </c>
      <c r="F4313" t="s">
        <v>106</v>
      </c>
      <c r="G4313">
        <v>-280.86259999999999</v>
      </c>
      <c r="H4313">
        <v>0.95994000000000002</v>
      </c>
      <c r="I4313">
        <v>35.35134</v>
      </c>
      <c r="J4313">
        <v>-370.40010000000001</v>
      </c>
      <c r="K4313">
        <v>1.1204069999999999</v>
      </c>
      <c r="L4313">
        <v>15.563230000000001</v>
      </c>
      <c r="M4313">
        <v>0.99640649999999997</v>
      </c>
      <c r="N4313">
        <v>-9.4351959999999999E-3</v>
      </c>
      <c r="O4313">
        <v>8.4173020000000001E-2</v>
      </c>
      <c r="P4313">
        <v>0.97152629999999995</v>
      </c>
      <c r="Q4313">
        <v>0.2162712</v>
      </c>
      <c r="R4313">
        <v>9.6764630000000004E-2</v>
      </c>
      <c r="S4313">
        <v>3.022491</v>
      </c>
      <c r="T4313">
        <v>-5.4033989999999997E-3</v>
      </c>
      <c r="U4313">
        <v>0.66662600000000005</v>
      </c>
      <c r="V4313">
        <v>-1.4427509999999999E-2</v>
      </c>
      <c r="W4313">
        <v>0.2254862</v>
      </c>
      <c r="X4313">
        <v>0.97413950000000005</v>
      </c>
      <c r="Y4313">
        <v>-0.13241420000000001</v>
      </c>
      <c r="Z4313">
        <v>1.388174E-3</v>
      </c>
      <c r="AA4313">
        <v>0.99119349999999995</v>
      </c>
      <c r="AB4313">
        <v>31</v>
      </c>
      <c r="AC4313">
        <v>89.537499999999994</v>
      </c>
      <c r="AD4313">
        <v>-0.160466999999999</v>
      </c>
      <c r="AE4313">
        <v>19.78811</v>
      </c>
      <c r="AF4313">
        <v>-12.180864344703799</v>
      </c>
      <c r="AG4313">
        <v>-0.160466999999999</v>
      </c>
      <c r="AH4313">
        <v>90.885137664848102</v>
      </c>
      <c r="AI4313">
        <v>90.100264947483097</v>
      </c>
      <c r="AJ4313">
        <v>97.633567144150803</v>
      </c>
      <c r="AK4313">
        <v>91.697914121317794</v>
      </c>
      <c r="AL4313">
        <v>76.968529524525593</v>
      </c>
      <c r="AM4313">
        <v>90.848518100966203</v>
      </c>
      <c r="AN4313">
        <v>0.99999997244774397</v>
      </c>
    </row>
    <row r="4314" spans="1:40" x14ac:dyDescent="0.25">
      <c r="A4314" t="str">
        <f>"20190303170857278"</f>
        <v>20190303170857278</v>
      </c>
      <c r="B4314" t="str">
        <f>"1551604137268052"</f>
        <v>1551604137268052</v>
      </c>
      <c r="C4314" t="s">
        <v>40</v>
      </c>
      <c r="D4314">
        <v>4.5486319999999996</v>
      </c>
      <c r="E4314">
        <v>0.45830680000000001</v>
      </c>
      <c r="F4314" t="s">
        <v>106</v>
      </c>
      <c r="G4314">
        <v>-280.80759999999998</v>
      </c>
      <c r="H4314">
        <v>0.96492480000000003</v>
      </c>
      <c r="I4314">
        <v>35.287869999999998</v>
      </c>
      <c r="J4314">
        <v>-370.09960000000001</v>
      </c>
      <c r="K4314">
        <v>1.1202810000000001</v>
      </c>
      <c r="L4314">
        <v>15.58792</v>
      </c>
      <c r="M4314">
        <v>0.99647090000000005</v>
      </c>
      <c r="N4314">
        <v>-9.5700509999999996E-3</v>
      </c>
      <c r="O4314">
        <v>8.3391900000000005E-2</v>
      </c>
      <c r="P4314">
        <v>0.97165829999999997</v>
      </c>
      <c r="Q4314">
        <v>0.2165869</v>
      </c>
      <c r="R4314">
        <v>9.4713060000000002E-2</v>
      </c>
      <c r="S4314">
        <v>3.0227970000000002</v>
      </c>
      <c r="T4314">
        <v>-5.2458050000000001E-3</v>
      </c>
      <c r="U4314">
        <v>0.6654968</v>
      </c>
      <c r="V4314">
        <v>-1.305395E-2</v>
      </c>
      <c r="W4314">
        <v>0.22593640000000001</v>
      </c>
      <c r="X4314">
        <v>0.97405459999999999</v>
      </c>
      <c r="Y4314">
        <v>-0.13281709999999999</v>
      </c>
      <c r="Z4314">
        <v>1.405564E-3</v>
      </c>
      <c r="AA4314">
        <v>0.99113960000000001</v>
      </c>
      <c r="AB4314">
        <v>32</v>
      </c>
      <c r="AC4314">
        <v>89.292000000000002</v>
      </c>
      <c r="AD4314">
        <v>-0.155356199999999</v>
      </c>
      <c r="AE4314">
        <v>19.699950000000001</v>
      </c>
      <c r="AF4314">
        <v>-12.1847198863511</v>
      </c>
      <c r="AG4314">
        <v>-0.155356199999999</v>
      </c>
      <c r="AH4314">
        <v>90.623582054589505</v>
      </c>
      <c r="AI4314">
        <v>90.097346214770994</v>
      </c>
      <c r="AJ4314">
        <v>97.657732413393703</v>
      </c>
      <c r="AK4314">
        <v>91.439188309294593</v>
      </c>
      <c r="AL4314">
        <v>76.942052223093498</v>
      </c>
      <c r="AM4314">
        <v>90.7678126752037</v>
      </c>
      <c r="AN4314">
        <v>1.00000001311836</v>
      </c>
    </row>
    <row r="4315" spans="1:40" x14ac:dyDescent="0.25">
      <c r="A4315" t="str">
        <f>"20190303170857300"</f>
        <v>20190303170857300</v>
      </c>
      <c r="B4315" t="str">
        <f>"1551604137287573"</f>
        <v>1551604137287573</v>
      </c>
      <c r="C4315" t="s">
        <v>40</v>
      </c>
      <c r="D4315">
        <v>4.5589170000000001</v>
      </c>
      <c r="E4315">
        <v>0.45807989999999998</v>
      </c>
      <c r="F4315" t="s">
        <v>106</v>
      </c>
      <c r="G4315">
        <v>-279.92320000000001</v>
      </c>
      <c r="H4315">
        <v>1.0019400000000001</v>
      </c>
      <c r="I4315">
        <v>35.287859999999903</v>
      </c>
      <c r="J4315">
        <v>-369.7946</v>
      </c>
      <c r="K4315">
        <v>1.1201460000000001</v>
      </c>
      <c r="L4315">
        <v>15.612550000000001</v>
      </c>
      <c r="M4315">
        <v>0.99655009999999999</v>
      </c>
      <c r="N4315">
        <v>-9.719966E-3</v>
      </c>
      <c r="O4315">
        <v>8.2423789999999997E-2</v>
      </c>
      <c r="P4315">
        <v>0.97167409999999999</v>
      </c>
      <c r="Q4315">
        <v>0.21724350000000001</v>
      </c>
      <c r="R4315">
        <v>9.3033370000000004E-2</v>
      </c>
      <c r="S4315">
        <v>3.0239560000000001</v>
      </c>
      <c r="T4315">
        <v>-3.968358E-3</v>
      </c>
      <c r="U4315">
        <v>0.66061400000000003</v>
      </c>
      <c r="V4315">
        <v>-1.2238779999999999E-2</v>
      </c>
      <c r="W4315">
        <v>0.22674130000000001</v>
      </c>
      <c r="X4315">
        <v>0.97387809999999997</v>
      </c>
      <c r="Y4315">
        <v>-0.13217370000000001</v>
      </c>
      <c r="Z4315">
        <v>1.4233309999999999E-3</v>
      </c>
      <c r="AA4315">
        <v>0.99122549999999998</v>
      </c>
      <c r="AB4315">
        <v>32</v>
      </c>
      <c r="AC4315">
        <v>89.871399999999994</v>
      </c>
      <c r="AD4315">
        <v>-0.11820599999999901</v>
      </c>
      <c r="AE4315">
        <v>19.67531</v>
      </c>
      <c r="AF4315">
        <v>-12.200445365846299</v>
      </c>
      <c r="AG4315">
        <v>-0.11820599999999901</v>
      </c>
      <c r="AH4315">
        <v>91.187211544072397</v>
      </c>
      <c r="AI4315">
        <v>90.073616498081094</v>
      </c>
      <c r="AJ4315">
        <v>97.620663654631201</v>
      </c>
      <c r="AK4315">
        <v>91.999849939914796</v>
      </c>
      <c r="AL4315">
        <v>76.894705702082504</v>
      </c>
      <c r="AM4315">
        <v>90.720001331350502</v>
      </c>
      <c r="AN4315">
        <v>0.99999997926059403</v>
      </c>
    </row>
    <row r="4316" spans="1:40" x14ac:dyDescent="0.25">
      <c r="A4316" t="str">
        <f>"20190303170857324"</f>
        <v>20190303170857324</v>
      </c>
      <c r="B4316" t="str">
        <f>"1551604137317829"</f>
        <v>1551604137317829</v>
      </c>
      <c r="C4316" t="s">
        <v>40</v>
      </c>
      <c r="D4316">
        <v>4.5667299999999997</v>
      </c>
      <c r="E4316">
        <v>0.4577524</v>
      </c>
      <c r="F4316" t="s">
        <v>106</v>
      </c>
      <c r="G4316">
        <v>-279.20069999999998</v>
      </c>
      <c r="H4316">
        <v>1.075305</v>
      </c>
      <c r="I4316">
        <v>35.28783</v>
      </c>
      <c r="J4316">
        <v>-369.45690000000002</v>
      </c>
      <c r="K4316">
        <v>1.1199939999999999</v>
      </c>
      <c r="L4316">
        <v>15.639250000000001</v>
      </c>
      <c r="M4316">
        <v>0.99665219999999999</v>
      </c>
      <c r="N4316">
        <v>-9.9033079999999996E-3</v>
      </c>
      <c r="O4316">
        <v>8.1158060000000004E-2</v>
      </c>
      <c r="P4316">
        <v>0.97202750000000004</v>
      </c>
      <c r="Q4316">
        <v>0.21670030000000001</v>
      </c>
      <c r="R4316">
        <v>9.0573589999999995E-2</v>
      </c>
      <c r="S4316">
        <v>3.024902</v>
      </c>
      <c r="T4316">
        <v>-1.4971489999999999E-3</v>
      </c>
      <c r="U4316">
        <v>0.65695190000000003</v>
      </c>
      <c r="V4316">
        <v>-1.0900429999999999E-2</v>
      </c>
      <c r="W4316">
        <v>0.2263809</v>
      </c>
      <c r="X4316">
        <v>0.97397789999999995</v>
      </c>
      <c r="Y4316">
        <v>-0.13222339999999999</v>
      </c>
      <c r="Z4316">
        <v>1.451971E-3</v>
      </c>
      <c r="AA4316">
        <v>0.99121890000000001</v>
      </c>
      <c r="AB4316">
        <v>32</v>
      </c>
      <c r="AC4316">
        <v>90.256200000000007</v>
      </c>
      <c r="AD4316">
        <v>-4.4689000000000201E-2</v>
      </c>
      <c r="AE4316">
        <v>19.648579999999999</v>
      </c>
      <c r="AF4316">
        <v>-12.258378733367101</v>
      </c>
      <c r="AG4316">
        <v>-4.4689000000000201E-2</v>
      </c>
      <c r="AH4316">
        <v>91.553134796541499</v>
      </c>
      <c r="AI4316">
        <v>90.027719895783505</v>
      </c>
      <c r="AJ4316">
        <v>97.626181204712097</v>
      </c>
      <c r="AK4316">
        <v>92.370159344623204</v>
      </c>
      <c r="AL4316">
        <v>76.915907199031594</v>
      </c>
      <c r="AM4316">
        <v>90.641208142661199</v>
      </c>
      <c r="AN4316">
        <v>1.0000000404736999</v>
      </c>
    </row>
    <row r="4317" spans="1:40" x14ac:dyDescent="0.25">
      <c r="A4317" t="str">
        <f>"20190303170857347"</f>
        <v>20190303170857347</v>
      </c>
      <c r="B4317" t="str">
        <f>"1551604137338324"</f>
        <v>1551604137338324</v>
      </c>
      <c r="C4317" t="s">
        <v>40</v>
      </c>
      <c r="D4317">
        <v>4.56691</v>
      </c>
      <c r="E4317">
        <v>0.45752219999999999</v>
      </c>
      <c r="F4317" t="s">
        <v>106</v>
      </c>
      <c r="G4317">
        <v>-278.26139999999998</v>
      </c>
      <c r="H4317">
        <v>1.037107</v>
      </c>
      <c r="I4317">
        <v>35.287849999999999</v>
      </c>
      <c r="J4317">
        <v>-369.13060000000002</v>
      </c>
      <c r="K4317">
        <v>1.119848</v>
      </c>
      <c r="L4317">
        <v>15.66446</v>
      </c>
      <c r="M4317">
        <v>0.99676399999999998</v>
      </c>
      <c r="N4317">
        <v>-1.010462E-2</v>
      </c>
      <c r="O4317">
        <v>7.9747419999999999E-2</v>
      </c>
      <c r="P4317">
        <v>0.97258849999999997</v>
      </c>
      <c r="Q4317">
        <v>0.2153446</v>
      </c>
      <c r="R4317">
        <v>8.7741959999999994E-2</v>
      </c>
      <c r="S4317">
        <v>3.0261840000000002</v>
      </c>
      <c r="T4317">
        <v>-2.7503969999999999E-3</v>
      </c>
      <c r="U4317">
        <v>0.65200809999999998</v>
      </c>
      <c r="V4317">
        <v>-9.3262429999999997E-3</v>
      </c>
      <c r="W4317">
        <v>0.22522519999999999</v>
      </c>
      <c r="X4317">
        <v>0.97426210000000002</v>
      </c>
      <c r="Y4317">
        <v>-0.13199149999999901</v>
      </c>
      <c r="Z4317">
        <v>1.46137E-3</v>
      </c>
      <c r="AA4317">
        <v>0.99124979999999996</v>
      </c>
      <c r="AB4317">
        <v>32</v>
      </c>
      <c r="AC4317">
        <v>90.869200000000006</v>
      </c>
      <c r="AD4317">
        <v>-8.2740999999999898E-2</v>
      </c>
      <c r="AE4317">
        <v>19.623390000000001</v>
      </c>
      <c r="AF4317">
        <v>-12.313921968983101</v>
      </c>
      <c r="AG4317">
        <v>-8.2740999999999898E-2</v>
      </c>
      <c r="AH4317">
        <v>92.1446828490065</v>
      </c>
      <c r="AI4317">
        <v>90.050995192561501</v>
      </c>
      <c r="AJ4317">
        <v>97.611727203875702</v>
      </c>
      <c r="AK4317">
        <v>92.963875229442095</v>
      </c>
      <c r="AL4317">
        <v>76.983878977996895</v>
      </c>
      <c r="AM4317">
        <v>90.548454098378301</v>
      </c>
      <c r="AN4317">
        <v>1.00000000450997</v>
      </c>
    </row>
    <row r="4318" spans="1:40" x14ac:dyDescent="0.25">
      <c r="A4318" t="str">
        <f>"20190303170857369"</f>
        <v>20190303170857369</v>
      </c>
      <c r="B4318" t="str">
        <f>"1551604137357844"</f>
        <v>1551604137357844</v>
      </c>
      <c r="C4318" t="s">
        <v>40</v>
      </c>
      <c r="D4318">
        <v>4.5610759999999999</v>
      </c>
      <c r="E4318">
        <v>0.45729530000000002</v>
      </c>
      <c r="F4318" t="s">
        <v>106</v>
      </c>
      <c r="G4318">
        <v>-276.96660000000003</v>
      </c>
      <c r="H4318">
        <v>0.90324309999999997</v>
      </c>
      <c r="I4318">
        <v>35.287889999999997</v>
      </c>
      <c r="J4318">
        <v>-368.82029999999997</v>
      </c>
      <c r="K4318">
        <v>1.1197330000000001</v>
      </c>
      <c r="L4318">
        <v>15.687810000000001</v>
      </c>
      <c r="M4318">
        <v>0.99688080000000001</v>
      </c>
      <c r="N4318">
        <v>-1.032449E-2</v>
      </c>
      <c r="O4318">
        <v>7.8242820000000005E-2</v>
      </c>
      <c r="P4318">
        <v>0.97306599999999999</v>
      </c>
      <c r="Q4318">
        <v>0.21428739999999999</v>
      </c>
      <c r="R4318">
        <v>8.4988949999999994E-2</v>
      </c>
      <c r="S4318">
        <v>3.0279850000000001</v>
      </c>
      <c r="T4318">
        <v>-7.1163179999999999E-3</v>
      </c>
      <c r="U4318">
        <v>0.64471440000000002</v>
      </c>
      <c r="V4318">
        <v>-7.9415559999999902E-3</v>
      </c>
      <c r="W4318">
        <v>0.22438420000000001</v>
      </c>
      <c r="X4318">
        <v>0.97446840000000001</v>
      </c>
      <c r="Y4318">
        <v>-0.1310809</v>
      </c>
      <c r="Z4318">
        <v>1.4563779999999999E-3</v>
      </c>
      <c r="AA4318">
        <v>0.99137059999999999</v>
      </c>
      <c r="AB4318">
        <v>32</v>
      </c>
      <c r="AC4318">
        <v>91.853699999999904</v>
      </c>
      <c r="AD4318">
        <v>-0.21648989999999901</v>
      </c>
      <c r="AE4318">
        <v>19.600079999999998</v>
      </c>
      <c r="AF4318">
        <v>-12.3526445152658</v>
      </c>
      <c r="AG4318">
        <v>-0.21648989999999901</v>
      </c>
      <c r="AH4318">
        <v>93.105229596243902</v>
      </c>
      <c r="AI4318">
        <v>90.132067624933399</v>
      </c>
      <c r="AJ4318">
        <v>97.557523787141804</v>
      </c>
      <c r="AK4318">
        <v>93.921341944025798</v>
      </c>
      <c r="AL4318">
        <v>77.033330440322302</v>
      </c>
      <c r="AM4318">
        <v>90.466929013209096</v>
      </c>
      <c r="AN4318">
        <v>1.00000000005995</v>
      </c>
    </row>
    <row r="4319" spans="1:40" x14ac:dyDescent="0.25">
      <c r="A4319" t="str">
        <f>"20190303170857390"</f>
        <v>20190303170857390</v>
      </c>
      <c r="B4319" t="str">
        <f>"1551604137378340"</f>
        <v>1551604137378340</v>
      </c>
      <c r="C4319" t="s">
        <v>40</v>
      </c>
      <c r="D4319">
        <v>4.5677669999999999</v>
      </c>
      <c r="E4319">
        <v>0.45700780000000002</v>
      </c>
      <c r="F4319" t="s">
        <v>106</v>
      </c>
      <c r="G4319">
        <v>-275.5729</v>
      </c>
      <c r="H4319">
        <v>0.77604960000000001</v>
      </c>
      <c r="I4319">
        <v>35.287930000000003</v>
      </c>
      <c r="J4319">
        <v>-368.5326</v>
      </c>
      <c r="K4319">
        <v>1.11965</v>
      </c>
      <c r="L4319">
        <v>15.708830000000001</v>
      </c>
      <c r="M4319">
        <v>0.99699660000000001</v>
      </c>
      <c r="N4319">
        <v>-1.0559580000000001E-2</v>
      </c>
      <c r="O4319">
        <v>7.6722929999999995E-2</v>
      </c>
      <c r="P4319">
        <v>0.9734389</v>
      </c>
      <c r="Q4319">
        <v>0.21369560000000001</v>
      </c>
      <c r="R4319">
        <v>8.2164490000000007E-2</v>
      </c>
      <c r="S4319">
        <v>3.0299070000000001</v>
      </c>
      <c r="T4319">
        <v>-1.116729E-2</v>
      </c>
      <c r="U4319">
        <v>0.63687130000000003</v>
      </c>
      <c r="V4319">
        <v>-6.5244219999999898E-3</v>
      </c>
      <c r="W4319">
        <v>0.22402079999999999</v>
      </c>
      <c r="X4319">
        <v>0.9745625</v>
      </c>
      <c r="Y4319">
        <v>-0.1300055</v>
      </c>
      <c r="Z4319">
        <v>1.4555460000000001E-3</v>
      </c>
      <c r="AA4319">
        <v>0.99151219999999995</v>
      </c>
      <c r="AB4319">
        <v>32</v>
      </c>
      <c r="AC4319">
        <v>92.959699999999998</v>
      </c>
      <c r="AD4319">
        <v>-0.34360039999999997</v>
      </c>
      <c r="AE4319">
        <v>19.5791</v>
      </c>
      <c r="AF4319">
        <v>-12.3886834108567</v>
      </c>
      <c r="AG4319">
        <v>-0.34360039999999997</v>
      </c>
      <c r="AH4319">
        <v>94.1866837000277</v>
      </c>
      <c r="AI4319">
        <v>90.207233593140998</v>
      </c>
      <c r="AJ4319">
        <v>97.493285589405801</v>
      </c>
      <c r="AK4319">
        <v>94.998573275067599</v>
      </c>
      <c r="AL4319">
        <v>77.054695321166903</v>
      </c>
      <c r="AM4319">
        <v>90.383573408279204</v>
      </c>
      <c r="AN4319">
        <v>0.99999997666066098</v>
      </c>
    </row>
    <row r="4320" spans="1:40" x14ac:dyDescent="0.25">
      <c r="A4320" t="str">
        <f>"20190303170857412"</f>
        <v>20190303170857412</v>
      </c>
      <c r="B4320" t="str">
        <f>"1551604137407621"</f>
        <v>1551604137407621</v>
      </c>
      <c r="C4320" t="s">
        <v>40</v>
      </c>
      <c r="D4320">
        <v>4.5907869999999997</v>
      </c>
      <c r="E4320">
        <v>0.448911</v>
      </c>
      <c r="F4320" t="s">
        <v>106</v>
      </c>
      <c r="G4320">
        <v>-274.36259999999999</v>
      </c>
      <c r="H4320">
        <v>0.71744160000000001</v>
      </c>
      <c r="I4320">
        <v>35.287950000000002</v>
      </c>
      <c r="J4320">
        <v>-368.21120000000002</v>
      </c>
      <c r="K4320">
        <v>1.1195900000000001</v>
      </c>
      <c r="L4320">
        <v>15.73166</v>
      </c>
      <c r="M4320">
        <v>0.99713050000000003</v>
      </c>
      <c r="N4320">
        <v>-1.083111E-2</v>
      </c>
      <c r="O4320">
        <v>7.4923119999999996E-2</v>
      </c>
      <c r="P4320">
        <v>0.97376980000000002</v>
      </c>
      <c r="Q4320">
        <v>0.21353449999999999</v>
      </c>
      <c r="R4320">
        <v>7.8584689999999999E-2</v>
      </c>
      <c r="S4320">
        <v>3.0314640000000002</v>
      </c>
      <c r="T4320">
        <v>-1.294756E-2</v>
      </c>
      <c r="U4320">
        <v>0.63027949999999999</v>
      </c>
      <c r="V4320">
        <v>-4.638054E-3</v>
      </c>
      <c r="W4320">
        <v>0.22412019999999999</v>
      </c>
      <c r="X4320">
        <v>0.97455049999999999</v>
      </c>
      <c r="Y4320">
        <v>-0.12962589999999999</v>
      </c>
      <c r="Z4320">
        <v>1.472658E-3</v>
      </c>
      <c r="AA4320">
        <v>0.9915619</v>
      </c>
      <c r="AB4320">
        <v>32</v>
      </c>
      <c r="AC4320">
        <v>93.848600000000005</v>
      </c>
      <c r="AD4320">
        <v>-0.40214839999999902</v>
      </c>
      <c r="AE4320">
        <v>19.556290000000001</v>
      </c>
      <c r="AF4320">
        <v>-12.469255182177699</v>
      </c>
      <c r="AG4320">
        <v>-0.40214839999999902</v>
      </c>
      <c r="AH4320">
        <v>95.048421541823998</v>
      </c>
      <c r="AI4320">
        <v>90.240356639302604</v>
      </c>
      <c r="AJ4320">
        <v>97.473863495995104</v>
      </c>
      <c r="AK4320">
        <v>95.863687002567104</v>
      </c>
      <c r="AL4320">
        <v>77.048852184450197</v>
      </c>
      <c r="AM4320">
        <v>90.272678443099196</v>
      </c>
      <c r="AN4320">
        <v>1.00000002632159</v>
      </c>
    </row>
    <row r="4321" spans="1:40" x14ac:dyDescent="0.25">
      <c r="A4321" t="str">
        <f>"20190303170857435"</f>
        <v>20190303170857435</v>
      </c>
      <c r="B4321" t="str">
        <f>"1551604137428117"</f>
        <v>1551604137428117</v>
      </c>
      <c r="C4321" t="s">
        <v>40</v>
      </c>
      <c r="D4321">
        <v>4.6203820000000002</v>
      </c>
      <c r="E4321">
        <v>0.44826100000000002</v>
      </c>
      <c r="F4321" t="s">
        <v>106</v>
      </c>
      <c r="G4321">
        <v>-280.86250000000001</v>
      </c>
      <c r="H4321">
        <v>1.2306809999999999</v>
      </c>
      <c r="I4321">
        <v>35.465899999999998</v>
      </c>
      <c r="J4321">
        <v>-367.88260000000002</v>
      </c>
      <c r="K4321">
        <v>1.1195469999999901</v>
      </c>
      <c r="L4321">
        <v>15.75436</v>
      </c>
      <c r="M4321">
        <v>0.99726919999999997</v>
      </c>
      <c r="N4321">
        <v>-1.111878E-2</v>
      </c>
      <c r="O4321">
        <v>7.3010909999999998E-2</v>
      </c>
      <c r="P4321">
        <v>0.9740856</v>
      </c>
      <c r="Q4321">
        <v>0.21335580000000001</v>
      </c>
      <c r="R4321">
        <v>7.5077690000000002E-2</v>
      </c>
      <c r="S4321">
        <v>3.0248110000000001</v>
      </c>
      <c r="T4321">
        <v>3.8471220000000001E-3</v>
      </c>
      <c r="U4321">
        <v>0.68338009999999905</v>
      </c>
      <c r="V4321">
        <v>-2.9497170000000001E-3</v>
      </c>
      <c r="W4321">
        <v>0.22421730000000001</v>
      </c>
      <c r="X4321">
        <v>0.97453469999999998</v>
      </c>
      <c r="Y4321">
        <v>-0.14856829999999999</v>
      </c>
      <c r="Z4321">
        <v>1.6383319999999999E-3</v>
      </c>
      <c r="AA4321">
        <v>0.98890080000000002</v>
      </c>
      <c r="AB4321">
        <v>32</v>
      </c>
      <c r="AC4321">
        <v>87.020099999999999</v>
      </c>
      <c r="AD4321">
        <v>0.111134</v>
      </c>
      <c r="AE4321">
        <v>19.711539999999999</v>
      </c>
      <c r="AF4321">
        <v>-13.3050963430858</v>
      </c>
      <c r="AG4321">
        <v>0.111134</v>
      </c>
      <c r="AH4321">
        <v>88.226936493388294</v>
      </c>
      <c r="AI4321">
        <v>89.928635035629199</v>
      </c>
      <c r="AJ4321">
        <v>98.575889514723997</v>
      </c>
      <c r="AK4321">
        <v>89.224605700855406</v>
      </c>
      <c r="AL4321">
        <v>77.0431430007297</v>
      </c>
      <c r="AM4321">
        <v>90.173422063620905</v>
      </c>
      <c r="AN4321">
        <v>0.99999998997688</v>
      </c>
    </row>
    <row r="4322" spans="1:40" x14ac:dyDescent="0.25">
      <c r="A4322" t="str">
        <f>"20190303170857459"</f>
        <v>20190303170857459</v>
      </c>
      <c r="B4322" t="str">
        <f>"1551604137447636"</f>
        <v>1551604137447636</v>
      </c>
      <c r="C4322" t="s">
        <v>40</v>
      </c>
      <c r="D4322">
        <v>4.6513159999999996</v>
      </c>
      <c r="E4322">
        <v>0.44818570000000002</v>
      </c>
      <c r="F4322" t="s">
        <v>106</v>
      </c>
      <c r="G4322">
        <v>-280.69900000000001</v>
      </c>
      <c r="H4322">
        <v>1.194164</v>
      </c>
      <c r="I4322">
        <v>35.287790000000001</v>
      </c>
      <c r="J4322">
        <v>-367.55619999999999</v>
      </c>
      <c r="K4322">
        <v>1.1195349999999999</v>
      </c>
      <c r="L4322">
        <v>15.776210000000001</v>
      </c>
      <c r="M4322">
        <v>0.99740620000000002</v>
      </c>
      <c r="N4322">
        <v>-1.1409269999999999E-2</v>
      </c>
      <c r="O4322">
        <v>7.1069640000000003E-2</v>
      </c>
      <c r="P4322">
        <v>0.97467999999999999</v>
      </c>
      <c r="Q4322">
        <v>0.21211379999999999</v>
      </c>
      <c r="R4322">
        <v>7.0757630000000002E-2</v>
      </c>
      <c r="S4322">
        <v>3.0269780000000002</v>
      </c>
      <c r="T4322">
        <v>2.590775E-3</v>
      </c>
      <c r="U4322">
        <v>0.67819209999999996</v>
      </c>
      <c r="V4322">
        <v>-4.7625139999999999E-4</v>
      </c>
      <c r="W4322">
        <v>0.22325300000000001</v>
      </c>
      <c r="X4322">
        <v>0.97476039999999997</v>
      </c>
      <c r="Y4322">
        <v>-0.148727</v>
      </c>
      <c r="Z4322">
        <v>1.6589829999999999E-3</v>
      </c>
      <c r="AA4322">
        <v>0.98887689999999995</v>
      </c>
      <c r="AB4322">
        <v>32</v>
      </c>
      <c r="AC4322">
        <v>86.857199999999906</v>
      </c>
      <c r="AD4322">
        <v>7.4629000000000001E-2</v>
      </c>
      <c r="AE4322">
        <v>19.511579999999999</v>
      </c>
      <c r="AF4322">
        <v>-13.2889152542511</v>
      </c>
      <c r="AG4322">
        <v>7.4629000000000001E-2</v>
      </c>
      <c r="AH4322">
        <v>88.024249717553303</v>
      </c>
      <c r="AI4322">
        <v>89.951967604201897</v>
      </c>
      <c r="AJ4322">
        <v>98.585044518472898</v>
      </c>
      <c r="AK4322">
        <v>89.021735415911195</v>
      </c>
      <c r="AL4322">
        <v>77.099830259529</v>
      </c>
      <c r="AM4322">
        <v>90.027993743935298</v>
      </c>
      <c r="AN4322">
        <v>0.99999998311627702</v>
      </c>
    </row>
    <row r="4323" spans="1:40" x14ac:dyDescent="0.25">
      <c r="A4323" t="str">
        <f>"20190303170857480"</f>
        <v>20190303170857480</v>
      </c>
      <c r="B4323" t="str">
        <f>"1551604137468132"</f>
        <v>1551604137468132</v>
      </c>
      <c r="C4323" t="s">
        <v>40</v>
      </c>
      <c r="D4323">
        <v>4.762321</v>
      </c>
      <c r="E4323">
        <v>0.4789176</v>
      </c>
      <c r="F4323" t="s">
        <v>106</v>
      </c>
      <c r="G4323">
        <v>-278.85520000000002</v>
      </c>
      <c r="H4323">
        <v>0.98874189999999995</v>
      </c>
      <c r="I4323">
        <v>35.287859999999903</v>
      </c>
      <c r="J4323">
        <v>-367.24549999999999</v>
      </c>
      <c r="K4323">
        <v>1.119534</v>
      </c>
      <c r="L4323">
        <v>15.796390000000001</v>
      </c>
      <c r="M4323">
        <v>0.99753440000000004</v>
      </c>
      <c r="N4323">
        <v>-1.1676890000000001E-2</v>
      </c>
      <c r="O4323">
        <v>6.9201719999999994E-2</v>
      </c>
      <c r="P4323">
        <v>0.97536210000000001</v>
      </c>
      <c r="Q4323">
        <v>0.21018600000000001</v>
      </c>
      <c r="R4323">
        <v>6.7011210000000002E-2</v>
      </c>
      <c r="S4323">
        <v>3.0305179999999998</v>
      </c>
      <c r="T4323">
        <v>-4.4685599999999999E-3</v>
      </c>
      <c r="U4323">
        <v>0.66662600000000005</v>
      </c>
      <c r="V4323">
        <v>1.488716E-3</v>
      </c>
      <c r="W4323">
        <v>0.22158349999999999</v>
      </c>
      <c r="X4323">
        <v>0.97514029999999996</v>
      </c>
      <c r="Y4323">
        <v>-0.1467311</v>
      </c>
      <c r="Z4323">
        <v>1.6737200000000001E-3</v>
      </c>
      <c r="AA4323">
        <v>0.98917500000000003</v>
      </c>
      <c r="AB4323">
        <v>31</v>
      </c>
      <c r="AC4323">
        <v>88.390299999999897</v>
      </c>
      <c r="AD4323">
        <v>-0.13079209999999999</v>
      </c>
      <c r="AE4323">
        <v>19.49147</v>
      </c>
      <c r="AF4323">
        <v>-13.3275311349002</v>
      </c>
      <c r="AG4323">
        <v>-0.13079209999999999</v>
      </c>
      <c r="AH4323">
        <v>89.527120123789601</v>
      </c>
      <c r="AI4323">
        <v>90.082792227288607</v>
      </c>
      <c r="AJ4323">
        <v>98.467203161737004</v>
      </c>
      <c r="AK4323">
        <v>90.513785858202894</v>
      </c>
      <c r="AL4323">
        <v>77.197943840658198</v>
      </c>
      <c r="AM4323">
        <v>89.912528404962998</v>
      </c>
      <c r="AN4323">
        <v>1.0000000342158299</v>
      </c>
    </row>
    <row r="4324" spans="1:40" x14ac:dyDescent="0.25">
      <c r="A4324" t="str">
        <f>"20190303170857502"</f>
        <v>20190303170857502</v>
      </c>
      <c r="B4324" t="str">
        <f>"1551604137487653"</f>
        <v>1551604137487653</v>
      </c>
      <c r="C4324" t="s">
        <v>40</v>
      </c>
      <c r="D4324">
        <v>4.7637879999999999</v>
      </c>
      <c r="E4324">
        <v>0.48930899999999999</v>
      </c>
      <c r="F4324" t="s">
        <v>107</v>
      </c>
      <c r="G4324">
        <v>-279.68</v>
      </c>
      <c r="H4324">
        <v>0.45193290000000003</v>
      </c>
      <c r="I4324">
        <v>27.59178</v>
      </c>
      <c r="J4324">
        <v>-366.95229999999998</v>
      </c>
      <c r="K4324">
        <v>1.119542</v>
      </c>
      <c r="L4324">
        <v>15.81494</v>
      </c>
      <c r="M4324">
        <v>0.9976526</v>
      </c>
      <c r="N4324">
        <v>-1.1911659999999999E-2</v>
      </c>
      <c r="O4324">
        <v>6.7434789999999994E-2</v>
      </c>
      <c r="P4324">
        <v>0.97574550000000004</v>
      </c>
      <c r="Q4324">
        <v>0.20937020000000001</v>
      </c>
      <c r="R4324">
        <v>6.3913940000000002E-2</v>
      </c>
      <c r="S4324">
        <v>3.0525820000000001</v>
      </c>
      <c r="T4324">
        <v>-2.327311E-2</v>
      </c>
      <c r="U4324">
        <v>0.4111938</v>
      </c>
      <c r="V4324">
        <v>2.8809920000000002E-3</v>
      </c>
      <c r="W4324">
        <v>0.22099350000000001</v>
      </c>
      <c r="X4324">
        <v>0.975271</v>
      </c>
      <c r="Y4324">
        <v>-6.6353780000000001E-2</v>
      </c>
      <c r="Z4324">
        <v>9.3891329999999998E-4</v>
      </c>
      <c r="AA4324">
        <v>0.99779569999999995</v>
      </c>
      <c r="AB4324">
        <v>31</v>
      </c>
      <c r="AC4324">
        <v>87.272299999999902</v>
      </c>
      <c r="AD4324">
        <v>-0.66760909999999996</v>
      </c>
      <c r="AE4324">
        <v>11.77684</v>
      </c>
      <c r="AF4324">
        <v>-5.8640847193337802</v>
      </c>
      <c r="AG4324">
        <v>-0.66760909999999996</v>
      </c>
      <c r="AH4324">
        <v>87.862787863231205</v>
      </c>
      <c r="AI4324">
        <v>90.434376643101203</v>
      </c>
      <c r="AJ4324">
        <v>93.818337283971601</v>
      </c>
      <c r="AK4324">
        <v>88.060789700099207</v>
      </c>
      <c r="AL4324">
        <v>77.232606958572106</v>
      </c>
      <c r="AM4324">
        <v>89.8307463235721</v>
      </c>
      <c r="AN4324">
        <v>0.99999997529907603</v>
      </c>
    </row>
    <row r="4325" spans="1:40" x14ac:dyDescent="0.25">
      <c r="A4325" t="str">
        <f>"20190303170857524"</f>
        <v>20190303170857524</v>
      </c>
      <c r="B4325" t="str">
        <f>"1551604137517909"</f>
        <v>1551604137517909</v>
      </c>
      <c r="C4325" t="s">
        <v>40</v>
      </c>
      <c r="D4325">
        <v>4.6546399999999997</v>
      </c>
      <c r="E4325">
        <v>0.56373229999999996</v>
      </c>
      <c r="F4325" t="s">
        <v>104</v>
      </c>
      <c r="G4325">
        <v>-279.68</v>
      </c>
      <c r="H4325">
        <v>0.30582959999999998</v>
      </c>
      <c r="I4325">
        <v>24.8872</v>
      </c>
      <c r="J4325">
        <v>-366.63749999999999</v>
      </c>
      <c r="K4325">
        <v>1.1195550000000001</v>
      </c>
      <c r="L4325">
        <v>15.834199999999999</v>
      </c>
      <c r="M4325">
        <v>0.997776</v>
      </c>
      <c r="N4325">
        <v>-1.214169E-2</v>
      </c>
      <c r="O4325">
        <v>6.5541479999999999E-2</v>
      </c>
      <c r="P4325">
        <v>0.97575179999999995</v>
      </c>
      <c r="Q4325">
        <v>0.21003269999999999</v>
      </c>
      <c r="R4325">
        <v>6.1603329999999998E-2</v>
      </c>
      <c r="S4325">
        <v>3.0598749999999999</v>
      </c>
      <c r="T4325">
        <v>-2.8529639999999998E-2</v>
      </c>
      <c r="U4325">
        <v>0.3180847</v>
      </c>
      <c r="V4325">
        <v>3.3422550000000001E-3</v>
      </c>
      <c r="W4325">
        <v>0.2218765</v>
      </c>
      <c r="X4325">
        <v>0.97506899999999996</v>
      </c>
      <c r="Y4325">
        <v>-3.7975460000000003E-2</v>
      </c>
      <c r="Z4325">
        <v>5.9393230000000003E-4</v>
      </c>
      <c r="AA4325">
        <v>0.99927849999999996</v>
      </c>
      <c r="AB4325">
        <v>31</v>
      </c>
      <c r="AC4325">
        <v>86.957499999999897</v>
      </c>
      <c r="AD4325">
        <v>-0.81372539999999904</v>
      </c>
      <c r="AE4325">
        <v>9.0529999999999902</v>
      </c>
      <c r="AF4325">
        <v>-3.3334997617347302</v>
      </c>
      <c r="AG4325">
        <v>-0.81372539999999904</v>
      </c>
      <c r="AH4325">
        <v>87.356323575331203</v>
      </c>
      <c r="AI4325">
        <v>90.533307438000307</v>
      </c>
      <c r="AJ4325">
        <v>92.185335109689206</v>
      </c>
      <c r="AK4325">
        <v>87.423690372152905</v>
      </c>
      <c r="AL4325">
        <v>77.180726579282094</v>
      </c>
      <c r="AM4325">
        <v>89.8036073800087</v>
      </c>
      <c r="AN4325">
        <v>0.999999953340866</v>
      </c>
    </row>
    <row r="4326" spans="1:40" x14ac:dyDescent="0.25">
      <c r="A4326" t="str">
        <f>"20190303170857548"</f>
        <v>20190303170857548</v>
      </c>
      <c r="B4326" t="str">
        <f>"1551604137538405"</f>
        <v>1551604137538405</v>
      </c>
      <c r="C4326" t="s">
        <v>40</v>
      </c>
      <c r="D4326">
        <v>4.6386789999999998</v>
      </c>
      <c r="E4326">
        <v>0.56613179999999996</v>
      </c>
      <c r="F4326" t="s">
        <v>46</v>
      </c>
      <c r="G4326">
        <v>-310.84390000000002</v>
      </c>
      <c r="H4326">
        <v>-0.05</v>
      </c>
      <c r="I4326">
        <v>10.81094</v>
      </c>
      <c r="J4326">
        <v>-366.30349999999999</v>
      </c>
      <c r="K4326">
        <v>1.1195679999999999</v>
      </c>
      <c r="L4326">
        <v>15.8540299999999</v>
      </c>
      <c r="M4326">
        <v>0.99790279999999998</v>
      </c>
      <c r="N4326">
        <v>-1.236116E-2</v>
      </c>
      <c r="O4326">
        <v>6.3539899999999996E-2</v>
      </c>
      <c r="P4326">
        <v>0.97575400000000001</v>
      </c>
      <c r="Q4326">
        <v>0.2109473</v>
      </c>
      <c r="R4326">
        <v>5.835829E-2</v>
      </c>
      <c r="S4326">
        <v>3.1062319999999999</v>
      </c>
      <c r="T4326">
        <v>-6.5113309999999994E-2</v>
      </c>
      <c r="U4326">
        <v>-0.2796631</v>
      </c>
      <c r="V4326">
        <v>4.6289410000000001E-3</v>
      </c>
      <c r="W4326">
        <v>0.2229978</v>
      </c>
      <c r="X4326">
        <v>0.97480800000000001</v>
      </c>
      <c r="Y4326">
        <v>0.15272239999999901</v>
      </c>
      <c r="Z4326">
        <v>-3.0890129999999998E-3</v>
      </c>
      <c r="AA4326">
        <v>0.98826429999999998</v>
      </c>
      <c r="AB4326">
        <v>31</v>
      </c>
      <c r="AC4326">
        <v>55.459599999999902</v>
      </c>
      <c r="AD4326">
        <v>-1.1695679999999999</v>
      </c>
      <c r="AE4326">
        <v>-5.0430899999999896</v>
      </c>
      <c r="AF4326">
        <v>8.5532916341457206</v>
      </c>
      <c r="AG4326">
        <v>-1.1695679999999999</v>
      </c>
      <c r="AH4326">
        <v>55.002792851944399</v>
      </c>
      <c r="AI4326">
        <v>91.203679442413105</v>
      </c>
      <c r="AJ4326">
        <v>81.160929907382197</v>
      </c>
      <c r="AK4326">
        <v>55.676152063511701</v>
      </c>
      <c r="AL4326">
        <v>77.114831061161297</v>
      </c>
      <c r="AM4326">
        <v>89.727929203002802</v>
      </c>
      <c r="AN4326">
        <v>1.00000004138181</v>
      </c>
    </row>
    <row r="4327" spans="1:40" x14ac:dyDescent="0.25">
      <c r="A4327" t="str">
        <f>"20190303170857570"</f>
        <v>20190303170857570</v>
      </c>
      <c r="B4327" t="str">
        <f>"1551604137557924"</f>
        <v>1551604137557924</v>
      </c>
      <c r="C4327" t="s">
        <v>40</v>
      </c>
      <c r="D4327">
        <v>4.6361790000000003</v>
      </c>
      <c r="E4327">
        <v>0.56714390000000003</v>
      </c>
      <c r="F4327" t="s">
        <v>46</v>
      </c>
      <c r="G4327">
        <v>-306.51479999999998</v>
      </c>
      <c r="H4327">
        <v>-0.05</v>
      </c>
      <c r="I4327">
        <v>9.9134670000000007</v>
      </c>
      <c r="J4327">
        <v>-365.98880000000003</v>
      </c>
      <c r="K4327">
        <v>1.1195820000000001</v>
      </c>
      <c r="L4327">
        <v>15.87204</v>
      </c>
      <c r="M4327">
        <v>0.99801810000000002</v>
      </c>
      <c r="N4327">
        <v>-1.254303E-2</v>
      </c>
      <c r="O4327">
        <v>6.166493E-2</v>
      </c>
      <c r="P4327">
        <v>0.97596450000000001</v>
      </c>
      <c r="Q4327">
        <v>0.2111044</v>
      </c>
      <c r="R4327">
        <v>5.4117899999999997E-2</v>
      </c>
      <c r="S4327">
        <v>3.1061399999999999</v>
      </c>
      <c r="T4327">
        <v>-6.0761330000000002E-2</v>
      </c>
      <c r="U4327">
        <v>-0.30862430000000002</v>
      </c>
      <c r="V4327">
        <v>7.040358E-3</v>
      </c>
      <c r="W4327">
        <v>0.2233223</v>
      </c>
      <c r="X4327">
        <v>0.97471920000000001</v>
      </c>
      <c r="Y4327">
        <v>0.16000049999999999</v>
      </c>
      <c r="Z4327">
        <v>-2.9992500000000002E-3</v>
      </c>
      <c r="AA4327">
        <v>0.98711230000000005</v>
      </c>
      <c r="AB4327">
        <v>31</v>
      </c>
      <c r="AC4327">
        <v>59.473999999999997</v>
      </c>
      <c r="AD4327">
        <v>-1.1695819999999999</v>
      </c>
      <c r="AE4327">
        <v>-5.9585730000000003</v>
      </c>
      <c r="AF4327">
        <v>9.6113000072757604</v>
      </c>
      <c r="AG4327">
        <v>-1.1695819999999999</v>
      </c>
      <c r="AH4327">
        <v>58.970754673227098</v>
      </c>
      <c r="AI4327">
        <v>91.121419694981796</v>
      </c>
      <c r="AJ4327">
        <v>80.7430881438775</v>
      </c>
      <c r="AK4327">
        <v>59.760312219854796</v>
      </c>
      <c r="AL4327">
        <v>77.095756614220406</v>
      </c>
      <c r="AM4327">
        <v>89.586162060931301</v>
      </c>
      <c r="AN4327">
        <v>0.99999996758334797</v>
      </c>
    </row>
    <row r="4328" spans="1:40" x14ac:dyDescent="0.25">
      <c r="A4328" t="str">
        <f>"20190303170857590"</f>
        <v>20190303170857590</v>
      </c>
      <c r="B4328" t="str">
        <f>"1551604137578421"</f>
        <v>1551604137578421</v>
      </c>
      <c r="C4328" t="s">
        <v>40</v>
      </c>
      <c r="D4328">
        <v>4.6611900000000004</v>
      </c>
      <c r="E4328">
        <v>0.5676909</v>
      </c>
      <c r="F4328" t="s">
        <v>46</v>
      </c>
      <c r="G4328">
        <v>-303.78179999999998</v>
      </c>
      <c r="H4328">
        <v>-0.05</v>
      </c>
      <c r="I4328">
        <v>9.2635649999999998</v>
      </c>
      <c r="J4328">
        <v>-365.70929999999998</v>
      </c>
      <c r="K4328">
        <v>1.1195850000000001</v>
      </c>
      <c r="L4328">
        <v>15.88757</v>
      </c>
      <c r="M4328">
        <v>0.99811729999999999</v>
      </c>
      <c r="N4328">
        <v>-1.267736E-2</v>
      </c>
      <c r="O4328">
        <v>6.0009399999999997E-2</v>
      </c>
      <c r="P4328">
        <v>0.97643590000000002</v>
      </c>
      <c r="Q4328">
        <v>0.20984079999999999</v>
      </c>
      <c r="R4328">
        <v>5.0394960000000003E-2</v>
      </c>
      <c r="S4328">
        <v>3.104797</v>
      </c>
      <c r="T4328">
        <v>-5.8374639999999998E-2</v>
      </c>
      <c r="U4328">
        <v>-0.32983400000000002</v>
      </c>
      <c r="V4328">
        <v>9.1575159999999992E-3</v>
      </c>
      <c r="W4328">
        <v>0.2221852</v>
      </c>
      <c r="X4328">
        <v>0.97496150000000004</v>
      </c>
      <c r="Y4328">
        <v>0.16507759999999999</v>
      </c>
      <c r="Z4328">
        <v>-2.963879E-3</v>
      </c>
      <c r="AA4328">
        <v>0.98627609999999999</v>
      </c>
      <c r="AB4328">
        <v>31</v>
      </c>
      <c r="AC4328">
        <v>61.927500000000002</v>
      </c>
      <c r="AD4328">
        <v>-1.1695850000000001</v>
      </c>
      <c r="AE4328">
        <v>-6.6240050000000004</v>
      </c>
      <c r="AF4328">
        <v>10.3249549862409</v>
      </c>
      <c r="AG4328">
        <v>-1.1695850000000001</v>
      </c>
      <c r="AH4328">
        <v>61.396690394823104</v>
      </c>
      <c r="AI4328">
        <v>91.076223793857096</v>
      </c>
      <c r="AJ4328">
        <v>80.454006332977997</v>
      </c>
      <c r="AK4328">
        <v>62.269785738975202</v>
      </c>
      <c r="AL4328">
        <v>77.162587524105106</v>
      </c>
      <c r="AM4328">
        <v>89.461854043807406</v>
      </c>
      <c r="AN4328">
        <v>1.00000002484029</v>
      </c>
    </row>
    <row r="4329" spans="1:40" x14ac:dyDescent="0.25">
      <c r="A4329" t="str">
        <f>"20190303170857613"</f>
        <v>20190303170857613</v>
      </c>
      <c r="B4329" t="str">
        <f>"1551604137607701"</f>
        <v>1551604137607701</v>
      </c>
      <c r="C4329" t="s">
        <v>40</v>
      </c>
      <c r="D4329">
        <v>4.6591950000000004</v>
      </c>
      <c r="E4329">
        <v>0.56783130000000004</v>
      </c>
      <c r="F4329" t="s">
        <v>46</v>
      </c>
      <c r="G4329">
        <v>-306.80689999999998</v>
      </c>
      <c r="H4329">
        <v>-0.05</v>
      </c>
      <c r="I4329">
        <v>9.3154450000000004</v>
      </c>
      <c r="J4329">
        <v>-365.38819999999998</v>
      </c>
      <c r="K4329">
        <v>1.119591</v>
      </c>
      <c r="L4329">
        <v>15.90479</v>
      </c>
      <c r="M4329">
        <v>0.99822750000000005</v>
      </c>
      <c r="N4329">
        <v>-1.280308E-2</v>
      </c>
      <c r="O4329">
        <v>5.8120819999999997E-2</v>
      </c>
      <c r="P4329">
        <v>0.97684380000000004</v>
      </c>
      <c r="Q4329">
        <v>0.20870929999999999</v>
      </c>
      <c r="R4329">
        <v>4.7083239999999998E-2</v>
      </c>
      <c r="S4329">
        <v>3.1035460000000001</v>
      </c>
      <c r="T4329">
        <v>-6.1624999999999999E-2</v>
      </c>
      <c r="U4329">
        <v>-0.34628300000000001</v>
      </c>
      <c r="V4329">
        <v>1.062842E-2</v>
      </c>
      <c r="W4329">
        <v>0.22117339999999999</v>
      </c>
      <c r="X4329">
        <v>0.97517659999999995</v>
      </c>
      <c r="Y4329">
        <v>0.16841239999999999</v>
      </c>
      <c r="Z4329">
        <v>-3.1576310000000002E-3</v>
      </c>
      <c r="AA4329">
        <v>0.98571160000000002</v>
      </c>
      <c r="AB4329">
        <v>31</v>
      </c>
      <c r="AC4329">
        <v>58.581299999999999</v>
      </c>
      <c r="AD4329">
        <v>-1.169591</v>
      </c>
      <c r="AE4329">
        <v>-6.5893449999999998</v>
      </c>
      <c r="AF4329">
        <v>9.9793482003057203</v>
      </c>
      <c r="AG4329">
        <v>-1.169591</v>
      </c>
      <c r="AH4329">
        <v>58.076385175474599</v>
      </c>
      <c r="AI4329">
        <v>91.137054774874699</v>
      </c>
      <c r="AJ4329">
        <v>80.249999932472903</v>
      </c>
      <c r="AK4329">
        <v>58.939136816382998</v>
      </c>
      <c r="AL4329">
        <v>77.222038479200904</v>
      </c>
      <c r="AM4329">
        <v>89.3755597722689</v>
      </c>
      <c r="AN4329">
        <v>1.0000000186833999</v>
      </c>
    </row>
    <row r="4330" spans="1:40" x14ac:dyDescent="0.25">
      <c r="A4330" t="str">
        <f>"20190303170857636"</f>
        <v>20190303170857636</v>
      </c>
      <c r="B4330" t="str">
        <f>"1551604137628196"</f>
        <v>1551604137628196</v>
      </c>
      <c r="C4330" t="s">
        <v>40</v>
      </c>
      <c r="D4330">
        <v>4.6832640000000003</v>
      </c>
      <c r="E4330">
        <v>0.56782940000000004</v>
      </c>
      <c r="F4330" t="s">
        <v>46</v>
      </c>
      <c r="G4330">
        <v>-310.0598</v>
      </c>
      <c r="H4330">
        <v>-0.05</v>
      </c>
      <c r="I4330">
        <v>9.5071259999999995</v>
      </c>
      <c r="J4330">
        <v>-365.0598</v>
      </c>
      <c r="K4330">
        <v>1.119604</v>
      </c>
      <c r="L4330">
        <v>15.921779999999901</v>
      </c>
      <c r="M4330">
        <v>0.99833570000000005</v>
      </c>
      <c r="N4330">
        <v>-1.290413E-2</v>
      </c>
      <c r="O4330">
        <v>5.6207890000000003E-2</v>
      </c>
      <c r="P4330">
        <v>0.97686249999999997</v>
      </c>
      <c r="Q4330">
        <v>0.2092069</v>
      </c>
      <c r="R4330">
        <v>4.4410350000000001E-2</v>
      </c>
      <c r="S4330">
        <v>3.102417</v>
      </c>
      <c r="T4330">
        <v>-6.558216E-2</v>
      </c>
      <c r="U4330">
        <v>-0.3587341</v>
      </c>
      <c r="V4330">
        <v>1.1418630000000001E-2</v>
      </c>
      <c r="W4330">
        <v>0.2217654</v>
      </c>
      <c r="X4330">
        <v>0.97503320000000004</v>
      </c>
      <c r="Y4330">
        <v>0.17046140000000001</v>
      </c>
      <c r="Z4330">
        <v>-3.3612310000000001E-3</v>
      </c>
      <c r="AA4330">
        <v>0.98535870000000003</v>
      </c>
      <c r="AB4330">
        <v>31</v>
      </c>
      <c r="AC4330">
        <v>55</v>
      </c>
      <c r="AD4330">
        <v>-1.1696040000000001</v>
      </c>
      <c r="AE4330">
        <v>-6.4146539999999899</v>
      </c>
      <c r="AF4330">
        <v>9.4919677707720496</v>
      </c>
      <c r="AG4330">
        <v>-1.1696040000000001</v>
      </c>
      <c r="AH4330">
        <v>54.528123171771703</v>
      </c>
      <c r="AI4330">
        <v>91.210581469581697</v>
      </c>
      <c r="AJ4330">
        <v>80.125201875074396</v>
      </c>
      <c r="AK4330">
        <v>55.360470033355902</v>
      </c>
      <c r="AL4330">
        <v>77.187255505751693</v>
      </c>
      <c r="AM4330">
        <v>89.329038846987004</v>
      </c>
      <c r="AN4330">
        <v>1.0000000094252299</v>
      </c>
    </row>
    <row r="4331" spans="1:40" x14ac:dyDescent="0.25">
      <c r="A4331" t="str">
        <f>"20190303170857659"</f>
        <v>20190303170857659</v>
      </c>
      <c r="B4331" t="str">
        <f>"1551604137647716"</f>
        <v>1551604137647716</v>
      </c>
      <c r="C4331" t="s">
        <v>40</v>
      </c>
      <c r="D4331">
        <v>4.6607589999999997</v>
      </c>
      <c r="E4331">
        <v>0.56783869999999903</v>
      </c>
      <c r="F4331" t="s">
        <v>46</v>
      </c>
      <c r="G4331">
        <v>-307.23610000000002</v>
      </c>
      <c r="H4331">
        <v>-0.05</v>
      </c>
      <c r="I4331">
        <v>9.0763400000000001</v>
      </c>
      <c r="J4331">
        <v>-364.7432</v>
      </c>
      <c r="K4331">
        <v>1.1196250000000001</v>
      </c>
      <c r="L4331">
        <v>15.937620000000001</v>
      </c>
      <c r="M4331">
        <v>0.99843550000000003</v>
      </c>
      <c r="N4331">
        <v>-1.297539E-2</v>
      </c>
      <c r="O4331">
        <v>5.4389800000000002E-2</v>
      </c>
      <c r="P4331">
        <v>0.97676339999999995</v>
      </c>
      <c r="Q4331">
        <v>0.210259</v>
      </c>
      <c r="R4331">
        <v>4.1529160000000002E-2</v>
      </c>
      <c r="S4331">
        <v>3.1011350000000002</v>
      </c>
      <c r="T4331">
        <v>-6.2726859999999995E-2</v>
      </c>
      <c r="U4331">
        <v>-0.36712650000000002</v>
      </c>
      <c r="V4331">
        <v>1.250277E-2</v>
      </c>
      <c r="W4331">
        <v>0.2228802</v>
      </c>
      <c r="X4331">
        <v>0.97476569999999996</v>
      </c>
      <c r="Y4331">
        <v>0.17134829999999901</v>
      </c>
      <c r="Z4331">
        <v>-3.2361970000000001E-3</v>
      </c>
      <c r="AA4331">
        <v>0.9852052</v>
      </c>
      <c r="AB4331">
        <v>31</v>
      </c>
      <c r="AC4331">
        <v>57.507099999999902</v>
      </c>
      <c r="AD4331">
        <v>-1.1696249999999999</v>
      </c>
      <c r="AE4331">
        <v>-6.8612799999999998</v>
      </c>
      <c r="AF4331">
        <v>9.9751165329862097</v>
      </c>
      <c r="AG4331">
        <v>-1.1696249999999999</v>
      </c>
      <c r="AH4331">
        <v>57.025488963249998</v>
      </c>
      <c r="AI4331">
        <v>91.157434585382902</v>
      </c>
      <c r="AJ4331">
        <v>80.077989478893599</v>
      </c>
      <c r="AK4331">
        <v>57.903172313656803</v>
      </c>
      <c r="AL4331">
        <v>77.121742935639801</v>
      </c>
      <c r="AM4331">
        <v>89.265139640484605</v>
      </c>
      <c r="AN4331">
        <v>1.0000000363531001</v>
      </c>
    </row>
    <row r="4332" spans="1:40" x14ac:dyDescent="0.25">
      <c r="A4332" t="str">
        <f>"20190303170857679"</f>
        <v>20190303170857679</v>
      </c>
      <c r="B4332" t="str">
        <f>"1551604137668213"</f>
        <v>1551604137668213</v>
      </c>
      <c r="C4332" t="s">
        <v>40</v>
      </c>
      <c r="D4332">
        <v>4.6901999999999999</v>
      </c>
      <c r="E4332">
        <v>0.56778530000000005</v>
      </c>
      <c r="F4332" t="s">
        <v>46</v>
      </c>
      <c r="G4332">
        <v>-302.98110000000003</v>
      </c>
      <c r="H4332">
        <v>-0.05</v>
      </c>
      <c r="I4332">
        <v>8.4680940000000007</v>
      </c>
      <c r="J4332">
        <v>-364.45319999999998</v>
      </c>
      <c r="K4332">
        <v>1.1196459999999999</v>
      </c>
      <c r="L4332">
        <v>15.95166</v>
      </c>
      <c r="M4332">
        <v>0.99852229999999997</v>
      </c>
      <c r="N4332">
        <v>-1.3021690000000001E-2</v>
      </c>
      <c r="O4332">
        <v>5.2758960000000001E-2</v>
      </c>
      <c r="P4332">
        <v>0.97694550000000002</v>
      </c>
      <c r="Q4332">
        <v>0.21006069999999999</v>
      </c>
      <c r="R4332">
        <v>3.8103949999999998E-2</v>
      </c>
      <c r="S4332">
        <v>3.099945</v>
      </c>
      <c r="T4332">
        <v>-5.8705449999999999E-2</v>
      </c>
      <c r="U4332">
        <v>-0.37490839999999998</v>
      </c>
      <c r="V4332">
        <v>1.4321489999999999E-2</v>
      </c>
      <c r="W4332">
        <v>0.22272169999999999</v>
      </c>
      <c r="X4332">
        <v>0.97477689999999995</v>
      </c>
      <c r="Y4332">
        <v>0.172227399999999</v>
      </c>
      <c r="Z4332">
        <v>-3.061991E-3</v>
      </c>
      <c r="AA4332">
        <v>0.9850525</v>
      </c>
      <c r="AB4332">
        <v>31</v>
      </c>
      <c r="AC4332">
        <v>61.472099999999898</v>
      </c>
      <c r="AD4332">
        <v>-1.169646</v>
      </c>
      <c r="AE4332">
        <v>-7.4835659999999997</v>
      </c>
      <c r="AF4332">
        <v>10.7127992016531</v>
      </c>
      <c r="AG4332">
        <v>-1.169646</v>
      </c>
      <c r="AH4332">
        <v>60.9698621591197</v>
      </c>
      <c r="AI4332">
        <v>91.082449521733295</v>
      </c>
      <c r="AJ4332">
        <v>80.034484306283602</v>
      </c>
      <c r="AK4332">
        <v>61.914911210485599</v>
      </c>
      <c r="AL4332">
        <v>77.131058424909696</v>
      </c>
      <c r="AM4332">
        <v>89.158266984234103</v>
      </c>
      <c r="AN4332">
        <v>1.0000000327501499</v>
      </c>
    </row>
    <row r="4333" spans="1:40" x14ac:dyDescent="0.25">
      <c r="A4333" t="str">
        <f>"20190303170857702"</f>
        <v>20190303170857702</v>
      </c>
      <c r="B4333" t="str">
        <f>"1551604137687733"</f>
        <v>1551604137687733</v>
      </c>
      <c r="C4333" t="s">
        <v>40</v>
      </c>
      <c r="D4333">
        <v>4.6646580000000002</v>
      </c>
      <c r="E4333">
        <v>0.56759479999999995</v>
      </c>
      <c r="F4333" t="s">
        <v>46</v>
      </c>
      <c r="G4333">
        <v>-302.8854</v>
      </c>
      <c r="H4333">
        <v>-0.05</v>
      </c>
      <c r="I4333">
        <v>8.3140559999999901</v>
      </c>
      <c r="J4333">
        <v>-364.15309999999999</v>
      </c>
      <c r="K4333">
        <v>1.1196699999999999</v>
      </c>
      <c r="L4333">
        <v>15.965730000000001</v>
      </c>
      <c r="M4333">
        <v>0.99860740000000003</v>
      </c>
      <c r="N4333">
        <v>-1.3054400000000001E-2</v>
      </c>
      <c r="O4333">
        <v>5.1117849999999999E-2</v>
      </c>
      <c r="P4333">
        <v>0.97745499999999996</v>
      </c>
      <c r="Q4333">
        <v>0.2082977</v>
      </c>
      <c r="R4333">
        <v>3.4559720000000002E-2</v>
      </c>
      <c r="S4333">
        <v>3.0984500000000001</v>
      </c>
      <c r="T4333">
        <v>-5.8863400000000003E-2</v>
      </c>
      <c r="U4333">
        <v>-0.38436890000000001</v>
      </c>
      <c r="V4333">
        <v>1.6254040000000001E-2</v>
      </c>
      <c r="W4333">
        <v>0.22098880000000001</v>
      </c>
      <c r="X4333">
        <v>0.97514089999999998</v>
      </c>
      <c r="Y4333">
        <v>0.17362749999999999</v>
      </c>
      <c r="Z4333">
        <v>-3.0839769999999999E-3</v>
      </c>
      <c r="AA4333">
        <v>0.98480659999999998</v>
      </c>
      <c r="AB4333">
        <v>31</v>
      </c>
      <c r="AC4333">
        <v>61.267699999999898</v>
      </c>
      <c r="AD4333">
        <v>-1.16967</v>
      </c>
      <c r="AE4333">
        <v>-7.6516739999999999</v>
      </c>
      <c r="AF4333">
        <v>10.7699433550882</v>
      </c>
      <c r="AG4333">
        <v>-1.16967</v>
      </c>
      <c r="AH4333">
        <v>60.774605838744897</v>
      </c>
      <c r="AI4333">
        <v>91.085669113188999</v>
      </c>
      <c r="AJ4333">
        <v>79.950870746338694</v>
      </c>
      <c r="AK4333">
        <v>61.732588821752103</v>
      </c>
      <c r="AL4333">
        <v>77.232883515599994</v>
      </c>
      <c r="AM4333">
        <v>89.045059377471105</v>
      </c>
      <c r="AN4333">
        <v>1.00000000919728</v>
      </c>
    </row>
    <row r="4334" spans="1:40" x14ac:dyDescent="0.25">
      <c r="A4334" t="str">
        <f>"20190303170857726"</f>
        <v>20190303170857726</v>
      </c>
      <c r="B4334" t="str">
        <f>"1551604137717989"</f>
        <v>1551604137717989</v>
      </c>
      <c r="C4334" t="s">
        <v>40</v>
      </c>
      <c r="D4334">
        <v>4.6493520000000004</v>
      </c>
      <c r="E4334">
        <v>0.56755639999999996</v>
      </c>
      <c r="F4334" t="s">
        <v>46</v>
      </c>
      <c r="G4334">
        <v>-307.2192</v>
      </c>
      <c r="H4334">
        <v>-0.05</v>
      </c>
      <c r="I4334">
        <v>8.7160030000000006</v>
      </c>
      <c r="J4334">
        <v>-363.80590000000001</v>
      </c>
      <c r="K4334">
        <v>1.1197060000000001</v>
      </c>
      <c r="L4334">
        <v>15.981479999999999</v>
      </c>
      <c r="M4334">
        <v>0.998699</v>
      </c>
      <c r="N4334">
        <v>-1.307261E-2</v>
      </c>
      <c r="O4334">
        <v>4.9288940000000003E-2</v>
      </c>
      <c r="P4334">
        <v>0.97796119999999997</v>
      </c>
      <c r="Q4334">
        <v>0.20641370000000001</v>
      </c>
      <c r="R4334">
        <v>3.1388600000000003E-2</v>
      </c>
      <c r="S4334">
        <v>3.0966800000000001</v>
      </c>
      <c r="T4334">
        <v>-6.3619259999999997E-2</v>
      </c>
      <c r="U4334">
        <v>-0.39431759999999999</v>
      </c>
      <c r="V4334">
        <v>1.7619269999999999E-2</v>
      </c>
      <c r="W4334">
        <v>0.2191254</v>
      </c>
      <c r="X4334">
        <v>0.9755376</v>
      </c>
      <c r="Y4334">
        <v>0.1749993</v>
      </c>
      <c r="Z4334">
        <v>-3.3063770000000001E-3</v>
      </c>
      <c r="AA4334">
        <v>0.98456299999999997</v>
      </c>
      <c r="AB4334">
        <v>31</v>
      </c>
      <c r="AC4334">
        <v>56.5867</v>
      </c>
      <c r="AD4334">
        <v>-1.1697059999999999</v>
      </c>
      <c r="AE4334">
        <v>-7.26547699999999</v>
      </c>
      <c r="AF4334">
        <v>10.0417604049698</v>
      </c>
      <c r="AG4334">
        <v>-1.1697059999999999</v>
      </c>
      <c r="AH4334">
        <v>56.1361747994182</v>
      </c>
      <c r="AI4334">
        <v>91.175049165303093</v>
      </c>
      <c r="AJ4334">
        <v>79.858075645974594</v>
      </c>
      <c r="AK4334">
        <v>57.0392433791692</v>
      </c>
      <c r="AL4334">
        <v>77.342331193660101</v>
      </c>
      <c r="AM4334">
        <v>88.965288408930903</v>
      </c>
      <c r="AN4334">
        <v>0.99999999430712605</v>
      </c>
    </row>
    <row r="4335" spans="1:40" x14ac:dyDescent="0.25">
      <c r="A4335" t="str">
        <f>"20190303170857752"</f>
        <v>20190303170857752</v>
      </c>
      <c r="B4335" t="str">
        <f>"1551604137737509"</f>
        <v>1551604137737509</v>
      </c>
      <c r="C4335" t="s">
        <v>40</v>
      </c>
      <c r="D4335">
        <v>4.6104209999999997</v>
      </c>
      <c r="E4335">
        <v>0.56737119999999996</v>
      </c>
      <c r="F4335" t="s">
        <v>46</v>
      </c>
      <c r="G4335">
        <v>-313.9418</v>
      </c>
      <c r="H4335">
        <v>-0.05</v>
      </c>
      <c r="I4335">
        <v>9.47316</v>
      </c>
      <c r="J4335">
        <v>-363.46370000000002</v>
      </c>
      <c r="K4335">
        <v>1.119761</v>
      </c>
      <c r="L4335">
        <v>15.996460000000001</v>
      </c>
      <c r="M4335">
        <v>0.99878230000000001</v>
      </c>
      <c r="N4335">
        <v>-1.307414E-2</v>
      </c>
      <c r="O4335">
        <v>4.7572259999999998E-2</v>
      </c>
      <c r="P4335">
        <v>0.97814690000000004</v>
      </c>
      <c r="Q4335">
        <v>0.20607149999999999</v>
      </c>
      <c r="R4335">
        <v>2.7624570000000001E-2</v>
      </c>
      <c r="S4335">
        <v>3.095917</v>
      </c>
      <c r="T4335">
        <v>-7.2623729999999997E-2</v>
      </c>
      <c r="U4335">
        <v>-0.40408329999999998</v>
      </c>
      <c r="V4335">
        <v>1.967178E-2</v>
      </c>
      <c r="W4335">
        <v>0.21878069999999999</v>
      </c>
      <c r="X4335">
        <v>0.97557570000000005</v>
      </c>
      <c r="Y4335">
        <v>0.176376</v>
      </c>
      <c r="Z4335">
        <v>-3.7104379999999999E-3</v>
      </c>
      <c r="AA4335">
        <v>0.98431590000000002</v>
      </c>
      <c r="AB4335">
        <v>31</v>
      </c>
      <c r="AC4335">
        <v>49.521900000000002</v>
      </c>
      <c r="AD4335">
        <v>-1.1697610000000001</v>
      </c>
      <c r="AE4335">
        <v>-6.5232999999999999</v>
      </c>
      <c r="AF4335">
        <v>8.8671198904037798</v>
      </c>
      <c r="AG4335">
        <v>-1.1697610000000001</v>
      </c>
      <c r="AH4335">
        <v>49.128523033626102</v>
      </c>
      <c r="AI4335">
        <v>91.342287624660997</v>
      </c>
      <c r="AJ4335">
        <v>79.768933276206894</v>
      </c>
      <c r="AK4335">
        <v>49.936018377654499</v>
      </c>
      <c r="AL4335">
        <v>77.362571748444495</v>
      </c>
      <c r="AM4335">
        <v>88.844828498187894</v>
      </c>
      <c r="AN4335">
        <v>0.99999996002567304</v>
      </c>
    </row>
    <row r="4336" spans="1:40" x14ac:dyDescent="0.25">
      <c r="A4336" t="str">
        <f>"20190303170857772"</f>
        <v>20190303170857772</v>
      </c>
      <c r="B4336" t="str">
        <f>"1551604137758005"</f>
        <v>1551604137758005</v>
      </c>
      <c r="C4336" t="s">
        <v>40</v>
      </c>
      <c r="D4336">
        <v>4.6395189999999999</v>
      </c>
      <c r="E4336">
        <v>0.56716169999999899</v>
      </c>
      <c r="F4336" t="s">
        <v>46</v>
      </c>
      <c r="G4336">
        <v>-316.02159999999998</v>
      </c>
      <c r="H4336">
        <v>-0.05</v>
      </c>
      <c r="I4336">
        <v>9.6615909999999996</v>
      </c>
      <c r="J4336">
        <v>-363.1748</v>
      </c>
      <c r="K4336">
        <v>1.119815</v>
      </c>
      <c r="L4336">
        <v>16.00873</v>
      </c>
      <c r="M4336">
        <v>0.99884740000000005</v>
      </c>
      <c r="N4336">
        <v>-1.306511E-2</v>
      </c>
      <c r="O4336">
        <v>4.618966E-2</v>
      </c>
      <c r="P4336">
        <v>0.97808379999999995</v>
      </c>
      <c r="Q4336">
        <v>0.20672219999999999</v>
      </c>
      <c r="R4336">
        <v>2.4868120000000001E-2</v>
      </c>
      <c r="S4336">
        <v>3.094757</v>
      </c>
      <c r="T4336">
        <v>-7.6306219999999994E-2</v>
      </c>
      <c r="U4336">
        <v>-0.41323850000000001</v>
      </c>
      <c r="V4336">
        <v>2.1041480000000001E-2</v>
      </c>
      <c r="W4336">
        <v>0.219419</v>
      </c>
      <c r="X4336">
        <v>0.97540380000000004</v>
      </c>
      <c r="Y4336">
        <v>0.17791499999999999</v>
      </c>
      <c r="Z4336">
        <v>-3.8848239999999998E-3</v>
      </c>
      <c r="AA4336">
        <v>0.98403819999999997</v>
      </c>
      <c r="AB4336">
        <v>31</v>
      </c>
      <c r="AC4336">
        <v>47.153199999999998</v>
      </c>
      <c r="AD4336">
        <v>-1.169815</v>
      </c>
      <c r="AE4336">
        <v>-6.3471390000000003</v>
      </c>
      <c r="AF4336">
        <v>8.5133927681839001</v>
      </c>
      <c r="AG4336">
        <v>-1.169815</v>
      </c>
      <c r="AH4336">
        <v>46.7813866067048</v>
      </c>
      <c r="AI4336">
        <v>91.409302578083796</v>
      </c>
      <c r="AJ4336">
        <v>79.686041418796094</v>
      </c>
      <c r="AK4336">
        <v>47.564108910034001</v>
      </c>
      <c r="AL4336">
        <v>77.325089722106298</v>
      </c>
      <c r="AM4336">
        <v>88.764203048615698</v>
      </c>
      <c r="AN4336">
        <v>1.00000000724801</v>
      </c>
    </row>
    <row r="4337" spans="1:40" x14ac:dyDescent="0.25">
      <c r="A4337" t="str">
        <f>"20190303170857792"</f>
        <v>20190303170857792</v>
      </c>
      <c r="B4337" t="str">
        <f>"1551604137777526"</f>
        <v>1551604137777526</v>
      </c>
      <c r="C4337" t="s">
        <v>40</v>
      </c>
      <c r="D4337">
        <v>4.5839119999999998</v>
      </c>
      <c r="E4337">
        <v>0.56682829999999995</v>
      </c>
      <c r="F4337" t="s">
        <v>46</v>
      </c>
      <c r="G4337">
        <v>-315.47199999999998</v>
      </c>
      <c r="H4337">
        <v>-0.05</v>
      </c>
      <c r="I4337">
        <v>9.5488739999999996</v>
      </c>
      <c r="J4337">
        <v>-362.90480000000002</v>
      </c>
      <c r="K4337">
        <v>1.1198669999999999</v>
      </c>
      <c r="L4337">
        <v>16.0199</v>
      </c>
      <c r="M4337">
        <v>0.99890440000000003</v>
      </c>
      <c r="N4337">
        <v>-1.3051689999999999E-2</v>
      </c>
      <c r="O4337">
        <v>4.4941969999999998E-2</v>
      </c>
      <c r="P4337">
        <v>0.97813740000000005</v>
      </c>
      <c r="Q4337">
        <v>0.2066703</v>
      </c>
      <c r="R4337">
        <v>2.313316E-2</v>
      </c>
      <c r="S4337">
        <v>3.0939329999999998</v>
      </c>
      <c r="T4337">
        <v>-7.5872419999999996E-2</v>
      </c>
      <c r="U4337">
        <v>-0.41897580000000001</v>
      </c>
      <c r="V4337">
        <v>2.1531359999999999E-2</v>
      </c>
      <c r="W4337">
        <v>0.2193543</v>
      </c>
      <c r="X4337">
        <v>0.97540769999999999</v>
      </c>
      <c r="Y4337">
        <v>0.17851320000000001</v>
      </c>
      <c r="Z4337">
        <v>-3.8630299999999999E-3</v>
      </c>
      <c r="AA4337">
        <v>0.98392990000000002</v>
      </c>
      <c r="AB4337">
        <v>31</v>
      </c>
      <c r="AC4337">
        <v>47.4328</v>
      </c>
      <c r="AD4337">
        <v>-1.169867</v>
      </c>
      <c r="AE4337">
        <v>-6.4710260000000002</v>
      </c>
      <c r="AF4337">
        <v>8.5912609373868492</v>
      </c>
      <c r="AG4337">
        <v>-1.169867</v>
      </c>
      <c r="AH4337">
        <v>47.065913368192298</v>
      </c>
      <c r="AI4337">
        <v>91.400711677389793</v>
      </c>
      <c r="AJ4337">
        <v>79.655302677673305</v>
      </c>
      <c r="AK4337">
        <v>47.857899603661501</v>
      </c>
      <c r="AL4337">
        <v>77.328889808765794</v>
      </c>
      <c r="AM4337">
        <v>88.735445969107502</v>
      </c>
      <c r="AN4337">
        <v>1.0000000448056099</v>
      </c>
    </row>
    <row r="4338" spans="1:40" x14ac:dyDescent="0.25">
      <c r="A4338" t="str">
        <f>"20190303170857814"</f>
        <v>20190303170857814</v>
      </c>
      <c r="B4338" t="str">
        <f>"1551604137807781"</f>
        <v>1551604137807781</v>
      </c>
      <c r="C4338" t="s">
        <v>40</v>
      </c>
      <c r="D4338">
        <v>4.544251</v>
      </c>
      <c r="E4338">
        <v>0.56645599999999996</v>
      </c>
      <c r="F4338" t="s">
        <v>46</v>
      </c>
      <c r="G4338">
        <v>-314.84469999999999</v>
      </c>
      <c r="H4338">
        <v>-0.05</v>
      </c>
      <c r="I4338">
        <v>9.4668119999999991</v>
      </c>
      <c r="J4338">
        <v>-362.59309999999999</v>
      </c>
      <c r="K4338">
        <v>1.119909</v>
      </c>
      <c r="L4338">
        <v>16.032350000000001</v>
      </c>
      <c r="M4338">
        <v>0.99896600000000002</v>
      </c>
      <c r="N4338">
        <v>-1.3033889999999999E-2</v>
      </c>
      <c r="O4338">
        <v>4.3554820000000001E-2</v>
      </c>
      <c r="P4338">
        <v>0.9783847</v>
      </c>
      <c r="Q4338">
        <v>0.20559740000000001</v>
      </c>
      <c r="R4338">
        <v>2.220799E-2</v>
      </c>
      <c r="S4338">
        <v>3.0928960000000001</v>
      </c>
      <c r="T4338">
        <v>-7.5286510000000001E-2</v>
      </c>
      <c r="U4338">
        <v>-0.4217224</v>
      </c>
      <c r="V4338">
        <v>2.1081630000000001E-2</v>
      </c>
      <c r="W4338">
        <v>0.21827070000000001</v>
      </c>
      <c r="X4338">
        <v>0.97566059999999999</v>
      </c>
      <c r="Y4338">
        <v>0.17805009999999999</v>
      </c>
      <c r="Z4338">
        <v>-3.8136480000000002E-3</v>
      </c>
      <c r="AA4338">
        <v>0.98401400000000006</v>
      </c>
      <c r="AB4338">
        <v>31</v>
      </c>
      <c r="AC4338">
        <v>47.748399999999997</v>
      </c>
      <c r="AD4338">
        <v>-1.1699090000000001</v>
      </c>
      <c r="AE4338">
        <v>-6.5655380000000001</v>
      </c>
      <c r="AF4338">
        <v>8.6340690978876893</v>
      </c>
      <c r="AG4338">
        <v>-1.1699090000000001</v>
      </c>
      <c r="AH4338">
        <v>47.389174774392501</v>
      </c>
      <c r="AI4338">
        <v>91.3912944323841</v>
      </c>
      <c r="AJ4338">
        <v>79.674257582049094</v>
      </c>
      <c r="AK4338">
        <v>48.183500516808699</v>
      </c>
      <c r="AL4338">
        <v>77.392517731493299</v>
      </c>
      <c r="AM4338">
        <v>88.762171502222202</v>
      </c>
      <c r="AN4338">
        <v>1.0000000699971501</v>
      </c>
    </row>
    <row r="4339" spans="1:40" x14ac:dyDescent="0.25">
      <c r="A4339" t="str">
        <f>"20190303170857837"</f>
        <v>20190303170857837</v>
      </c>
      <c r="B4339" t="str">
        <f>"1551604137828277"</f>
        <v>1551604137828277</v>
      </c>
      <c r="C4339" t="s">
        <v>40</v>
      </c>
      <c r="D4339">
        <v>4.509773</v>
      </c>
      <c r="E4339">
        <v>0.56617079999999997</v>
      </c>
      <c r="F4339" t="s">
        <v>46</v>
      </c>
      <c r="G4339">
        <v>-315.10890000000001</v>
      </c>
      <c r="H4339">
        <v>-0.05</v>
      </c>
      <c r="I4339">
        <v>9.5388179999999991</v>
      </c>
      <c r="J4339">
        <v>-362.26650000000001</v>
      </c>
      <c r="K4339">
        <v>1.119945</v>
      </c>
      <c r="L4339">
        <v>16.04504</v>
      </c>
      <c r="M4339">
        <v>0.99902650000000004</v>
      </c>
      <c r="N4339">
        <v>-1.3014639999999999E-2</v>
      </c>
      <c r="O4339">
        <v>4.2153040000000003E-2</v>
      </c>
      <c r="P4339">
        <v>0.97852749999999999</v>
      </c>
      <c r="Q4339">
        <v>0.2049977</v>
      </c>
      <c r="R4339">
        <v>2.144851E-2</v>
      </c>
      <c r="S4339">
        <v>3.091888</v>
      </c>
      <c r="T4339">
        <v>-7.6177599999999998E-2</v>
      </c>
      <c r="U4339">
        <v>-0.422821</v>
      </c>
      <c r="V4339">
        <v>2.0451270000000001E-2</v>
      </c>
      <c r="W4339">
        <v>0.21765780000000001</v>
      </c>
      <c r="X4339">
        <v>0.97581090000000004</v>
      </c>
      <c r="Y4339">
        <v>0.17705419999999999</v>
      </c>
      <c r="Z4339">
        <v>-3.816823E-3</v>
      </c>
      <c r="AA4339">
        <v>0.98419369999999995</v>
      </c>
      <c r="AB4339">
        <v>31</v>
      </c>
      <c r="AC4339">
        <v>47.157600000000002</v>
      </c>
      <c r="AD4339">
        <v>-1.169945</v>
      </c>
      <c r="AE4339">
        <v>-6.5062220000000002</v>
      </c>
      <c r="AF4339">
        <v>8.48331849087735</v>
      </c>
      <c r="AG4339">
        <v>-1.169945</v>
      </c>
      <c r="AH4339">
        <v>46.813122150476801</v>
      </c>
      <c r="AI4339">
        <v>91.408693576099495</v>
      </c>
      <c r="AJ4339">
        <v>79.728517844112005</v>
      </c>
      <c r="AK4339">
        <v>47.5899555515253</v>
      </c>
      <c r="AL4339">
        <v>77.428499077710995</v>
      </c>
      <c r="AM4339">
        <v>88.799357605028703</v>
      </c>
      <c r="AN4339">
        <v>1.00000004245213</v>
      </c>
    </row>
    <row r="4340" spans="1:40" x14ac:dyDescent="0.25">
      <c r="A4340" t="str">
        <f>"20190303170857859"</f>
        <v>20190303170857859</v>
      </c>
      <c r="B4340" t="str">
        <f>"1551604137847797"</f>
        <v>1551604137847797</v>
      </c>
      <c r="C4340" t="s">
        <v>40</v>
      </c>
      <c r="D4340">
        <v>4.4720579999999996</v>
      </c>
      <c r="E4340">
        <v>0.56591179999999996</v>
      </c>
      <c r="F4340" t="s">
        <v>46</v>
      </c>
      <c r="G4340">
        <v>-315.1266</v>
      </c>
      <c r="H4340">
        <v>-0.05</v>
      </c>
      <c r="I4340">
        <v>9.5827030000000004</v>
      </c>
      <c r="J4340">
        <v>-361.95549999999997</v>
      </c>
      <c r="K4340">
        <v>1.1199840000000001</v>
      </c>
      <c r="L4340">
        <v>16.056729999999899</v>
      </c>
      <c r="M4340">
        <v>0.99908050000000004</v>
      </c>
      <c r="N4340">
        <v>-1.299642E-2</v>
      </c>
      <c r="O4340">
        <v>4.0856570000000002E-2</v>
      </c>
      <c r="P4340">
        <v>0.97844759999999997</v>
      </c>
      <c r="Q4340">
        <v>0.20543700000000001</v>
      </c>
      <c r="R4340">
        <v>2.088512E-2</v>
      </c>
      <c r="S4340">
        <v>3.0911870000000001</v>
      </c>
      <c r="T4340">
        <v>-7.6718809999999998E-2</v>
      </c>
      <c r="U4340">
        <v>-0.42376710000000001</v>
      </c>
      <c r="V4340">
        <v>1.9724950000000002E-2</v>
      </c>
      <c r="W4340">
        <v>0.2180822</v>
      </c>
      <c r="X4340">
        <v>0.97573109999999996</v>
      </c>
      <c r="Y4340">
        <v>0.17610209999999901</v>
      </c>
      <c r="Z4340">
        <v>-3.8061670000000001E-3</v>
      </c>
      <c r="AA4340">
        <v>0.98436460000000003</v>
      </c>
      <c r="AB4340">
        <v>31</v>
      </c>
      <c r="AC4340">
        <v>46.828899999999898</v>
      </c>
      <c r="AD4340">
        <v>-1.1699839999999999</v>
      </c>
      <c r="AE4340">
        <v>-6.4740269999999898</v>
      </c>
      <c r="AF4340">
        <v>8.3769193308604795</v>
      </c>
      <c r="AG4340">
        <v>-1.1699839999999999</v>
      </c>
      <c r="AH4340">
        <v>46.496783883016199</v>
      </c>
      <c r="AI4340">
        <v>91.418582743427393</v>
      </c>
      <c r="AJ4340">
        <v>79.787076786419306</v>
      </c>
      <c r="AK4340">
        <v>47.259840790039803</v>
      </c>
      <c r="AL4340">
        <v>77.403584331491203</v>
      </c>
      <c r="AM4340">
        <v>88.841891510261902</v>
      </c>
      <c r="AN4340">
        <v>1.0000000495582699</v>
      </c>
    </row>
    <row r="4341" spans="1:40" x14ac:dyDescent="0.25">
      <c r="A4341" t="str">
        <f>"20190303170857880"</f>
        <v>20190303170857880</v>
      </c>
      <c r="B4341" t="str">
        <f>"1551604137868293"</f>
        <v>1551604137868293</v>
      </c>
      <c r="C4341" t="s">
        <v>40</v>
      </c>
      <c r="D4341">
        <v>4.4327529999999999</v>
      </c>
      <c r="E4341">
        <v>0.56566569999999905</v>
      </c>
      <c r="F4341" t="s">
        <v>46</v>
      </c>
      <c r="G4341">
        <v>-314.0779</v>
      </c>
      <c r="H4341">
        <v>-0.05</v>
      </c>
      <c r="I4341">
        <v>9.5145420000000005</v>
      </c>
      <c r="J4341">
        <v>-361.66109999999998</v>
      </c>
      <c r="K4341">
        <v>1.120007</v>
      </c>
      <c r="L4341">
        <v>16.06747</v>
      </c>
      <c r="M4341">
        <v>0.99912909999999999</v>
      </c>
      <c r="N4341">
        <v>-1.297976E-2</v>
      </c>
      <c r="O4341">
        <v>3.9656789999999997E-2</v>
      </c>
      <c r="P4341">
        <v>0.97842119999999999</v>
      </c>
      <c r="Q4341">
        <v>0.2056104</v>
      </c>
      <c r="R4341">
        <v>2.04114E-2</v>
      </c>
      <c r="S4341">
        <v>3.090973</v>
      </c>
      <c r="T4341">
        <v>-7.5534110000000002E-2</v>
      </c>
      <c r="U4341">
        <v>-0.4223633</v>
      </c>
      <c r="V4341">
        <v>1.9007799999999998E-2</v>
      </c>
      <c r="W4341">
        <v>0.2182423</v>
      </c>
      <c r="X4341">
        <v>0.97570950000000001</v>
      </c>
      <c r="Y4341">
        <v>0.17449310000000001</v>
      </c>
      <c r="Z4341">
        <v>-3.7126889999999999E-3</v>
      </c>
      <c r="AA4341">
        <v>0.98465139999999995</v>
      </c>
      <c r="AB4341">
        <v>31</v>
      </c>
      <c r="AC4341">
        <v>47.583199999999898</v>
      </c>
      <c r="AD4341">
        <v>-1.170007</v>
      </c>
      <c r="AE4341">
        <v>-6.5529279999999996</v>
      </c>
      <c r="AF4341">
        <v>8.4299263059466707</v>
      </c>
      <c r="AG4341">
        <v>-1.170007</v>
      </c>
      <c r="AH4341">
        <v>47.257832495135197</v>
      </c>
      <c r="AI4341">
        <v>91.396205519403097</v>
      </c>
      <c r="AJ4341">
        <v>79.885870684991602</v>
      </c>
      <c r="AK4341">
        <v>48.0180727022857</v>
      </c>
      <c r="AL4341">
        <v>77.394184402084505</v>
      </c>
      <c r="AM4341">
        <v>88.883961897668797</v>
      </c>
      <c r="AN4341">
        <v>1.0000000131801901</v>
      </c>
    </row>
    <row r="4342" spans="1:40" x14ac:dyDescent="0.25">
      <c r="A4342" t="str">
        <f>"20190303170857902"</f>
        <v>20190303170857902</v>
      </c>
      <c r="B4342" t="str">
        <f>"1551604137897573"</f>
        <v>1551604137897573</v>
      </c>
      <c r="C4342" t="s">
        <v>40</v>
      </c>
      <c r="D4342">
        <v>4.4259639999999996</v>
      </c>
      <c r="E4342">
        <v>0.56535550000000001</v>
      </c>
      <c r="F4342" t="s">
        <v>46</v>
      </c>
      <c r="G4342">
        <v>-313.11610000000002</v>
      </c>
      <c r="H4342">
        <v>-0.05</v>
      </c>
      <c r="I4342">
        <v>9.4491270000000007</v>
      </c>
      <c r="J4342">
        <v>-361.35140000000001</v>
      </c>
      <c r="K4342">
        <v>1.120034</v>
      </c>
      <c r="L4342">
        <v>16.078399999999998</v>
      </c>
      <c r="M4342">
        <v>0.9991776</v>
      </c>
      <c r="N4342">
        <v>-1.296332E-2</v>
      </c>
      <c r="O4342">
        <v>3.841787E-2</v>
      </c>
      <c r="P4342">
        <v>0.97851469999999896</v>
      </c>
      <c r="Q4342">
        <v>0.2051347</v>
      </c>
      <c r="R4342">
        <v>2.0705189999999998E-2</v>
      </c>
      <c r="S4342">
        <v>3.0906069999999999</v>
      </c>
      <c r="T4342">
        <v>-7.4488280000000004E-2</v>
      </c>
      <c r="U4342">
        <v>-0.42135620000000001</v>
      </c>
      <c r="V4342">
        <v>1.7489250000000001E-2</v>
      </c>
      <c r="W4342">
        <v>0.21775739999999999</v>
      </c>
      <c r="X4342">
        <v>0.9758462</v>
      </c>
      <c r="Y4342">
        <v>0.1729754</v>
      </c>
      <c r="Z4342">
        <v>-3.6276939999999999E-3</v>
      </c>
      <c r="AA4342">
        <v>0.98491949999999995</v>
      </c>
      <c r="AB4342">
        <v>31</v>
      </c>
      <c r="AC4342">
        <v>48.235300000000002</v>
      </c>
      <c r="AD4342">
        <v>-1.170034</v>
      </c>
      <c r="AE4342">
        <v>-6.6292729999999898</v>
      </c>
      <c r="AF4342">
        <v>8.4727386566347107</v>
      </c>
      <c r="AG4342">
        <v>-1.170034</v>
      </c>
      <c r="AH4342">
        <v>47.9173093672918</v>
      </c>
      <c r="AI4342">
        <v>91.377399149978402</v>
      </c>
      <c r="AJ4342">
        <v>79.972606149631702</v>
      </c>
      <c r="AK4342">
        <v>48.674683531642401</v>
      </c>
      <c r="AL4342">
        <v>77.422651409454105</v>
      </c>
      <c r="AM4342">
        <v>88.973247070833906</v>
      </c>
      <c r="AN4342">
        <v>0.99999998258738099</v>
      </c>
    </row>
    <row r="4343" spans="1:40" x14ac:dyDescent="0.25">
      <c r="A4343" t="str">
        <f>"20190303170857926"</f>
        <v>20190303170857926</v>
      </c>
      <c r="B4343" t="str">
        <f>"1551604137918070"</f>
        <v>1551604137918070</v>
      </c>
      <c r="C4343" t="s">
        <v>40</v>
      </c>
      <c r="D4343">
        <v>4.4299480000000004</v>
      </c>
      <c r="E4343">
        <v>0.56517640000000002</v>
      </c>
      <c r="F4343" t="s">
        <v>46</v>
      </c>
      <c r="G4343">
        <v>-312.71269999999998</v>
      </c>
      <c r="H4343">
        <v>-0.05</v>
      </c>
      <c r="I4343">
        <v>9.4879149999999992</v>
      </c>
      <c r="J4343">
        <v>-361.0138</v>
      </c>
      <c r="K4343">
        <v>1.1200650000000001</v>
      </c>
      <c r="L4343">
        <v>16.0899</v>
      </c>
      <c r="M4343">
        <v>0.99922820000000001</v>
      </c>
      <c r="N4343">
        <v>-1.2946900000000001E-2</v>
      </c>
      <c r="O4343">
        <v>3.7088629999999997E-2</v>
      </c>
      <c r="P4343">
        <v>0.97860999999999998</v>
      </c>
      <c r="Q4343">
        <v>0.20473620000000001</v>
      </c>
      <c r="R4343">
        <v>2.0145429999999999E-2</v>
      </c>
      <c r="S4343">
        <v>3.0903019999999999</v>
      </c>
      <c r="T4343">
        <v>-7.433903E-2</v>
      </c>
      <c r="U4343">
        <v>-0.41873169999999998</v>
      </c>
      <c r="V4343">
        <v>1.6735819999999998E-2</v>
      </c>
      <c r="W4343">
        <v>0.21734690000000001</v>
      </c>
      <c r="X4343">
        <v>0.97595100000000001</v>
      </c>
      <c r="Y4343">
        <v>0.1708578</v>
      </c>
      <c r="Z4343">
        <v>-3.5674019999999999E-3</v>
      </c>
      <c r="AA4343">
        <v>0.98528930000000003</v>
      </c>
      <c r="AB4343">
        <v>31</v>
      </c>
      <c r="AC4343">
        <v>48.301099999999998</v>
      </c>
      <c r="AD4343">
        <v>-1.1700649999999999</v>
      </c>
      <c r="AE4343">
        <v>-6.601985</v>
      </c>
      <c r="AF4343">
        <v>8.3841837771863599</v>
      </c>
      <c r="AG4343">
        <v>-1.1700649999999999</v>
      </c>
      <c r="AH4343">
        <v>47.995335080414002</v>
      </c>
      <c r="AI4343">
        <v>91.375697079971602</v>
      </c>
      <c r="AJ4343">
        <v>80.091129829909605</v>
      </c>
      <c r="AK4343">
        <v>48.736185521592503</v>
      </c>
      <c r="AL4343">
        <v>77.446749452436805</v>
      </c>
      <c r="AM4343">
        <v>89.017575802211695</v>
      </c>
      <c r="AN4343">
        <v>1.00000005850583</v>
      </c>
    </row>
    <row r="4344" spans="1:40" x14ac:dyDescent="0.25">
      <c r="A4344" t="str">
        <f>"20190303170857950"</f>
        <v>20190303170857950</v>
      </c>
      <c r="B4344" t="str">
        <f>"1551604137937589"</f>
        <v>1551604137937589</v>
      </c>
      <c r="C4344" t="s">
        <v>40</v>
      </c>
      <c r="D4344">
        <v>4.4250749999999996</v>
      </c>
      <c r="E4344">
        <v>0.56500030000000001</v>
      </c>
      <c r="F4344" t="s">
        <v>46</v>
      </c>
      <c r="G4344">
        <v>-312.47579999999999</v>
      </c>
      <c r="H4344">
        <v>-0.05</v>
      </c>
      <c r="I4344">
        <v>9.4900509999999993</v>
      </c>
      <c r="J4344">
        <v>-360.6934</v>
      </c>
      <c r="K4344">
        <v>1.1200920000000001</v>
      </c>
      <c r="L4344">
        <v>16.100429999999999</v>
      </c>
      <c r="M4344">
        <v>0.99927370000000004</v>
      </c>
      <c r="N4344">
        <v>-1.293826E-2</v>
      </c>
      <c r="O4344">
        <v>3.5847400000000001E-2</v>
      </c>
      <c r="P4344">
        <v>0.97866549999999997</v>
      </c>
      <c r="Q4344">
        <v>0.20453550000000001</v>
      </c>
      <c r="R4344">
        <v>1.9469710000000001E-2</v>
      </c>
      <c r="S4344">
        <v>3.0898439999999998</v>
      </c>
      <c r="T4344">
        <v>-7.4484229999999998E-2</v>
      </c>
      <c r="U4344">
        <v>-0.4201355</v>
      </c>
      <c r="V4344">
        <v>1.6186079999999999E-2</v>
      </c>
      <c r="W4344">
        <v>0.21714069999999999</v>
      </c>
      <c r="X4344">
        <v>0.97600609999999999</v>
      </c>
      <c r="Y4344">
        <v>0.17009289999999999</v>
      </c>
      <c r="Z4344">
        <v>-3.5451290000000002E-3</v>
      </c>
      <c r="AA4344">
        <v>0.98542169999999896</v>
      </c>
      <c r="AB4344">
        <v>31</v>
      </c>
      <c r="AC4344">
        <v>48.217599999999997</v>
      </c>
      <c r="AD4344">
        <v>-1.1700919999999999</v>
      </c>
      <c r="AE4344">
        <v>-6.6103789999999902</v>
      </c>
      <c r="AF4344">
        <v>8.3299347484930699</v>
      </c>
      <c r="AG4344">
        <v>-1.1700919999999999</v>
      </c>
      <c r="AH4344">
        <v>47.9219197141325</v>
      </c>
      <c r="AI4344">
        <v>91.378036950325495</v>
      </c>
      <c r="AJ4344">
        <v>80.139197420872406</v>
      </c>
      <c r="AK4344">
        <v>48.654571391498003</v>
      </c>
      <c r="AL4344">
        <v>77.458852030642404</v>
      </c>
      <c r="AM4344">
        <v>89.049894191402004</v>
      </c>
      <c r="AN4344">
        <v>0.99999999000973305</v>
      </c>
    </row>
    <row r="4345" spans="1:40" x14ac:dyDescent="0.25">
      <c r="A4345" t="str">
        <f>"20190303170857980"</f>
        <v>20190303170857980</v>
      </c>
      <c r="B4345" t="str">
        <f>"1551604137967845"</f>
        <v>1551604137967845</v>
      </c>
      <c r="C4345" t="s">
        <v>40</v>
      </c>
      <c r="D4345">
        <v>4.4306269999999897</v>
      </c>
      <c r="E4345">
        <v>0.56481729999999997</v>
      </c>
      <c r="F4345" t="s">
        <v>46</v>
      </c>
      <c r="G4345">
        <v>-312.02550000000002</v>
      </c>
      <c r="H4345">
        <v>-0.05</v>
      </c>
      <c r="I4345">
        <v>9.4701229999999992</v>
      </c>
      <c r="J4345">
        <v>-360.27280000000002</v>
      </c>
      <c r="K4345">
        <v>1.1201270000000001</v>
      </c>
      <c r="L4345">
        <v>16.11365</v>
      </c>
      <c r="M4345">
        <v>0.99932969999999999</v>
      </c>
      <c r="N4345">
        <v>-1.2943339999999999E-2</v>
      </c>
      <c r="O4345">
        <v>3.4244490000000002E-2</v>
      </c>
      <c r="P4345">
        <v>0.97868730000000004</v>
      </c>
      <c r="Q4345">
        <v>0.2045419</v>
      </c>
      <c r="R4345">
        <v>1.8271550000000001E-2</v>
      </c>
      <c r="S4345">
        <v>3.089264</v>
      </c>
      <c r="T4345">
        <v>-7.4273350000000002E-2</v>
      </c>
      <c r="U4345">
        <v>-0.42086790000000002</v>
      </c>
      <c r="V4345">
        <v>1.580202E-2</v>
      </c>
      <c r="W4345">
        <v>0.21715419999999999</v>
      </c>
      <c r="X4345">
        <v>0.97600940000000003</v>
      </c>
      <c r="Y4345">
        <v>0.16876720000000001</v>
      </c>
      <c r="Z4345">
        <v>-3.4954610000000001E-3</v>
      </c>
      <c r="AA4345">
        <v>0.98564980000000002</v>
      </c>
      <c r="AB4345">
        <v>31</v>
      </c>
      <c r="AC4345">
        <v>48.247300000000003</v>
      </c>
      <c r="AD4345">
        <v>-1.1701269999999999</v>
      </c>
      <c r="AE4345">
        <v>-6.6435269999999997</v>
      </c>
      <c r="AF4345">
        <v>8.2871886006031907</v>
      </c>
      <c r="AG4345">
        <v>-1.1701269999999999</v>
      </c>
      <c r="AH4345">
        <v>47.9637872594706</v>
      </c>
      <c r="AI4345">
        <v>91.377117229026794</v>
      </c>
      <c r="AJ4345">
        <v>80.197211520251599</v>
      </c>
      <c r="AK4345">
        <v>48.6885158982059</v>
      </c>
      <c r="AL4345">
        <v>77.458059752881596</v>
      </c>
      <c r="AM4345">
        <v>89.072437257002605</v>
      </c>
      <c r="AN4345">
        <v>0.99999999965104003</v>
      </c>
    </row>
    <row r="4346" spans="1:40" x14ac:dyDescent="0.25">
      <c r="A4346" t="str">
        <f>"20190303170858003"</f>
        <v>20190303170858003</v>
      </c>
      <c r="B4346" t="str">
        <f>"1551604137998101"</f>
        <v>1551604137998101</v>
      </c>
      <c r="C4346" t="s">
        <v>40</v>
      </c>
      <c r="D4346">
        <v>4.4451130000000001</v>
      </c>
      <c r="E4346">
        <v>0.56465859999999901</v>
      </c>
      <c r="F4346" t="s">
        <v>46</v>
      </c>
      <c r="G4346">
        <v>-310.84390000000002</v>
      </c>
      <c r="H4346">
        <v>-0.05</v>
      </c>
      <c r="I4346">
        <v>9.3389430000000004</v>
      </c>
      <c r="J4346">
        <v>-359.94580000000002</v>
      </c>
      <c r="K4346">
        <v>1.1201490000000001</v>
      </c>
      <c r="L4346">
        <v>16.1235</v>
      </c>
      <c r="M4346">
        <v>0.99937089999999995</v>
      </c>
      <c r="N4346">
        <v>-1.2955380000000001E-2</v>
      </c>
      <c r="O4346">
        <v>3.3013430000000003E-2</v>
      </c>
      <c r="P4346">
        <v>0.97893949999999996</v>
      </c>
      <c r="Q4346">
        <v>0.2033643</v>
      </c>
      <c r="R4346">
        <v>1.7900470000000002E-2</v>
      </c>
      <c r="S4346">
        <v>3.0885009999999999</v>
      </c>
      <c r="T4346">
        <v>-7.3113919999999999E-2</v>
      </c>
      <c r="U4346">
        <v>-0.4233093</v>
      </c>
      <c r="V4346">
        <v>1.4964079999999999E-2</v>
      </c>
      <c r="W4346">
        <v>0.21599409999999999</v>
      </c>
      <c r="X4346">
        <v>0.97628000000000004</v>
      </c>
      <c r="Y4346">
        <v>0.168352799999999</v>
      </c>
      <c r="Z4346">
        <v>-3.4316419999999999E-3</v>
      </c>
      <c r="AA4346">
        <v>0.98572079999999995</v>
      </c>
      <c r="AB4346">
        <v>31</v>
      </c>
      <c r="AC4346">
        <v>49.101900000000001</v>
      </c>
      <c r="AD4346">
        <v>-1.1701489999999899</v>
      </c>
      <c r="AE4346">
        <v>-6.7845570000000004</v>
      </c>
      <c r="AF4346">
        <v>8.3973367699871204</v>
      </c>
      <c r="AG4346">
        <v>-1.1701489999999899</v>
      </c>
      <c r="AH4346">
        <v>48.8239216221194</v>
      </c>
      <c r="AI4346">
        <v>91.353069369069601</v>
      </c>
      <c r="AJ4346">
        <v>80.241049290755697</v>
      </c>
      <c r="AK4346">
        <v>49.554614679902798</v>
      </c>
      <c r="AL4346">
        <v>77.526144591860799</v>
      </c>
      <c r="AM4346">
        <v>89.1218590010415</v>
      </c>
      <c r="AN4346">
        <v>1.0000000066625201</v>
      </c>
    </row>
    <row r="4347" spans="1:40" x14ac:dyDescent="0.25">
      <c r="A4347" t="str">
        <f>"20190303170858026"</f>
        <v>20190303170858026</v>
      </c>
      <c r="B4347" t="str">
        <f>"1551604138017621"</f>
        <v>1551604138017621</v>
      </c>
      <c r="C4347" t="s">
        <v>40</v>
      </c>
      <c r="D4347">
        <v>4.4432559999999999</v>
      </c>
      <c r="E4347">
        <v>0.56450269999999902</v>
      </c>
      <c r="F4347" t="s">
        <v>46</v>
      </c>
      <c r="G4347">
        <v>-312.32130000000001</v>
      </c>
      <c r="H4347">
        <v>-0.05</v>
      </c>
      <c r="I4347">
        <v>9.5933069999999994</v>
      </c>
      <c r="J4347">
        <v>-359.63389999999998</v>
      </c>
      <c r="K4347">
        <v>1.120169</v>
      </c>
      <c r="L4347">
        <v>16.132539999999999</v>
      </c>
      <c r="M4347">
        <v>0.99940819999999997</v>
      </c>
      <c r="N4347">
        <v>-1.2976349999999999E-2</v>
      </c>
      <c r="O4347">
        <v>3.185897E-2</v>
      </c>
      <c r="P4347">
        <v>0.97918930000000004</v>
      </c>
      <c r="Q4347">
        <v>0.2021927</v>
      </c>
      <c r="R4347">
        <v>1.7511430000000001E-2</v>
      </c>
      <c r="S4347">
        <v>3.0880740000000002</v>
      </c>
      <c r="T4347">
        <v>-7.5874919999999998E-2</v>
      </c>
      <c r="U4347">
        <v>-0.42343140000000001</v>
      </c>
      <c r="V4347">
        <v>1.421821E-2</v>
      </c>
      <c r="W4347">
        <v>0.2148486</v>
      </c>
      <c r="X4347">
        <v>0.97654379999999996</v>
      </c>
      <c r="Y4347">
        <v>0.1672662</v>
      </c>
      <c r="Z4347">
        <v>-3.5036619999999998E-3</v>
      </c>
      <c r="AA4347">
        <v>0.98590549999999999</v>
      </c>
      <c r="AB4347">
        <v>31</v>
      </c>
      <c r="AC4347">
        <v>47.312599999999897</v>
      </c>
      <c r="AD4347">
        <v>-1.170169</v>
      </c>
      <c r="AE4347">
        <v>-6.5392329999999896</v>
      </c>
      <c r="AF4347">
        <v>8.0385454235098504</v>
      </c>
      <c r="AG4347">
        <v>-1.170169</v>
      </c>
      <c r="AH4347">
        <v>47.051985582272899</v>
      </c>
      <c r="AI4347">
        <v>91.4042971313159</v>
      </c>
      <c r="AJ4347">
        <v>80.304966625334501</v>
      </c>
      <c r="AK4347">
        <v>47.748056036333097</v>
      </c>
      <c r="AL4347">
        <v>77.593354037328695</v>
      </c>
      <c r="AM4347">
        <v>89.165848097830605</v>
      </c>
      <c r="AN4347">
        <v>0.99999993586799996</v>
      </c>
    </row>
    <row r="4348" spans="1:40" x14ac:dyDescent="0.25">
      <c r="A4348" t="str">
        <f>"20190303170858048"</f>
        <v>20190303170858048</v>
      </c>
      <c r="B4348" t="str">
        <f>"1551604138038117"</f>
        <v>1551604138038117</v>
      </c>
      <c r="C4348" t="s">
        <v>40</v>
      </c>
      <c r="D4348">
        <v>4.4697789999999999</v>
      </c>
      <c r="E4348">
        <v>0.56440190000000001</v>
      </c>
      <c r="F4348" t="s">
        <v>46</v>
      </c>
      <c r="G4348">
        <v>-314.0643</v>
      </c>
      <c r="H4348">
        <v>-0.05</v>
      </c>
      <c r="I4348">
        <v>9.8784639999999992</v>
      </c>
      <c r="J4348">
        <v>-359.33089999999999</v>
      </c>
      <c r="K4348">
        <v>1.120196</v>
      </c>
      <c r="L4348">
        <v>16.140989999999999</v>
      </c>
      <c r="M4348">
        <v>0.99944219999999895</v>
      </c>
      <c r="N4348">
        <v>-1.3002639999999999E-2</v>
      </c>
      <c r="O4348">
        <v>3.0765480000000001E-2</v>
      </c>
      <c r="P4348">
        <v>0.97931040000000003</v>
      </c>
      <c r="Q4348">
        <v>0.20164570000000001</v>
      </c>
      <c r="R4348">
        <v>1.7038640000000001E-2</v>
      </c>
      <c r="S4348">
        <v>3.0877379999999999</v>
      </c>
      <c r="T4348">
        <v>-7.9289199999999893E-2</v>
      </c>
      <c r="U4348">
        <v>-0.42376710000000001</v>
      </c>
      <c r="V4348">
        <v>1.361017E-2</v>
      </c>
      <c r="W4348">
        <v>0.21433170000000001</v>
      </c>
      <c r="X4348">
        <v>0.97666609999999998</v>
      </c>
      <c r="Y4348">
        <v>0.16630139999999999</v>
      </c>
      <c r="Z4348">
        <v>-3.5999700000000001E-3</v>
      </c>
      <c r="AA4348">
        <v>0.98606839999999996</v>
      </c>
      <c r="AB4348">
        <v>31</v>
      </c>
      <c r="AC4348">
        <v>45.266599999999897</v>
      </c>
      <c r="AD4348">
        <v>-1.170196</v>
      </c>
      <c r="AE4348">
        <v>-6.2625259999999896</v>
      </c>
      <c r="AF4348">
        <v>7.6473126228955799</v>
      </c>
      <c r="AG4348">
        <v>-1.170196</v>
      </c>
      <c r="AH4348">
        <v>45.0229596006604</v>
      </c>
      <c r="AI4348">
        <v>91.467831125601506</v>
      </c>
      <c r="AJ4348">
        <v>80.360106322138094</v>
      </c>
      <c r="AK4348">
        <v>45.682793699963398</v>
      </c>
      <c r="AL4348">
        <v>77.623677330843094</v>
      </c>
      <c r="AM4348">
        <v>89.201615754239697</v>
      </c>
      <c r="AN4348">
        <v>0.999999992620764</v>
      </c>
    </row>
    <row r="4349" spans="1:40" x14ac:dyDescent="0.25">
      <c r="A4349" t="str">
        <f>"20190303170858070"</f>
        <v>20190303170858070</v>
      </c>
      <c r="B4349" t="str">
        <f>"1551604138057637"</f>
        <v>1551604138057637</v>
      </c>
      <c r="C4349" t="s">
        <v>40</v>
      </c>
      <c r="D4349">
        <v>4.4985220000000004</v>
      </c>
      <c r="E4349">
        <v>0.5642895</v>
      </c>
      <c r="F4349" t="s">
        <v>46</v>
      </c>
      <c r="G4349">
        <v>-314.43979999999999</v>
      </c>
      <c r="H4349">
        <v>-0.05</v>
      </c>
      <c r="I4349">
        <v>9.9650569999999998</v>
      </c>
      <c r="J4349">
        <v>-359.02820000000003</v>
      </c>
      <c r="K4349">
        <v>1.1202299999999901</v>
      </c>
      <c r="L4349">
        <v>16.149170000000002</v>
      </c>
      <c r="M4349">
        <v>0.99947359999999996</v>
      </c>
      <c r="N4349">
        <v>-1.302965E-2</v>
      </c>
      <c r="O4349">
        <v>2.9712019999999999E-2</v>
      </c>
      <c r="P4349">
        <v>0.97920359999999995</v>
      </c>
      <c r="Q4349">
        <v>0.20225609999999999</v>
      </c>
      <c r="R4349">
        <v>1.591099E-2</v>
      </c>
      <c r="S4349">
        <v>3.0873409999999999</v>
      </c>
      <c r="T4349">
        <v>-8.0479149999999999E-2</v>
      </c>
      <c r="U4349">
        <v>-0.4247437</v>
      </c>
      <c r="V4349">
        <v>1.368692E-2</v>
      </c>
      <c r="W4349">
        <v>0.2149674</v>
      </c>
      <c r="X4349">
        <v>0.97652530000000004</v>
      </c>
      <c r="Y4349">
        <v>0.16558339999999999</v>
      </c>
      <c r="Z4349">
        <v>-3.6177269999999998E-3</v>
      </c>
      <c r="AA4349">
        <v>0.98618910000000004</v>
      </c>
      <c r="AB4349">
        <v>31</v>
      </c>
      <c r="AC4349">
        <v>44.5884</v>
      </c>
      <c r="AD4349">
        <v>-1.1702300000000001</v>
      </c>
      <c r="AE4349">
        <v>-6.184113</v>
      </c>
      <c r="AF4349">
        <v>7.50123671949334</v>
      </c>
      <c r="AG4349">
        <v>-1.1702300000000001</v>
      </c>
      <c r="AH4349">
        <v>44.354977322343998</v>
      </c>
      <c r="AI4349">
        <v>91.4901503635447</v>
      </c>
      <c r="AJ4349">
        <v>80.401062622747901</v>
      </c>
      <c r="AK4349">
        <v>45.000022264888102</v>
      </c>
      <c r="AL4349">
        <v>77.586385108807505</v>
      </c>
      <c r="AM4349">
        <v>89.196998372422499</v>
      </c>
      <c r="AN4349">
        <v>0.99999998819096803</v>
      </c>
    </row>
    <row r="4350" spans="1:40" x14ac:dyDescent="0.25">
      <c r="A4350" t="str">
        <f>"20190303170858093"</f>
        <v>20190303170858093</v>
      </c>
      <c r="B4350" t="str">
        <f>"1551604138087893"</f>
        <v>1551604138087893</v>
      </c>
      <c r="C4350" t="s">
        <v>40</v>
      </c>
      <c r="D4350">
        <v>4.5242930000000001</v>
      </c>
      <c r="E4350">
        <v>0.56415099999999996</v>
      </c>
      <c r="F4350" t="s">
        <v>46</v>
      </c>
      <c r="G4350">
        <v>-312.58390000000003</v>
      </c>
      <c r="H4350">
        <v>-0.05</v>
      </c>
      <c r="I4350">
        <v>9.7128449999999997</v>
      </c>
      <c r="J4350">
        <v>-358.70909999999998</v>
      </c>
      <c r="K4350">
        <v>1.1202840000000001</v>
      </c>
      <c r="L4350">
        <v>16.157440000000001</v>
      </c>
      <c r="M4350">
        <v>0.9995039</v>
      </c>
      <c r="N4350">
        <v>-1.306238E-2</v>
      </c>
      <c r="O4350">
        <v>2.8659029999999999E-2</v>
      </c>
      <c r="P4350">
        <v>0.97927920000000002</v>
      </c>
      <c r="Q4350">
        <v>0.201959</v>
      </c>
      <c r="R4350">
        <v>1.499112E-2</v>
      </c>
      <c r="S4350">
        <v>3.0867309999999999</v>
      </c>
      <c r="T4350">
        <v>-7.777452E-2</v>
      </c>
      <c r="U4350">
        <v>-0.4277649</v>
      </c>
      <c r="V4350">
        <v>1.3553859999999999E-2</v>
      </c>
      <c r="W4350">
        <v>0.2147048</v>
      </c>
      <c r="X4350">
        <v>0.97658500000000004</v>
      </c>
      <c r="Y4350">
        <v>0.1655229</v>
      </c>
      <c r="Z4350">
        <v>-3.50798E-3</v>
      </c>
      <c r="AA4350">
        <v>0.98619970000000001</v>
      </c>
      <c r="AB4350">
        <v>31</v>
      </c>
      <c r="AC4350">
        <v>46.1251999999999</v>
      </c>
      <c r="AD4350">
        <v>-1.1702840000000001</v>
      </c>
      <c r="AE4350">
        <v>-6.4445949999999996</v>
      </c>
      <c r="AF4350">
        <v>7.7590645453105598</v>
      </c>
      <c r="AG4350">
        <v>-1.1702840000000001</v>
      </c>
      <c r="AH4350">
        <v>45.892562141717299</v>
      </c>
      <c r="AI4350">
        <v>91.440323552892593</v>
      </c>
      <c r="AJ4350">
        <v>80.403740017520605</v>
      </c>
      <c r="AK4350">
        <v>46.558564273292802</v>
      </c>
      <c r="AL4350">
        <v>77.601791607036802</v>
      </c>
      <c r="AM4350">
        <v>89.204852503563302</v>
      </c>
      <c r="AN4350">
        <v>1.0000000602444601</v>
      </c>
    </row>
    <row r="4351" spans="1:40" x14ac:dyDescent="0.25">
      <c r="A4351" t="str">
        <f>"20190303170858116"</f>
        <v>20190303170858116</v>
      </c>
      <c r="B4351" t="str">
        <f>"1551604138108389"</f>
        <v>1551604138108389</v>
      </c>
      <c r="C4351" t="s">
        <v>40</v>
      </c>
      <c r="D4351">
        <v>4.5472039999999998</v>
      </c>
      <c r="E4351">
        <v>0.56407589999999996</v>
      </c>
      <c r="F4351" t="s">
        <v>46</v>
      </c>
      <c r="G4351">
        <v>-312.7253</v>
      </c>
      <c r="H4351">
        <v>-0.05</v>
      </c>
      <c r="I4351">
        <v>9.7685239999999993</v>
      </c>
      <c r="J4351">
        <v>-358.39699999999999</v>
      </c>
      <c r="K4351">
        <v>1.1203350000000001</v>
      </c>
      <c r="L4351">
        <v>16.165279999999999</v>
      </c>
      <c r="M4351">
        <v>0.99953110000000001</v>
      </c>
      <c r="N4351">
        <v>-1.309606E-2</v>
      </c>
      <c r="O4351">
        <v>2.7679450000000001E-2</v>
      </c>
      <c r="P4351">
        <v>0.97932949999999996</v>
      </c>
      <c r="Q4351">
        <v>0.20173140000000001</v>
      </c>
      <c r="R4351">
        <v>1.478811E-2</v>
      </c>
      <c r="S4351">
        <v>3.0862729999999998</v>
      </c>
      <c r="T4351">
        <v>-7.8545450000000003E-2</v>
      </c>
      <c r="U4351">
        <v>-0.42880249999999998</v>
      </c>
      <c r="V4351">
        <v>1.27744E-2</v>
      </c>
      <c r="W4351">
        <v>0.2145138</v>
      </c>
      <c r="X4351">
        <v>0.97663739999999999</v>
      </c>
      <c r="Y4351">
        <v>0.16490050000000001</v>
      </c>
      <c r="Z4351">
        <v>-3.5138539999999998E-3</v>
      </c>
      <c r="AA4351">
        <v>0.98630390000000001</v>
      </c>
      <c r="AB4351">
        <v>31</v>
      </c>
      <c r="AC4351">
        <v>45.671699999999902</v>
      </c>
      <c r="AD4351">
        <v>-1.1703349999999999</v>
      </c>
      <c r="AE4351">
        <v>-6.3967559999999901</v>
      </c>
      <c r="AF4351">
        <v>7.6536515857016596</v>
      </c>
      <c r="AG4351">
        <v>-1.1703349999999999</v>
      </c>
      <c r="AH4351">
        <v>45.447855412247797</v>
      </c>
      <c r="AI4351">
        <v>91.4546330803838</v>
      </c>
      <c r="AJ4351">
        <v>80.440791163417401</v>
      </c>
      <c r="AK4351">
        <v>46.102664003071602</v>
      </c>
      <c r="AL4351">
        <v>77.612995199523994</v>
      </c>
      <c r="AM4351">
        <v>89.250614947026904</v>
      </c>
      <c r="AN4351">
        <v>0.99999998338227902</v>
      </c>
    </row>
    <row r="4352" spans="1:40" x14ac:dyDescent="0.25">
      <c r="A4352" t="str">
        <f>"20190303170858137"</f>
        <v>20190303170858137</v>
      </c>
      <c r="B4352" t="str">
        <f>"1551604138127909"</f>
        <v>1551604138127909</v>
      </c>
      <c r="C4352" t="s">
        <v>40</v>
      </c>
      <c r="D4352">
        <v>4.636565</v>
      </c>
      <c r="E4352">
        <v>0.56403709999999996</v>
      </c>
      <c r="F4352" t="s">
        <v>46</v>
      </c>
      <c r="G4352">
        <v>-312.69499999999999</v>
      </c>
      <c r="H4352">
        <v>-0.05</v>
      </c>
      <c r="I4352">
        <v>9.8164219999999993</v>
      </c>
      <c r="J4352">
        <v>-358.09059999999999</v>
      </c>
      <c r="K4352">
        <v>1.1203939999999999</v>
      </c>
      <c r="L4352">
        <v>16.17276</v>
      </c>
      <c r="M4352">
        <v>0.99955510000000003</v>
      </c>
      <c r="N4352">
        <v>-1.312955E-2</v>
      </c>
      <c r="O4352">
        <v>2.67856E-2</v>
      </c>
      <c r="P4352">
        <v>0.97933939999999997</v>
      </c>
      <c r="Q4352">
        <v>0.20163229999999999</v>
      </c>
      <c r="R4352">
        <v>1.5453389999999999E-2</v>
      </c>
      <c r="S4352">
        <v>3.0860599999999998</v>
      </c>
      <c r="T4352">
        <v>-7.9027650000000005E-2</v>
      </c>
      <c r="U4352">
        <v>-0.42871090000000001</v>
      </c>
      <c r="V4352">
        <v>1.1207409999999999E-2</v>
      </c>
      <c r="W4352">
        <v>0.21445230000000001</v>
      </c>
      <c r="X4352">
        <v>0.97667009999999999</v>
      </c>
      <c r="Y4352">
        <v>0.16399859999999999</v>
      </c>
      <c r="Z4352">
        <v>-3.5044640000000001E-3</v>
      </c>
      <c r="AA4352">
        <v>0.98645439999999995</v>
      </c>
      <c r="AB4352">
        <v>31</v>
      </c>
      <c r="AC4352">
        <v>45.395600000000002</v>
      </c>
      <c r="AD4352">
        <v>-1.1703939999999999</v>
      </c>
      <c r="AE4352">
        <v>-6.356338</v>
      </c>
      <c r="AF4352">
        <v>7.5651780075652599</v>
      </c>
      <c r="AG4352">
        <v>-1.1703939999999999</v>
      </c>
      <c r="AH4352">
        <v>45.179582184785502</v>
      </c>
      <c r="AI4352">
        <v>91.463569524601496</v>
      </c>
      <c r="AJ4352">
        <v>80.494191111114901</v>
      </c>
      <c r="AK4352">
        <v>45.823535293483999</v>
      </c>
      <c r="AL4352">
        <v>77.616602297797499</v>
      </c>
      <c r="AM4352">
        <v>89.342552711214296</v>
      </c>
      <c r="AN4352">
        <v>0.99999993962410205</v>
      </c>
    </row>
    <row r="4353" spans="1:40" x14ac:dyDescent="0.25">
      <c r="A4353" t="str">
        <f>"20190303170858162"</f>
        <v>20190303170858162</v>
      </c>
      <c r="B4353" t="str">
        <f>"1551604138147429"</f>
        <v>1551604138147429</v>
      </c>
      <c r="C4353" t="s">
        <v>40</v>
      </c>
      <c r="D4353">
        <v>4.4911279999999998</v>
      </c>
      <c r="E4353">
        <v>0.56319699999999995</v>
      </c>
      <c r="F4353" t="s">
        <v>46</v>
      </c>
      <c r="G4353">
        <v>-312.30220000000003</v>
      </c>
      <c r="H4353">
        <v>-0.05</v>
      </c>
      <c r="I4353">
        <v>9.8434749999999998</v>
      </c>
      <c r="J4353">
        <v>-357.76920000000001</v>
      </c>
      <c r="K4353">
        <v>1.12046</v>
      </c>
      <c r="L4353">
        <v>16.180420000000002</v>
      </c>
      <c r="M4353">
        <v>0.99957669999999998</v>
      </c>
      <c r="N4353">
        <v>-1.316697E-2</v>
      </c>
      <c r="O4353">
        <v>2.5944890000000002E-2</v>
      </c>
      <c r="P4353">
        <v>0.97925419999999996</v>
      </c>
      <c r="Q4353">
        <v>0.2019386</v>
      </c>
      <c r="R4353">
        <v>1.6800329999999999E-2</v>
      </c>
      <c r="S4353">
        <v>3.0862120000000002</v>
      </c>
      <c r="T4353">
        <v>-7.8886510000000007E-2</v>
      </c>
      <c r="U4353">
        <v>-0.42660520000000002</v>
      </c>
      <c r="V4353">
        <v>9.0005090000000003E-3</v>
      </c>
      <c r="W4353">
        <v>0.2148002</v>
      </c>
      <c r="X4353">
        <v>0.97661659999999995</v>
      </c>
      <c r="Y4353">
        <v>0.1625027</v>
      </c>
      <c r="Z4353">
        <v>-3.4622139999999999E-3</v>
      </c>
      <c r="AA4353">
        <v>0.98670199999999997</v>
      </c>
      <c r="AB4353">
        <v>31</v>
      </c>
      <c r="AC4353">
        <v>45.466999999999899</v>
      </c>
      <c r="AD4353">
        <v>-1.1704600000000001</v>
      </c>
      <c r="AE4353">
        <v>-6.3369450000000001</v>
      </c>
      <c r="AF4353">
        <v>7.5096681202779898</v>
      </c>
      <c r="AG4353">
        <v>-1.1704600000000001</v>
      </c>
      <c r="AH4353">
        <v>45.257845307661299</v>
      </c>
      <c r="AI4353">
        <v>91.461481219788098</v>
      </c>
      <c r="AJ4353">
        <v>80.578708125138405</v>
      </c>
      <c r="AK4353">
        <v>45.891585871274103</v>
      </c>
      <c r="AL4353">
        <v>77.596195000425297</v>
      </c>
      <c r="AM4353">
        <v>89.471976433881906</v>
      </c>
      <c r="AN4353">
        <v>1.00000005923892</v>
      </c>
    </row>
    <row r="4354" spans="1:40" x14ac:dyDescent="0.25">
      <c r="A4354" t="str">
        <f>"20190303170858184"</f>
        <v>20190303170858184</v>
      </c>
      <c r="B4354" t="str">
        <f>"1551604138178311"</f>
        <v>1551604138178311</v>
      </c>
      <c r="C4354" t="s">
        <v>40</v>
      </c>
      <c r="D4354">
        <v>4.726413</v>
      </c>
      <c r="E4354">
        <v>0.4720628</v>
      </c>
      <c r="F4354" t="s">
        <v>46</v>
      </c>
      <c r="G4354">
        <v>-310.89890000000003</v>
      </c>
      <c r="H4354">
        <v>-0.05</v>
      </c>
      <c r="I4354">
        <v>9.8691099999999992</v>
      </c>
      <c r="J4354">
        <v>-357.46199999999999</v>
      </c>
      <c r="K4354">
        <v>1.120544</v>
      </c>
      <c r="L4354">
        <v>16.187560000000001</v>
      </c>
      <c r="M4354">
        <v>0.99959390000000004</v>
      </c>
      <c r="N4354">
        <v>-1.32021E-2</v>
      </c>
      <c r="O4354">
        <v>2.52567E-2</v>
      </c>
      <c r="P4354">
        <v>0.97925180000000001</v>
      </c>
      <c r="Q4354">
        <v>0.20192160000000001</v>
      </c>
      <c r="R4354">
        <v>1.7145690000000002E-2</v>
      </c>
      <c r="S4354">
        <v>3.0865480000000001</v>
      </c>
      <c r="T4354">
        <v>-7.7078220000000003E-2</v>
      </c>
      <c r="U4354">
        <v>-0.41561890000000001</v>
      </c>
      <c r="V4354">
        <v>7.937698E-3</v>
      </c>
      <c r="W4354">
        <v>0.2148216</v>
      </c>
      <c r="X4354">
        <v>0.97662099999999996</v>
      </c>
      <c r="Y4354">
        <v>0.15836459999999999</v>
      </c>
      <c r="Z4354">
        <v>-3.3147250000000001E-3</v>
      </c>
      <c r="AA4354">
        <v>0.98737509999999995</v>
      </c>
      <c r="AB4354">
        <v>31</v>
      </c>
      <c r="AC4354">
        <v>46.563099999999899</v>
      </c>
      <c r="AD4354">
        <v>-1.170544</v>
      </c>
      <c r="AE4354">
        <v>-6.3184500000000003</v>
      </c>
      <c r="AF4354">
        <v>7.4879201795408203</v>
      </c>
      <c r="AG4354">
        <v>-1.170544</v>
      </c>
      <c r="AH4354">
        <v>46.359878618321197</v>
      </c>
      <c r="AI4354">
        <v>91.4278608941448</v>
      </c>
      <c r="AJ4354">
        <v>80.824980997973697</v>
      </c>
      <c r="AK4354">
        <v>46.975285708301797</v>
      </c>
      <c r="AL4354">
        <v>77.5949382152412</v>
      </c>
      <c r="AM4354">
        <v>89.534326437521898</v>
      </c>
      <c r="AN4354">
        <v>0.99999995225854799</v>
      </c>
    </row>
    <row r="4355" spans="1:40" x14ac:dyDescent="0.25">
      <c r="A4355" t="str">
        <f>"20190303170858205"</f>
        <v>20190303170858205</v>
      </c>
      <c r="B4355" t="str">
        <f>"1551604138197831"</f>
        <v>1551604138197831</v>
      </c>
      <c r="C4355" t="s">
        <v>40</v>
      </c>
      <c r="D4355">
        <v>4.7513310000000004</v>
      </c>
      <c r="E4355">
        <v>0.45747860000000001</v>
      </c>
      <c r="F4355" t="s">
        <v>104</v>
      </c>
      <c r="G4355">
        <v>-279.68</v>
      </c>
      <c r="H4355">
        <v>1.0508649999999999</v>
      </c>
      <c r="I4355">
        <v>24.070689999999999</v>
      </c>
      <c r="J4355">
        <v>-357.16730000000001</v>
      </c>
      <c r="K4355">
        <v>1.1206419999999999</v>
      </c>
      <c r="L4355">
        <v>16.194369999999999</v>
      </c>
      <c r="M4355">
        <v>0.99960700000000002</v>
      </c>
      <c r="N4355">
        <v>-1.323331E-2</v>
      </c>
      <c r="O4355">
        <v>2.472036E-2</v>
      </c>
      <c r="P4355">
        <v>0.97936480000000004</v>
      </c>
      <c r="Q4355">
        <v>0.20131779999999999</v>
      </c>
      <c r="R4355">
        <v>1.777606E-2</v>
      </c>
      <c r="S4355">
        <v>3.058716</v>
      </c>
      <c r="T4355">
        <v>-2.7399059999999999E-3</v>
      </c>
      <c r="U4355">
        <v>0.30999759999999998</v>
      </c>
      <c r="V4355">
        <v>6.7331680000000003E-3</v>
      </c>
      <c r="W4355">
        <v>0.21425340000000001</v>
      </c>
      <c r="X4355">
        <v>0.97675489999999998</v>
      </c>
      <c r="Y4355">
        <v>-7.6206419999999997E-2</v>
      </c>
      <c r="Z4355">
        <v>8.4394869999999999E-4</v>
      </c>
      <c r="AA4355">
        <v>0.99709170000000003</v>
      </c>
      <c r="AB4355">
        <v>31</v>
      </c>
      <c r="AC4355">
        <v>77.487300000000005</v>
      </c>
      <c r="AD4355">
        <v>-6.9776999999999895E-2</v>
      </c>
      <c r="AE4355">
        <v>7.87631999999999</v>
      </c>
      <c r="AF4355">
        <v>-5.9582264940108498</v>
      </c>
      <c r="AG4355">
        <v>-6.9776999999999895E-2</v>
      </c>
      <c r="AH4355">
        <v>77.658276297061406</v>
      </c>
      <c r="AI4355">
        <v>90.051330154224701</v>
      </c>
      <c r="AJ4355">
        <v>94.387346136010706</v>
      </c>
      <c r="AK4355">
        <v>77.886540616555706</v>
      </c>
      <c r="AL4355">
        <v>77.628270314591802</v>
      </c>
      <c r="AM4355">
        <v>89.605043190813802</v>
      </c>
      <c r="AN4355">
        <v>0.99999999481844304</v>
      </c>
    </row>
    <row r="4356" spans="1:40" x14ac:dyDescent="0.25">
      <c r="A4356" t="str">
        <f>"20190303170858228"</f>
        <v>20190303170858228</v>
      </c>
      <c r="B4356" t="str">
        <f>"1551604138218327"</f>
        <v>1551604138218327</v>
      </c>
      <c r="C4356" t="s">
        <v>40</v>
      </c>
      <c r="D4356">
        <v>4.7286999999999999</v>
      </c>
      <c r="E4356">
        <v>0.44919290000000001</v>
      </c>
      <c r="F4356" t="s">
        <v>107</v>
      </c>
      <c r="G4356">
        <v>-279.68</v>
      </c>
      <c r="H4356">
        <v>1.1376679999999999</v>
      </c>
      <c r="I4356">
        <v>27.068729999999999</v>
      </c>
      <c r="J4356">
        <v>-356.85309999999998</v>
      </c>
      <c r="K4356">
        <v>1.1207689999999999</v>
      </c>
      <c r="L4356">
        <v>16.201599999999999</v>
      </c>
      <c r="M4356">
        <v>0.99961690000000003</v>
      </c>
      <c r="N4356">
        <v>-1.326334E-2</v>
      </c>
      <c r="O4356">
        <v>2.4294530000000002E-2</v>
      </c>
      <c r="P4356">
        <v>0.97942569999999995</v>
      </c>
      <c r="Q4356">
        <v>0.20094049999999999</v>
      </c>
      <c r="R4356">
        <v>1.8668250000000001E-2</v>
      </c>
      <c r="S4356">
        <v>3.0552980000000001</v>
      </c>
      <c r="T4356">
        <v>6.7114829999999999E-4</v>
      </c>
      <c r="U4356">
        <v>0.42877199999999999</v>
      </c>
      <c r="V4356">
        <v>5.3626200000000002E-3</v>
      </c>
      <c r="W4356">
        <v>0.21390970000000001</v>
      </c>
      <c r="X4356">
        <v>0.97683869999999895</v>
      </c>
      <c r="Y4356">
        <v>-0.1148757</v>
      </c>
      <c r="Z4356">
        <v>1.079149E-3</v>
      </c>
      <c r="AA4356">
        <v>0.99337929999999997</v>
      </c>
      <c r="AB4356">
        <v>31</v>
      </c>
      <c r="AC4356">
        <v>77.173099999999906</v>
      </c>
      <c r="AD4356">
        <v>1.68989999999999E-2</v>
      </c>
      <c r="AE4356">
        <v>10.86713</v>
      </c>
      <c r="AF4356">
        <v>-8.9888724739319894</v>
      </c>
      <c r="AG4356">
        <v>1.68989999999999E-2</v>
      </c>
      <c r="AH4356">
        <v>77.414349306455506</v>
      </c>
      <c r="AI4356">
        <v>89.987576211305296</v>
      </c>
      <c r="AJ4356">
        <v>96.623170188640799</v>
      </c>
      <c r="AK4356">
        <v>77.934469860715197</v>
      </c>
      <c r="AL4356">
        <v>77.6484301013367</v>
      </c>
      <c r="AM4356">
        <v>89.685462495964899</v>
      </c>
      <c r="AN4356">
        <v>0.99999998163252102</v>
      </c>
    </row>
    <row r="4357" spans="1:40" x14ac:dyDescent="0.25">
      <c r="A4357" t="str">
        <f>"20190303170858249"</f>
        <v>20190303170858249</v>
      </c>
      <c r="B4357" t="str">
        <f>"1551604138237847"</f>
        <v>1551604138237847</v>
      </c>
      <c r="C4357" t="s">
        <v>40</v>
      </c>
      <c r="D4357">
        <v>4.746486</v>
      </c>
      <c r="E4357">
        <v>0.44470939999999998</v>
      </c>
      <c r="F4357" t="s">
        <v>62</v>
      </c>
      <c r="G4357">
        <v>-219.01599999999999</v>
      </c>
      <c r="H4357">
        <v>1.1456470000000001</v>
      </c>
      <c r="I4357">
        <v>38.650019999999998</v>
      </c>
      <c r="J4357">
        <v>-356.56199999999899</v>
      </c>
      <c r="K4357">
        <v>1.1208819999999999</v>
      </c>
      <c r="L4357">
        <v>16.208369999999999</v>
      </c>
      <c r="M4357">
        <v>0.99962260000000003</v>
      </c>
      <c r="N4357">
        <v>-1.3288650000000001E-2</v>
      </c>
      <c r="O4357">
        <v>2.404473E-2</v>
      </c>
      <c r="P4357">
        <v>0.97958449999999997</v>
      </c>
      <c r="Q4357">
        <v>0.20002880000000001</v>
      </c>
      <c r="R4357">
        <v>2.0078410000000001E-2</v>
      </c>
      <c r="S4357">
        <v>3.0534059999999998</v>
      </c>
      <c r="T4357">
        <v>5.5134300000000004E-4</v>
      </c>
      <c r="U4357">
        <v>0.4972839</v>
      </c>
      <c r="V4357">
        <v>3.6502370000000002E-3</v>
      </c>
      <c r="W4357">
        <v>0.2130283</v>
      </c>
      <c r="X4357">
        <v>0.9770392</v>
      </c>
      <c r="Y4357">
        <v>-0.1369658</v>
      </c>
      <c r="Z4357">
        <v>1.2256910000000001E-3</v>
      </c>
      <c r="AA4357">
        <v>0.99057499999999998</v>
      </c>
      <c r="AB4357">
        <v>31</v>
      </c>
      <c r="AC4357">
        <v>137.545999999999</v>
      </c>
      <c r="AD4357">
        <v>2.4764999999999902E-2</v>
      </c>
      <c r="AE4357">
        <v>22.441649999999999</v>
      </c>
      <c r="AF4357">
        <v>-19.127611652560901</v>
      </c>
      <c r="AG4357">
        <v>2.4764999999999902E-2</v>
      </c>
      <c r="AH4357">
        <v>138.04587287050899</v>
      </c>
      <c r="AI4357">
        <v>89.989818586498401</v>
      </c>
      <c r="AJ4357">
        <v>97.8886645784916</v>
      </c>
      <c r="AK4357">
        <v>139.36473426737899</v>
      </c>
      <c r="AL4357">
        <v>77.700122212914806</v>
      </c>
      <c r="AM4357">
        <v>89.785942875916803</v>
      </c>
      <c r="AN4357">
        <v>0.99999998958384295</v>
      </c>
    </row>
    <row r="4358" spans="1:40" x14ac:dyDescent="0.25">
      <c r="A4358" t="str">
        <f>"20190303170858272"</f>
        <v>20190303170858272</v>
      </c>
      <c r="B4358" t="str">
        <f>"1551604138268103"</f>
        <v>1551604138268103</v>
      </c>
      <c r="C4358" t="s">
        <v>40</v>
      </c>
      <c r="D4358">
        <v>4.7754979999999998</v>
      </c>
      <c r="E4358">
        <v>0.44068679999999899</v>
      </c>
      <c r="F4358" t="s">
        <v>62</v>
      </c>
      <c r="G4358">
        <v>-228.8597</v>
      </c>
      <c r="H4358">
        <v>1.0158400000000001</v>
      </c>
      <c r="I4358">
        <v>38.650019999999998</v>
      </c>
      <c r="J4358">
        <v>-356.2491</v>
      </c>
      <c r="K4358">
        <v>1.120992</v>
      </c>
      <c r="L4358">
        <v>16.215669999999999</v>
      </c>
      <c r="M4358">
        <v>0.9996256</v>
      </c>
      <c r="N4358">
        <v>-1.3312630000000001E-2</v>
      </c>
      <c r="O4358">
        <v>2.390718E-2</v>
      </c>
      <c r="P4358">
        <v>0.97968560000000005</v>
      </c>
      <c r="Q4358">
        <v>0.19932279999999999</v>
      </c>
      <c r="R4358">
        <v>2.20634E-2</v>
      </c>
      <c r="S4358">
        <v>3.0520320000000001</v>
      </c>
      <c r="T4358">
        <v>-2.5101899999999998E-3</v>
      </c>
      <c r="U4358">
        <v>0.5363464</v>
      </c>
      <c r="V4358">
        <v>1.4764470000000001E-3</v>
      </c>
      <c r="W4358">
        <v>0.21234990000000001</v>
      </c>
      <c r="X4358">
        <v>0.97719259999999997</v>
      </c>
      <c r="Y4358">
        <v>-0.1494848</v>
      </c>
      <c r="Z4358">
        <v>1.36018799999999E-3</v>
      </c>
      <c r="AA4358">
        <v>0.98876310000000001</v>
      </c>
      <c r="AB4358">
        <v>31</v>
      </c>
      <c r="AC4358">
        <v>127.38939999999999</v>
      </c>
      <c r="AD4358">
        <v>-0.105152</v>
      </c>
      <c r="AE4358">
        <v>22.434349999999899</v>
      </c>
      <c r="AF4358">
        <v>-19.382132883420901</v>
      </c>
      <c r="AG4358">
        <v>-0.105152</v>
      </c>
      <c r="AH4358">
        <v>127.889288461964</v>
      </c>
      <c r="AI4358">
        <v>90.046577347057195</v>
      </c>
      <c r="AJ4358">
        <v>98.6178239250535</v>
      </c>
      <c r="AK4358">
        <v>129.34971293111201</v>
      </c>
      <c r="AL4358">
        <v>77.739902194381003</v>
      </c>
      <c r="AM4358">
        <v>89.913431479727507</v>
      </c>
      <c r="AN4358">
        <v>1.00000001871025</v>
      </c>
    </row>
    <row r="4359" spans="1:40" x14ac:dyDescent="0.25">
      <c r="A4359" t="str">
        <f>"20190303170858294"</f>
        <v>20190303170858294</v>
      </c>
      <c r="B4359" t="str">
        <f>"1551604138288195"</f>
        <v>1551604138288195</v>
      </c>
      <c r="C4359" t="s">
        <v>40</v>
      </c>
      <c r="D4359">
        <v>4.7883279999999999</v>
      </c>
      <c r="E4359">
        <v>0.43904270000000001</v>
      </c>
      <c r="F4359" t="s">
        <v>62</v>
      </c>
      <c r="G4359">
        <v>-237.1884</v>
      </c>
      <c r="H4359">
        <v>0.95428840000000004</v>
      </c>
      <c r="I4359">
        <v>38.650019999999998</v>
      </c>
      <c r="J4359">
        <v>-355.93689999999998</v>
      </c>
      <c r="K4359">
        <v>1.1210819999999999</v>
      </c>
      <c r="L4359">
        <v>16.223020000000002</v>
      </c>
      <c r="M4359">
        <v>0.99962640000000003</v>
      </c>
      <c r="N4359">
        <v>-1.333342E-2</v>
      </c>
      <c r="O4359">
        <v>2.3863100000000002E-2</v>
      </c>
      <c r="P4359">
        <v>0.97978620000000005</v>
      </c>
      <c r="Q4359">
        <v>0.19863620000000001</v>
      </c>
      <c r="R4359">
        <v>2.3727290000000002E-2</v>
      </c>
      <c r="S4359">
        <v>3.0501710000000002</v>
      </c>
      <c r="T4359">
        <v>-4.270434E-3</v>
      </c>
      <c r="U4359">
        <v>0.57473750000000001</v>
      </c>
      <c r="V4359">
        <v>-2.7012640000000001E-4</v>
      </c>
      <c r="W4359">
        <v>0.21168629999999999</v>
      </c>
      <c r="X4359">
        <v>0.97733760000000003</v>
      </c>
      <c r="Y4359">
        <v>-0.161664</v>
      </c>
      <c r="Z4359">
        <v>1.4819259999999999E-3</v>
      </c>
      <c r="AA4359">
        <v>0.98684470000000002</v>
      </c>
      <c r="AB4359">
        <v>31</v>
      </c>
      <c r="AC4359">
        <v>118.748499999999</v>
      </c>
      <c r="AD4359">
        <v>-0.16679359999999899</v>
      </c>
      <c r="AE4359">
        <v>22.427</v>
      </c>
      <c r="AF4359">
        <v>-19.5866161293084</v>
      </c>
      <c r="AG4359">
        <v>-0.16679359999999899</v>
      </c>
      <c r="AH4359">
        <v>119.24967677022001</v>
      </c>
      <c r="AI4359">
        <v>90.079079520743505</v>
      </c>
      <c r="AJ4359">
        <v>99.327480097374206</v>
      </c>
      <c r="AK4359">
        <v>120.847626212946</v>
      </c>
      <c r="AL4359">
        <v>77.778807611030501</v>
      </c>
      <c r="AM4359">
        <v>90.015835983656899</v>
      </c>
      <c r="AN4359">
        <v>0.99999997347486003</v>
      </c>
    </row>
    <row r="4360" spans="1:40" x14ac:dyDescent="0.25">
      <c r="A4360" t="str">
        <f>"20190303170858317"</f>
        <v>20190303170858317</v>
      </c>
      <c r="B4360" t="str">
        <f>"1551604138307715"</f>
        <v>1551604138307715</v>
      </c>
      <c r="C4360" t="s">
        <v>40</v>
      </c>
      <c r="D4360">
        <v>4.8319539999999996</v>
      </c>
      <c r="E4360">
        <v>0.43786120000000001</v>
      </c>
      <c r="F4360" t="s">
        <v>62</v>
      </c>
      <c r="G4360">
        <v>-240.637</v>
      </c>
      <c r="H4360">
        <v>0.91251470000000001</v>
      </c>
      <c r="I4360">
        <v>38.650019999999998</v>
      </c>
      <c r="J4360">
        <v>-355.62439999999998</v>
      </c>
      <c r="K4360">
        <v>1.1211469999999999</v>
      </c>
      <c r="L4360">
        <v>16.23047</v>
      </c>
      <c r="M4360">
        <v>0.99962519999999999</v>
      </c>
      <c r="N4360">
        <v>-1.335136E-2</v>
      </c>
      <c r="O4360">
        <v>2.389962E-2</v>
      </c>
      <c r="P4360">
        <v>0.97953749999999995</v>
      </c>
      <c r="Q4360">
        <v>0.1996156</v>
      </c>
      <c r="R4360">
        <v>2.5683569999999999E-2</v>
      </c>
      <c r="S4360">
        <v>3.0486149999999999</v>
      </c>
      <c r="T4360">
        <v>-5.5143830000000003E-3</v>
      </c>
      <c r="U4360">
        <v>0.59298709999999999</v>
      </c>
      <c r="V4360">
        <v>-2.2269640000000001E-3</v>
      </c>
      <c r="W4360">
        <v>0.21268119999999999</v>
      </c>
      <c r="X4360">
        <v>0.97711910000000002</v>
      </c>
      <c r="Y4360">
        <v>-0.16741449999999999</v>
      </c>
      <c r="Z4360">
        <v>1.551598E-3</v>
      </c>
      <c r="AA4360">
        <v>0.98588540000000002</v>
      </c>
      <c r="AB4360">
        <v>31</v>
      </c>
      <c r="AC4360">
        <v>114.987399999999</v>
      </c>
      <c r="AD4360">
        <v>-0.20863229999999999</v>
      </c>
      <c r="AE4360">
        <v>22.419550000000001</v>
      </c>
      <c r="AF4360">
        <v>-19.664682494582099</v>
      </c>
      <c r="AG4360">
        <v>-0.20863229999999999</v>
      </c>
      <c r="AH4360">
        <v>115.490049739753</v>
      </c>
      <c r="AI4360">
        <v>90.102035914001704</v>
      </c>
      <c r="AJ4360">
        <v>99.663172421168696</v>
      </c>
      <c r="AK4360">
        <v>117.15244279971201</v>
      </c>
      <c r="AL4360">
        <v>77.720476062650604</v>
      </c>
      <c r="AM4360">
        <v>90.130583280382794</v>
      </c>
      <c r="AN4360">
        <v>0.99999999389345295</v>
      </c>
    </row>
    <row r="4361" spans="1:40" x14ac:dyDescent="0.25">
      <c r="A4361" t="str">
        <f>"20190303170858337"</f>
        <v>20190303170858337</v>
      </c>
      <c r="B4361" t="str">
        <f>"1551604138328211"</f>
        <v>1551604138328211</v>
      </c>
      <c r="C4361" t="s">
        <v>40</v>
      </c>
      <c r="D4361">
        <v>4.8392280000000003</v>
      </c>
      <c r="E4361">
        <v>0.43677739999999998</v>
      </c>
      <c r="F4361" t="s">
        <v>62</v>
      </c>
      <c r="G4361">
        <v>-243.22710000000001</v>
      </c>
      <c r="H4361">
        <v>1.0052490000000001</v>
      </c>
      <c r="I4361">
        <v>38.650019999999998</v>
      </c>
      <c r="J4361">
        <v>-355.33969999999999</v>
      </c>
      <c r="K4361">
        <v>1.1212029999999999</v>
      </c>
      <c r="L4361">
        <v>16.237300000000001</v>
      </c>
      <c r="M4361">
        <v>0.99962300000000004</v>
      </c>
      <c r="N4361">
        <v>-1.3365409999999999E-2</v>
      </c>
      <c r="O4361">
        <v>2.3985409999999999E-2</v>
      </c>
      <c r="P4361">
        <v>0.97921369999999996</v>
      </c>
      <c r="Q4361">
        <v>0.2009765</v>
      </c>
      <c r="R4361">
        <v>2.7372759999999999E-2</v>
      </c>
      <c r="S4361">
        <v>3.0473629999999998</v>
      </c>
      <c r="T4361">
        <v>-3.1419989999999999E-3</v>
      </c>
      <c r="U4361">
        <v>0.60784910000000003</v>
      </c>
      <c r="V4361">
        <v>-3.8644389999999999E-3</v>
      </c>
      <c r="W4361">
        <v>0.2140513</v>
      </c>
      <c r="X4361">
        <v>0.97681479999999998</v>
      </c>
      <c r="Y4361">
        <v>-0.17203370000000001</v>
      </c>
      <c r="Z4361">
        <v>1.54194799999999E-3</v>
      </c>
      <c r="AA4361">
        <v>0.98508980000000002</v>
      </c>
      <c r="AB4361">
        <v>31</v>
      </c>
      <c r="AC4361">
        <v>112.1126</v>
      </c>
      <c r="AD4361">
        <v>-0.115954</v>
      </c>
      <c r="AE4361">
        <v>22.41272</v>
      </c>
      <c r="AF4361">
        <v>-19.716943835879</v>
      </c>
      <c r="AG4361">
        <v>-0.115954</v>
      </c>
      <c r="AH4361">
        <v>112.617850857279</v>
      </c>
      <c r="AI4361">
        <v>90.058109196464301</v>
      </c>
      <c r="AJ4361">
        <v>99.930599365795999</v>
      </c>
      <c r="AK4361">
        <v>114.330886689773</v>
      </c>
      <c r="AL4361">
        <v>77.640125169315198</v>
      </c>
      <c r="AM4361">
        <v>90.226670285659196</v>
      </c>
      <c r="AN4361">
        <v>1.0000000232097499</v>
      </c>
    </row>
    <row r="4362" spans="1:40" x14ac:dyDescent="0.25">
      <c r="A4362" t="str">
        <f>"20190303170858361"</f>
        <v>20190303170858361</v>
      </c>
      <c r="B4362" t="str">
        <f>"1551604138358467"</f>
        <v>1551604138358467</v>
      </c>
      <c r="C4362" t="s">
        <v>40</v>
      </c>
      <c r="D4362">
        <v>4.8610350000000002</v>
      </c>
      <c r="E4362">
        <v>0.43541980000000002</v>
      </c>
      <c r="F4362" t="s">
        <v>62</v>
      </c>
      <c r="G4362">
        <v>-245.32149999999999</v>
      </c>
      <c r="H4362">
        <v>1.0806960000000001</v>
      </c>
      <c r="I4362">
        <v>38.650019999999998</v>
      </c>
      <c r="J4362">
        <v>-355.02690000000001</v>
      </c>
      <c r="K4362">
        <v>1.1212470000000001</v>
      </c>
      <c r="L4362">
        <v>16.244900000000001</v>
      </c>
      <c r="M4362">
        <v>0.99961979999999995</v>
      </c>
      <c r="N4362">
        <v>-1.3378599999999999E-2</v>
      </c>
      <c r="O4362">
        <v>2.411315E-2</v>
      </c>
      <c r="P4362">
        <v>0.97891799999999995</v>
      </c>
      <c r="Q4362">
        <v>0.2022137</v>
      </c>
      <c r="R4362">
        <v>2.8804030000000001E-2</v>
      </c>
      <c r="S4362">
        <v>3.0465390000000001</v>
      </c>
      <c r="T4362">
        <v>-1.1214020000000001E-3</v>
      </c>
      <c r="U4362">
        <v>0.62063599999999997</v>
      </c>
      <c r="V4362">
        <v>-5.2016320000000003E-3</v>
      </c>
      <c r="W4362">
        <v>0.2152975</v>
      </c>
      <c r="X4362">
        <v>0.97653469999999998</v>
      </c>
      <c r="Y4362">
        <v>-0.17593159999999999</v>
      </c>
      <c r="Z4362">
        <v>1.531705E-3</v>
      </c>
      <c r="AA4362">
        <v>0.98440119999999998</v>
      </c>
      <c r="AB4362">
        <v>31</v>
      </c>
      <c r="AC4362">
        <v>109.7054</v>
      </c>
      <c r="AD4362">
        <v>-4.0550999999999997E-2</v>
      </c>
      <c r="AE4362">
        <v>22.40512</v>
      </c>
      <c r="AF4362">
        <v>-19.7530223289845</v>
      </c>
      <c r="AG4362">
        <v>-4.0550999999999997E-2</v>
      </c>
      <c r="AH4362">
        <v>110.21378775578999</v>
      </c>
      <c r="AI4362">
        <v>90.020750226903701</v>
      </c>
      <c r="AJ4362">
        <v>100.160935182394</v>
      </c>
      <c r="AK4362">
        <v>111.969918044943</v>
      </c>
      <c r="AL4362">
        <v>77.567019017971703</v>
      </c>
      <c r="AM4362">
        <v>90.305190119259294</v>
      </c>
      <c r="AN4362">
        <v>1.0000000453929001</v>
      </c>
    </row>
    <row r="4363" spans="1:40" x14ac:dyDescent="0.25">
      <c r="A4363" t="str">
        <f>"20190303170858384"</f>
        <v>20190303170858384</v>
      </c>
      <c r="B4363" t="str">
        <f>"1551604138378150"</f>
        <v>1551604138378150</v>
      </c>
      <c r="C4363" t="s">
        <v>40</v>
      </c>
      <c r="D4363">
        <v>4.8441900000000002</v>
      </c>
      <c r="E4363">
        <v>0.43470930000000002</v>
      </c>
      <c r="F4363" t="s">
        <v>62</v>
      </c>
      <c r="G4363">
        <v>-251.6711</v>
      </c>
      <c r="H4363">
        <v>1.1586650000000001</v>
      </c>
      <c r="I4363">
        <v>37.793239999999997</v>
      </c>
      <c r="J4363">
        <v>-354.70850000000002</v>
      </c>
      <c r="K4363">
        <v>1.1212850000000001</v>
      </c>
      <c r="L4363">
        <v>16.25272</v>
      </c>
      <c r="M4363">
        <v>0.99961599999999995</v>
      </c>
      <c r="N4363">
        <v>-1.3390020000000001E-2</v>
      </c>
      <c r="O4363">
        <v>2.4261410000000001E-2</v>
      </c>
      <c r="P4363">
        <v>0.9788346</v>
      </c>
      <c r="Q4363">
        <v>0.2023616</v>
      </c>
      <c r="R4363">
        <v>3.054289E-2</v>
      </c>
      <c r="S4363">
        <v>3.0456539999999999</v>
      </c>
      <c r="T4363">
        <v>1.1029239999999999E-3</v>
      </c>
      <c r="U4363">
        <v>0.63497919999999997</v>
      </c>
      <c r="V4363">
        <v>-6.8171799999999999E-3</v>
      </c>
      <c r="W4363">
        <v>0.21545539999999999</v>
      </c>
      <c r="X4363">
        <v>0.97648990000000002</v>
      </c>
      <c r="Y4363">
        <v>-0.1802879</v>
      </c>
      <c r="Z4363">
        <v>1.517961E-3</v>
      </c>
      <c r="AA4363">
        <v>0.98361270000000001</v>
      </c>
      <c r="AB4363">
        <v>31</v>
      </c>
      <c r="AC4363">
        <v>103.03740000000001</v>
      </c>
      <c r="AD4363">
        <v>3.7379999999999899E-2</v>
      </c>
      <c r="AE4363">
        <v>21.540520000000001</v>
      </c>
      <c r="AF4363">
        <v>-19.0341193147989</v>
      </c>
      <c r="AG4363">
        <v>3.7379999999999899E-2</v>
      </c>
      <c r="AH4363">
        <v>103.529702539957</v>
      </c>
      <c r="AI4363">
        <v>89.979654031329503</v>
      </c>
      <c r="AJ4363">
        <v>100.41759361381899</v>
      </c>
      <c r="AK4363">
        <v>105.264896349003</v>
      </c>
      <c r="AL4363">
        <v>77.557754192816304</v>
      </c>
      <c r="AM4363">
        <v>90.399993176229998</v>
      </c>
      <c r="AN4363">
        <v>1.0000000140671601</v>
      </c>
    </row>
    <row r="4364" spans="1:40" x14ac:dyDescent="0.25">
      <c r="A4364" t="str">
        <f>"20190303170858406"</f>
        <v>20190303170858406</v>
      </c>
      <c r="B4364" t="str">
        <f>"1551604138398645"</f>
        <v>1551604138398645</v>
      </c>
      <c r="C4364" t="s">
        <v>40</v>
      </c>
      <c r="D4364">
        <v>4.8487530000000003</v>
      </c>
      <c r="E4364">
        <v>0.43411100000000002</v>
      </c>
      <c r="F4364" t="s">
        <v>62</v>
      </c>
      <c r="G4364">
        <v>-253.07220000000001</v>
      </c>
      <c r="H4364">
        <v>1.1214329999999999</v>
      </c>
      <c r="I4364">
        <v>37.793239999999997</v>
      </c>
      <c r="J4364">
        <v>-354.40129999999999</v>
      </c>
      <c r="K4364">
        <v>1.1213200000000001</v>
      </c>
      <c r="L4364">
        <v>16.26031</v>
      </c>
      <c r="M4364">
        <v>0.99961219999999995</v>
      </c>
      <c r="N4364">
        <v>-1.339076E-2</v>
      </c>
      <c r="O4364">
        <v>2.4415719999999998E-2</v>
      </c>
      <c r="P4364">
        <v>0.97880389999999995</v>
      </c>
      <c r="Q4364">
        <v>0.20225660000000001</v>
      </c>
      <c r="R4364">
        <v>3.217242E-2</v>
      </c>
      <c r="S4364">
        <v>3.0447389999999999</v>
      </c>
      <c r="T4364" s="1">
        <v>4.768372E-6</v>
      </c>
      <c r="U4364">
        <v>0.64529419999999904</v>
      </c>
      <c r="V4364">
        <v>-8.3097039999999994E-3</v>
      </c>
      <c r="W4364">
        <v>0.21535019999999999</v>
      </c>
      <c r="X4364">
        <v>0.97650150000000002</v>
      </c>
      <c r="Y4364">
        <v>-0.18338499999999999</v>
      </c>
      <c r="Z4364">
        <v>1.564876E-3</v>
      </c>
      <c r="AA4364">
        <v>0.98303989999999997</v>
      </c>
      <c r="AB4364">
        <v>31</v>
      </c>
      <c r="AC4364">
        <v>101.329099999999</v>
      </c>
      <c r="AD4364">
        <v>1.1299999999980699E-4</v>
      </c>
      <c r="AE4364">
        <v>21.53293</v>
      </c>
      <c r="AF4364">
        <v>-19.052264920157199</v>
      </c>
      <c r="AG4364">
        <v>1.1299999999980699E-4</v>
      </c>
      <c r="AH4364">
        <v>101.824676687831</v>
      </c>
      <c r="AI4364">
        <v>89.999937500600097</v>
      </c>
      <c r="AJ4364">
        <v>100.59798556633</v>
      </c>
      <c r="AK4364">
        <v>103.591764060576</v>
      </c>
      <c r="AL4364">
        <v>77.563926043260295</v>
      </c>
      <c r="AM4364">
        <v>90.487556318411393</v>
      </c>
      <c r="AN4364">
        <v>0.99999996966142801</v>
      </c>
    </row>
    <row r="4365" spans="1:40" x14ac:dyDescent="0.25">
      <c r="A4365" t="str">
        <f>"20190303170858428"</f>
        <v>20190303170858428</v>
      </c>
      <c r="B4365" t="str">
        <f>"1551604138418164"</f>
        <v>1551604138418164</v>
      </c>
      <c r="C4365" t="s">
        <v>40</v>
      </c>
      <c r="D4365">
        <v>4.8513460000000004</v>
      </c>
      <c r="E4365">
        <v>0.43363180000000001</v>
      </c>
      <c r="F4365" t="s">
        <v>62</v>
      </c>
      <c r="G4365">
        <v>-254.22190000000001</v>
      </c>
      <c r="H4365">
        <v>1.0635399999999999</v>
      </c>
      <c r="I4365">
        <v>37.805019999999999</v>
      </c>
      <c r="J4365">
        <v>-354.10070000000002</v>
      </c>
      <c r="K4365">
        <v>1.121335</v>
      </c>
      <c r="L4365">
        <v>16.26782</v>
      </c>
      <c r="M4365">
        <v>0.99960839999999995</v>
      </c>
      <c r="N4365">
        <v>-1.338117E-2</v>
      </c>
      <c r="O4365">
        <v>2.4575530000000002E-2</v>
      </c>
      <c r="P4365">
        <v>0.97853089999999998</v>
      </c>
      <c r="Q4365">
        <v>0.20327629999999999</v>
      </c>
      <c r="R4365">
        <v>3.4000660000000002E-2</v>
      </c>
      <c r="S4365">
        <v>3.043793</v>
      </c>
      <c r="T4365">
        <v>-1.7552379999999999E-3</v>
      </c>
      <c r="U4365">
        <v>0.65460209999999996</v>
      </c>
      <c r="V4365">
        <v>-9.9957919999999999E-3</v>
      </c>
      <c r="W4365">
        <v>0.21635679999999999</v>
      </c>
      <c r="X4365">
        <v>0.9762632</v>
      </c>
      <c r="Y4365">
        <v>-0.1861631</v>
      </c>
      <c r="Z4365">
        <v>1.624136E-3</v>
      </c>
      <c r="AA4365">
        <v>0.98251750000000004</v>
      </c>
      <c r="AB4365">
        <v>31</v>
      </c>
      <c r="AC4365">
        <v>99.878799999999998</v>
      </c>
      <c r="AD4365">
        <v>-5.7794999999999999E-2</v>
      </c>
      <c r="AE4365">
        <v>21.537199999999999</v>
      </c>
      <c r="AF4365">
        <v>-19.075893710886302</v>
      </c>
      <c r="AG4365">
        <v>-5.7794999999999999E-2</v>
      </c>
      <c r="AH4365">
        <v>100.377932195727</v>
      </c>
      <c r="AI4365">
        <v>90.032409365582694</v>
      </c>
      <c r="AJ4365">
        <v>100.76021842758399</v>
      </c>
      <c r="AK4365">
        <v>102.174470064792</v>
      </c>
      <c r="AL4365">
        <v>77.504860151409503</v>
      </c>
      <c r="AM4365">
        <v>90.586621192346399</v>
      </c>
      <c r="AN4365">
        <v>1.0000000082190901</v>
      </c>
    </row>
    <row r="4366" spans="1:40" x14ac:dyDescent="0.25">
      <c r="A4366" t="str">
        <f>"20190303170858451"</f>
        <v>20190303170858451</v>
      </c>
      <c r="B4366" t="str">
        <f>"1551604138447444"</f>
        <v>1551604138447444</v>
      </c>
      <c r="C4366" t="s">
        <v>40</v>
      </c>
      <c r="D4366">
        <v>4.8235449999999904</v>
      </c>
      <c r="E4366">
        <v>0.43305399999999999</v>
      </c>
      <c r="F4366" t="s">
        <v>62</v>
      </c>
      <c r="G4366">
        <v>-254.22190000000001</v>
      </c>
      <c r="H4366">
        <v>1.1314550000000001</v>
      </c>
      <c r="I4366">
        <v>38.054940000000002</v>
      </c>
      <c r="J4366">
        <v>-353.80650000000003</v>
      </c>
      <c r="K4366">
        <v>1.1213500000000001</v>
      </c>
      <c r="L4366">
        <v>16.27524</v>
      </c>
      <c r="M4366">
        <v>0.99960470000000001</v>
      </c>
      <c r="N4366">
        <v>-1.3368089999999999E-2</v>
      </c>
      <c r="O4366">
        <v>2.473587E-2</v>
      </c>
      <c r="P4366">
        <v>0.97831040000000002</v>
      </c>
      <c r="Q4366">
        <v>0.2040787</v>
      </c>
      <c r="R4366">
        <v>3.5504689999999998E-2</v>
      </c>
      <c r="S4366">
        <v>3.0427249999999999</v>
      </c>
      <c r="T4366">
        <v>3.0863290000000002E-4</v>
      </c>
      <c r="U4366">
        <v>0.66372679999999995</v>
      </c>
      <c r="V4366">
        <v>-1.135121E-2</v>
      </c>
      <c r="W4366">
        <v>0.217143</v>
      </c>
      <c r="X4366">
        <v>0.97607379999999999</v>
      </c>
      <c r="Y4366">
        <v>-0.18889110000000001</v>
      </c>
      <c r="Z4366">
        <v>1.597387E-3</v>
      </c>
      <c r="AA4366">
        <v>0.98199669999999895</v>
      </c>
      <c r="AB4366">
        <v>31</v>
      </c>
      <c r="AC4366">
        <v>99.584599999999995</v>
      </c>
      <c r="AD4366">
        <v>1.01049999999998E-2</v>
      </c>
      <c r="AE4366">
        <v>21.779699999999998</v>
      </c>
      <c r="AF4366">
        <v>-19.309502802317201</v>
      </c>
      <c r="AG4366">
        <v>1.01049999999998E-2</v>
      </c>
      <c r="AH4366">
        <v>100.092910770719</v>
      </c>
      <c r="AI4366">
        <v>89.994320358536001</v>
      </c>
      <c r="AJ4366">
        <v>100.919122047687</v>
      </c>
      <c r="AK4366">
        <v>101.93845097478599</v>
      </c>
      <c r="AL4366">
        <v>77.458717127645798</v>
      </c>
      <c r="AM4366">
        <v>90.666288868568998</v>
      </c>
      <c r="AN4366">
        <v>0.99999999773195203</v>
      </c>
    </row>
    <row r="4367" spans="1:40" x14ac:dyDescent="0.25">
      <c r="A4367" t="str">
        <f>"20190303170858473"</f>
        <v>20190303170858473</v>
      </c>
      <c r="B4367" t="str">
        <f>"1551604138467941"</f>
        <v>1551604138467941</v>
      </c>
      <c r="C4367" t="s">
        <v>40</v>
      </c>
      <c r="D4367">
        <v>4.8117400000000004</v>
      </c>
      <c r="E4367">
        <v>0.43266670000000002</v>
      </c>
      <c r="F4367" t="s">
        <v>62</v>
      </c>
      <c r="G4367">
        <v>-254.22200000000001</v>
      </c>
      <c r="H4367">
        <v>1.2010829999999999</v>
      </c>
      <c r="I4367">
        <v>38.317210000000003</v>
      </c>
      <c r="J4367">
        <v>-353.48719999999997</v>
      </c>
      <c r="K4367">
        <v>1.1213500000000001</v>
      </c>
      <c r="L4367">
        <v>16.283359999999998</v>
      </c>
      <c r="M4367">
        <v>0.99960059999999995</v>
      </c>
      <c r="N4367">
        <v>-1.3347660000000001E-2</v>
      </c>
      <c r="O4367">
        <v>2.490902E-2</v>
      </c>
      <c r="P4367">
        <v>0.97821950000000002</v>
      </c>
      <c r="Q4367">
        <v>0.2043816</v>
      </c>
      <c r="R4367">
        <v>3.6263759999999999E-2</v>
      </c>
      <c r="S4367">
        <v>3.0415649999999999</v>
      </c>
      <c r="T4367">
        <v>2.4355650000000002E-3</v>
      </c>
      <c r="U4367">
        <v>0.67321779999999998</v>
      </c>
      <c r="V4367">
        <v>-1.194479E-2</v>
      </c>
      <c r="W4367">
        <v>0.21742500000000001</v>
      </c>
      <c r="X4367">
        <v>0.97600390000000004</v>
      </c>
      <c r="Y4367">
        <v>-0.19172230000000001</v>
      </c>
      <c r="Z4367">
        <v>1.5674949999999999E-3</v>
      </c>
      <c r="AA4367">
        <v>0.98144790000000004</v>
      </c>
      <c r="AB4367">
        <v>31</v>
      </c>
      <c r="AC4367">
        <v>99.265199999999894</v>
      </c>
      <c r="AD4367">
        <v>7.9732999999999804E-2</v>
      </c>
      <c r="AE4367">
        <v>22.033849999999902</v>
      </c>
      <c r="AF4367">
        <v>-19.554180977029102</v>
      </c>
      <c r="AG4367">
        <v>7.9732999999999804E-2</v>
      </c>
      <c r="AH4367">
        <v>99.783223883021705</v>
      </c>
      <c r="AI4367">
        <v>89.955071681222293</v>
      </c>
      <c r="AJ4367">
        <v>101.087553667411</v>
      </c>
      <c r="AK4367">
        <v>101.681188621705</v>
      </c>
      <c r="AL4367">
        <v>77.442163770967795</v>
      </c>
      <c r="AM4367">
        <v>90.701177411399399</v>
      </c>
      <c r="AN4367">
        <v>0.99999996072417596</v>
      </c>
    </row>
    <row r="4368" spans="1:40" x14ac:dyDescent="0.25">
      <c r="A4368" t="str">
        <f>"20190303170858496"</f>
        <v>20190303170858496</v>
      </c>
      <c r="B4368" t="str">
        <f>"1551604138488437"</f>
        <v>1551604138488437</v>
      </c>
      <c r="C4368" t="s">
        <v>40</v>
      </c>
      <c r="D4368">
        <v>4.7903449999999896</v>
      </c>
      <c r="E4368">
        <v>0.43234549999999999</v>
      </c>
      <c r="F4368" t="s">
        <v>62</v>
      </c>
      <c r="G4368">
        <v>-254.22200000000001</v>
      </c>
      <c r="H4368">
        <v>1.1800600000000001</v>
      </c>
      <c r="I4368">
        <v>38.406039999999997</v>
      </c>
      <c r="J4368">
        <v>-353.17829999999998</v>
      </c>
      <c r="K4368">
        <v>1.1213409999999999</v>
      </c>
      <c r="L4368">
        <v>16.291229999999999</v>
      </c>
      <c r="M4368">
        <v>0.99959699999999996</v>
      </c>
      <c r="N4368">
        <v>-1.332472E-2</v>
      </c>
      <c r="O4368">
        <v>2.507231E-2</v>
      </c>
      <c r="P4368">
        <v>0.97828599999999999</v>
      </c>
      <c r="Q4368">
        <v>0.2041336</v>
      </c>
      <c r="R4368">
        <v>3.586719E-2</v>
      </c>
      <c r="S4368">
        <v>3.04129</v>
      </c>
      <c r="T4368">
        <v>1.7991070000000001E-3</v>
      </c>
      <c r="U4368">
        <v>0.67779540000000005</v>
      </c>
      <c r="V4368">
        <v>-1.1387009999999999E-2</v>
      </c>
      <c r="W4368">
        <v>0.2171556</v>
      </c>
      <c r="X4368">
        <v>0.97607060000000001</v>
      </c>
      <c r="Y4368">
        <v>-0.1929881</v>
      </c>
      <c r="Z4368">
        <v>1.5899499999999999E-3</v>
      </c>
      <c r="AA4368">
        <v>0.98119979999999996</v>
      </c>
      <c r="AB4368">
        <v>31</v>
      </c>
      <c r="AC4368">
        <v>98.956299999999899</v>
      </c>
      <c r="AD4368">
        <v>5.8719000000000098E-2</v>
      </c>
      <c r="AE4368">
        <v>22.114809999999999</v>
      </c>
      <c r="AF4368">
        <v>-19.626567276628101</v>
      </c>
      <c r="AG4368">
        <v>5.8719000000000098E-2</v>
      </c>
      <c r="AH4368">
        <v>99.479671753196001</v>
      </c>
      <c r="AI4368">
        <v>89.966820109076707</v>
      </c>
      <c r="AJ4368">
        <v>101.16067891976</v>
      </c>
      <c r="AK4368">
        <v>101.39729130064801</v>
      </c>
      <c r="AL4368">
        <v>77.457977804045498</v>
      </c>
      <c r="AM4368">
        <v>90.668392243660094</v>
      </c>
      <c r="AN4368">
        <v>1.00000001739622</v>
      </c>
    </row>
    <row r="4369" spans="1:40" x14ac:dyDescent="0.25">
      <c r="A4369" t="str">
        <f>"20190303170858518"</f>
        <v>20190303170858518</v>
      </c>
      <c r="B4369" t="str">
        <f>"1551604138507957"</f>
        <v>1551604138507957</v>
      </c>
      <c r="C4369" t="s">
        <v>40</v>
      </c>
      <c r="D4369">
        <v>4.7678289999999999</v>
      </c>
      <c r="E4369">
        <v>0.43203780000000003</v>
      </c>
      <c r="F4369" t="s">
        <v>62</v>
      </c>
      <c r="G4369">
        <v>-254.22190000000001</v>
      </c>
      <c r="H4369">
        <v>1.127434</v>
      </c>
      <c r="I4369">
        <v>38.37914</v>
      </c>
      <c r="J4369">
        <v>-352.87880000000001</v>
      </c>
      <c r="K4369">
        <v>1.1213360000000001</v>
      </c>
      <c r="L4369">
        <v>16.298950000000001</v>
      </c>
      <c r="M4369">
        <v>0.99959339999999997</v>
      </c>
      <c r="N4369">
        <v>-1.3302410000000001E-2</v>
      </c>
      <c r="O4369">
        <v>2.522624E-2</v>
      </c>
      <c r="P4369">
        <v>0.9783828</v>
      </c>
      <c r="Q4369">
        <v>0.2036685</v>
      </c>
      <c r="R4369">
        <v>3.5866149999999999E-2</v>
      </c>
      <c r="S4369">
        <v>3.0416560000000001</v>
      </c>
      <c r="T4369">
        <v>1.8763539999999999E-4</v>
      </c>
      <c r="U4369">
        <v>0.67892459999999999</v>
      </c>
      <c r="V4369">
        <v>-1.123234E-2</v>
      </c>
      <c r="W4369">
        <v>0.2166701</v>
      </c>
      <c r="X4369">
        <v>0.9761803</v>
      </c>
      <c r="Y4369">
        <v>-0.1931581</v>
      </c>
      <c r="Z4369">
        <v>1.627826E-3</v>
      </c>
      <c r="AA4369">
        <v>0.98116630000000005</v>
      </c>
      <c r="AB4369">
        <v>30</v>
      </c>
      <c r="AC4369">
        <v>98.656899999999993</v>
      </c>
      <c r="AD4369">
        <v>6.0979999999999299E-3</v>
      </c>
      <c r="AE4369">
        <v>22.080190000000002</v>
      </c>
      <c r="AF4369">
        <v>-19.584199547736301</v>
      </c>
      <c r="AG4369">
        <v>6.0979999999999299E-3</v>
      </c>
      <c r="AH4369">
        <v>99.1825476671643</v>
      </c>
      <c r="AI4369">
        <v>89.996544034999999</v>
      </c>
      <c r="AJ4369">
        <v>101.169715652276</v>
      </c>
      <c r="AK4369">
        <v>101.097570054183</v>
      </c>
      <c r="AL4369">
        <v>77.486473616953404</v>
      </c>
      <c r="AM4369">
        <v>90.659240179410801</v>
      </c>
      <c r="AN4369">
        <v>1.00000003790198</v>
      </c>
    </row>
    <row r="4370" spans="1:40" x14ac:dyDescent="0.25">
      <c r="A4370" t="str">
        <f>"20190303170858540"</f>
        <v>20190303170858540</v>
      </c>
      <c r="B4370" t="str">
        <f>"1551604138527477"</f>
        <v>1551604138527477</v>
      </c>
      <c r="C4370" t="s">
        <v>40</v>
      </c>
      <c r="D4370">
        <v>4.7521719999999998</v>
      </c>
      <c r="E4370">
        <v>0.4318939</v>
      </c>
      <c r="F4370" t="s">
        <v>62</v>
      </c>
      <c r="G4370">
        <v>-254.22190000000001</v>
      </c>
      <c r="H4370">
        <v>1.0657110000000001</v>
      </c>
      <c r="I4370">
        <v>38.39967</v>
      </c>
      <c r="J4370">
        <v>-352.59140000000002</v>
      </c>
      <c r="K4370">
        <v>1.121337</v>
      </c>
      <c r="L4370">
        <v>16.3064</v>
      </c>
      <c r="M4370">
        <v>0.99958999999999998</v>
      </c>
      <c r="N4370">
        <v>-1.3281970000000001E-2</v>
      </c>
      <c r="O4370">
        <v>2.5371669999999999E-2</v>
      </c>
      <c r="P4370">
        <v>0.97837419999999997</v>
      </c>
      <c r="Q4370">
        <v>0.20367299999999999</v>
      </c>
      <c r="R4370">
        <v>3.6076980000000002E-2</v>
      </c>
      <c r="S4370">
        <v>3.041595</v>
      </c>
      <c r="T4370">
        <v>-1.7145870000000001E-3</v>
      </c>
      <c r="U4370">
        <v>0.68136600000000003</v>
      </c>
      <c r="V4370">
        <v>-1.1300340000000001E-2</v>
      </c>
      <c r="W4370">
        <v>0.21665419999999999</v>
      </c>
      <c r="X4370">
        <v>0.97618300000000002</v>
      </c>
      <c r="Y4370">
        <v>-0.19376850000000001</v>
      </c>
      <c r="Z4370">
        <v>1.6755989999999901E-3</v>
      </c>
      <c r="AA4370">
        <v>0.98104579999999997</v>
      </c>
      <c r="AB4370">
        <v>30</v>
      </c>
      <c r="AC4370">
        <v>98.369500000000002</v>
      </c>
      <c r="AD4370">
        <v>-5.5625999999999898E-2</v>
      </c>
      <c r="AE4370">
        <v>22.09327</v>
      </c>
      <c r="AF4370">
        <v>-19.590132391904</v>
      </c>
      <c r="AG4370">
        <v>-5.5625999999999898E-2</v>
      </c>
      <c r="AH4370">
        <v>98.898390451562094</v>
      </c>
      <c r="AI4370">
        <v>90.0316121392611</v>
      </c>
      <c r="AJ4370">
        <v>101.204305799168</v>
      </c>
      <c r="AK4370">
        <v>100.819978254777</v>
      </c>
      <c r="AL4370">
        <v>77.487406237328202</v>
      </c>
      <c r="AM4370">
        <v>90.663228995362303</v>
      </c>
      <c r="AN4370">
        <v>0.99999999477537704</v>
      </c>
    </row>
    <row r="4371" spans="1:40" x14ac:dyDescent="0.25">
      <c r="A4371" t="str">
        <f>"20190303170858563"</f>
        <v>20190303170858563</v>
      </c>
      <c r="B4371" t="str">
        <f>"1551604138557732"</f>
        <v>1551604138557732</v>
      </c>
      <c r="C4371" t="s">
        <v>40</v>
      </c>
      <c r="D4371">
        <v>4.6725050000000001</v>
      </c>
      <c r="E4371">
        <v>0.40747670000000002</v>
      </c>
      <c r="F4371" t="s">
        <v>62</v>
      </c>
      <c r="G4371">
        <v>-254.22190000000001</v>
      </c>
      <c r="H4371">
        <v>1.040141</v>
      </c>
      <c r="I4371">
        <v>38.379800000000003</v>
      </c>
      <c r="J4371">
        <v>-352.27050000000003</v>
      </c>
      <c r="K4371">
        <v>1.1213310000000001</v>
      </c>
      <c r="L4371">
        <v>16.314729999999901</v>
      </c>
      <c r="M4371">
        <v>0.99958619999999998</v>
      </c>
      <c r="N4371">
        <v>-1.3257089999999999E-2</v>
      </c>
      <c r="O4371">
        <v>2.553387E-2</v>
      </c>
      <c r="P4371">
        <v>0.97828729999999997</v>
      </c>
      <c r="Q4371">
        <v>0.20400470000000001</v>
      </c>
      <c r="R4371">
        <v>3.6552130000000002E-2</v>
      </c>
      <c r="S4371">
        <v>3.0416560000000001</v>
      </c>
      <c r="T4371">
        <v>-2.5103090000000001E-3</v>
      </c>
      <c r="U4371">
        <v>0.68252559999999995</v>
      </c>
      <c r="V4371">
        <v>-1.1618379999999999E-2</v>
      </c>
      <c r="W4371">
        <v>0.21696099999999999</v>
      </c>
      <c r="X4371">
        <v>0.97611110000000001</v>
      </c>
      <c r="Y4371">
        <v>-0.19396079999999999</v>
      </c>
      <c r="Z4371">
        <v>1.6944200000000001E-3</v>
      </c>
      <c r="AA4371">
        <v>0.98100779999999999</v>
      </c>
      <c r="AB4371">
        <v>30</v>
      </c>
      <c r="AC4371">
        <v>98.048599999999993</v>
      </c>
      <c r="AD4371">
        <v>-8.1189999999999804E-2</v>
      </c>
      <c r="AE4371">
        <v>22.065069999999999</v>
      </c>
      <c r="AF4371">
        <v>-19.554081967056302</v>
      </c>
      <c r="AG4371">
        <v>-8.1189999999999804E-2</v>
      </c>
      <c r="AH4371">
        <v>98.580018111538394</v>
      </c>
      <c r="AI4371">
        <v>90.046286695604607</v>
      </c>
      <c r="AJ4371">
        <v>101.219412967727</v>
      </c>
      <c r="AK4371">
        <v>100.500689969082</v>
      </c>
      <c r="AL4371">
        <v>77.469399288385802</v>
      </c>
      <c r="AM4371">
        <v>90.681943586707504</v>
      </c>
      <c r="AN4371">
        <v>0.99999997090901604</v>
      </c>
    </row>
    <row r="4372" spans="1:40" x14ac:dyDescent="0.25">
      <c r="A4372" t="str">
        <f>"20190303170858586"</f>
        <v>20190303170858586</v>
      </c>
      <c r="B4372" t="str">
        <f>"1551604138578228"</f>
        <v>1551604138578228</v>
      </c>
      <c r="C4372" t="s">
        <v>40</v>
      </c>
      <c r="D4372">
        <v>4.6636550000000003</v>
      </c>
      <c r="E4372">
        <v>0.40607949999999998</v>
      </c>
      <c r="F4372" t="s">
        <v>106</v>
      </c>
      <c r="G4372">
        <v>-281.69850000000002</v>
      </c>
      <c r="H4372">
        <v>2.5897519999999998</v>
      </c>
      <c r="I4372">
        <v>36.759990000000002</v>
      </c>
      <c r="J4372">
        <v>-351.9676</v>
      </c>
      <c r="K4372">
        <v>1.121324</v>
      </c>
      <c r="L4372">
        <v>16.32263</v>
      </c>
      <c r="M4372">
        <v>0.99958259999999999</v>
      </c>
      <c r="N4372">
        <v>-1.323034E-2</v>
      </c>
      <c r="O4372">
        <v>2.5686500000000001E-2</v>
      </c>
      <c r="P4372">
        <v>0.97820430000000003</v>
      </c>
      <c r="Q4372">
        <v>0.20428060000000001</v>
      </c>
      <c r="R4372">
        <v>3.7228410000000003E-2</v>
      </c>
      <c r="S4372">
        <v>3.020813</v>
      </c>
      <c r="T4372">
        <v>6.2855359999999999E-2</v>
      </c>
      <c r="U4372">
        <v>0.87515259999999995</v>
      </c>
      <c r="V4372">
        <v>-1.214644E-2</v>
      </c>
      <c r="W4372">
        <v>0.2172096</v>
      </c>
      <c r="X4372">
        <v>0.97604939999999996</v>
      </c>
      <c r="Y4372">
        <v>-0.25349629999999901</v>
      </c>
      <c r="Z4372" s="1">
        <v>-1.665158E-5</v>
      </c>
      <c r="AA4372">
        <v>0.96733639999999999</v>
      </c>
      <c r="AB4372">
        <v>30</v>
      </c>
      <c r="AC4372">
        <v>70.269099999999895</v>
      </c>
      <c r="AD4372">
        <v>1.4684279999999901</v>
      </c>
      <c r="AE4372">
        <v>20.437360000000002</v>
      </c>
      <c r="AF4372">
        <v>-18.617994178966399</v>
      </c>
      <c r="AG4372">
        <v>1.4684279999999901</v>
      </c>
      <c r="AH4372">
        <v>70.742437284345996</v>
      </c>
      <c r="AI4372">
        <v>88.850008756590199</v>
      </c>
      <c r="AJ4372">
        <v>104.74474698601099</v>
      </c>
      <c r="AK4372">
        <v>73.166101583785704</v>
      </c>
      <c r="AL4372">
        <v>77.454807811406098</v>
      </c>
      <c r="AM4372">
        <v>90.712980127627105</v>
      </c>
      <c r="AN4372">
        <v>0.99999998878859597</v>
      </c>
    </row>
    <row r="4373" spans="1:40" x14ac:dyDescent="0.25">
      <c r="A4373" t="str">
        <f>"20190303170858608"</f>
        <v>20190303170858608</v>
      </c>
      <c r="B4373" t="str">
        <f>"1551604138597748"</f>
        <v>1551604138597748</v>
      </c>
      <c r="C4373" t="s">
        <v>40</v>
      </c>
      <c r="D4373">
        <v>4.6885300000000001</v>
      </c>
      <c r="E4373">
        <v>0.40548879999999998</v>
      </c>
      <c r="F4373" t="s">
        <v>106</v>
      </c>
      <c r="G4373">
        <v>-281.69850000000002</v>
      </c>
      <c r="H4373">
        <v>2.7022170000000001</v>
      </c>
      <c r="I4373">
        <v>36.995379999999997</v>
      </c>
      <c r="J4373">
        <v>-351.66070000000002</v>
      </c>
      <c r="K4373">
        <v>1.121326</v>
      </c>
      <c r="L4373">
        <v>16.330719999999999</v>
      </c>
      <c r="M4373">
        <v>0.99957910000000005</v>
      </c>
      <c r="N4373">
        <v>-1.320327E-2</v>
      </c>
      <c r="O4373">
        <v>2.5839270000000001E-2</v>
      </c>
      <c r="P4373">
        <v>0.97814369999999995</v>
      </c>
      <c r="Q4373">
        <v>0.20451140000000001</v>
      </c>
      <c r="R4373">
        <v>3.7554289999999997E-2</v>
      </c>
      <c r="S4373">
        <v>3.0188290000000002</v>
      </c>
      <c r="T4373">
        <v>6.7916870000000004E-2</v>
      </c>
      <c r="U4373">
        <v>0.88812259999999998</v>
      </c>
      <c r="V4373">
        <v>-1.232458E-2</v>
      </c>
      <c r="W4373">
        <v>0.21741340000000001</v>
      </c>
      <c r="X4373">
        <v>0.97600180000000003</v>
      </c>
      <c r="Y4373">
        <v>-0.25734109999999999</v>
      </c>
      <c r="Z4373">
        <v>-1.9712000000000001E-4</v>
      </c>
      <c r="AA4373">
        <v>0.96632059999999997</v>
      </c>
      <c r="AB4373">
        <v>30</v>
      </c>
      <c r="AC4373">
        <v>69.962199999999996</v>
      </c>
      <c r="AD4373">
        <v>1.5808909999999901</v>
      </c>
      <c r="AE4373">
        <v>20.664660000000001</v>
      </c>
      <c r="AF4373">
        <v>-18.840981471685801</v>
      </c>
      <c r="AG4373">
        <v>1.5808909999999901</v>
      </c>
      <c r="AH4373">
        <v>70.439762244806005</v>
      </c>
      <c r="AI4373">
        <v>88.757965374935196</v>
      </c>
      <c r="AJ4373">
        <v>104.97472827759</v>
      </c>
      <c r="AK4373">
        <v>72.933133103378296</v>
      </c>
      <c r="AL4373">
        <v>77.442845162512995</v>
      </c>
      <c r="AM4373">
        <v>90.723470887637006</v>
      </c>
      <c r="AN4373">
        <v>0.99999999768748804</v>
      </c>
    </row>
    <row r="4374" spans="1:40" x14ac:dyDescent="0.25">
      <c r="A4374" t="str">
        <f>"20190303170858630"</f>
        <v>20190303170858630</v>
      </c>
      <c r="B4374" t="str">
        <f>"1551604138618244"</f>
        <v>1551604138618244</v>
      </c>
      <c r="C4374" t="s">
        <v>40</v>
      </c>
      <c r="D4374">
        <v>4.6430540000000002</v>
      </c>
      <c r="E4374">
        <v>0.40515319999999999</v>
      </c>
      <c r="F4374" t="s">
        <v>106</v>
      </c>
      <c r="G4374">
        <v>-281.69850000000002</v>
      </c>
      <c r="H4374">
        <v>2.7467419999999998</v>
      </c>
      <c r="I4374">
        <v>37.037750000000003</v>
      </c>
      <c r="J4374">
        <v>-351.36410000000001</v>
      </c>
      <c r="K4374">
        <v>1.121327</v>
      </c>
      <c r="L4374">
        <v>16.33859</v>
      </c>
      <c r="M4374">
        <v>0.99957549999999995</v>
      </c>
      <c r="N4374">
        <v>-1.31792E-2</v>
      </c>
      <c r="O4374">
        <v>2.5986169999999999E-2</v>
      </c>
      <c r="P4374">
        <v>0.97796179999999999</v>
      </c>
      <c r="Q4374">
        <v>0.20517270000000001</v>
      </c>
      <c r="R4374">
        <v>3.8669179999999997E-2</v>
      </c>
      <c r="S4374">
        <v>3.018097</v>
      </c>
      <c r="T4374">
        <v>7.0118899999999998E-2</v>
      </c>
      <c r="U4374">
        <v>0.89327999999999996</v>
      </c>
      <c r="V4374">
        <v>-1.3300899999999999E-2</v>
      </c>
      <c r="W4374">
        <v>0.21804870000000001</v>
      </c>
      <c r="X4374">
        <v>0.97584720000000003</v>
      </c>
      <c r="Y4374">
        <v>-0.25877909999999998</v>
      </c>
      <c r="Z4374">
        <v>-2.754368E-4</v>
      </c>
      <c r="AA4374">
        <v>0.96593649999999998</v>
      </c>
      <c r="AB4374">
        <v>30</v>
      </c>
      <c r="AC4374">
        <v>69.665599999999898</v>
      </c>
      <c r="AD4374">
        <v>1.6254149999999901</v>
      </c>
      <c r="AE4374">
        <v>20.699159999999999</v>
      </c>
      <c r="AF4374">
        <v>-18.872229464330001</v>
      </c>
      <c r="AG4374">
        <v>1.6254149999999901</v>
      </c>
      <c r="AH4374">
        <v>70.144921535585596</v>
      </c>
      <c r="AI4374">
        <v>88.718133948162006</v>
      </c>
      <c r="AJ4374">
        <v>105.058631105345</v>
      </c>
      <c r="AK4374">
        <v>72.657505022606003</v>
      </c>
      <c r="AL4374">
        <v>77.405549843271302</v>
      </c>
      <c r="AM4374">
        <v>90.780899146540193</v>
      </c>
      <c r="AN4374">
        <v>0.99999995363016803</v>
      </c>
    </row>
    <row r="4375" spans="1:40" x14ac:dyDescent="0.25">
      <c r="A4375" t="str">
        <f>"20190303170858651"</f>
        <v>20190303170858651</v>
      </c>
      <c r="B4375" t="str">
        <f>"1551604138637765"</f>
        <v>1551604138637765</v>
      </c>
      <c r="C4375" t="s">
        <v>40</v>
      </c>
      <c r="D4375">
        <v>4.6204749999999999</v>
      </c>
      <c r="E4375">
        <v>0.40485189999999999</v>
      </c>
      <c r="F4375" t="s">
        <v>106</v>
      </c>
      <c r="G4375">
        <v>-281.69850000000002</v>
      </c>
      <c r="H4375">
        <v>2.7978499999999999</v>
      </c>
      <c r="I4375">
        <v>37.096980000000002</v>
      </c>
      <c r="J4375">
        <v>-351.07940000000002</v>
      </c>
      <c r="K4375">
        <v>1.1213249999999999</v>
      </c>
      <c r="L4375">
        <v>16.346129999999999</v>
      </c>
      <c r="M4375">
        <v>0.99957200000000002</v>
      </c>
      <c r="N4375">
        <v>-1.3158039999999999E-2</v>
      </c>
      <c r="O4375">
        <v>2.612803E-2</v>
      </c>
      <c r="P4375">
        <v>0.97770250000000003</v>
      </c>
      <c r="Q4375">
        <v>0.2062418</v>
      </c>
      <c r="R4375">
        <v>3.9523919999999997E-2</v>
      </c>
      <c r="S4375">
        <v>3.0168149999999998</v>
      </c>
      <c r="T4375">
        <v>7.2600600000000001E-2</v>
      </c>
      <c r="U4375">
        <v>0.8989258</v>
      </c>
      <c r="V4375">
        <v>-1.4022959999999999E-2</v>
      </c>
      <c r="W4375">
        <v>0.21909419999999999</v>
      </c>
      <c r="X4375">
        <v>0.97560290000000005</v>
      </c>
      <c r="Y4375">
        <v>-0.26041180000000003</v>
      </c>
      <c r="Z4375">
        <v>-3.6507150000000002E-4</v>
      </c>
      <c r="AA4375">
        <v>0.96549759999999996</v>
      </c>
      <c r="AB4375">
        <v>30</v>
      </c>
      <c r="AC4375">
        <v>69.380899999999997</v>
      </c>
      <c r="AD4375">
        <v>1.676525</v>
      </c>
      <c r="AE4375">
        <v>20.75085</v>
      </c>
      <c r="AF4375">
        <v>-18.920680620721502</v>
      </c>
      <c r="AG4375">
        <v>1.676525</v>
      </c>
      <c r="AH4375">
        <v>69.861992165442999</v>
      </c>
      <c r="AI4375">
        <v>88.673083303291804</v>
      </c>
      <c r="AJ4375">
        <v>105.15385747614199</v>
      </c>
      <c r="AK4375">
        <v>72.398210202679607</v>
      </c>
      <c r="AL4375">
        <v>77.344162968152403</v>
      </c>
      <c r="AM4375">
        <v>90.823491913976895</v>
      </c>
      <c r="AN4375">
        <v>0.99999996518460499</v>
      </c>
    </row>
    <row r="4376" spans="1:40" x14ac:dyDescent="0.25">
      <c r="A4376" t="str">
        <f>"20190303170858673"</f>
        <v>20190303170858673</v>
      </c>
      <c r="B4376" t="str">
        <f>"1551604138668021"</f>
        <v>1551604138668021</v>
      </c>
      <c r="C4376" t="s">
        <v>40</v>
      </c>
      <c r="D4376">
        <v>4.6226929999999999</v>
      </c>
      <c r="E4376">
        <v>0.40445389999999998</v>
      </c>
      <c r="F4376" t="s">
        <v>106</v>
      </c>
      <c r="G4376">
        <v>-281.69850000000002</v>
      </c>
      <c r="H4376">
        <v>2.8897970000000002</v>
      </c>
      <c r="I4376">
        <v>37.14087</v>
      </c>
      <c r="J4376">
        <v>-350.77809999999999</v>
      </c>
      <c r="K4376">
        <v>1.121324</v>
      </c>
      <c r="L4376">
        <v>16.354220000000002</v>
      </c>
      <c r="M4376">
        <v>0.99956829999999997</v>
      </c>
      <c r="N4376">
        <v>-1.31375E-2</v>
      </c>
      <c r="O4376">
        <v>2.6279719999999999E-2</v>
      </c>
      <c r="P4376">
        <v>0.9775798</v>
      </c>
      <c r="Q4376">
        <v>0.2067387</v>
      </c>
      <c r="R4376">
        <v>3.996065E-2</v>
      </c>
      <c r="S4376">
        <v>3.015625</v>
      </c>
      <c r="T4376">
        <v>7.6866390000000007E-2</v>
      </c>
      <c r="U4376">
        <v>0.90383910000000001</v>
      </c>
      <c r="V4376">
        <v>-1.431354E-2</v>
      </c>
      <c r="W4376">
        <v>0.21956970000000001</v>
      </c>
      <c r="X4376">
        <v>0.97549180000000002</v>
      </c>
      <c r="Y4376">
        <v>-0.2618085</v>
      </c>
      <c r="Z4376">
        <v>-5.1470710000000002E-4</v>
      </c>
      <c r="AA4376">
        <v>0.96511970000000002</v>
      </c>
      <c r="AB4376">
        <v>30</v>
      </c>
      <c r="AC4376">
        <v>69.0795999999999</v>
      </c>
      <c r="AD4376">
        <v>1.768473</v>
      </c>
      <c r="AE4376">
        <v>20.786650000000002</v>
      </c>
      <c r="AF4376">
        <v>-18.952530505151099</v>
      </c>
      <c r="AG4376">
        <v>1.768473</v>
      </c>
      <c r="AH4376">
        <v>69.560248579318198</v>
      </c>
      <c r="AI4376">
        <v>88.594848694195903</v>
      </c>
      <c r="AJ4376">
        <v>105.240975626048</v>
      </c>
      <c r="AK4376">
        <v>72.1176406416416</v>
      </c>
      <c r="AL4376">
        <v>77.3162392161626</v>
      </c>
      <c r="AM4376">
        <v>90.840649386161999</v>
      </c>
      <c r="AN4376">
        <v>0.99999999122632999</v>
      </c>
    </row>
    <row r="4377" spans="1:40" x14ac:dyDescent="0.25">
      <c r="A4377" t="str">
        <f>"20190303170858697"</f>
        <v>20190303170858697</v>
      </c>
      <c r="B4377" t="str">
        <f>"1551604138687541"</f>
        <v>1551604138687541</v>
      </c>
      <c r="C4377" t="s">
        <v>40</v>
      </c>
      <c r="D4377">
        <v>4.6010249999999999</v>
      </c>
      <c r="E4377">
        <v>0.40417570000000003</v>
      </c>
      <c r="F4377" t="s">
        <v>106</v>
      </c>
      <c r="G4377">
        <v>-281.69850000000002</v>
      </c>
      <c r="H4377">
        <v>2.9280879999999998</v>
      </c>
      <c r="I4377">
        <v>37.169359999999998</v>
      </c>
      <c r="J4377">
        <v>-350.4511</v>
      </c>
      <c r="K4377">
        <v>1.121324</v>
      </c>
      <c r="L4377">
        <v>16.363009999999999</v>
      </c>
      <c r="M4377">
        <v>0.99956429999999996</v>
      </c>
      <c r="N4377">
        <v>-1.3117119999999999E-2</v>
      </c>
      <c r="O4377">
        <v>2.6445179999999999E-2</v>
      </c>
      <c r="P4377">
        <v>0.97764459999999997</v>
      </c>
      <c r="Q4377">
        <v>0.20640410000000001</v>
      </c>
      <c r="R4377">
        <v>4.010818E-2</v>
      </c>
      <c r="S4377">
        <v>3.0149840000000001</v>
      </c>
      <c r="T4377">
        <v>7.8856469999999998E-2</v>
      </c>
      <c r="U4377">
        <v>0.9084778</v>
      </c>
      <c r="V4377">
        <v>-1.4297030000000001E-2</v>
      </c>
      <c r="W4377">
        <v>0.21921570000000001</v>
      </c>
      <c r="X4377">
        <v>0.97557169999999904</v>
      </c>
      <c r="Y4377">
        <v>-0.26306420000000003</v>
      </c>
      <c r="Z4377">
        <v>-5.8645339999999896E-4</v>
      </c>
      <c r="AA4377">
        <v>0.96477809999999997</v>
      </c>
      <c r="AB4377">
        <v>30</v>
      </c>
      <c r="AC4377">
        <v>68.752599999999902</v>
      </c>
      <c r="AD4377">
        <v>1.806764</v>
      </c>
      <c r="AE4377">
        <v>20.806349999999998</v>
      </c>
      <c r="AF4377">
        <v>-18.9687402046989</v>
      </c>
      <c r="AG4377">
        <v>1.806764</v>
      </c>
      <c r="AH4377">
        <v>69.235023653693702</v>
      </c>
      <c r="AI4377">
        <v>88.558251184251205</v>
      </c>
      <c r="AJ4377">
        <v>105.321695262155</v>
      </c>
      <c r="AK4377">
        <v>71.809233399560696</v>
      </c>
      <c r="AL4377">
        <v>77.337028981055099</v>
      </c>
      <c r="AM4377">
        <v>90.8396111147417</v>
      </c>
      <c r="AN4377">
        <v>1.0000000350170899</v>
      </c>
    </row>
    <row r="4378" spans="1:40" x14ac:dyDescent="0.25">
      <c r="A4378" t="str">
        <f>"20190303170858718"</f>
        <v>20190303170858718</v>
      </c>
      <c r="B4378" t="str">
        <f>"1551604138708036"</f>
        <v>1551604138708036</v>
      </c>
      <c r="C4378" t="s">
        <v>40</v>
      </c>
      <c r="D4378">
        <v>4.635904</v>
      </c>
      <c r="E4378">
        <v>0.40396359999999998</v>
      </c>
      <c r="F4378" t="s">
        <v>106</v>
      </c>
      <c r="G4378">
        <v>-281.69850000000002</v>
      </c>
      <c r="H4378">
        <v>2.8980359999999998</v>
      </c>
      <c r="I4378">
        <v>37.136740000000003</v>
      </c>
      <c r="J4378">
        <v>-350.16570000000002</v>
      </c>
      <c r="K4378">
        <v>1.1213280000000001</v>
      </c>
      <c r="L4378">
        <v>16.370729999999998</v>
      </c>
      <c r="M4378">
        <v>0.99956069999999997</v>
      </c>
      <c r="N4378">
        <v>-1.3101069999999999E-2</v>
      </c>
      <c r="O4378">
        <v>2.6588810000000001E-2</v>
      </c>
      <c r="P4378">
        <v>0.97763089999999997</v>
      </c>
      <c r="Q4378">
        <v>0.206537</v>
      </c>
      <c r="R4378">
        <v>3.9756510000000002E-2</v>
      </c>
      <c r="S4378">
        <v>3.0147710000000001</v>
      </c>
      <c r="T4378">
        <v>7.7908160000000004E-2</v>
      </c>
      <c r="U4378">
        <v>0.91091920000000004</v>
      </c>
      <c r="V4378">
        <v>-1.380496E-2</v>
      </c>
      <c r="W4378">
        <v>0.2193329</v>
      </c>
      <c r="X4378">
        <v>0.97555239999999999</v>
      </c>
      <c r="Y4378">
        <v>-0.2636616</v>
      </c>
      <c r="Z4378">
        <v>-5.5450529999999897E-4</v>
      </c>
      <c r="AA4378">
        <v>0.964615</v>
      </c>
      <c r="AB4378">
        <v>30</v>
      </c>
      <c r="AC4378">
        <v>68.467199999999906</v>
      </c>
      <c r="AD4378">
        <v>1.776708</v>
      </c>
      <c r="AE4378">
        <v>20.766010000000001</v>
      </c>
      <c r="AF4378">
        <v>-18.9263783718431</v>
      </c>
      <c r="AG4378">
        <v>1.776708</v>
      </c>
      <c r="AH4378">
        <v>68.952659856622006</v>
      </c>
      <c r="AI4378">
        <v>88.576605935939497</v>
      </c>
      <c r="AJ4378">
        <v>105.348743458876</v>
      </c>
      <c r="AK4378">
        <v>71.525057084174705</v>
      </c>
      <c r="AL4378">
        <v>77.330145856754697</v>
      </c>
      <c r="AM4378">
        <v>90.810733646013006</v>
      </c>
      <c r="AN4378">
        <v>0.99999999154438501</v>
      </c>
    </row>
    <row r="4379" spans="1:40" x14ac:dyDescent="0.25">
      <c r="A4379" t="str">
        <f>"20190303170858741"</f>
        <v>20190303170858741</v>
      </c>
      <c r="B4379" t="str">
        <f>"1551604138727556"</f>
        <v>1551604138727556</v>
      </c>
      <c r="C4379" t="s">
        <v>40</v>
      </c>
      <c r="D4379">
        <v>4.656174</v>
      </c>
      <c r="E4379">
        <v>0.40379419999999999</v>
      </c>
      <c r="F4379" t="s">
        <v>106</v>
      </c>
      <c r="G4379">
        <v>-281.69850000000002</v>
      </c>
      <c r="H4379">
        <v>2.9053779999999998</v>
      </c>
      <c r="I4379">
        <v>37.061610000000002</v>
      </c>
      <c r="J4379">
        <v>-349.86649999999997</v>
      </c>
      <c r="K4379">
        <v>1.1213310000000001</v>
      </c>
      <c r="L4379">
        <v>16.37885</v>
      </c>
      <c r="M4379">
        <v>0.99955680000000002</v>
      </c>
      <c r="N4379">
        <v>-1.3085970000000001E-2</v>
      </c>
      <c r="O4379">
        <v>2.6738749999999999E-2</v>
      </c>
      <c r="P4379">
        <v>0.97760279999999999</v>
      </c>
      <c r="Q4379">
        <v>0.2067996</v>
      </c>
      <c r="R4379">
        <v>3.9071710000000003E-2</v>
      </c>
      <c r="S4379">
        <v>3.0149840000000001</v>
      </c>
      <c r="T4379">
        <v>7.8561660000000005E-2</v>
      </c>
      <c r="U4379">
        <v>0.91113279999999996</v>
      </c>
      <c r="V4379">
        <v>-1.29748E-2</v>
      </c>
      <c r="W4379">
        <v>0.21958040000000001</v>
      </c>
      <c r="X4379">
        <v>0.97550809999999999</v>
      </c>
      <c r="Y4379">
        <v>-0.26355990000000001</v>
      </c>
      <c r="Z4379">
        <v>-5.7266930000000004E-4</v>
      </c>
      <c r="AA4379">
        <v>0.96464289999999997</v>
      </c>
      <c r="AB4379">
        <v>30</v>
      </c>
      <c r="AC4379">
        <v>68.167999999999907</v>
      </c>
      <c r="AD4379">
        <v>1.7840469999999999</v>
      </c>
      <c r="AE4379">
        <v>20.682759999999899</v>
      </c>
      <c r="AF4379">
        <v>-18.8406636661501</v>
      </c>
      <c r="AG4379">
        <v>1.7840469999999999</v>
      </c>
      <c r="AH4379">
        <v>68.653641667719995</v>
      </c>
      <c r="AI4379">
        <v>88.564486846944604</v>
      </c>
      <c r="AJ4379">
        <v>105.34591914801899</v>
      </c>
      <c r="AK4379">
        <v>71.214295933603793</v>
      </c>
      <c r="AL4379">
        <v>77.315610610620098</v>
      </c>
      <c r="AM4379">
        <v>90.762020784447699</v>
      </c>
      <c r="AN4379">
        <v>0.99999997533240403</v>
      </c>
    </row>
    <row r="4380" spans="1:40" x14ac:dyDescent="0.25">
      <c r="A4380" t="str">
        <f>"20190303170858763"</f>
        <v>20190303170858763</v>
      </c>
      <c r="B4380" t="str">
        <f>"1551604138757812"</f>
        <v>1551604138757812</v>
      </c>
      <c r="C4380" t="s">
        <v>40</v>
      </c>
      <c r="D4380">
        <v>4.6573310000000001</v>
      </c>
      <c r="E4380">
        <v>0.40345829999999999</v>
      </c>
      <c r="F4380" t="s">
        <v>106</v>
      </c>
      <c r="G4380">
        <v>-281.69850000000002</v>
      </c>
      <c r="H4380">
        <v>2.9359250000000001</v>
      </c>
      <c r="I4380">
        <v>36.967829999999999</v>
      </c>
      <c r="J4380">
        <v>-349.56720000000001</v>
      </c>
      <c r="K4380">
        <v>1.121337</v>
      </c>
      <c r="L4380">
        <v>16.38702</v>
      </c>
      <c r="M4380">
        <v>0.99955309999999997</v>
      </c>
      <c r="N4380">
        <v>-1.3072449999999999E-2</v>
      </c>
      <c r="O4380">
        <v>2.688838E-2</v>
      </c>
      <c r="P4380">
        <v>0.97746900000000003</v>
      </c>
      <c r="Q4380">
        <v>0.20754980000000001</v>
      </c>
      <c r="R4380">
        <v>3.8441839999999998E-2</v>
      </c>
      <c r="S4380">
        <v>3.0153500000000002</v>
      </c>
      <c r="T4380">
        <v>8.0267190000000002E-2</v>
      </c>
      <c r="U4380">
        <v>0.91073610000000005</v>
      </c>
      <c r="V4380">
        <v>-1.2202879999999999E-2</v>
      </c>
      <c r="W4380">
        <v>0.22031580000000001</v>
      </c>
      <c r="X4380">
        <v>0.97535229999999995</v>
      </c>
      <c r="Y4380">
        <v>-0.26326480000000002</v>
      </c>
      <c r="Z4380">
        <v>-6.2503949999999895E-4</v>
      </c>
      <c r="AA4380">
        <v>0.96472340000000001</v>
      </c>
      <c r="AB4380">
        <v>30</v>
      </c>
      <c r="AC4380">
        <v>67.868699999999905</v>
      </c>
      <c r="AD4380">
        <v>1.8145880000000001</v>
      </c>
      <c r="AE4380">
        <v>20.58081</v>
      </c>
      <c r="AF4380">
        <v>-18.736066856176102</v>
      </c>
      <c r="AG4380">
        <v>1.8145880000000001</v>
      </c>
      <c r="AH4380">
        <v>68.352841789033604</v>
      </c>
      <c r="AI4380">
        <v>88.533379759439597</v>
      </c>
      <c r="AJ4380">
        <v>105.328730628912</v>
      </c>
      <c r="AK4380">
        <v>70.897418228631594</v>
      </c>
      <c r="AL4380">
        <v>77.272418341858199</v>
      </c>
      <c r="AM4380">
        <v>90.716804629921597</v>
      </c>
      <c r="AN4380">
        <v>1.00000003556261</v>
      </c>
    </row>
    <row r="4381" spans="1:40" x14ac:dyDescent="0.25">
      <c r="A4381" t="str">
        <f>"20190303170858788"</f>
        <v>20190303170858788</v>
      </c>
      <c r="B4381" t="str">
        <f>"1551604138778308"</f>
        <v>1551604138778308</v>
      </c>
      <c r="C4381" t="s">
        <v>40</v>
      </c>
      <c r="D4381">
        <v>4.6376379999999999</v>
      </c>
      <c r="E4381">
        <v>0.40324310000000002</v>
      </c>
      <c r="F4381" t="s">
        <v>106</v>
      </c>
      <c r="G4381">
        <v>-281.69850000000002</v>
      </c>
      <c r="H4381">
        <v>3.0183309999999999</v>
      </c>
      <c r="I4381">
        <v>36.91724</v>
      </c>
      <c r="J4381">
        <v>-349.23430000000002</v>
      </c>
      <c r="K4381">
        <v>1.121337</v>
      </c>
      <c r="L4381">
        <v>16.396179999999902</v>
      </c>
      <c r="M4381">
        <v>0.99954869999999996</v>
      </c>
      <c r="N4381">
        <v>-1.3059060000000001E-2</v>
      </c>
      <c r="O4381">
        <v>2.7055409999999998E-2</v>
      </c>
      <c r="P4381">
        <v>0.97740640000000001</v>
      </c>
      <c r="Q4381">
        <v>0.208096</v>
      </c>
      <c r="R4381">
        <v>3.7052590000000003E-2</v>
      </c>
      <c r="S4381">
        <v>3.0153500000000002</v>
      </c>
      <c r="T4381">
        <v>8.4281919999999996E-2</v>
      </c>
      <c r="U4381">
        <v>0.9121399</v>
      </c>
      <c r="V4381">
        <v>-1.065235E-2</v>
      </c>
      <c r="W4381">
        <v>0.2208483</v>
      </c>
      <c r="X4381">
        <v>0.97524999999999995</v>
      </c>
      <c r="Y4381">
        <v>-0.26350990000000002</v>
      </c>
      <c r="Z4381">
        <v>-7.5830609999999997E-4</v>
      </c>
      <c r="AA4381">
        <v>0.96465639999999997</v>
      </c>
      <c r="AB4381">
        <v>30</v>
      </c>
      <c r="AC4381">
        <v>67.535799999999995</v>
      </c>
      <c r="AD4381">
        <v>1.8969940000000001</v>
      </c>
      <c r="AE4381">
        <v>20.521059999999999</v>
      </c>
      <c r="AF4381">
        <v>-18.672695148295301</v>
      </c>
      <c r="AG4381">
        <v>1.8969940000000001</v>
      </c>
      <c r="AH4381">
        <v>68.017198257086406</v>
      </c>
      <c r="AI4381">
        <v>88.459410326111197</v>
      </c>
      <c r="AJ4381">
        <v>105.351160622896</v>
      </c>
      <c r="AK4381">
        <v>70.559247367591794</v>
      </c>
      <c r="AL4381">
        <v>77.241137434058501</v>
      </c>
      <c r="AM4381">
        <v>90.625798950652097</v>
      </c>
      <c r="AN4381">
        <v>1.0000000033367</v>
      </c>
    </row>
    <row r="4382" spans="1:40" x14ac:dyDescent="0.25">
      <c r="A4382" t="str">
        <f>"20190303170858809"</f>
        <v>20190303170858809</v>
      </c>
      <c r="B4382" t="str">
        <f>"1551604138797830"</f>
        <v>1551604138797830</v>
      </c>
      <c r="C4382" t="s">
        <v>40</v>
      </c>
      <c r="D4382">
        <v>4.8322609999999999</v>
      </c>
      <c r="E4382">
        <v>0.40325610000000001</v>
      </c>
      <c r="F4382" t="s">
        <v>106</v>
      </c>
      <c r="G4382">
        <v>-281.69850000000002</v>
      </c>
      <c r="H4382">
        <v>3.0800969999999999</v>
      </c>
      <c r="I4382">
        <v>36.769599999999997</v>
      </c>
      <c r="J4382">
        <v>-348.9418</v>
      </c>
      <c r="K4382">
        <v>1.1213409999999999</v>
      </c>
      <c r="L4382">
        <v>16.404239999999898</v>
      </c>
      <c r="M4382">
        <v>0.99954489999999996</v>
      </c>
      <c r="N4382">
        <v>-1.304865E-2</v>
      </c>
      <c r="O4382">
        <v>2.720264E-2</v>
      </c>
      <c r="P4382">
        <v>0.9774583</v>
      </c>
      <c r="Q4382">
        <v>0.20808660000000001</v>
      </c>
      <c r="R4382">
        <v>3.5715179999999999E-2</v>
      </c>
      <c r="S4382">
        <v>3.0162659999999999</v>
      </c>
      <c r="T4382">
        <v>8.7481740000000002E-2</v>
      </c>
      <c r="U4382">
        <v>0.9099121</v>
      </c>
      <c r="V4382">
        <v>-9.1698519999999992E-3</v>
      </c>
      <c r="W4382">
        <v>0.22082879999999999</v>
      </c>
      <c r="X4382">
        <v>0.97526950000000001</v>
      </c>
      <c r="Y4382">
        <v>-0.26262960000000002</v>
      </c>
      <c r="Z4382">
        <v>-8.555511E-4</v>
      </c>
      <c r="AA4382">
        <v>0.96489639999999999</v>
      </c>
      <c r="AB4382">
        <v>30</v>
      </c>
      <c r="AC4382">
        <v>67.243299999999905</v>
      </c>
      <c r="AD4382">
        <v>1.9587559999999999</v>
      </c>
      <c r="AE4382">
        <v>20.365359999999999</v>
      </c>
      <c r="AF4382">
        <v>-18.5140818165616</v>
      </c>
      <c r="AG4382">
        <v>1.9587559999999999</v>
      </c>
      <c r="AH4382">
        <v>67.719816479115295</v>
      </c>
      <c r="AI4382">
        <v>88.401833013799404</v>
      </c>
      <c r="AJ4382">
        <v>105.290582328361</v>
      </c>
      <c r="AK4382">
        <v>70.232339378258899</v>
      </c>
      <c r="AL4382">
        <v>77.242283218821399</v>
      </c>
      <c r="AM4382">
        <v>90.538700673765206</v>
      </c>
      <c r="AN4382">
        <v>1.0000000213626901</v>
      </c>
    </row>
    <row r="4383" spans="1:40" x14ac:dyDescent="0.25">
      <c r="A4383" t="str">
        <f>"20190303170858831"</f>
        <v>20190303170858831</v>
      </c>
      <c r="B4383" t="str">
        <f>"1551604138818326"</f>
        <v>1551604138818326</v>
      </c>
      <c r="C4383" t="s">
        <v>40</v>
      </c>
      <c r="D4383">
        <v>4.6107570000000004</v>
      </c>
      <c r="E4383">
        <v>0.43633139999999998</v>
      </c>
      <c r="F4383" t="s">
        <v>106</v>
      </c>
      <c r="G4383">
        <v>-281.69850000000002</v>
      </c>
      <c r="H4383">
        <v>3.0729000000000002</v>
      </c>
      <c r="I4383">
        <v>36.583950000000002</v>
      </c>
      <c r="J4383">
        <v>-348.65820000000002</v>
      </c>
      <c r="K4383">
        <v>1.1213379999999999</v>
      </c>
      <c r="L4383">
        <v>16.412109999999998</v>
      </c>
      <c r="M4383">
        <v>0.99954100000000001</v>
      </c>
      <c r="N4383">
        <v>-1.304511E-2</v>
      </c>
      <c r="O4383">
        <v>2.734528E-2</v>
      </c>
      <c r="P4383">
        <v>0.97754589999999997</v>
      </c>
      <c r="Q4383">
        <v>0.20799239999999999</v>
      </c>
      <c r="R4383">
        <v>3.3815369999999997E-2</v>
      </c>
      <c r="S4383">
        <v>3.017487</v>
      </c>
      <c r="T4383">
        <v>8.7574719999999995E-2</v>
      </c>
      <c r="U4383">
        <v>0.90554809999999997</v>
      </c>
      <c r="V4383">
        <v>-7.1284460000000001E-3</v>
      </c>
      <c r="W4383">
        <v>0.22073209999999999</v>
      </c>
      <c r="X4383">
        <v>0.97530839999999996</v>
      </c>
      <c r="Y4383">
        <v>-0.26110420000000001</v>
      </c>
      <c r="Z4383">
        <v>-8.4165439999999998E-4</v>
      </c>
      <c r="AA4383">
        <v>0.96531029999999995</v>
      </c>
      <c r="AB4383">
        <v>30</v>
      </c>
      <c r="AC4383">
        <v>66.959699999999998</v>
      </c>
      <c r="AD4383">
        <v>1.951562</v>
      </c>
      <c r="AE4383">
        <v>20.17184</v>
      </c>
      <c r="AF4383">
        <v>-18.318841765275501</v>
      </c>
      <c r="AG4383">
        <v>1.951562</v>
      </c>
      <c r="AH4383">
        <v>67.433791898709401</v>
      </c>
      <c r="AI4383">
        <v>88.400245426066206</v>
      </c>
      <c r="AJ4383">
        <v>105.19801077836701</v>
      </c>
      <c r="AK4383">
        <v>69.904970121583503</v>
      </c>
      <c r="AL4383">
        <v>77.2479632973929</v>
      </c>
      <c r="AM4383">
        <v>90.418762514209206</v>
      </c>
      <c r="AN4383">
        <v>0.99999997491167203</v>
      </c>
    </row>
    <row r="4384" spans="1:40" x14ac:dyDescent="0.25">
      <c r="A4384" t="str">
        <f>"20190303170858851"</f>
        <v>20190303170858851</v>
      </c>
      <c r="B4384" t="str">
        <f>"1551604138837844"</f>
        <v>1551604138837844</v>
      </c>
      <c r="C4384" t="s">
        <v>40</v>
      </c>
      <c r="D4384">
        <v>4.7778890000000001</v>
      </c>
      <c r="E4384">
        <v>0.50563849999999999</v>
      </c>
      <c r="F4384" t="s">
        <v>62</v>
      </c>
      <c r="G4384">
        <v>-242.9014</v>
      </c>
      <c r="H4384">
        <v>2.2675679999999998</v>
      </c>
      <c r="I4384">
        <v>38.650019999999998</v>
      </c>
      <c r="J4384">
        <v>-348.36520000000002</v>
      </c>
      <c r="K4384">
        <v>1.1213390000000001</v>
      </c>
      <c r="L4384">
        <v>16.420289999999898</v>
      </c>
      <c r="M4384">
        <v>0.9995368</v>
      </c>
      <c r="N4384">
        <v>-1.305164E-2</v>
      </c>
      <c r="O4384">
        <v>2.7493219999999999E-2</v>
      </c>
      <c r="P4384">
        <v>0.97758540000000005</v>
      </c>
      <c r="Q4384">
        <v>0.2080998</v>
      </c>
      <c r="R4384">
        <v>3.1961429999999999E-2</v>
      </c>
      <c r="S4384">
        <v>3.0397949999999998</v>
      </c>
      <c r="T4384">
        <v>3.2946709999999997E-2</v>
      </c>
      <c r="U4384">
        <v>0.639190699999999</v>
      </c>
      <c r="V4384">
        <v>-5.1289899999999999E-3</v>
      </c>
      <c r="W4384">
        <v>0.2208465</v>
      </c>
      <c r="X4384">
        <v>0.97529509999999997</v>
      </c>
      <c r="Y4384">
        <v>-0.17879919999999999</v>
      </c>
      <c r="Z4384">
        <v>8.7077779999999896E-4</v>
      </c>
      <c r="AA4384">
        <v>0.98388520000000002</v>
      </c>
      <c r="AB4384">
        <v>30</v>
      </c>
      <c r="AC4384">
        <v>105.46380000000001</v>
      </c>
      <c r="AD4384">
        <v>1.1462289999999999</v>
      </c>
      <c r="AE4384">
        <v>22.22973</v>
      </c>
      <c r="AF4384">
        <v>-19.319354120947398</v>
      </c>
      <c r="AG4384">
        <v>1.1462289999999999</v>
      </c>
      <c r="AH4384">
        <v>106.02315467167899</v>
      </c>
      <c r="AI4384">
        <v>89.390625896837605</v>
      </c>
      <c r="AJ4384">
        <v>100.327033830974</v>
      </c>
      <c r="AK4384">
        <v>107.77504632847899</v>
      </c>
      <c r="AL4384">
        <v>77.241243232649396</v>
      </c>
      <c r="AM4384">
        <v>90.301310619843093</v>
      </c>
      <c r="AN4384">
        <v>1.0000000075923301</v>
      </c>
    </row>
    <row r="4385" spans="1:40" x14ac:dyDescent="0.25">
      <c r="A4385" t="str">
        <f>"20190303170858874"</f>
        <v>20190303170858874</v>
      </c>
      <c r="B4385" t="str">
        <f>"1551604138868101"</f>
        <v>1551604138868101</v>
      </c>
      <c r="C4385" t="s">
        <v>40</v>
      </c>
      <c r="D4385">
        <v>4.671208</v>
      </c>
      <c r="E4385">
        <v>0.52568599999999999</v>
      </c>
      <c r="F4385" t="s">
        <v>103</v>
      </c>
      <c r="G4385">
        <v>-279.68</v>
      </c>
      <c r="H4385">
        <v>1.092619</v>
      </c>
      <c r="I4385">
        <v>18.278929999999999</v>
      </c>
      <c r="J4385">
        <v>-348.05360000000002</v>
      </c>
      <c r="K4385">
        <v>1.121346</v>
      </c>
      <c r="L4385">
        <v>16.42905</v>
      </c>
      <c r="M4385">
        <v>0.99953230000000004</v>
      </c>
      <c r="N4385">
        <v>-1.306363E-2</v>
      </c>
      <c r="O4385">
        <v>2.7652019999999999E-2</v>
      </c>
      <c r="P4385">
        <v>0.97759689999999999</v>
      </c>
      <c r="Q4385">
        <v>0.20818249999999999</v>
      </c>
      <c r="R4385">
        <v>3.1058720000000001E-2</v>
      </c>
      <c r="S4385">
        <v>3.066376</v>
      </c>
      <c r="T4385">
        <v>-1.2820959999999999E-3</v>
      </c>
      <c r="U4385">
        <v>8.2977289999999995E-2</v>
      </c>
      <c r="V4385">
        <v>-4.0699639999999997E-3</v>
      </c>
      <c r="W4385">
        <v>0.2209409</v>
      </c>
      <c r="X4385">
        <v>0.97527870000000005</v>
      </c>
      <c r="Y4385">
        <v>6.0191019999999995E-4</v>
      </c>
      <c r="Z4385">
        <v>3.4563809999999998E-4</v>
      </c>
      <c r="AA4385">
        <v>0.99999979999999999</v>
      </c>
      <c r="AB4385">
        <v>30</v>
      </c>
      <c r="AC4385">
        <v>68.373599999999996</v>
      </c>
      <c r="AD4385">
        <v>-2.8726999999999898E-2</v>
      </c>
      <c r="AE4385">
        <v>1.84987999999999</v>
      </c>
      <c r="AF4385">
        <v>4.1656888581696097E-2</v>
      </c>
      <c r="AG4385">
        <v>-2.8726999999999898E-2</v>
      </c>
      <c r="AH4385">
        <v>68.398595359827397</v>
      </c>
      <c r="AI4385">
        <v>90.024063878028201</v>
      </c>
      <c r="AJ4385">
        <v>89.965105078609795</v>
      </c>
      <c r="AK4385">
        <v>68.398614077584199</v>
      </c>
      <c r="AL4385">
        <v>77.2356973476017</v>
      </c>
      <c r="AM4385">
        <v>90.239101301305496</v>
      </c>
      <c r="AN4385">
        <v>0.99999999428673003</v>
      </c>
    </row>
    <row r="4386" spans="1:40" x14ac:dyDescent="0.25">
      <c r="A4386" t="str">
        <f>"20190303170858898"</f>
        <v>20190303170858898</v>
      </c>
      <c r="B4386" t="str">
        <f>"1551604138887620"</f>
        <v>1551604138887620</v>
      </c>
      <c r="C4386" t="s">
        <v>40</v>
      </c>
      <c r="D4386">
        <v>4.6339829999999997</v>
      </c>
      <c r="E4386">
        <v>0.53182859999999998</v>
      </c>
      <c r="F4386" t="s">
        <v>103</v>
      </c>
      <c r="G4386">
        <v>-279.68</v>
      </c>
      <c r="H4386">
        <v>0.30311830000000001</v>
      </c>
      <c r="I4386">
        <v>14.7125</v>
      </c>
      <c r="J4386">
        <v>-347.73590000000002</v>
      </c>
      <c r="K4386">
        <v>1.1213489999999999</v>
      </c>
      <c r="L4386">
        <v>16.438020000000002</v>
      </c>
      <c r="M4386">
        <v>0.99952779999999997</v>
      </c>
      <c r="N4386">
        <v>-1.307638E-2</v>
      </c>
      <c r="O4386">
        <v>2.7814640000000002E-2</v>
      </c>
      <c r="P4386">
        <v>0.97768770000000005</v>
      </c>
      <c r="Q4386">
        <v>0.20789289999999999</v>
      </c>
      <c r="R4386">
        <v>3.0127520000000001E-2</v>
      </c>
      <c r="S4386">
        <v>3.0790709999999999</v>
      </c>
      <c r="T4386">
        <v>-3.6847110000000002E-2</v>
      </c>
      <c r="U4386">
        <v>-7.7301030000000007E-2</v>
      </c>
      <c r="V4386">
        <v>-2.977286E-3</v>
      </c>
      <c r="W4386">
        <v>0.2206651</v>
      </c>
      <c r="X4386">
        <v>0.97534509999999996</v>
      </c>
      <c r="Y4386">
        <v>5.2888009999999999E-2</v>
      </c>
      <c r="Z4386">
        <v>-6.3139160000000001E-4</v>
      </c>
      <c r="AA4386">
        <v>0.99860020000000005</v>
      </c>
      <c r="AB4386">
        <v>30</v>
      </c>
      <c r="AC4386">
        <v>68.055899999999994</v>
      </c>
      <c r="AD4386">
        <v>-0.81823069999999998</v>
      </c>
      <c r="AE4386">
        <v>-1.7255199999999999</v>
      </c>
      <c r="AF4386">
        <v>3.6174414862159399</v>
      </c>
      <c r="AG4386">
        <v>-0.81823069999999998</v>
      </c>
      <c r="AH4386">
        <v>67.971746691589004</v>
      </c>
      <c r="AI4386">
        <v>90.688707620775801</v>
      </c>
      <c r="AJ4386">
        <v>86.953605129136506</v>
      </c>
      <c r="AK4386">
        <v>68.072856063853806</v>
      </c>
      <c r="AL4386">
        <v>77.251899585509705</v>
      </c>
      <c r="AM4386">
        <v>90.174897472047903</v>
      </c>
      <c r="AN4386">
        <v>1.0000000073419699</v>
      </c>
    </row>
    <row r="4387" spans="1:40" x14ac:dyDescent="0.25">
      <c r="A4387" t="str">
        <f>"20190303170858918"</f>
        <v>20190303170858918</v>
      </c>
      <c r="B4387" t="str">
        <f>"1551604138908116"</f>
        <v>1551604138908116</v>
      </c>
      <c r="C4387" t="s">
        <v>40</v>
      </c>
      <c r="D4387">
        <v>4.6636329999999999</v>
      </c>
      <c r="E4387">
        <v>0.53536980000000001</v>
      </c>
      <c r="F4387" t="s">
        <v>108</v>
      </c>
      <c r="G4387">
        <v>-279.68</v>
      </c>
      <c r="H4387">
        <v>5.3315639999999997E-2</v>
      </c>
      <c r="I4387">
        <v>13.605029999999999</v>
      </c>
      <c r="J4387">
        <v>-347.46339999999998</v>
      </c>
      <c r="K4387">
        <v>1.121351</v>
      </c>
      <c r="L4387">
        <v>16.445740000000001</v>
      </c>
      <c r="M4387">
        <v>0.99952370000000001</v>
      </c>
      <c r="N4387">
        <v>-1.3087029999999999E-2</v>
      </c>
      <c r="O4387">
        <v>2.795338E-2</v>
      </c>
      <c r="P4387">
        <v>0.97783180000000003</v>
      </c>
      <c r="Q4387">
        <v>0.20748530000000001</v>
      </c>
      <c r="R4387">
        <v>2.8200840000000001E-2</v>
      </c>
      <c r="S4387">
        <v>3.0827330000000002</v>
      </c>
      <c r="T4387">
        <v>-4.83793E-2</v>
      </c>
      <c r="U4387">
        <v>-0.12832639999999901</v>
      </c>
      <c r="V4387">
        <v>-9.1194080000000003E-4</v>
      </c>
      <c r="W4387">
        <v>0.2202693</v>
      </c>
      <c r="X4387">
        <v>0.97543869999999999</v>
      </c>
      <c r="Y4387">
        <v>6.9491029999999995E-2</v>
      </c>
      <c r="Z4387">
        <v>-1.072829E-3</v>
      </c>
      <c r="AA4387">
        <v>0.99758199999999997</v>
      </c>
      <c r="AB4387">
        <v>30</v>
      </c>
      <c r="AC4387">
        <v>67.783399999999901</v>
      </c>
      <c r="AD4387">
        <v>-1.0680353600000001</v>
      </c>
      <c r="AE4387">
        <v>-2.8407100000000001</v>
      </c>
      <c r="AF4387">
        <v>4.7333637918167604</v>
      </c>
      <c r="AG4387">
        <v>-1.0680353600000001</v>
      </c>
      <c r="AH4387">
        <v>67.660724684659499</v>
      </c>
      <c r="AI4387">
        <v>90.902143437640404</v>
      </c>
      <c r="AJ4387">
        <v>85.998259832386793</v>
      </c>
      <c r="AK4387">
        <v>67.834497839736201</v>
      </c>
      <c r="AL4387">
        <v>77.275149581056993</v>
      </c>
      <c r="AM4387">
        <v>90.053565994237005</v>
      </c>
      <c r="AN4387">
        <v>1.0000000268081</v>
      </c>
    </row>
    <row r="4388" spans="1:40" x14ac:dyDescent="0.25">
      <c r="A4388" t="str">
        <f>"20190303170858943"</f>
        <v>20190303170858943</v>
      </c>
      <c r="B4388" t="str">
        <f>"1551604138938373"</f>
        <v>1551604138938373</v>
      </c>
      <c r="C4388" t="s">
        <v>40</v>
      </c>
      <c r="D4388">
        <v>4.6818249999999999</v>
      </c>
      <c r="E4388">
        <v>0.53837409999999997</v>
      </c>
      <c r="F4388" t="s">
        <v>46</v>
      </c>
      <c r="G4388">
        <v>-282.25259999999997</v>
      </c>
      <c r="H4388">
        <v>-0.05</v>
      </c>
      <c r="I4388">
        <v>13.00623</v>
      </c>
      <c r="J4388">
        <v>-347.1456</v>
      </c>
      <c r="K4388">
        <v>1.1213550000000001</v>
      </c>
      <c r="L4388">
        <v>16.454799999999999</v>
      </c>
      <c r="M4388">
        <v>0.99951889999999999</v>
      </c>
      <c r="N4388">
        <v>-1.309914E-2</v>
      </c>
      <c r="O4388">
        <v>2.8114009999999998E-2</v>
      </c>
      <c r="P4388">
        <v>0.97787579999999996</v>
      </c>
      <c r="Q4388">
        <v>0.20749809999999999</v>
      </c>
      <c r="R4388">
        <v>2.6519930000000001E-2</v>
      </c>
      <c r="S4388">
        <v>3.084473</v>
      </c>
      <c r="T4388">
        <v>-5.54049E-2</v>
      </c>
      <c r="U4388">
        <v>-0.16268920000000001</v>
      </c>
      <c r="V4388">
        <v>9.2669300000000003E-4</v>
      </c>
      <c r="W4388">
        <v>0.22029489999999999</v>
      </c>
      <c r="X4388">
        <v>0.97543290000000005</v>
      </c>
      <c r="Y4388">
        <v>8.070513E-2</v>
      </c>
      <c r="Z4388">
        <v>-1.389981E-3</v>
      </c>
      <c r="AA4388">
        <v>0.99673710000000004</v>
      </c>
      <c r="AB4388">
        <v>30</v>
      </c>
      <c r="AC4388">
        <v>64.893000000000001</v>
      </c>
      <c r="AD4388">
        <v>-1.1713549999999999</v>
      </c>
      <c r="AE4388">
        <v>-3.4485699999999899</v>
      </c>
      <c r="AF4388">
        <v>5.2700533368279201</v>
      </c>
      <c r="AG4388">
        <v>-1.1713549999999999</v>
      </c>
      <c r="AH4388">
        <v>64.749346047670798</v>
      </c>
      <c r="AI4388">
        <v>91.032987234046203</v>
      </c>
      <c r="AJ4388">
        <v>85.346861384614499</v>
      </c>
      <c r="AK4388">
        <v>64.974020564453696</v>
      </c>
      <c r="AL4388">
        <v>77.273645810969597</v>
      </c>
      <c r="AM4388">
        <v>89.945567161175006</v>
      </c>
      <c r="AN4388">
        <v>1.0000000220641601</v>
      </c>
    </row>
    <row r="4389" spans="1:40" x14ac:dyDescent="0.25">
      <c r="A4389" t="str">
        <f>"20190303170858963"</f>
        <v>20190303170858963</v>
      </c>
      <c r="B4389" t="str">
        <f>"1551604138957893"</f>
        <v>1551604138957893</v>
      </c>
      <c r="C4389" t="s">
        <v>40</v>
      </c>
      <c r="D4389">
        <v>4.6925879999999998</v>
      </c>
      <c r="E4389">
        <v>0.5396917</v>
      </c>
      <c r="F4389" t="s">
        <v>46</v>
      </c>
      <c r="G4389">
        <v>-287.83960000000002</v>
      </c>
      <c r="H4389">
        <v>-0.05</v>
      </c>
      <c r="I4389">
        <v>12.78171</v>
      </c>
      <c r="J4389">
        <v>-346.85950000000003</v>
      </c>
      <c r="K4389">
        <v>1.121359</v>
      </c>
      <c r="L4389">
        <v>16.462979999999899</v>
      </c>
      <c r="M4389">
        <v>0.99951480000000004</v>
      </c>
      <c r="N4389">
        <v>-1.310945E-2</v>
      </c>
      <c r="O4389">
        <v>2.8257890000000001E-2</v>
      </c>
      <c r="P4389">
        <v>0.97792800000000002</v>
      </c>
      <c r="Q4389">
        <v>0.20746999999999999</v>
      </c>
      <c r="R4389">
        <v>2.4760560000000001E-2</v>
      </c>
      <c r="S4389">
        <v>3.0860289999999999</v>
      </c>
      <c r="T4389">
        <v>-6.0952190000000003E-2</v>
      </c>
      <c r="U4389">
        <v>-0.19113160000000001</v>
      </c>
      <c r="V4389">
        <v>2.8271440000000002E-3</v>
      </c>
      <c r="W4389">
        <v>0.22027720000000001</v>
      </c>
      <c r="X4389">
        <v>0.9754332</v>
      </c>
      <c r="Y4389">
        <v>8.9967889999999995E-2</v>
      </c>
      <c r="Z4389">
        <v>-1.6654910000000001E-3</v>
      </c>
      <c r="AA4389">
        <v>0.99594320000000003</v>
      </c>
      <c r="AB4389">
        <v>30</v>
      </c>
      <c r="AC4389">
        <v>59.0199</v>
      </c>
      <c r="AD4389">
        <v>-1.171359</v>
      </c>
      <c r="AE4389">
        <v>-3.6812699999999898</v>
      </c>
      <c r="AF4389">
        <v>5.3456232273492201</v>
      </c>
      <c r="AG4389">
        <v>-1.171359</v>
      </c>
      <c r="AH4389">
        <v>58.869194894875399</v>
      </c>
      <c r="AI4389">
        <v>91.135231825744896</v>
      </c>
      <c r="AJ4389">
        <v>84.811480455215602</v>
      </c>
      <c r="AK4389">
        <v>59.123006327202901</v>
      </c>
      <c r="AL4389">
        <v>77.274684975195299</v>
      </c>
      <c r="AM4389">
        <v>89.833937407808094</v>
      </c>
      <c r="AN4389">
        <v>0.99999998262263801</v>
      </c>
    </row>
    <row r="4390" spans="1:40" x14ac:dyDescent="0.25">
      <c r="A4390" t="str">
        <f>"20190303170858988"</f>
        <v>20190303170858988</v>
      </c>
      <c r="B4390" t="str">
        <f>"1551604138978388"</f>
        <v>1551604138978388</v>
      </c>
      <c r="C4390" t="s">
        <v>40</v>
      </c>
      <c r="D4390">
        <v>4.6481620000000001</v>
      </c>
      <c r="E4390">
        <v>0.5407227</v>
      </c>
      <c r="F4390" t="s">
        <v>46</v>
      </c>
      <c r="G4390">
        <v>-290.43079999999998</v>
      </c>
      <c r="H4390">
        <v>-0.05</v>
      </c>
      <c r="I4390">
        <v>12.68529</v>
      </c>
      <c r="J4390">
        <v>-346.53230000000002</v>
      </c>
      <c r="K4390">
        <v>1.1213599999999999</v>
      </c>
      <c r="L4390">
        <v>16.47241</v>
      </c>
      <c r="M4390">
        <v>0.99951000000000001</v>
      </c>
      <c r="N4390">
        <v>-1.312022E-2</v>
      </c>
      <c r="O4390">
        <v>2.842281E-2</v>
      </c>
      <c r="P4390">
        <v>0.97805010000000003</v>
      </c>
      <c r="Q4390">
        <v>0.20698340000000001</v>
      </c>
      <c r="R4390">
        <v>2.4005350000000002E-2</v>
      </c>
      <c r="S4390">
        <v>3.0865779999999998</v>
      </c>
      <c r="T4390">
        <v>-6.407177E-2</v>
      </c>
      <c r="U4390">
        <v>-0.2066345</v>
      </c>
      <c r="V4390">
        <v>3.746728E-3</v>
      </c>
      <c r="W4390">
        <v>0.21980279999999999</v>
      </c>
      <c r="X4390">
        <v>0.97553710000000005</v>
      </c>
      <c r="Y4390">
        <v>9.5097230000000005E-2</v>
      </c>
      <c r="Z4390">
        <v>-1.827412E-3</v>
      </c>
      <c r="AA4390">
        <v>0.99546630000000003</v>
      </c>
      <c r="AB4390">
        <v>30</v>
      </c>
      <c r="AC4390">
        <v>56.101500000000001</v>
      </c>
      <c r="AD4390">
        <v>-1.17136</v>
      </c>
      <c r="AE4390">
        <v>-3.7871199999999998</v>
      </c>
      <c r="AF4390">
        <v>5.3779551940449402</v>
      </c>
      <c r="AG4390">
        <v>-1.17136</v>
      </c>
      <c r="AH4390">
        <v>55.946901566246503</v>
      </c>
      <c r="AI4390">
        <v>91.193924438123204</v>
      </c>
      <c r="AJ4390">
        <v>84.509252915087799</v>
      </c>
      <c r="AK4390">
        <v>56.216992815180198</v>
      </c>
      <c r="AL4390">
        <v>77.302548869921594</v>
      </c>
      <c r="AM4390">
        <v>89.779946200033194</v>
      </c>
      <c r="AN4390">
        <v>0.99999997116747696</v>
      </c>
    </row>
    <row r="4391" spans="1:40" x14ac:dyDescent="0.25">
      <c r="A4391" t="str">
        <f>"20190303170859011"</f>
        <v>20190303170859011</v>
      </c>
      <c r="B4391" t="str">
        <f>"1551604138997910"</f>
        <v>1551604138997910</v>
      </c>
      <c r="C4391" t="s">
        <v>40</v>
      </c>
      <c r="D4391">
        <v>4.6568820000000004</v>
      </c>
      <c r="E4391">
        <v>0.54157659999999996</v>
      </c>
      <c r="F4391" t="s">
        <v>46</v>
      </c>
      <c r="G4391">
        <v>-293.64859999999999</v>
      </c>
      <c r="H4391">
        <v>-0.05</v>
      </c>
      <c r="I4391">
        <v>12.761229999999999</v>
      </c>
      <c r="J4391">
        <v>-346.22140000000002</v>
      </c>
      <c r="K4391">
        <v>1.121354</v>
      </c>
      <c r="L4391">
        <v>16.481449999999999</v>
      </c>
      <c r="M4391">
        <v>0.99950539999999999</v>
      </c>
      <c r="N4391">
        <v>-1.312935E-2</v>
      </c>
      <c r="O4391">
        <v>2.8580629999999999E-2</v>
      </c>
      <c r="P4391">
        <v>0.97817469999999995</v>
      </c>
      <c r="Q4391">
        <v>0.2065073</v>
      </c>
      <c r="R4391">
        <v>2.300466E-2</v>
      </c>
      <c r="S4391">
        <v>3.0871580000000001</v>
      </c>
      <c r="T4391">
        <v>-6.8379640000000005E-2</v>
      </c>
      <c r="U4391">
        <v>-0.21664430000000001</v>
      </c>
      <c r="V4391">
        <v>4.9052690000000003E-3</v>
      </c>
      <c r="W4391">
        <v>0.21933710000000001</v>
      </c>
      <c r="X4391">
        <v>0.97563679999999997</v>
      </c>
      <c r="Y4391">
        <v>9.8448670000000002E-2</v>
      </c>
      <c r="Z4391">
        <v>-1.9936289999999998E-3</v>
      </c>
      <c r="AA4391">
        <v>0.99514009999999997</v>
      </c>
      <c r="AB4391">
        <v>30</v>
      </c>
      <c r="AC4391">
        <v>52.572800000000001</v>
      </c>
      <c r="AD4391">
        <v>-1.171354</v>
      </c>
      <c r="AE4391">
        <v>-3.7202199999999999</v>
      </c>
      <c r="AF4391">
        <v>5.2188152072256004</v>
      </c>
      <c r="AG4391">
        <v>-1.171354</v>
      </c>
      <c r="AH4391">
        <v>52.419091903687402</v>
      </c>
      <c r="AI4391">
        <v>91.273819691796405</v>
      </c>
      <c r="AJ4391">
        <v>84.314400503469301</v>
      </c>
      <c r="AK4391">
        <v>52.691263966313301</v>
      </c>
      <c r="AL4391">
        <v>77.329899256966101</v>
      </c>
      <c r="AM4391">
        <v>89.711932921207094</v>
      </c>
      <c r="AN4391">
        <v>0.99999999530730599</v>
      </c>
    </row>
    <row r="4392" spans="1:40" x14ac:dyDescent="0.25">
      <c r="A4392" t="str">
        <f>"20190303170859031"</f>
        <v>20190303170859031</v>
      </c>
      <c r="B4392" t="str">
        <f>"1551604139018404"</f>
        <v>1551604139018404</v>
      </c>
      <c r="C4392" t="s">
        <v>40</v>
      </c>
      <c r="D4392">
        <v>4.6392899999999999</v>
      </c>
      <c r="E4392">
        <v>0.54219849999999903</v>
      </c>
      <c r="F4392" t="s">
        <v>46</v>
      </c>
      <c r="G4392">
        <v>-295.36369999999999</v>
      </c>
      <c r="H4392">
        <v>-0.05</v>
      </c>
      <c r="I4392">
        <v>12.7547</v>
      </c>
      <c r="J4392">
        <v>-345.9588</v>
      </c>
      <c r="K4392">
        <v>1.121351</v>
      </c>
      <c r="L4392">
        <v>16.489070000000002</v>
      </c>
      <c r="M4392">
        <v>0.99950130000000004</v>
      </c>
      <c r="N4392">
        <v>-1.313605E-2</v>
      </c>
      <c r="O4392">
        <v>2.871433E-2</v>
      </c>
      <c r="P4392">
        <v>0.978495</v>
      </c>
      <c r="Q4392">
        <v>0.20530280000000001</v>
      </c>
      <c r="R4392">
        <v>1.9955359999999998E-2</v>
      </c>
      <c r="S4392">
        <v>3.08725</v>
      </c>
      <c r="T4392">
        <v>-7.1105479999999999E-2</v>
      </c>
      <c r="U4392">
        <v>-0.22622680000000001</v>
      </c>
      <c r="V4392">
        <v>8.0938490000000002E-3</v>
      </c>
      <c r="W4392">
        <v>0.21814359999999999</v>
      </c>
      <c r="X4392">
        <v>0.9758831</v>
      </c>
      <c r="Y4392">
        <v>0.10164810000000001</v>
      </c>
      <c r="Z4392">
        <v>-2.1214039999999999E-3</v>
      </c>
      <c r="AA4392">
        <v>0.99481819999999999</v>
      </c>
      <c r="AB4392">
        <v>30</v>
      </c>
      <c r="AC4392">
        <v>50.595100000000002</v>
      </c>
      <c r="AD4392">
        <v>-1.171351</v>
      </c>
      <c r="AE4392">
        <v>-3.7343700000000002</v>
      </c>
      <c r="AF4392">
        <v>5.1829967322594301</v>
      </c>
      <c r="AG4392">
        <v>-1.171351</v>
      </c>
      <c r="AH4392">
        <v>50.440105814483402</v>
      </c>
      <c r="AI4392">
        <v>91.323352949673705</v>
      </c>
      <c r="AJ4392">
        <v>84.133136272204496</v>
      </c>
      <c r="AK4392">
        <v>50.719225081502302</v>
      </c>
      <c r="AL4392">
        <v>77.399978725435105</v>
      </c>
      <c r="AM4392">
        <v>89.524807064717706</v>
      </c>
      <c r="AN4392">
        <v>0.99999998273910196</v>
      </c>
    </row>
    <row r="4393" spans="1:40" x14ac:dyDescent="0.25">
      <c r="A4393" t="str">
        <f>"20190303170859064"</f>
        <v>20190303170859064</v>
      </c>
      <c r="B4393" t="str">
        <f>"1551604139058421"</f>
        <v>1551604139058421</v>
      </c>
      <c r="C4393" t="s">
        <v>40</v>
      </c>
      <c r="D4393">
        <v>4.5749959999999996</v>
      </c>
      <c r="E4393">
        <v>0.54308579999999995</v>
      </c>
      <c r="F4393" t="s">
        <v>46</v>
      </c>
      <c r="G4393">
        <v>-298.90910000000002</v>
      </c>
      <c r="H4393">
        <v>-0.05</v>
      </c>
      <c r="I4393">
        <v>12.82755</v>
      </c>
      <c r="J4393">
        <v>-345.50400000000002</v>
      </c>
      <c r="K4393">
        <v>1.121346</v>
      </c>
      <c r="L4393">
        <v>16.502410000000001</v>
      </c>
      <c r="M4393">
        <v>0.99949460000000001</v>
      </c>
      <c r="N4393">
        <v>-1.314571E-2</v>
      </c>
      <c r="O4393">
        <v>2.8945350000000002E-2</v>
      </c>
      <c r="P4393">
        <v>0.97873120000000002</v>
      </c>
      <c r="Q4393">
        <v>0.2044511</v>
      </c>
      <c r="R4393">
        <v>1.6882520000000002E-2</v>
      </c>
      <c r="S4393">
        <v>3.0869450000000001</v>
      </c>
      <c r="T4393">
        <v>-7.6852680000000007E-2</v>
      </c>
      <c r="U4393">
        <v>-0.24023439999999999</v>
      </c>
      <c r="V4393">
        <v>1.1398709999999999E-2</v>
      </c>
      <c r="W4393">
        <v>0.217304</v>
      </c>
      <c r="X4393">
        <v>0.97603740000000005</v>
      </c>
      <c r="Y4393">
        <v>0.106364</v>
      </c>
      <c r="Z4393">
        <v>-2.361883E-3</v>
      </c>
      <c r="AA4393">
        <v>0.9943244</v>
      </c>
      <c r="AB4393">
        <v>30</v>
      </c>
      <c r="AC4393">
        <v>46.594900000000003</v>
      </c>
      <c r="AD4393">
        <v>-1.171346</v>
      </c>
      <c r="AE4393">
        <v>-3.6748599999999998</v>
      </c>
      <c r="AF4393">
        <v>5.0189899006271501</v>
      </c>
      <c r="AG4393">
        <v>-1.171346</v>
      </c>
      <c r="AH4393">
        <v>46.439826900291997</v>
      </c>
      <c r="AI4393">
        <v>91.436496580947704</v>
      </c>
      <c r="AJ4393">
        <v>83.831693112658698</v>
      </c>
      <c r="AK4393">
        <v>46.724938026747601</v>
      </c>
      <c r="AL4393">
        <v>77.449266659446593</v>
      </c>
      <c r="AM4393">
        <v>89.330898297966499</v>
      </c>
      <c r="AN4393">
        <v>0.99999998260221201</v>
      </c>
    </row>
    <row r="4394" spans="1:40" x14ac:dyDescent="0.25">
      <c r="A4394" t="str">
        <f>"20190303170859086"</f>
        <v>20190303170859086</v>
      </c>
      <c r="B4394" t="str">
        <f>"1551604139077941"</f>
        <v>1551604139077941</v>
      </c>
      <c r="C4394" t="s">
        <v>40</v>
      </c>
      <c r="D4394">
        <v>4.5960809999999999</v>
      </c>
      <c r="E4394">
        <v>0.54340379999999999</v>
      </c>
      <c r="F4394" t="s">
        <v>46</v>
      </c>
      <c r="G4394">
        <v>-300.57049999999998</v>
      </c>
      <c r="H4394">
        <v>-0.05</v>
      </c>
      <c r="I4394">
        <v>12.74513</v>
      </c>
      <c r="J4394">
        <v>-345.20139999999998</v>
      </c>
      <c r="K4394">
        <v>1.121345</v>
      </c>
      <c r="L4394">
        <v>16.511320000000001</v>
      </c>
      <c r="M4394">
        <v>0.99948999999999999</v>
      </c>
      <c r="N4394">
        <v>-1.315096E-2</v>
      </c>
      <c r="O4394">
        <v>2.909896E-2</v>
      </c>
      <c r="P4394">
        <v>0.97869569999999995</v>
      </c>
      <c r="Q4394">
        <v>0.2047274</v>
      </c>
      <c r="R4394">
        <v>1.5538039999999999E-2</v>
      </c>
      <c r="S4394">
        <v>3.086487</v>
      </c>
      <c r="T4394">
        <v>-8.0459710000000004E-2</v>
      </c>
      <c r="U4394">
        <v>-0.25808720000000002</v>
      </c>
      <c r="V4394">
        <v>1.2891990000000001E-2</v>
      </c>
      <c r="W4394">
        <v>0.21758469999999999</v>
      </c>
      <c r="X4394">
        <v>0.9759563</v>
      </c>
      <c r="Y4394">
        <v>0.1122331</v>
      </c>
      <c r="Z4394">
        <v>-2.5749060000000001E-3</v>
      </c>
      <c r="AA4394">
        <v>0.99367859999999997</v>
      </c>
      <c r="AB4394">
        <v>30</v>
      </c>
      <c r="AC4394">
        <v>44.630899999999997</v>
      </c>
      <c r="AD4394">
        <v>-1.1713450000000001</v>
      </c>
      <c r="AE4394">
        <v>-3.7661899999999999</v>
      </c>
      <c r="AF4394">
        <v>5.05995929876772</v>
      </c>
      <c r="AG4394">
        <v>-1.1713450000000001</v>
      </c>
      <c r="AH4394">
        <v>44.471979360352698</v>
      </c>
      <c r="AI4394">
        <v>91.499093877151196</v>
      </c>
      <c r="AJ4394">
        <v>83.508881108079706</v>
      </c>
      <c r="AK4394">
        <v>44.774235732638097</v>
      </c>
      <c r="AL4394">
        <v>77.432789731215294</v>
      </c>
      <c r="AM4394">
        <v>89.243189825776696</v>
      </c>
      <c r="AN4394">
        <v>1.00000000229497</v>
      </c>
    </row>
    <row r="4395" spans="1:40" x14ac:dyDescent="0.25">
      <c r="A4395" t="str">
        <f>"20190303170859110"</f>
        <v>20190303170859110</v>
      </c>
      <c r="B4395" t="str">
        <f>"1551604139098436"</f>
        <v>1551604139098436</v>
      </c>
      <c r="C4395" t="s">
        <v>40</v>
      </c>
      <c r="D4395">
        <v>4.5570550000000001</v>
      </c>
      <c r="E4395">
        <v>0.54376459999999904</v>
      </c>
      <c r="F4395" t="s">
        <v>46</v>
      </c>
      <c r="G4395">
        <v>-299.63799999999998</v>
      </c>
      <c r="H4395">
        <v>-0.05</v>
      </c>
      <c r="I4395">
        <v>12.591419999999999</v>
      </c>
      <c r="J4395">
        <v>-344.90339999999998</v>
      </c>
      <c r="K4395">
        <v>1.121337</v>
      </c>
      <c r="L4395">
        <v>16.52017</v>
      </c>
      <c r="M4395">
        <v>0.99948570000000003</v>
      </c>
      <c r="N4395">
        <v>-1.315525E-2</v>
      </c>
      <c r="O4395">
        <v>2.925026E-2</v>
      </c>
      <c r="P4395">
        <v>0.97868719999999998</v>
      </c>
      <c r="Q4395">
        <v>0.20480499999999999</v>
      </c>
      <c r="R4395">
        <v>1.5052889999999999E-2</v>
      </c>
      <c r="S4395">
        <v>3.08609</v>
      </c>
      <c r="T4395">
        <v>-7.9337359999999996E-2</v>
      </c>
      <c r="U4395">
        <v>-0.26550289999999999</v>
      </c>
      <c r="V4395">
        <v>1.352487E-2</v>
      </c>
      <c r="W4395">
        <v>0.2176662</v>
      </c>
      <c r="X4395">
        <v>0.97592959999999995</v>
      </c>
      <c r="Y4395">
        <v>0.11476459999999999</v>
      </c>
      <c r="Z4395">
        <v>-2.5953389999999999E-3</v>
      </c>
      <c r="AA4395">
        <v>0.99338930000000003</v>
      </c>
      <c r="AB4395">
        <v>30</v>
      </c>
      <c r="AC4395">
        <v>45.2654</v>
      </c>
      <c r="AD4395">
        <v>-1.1713370000000001</v>
      </c>
      <c r="AE4395">
        <v>-3.92875</v>
      </c>
      <c r="AF4395">
        <v>5.2477200503170902</v>
      </c>
      <c r="AG4395">
        <v>-1.1713370000000001</v>
      </c>
      <c r="AH4395">
        <v>45.101126598613199</v>
      </c>
      <c r="AI4395">
        <v>91.477749061374695</v>
      </c>
      <c r="AJ4395">
        <v>83.363219970158397</v>
      </c>
      <c r="AK4395">
        <v>45.420504362657702</v>
      </c>
      <c r="AL4395">
        <v>77.428005944884504</v>
      </c>
      <c r="AM4395">
        <v>89.206020223373699</v>
      </c>
      <c r="AN4395">
        <v>1.0000000404435501</v>
      </c>
    </row>
    <row r="4396" spans="1:40" x14ac:dyDescent="0.25">
      <c r="A4396" t="str">
        <f>"20190303170859131"</f>
        <v>20190303170859131</v>
      </c>
      <c r="B4396" t="str">
        <f>"1551604139117957"</f>
        <v>1551604139117957</v>
      </c>
      <c r="C4396" t="s">
        <v>40</v>
      </c>
      <c r="D4396">
        <v>4.5221980000000004</v>
      </c>
      <c r="E4396">
        <v>0.54409280000000004</v>
      </c>
      <c r="F4396" t="s">
        <v>46</v>
      </c>
      <c r="G4396">
        <v>-299.23500000000001</v>
      </c>
      <c r="H4396">
        <v>-0.05</v>
      </c>
      <c r="I4396">
        <v>12.53966</v>
      </c>
      <c r="J4396">
        <v>-344.6123</v>
      </c>
      <c r="K4396">
        <v>1.1213329999999999</v>
      </c>
      <c r="L4396">
        <v>16.528870000000001</v>
      </c>
      <c r="M4396">
        <v>0.99948119999999996</v>
      </c>
      <c r="N4396">
        <v>-1.31532E-2</v>
      </c>
      <c r="O4396">
        <v>2.939839E-2</v>
      </c>
      <c r="P4396">
        <v>0.97877709999999996</v>
      </c>
      <c r="Q4396">
        <v>0.20437900000000001</v>
      </c>
      <c r="R4396">
        <v>1.4987739999999999E-2</v>
      </c>
      <c r="S4396">
        <v>3.0860289999999999</v>
      </c>
      <c r="T4396">
        <v>-7.9152819999999999E-2</v>
      </c>
      <c r="U4396">
        <v>-0.2689819</v>
      </c>
      <c r="V4396">
        <v>1.3737859999999999E-2</v>
      </c>
      <c r="W4396">
        <v>0.2172394</v>
      </c>
      <c r="X4396">
        <v>0.97602169999999999</v>
      </c>
      <c r="Y4396">
        <v>0.11602460000000001</v>
      </c>
      <c r="Z4396">
        <v>-2.6163850000000002E-3</v>
      </c>
      <c r="AA4396">
        <v>0.99324290000000004</v>
      </c>
      <c r="AB4396">
        <v>30</v>
      </c>
      <c r="AC4396">
        <v>45.377299999999899</v>
      </c>
      <c r="AD4396">
        <v>-1.171333</v>
      </c>
      <c r="AE4396">
        <v>-3.9892099999999999</v>
      </c>
      <c r="AF4396">
        <v>5.3181040872324203</v>
      </c>
      <c r="AG4396">
        <v>-1.171333</v>
      </c>
      <c r="AH4396">
        <v>45.210503180404402</v>
      </c>
      <c r="AI4396">
        <v>91.473953662259504</v>
      </c>
      <c r="AJ4396">
        <v>83.291136501877105</v>
      </c>
      <c r="AK4396">
        <v>45.537279781568898</v>
      </c>
      <c r="AL4396">
        <v>77.453059056812904</v>
      </c>
      <c r="AM4396">
        <v>89.193594339848204</v>
      </c>
      <c r="AN4396">
        <v>1.00000002229031</v>
      </c>
    </row>
    <row r="4397" spans="1:40" x14ac:dyDescent="0.25">
      <c r="A4397" t="str">
        <f>"20190303170859154"</f>
        <v>20190303170859154</v>
      </c>
      <c r="B4397" t="str">
        <f>"1551604139148213"</f>
        <v>1551604139148213</v>
      </c>
      <c r="C4397" t="s">
        <v>40</v>
      </c>
      <c r="D4397">
        <v>4.4439469999999996</v>
      </c>
      <c r="E4397">
        <v>0.54451019999999895</v>
      </c>
      <c r="F4397" t="s">
        <v>46</v>
      </c>
      <c r="G4397">
        <v>-299.56659999999999</v>
      </c>
      <c r="H4397">
        <v>-0.05</v>
      </c>
      <c r="I4397">
        <v>12.57526</v>
      </c>
      <c r="J4397">
        <v>-344.31110000000001</v>
      </c>
      <c r="K4397">
        <v>1.1213340000000001</v>
      </c>
      <c r="L4397">
        <v>16.5379</v>
      </c>
      <c r="M4397">
        <v>0.9994769</v>
      </c>
      <c r="N4397">
        <v>-1.3146710000000001E-2</v>
      </c>
      <c r="O4397">
        <v>2.9550719999999999E-2</v>
      </c>
      <c r="P4397">
        <v>0.97886130000000005</v>
      </c>
      <c r="Q4397">
        <v>0.20401349999999999</v>
      </c>
      <c r="R4397">
        <v>1.446325E-2</v>
      </c>
      <c r="S4397">
        <v>3.0858759999999998</v>
      </c>
      <c r="T4397">
        <v>-8.0242750000000002E-2</v>
      </c>
      <c r="U4397">
        <v>-0.27084350000000001</v>
      </c>
      <c r="V4397">
        <v>1.441368E-2</v>
      </c>
      <c r="W4397">
        <v>0.2168688</v>
      </c>
      <c r="X4397">
        <v>0.97609440000000003</v>
      </c>
      <c r="Y4397">
        <v>0.116773</v>
      </c>
      <c r="Z4397">
        <v>-2.6636849999999998E-3</v>
      </c>
      <c r="AA4397">
        <v>0.99315509999999996</v>
      </c>
      <c r="AB4397">
        <v>30</v>
      </c>
      <c r="AC4397">
        <v>44.744500000000002</v>
      </c>
      <c r="AD4397">
        <v>-1.1713340000000001</v>
      </c>
      <c r="AE4397">
        <v>-3.9626399999999999</v>
      </c>
      <c r="AF4397">
        <v>5.2796655036108104</v>
      </c>
      <c r="AG4397">
        <v>-1.1713340000000001</v>
      </c>
      <c r="AH4397">
        <v>44.5775355731557</v>
      </c>
      <c r="AI4397">
        <v>91.494734012068193</v>
      </c>
      <c r="AJ4397">
        <v>83.245479352334996</v>
      </c>
      <c r="AK4397">
        <v>44.904382513798602</v>
      </c>
      <c r="AL4397">
        <v>77.474811864342399</v>
      </c>
      <c r="AM4397">
        <v>89.153992674586306</v>
      </c>
      <c r="AN4397">
        <v>1.0000000541479599</v>
      </c>
    </row>
    <row r="4398" spans="1:40" x14ac:dyDescent="0.25">
      <c r="A4398" t="str">
        <f>"20190303170859176"</f>
        <v>20190303170859176</v>
      </c>
      <c r="B4398" t="str">
        <f>"1551604139167733"</f>
        <v>1551604139167733</v>
      </c>
      <c r="C4398" t="s">
        <v>40</v>
      </c>
      <c r="D4398">
        <v>4.45749</v>
      </c>
      <c r="E4398">
        <v>0.54476380000000002</v>
      </c>
      <c r="F4398" t="s">
        <v>46</v>
      </c>
      <c r="G4398">
        <v>-299.27749999999997</v>
      </c>
      <c r="H4398">
        <v>-0.05</v>
      </c>
      <c r="I4398">
        <v>12.50888</v>
      </c>
      <c r="J4398">
        <v>-344.00069999999999</v>
      </c>
      <c r="K4398">
        <v>1.121335</v>
      </c>
      <c r="L4398">
        <v>16.547239999999999</v>
      </c>
      <c r="M4398">
        <v>0.99947240000000004</v>
      </c>
      <c r="N4398">
        <v>-1.313722E-2</v>
      </c>
      <c r="O4398">
        <v>2.9706710000000001E-2</v>
      </c>
      <c r="P4398">
        <v>0.97888649999999999</v>
      </c>
      <c r="Q4398">
        <v>0.20392930000000001</v>
      </c>
      <c r="R4398">
        <v>1.39469E-2</v>
      </c>
      <c r="S4398">
        <v>3.0856319999999999</v>
      </c>
      <c r="T4398">
        <v>-8.0258010000000005E-2</v>
      </c>
      <c r="U4398">
        <v>-0.27606199999999997</v>
      </c>
      <c r="V4398">
        <v>1.508288E-2</v>
      </c>
      <c r="W4398">
        <v>0.21677569999999999</v>
      </c>
      <c r="X4398">
        <v>0.97610490000000005</v>
      </c>
      <c r="Y4398">
        <v>0.1186002</v>
      </c>
      <c r="Z4398">
        <v>-2.701696E-3</v>
      </c>
      <c r="AA4398">
        <v>0.9929384</v>
      </c>
      <c r="AB4398">
        <v>30</v>
      </c>
      <c r="AC4398">
        <v>44.723199999999999</v>
      </c>
      <c r="AD4398">
        <v>-1.171335</v>
      </c>
      <c r="AE4398">
        <v>-4.0383599999999902</v>
      </c>
      <c r="AF4398">
        <v>5.3616229940789104</v>
      </c>
      <c r="AG4398">
        <v>-1.171335</v>
      </c>
      <c r="AH4398">
        <v>44.553167287078601</v>
      </c>
      <c r="AI4398">
        <v>91.495217403790505</v>
      </c>
      <c r="AJ4398">
        <v>83.137903105901202</v>
      </c>
      <c r="AK4398">
        <v>44.889906907046203</v>
      </c>
      <c r="AL4398">
        <v>77.480275229500094</v>
      </c>
      <c r="AM4398">
        <v>89.1147297827263</v>
      </c>
      <c r="AN4398">
        <v>0.99999998659179701</v>
      </c>
    </row>
    <row r="4399" spans="1:40" x14ac:dyDescent="0.25">
      <c r="A4399" t="str">
        <f>"20190303170859199"</f>
        <v>20190303170859199</v>
      </c>
      <c r="B4399" t="str">
        <f>"1551604139188228"</f>
        <v>1551604139188228</v>
      </c>
      <c r="C4399" t="s">
        <v>40</v>
      </c>
      <c r="D4399">
        <v>4.4243930000000002</v>
      </c>
      <c r="E4399">
        <v>0.54494609999999899</v>
      </c>
      <c r="F4399" t="s">
        <v>46</v>
      </c>
      <c r="G4399">
        <v>-298.75170000000003</v>
      </c>
      <c r="H4399">
        <v>-0.05</v>
      </c>
      <c r="I4399">
        <v>12.446619999999999</v>
      </c>
      <c r="J4399">
        <v>-343.69240000000002</v>
      </c>
      <c r="K4399">
        <v>1.121335</v>
      </c>
      <c r="L4399">
        <v>16.556609999999999</v>
      </c>
      <c r="M4399">
        <v>0.99946800000000002</v>
      </c>
      <c r="N4399">
        <v>-1.312227E-2</v>
      </c>
      <c r="O4399">
        <v>2.986142E-2</v>
      </c>
      <c r="P4399">
        <v>0.97891010000000001</v>
      </c>
      <c r="Q4399">
        <v>0.203844</v>
      </c>
      <c r="R4399">
        <v>1.352739E-2</v>
      </c>
      <c r="S4399">
        <v>3.0853269999999999</v>
      </c>
      <c r="T4399">
        <v>-7.9868079999999994E-2</v>
      </c>
      <c r="U4399">
        <v>-0.27960210000000002</v>
      </c>
      <c r="V4399">
        <v>1.5654339999999999E-2</v>
      </c>
      <c r="W4399">
        <v>0.2166757</v>
      </c>
      <c r="X4399">
        <v>0.97611809999999999</v>
      </c>
      <c r="Y4399">
        <v>0.1198926</v>
      </c>
      <c r="Z4399">
        <v>-2.7173610000000002E-3</v>
      </c>
      <c r="AA4399">
        <v>0.99278310000000003</v>
      </c>
      <c r="AB4399">
        <v>30</v>
      </c>
      <c r="AC4399">
        <v>44.9406999999999</v>
      </c>
      <c r="AD4399">
        <v>-1.171335</v>
      </c>
      <c r="AE4399">
        <v>-4.1099899999999998</v>
      </c>
      <c r="AF4399">
        <v>5.4465960187868303</v>
      </c>
      <c r="AG4399">
        <v>-1.171335</v>
      </c>
      <c r="AH4399">
        <v>44.767754525310004</v>
      </c>
      <c r="AI4399">
        <v>91.487819198531994</v>
      </c>
      <c r="AJ4399">
        <v>83.063293799623395</v>
      </c>
      <c r="AK4399">
        <v>45.113072153340497</v>
      </c>
      <c r="AL4399">
        <v>77.486144232383396</v>
      </c>
      <c r="AM4399">
        <v>89.081206741862701</v>
      </c>
      <c r="AN4399">
        <v>0.99999998123946698</v>
      </c>
    </row>
    <row r="4400" spans="1:40" x14ac:dyDescent="0.25">
      <c r="A4400" t="str">
        <f>"20190303170859222"</f>
        <v>20190303170859222</v>
      </c>
      <c r="B4400" t="str">
        <f>"1551604139207749"</f>
        <v>1551604139207749</v>
      </c>
      <c r="C4400" t="s">
        <v>40</v>
      </c>
      <c r="D4400">
        <v>4.4051799999999997</v>
      </c>
      <c r="E4400">
        <v>0.54512419999999995</v>
      </c>
      <c r="F4400" t="s">
        <v>46</v>
      </c>
      <c r="G4400">
        <v>-298.68529999999998</v>
      </c>
      <c r="H4400">
        <v>-0.05</v>
      </c>
      <c r="I4400">
        <v>12.44659</v>
      </c>
      <c r="J4400">
        <v>-343.40339999999998</v>
      </c>
      <c r="K4400">
        <v>1.1213310000000001</v>
      </c>
      <c r="L4400">
        <v>16.5654</v>
      </c>
      <c r="M4400">
        <v>0.99946389999999996</v>
      </c>
      <c r="N4400">
        <v>-1.31059E-2</v>
      </c>
      <c r="O4400">
        <v>3.000601E-2</v>
      </c>
      <c r="P4400">
        <v>0.97889680000000001</v>
      </c>
      <c r="Q4400">
        <v>0.20387839999999999</v>
      </c>
      <c r="R4400">
        <v>1.3964320000000001E-2</v>
      </c>
      <c r="S4400">
        <v>3.0852050000000002</v>
      </c>
      <c r="T4400">
        <v>-8.0294130000000005E-2</v>
      </c>
      <c r="U4400">
        <v>-0.2817383</v>
      </c>
      <c r="V4400">
        <v>1.5358739999999999E-2</v>
      </c>
      <c r="W4400">
        <v>0.21669379999999999</v>
      </c>
      <c r="X4400">
        <v>0.97611879999999995</v>
      </c>
      <c r="Y4400">
        <v>0.12072040000000001</v>
      </c>
      <c r="Z4400">
        <v>-2.7473490000000001E-3</v>
      </c>
      <c r="AA4400">
        <v>0.99268279999999998</v>
      </c>
      <c r="AB4400">
        <v>30</v>
      </c>
      <c r="AC4400">
        <v>44.7180999999999</v>
      </c>
      <c r="AD4400">
        <v>-1.1713309999999999</v>
      </c>
      <c r="AE4400">
        <v>-4.1188099999999999</v>
      </c>
      <c r="AF4400">
        <v>5.4551705710703198</v>
      </c>
      <c r="AG4400">
        <v>-1.1713309999999999</v>
      </c>
      <c r="AH4400">
        <v>44.544056198373198</v>
      </c>
      <c r="AI4400">
        <v>91.495138046891697</v>
      </c>
      <c r="AJ4400">
        <v>83.017933413327597</v>
      </c>
      <c r="AK4400">
        <v>44.892135668453797</v>
      </c>
      <c r="AL4400">
        <v>77.485082214416394</v>
      </c>
      <c r="AM4400">
        <v>89.098554017881696</v>
      </c>
      <c r="AN4400">
        <v>1.0000000027831299</v>
      </c>
    </row>
    <row r="4401" spans="1:40" x14ac:dyDescent="0.25">
      <c r="A4401" t="str">
        <f>"20190303170859243"</f>
        <v>20190303170859243</v>
      </c>
      <c r="B4401" t="str">
        <f>"1551604139238005"</f>
        <v>1551604139238005</v>
      </c>
      <c r="C4401" t="s">
        <v>40</v>
      </c>
      <c r="D4401">
        <v>4.3920719999999998</v>
      </c>
      <c r="E4401">
        <v>0.54538830000000005</v>
      </c>
      <c r="F4401" t="s">
        <v>46</v>
      </c>
      <c r="G4401">
        <v>-297.9905</v>
      </c>
      <c r="H4401">
        <v>-0.05</v>
      </c>
      <c r="I4401">
        <v>12.420199999999999</v>
      </c>
      <c r="J4401">
        <v>-343.10860000000002</v>
      </c>
      <c r="K4401">
        <v>1.121326</v>
      </c>
      <c r="L4401">
        <v>16.574459999999998</v>
      </c>
      <c r="M4401">
        <v>0.99945969999999995</v>
      </c>
      <c r="N4401">
        <v>-1.3085909999999999E-2</v>
      </c>
      <c r="O4401">
        <v>3.0153360000000001E-2</v>
      </c>
      <c r="P4401">
        <v>0.97896300000000003</v>
      </c>
      <c r="Q4401">
        <v>0.20350199999999999</v>
      </c>
      <c r="R4401">
        <v>1.4784469999999999E-2</v>
      </c>
      <c r="S4401">
        <v>3.0852659999999998</v>
      </c>
      <c r="T4401">
        <v>-7.9577919999999996E-2</v>
      </c>
      <c r="U4401">
        <v>-0.28161619999999998</v>
      </c>
      <c r="V4401">
        <v>1.4685409999999999E-2</v>
      </c>
      <c r="W4401">
        <v>0.21629899999999999</v>
      </c>
      <c r="X4401">
        <v>0.97621670000000005</v>
      </c>
      <c r="Y4401">
        <v>0.120827</v>
      </c>
      <c r="Z4401">
        <v>-2.7297049999999998E-3</v>
      </c>
      <c r="AA4401">
        <v>0.99266980000000005</v>
      </c>
      <c r="AB4401">
        <v>30</v>
      </c>
      <c r="AC4401">
        <v>45.118099999999998</v>
      </c>
      <c r="AD4401">
        <v>-1.1713260000000001</v>
      </c>
      <c r="AE4401">
        <v>-4.1542599999999998</v>
      </c>
      <c r="AF4401">
        <v>5.5092673909450198</v>
      </c>
      <c r="AG4401">
        <v>-1.1713260000000001</v>
      </c>
      <c r="AH4401">
        <v>44.942268920929301</v>
      </c>
      <c r="AI4401">
        <v>91.481868727404205</v>
      </c>
      <c r="AJ4401">
        <v>83.011240139722702</v>
      </c>
      <c r="AK4401">
        <v>45.293835866973403</v>
      </c>
      <c r="AL4401">
        <v>77.508251835141607</v>
      </c>
      <c r="AM4401">
        <v>89.138153903498903</v>
      </c>
      <c r="AN4401">
        <v>0.99999998201337903</v>
      </c>
    </row>
    <row r="4402" spans="1:40" x14ac:dyDescent="0.25">
      <c r="A4402" t="str">
        <f>"20190303170859266"</f>
        <v>20190303170859266</v>
      </c>
      <c r="B4402" t="str">
        <f>"1551604139258501"</f>
        <v>1551604139258501</v>
      </c>
      <c r="C4402" t="s">
        <v>40</v>
      </c>
      <c r="D4402">
        <v>4.410355</v>
      </c>
      <c r="E4402">
        <v>0.54560069999999905</v>
      </c>
      <c r="F4402" t="s">
        <v>46</v>
      </c>
      <c r="G4402">
        <v>-297.89690000000002</v>
      </c>
      <c r="H4402">
        <v>-0.05</v>
      </c>
      <c r="I4402">
        <v>12.461589999999999</v>
      </c>
      <c r="J4402">
        <v>-342.80970000000002</v>
      </c>
      <c r="K4402">
        <v>1.121321</v>
      </c>
      <c r="L4402">
        <v>16.583649999999999</v>
      </c>
      <c r="M4402">
        <v>0.99945550000000005</v>
      </c>
      <c r="N4402">
        <v>-1.3061720000000001E-2</v>
      </c>
      <c r="O4402">
        <v>3.030246E-2</v>
      </c>
      <c r="P4402">
        <v>0.97916199999999998</v>
      </c>
      <c r="Q4402">
        <v>0.2025748</v>
      </c>
      <c r="R4402">
        <v>1.4334929999999999E-2</v>
      </c>
      <c r="S4402">
        <v>3.0853269999999999</v>
      </c>
      <c r="T4402">
        <v>-7.9933399999999905E-2</v>
      </c>
      <c r="U4402">
        <v>-0.28067019999999998</v>
      </c>
      <c r="V4402">
        <v>1.5286900000000001E-2</v>
      </c>
      <c r="W4402">
        <v>0.21535109999999999</v>
      </c>
      <c r="X4402">
        <v>0.97641699999999998</v>
      </c>
      <c r="Y4402">
        <v>0.120671</v>
      </c>
      <c r="Z4402">
        <v>-2.7382230000000001E-3</v>
      </c>
      <c r="AA4402">
        <v>0.99268880000000004</v>
      </c>
      <c r="AB4402">
        <v>30</v>
      </c>
      <c r="AC4402">
        <v>44.912799999999997</v>
      </c>
      <c r="AD4402">
        <v>-1.1713209999999901</v>
      </c>
      <c r="AE4402">
        <v>-4.1220599999999896</v>
      </c>
      <c r="AF4402">
        <v>5.4775565639867798</v>
      </c>
      <c r="AG4402">
        <v>-1.1713209999999901</v>
      </c>
      <c r="AH4402">
        <v>44.737077960569302</v>
      </c>
      <c r="AI4402">
        <v>91.488682384774407</v>
      </c>
      <c r="AJ4402">
        <v>83.019514168296794</v>
      </c>
      <c r="AK4402">
        <v>45.0863811283049</v>
      </c>
      <c r="AL4402">
        <v>77.563873264289299</v>
      </c>
      <c r="AM4402">
        <v>89.103043782228895</v>
      </c>
      <c r="AN4402">
        <v>0.99999997173590904</v>
      </c>
    </row>
    <row r="4403" spans="1:40" x14ac:dyDescent="0.25">
      <c r="A4403" t="str">
        <f>"20190303170859288"</f>
        <v>20190303170859288</v>
      </c>
      <c r="B4403" t="str">
        <f>"1551604139278021"</f>
        <v>1551604139278021</v>
      </c>
      <c r="C4403" t="s">
        <v>40</v>
      </c>
      <c r="D4403">
        <v>4.3749690000000001</v>
      </c>
      <c r="E4403">
        <v>0.54576440000000004</v>
      </c>
      <c r="F4403" t="s">
        <v>46</v>
      </c>
      <c r="G4403">
        <v>-299.00540000000001</v>
      </c>
      <c r="H4403">
        <v>-0.05</v>
      </c>
      <c r="I4403">
        <v>12.55814</v>
      </c>
      <c r="J4403">
        <v>-342.50490000000002</v>
      </c>
      <c r="K4403">
        <v>1.121316</v>
      </c>
      <c r="L4403">
        <v>16.593050000000002</v>
      </c>
      <c r="M4403">
        <v>0.99945130000000004</v>
      </c>
      <c r="N4403">
        <v>-1.303639E-2</v>
      </c>
      <c r="O4403">
        <v>3.0452E-2</v>
      </c>
      <c r="P4403">
        <v>0.97915249999999998</v>
      </c>
      <c r="Q4403">
        <v>0.202651</v>
      </c>
      <c r="R4403">
        <v>1.390691E-2</v>
      </c>
      <c r="S4403">
        <v>3.0850520000000001</v>
      </c>
      <c r="T4403">
        <v>-8.2493899999999995E-2</v>
      </c>
      <c r="U4403">
        <v>-0.28350829999999999</v>
      </c>
      <c r="V4403">
        <v>1.5860630000000001E-2</v>
      </c>
      <c r="W4403">
        <v>0.21540229999999999</v>
      </c>
      <c r="X4403">
        <v>0.97639659999999995</v>
      </c>
      <c r="Y4403">
        <v>0.121729</v>
      </c>
      <c r="Z4403">
        <v>-2.8357410000000001E-3</v>
      </c>
      <c r="AA4403">
        <v>0.99255930000000003</v>
      </c>
      <c r="AB4403">
        <v>30</v>
      </c>
      <c r="AC4403">
        <v>43.499499999999998</v>
      </c>
      <c r="AD4403">
        <v>-1.171316</v>
      </c>
      <c r="AE4403">
        <v>-4.03491</v>
      </c>
      <c r="AF4403">
        <v>5.3539487779827999</v>
      </c>
      <c r="AG4403">
        <v>-1.171316</v>
      </c>
      <c r="AH4403">
        <v>43.325295442158797</v>
      </c>
      <c r="AI4403">
        <v>91.536950972899206</v>
      </c>
      <c r="AJ4403">
        <v>82.955355009100998</v>
      </c>
      <c r="AK4403">
        <v>43.670561867686899</v>
      </c>
      <c r="AL4403">
        <v>77.560869771071907</v>
      </c>
      <c r="AM4403">
        <v>89.069366646702207</v>
      </c>
      <c r="AN4403">
        <v>1.0000000154604201</v>
      </c>
    </row>
    <row r="4404" spans="1:40" x14ac:dyDescent="0.25">
      <c r="A4404" t="str">
        <f>"20190303170859310"</f>
        <v>20190303170859310</v>
      </c>
      <c r="B4404" t="str">
        <f>"1551604139298517"</f>
        <v>1551604139298517</v>
      </c>
      <c r="C4404" t="s">
        <v>40</v>
      </c>
      <c r="D4404">
        <v>4.4154999999999998</v>
      </c>
      <c r="E4404">
        <v>0.5459522</v>
      </c>
      <c r="F4404" t="s">
        <v>46</v>
      </c>
      <c r="G4404">
        <v>-298.2081</v>
      </c>
      <c r="H4404">
        <v>-0.05</v>
      </c>
      <c r="I4404">
        <v>12.476470000000001</v>
      </c>
      <c r="J4404">
        <v>-342.23079999999999</v>
      </c>
      <c r="K4404">
        <v>1.121313</v>
      </c>
      <c r="L4404">
        <v>16.601589999999899</v>
      </c>
      <c r="M4404">
        <v>0.99944750000000004</v>
      </c>
      <c r="N4404">
        <v>-1.3014980000000001E-2</v>
      </c>
      <c r="O4404">
        <v>3.0585770000000002E-2</v>
      </c>
      <c r="P4404">
        <v>0.97898450000000004</v>
      </c>
      <c r="Q4404">
        <v>0.20347309999999999</v>
      </c>
      <c r="R4404">
        <v>1.37219E-2</v>
      </c>
      <c r="S4404">
        <v>3.0848689999999999</v>
      </c>
      <c r="T4404">
        <v>-8.1571459999999998E-2</v>
      </c>
      <c r="U4404">
        <v>-0.2866821</v>
      </c>
      <c r="V4404">
        <v>1.6171459999999999E-2</v>
      </c>
      <c r="W4404">
        <v>0.21620130000000001</v>
      </c>
      <c r="X4404">
        <v>0.9762149</v>
      </c>
      <c r="Y4404">
        <v>0.1228803</v>
      </c>
      <c r="Z4404">
        <v>-2.8324270000000002E-3</v>
      </c>
      <c r="AA4404">
        <v>0.99241749999999995</v>
      </c>
      <c r="AB4404">
        <v>30</v>
      </c>
      <c r="AC4404">
        <v>44.022699999999901</v>
      </c>
      <c r="AD4404">
        <v>-1.1713129999999901</v>
      </c>
      <c r="AE4404">
        <v>-4.1251199999999901</v>
      </c>
      <c r="AF4404">
        <v>5.4659359857068397</v>
      </c>
      <c r="AG4404">
        <v>-1.1713129999999901</v>
      </c>
      <c r="AH4404">
        <v>43.8451503766887</v>
      </c>
      <c r="AI4404">
        <v>91.518530586539995</v>
      </c>
      <c r="AJ4404">
        <v>82.893908553667401</v>
      </c>
      <c r="AK4404">
        <v>44.200063822332403</v>
      </c>
      <c r="AL4404">
        <v>77.513985838620698</v>
      </c>
      <c r="AM4404">
        <v>89.050955207806794</v>
      </c>
      <c r="AN4404">
        <v>1.00000002461111</v>
      </c>
    </row>
    <row r="4405" spans="1:40" x14ac:dyDescent="0.25">
      <c r="A4405" t="str">
        <f>"20190303170859331"</f>
        <v>20190303170859331</v>
      </c>
      <c r="B4405" t="str">
        <f>"1551604139318037"</f>
        <v>1551604139318037</v>
      </c>
      <c r="C4405" t="s">
        <v>40</v>
      </c>
      <c r="D4405">
        <v>4.4069209999999996</v>
      </c>
      <c r="E4405">
        <v>0.54610709999999996</v>
      </c>
      <c r="F4405" t="s">
        <v>46</v>
      </c>
      <c r="G4405">
        <v>-296.06569999999999</v>
      </c>
      <c r="H4405">
        <v>-0.05</v>
      </c>
      <c r="I4405">
        <v>12.270110000000001</v>
      </c>
      <c r="J4405">
        <v>-341.93680000000001</v>
      </c>
      <c r="K4405">
        <v>1.1213139999999999</v>
      </c>
      <c r="L4405">
        <v>16.610779999999998</v>
      </c>
      <c r="M4405">
        <v>0.99944330000000003</v>
      </c>
      <c r="N4405">
        <v>-1.298786E-2</v>
      </c>
      <c r="O4405">
        <v>3.073248E-2</v>
      </c>
      <c r="P4405">
        <v>0.97895659999999896</v>
      </c>
      <c r="Q4405">
        <v>0.20361290000000001</v>
      </c>
      <c r="R4405">
        <v>1.3629570000000001E-2</v>
      </c>
      <c r="S4405">
        <v>3.0847470000000001</v>
      </c>
      <c r="T4405">
        <v>-7.8267100000000006E-2</v>
      </c>
      <c r="U4405">
        <v>-0.28942869999999998</v>
      </c>
      <c r="V4405">
        <v>1.6407450000000001E-2</v>
      </c>
      <c r="W4405">
        <v>0.21631439999999999</v>
      </c>
      <c r="X4405">
        <v>0.97618590000000005</v>
      </c>
      <c r="Y4405">
        <v>0.1239097</v>
      </c>
      <c r="Z4405">
        <v>-2.7548389999999998E-3</v>
      </c>
      <c r="AA4405">
        <v>0.99228970000000005</v>
      </c>
      <c r="AB4405">
        <v>30</v>
      </c>
      <c r="AC4405">
        <v>45.871099999999998</v>
      </c>
      <c r="AD4405">
        <v>-1.171314</v>
      </c>
      <c r="AE4405">
        <v>-4.3406699999999896</v>
      </c>
      <c r="AF4405">
        <v>5.7447583243086102</v>
      </c>
      <c r="AG4405">
        <v>-1.171314</v>
      </c>
      <c r="AH4405">
        <v>45.686493493017402</v>
      </c>
      <c r="AI4405">
        <v>91.4571624447955</v>
      </c>
      <c r="AJ4405">
        <v>82.833069719894397</v>
      </c>
      <c r="AK4405">
        <v>46.061154049576601</v>
      </c>
      <c r="AL4405">
        <v>77.507348537396993</v>
      </c>
      <c r="AM4405">
        <v>89.037079793031197</v>
      </c>
      <c r="AN4405">
        <v>1.0000000177108299</v>
      </c>
    </row>
    <row r="4406" spans="1:40" x14ac:dyDescent="0.25">
      <c r="A4406" t="str">
        <f>"20190303170859355"</f>
        <v>20190303170859355</v>
      </c>
      <c r="B4406" t="str">
        <f>"1551604139348293"</f>
        <v>1551604139348293</v>
      </c>
      <c r="C4406" t="s">
        <v>40</v>
      </c>
      <c r="D4406">
        <v>4.4473370000000001</v>
      </c>
      <c r="E4406">
        <v>0.54639459999999995</v>
      </c>
      <c r="F4406" t="s">
        <v>46</v>
      </c>
      <c r="G4406">
        <v>-295.67070000000001</v>
      </c>
      <c r="H4406">
        <v>-0.05</v>
      </c>
      <c r="I4406">
        <v>12.25201</v>
      </c>
      <c r="J4406">
        <v>-341.62549999999999</v>
      </c>
      <c r="K4406">
        <v>1.1213139999999999</v>
      </c>
      <c r="L4406">
        <v>16.620570000000001</v>
      </c>
      <c r="M4406">
        <v>0.99943910000000002</v>
      </c>
      <c r="N4406">
        <v>-1.2957150000000001E-2</v>
      </c>
      <c r="O4406">
        <v>3.0884200000000001E-2</v>
      </c>
      <c r="P4406">
        <v>0.97892920000000005</v>
      </c>
      <c r="Q4406">
        <v>0.20375599999999999</v>
      </c>
      <c r="R4406">
        <v>1.345355E-2</v>
      </c>
      <c r="S4406">
        <v>3.084778</v>
      </c>
      <c r="T4406">
        <v>-7.8096990000000005E-2</v>
      </c>
      <c r="U4406">
        <v>-0.29061890000000001</v>
      </c>
      <c r="V4406">
        <v>1.673092E-2</v>
      </c>
      <c r="W4406">
        <v>0.21642710000000001</v>
      </c>
      <c r="X4406">
        <v>0.97615540000000001</v>
      </c>
      <c r="Y4406">
        <v>0.12443890000000001</v>
      </c>
      <c r="Z4406">
        <v>-2.7607249999999999E-3</v>
      </c>
      <c r="AA4406">
        <v>0.99222339999999998</v>
      </c>
      <c r="AB4406">
        <v>30</v>
      </c>
      <c r="AC4406">
        <v>45.954799999999899</v>
      </c>
      <c r="AD4406">
        <v>-1.171314</v>
      </c>
      <c r="AE4406">
        <v>-4.3685599999999898</v>
      </c>
      <c r="AF4406">
        <v>5.7821491560269003</v>
      </c>
      <c r="AG4406">
        <v>-1.171314</v>
      </c>
      <c r="AH4406">
        <v>45.7684761097033</v>
      </c>
      <c r="AI4406">
        <v>91.454446696252106</v>
      </c>
      <c r="AJ4406">
        <v>82.799696859346597</v>
      </c>
      <c r="AK4406">
        <v>46.147141089710203</v>
      </c>
      <c r="AL4406">
        <v>77.500734264962801</v>
      </c>
      <c r="AM4406">
        <v>89.018068997257302</v>
      </c>
      <c r="AN4406">
        <v>0.99999998912380805</v>
      </c>
    </row>
    <row r="4407" spans="1:40" x14ac:dyDescent="0.25">
      <c r="A4407" t="str">
        <f>"20190303170859377"</f>
        <v>20190303170859377</v>
      </c>
      <c r="B4407" t="str">
        <f>"1551604139367813"</f>
        <v>1551604139367813</v>
      </c>
      <c r="C4407" t="s">
        <v>40</v>
      </c>
      <c r="D4407">
        <v>4.4636509999999996</v>
      </c>
      <c r="E4407">
        <v>0.54662259999999996</v>
      </c>
      <c r="F4407" t="s">
        <v>46</v>
      </c>
      <c r="G4407">
        <v>-295.17129999999997</v>
      </c>
      <c r="H4407">
        <v>-0.05</v>
      </c>
      <c r="I4407">
        <v>12.20688</v>
      </c>
      <c r="J4407">
        <v>-341.32560000000001</v>
      </c>
      <c r="K4407">
        <v>1.12131</v>
      </c>
      <c r="L4407">
        <v>16.63</v>
      </c>
      <c r="M4407">
        <v>0.99943490000000001</v>
      </c>
      <c r="N4407">
        <v>-1.292929E-2</v>
      </c>
      <c r="O4407">
        <v>3.1025299999999999E-2</v>
      </c>
      <c r="P4407">
        <v>0.97897719999999999</v>
      </c>
      <c r="Q4407">
        <v>0.20353769999999999</v>
      </c>
      <c r="R4407">
        <v>1.3273490000000001E-2</v>
      </c>
      <c r="S4407">
        <v>3.084778</v>
      </c>
      <c r="T4407">
        <v>-7.7780840000000004E-2</v>
      </c>
      <c r="U4407">
        <v>-0.29309079999999998</v>
      </c>
      <c r="V4407">
        <v>1.7049789999999999E-2</v>
      </c>
      <c r="W4407">
        <v>0.21618219999999999</v>
      </c>
      <c r="X4407">
        <v>0.97620419999999997</v>
      </c>
      <c r="Y4407">
        <v>0.12536700000000001</v>
      </c>
      <c r="Z4407">
        <v>-2.7697049999999999E-3</v>
      </c>
      <c r="AA4407">
        <v>0.99210659999999895</v>
      </c>
      <c r="AB4407">
        <v>30</v>
      </c>
      <c r="AC4407">
        <v>46.154299999999999</v>
      </c>
      <c r="AD4407">
        <v>-1.1713100000000001</v>
      </c>
      <c r="AE4407">
        <v>-4.4231199999999902</v>
      </c>
      <c r="AF4407">
        <v>5.8493281869718201</v>
      </c>
      <c r="AG4407">
        <v>-1.1713100000000001</v>
      </c>
      <c r="AH4407">
        <v>45.965502815056901</v>
      </c>
      <c r="AI4407">
        <v>91.448043887761301</v>
      </c>
      <c r="AJ4407">
        <v>82.7478194617578</v>
      </c>
      <c r="AK4407">
        <v>46.350987652864603</v>
      </c>
      <c r="AL4407">
        <v>77.515106884301204</v>
      </c>
      <c r="AM4407">
        <v>88.999408425496895</v>
      </c>
      <c r="AN4407">
        <v>1.0000000395167601</v>
      </c>
    </row>
    <row r="4408" spans="1:40" x14ac:dyDescent="0.25">
      <c r="A4408" t="str">
        <f>"20190303170859400"</f>
        <v>20190303170859400</v>
      </c>
      <c r="B4408" t="str">
        <f>"1551604139387832"</f>
        <v>1551604139387832</v>
      </c>
      <c r="C4408" t="s">
        <v>40</v>
      </c>
      <c r="D4408">
        <v>4.4342410000000001</v>
      </c>
      <c r="E4408">
        <v>0.54679040000000001</v>
      </c>
      <c r="F4408" t="s">
        <v>46</v>
      </c>
      <c r="G4408">
        <v>-295.1728</v>
      </c>
      <c r="H4408">
        <v>-0.05</v>
      </c>
      <c r="I4408">
        <v>12.20421</v>
      </c>
      <c r="J4408">
        <v>-341.02670000000001</v>
      </c>
      <c r="K4408">
        <v>1.1213089999999999</v>
      </c>
      <c r="L4408">
        <v>16.639500000000002</v>
      </c>
      <c r="M4408">
        <v>0.99943090000000001</v>
      </c>
      <c r="N4408">
        <v>-1.290407E-2</v>
      </c>
      <c r="O4408">
        <v>3.1167469999999999E-2</v>
      </c>
      <c r="P4408">
        <v>0.97891269999999997</v>
      </c>
      <c r="Q4408">
        <v>0.20387350000000001</v>
      </c>
      <c r="R4408">
        <v>1.288018E-2</v>
      </c>
      <c r="S4408">
        <v>3.0847169999999999</v>
      </c>
      <c r="T4408">
        <v>-7.8286889999999998E-2</v>
      </c>
      <c r="U4408">
        <v>-0.29580689999999998</v>
      </c>
      <c r="V4408">
        <v>1.7580809999999999E-2</v>
      </c>
      <c r="W4408">
        <v>0.2164923</v>
      </c>
      <c r="X4408">
        <v>0.97612600000000005</v>
      </c>
      <c r="Y4408">
        <v>0.1263744</v>
      </c>
      <c r="Z4408">
        <v>-2.8052770000000001E-3</v>
      </c>
      <c r="AA4408">
        <v>0.99197860000000004</v>
      </c>
      <c r="AB4408">
        <v>30</v>
      </c>
      <c r="AC4408">
        <v>45.853900000000003</v>
      </c>
      <c r="AD4408">
        <v>-1.1713089999999999</v>
      </c>
      <c r="AE4408">
        <v>-4.4352900000000002</v>
      </c>
      <c r="AF4408">
        <v>5.8586164924893902</v>
      </c>
      <c r="AG4408">
        <v>-1.1713089999999999</v>
      </c>
      <c r="AH4408">
        <v>45.663850958249398</v>
      </c>
      <c r="AI4408">
        <v>91.457412964691798</v>
      </c>
      <c r="AJ4408">
        <v>82.688961292789202</v>
      </c>
      <c r="AK4408">
        <v>46.053041553373603</v>
      </c>
      <c r="AL4408">
        <v>77.496907801473</v>
      </c>
      <c r="AM4408">
        <v>88.968168745673395</v>
      </c>
      <c r="AN4408">
        <v>0.99999998435777204</v>
      </c>
    </row>
    <row r="4409" spans="1:40" x14ac:dyDescent="0.25">
      <c r="A4409" t="str">
        <f>"20190303170859421"</f>
        <v>20190303170859421</v>
      </c>
      <c r="B4409" t="str">
        <f>"1551604139408328"</f>
        <v>1551604139408328</v>
      </c>
      <c r="C4409" t="s">
        <v>40</v>
      </c>
      <c r="D4409">
        <v>4.464143</v>
      </c>
      <c r="E4409">
        <v>0.54698760000000002</v>
      </c>
      <c r="F4409" t="s">
        <v>46</v>
      </c>
      <c r="G4409">
        <v>-294.30619999999999</v>
      </c>
      <c r="H4409">
        <v>-0.05</v>
      </c>
      <c r="I4409">
        <v>12.116199999999999</v>
      </c>
      <c r="J4409">
        <v>-340.73540000000003</v>
      </c>
      <c r="K4409">
        <v>1.1213059999999999</v>
      </c>
      <c r="L4409">
        <v>16.648769999999999</v>
      </c>
      <c r="M4409">
        <v>0.99942679999999995</v>
      </c>
      <c r="N4409">
        <v>-1.288161E-2</v>
      </c>
      <c r="O4409">
        <v>3.1312270000000003E-2</v>
      </c>
      <c r="P4409">
        <v>0.97875540000000005</v>
      </c>
      <c r="Q4409">
        <v>0.20467969999999999</v>
      </c>
      <c r="R4409">
        <v>1.2021509999999999E-2</v>
      </c>
      <c r="S4409">
        <v>3.0846559999999998</v>
      </c>
      <c r="T4409">
        <v>-7.7334050000000001E-2</v>
      </c>
      <c r="U4409">
        <v>-0.29864499999999999</v>
      </c>
      <c r="V4409">
        <v>1.857791E-2</v>
      </c>
      <c r="W4409">
        <v>0.2172743</v>
      </c>
      <c r="X4409">
        <v>0.97593379999999996</v>
      </c>
      <c r="Y4409">
        <v>0.12742510000000001</v>
      </c>
      <c r="Z4409">
        <v>-2.7971659999999998E-3</v>
      </c>
      <c r="AA4409">
        <v>0.99184419999999995</v>
      </c>
      <c r="AB4409">
        <v>30</v>
      </c>
      <c r="AC4409">
        <v>46.429200000000002</v>
      </c>
      <c r="AD4409">
        <v>-1.171306</v>
      </c>
      <c r="AE4409">
        <v>-4.5325699999999998</v>
      </c>
      <c r="AF4409">
        <v>5.9805008293875197</v>
      </c>
      <c r="AG4409">
        <v>-1.171306</v>
      </c>
      <c r="AH4409">
        <v>46.235344601143197</v>
      </c>
      <c r="AI4409">
        <v>91.439211010738205</v>
      </c>
      <c r="AJ4409">
        <v>82.629764198105406</v>
      </c>
      <c r="AK4409">
        <v>46.6352381606699</v>
      </c>
      <c r="AL4409">
        <v>77.451010487955301</v>
      </c>
      <c r="AM4409">
        <v>88.909447249707398</v>
      </c>
      <c r="AN4409">
        <v>1.0000000210814399</v>
      </c>
    </row>
    <row r="4410" spans="1:40" x14ac:dyDescent="0.25">
      <c r="A4410" t="str">
        <f>"20190303170859444"</f>
        <v>20190303170859444</v>
      </c>
      <c r="B4410" t="str">
        <f>"1551604139437608"</f>
        <v>1551604139437608</v>
      </c>
      <c r="C4410" t="s">
        <v>40</v>
      </c>
      <c r="D4410">
        <v>4.5339939999999999</v>
      </c>
      <c r="E4410">
        <v>0.54734050000000001</v>
      </c>
      <c r="F4410" t="s">
        <v>46</v>
      </c>
      <c r="G4410">
        <v>-292.57810000000001</v>
      </c>
      <c r="H4410">
        <v>-0.05</v>
      </c>
      <c r="I4410">
        <v>11.92085</v>
      </c>
      <c r="J4410">
        <v>-340.43900000000002</v>
      </c>
      <c r="K4410">
        <v>1.1213139999999999</v>
      </c>
      <c r="L4410">
        <v>16.658259999999999</v>
      </c>
      <c r="M4410">
        <v>0.99942229999999999</v>
      </c>
      <c r="N4410">
        <v>-1.286061E-2</v>
      </c>
      <c r="O4410">
        <v>3.146036E-2</v>
      </c>
      <c r="P4410">
        <v>0.97855820000000004</v>
      </c>
      <c r="Q4410">
        <v>0.20566280000000001</v>
      </c>
      <c r="R4410">
        <v>1.1256550000000001E-2</v>
      </c>
      <c r="S4410">
        <v>3.0845030000000002</v>
      </c>
      <c r="T4410">
        <v>-7.5022820000000004E-2</v>
      </c>
      <c r="U4410">
        <v>-0.30282589999999998</v>
      </c>
      <c r="V4410">
        <v>1.9482590000000001E-2</v>
      </c>
      <c r="W4410">
        <v>0.21823390000000001</v>
      </c>
      <c r="X4410">
        <v>0.97570199999999996</v>
      </c>
      <c r="Y4410">
        <v>0.12891089999999999</v>
      </c>
      <c r="Z4410">
        <v>-2.754809E-3</v>
      </c>
      <c r="AA4410">
        <v>0.99165239999999999</v>
      </c>
      <c r="AB4410">
        <v>30</v>
      </c>
      <c r="AC4410">
        <v>47.860900000000001</v>
      </c>
      <c r="AD4410">
        <v>-1.171314</v>
      </c>
      <c r="AE4410">
        <v>-4.7374099999999997</v>
      </c>
      <c r="AF4410">
        <v>6.2372107292966801</v>
      </c>
      <c r="AG4410">
        <v>-1.171314</v>
      </c>
      <c r="AH4410">
        <v>47.659883455787799</v>
      </c>
      <c r="AI4410">
        <v>91.395948861385193</v>
      </c>
      <c r="AJ4410">
        <v>82.544119598089495</v>
      </c>
      <c r="AK4410">
        <v>48.0805497596224</v>
      </c>
      <c r="AL4410">
        <v>77.3946774004377</v>
      </c>
      <c r="AM4410">
        <v>88.856083251033496</v>
      </c>
      <c r="AN4410">
        <v>0.999999999613158</v>
      </c>
    </row>
    <row r="4411" spans="1:40" x14ac:dyDescent="0.25">
      <c r="A4411" t="str">
        <f>"20190303170859467"</f>
        <v>20190303170859467</v>
      </c>
      <c r="B4411" t="str">
        <f>"1551604139458104"</f>
        <v>1551604139458104</v>
      </c>
      <c r="C4411" t="s">
        <v>40</v>
      </c>
      <c r="D4411">
        <v>4.516743</v>
      </c>
      <c r="E4411">
        <v>0.54756990000000005</v>
      </c>
      <c r="F4411" t="s">
        <v>46</v>
      </c>
      <c r="G4411">
        <v>-290.45670000000001</v>
      </c>
      <c r="H4411">
        <v>-0.05</v>
      </c>
      <c r="I4411">
        <v>11.66161</v>
      </c>
      <c r="J4411">
        <v>-340.12389999999999</v>
      </c>
      <c r="K4411">
        <v>1.121316</v>
      </c>
      <c r="L4411">
        <v>16.668369999999999</v>
      </c>
      <c r="M4411">
        <v>0.99941780000000002</v>
      </c>
      <c r="N4411">
        <v>-1.284043E-2</v>
      </c>
      <c r="O4411">
        <v>3.1613130000000003E-2</v>
      </c>
      <c r="P4411">
        <v>0.97839810000000005</v>
      </c>
      <c r="Q4411">
        <v>0.20643310000000001</v>
      </c>
      <c r="R4411">
        <v>1.108895E-2</v>
      </c>
      <c r="S4411">
        <v>3.084473</v>
      </c>
      <c r="T4411">
        <v>-7.2283390000000003E-2</v>
      </c>
      <c r="U4411">
        <v>-0.308349599999999</v>
      </c>
      <c r="V4411">
        <v>1.9794220000000001E-2</v>
      </c>
      <c r="W4411">
        <v>0.21898210000000001</v>
      </c>
      <c r="X4411">
        <v>0.97552810000000001</v>
      </c>
      <c r="Y4411">
        <v>0.13082469999999999</v>
      </c>
      <c r="Z4411">
        <v>-2.7054150000000001E-3</v>
      </c>
      <c r="AA4411">
        <v>0.9914018</v>
      </c>
      <c r="AB4411">
        <v>30</v>
      </c>
      <c r="AC4411">
        <v>49.667199999999902</v>
      </c>
      <c r="AD4411">
        <v>-1.171316</v>
      </c>
      <c r="AE4411">
        <v>-5.0067599999999901</v>
      </c>
      <c r="AF4411">
        <v>6.5709042669745399</v>
      </c>
      <c r="AG4411">
        <v>-1.171316</v>
      </c>
      <c r="AH4411">
        <v>49.456849078648901</v>
      </c>
      <c r="AI4411">
        <v>91.344902547179302</v>
      </c>
      <c r="AJ4411">
        <v>82.431927959524998</v>
      </c>
      <c r="AK4411">
        <v>49.905196972318002</v>
      </c>
      <c r="AL4411">
        <v>77.350746415862801</v>
      </c>
      <c r="AM4411">
        <v>88.837583809691694</v>
      </c>
      <c r="AN4411">
        <v>1.0000000225777099</v>
      </c>
    </row>
    <row r="4412" spans="1:40" x14ac:dyDescent="0.25">
      <c r="A4412" t="str">
        <f>"20190303170859491"</f>
        <v>20190303170859491</v>
      </c>
      <c r="B4412" t="str">
        <f>"1551604139477624"</f>
        <v>1551604139477624</v>
      </c>
      <c r="C4412" t="s">
        <v>40</v>
      </c>
      <c r="D4412">
        <v>4.555472</v>
      </c>
      <c r="E4412">
        <v>0.5477725</v>
      </c>
      <c r="F4412" t="s">
        <v>46</v>
      </c>
      <c r="G4412">
        <v>-288.83760000000001</v>
      </c>
      <c r="H4412">
        <v>-0.05</v>
      </c>
      <c r="I4412">
        <v>11.50665</v>
      </c>
      <c r="J4412">
        <v>-339.82389999999998</v>
      </c>
      <c r="K4412">
        <v>1.1213120000000001</v>
      </c>
      <c r="L4412">
        <v>16.678070000000002</v>
      </c>
      <c r="M4412">
        <v>0.99941340000000001</v>
      </c>
      <c r="N4412">
        <v>-1.282346E-2</v>
      </c>
      <c r="O4412">
        <v>3.1755400000000003E-2</v>
      </c>
      <c r="P4412">
        <v>0.97839699999999996</v>
      </c>
      <c r="Q4412">
        <v>0.2064703</v>
      </c>
      <c r="R4412">
        <v>1.0462880000000001E-2</v>
      </c>
      <c r="S4412">
        <v>3.0846559999999998</v>
      </c>
      <c r="T4412">
        <v>-7.0449709999999999E-2</v>
      </c>
      <c r="U4412">
        <v>-0.31045529999999999</v>
      </c>
      <c r="V4412">
        <v>2.055889E-2</v>
      </c>
      <c r="W4412">
        <v>0.21900310000000001</v>
      </c>
      <c r="X4412">
        <v>0.97550760000000003</v>
      </c>
      <c r="Y4412">
        <v>0.1316322</v>
      </c>
      <c r="Z4412">
        <v>-2.662958E-3</v>
      </c>
      <c r="AA4412">
        <v>0.99129500000000004</v>
      </c>
      <c r="AB4412">
        <v>30</v>
      </c>
      <c r="AC4412">
        <v>50.9862999999999</v>
      </c>
      <c r="AD4412">
        <v>-1.1713119999999999</v>
      </c>
      <c r="AE4412">
        <v>-5.1714200000000003</v>
      </c>
      <c r="AF4412">
        <v>6.7844908302466704</v>
      </c>
      <c r="AG4412">
        <v>-1.1713119999999999</v>
      </c>
      <c r="AH4412">
        <v>50.769826291668203</v>
      </c>
      <c r="AI4412">
        <v>91.309997146820606</v>
      </c>
      <c r="AJ4412">
        <v>82.388524560053398</v>
      </c>
      <c r="AK4412">
        <v>51.234524974017397</v>
      </c>
      <c r="AL4412">
        <v>77.349513646504107</v>
      </c>
      <c r="AM4412">
        <v>88.792666220213803</v>
      </c>
      <c r="AN4412">
        <v>1.0000000517126899</v>
      </c>
    </row>
    <row r="4413" spans="1:40" x14ac:dyDescent="0.25">
      <c r="A4413" t="str">
        <f>"20190303170859510"</f>
        <v>20190303170859510</v>
      </c>
      <c r="B4413" t="str">
        <f>"1551604139498120"</f>
        <v>1551604139498120</v>
      </c>
      <c r="C4413" t="s">
        <v>40</v>
      </c>
      <c r="D4413">
        <v>4.5972759999999999</v>
      </c>
      <c r="E4413">
        <v>0.55489009999999905</v>
      </c>
      <c r="F4413" t="s">
        <v>46</v>
      </c>
      <c r="G4413">
        <v>-288.88</v>
      </c>
      <c r="H4413">
        <v>-0.05</v>
      </c>
      <c r="I4413">
        <v>11.49316</v>
      </c>
      <c r="J4413">
        <v>-339.55799999999999</v>
      </c>
      <c r="K4413">
        <v>1.1213070000000001</v>
      </c>
      <c r="L4413">
        <v>16.686679999999999</v>
      </c>
      <c r="M4413">
        <v>0.99940949999999995</v>
      </c>
      <c r="N4413">
        <v>-1.2810200000000001E-2</v>
      </c>
      <c r="O4413">
        <v>3.188303E-2</v>
      </c>
      <c r="P4413">
        <v>0.97863330000000004</v>
      </c>
      <c r="Q4413">
        <v>0.20538339999999999</v>
      </c>
      <c r="R4413">
        <v>9.7208360000000001E-3</v>
      </c>
      <c r="S4413">
        <v>3.0845340000000001</v>
      </c>
      <c r="T4413">
        <v>-7.0920230000000001E-2</v>
      </c>
      <c r="U4413">
        <v>-0.3139343</v>
      </c>
      <c r="V4413">
        <v>2.1433689999999998E-2</v>
      </c>
      <c r="W4413">
        <v>0.2179063</v>
      </c>
      <c r="X4413">
        <v>0.97573430000000005</v>
      </c>
      <c r="Y4413">
        <v>0.13286819999999999</v>
      </c>
      <c r="Z4413">
        <v>-2.7007910000000001E-3</v>
      </c>
      <c r="AA4413">
        <v>0.99113010000000001</v>
      </c>
      <c r="AB4413">
        <v>30</v>
      </c>
      <c r="AC4413">
        <v>50.677999999999997</v>
      </c>
      <c r="AD4413">
        <v>-1.1713069999999901</v>
      </c>
      <c r="AE4413">
        <v>-5.1935199999999897</v>
      </c>
      <c r="AF4413">
        <v>6.8031835425729401</v>
      </c>
      <c r="AG4413">
        <v>-1.1713069999999901</v>
      </c>
      <c r="AH4413">
        <v>50.4599572117572</v>
      </c>
      <c r="AI4413">
        <v>91.317826341344301</v>
      </c>
      <c r="AJ4413">
        <v>82.321489179065296</v>
      </c>
      <c r="AK4413">
        <v>50.929976911584703</v>
      </c>
      <c r="AL4413">
        <v>77.413910271064694</v>
      </c>
      <c r="AM4413">
        <v>88.741601575984603</v>
      </c>
      <c r="AN4413">
        <v>0.99999999142159801</v>
      </c>
    </row>
    <row r="4414" spans="1:40" x14ac:dyDescent="0.25">
      <c r="A4414" t="str">
        <f>"20190303170859533"</f>
        <v>20190303170859533</v>
      </c>
      <c r="B4414" t="str">
        <f>"1551604139528377"</f>
        <v>1551604139528377</v>
      </c>
      <c r="C4414" t="s">
        <v>40</v>
      </c>
      <c r="D4414">
        <v>4.5897920000000001</v>
      </c>
      <c r="E4414">
        <v>0.55474509999999999</v>
      </c>
      <c r="F4414" t="s">
        <v>46</v>
      </c>
      <c r="G4414">
        <v>-300.84949999999998</v>
      </c>
      <c r="H4414">
        <v>-0.05</v>
      </c>
      <c r="I4414">
        <v>12.022080000000001</v>
      </c>
      <c r="J4414">
        <v>-339.25659999999999</v>
      </c>
      <c r="K4414">
        <v>1.121305</v>
      </c>
      <c r="L4414">
        <v>16.696470000000001</v>
      </c>
      <c r="M4414">
        <v>0.99940510000000005</v>
      </c>
      <c r="N4414">
        <v>-1.279665E-2</v>
      </c>
      <c r="O4414">
        <v>3.203019E-2</v>
      </c>
      <c r="P4414">
        <v>0.97881249999999997</v>
      </c>
      <c r="Q4414">
        <v>0.20455970000000001</v>
      </c>
      <c r="R4414">
        <v>9.0407969999999997E-3</v>
      </c>
      <c r="S4414">
        <v>3.0888369999999998</v>
      </c>
      <c r="T4414">
        <v>-9.3467120000000001E-2</v>
      </c>
      <c r="U4414">
        <v>-0.37222290000000002</v>
      </c>
      <c r="V4414">
        <v>2.2264050000000001E-2</v>
      </c>
      <c r="W4414">
        <v>0.21707129999999999</v>
      </c>
      <c r="X4414">
        <v>0.97590180000000004</v>
      </c>
      <c r="Y4414">
        <v>0.15127929999999901</v>
      </c>
      <c r="Z4414">
        <v>-3.8094689999999998E-3</v>
      </c>
      <c r="AA4414">
        <v>0.98848369999999997</v>
      </c>
      <c r="AB4414">
        <v>30</v>
      </c>
      <c r="AC4414">
        <v>38.4071</v>
      </c>
      <c r="AD4414">
        <v>-1.17130499999999</v>
      </c>
      <c r="AE4414">
        <v>-4.6743899999999998</v>
      </c>
      <c r="AF4414">
        <v>5.8968740162216102</v>
      </c>
      <c r="AG4414">
        <v>-1.17130499999999</v>
      </c>
      <c r="AH4414">
        <v>38.202643702873402</v>
      </c>
      <c r="AI4414">
        <v>91.735614224479903</v>
      </c>
      <c r="AJ4414">
        <v>81.225205542764698</v>
      </c>
      <c r="AK4414">
        <v>38.672820746034397</v>
      </c>
      <c r="AL4414">
        <v>77.462925393803303</v>
      </c>
      <c r="AM4414">
        <v>88.693090986568194</v>
      </c>
      <c r="AN4414">
        <v>0.99999998022466596</v>
      </c>
    </row>
    <row r="4415" spans="1:40" x14ac:dyDescent="0.25">
      <c r="A4415" t="str">
        <f>"20190303170859556"</f>
        <v>20190303170859556</v>
      </c>
      <c r="B4415" t="str">
        <f>"1551604139547896"</f>
        <v>1551604139547896</v>
      </c>
      <c r="C4415" t="s">
        <v>40</v>
      </c>
      <c r="D4415">
        <v>4.6502699999999999</v>
      </c>
      <c r="E4415">
        <v>0.55482299999999996</v>
      </c>
      <c r="F4415" t="s">
        <v>46</v>
      </c>
      <c r="G4415">
        <v>-299.666</v>
      </c>
      <c r="H4415">
        <v>-0.05</v>
      </c>
      <c r="I4415">
        <v>11.90076</v>
      </c>
      <c r="J4415">
        <v>-338.94690000000003</v>
      </c>
      <c r="K4415">
        <v>1.1213029999999999</v>
      </c>
      <c r="L4415">
        <v>16.706600000000002</v>
      </c>
      <c r="M4415">
        <v>0.99940030000000002</v>
      </c>
      <c r="N4415">
        <v>-1.2784200000000001E-2</v>
      </c>
      <c r="O4415">
        <v>3.2181179999999997E-2</v>
      </c>
      <c r="P4415">
        <v>0.97865119999999906</v>
      </c>
      <c r="Q4415">
        <v>0.20536070000000001</v>
      </c>
      <c r="R4415">
        <v>8.2805919999999998E-3</v>
      </c>
      <c r="S4415">
        <v>3.0874630000000001</v>
      </c>
      <c r="T4415">
        <v>-9.1343759999999996E-2</v>
      </c>
      <c r="U4415">
        <v>-0.37399290000000002</v>
      </c>
      <c r="V4415">
        <v>2.3166809999999999E-2</v>
      </c>
      <c r="W4415">
        <v>0.21785789999999999</v>
      </c>
      <c r="X4415">
        <v>0.9757055</v>
      </c>
      <c r="Y4415">
        <v>0.15204289999999901</v>
      </c>
      <c r="Z4415">
        <v>-3.7552269999999999E-3</v>
      </c>
      <c r="AA4415">
        <v>0.98836679999999999</v>
      </c>
      <c r="AB4415">
        <v>30</v>
      </c>
      <c r="AC4415">
        <v>39.280900000000003</v>
      </c>
      <c r="AD4415">
        <v>-1.171303</v>
      </c>
      <c r="AE4415">
        <v>-4.8058399999999999</v>
      </c>
      <c r="AF4415">
        <v>6.0622486651230103</v>
      </c>
      <c r="AG4415">
        <v>-1.171303</v>
      </c>
      <c r="AH4415">
        <v>39.071652691428497</v>
      </c>
      <c r="AI4415">
        <v>91.6968267163181</v>
      </c>
      <c r="AJ4415">
        <v>81.180471019016906</v>
      </c>
      <c r="AK4415">
        <v>39.556502039932703</v>
      </c>
      <c r="AL4415">
        <v>77.416751686274594</v>
      </c>
      <c r="AM4415">
        <v>88.639844621004102</v>
      </c>
      <c r="AN4415">
        <v>0.999999994204118</v>
      </c>
    </row>
    <row r="4416" spans="1:40" x14ac:dyDescent="0.25">
      <c r="A4416" t="str">
        <f>"20190303170859579"</f>
        <v>20190303170859579</v>
      </c>
      <c r="B4416" t="str">
        <f>"1551604139568392"</f>
        <v>1551604139568392</v>
      </c>
      <c r="C4416" t="s">
        <v>40</v>
      </c>
      <c r="D4416">
        <v>4.630579</v>
      </c>
      <c r="E4416">
        <v>0.55479809999999996</v>
      </c>
      <c r="F4416" t="s">
        <v>46</v>
      </c>
      <c r="G4416">
        <v>-298.61529999999999</v>
      </c>
      <c r="H4416">
        <v>-0.05</v>
      </c>
      <c r="I4416">
        <v>11.77933</v>
      </c>
      <c r="J4416">
        <v>-338.65199999999999</v>
      </c>
      <c r="K4416">
        <v>1.1213070000000001</v>
      </c>
      <c r="L4416">
        <v>16.716279999999902</v>
      </c>
      <c r="M4416">
        <v>0.99939599999999995</v>
      </c>
      <c r="N4416">
        <v>-1.277385E-2</v>
      </c>
      <c r="O4416">
        <v>3.2322570000000002E-2</v>
      </c>
      <c r="P4416">
        <v>0.97834770000000004</v>
      </c>
      <c r="Q4416">
        <v>0.20684859999999999</v>
      </c>
      <c r="R4416">
        <v>7.0595889999999998E-3</v>
      </c>
      <c r="S4416">
        <v>3.087494</v>
      </c>
      <c r="T4416">
        <v>-8.9666369999999995E-2</v>
      </c>
      <c r="U4416">
        <v>-0.37719730000000001</v>
      </c>
      <c r="V4416">
        <v>2.4514939999999999E-2</v>
      </c>
      <c r="W4416">
        <v>0.21933150000000001</v>
      </c>
      <c r="X4416">
        <v>0.9753423</v>
      </c>
      <c r="Y4416">
        <v>0.15319479999999999</v>
      </c>
      <c r="Z4416">
        <v>-3.7224239999999998E-3</v>
      </c>
      <c r="AA4416">
        <v>0.98818899999999998</v>
      </c>
      <c r="AB4416">
        <v>30</v>
      </c>
      <c r="AC4416">
        <v>40.036700000000003</v>
      </c>
      <c r="AD4416">
        <v>-1.1713069999999901</v>
      </c>
      <c r="AE4416">
        <v>-4.9369499999999897</v>
      </c>
      <c r="AF4416">
        <v>6.2233176352377502</v>
      </c>
      <c r="AG4416">
        <v>-1.1713069999999901</v>
      </c>
      <c r="AH4416">
        <v>39.822615255204802</v>
      </c>
      <c r="AI4416">
        <v>91.664569363968397</v>
      </c>
      <c r="AJ4416">
        <v>81.117888614749404</v>
      </c>
      <c r="AK4416">
        <v>40.322975190843501</v>
      </c>
      <c r="AL4416">
        <v>77.330227481937598</v>
      </c>
      <c r="AM4416">
        <v>88.560190692414494</v>
      </c>
      <c r="AN4416">
        <v>0.99999994567237005</v>
      </c>
    </row>
    <row r="4417" spans="1:40" x14ac:dyDescent="0.25">
      <c r="A4417" t="str">
        <f>"20190303170859600"</f>
        <v>20190303170859600</v>
      </c>
      <c r="B4417" t="str">
        <f>"1551604139587912"</f>
        <v>1551604139587912</v>
      </c>
      <c r="C4417" t="s">
        <v>40</v>
      </c>
      <c r="D4417">
        <v>4.6511589999999998</v>
      </c>
      <c r="E4417">
        <v>0.55490729999999999</v>
      </c>
      <c r="F4417" t="s">
        <v>46</v>
      </c>
      <c r="G4417">
        <v>-296.7944</v>
      </c>
      <c r="H4417">
        <v>-0.05</v>
      </c>
      <c r="I4417">
        <v>11.560639999999999</v>
      </c>
      <c r="J4417">
        <v>-338.3571</v>
      </c>
      <c r="K4417">
        <v>1.1213089999999999</v>
      </c>
      <c r="L4417">
        <v>16.72598</v>
      </c>
      <c r="M4417">
        <v>0.99939160000000005</v>
      </c>
      <c r="N4417">
        <v>-1.2764859999999999E-2</v>
      </c>
      <c r="O4417">
        <v>3.246342E-2</v>
      </c>
      <c r="P4417">
        <v>0.97830309999999998</v>
      </c>
      <c r="Q4417">
        <v>0.20709330000000001</v>
      </c>
      <c r="R4417">
        <v>6.0006449999999998E-3</v>
      </c>
      <c r="S4417">
        <v>3.087402</v>
      </c>
      <c r="T4417">
        <v>-8.6395260000000001E-2</v>
      </c>
      <c r="U4417">
        <v>-0.38027949999999999</v>
      </c>
      <c r="V4417">
        <v>2.5709389999999999E-2</v>
      </c>
      <c r="W4417">
        <v>0.21956639999999999</v>
      </c>
      <c r="X4417">
        <v>0.97525879999999998</v>
      </c>
      <c r="Y4417">
        <v>0.15431489999999901</v>
      </c>
      <c r="Z4417">
        <v>-3.6320079999999999E-3</v>
      </c>
      <c r="AA4417">
        <v>0.98801510000000003</v>
      </c>
      <c r="AB4417">
        <v>30</v>
      </c>
      <c r="AC4417">
        <v>41.5627</v>
      </c>
      <c r="AD4417">
        <v>-1.1713089999999999</v>
      </c>
      <c r="AE4417">
        <v>-5.1653399999999996</v>
      </c>
      <c r="AF4417">
        <v>6.5069048513321999</v>
      </c>
      <c r="AG4417">
        <v>-1.1713089999999999</v>
      </c>
      <c r="AH4417">
        <v>41.340757662692702</v>
      </c>
      <c r="AI4417">
        <v>91.603202264210196</v>
      </c>
      <c r="AJ4417">
        <v>81.055208682454804</v>
      </c>
      <c r="AK4417">
        <v>41.866096302894697</v>
      </c>
      <c r="AL4417">
        <v>77.316433803503898</v>
      </c>
      <c r="AM4417">
        <v>88.489940863770599</v>
      </c>
      <c r="AN4417">
        <v>1.0000000518602801</v>
      </c>
    </row>
    <row r="4418" spans="1:40" x14ac:dyDescent="0.25">
      <c r="A4418" t="str">
        <f>"20190303170859624"</f>
        <v>20190303170859624</v>
      </c>
      <c r="B4418" t="str">
        <f>"1551604139608409"</f>
        <v>1551604139608409</v>
      </c>
      <c r="C4418" t="s">
        <v>40</v>
      </c>
      <c r="D4418">
        <v>4.7034659999999997</v>
      </c>
      <c r="E4418">
        <v>0.55497730000000001</v>
      </c>
      <c r="F4418" t="s">
        <v>46</v>
      </c>
      <c r="G4418">
        <v>-297.40320000000003</v>
      </c>
      <c r="H4418">
        <v>-0.05</v>
      </c>
      <c r="I4418">
        <v>11.63452</v>
      </c>
      <c r="J4418">
        <v>-338.05959999999999</v>
      </c>
      <c r="K4418">
        <v>1.1213089999999999</v>
      </c>
      <c r="L4418">
        <v>16.735869999999998</v>
      </c>
      <c r="M4418">
        <v>0.99938680000000002</v>
      </c>
      <c r="N4418">
        <v>-1.2756770000000001E-2</v>
      </c>
      <c r="O4418">
        <v>3.2608520000000002E-2</v>
      </c>
      <c r="P4418">
        <v>0.97851840000000001</v>
      </c>
      <c r="Q4418">
        <v>0.2060883</v>
      </c>
      <c r="R4418">
        <v>5.4621449999999998E-3</v>
      </c>
      <c r="S4418">
        <v>3.087555</v>
      </c>
      <c r="T4418">
        <v>-8.8306190000000007E-2</v>
      </c>
      <c r="U4418">
        <v>-0.38385010000000003</v>
      </c>
      <c r="V4418">
        <v>2.6397509999999999E-2</v>
      </c>
      <c r="W4418">
        <v>0.2185569</v>
      </c>
      <c r="X4418">
        <v>0.97546710000000003</v>
      </c>
      <c r="Y4418">
        <v>0.1555733</v>
      </c>
      <c r="Z4418">
        <v>-3.7272249999999998E-3</v>
      </c>
      <c r="AA4418">
        <v>0.98781730000000001</v>
      </c>
      <c r="AB4418">
        <v>30</v>
      </c>
      <c r="AC4418">
        <v>40.656399999999898</v>
      </c>
      <c r="AD4418">
        <v>-1.1713089999999999</v>
      </c>
      <c r="AE4418">
        <v>-5.1013500000000001</v>
      </c>
      <c r="AF4418">
        <v>6.4192440906452202</v>
      </c>
      <c r="AG4418">
        <v>-1.1713089999999999</v>
      </c>
      <c r="AH4418">
        <v>40.435372734472502</v>
      </c>
      <c r="AI4418">
        <v>91.638737426282205</v>
      </c>
      <c r="AJ4418">
        <v>80.979390851084403</v>
      </c>
      <c r="AK4418">
        <v>40.9584915206174</v>
      </c>
      <c r="AL4418">
        <v>77.375713142304804</v>
      </c>
      <c r="AM4418">
        <v>88.449874042937694</v>
      </c>
      <c r="AN4418">
        <v>1.0000000051271101</v>
      </c>
    </row>
    <row r="4419" spans="1:40" x14ac:dyDescent="0.25">
      <c r="A4419" t="str">
        <f>"20190303170859645"</f>
        <v>20190303170859645</v>
      </c>
      <c r="B4419" t="str">
        <f>"1551604139637688"</f>
        <v>1551604139637688</v>
      </c>
      <c r="C4419" t="s">
        <v>40</v>
      </c>
      <c r="D4419">
        <v>4.7044560000000004</v>
      </c>
      <c r="E4419">
        <v>0.55492359999999996</v>
      </c>
      <c r="F4419" t="s">
        <v>46</v>
      </c>
      <c r="G4419">
        <v>-299.10660000000001</v>
      </c>
      <c r="H4419">
        <v>-0.05</v>
      </c>
      <c r="I4419">
        <v>11.85938</v>
      </c>
      <c r="J4419">
        <v>-337.76400000000001</v>
      </c>
      <c r="K4419">
        <v>1.1213089999999999</v>
      </c>
      <c r="L4419">
        <v>16.745699999999999</v>
      </c>
      <c r="M4419">
        <v>0.99938229999999995</v>
      </c>
      <c r="N4419">
        <v>-1.274964E-2</v>
      </c>
      <c r="O4419">
        <v>3.2753329999999997E-2</v>
      </c>
      <c r="P4419">
        <v>0.97872490000000001</v>
      </c>
      <c r="Q4419">
        <v>0.20511779999999999</v>
      </c>
      <c r="R4419">
        <v>4.9473900000000003E-3</v>
      </c>
      <c r="S4419">
        <v>3.0876160000000001</v>
      </c>
      <c r="T4419">
        <v>-9.2843889999999998E-2</v>
      </c>
      <c r="U4419">
        <v>-0.38653559999999998</v>
      </c>
      <c r="V4419">
        <v>2.7061350000000001E-2</v>
      </c>
      <c r="W4419">
        <v>0.21758150000000001</v>
      </c>
      <c r="X4419">
        <v>0.9756669</v>
      </c>
      <c r="Y4419">
        <v>0.15655050000000001</v>
      </c>
      <c r="Z4419">
        <v>-3.9116960000000001E-3</v>
      </c>
      <c r="AA4419">
        <v>0.98766220000000005</v>
      </c>
      <c r="AB4419">
        <v>30</v>
      </c>
      <c r="AC4419">
        <v>38.657400000000003</v>
      </c>
      <c r="AD4419">
        <v>-1.1713089999999999</v>
      </c>
      <c r="AE4419">
        <v>-4.8863200000000004</v>
      </c>
      <c r="AF4419">
        <v>6.1444068873543998</v>
      </c>
      <c r="AG4419">
        <v>-1.1713089999999999</v>
      </c>
      <c r="AH4419">
        <v>38.441861910607003</v>
      </c>
      <c r="AI4419">
        <v>91.723378913141701</v>
      </c>
      <c r="AJ4419">
        <v>80.918865732276203</v>
      </c>
      <c r="AK4419">
        <v>38.9474318527554</v>
      </c>
      <c r="AL4419">
        <v>77.432977073490207</v>
      </c>
      <c r="AM4419">
        <v>88.411236738546805</v>
      </c>
      <c r="AN4419">
        <v>0.99999996278084002</v>
      </c>
    </row>
    <row r="4420" spans="1:40" x14ac:dyDescent="0.25">
      <c r="A4420" t="str">
        <f>"20190303170859667"</f>
        <v>20190303170859667</v>
      </c>
      <c r="B4420" t="str">
        <f>"1551604139658185"</f>
        <v>1551604139658185</v>
      </c>
      <c r="C4420" t="s">
        <v>40</v>
      </c>
      <c r="D4420">
        <v>4.6733630000000002</v>
      </c>
      <c r="E4420">
        <v>0.55493419999999904</v>
      </c>
      <c r="F4420" t="s">
        <v>46</v>
      </c>
      <c r="G4420">
        <v>-300.81279999999998</v>
      </c>
      <c r="H4420">
        <v>-0.05</v>
      </c>
      <c r="I4420">
        <v>12.10416</v>
      </c>
      <c r="J4420">
        <v>-337.4744</v>
      </c>
      <c r="K4420">
        <v>1.1213089999999999</v>
      </c>
      <c r="L4420">
        <v>16.75534</v>
      </c>
      <c r="M4420">
        <v>0.99937779999999998</v>
      </c>
      <c r="N4420">
        <v>-1.274345E-2</v>
      </c>
      <c r="O4420">
        <v>3.2893140000000001E-2</v>
      </c>
      <c r="P4420">
        <v>0.978599</v>
      </c>
      <c r="Q4420">
        <v>0.2057379</v>
      </c>
      <c r="R4420">
        <v>4.0022399999999998E-3</v>
      </c>
      <c r="S4420">
        <v>3.0876459999999999</v>
      </c>
      <c r="T4420">
        <v>-9.7874520000000007E-2</v>
      </c>
      <c r="U4420">
        <v>-0.38784790000000002</v>
      </c>
      <c r="V4420">
        <v>2.8138340000000001E-2</v>
      </c>
      <c r="W4420">
        <v>0.2181939</v>
      </c>
      <c r="X4420">
        <v>0.97549969999999997</v>
      </c>
      <c r="Y4420">
        <v>0.15709000000000001</v>
      </c>
      <c r="Z4420">
        <v>-4.1060589999999996E-3</v>
      </c>
      <c r="AA4420">
        <v>0.9875758</v>
      </c>
      <c r="AB4420">
        <v>30</v>
      </c>
      <c r="AC4420">
        <v>36.6616</v>
      </c>
      <c r="AD4420">
        <v>-1.1713089999999999</v>
      </c>
      <c r="AE4420">
        <v>-4.6511800000000001</v>
      </c>
      <c r="AF4420">
        <v>5.8487999816032703</v>
      </c>
      <c r="AG4420">
        <v>-1.1713089999999999</v>
      </c>
      <c r="AH4420">
        <v>36.452134757854999</v>
      </c>
      <c r="AI4420">
        <v>91.817213065279006</v>
      </c>
      <c r="AJ4420">
        <v>80.884501098696504</v>
      </c>
      <c r="AK4420">
        <v>36.936953778067597</v>
      </c>
      <c r="AL4420">
        <v>77.397025888221407</v>
      </c>
      <c r="AM4420">
        <v>88.347758375908001</v>
      </c>
      <c r="AN4420">
        <v>1.00000000443762</v>
      </c>
    </row>
    <row r="4421" spans="1:40" x14ac:dyDescent="0.25">
      <c r="A4421" t="str">
        <f>"20190303170859689"</f>
        <v>20190303170859689</v>
      </c>
      <c r="B4421" t="str">
        <f>"1551604139677704"</f>
        <v>1551604139677704</v>
      </c>
      <c r="C4421" t="s">
        <v>40</v>
      </c>
      <c r="D4421">
        <v>4.7356999999999996</v>
      </c>
      <c r="E4421">
        <v>0.55509019999999898</v>
      </c>
      <c r="F4421" t="s">
        <v>46</v>
      </c>
      <c r="G4421">
        <v>-300.29509999999999</v>
      </c>
      <c r="H4421">
        <v>-0.05</v>
      </c>
      <c r="I4421">
        <v>12.05396</v>
      </c>
      <c r="J4421">
        <v>-337.1902</v>
      </c>
      <c r="K4421">
        <v>1.1213120000000001</v>
      </c>
      <c r="L4421">
        <v>16.764890000000001</v>
      </c>
      <c r="M4421">
        <v>0.99937330000000002</v>
      </c>
      <c r="N4421">
        <v>-1.2742969999999999E-2</v>
      </c>
      <c r="O4421">
        <v>3.3026229999999997E-2</v>
      </c>
      <c r="P4421">
        <v>0.97845629999999995</v>
      </c>
      <c r="Q4421">
        <v>0.20642250000000001</v>
      </c>
      <c r="R4421">
        <v>3.5944060000000001E-3</v>
      </c>
      <c r="S4421">
        <v>3.0876769999999998</v>
      </c>
      <c r="T4421">
        <v>-9.7275260000000002E-2</v>
      </c>
      <c r="U4421">
        <v>-0.39044190000000001</v>
      </c>
      <c r="V4421">
        <v>2.867159E-2</v>
      </c>
      <c r="W4421">
        <v>0.2188756</v>
      </c>
      <c r="X4421">
        <v>0.97533139999999996</v>
      </c>
      <c r="Y4421">
        <v>0.1580376</v>
      </c>
      <c r="Z4421">
        <v>-4.1077800000000001E-3</v>
      </c>
      <c r="AA4421">
        <v>0.98742459999999999</v>
      </c>
      <c r="AB4421">
        <v>30</v>
      </c>
      <c r="AC4421">
        <v>36.895099999999999</v>
      </c>
      <c r="AD4421">
        <v>-1.1713119999999999</v>
      </c>
      <c r="AE4421">
        <v>-4.7109300000000003</v>
      </c>
      <c r="AF4421">
        <v>5.9210926347433697</v>
      </c>
      <c r="AG4421">
        <v>-1.1713119999999999</v>
      </c>
      <c r="AH4421">
        <v>36.682994156484597</v>
      </c>
      <c r="AI4421">
        <v>91.805516888327503</v>
      </c>
      <c r="AJ4421">
        <v>80.830832091122502</v>
      </c>
      <c r="AK4421">
        <v>37.176247390978602</v>
      </c>
      <c r="AL4421">
        <v>77.356999374350906</v>
      </c>
      <c r="AM4421">
        <v>88.316174239958102</v>
      </c>
      <c r="AN4421">
        <v>0.99999996408722303</v>
      </c>
    </row>
    <row r="4422" spans="1:40" x14ac:dyDescent="0.25">
      <c r="A4422" t="str">
        <f>"20190303170859703"</f>
        <v>20190303170859703</v>
      </c>
      <c r="B4422" t="str">
        <f>"1551604139698201"</f>
        <v>1551604139698201</v>
      </c>
      <c r="C4422" t="s">
        <v>40</v>
      </c>
      <c r="D4422">
        <v>4.7207809999999997</v>
      </c>
      <c r="E4422">
        <v>0.55509980000000003</v>
      </c>
      <c r="F4422" t="s">
        <v>46</v>
      </c>
      <c r="G4422">
        <v>-299.67950000000002</v>
      </c>
      <c r="H4422">
        <v>-0.05</v>
      </c>
      <c r="I4422">
        <v>11.99727</v>
      </c>
      <c r="J4422">
        <v>-337.01499999999999</v>
      </c>
      <c r="K4422">
        <v>1.1213109999999999</v>
      </c>
      <c r="L4422">
        <v>16.770779999999998</v>
      </c>
      <c r="M4422">
        <v>0.9993706</v>
      </c>
      <c r="N4422">
        <v>-1.274551E-2</v>
      </c>
      <c r="O4422">
        <v>3.3111219999999997E-2</v>
      </c>
      <c r="P4422">
        <v>0.97844189999999998</v>
      </c>
      <c r="Q4422">
        <v>0.2064965</v>
      </c>
      <c r="R4422">
        <v>3.3556860000000001E-3</v>
      </c>
      <c r="S4422">
        <v>3.0877690000000002</v>
      </c>
      <c r="T4422">
        <v>-9.6418859999999995E-2</v>
      </c>
      <c r="U4422">
        <v>-0.39245609999999997</v>
      </c>
      <c r="V4422">
        <v>2.899444E-2</v>
      </c>
      <c r="W4422">
        <v>0.21895229999999999</v>
      </c>
      <c r="X4422">
        <v>0.97530470000000002</v>
      </c>
      <c r="Y4422">
        <v>0.15875310000000001</v>
      </c>
      <c r="Z4422">
        <v>-4.0940439999999998E-3</v>
      </c>
      <c r="AA4422">
        <v>0.98730980000000002</v>
      </c>
      <c r="AB4422">
        <v>30</v>
      </c>
      <c r="AC4422">
        <v>37.335499999999897</v>
      </c>
      <c r="AD4422">
        <v>-1.171311</v>
      </c>
      <c r="AE4422">
        <v>-4.7735099999999901</v>
      </c>
      <c r="AF4422">
        <v>6.00140445335553</v>
      </c>
      <c r="AG4422">
        <v>-1.171311</v>
      </c>
      <c r="AH4422">
        <v>37.1210067802607</v>
      </c>
      <c r="AI4422">
        <v>91.784152181927396</v>
      </c>
      <c r="AJ4422">
        <v>80.816374732027398</v>
      </c>
      <c r="AK4422">
        <v>37.621243589913902</v>
      </c>
      <c r="AL4422">
        <v>77.352496295191798</v>
      </c>
      <c r="AM4422">
        <v>88.297178410374698</v>
      </c>
      <c r="AN4422">
        <v>1.0000000225341401</v>
      </c>
    </row>
    <row r="4423" spans="1:40" x14ac:dyDescent="0.25">
      <c r="A4423" t="str">
        <f>"20190303170859722"</f>
        <v>20190303170859722</v>
      </c>
      <c r="B4423" t="str">
        <f>"1551604139717720"</f>
        <v>1551604139717720</v>
      </c>
      <c r="C4423" t="s">
        <v>40</v>
      </c>
      <c r="D4423">
        <v>4.7459030000000002</v>
      </c>
      <c r="E4423">
        <v>0.55515329999999996</v>
      </c>
      <c r="F4423" t="s">
        <v>46</v>
      </c>
      <c r="G4423">
        <v>-299.62459999999999</v>
      </c>
      <c r="H4423">
        <v>-0.05</v>
      </c>
      <c r="I4423">
        <v>12.005280000000001</v>
      </c>
      <c r="J4423">
        <v>-336.74349999999998</v>
      </c>
      <c r="K4423">
        <v>1.1213040000000001</v>
      </c>
      <c r="L4423">
        <v>16.779910000000001</v>
      </c>
      <c r="M4423">
        <v>0.99936590000000003</v>
      </c>
      <c r="N4423">
        <v>-1.275015E-2</v>
      </c>
      <c r="O4423">
        <v>3.3245520000000001E-2</v>
      </c>
      <c r="P4423">
        <v>0.97850910000000002</v>
      </c>
      <c r="Q4423">
        <v>0.20617579999999999</v>
      </c>
      <c r="R4423">
        <v>3.419802E-3</v>
      </c>
      <c r="S4423">
        <v>3.08786</v>
      </c>
      <c r="T4423">
        <v>-9.6731659999999997E-2</v>
      </c>
      <c r="U4423">
        <v>-0.39355469999999998</v>
      </c>
      <c r="V4423">
        <v>2.9066669999999999E-2</v>
      </c>
      <c r="W4423">
        <v>0.218636</v>
      </c>
      <c r="X4423">
        <v>0.9753735</v>
      </c>
      <c r="Y4423">
        <v>0.1592267</v>
      </c>
      <c r="Z4423">
        <v>-4.1183670000000004E-3</v>
      </c>
      <c r="AA4423">
        <v>0.98723349999999999</v>
      </c>
      <c r="AB4423">
        <v>30</v>
      </c>
      <c r="AC4423">
        <v>37.118899999999996</v>
      </c>
      <c r="AD4423">
        <v>-1.1713039999999999</v>
      </c>
      <c r="AE4423">
        <v>-4.7746300000000002</v>
      </c>
      <c r="AF4423">
        <v>6.0002501733984603</v>
      </c>
      <c r="AG4423">
        <v>-1.1713039999999999</v>
      </c>
      <c r="AH4423">
        <v>36.9034815020404</v>
      </c>
      <c r="AI4423">
        <v>91.794390056690503</v>
      </c>
      <c r="AJ4423">
        <v>80.764918772593902</v>
      </c>
      <c r="AK4423">
        <v>37.406441987647298</v>
      </c>
      <c r="AL4423">
        <v>77.371068889689695</v>
      </c>
      <c r="AM4423">
        <v>88.293059243616199</v>
      </c>
      <c r="AN4423">
        <v>1.00000001815156</v>
      </c>
    </row>
    <row r="4424" spans="1:40" x14ac:dyDescent="0.25">
      <c r="A4424" t="str">
        <f>"20190303170859746"</f>
        <v>20190303170859746</v>
      </c>
      <c r="B4424" t="str">
        <f>"1551604139738216"</f>
        <v>1551604139738216</v>
      </c>
      <c r="C4424" t="s">
        <v>40</v>
      </c>
      <c r="D4424">
        <v>4.7485929999999996</v>
      </c>
      <c r="E4424">
        <v>0.55526580000000003</v>
      </c>
      <c r="F4424" t="s">
        <v>46</v>
      </c>
      <c r="G4424">
        <v>-300.00630000000001</v>
      </c>
      <c r="H4424">
        <v>-0.05</v>
      </c>
      <c r="I4424">
        <v>12.097530000000001</v>
      </c>
      <c r="J4424">
        <v>-336.43689999999998</v>
      </c>
      <c r="K4424">
        <v>1.1213</v>
      </c>
      <c r="L4424">
        <v>16.790310000000002</v>
      </c>
      <c r="M4424">
        <v>0.99936080000000005</v>
      </c>
      <c r="N4424">
        <v>-1.2759670000000001E-2</v>
      </c>
      <c r="O4424">
        <v>3.3394960000000001E-2</v>
      </c>
      <c r="P4424">
        <v>0.97875230000000002</v>
      </c>
      <c r="Q4424">
        <v>0.20502889999999999</v>
      </c>
      <c r="R4424">
        <v>2.7173850000000001E-3</v>
      </c>
      <c r="S4424">
        <v>3.0880130000000001</v>
      </c>
      <c r="T4424">
        <v>-9.8456139999999998E-2</v>
      </c>
      <c r="U4424">
        <v>-0.39358520000000002</v>
      </c>
      <c r="V4424">
        <v>2.9924820000000001E-2</v>
      </c>
      <c r="W4424">
        <v>0.21750140000000001</v>
      </c>
      <c r="X4424">
        <v>0.97560119999999895</v>
      </c>
      <c r="Y4424">
        <v>0.15937399999999999</v>
      </c>
      <c r="Z4424">
        <v>-4.1875150000000002E-3</v>
      </c>
      <c r="AA4424">
        <v>0.98720940000000001</v>
      </c>
      <c r="AB4424">
        <v>30</v>
      </c>
      <c r="AC4424">
        <v>36.430599999999899</v>
      </c>
      <c r="AD4424">
        <v>-1.1713</v>
      </c>
      <c r="AE4424">
        <v>-4.69278</v>
      </c>
      <c r="AF4424">
        <v>5.9008592654234802</v>
      </c>
      <c r="AG4424">
        <v>-1.1713</v>
      </c>
      <c r="AH4424">
        <v>36.216722001719397</v>
      </c>
      <c r="AI4424">
        <v>91.828288890475505</v>
      </c>
      <c r="AJ4424">
        <v>80.746006093710406</v>
      </c>
      <c r="AK4424">
        <v>36.712981849887299</v>
      </c>
      <c r="AL4424">
        <v>77.437679901605904</v>
      </c>
      <c r="AM4424">
        <v>88.2431054020836</v>
      </c>
      <c r="AN4424">
        <v>1.0000000276477099</v>
      </c>
    </row>
    <row r="4425" spans="1:40" x14ac:dyDescent="0.25">
      <c r="A4425" t="str">
        <f>"20190303170859768"</f>
        <v>20190303170859768</v>
      </c>
      <c r="B4425" t="str">
        <f>"1551604139757736"</f>
        <v>1551604139757736</v>
      </c>
      <c r="C4425" t="s">
        <v>40</v>
      </c>
      <c r="D4425">
        <v>4.7414430000000003</v>
      </c>
      <c r="E4425">
        <v>0.55539019999999995</v>
      </c>
      <c r="F4425" t="s">
        <v>46</v>
      </c>
      <c r="G4425">
        <v>-301.29289999999997</v>
      </c>
      <c r="H4425">
        <v>-0.05</v>
      </c>
      <c r="I4425">
        <v>12.2798</v>
      </c>
      <c r="J4425">
        <v>-336.14420000000001</v>
      </c>
      <c r="K4425">
        <v>1.121292</v>
      </c>
      <c r="L4425">
        <v>16.800229999999999</v>
      </c>
      <c r="M4425">
        <v>0.99935620000000003</v>
      </c>
      <c r="N4425">
        <v>-1.277347E-2</v>
      </c>
      <c r="O4425">
        <v>3.3528229999999999E-2</v>
      </c>
      <c r="P4425">
        <v>0.97890379999999999</v>
      </c>
      <c r="Q4425">
        <v>0.20431930000000001</v>
      </c>
      <c r="R4425">
        <v>1.1813380000000001E-3</v>
      </c>
      <c r="S4425">
        <v>3.087799</v>
      </c>
      <c r="T4425">
        <v>-0.1029118</v>
      </c>
      <c r="U4425">
        <v>-0.39630130000000002</v>
      </c>
      <c r="V4425">
        <v>3.1596470000000001E-2</v>
      </c>
      <c r="W4425">
        <v>0.2168069</v>
      </c>
      <c r="X4425">
        <v>0.97570310000000005</v>
      </c>
      <c r="Y4425">
        <v>0.160358</v>
      </c>
      <c r="Z4425">
        <v>-4.3761009999999899E-3</v>
      </c>
      <c r="AA4425">
        <v>0.98704919999999996</v>
      </c>
      <c r="AB4425">
        <v>30</v>
      </c>
      <c r="AC4425">
        <v>34.851300000000002</v>
      </c>
      <c r="AD4425">
        <v>-1.171292</v>
      </c>
      <c r="AE4425">
        <v>-4.5204299999999904</v>
      </c>
      <c r="AF4425">
        <v>5.6801760427121</v>
      </c>
      <c r="AG4425">
        <v>-1.171292</v>
      </c>
      <c r="AH4425">
        <v>34.6416471094415</v>
      </c>
      <c r="AI4425">
        <v>91.911028072647795</v>
      </c>
      <c r="AJ4425">
        <v>80.688098844270698</v>
      </c>
      <c r="AK4425">
        <v>35.123781676814701</v>
      </c>
      <c r="AL4425">
        <v>77.478444910776304</v>
      </c>
      <c r="AM4425">
        <v>88.1452227074072</v>
      </c>
      <c r="AN4425">
        <v>1.0000000540768299</v>
      </c>
    </row>
    <row r="4426" spans="1:40" x14ac:dyDescent="0.25">
      <c r="A4426" t="str">
        <f>"20190303170859782"</f>
        <v>20190303170859782</v>
      </c>
      <c r="B4426" t="str">
        <f>"1551604139768473"</f>
        <v>1551604139768473</v>
      </c>
      <c r="C4426" t="s">
        <v>40</v>
      </c>
      <c r="D4426">
        <v>4.7724900000000003</v>
      </c>
      <c r="E4426">
        <v>0.55550180000000005</v>
      </c>
      <c r="F4426" t="s">
        <v>46</v>
      </c>
      <c r="G4426">
        <v>-302.3519</v>
      </c>
      <c r="H4426">
        <v>-0.05</v>
      </c>
      <c r="I4426">
        <v>12.4117</v>
      </c>
      <c r="J4426">
        <v>-335.96820000000002</v>
      </c>
      <c r="K4426">
        <v>1.1212839999999999</v>
      </c>
      <c r="L4426">
        <v>16.80621</v>
      </c>
      <c r="M4426">
        <v>0.99935359999999995</v>
      </c>
      <c r="N4426">
        <v>-1.2782429999999999E-2</v>
      </c>
      <c r="O4426">
        <v>3.360175E-2</v>
      </c>
      <c r="P4426">
        <v>0.97902929999999999</v>
      </c>
      <c r="Q4426">
        <v>0.20371939999999999</v>
      </c>
      <c r="R4426">
        <v>7.4668229999999905E-4</v>
      </c>
      <c r="S4426">
        <v>3.0875240000000002</v>
      </c>
      <c r="T4426">
        <v>-0.1070184</v>
      </c>
      <c r="U4426">
        <v>-0.40097050000000001</v>
      </c>
      <c r="V4426">
        <v>3.2108490000000003E-2</v>
      </c>
      <c r="W4426">
        <v>0.2162171</v>
      </c>
      <c r="X4426">
        <v>0.97581719999999905</v>
      </c>
      <c r="Y4426">
        <v>0.16189899999999999</v>
      </c>
      <c r="Z4426">
        <v>-4.5652549999999998E-3</v>
      </c>
      <c r="AA4426">
        <v>0.98679680000000003</v>
      </c>
      <c r="AB4426">
        <v>30</v>
      </c>
      <c r="AC4426">
        <v>33.616300000000003</v>
      </c>
      <c r="AD4426">
        <v>-1.171284</v>
      </c>
      <c r="AE4426">
        <v>-4.3945099999999897</v>
      </c>
      <c r="AF4426">
        <v>5.5151038436157398</v>
      </c>
      <c r="AG4426">
        <v>-1.171284</v>
      </c>
      <c r="AH4426">
        <v>33.409760038024899</v>
      </c>
      <c r="AI4426">
        <v>91.981072512587204</v>
      </c>
      <c r="AJ4426">
        <v>80.626452185926794</v>
      </c>
      <c r="AK4426">
        <v>33.882153745193399</v>
      </c>
      <c r="AL4426">
        <v>77.513058304673507</v>
      </c>
      <c r="AM4426">
        <v>88.115407822528496</v>
      </c>
      <c r="AN4426">
        <v>0.999999998639164</v>
      </c>
    </row>
    <row r="4427" spans="1:40" x14ac:dyDescent="0.25">
      <c r="A4427" t="str">
        <f>"20190303170859802"</f>
        <v>20190303170859802</v>
      </c>
      <c r="B4427" t="str">
        <f>"1551604139787992"</f>
        <v>1551604139787992</v>
      </c>
      <c r="C4427" t="s">
        <v>40</v>
      </c>
      <c r="D4427">
        <v>4.766896</v>
      </c>
      <c r="E4427">
        <v>0.55563859999999998</v>
      </c>
      <c r="F4427" t="s">
        <v>46</v>
      </c>
      <c r="G4427">
        <v>-302.85680000000002</v>
      </c>
      <c r="H4427">
        <v>-0.05</v>
      </c>
      <c r="I4427">
        <v>12.484209999999999</v>
      </c>
      <c r="J4427">
        <v>-335.6986</v>
      </c>
      <c r="K4427">
        <v>1.1212789999999999</v>
      </c>
      <c r="L4427">
        <v>16.8154</v>
      </c>
      <c r="M4427">
        <v>0.99934979999999995</v>
      </c>
      <c r="N4427">
        <v>-1.2798769999999999E-2</v>
      </c>
      <c r="O4427">
        <v>3.3707399999999998E-2</v>
      </c>
      <c r="P4427">
        <v>0.97921910000000001</v>
      </c>
      <c r="Q4427">
        <v>0.20280599999999999</v>
      </c>
      <c r="R4427">
        <v>2.3529120000000001E-4</v>
      </c>
      <c r="S4427">
        <v>3.0873110000000001</v>
      </c>
      <c r="T4427">
        <v>-0.1092106</v>
      </c>
      <c r="U4427">
        <v>-0.40298460000000003</v>
      </c>
      <c r="V4427">
        <v>3.2732579999999997E-2</v>
      </c>
      <c r="W4427">
        <v>0.21532129999999999</v>
      </c>
      <c r="X4427">
        <v>0.97599449999999999</v>
      </c>
      <c r="Y4427">
        <v>0.16263910000000001</v>
      </c>
      <c r="Z4427">
        <v>-4.6673309999999898E-3</v>
      </c>
      <c r="AA4427">
        <v>0.98667459999999996</v>
      </c>
      <c r="AB4427">
        <v>30</v>
      </c>
      <c r="AC4427">
        <v>32.8417999999999</v>
      </c>
      <c r="AD4427">
        <v>-1.171279</v>
      </c>
      <c r="AE4427">
        <v>-4.3311899999999897</v>
      </c>
      <c r="AF4427">
        <v>5.4290433595098904</v>
      </c>
      <c r="AG4427">
        <v>-1.171279</v>
      </c>
      <c r="AH4427">
        <v>32.636327460587502</v>
      </c>
      <c r="AI4427">
        <v>92.027556939285404</v>
      </c>
      <c r="AJ4427">
        <v>80.555348585981804</v>
      </c>
      <c r="AK4427">
        <v>33.105532413933098</v>
      </c>
      <c r="AL4427">
        <v>77.5656217258081</v>
      </c>
      <c r="AM4427">
        <v>88.079153097948506</v>
      </c>
      <c r="AN4427">
        <v>0.999999974028697</v>
      </c>
    </row>
    <row r="4428" spans="1:40" x14ac:dyDescent="0.25">
      <c r="A4428" t="str">
        <f>"20190303170859826"</f>
        <v>20190303170859826</v>
      </c>
      <c r="B4428" t="str">
        <f>"1551604139819225"</f>
        <v>1551604139819225</v>
      </c>
      <c r="C4428" t="s">
        <v>40</v>
      </c>
      <c r="D4428">
        <v>4.7848050000000004</v>
      </c>
      <c r="E4428">
        <v>0.584951</v>
      </c>
      <c r="F4428" t="s">
        <v>46</v>
      </c>
      <c r="G4428">
        <v>-303.52170000000001</v>
      </c>
      <c r="H4428">
        <v>-0.05</v>
      </c>
      <c r="I4428">
        <v>12.5845</v>
      </c>
      <c r="J4428">
        <v>-335.38929999999999</v>
      </c>
      <c r="K4428">
        <v>1.1212629999999999</v>
      </c>
      <c r="L4428">
        <v>16.825959999999998</v>
      </c>
      <c r="M4428">
        <v>0.99934590000000001</v>
      </c>
      <c r="N4428">
        <v>-1.2821519999999999E-2</v>
      </c>
      <c r="O4428">
        <v>3.3816949999999998E-2</v>
      </c>
      <c r="P4428">
        <v>0.97937940000000001</v>
      </c>
      <c r="Q4428">
        <v>0.2020305</v>
      </c>
      <c r="R4428" s="1">
        <v>5.559996E-6</v>
      </c>
      <c r="S4428">
        <v>3.0870669999999998</v>
      </c>
      <c r="T4428">
        <v>-0.1123731</v>
      </c>
      <c r="U4428">
        <v>-0.40591430000000001</v>
      </c>
      <c r="V4428">
        <v>3.3080199999999997E-2</v>
      </c>
      <c r="W4428">
        <v>0.21456919999999999</v>
      </c>
      <c r="X4428">
        <v>0.97614840000000003</v>
      </c>
      <c r="Y4428">
        <v>0.16366910000000001</v>
      </c>
      <c r="Z4428">
        <v>-4.8137240000000001E-3</v>
      </c>
      <c r="AA4428">
        <v>0.98650349999999998</v>
      </c>
      <c r="AB4428">
        <v>30</v>
      </c>
      <c r="AC4428">
        <v>31.8675999999999</v>
      </c>
      <c r="AD4428">
        <v>-1.1712629999999999</v>
      </c>
      <c r="AE4428">
        <v>-4.24146</v>
      </c>
      <c r="AF4428">
        <v>5.3097393250901801</v>
      </c>
      <c r="AG4428">
        <v>-1.1712629999999999</v>
      </c>
      <c r="AH4428">
        <v>31.663896161010602</v>
      </c>
      <c r="AI4428">
        <v>92.089287544810702</v>
      </c>
      <c r="AJ4428">
        <v>80.480603044987305</v>
      </c>
      <c r="AK4428">
        <v>32.127363863392802</v>
      </c>
      <c r="AL4428">
        <v>77.609745171719894</v>
      </c>
      <c r="AM4428">
        <v>88.059075050709296</v>
      </c>
      <c r="AN4428">
        <v>0.999999970021619</v>
      </c>
    </row>
    <row r="4429" spans="1:40" x14ac:dyDescent="0.25">
      <c r="A4429" t="str">
        <f>"20190303170859847"</f>
        <v>20190303170859847</v>
      </c>
      <c r="B4429" t="str">
        <f>"1551604139837768"</f>
        <v>1551604139837768</v>
      </c>
      <c r="C4429" t="s">
        <v>40</v>
      </c>
      <c r="D4429">
        <v>4.7054919999999996</v>
      </c>
      <c r="E4429">
        <v>0.59444490000000005</v>
      </c>
      <c r="F4429" t="s">
        <v>46</v>
      </c>
      <c r="G4429">
        <v>-304.70890000000003</v>
      </c>
      <c r="H4429">
        <v>-0.05</v>
      </c>
      <c r="I4429">
        <v>10.457050000000001</v>
      </c>
      <c r="J4429">
        <v>-335.10039999999998</v>
      </c>
      <c r="K4429">
        <v>1.1212519999999999</v>
      </c>
      <c r="L4429">
        <v>16.83588</v>
      </c>
      <c r="M4429">
        <v>0.99934259999999997</v>
      </c>
      <c r="N4429">
        <v>-1.2843530000000001E-2</v>
      </c>
      <c r="O4429">
        <v>3.3905129999999999E-2</v>
      </c>
      <c r="P4429">
        <v>0.97950179999999998</v>
      </c>
      <c r="Q4429">
        <v>0.2014338</v>
      </c>
      <c r="R4429">
        <v>-8.4032490000000002E-4</v>
      </c>
      <c r="S4429">
        <v>3.087494</v>
      </c>
      <c r="T4429">
        <v>-0.117869</v>
      </c>
      <c r="U4429">
        <v>-0.64093020000000001</v>
      </c>
      <c r="V4429">
        <v>3.4022610000000002E-2</v>
      </c>
      <c r="W4429">
        <v>0.2139944</v>
      </c>
      <c r="X4429">
        <v>0.97624219999999895</v>
      </c>
      <c r="Y4429">
        <v>0.23610600000000001</v>
      </c>
      <c r="Z4429">
        <v>-6.8414369999999997E-3</v>
      </c>
      <c r="AA4429">
        <v>0.97170319999999999</v>
      </c>
      <c r="AB4429">
        <v>30</v>
      </c>
      <c r="AC4429">
        <v>30.391499999999901</v>
      </c>
      <c r="AD4429">
        <v>-1.171252</v>
      </c>
      <c r="AE4429">
        <v>-6.37882999999999</v>
      </c>
      <c r="AF4429">
        <v>7.3951544771703004</v>
      </c>
      <c r="AG4429">
        <v>-1.171252</v>
      </c>
      <c r="AH4429">
        <v>30.1148902650725</v>
      </c>
      <c r="AI4429">
        <v>92.163069629017699</v>
      </c>
      <c r="AJ4429">
        <v>76.203179636854102</v>
      </c>
      <c r="AK4429">
        <v>31.031705668011099</v>
      </c>
      <c r="AL4429">
        <v>77.643462179889994</v>
      </c>
      <c r="AM4429">
        <v>88.004016491031905</v>
      </c>
      <c r="AN4429">
        <v>0.99999998714170502</v>
      </c>
    </row>
    <row r="4430" spans="1:40" x14ac:dyDescent="0.25">
      <c r="A4430" t="str">
        <f>"20190303170859868"</f>
        <v>20190303170859868</v>
      </c>
      <c r="B4430" t="str">
        <f>"1551604139858264"</f>
        <v>1551604139858264</v>
      </c>
      <c r="C4430" t="s">
        <v>40</v>
      </c>
      <c r="D4430">
        <v>4.6772099999999996</v>
      </c>
      <c r="E4430">
        <v>0.59812349999999903</v>
      </c>
      <c r="F4430" t="s">
        <v>46</v>
      </c>
      <c r="G4430">
        <v>-296.74209999999999</v>
      </c>
      <c r="H4430">
        <v>-0.05</v>
      </c>
      <c r="I4430">
        <v>7.8623960000000004</v>
      </c>
      <c r="J4430">
        <v>-334.82459999999998</v>
      </c>
      <c r="K4430">
        <v>1.1212340000000001</v>
      </c>
      <c r="L4430">
        <v>16.845279999999999</v>
      </c>
      <c r="M4430">
        <v>0.99934029999999996</v>
      </c>
      <c r="N4430">
        <v>-1.28632E-2</v>
      </c>
      <c r="O4430">
        <v>3.3966749999999997E-2</v>
      </c>
      <c r="P4430">
        <v>0.97957609999999995</v>
      </c>
      <c r="Q4430">
        <v>0.2010711</v>
      </c>
      <c r="R4430">
        <v>-1.2349150000000001E-3</v>
      </c>
      <c r="S4430">
        <v>3.081512</v>
      </c>
      <c r="T4430">
        <v>-9.4092490000000001E-2</v>
      </c>
      <c r="U4430">
        <v>-0.72088619999999903</v>
      </c>
      <c r="V4430">
        <v>3.4487690000000001E-2</v>
      </c>
      <c r="W4430">
        <v>0.2136507</v>
      </c>
      <c r="X4430">
        <v>0.97630119999999998</v>
      </c>
      <c r="Y4430">
        <v>0.26056289999999999</v>
      </c>
      <c r="Z4430">
        <v>-6.2162540000000001E-3</v>
      </c>
      <c r="AA4430">
        <v>0.96543690000000004</v>
      </c>
      <c r="AB4430">
        <v>30</v>
      </c>
      <c r="AC4430">
        <v>38.082499999999897</v>
      </c>
      <c r="AD4430">
        <v>-1.1712340000000001</v>
      </c>
      <c r="AE4430">
        <v>-8.9828839999999897</v>
      </c>
      <c r="AF4430">
        <v>10.2621501629216</v>
      </c>
      <c r="AG4430">
        <v>-1.1712340000000001</v>
      </c>
      <c r="AH4430">
        <v>37.721577249021998</v>
      </c>
      <c r="AI4430">
        <v>91.716098349037196</v>
      </c>
      <c r="AJ4430">
        <v>74.781012849666197</v>
      </c>
      <c r="AK4430">
        <v>39.1101125695522</v>
      </c>
      <c r="AL4430">
        <v>77.663621470348801</v>
      </c>
      <c r="AM4430">
        <v>87.976876620042106</v>
      </c>
      <c r="AN4430">
        <v>1.00000002774673</v>
      </c>
    </row>
    <row r="4431" spans="1:40" x14ac:dyDescent="0.25">
      <c r="A4431" t="str">
        <f>"20190303170859891"</f>
        <v>20190303170859891</v>
      </c>
      <c r="B4431" t="str">
        <f>"1551604139877784"</f>
        <v>1551604139877784</v>
      </c>
      <c r="C4431" t="s">
        <v>40</v>
      </c>
      <c r="D4431">
        <v>4.6738839999999904</v>
      </c>
      <c r="E4431">
        <v>0.60022810000000004</v>
      </c>
      <c r="F4431" t="s">
        <v>46</v>
      </c>
      <c r="G4431">
        <v>-294.08780000000002</v>
      </c>
      <c r="H4431">
        <v>-0.05</v>
      </c>
      <c r="I4431">
        <v>6.9189149999999904</v>
      </c>
      <c r="J4431">
        <v>-334.53579999999999</v>
      </c>
      <c r="K4431">
        <v>1.1212150000000001</v>
      </c>
      <c r="L4431">
        <v>16.855160000000001</v>
      </c>
      <c r="M4431">
        <v>0.99933850000000002</v>
      </c>
      <c r="N4431">
        <v>-1.28821E-2</v>
      </c>
      <c r="O4431">
        <v>3.4005920000000002E-2</v>
      </c>
      <c r="P4431">
        <v>0.97993209999999997</v>
      </c>
      <c r="Q4431">
        <v>0.1993259</v>
      </c>
      <c r="R4431">
        <v>-1.608806E-3</v>
      </c>
      <c r="S4431">
        <v>3.0798030000000001</v>
      </c>
      <c r="T4431">
        <v>-8.8548059999999998E-2</v>
      </c>
      <c r="U4431">
        <v>-0.75045779999999995</v>
      </c>
      <c r="V4431">
        <v>3.4921199999999999E-2</v>
      </c>
      <c r="W4431">
        <v>0.2119268</v>
      </c>
      <c r="X4431">
        <v>0.97666140000000001</v>
      </c>
      <c r="Y4431">
        <v>0.2694897</v>
      </c>
      <c r="Z4431">
        <v>-6.1117970000000004E-3</v>
      </c>
      <c r="AA4431">
        <v>0.96298379999999995</v>
      </c>
      <c r="AB4431">
        <v>30</v>
      </c>
      <c r="AC4431">
        <v>40.447999999999901</v>
      </c>
      <c r="AD4431">
        <v>-1.1712149999999999</v>
      </c>
      <c r="AE4431">
        <v>-9.9362449999999995</v>
      </c>
      <c r="AF4431">
        <v>11.297149911997399</v>
      </c>
      <c r="AG4431">
        <v>-1.1712149999999999</v>
      </c>
      <c r="AH4431">
        <v>40.055010099223097</v>
      </c>
      <c r="AI4431">
        <v>91.612007329633698</v>
      </c>
      <c r="AJ4431">
        <v>74.249378922407701</v>
      </c>
      <c r="AK4431">
        <v>41.634134730521701</v>
      </c>
      <c r="AL4431">
        <v>77.764708092839797</v>
      </c>
      <c r="AM4431">
        <v>87.952222377839206</v>
      </c>
      <c r="AN4431">
        <v>0.99999997450881895</v>
      </c>
    </row>
    <row r="4432" spans="1:40" x14ac:dyDescent="0.25">
      <c r="A4432" t="str">
        <f>"20190303170859914"</f>
        <v>20190303170859914</v>
      </c>
      <c r="B4432" t="str">
        <f>"1551604139907692"</f>
        <v>1551604139907692</v>
      </c>
      <c r="C4432" t="s">
        <v>40</v>
      </c>
      <c r="D4432">
        <v>4.6547780000000003</v>
      </c>
      <c r="E4432">
        <v>0.60220750000000001</v>
      </c>
      <c r="F4432" t="s">
        <v>46</v>
      </c>
      <c r="G4432">
        <v>-293.38679999999999</v>
      </c>
      <c r="H4432">
        <v>-0.05</v>
      </c>
      <c r="I4432">
        <v>6.5779269999999999</v>
      </c>
      <c r="J4432">
        <v>-334.21960000000001</v>
      </c>
      <c r="K4432">
        <v>1.1211960000000001</v>
      </c>
      <c r="L4432">
        <v>16.865970000000001</v>
      </c>
      <c r="M4432">
        <v>0.9993377</v>
      </c>
      <c r="N4432">
        <v>-1.290085E-2</v>
      </c>
      <c r="O4432">
        <v>3.4024890000000002E-2</v>
      </c>
      <c r="P4432">
        <v>0.98005350000000002</v>
      </c>
      <c r="Q4432">
        <v>0.19872819999999999</v>
      </c>
      <c r="R4432">
        <v>-1.5652109999999999E-3</v>
      </c>
      <c r="S4432">
        <v>3.0780639999999999</v>
      </c>
      <c r="T4432">
        <v>-8.7610240000000006E-2</v>
      </c>
      <c r="U4432">
        <v>-0.76876829999999996</v>
      </c>
      <c r="V4432">
        <v>3.4909740000000002E-2</v>
      </c>
      <c r="W4432">
        <v>0.21134800000000001</v>
      </c>
      <c r="X4432">
        <v>0.97678730000000002</v>
      </c>
      <c r="Y4432">
        <v>0.2750281</v>
      </c>
      <c r="Z4432">
        <v>-6.1781300000000004E-3</v>
      </c>
      <c r="AA4432">
        <v>0.9614163</v>
      </c>
      <c r="AB4432">
        <v>29</v>
      </c>
      <c r="AC4432">
        <v>40.832799999999999</v>
      </c>
      <c r="AD4432">
        <v>-1.1711959999999999</v>
      </c>
      <c r="AE4432">
        <v>-10.288043</v>
      </c>
      <c r="AF4432">
        <v>11.662510265207199</v>
      </c>
      <c r="AG4432">
        <v>-1.1711959999999999</v>
      </c>
      <c r="AH4432">
        <v>40.427800074989598</v>
      </c>
      <c r="AI4432">
        <v>91.594416544463201</v>
      </c>
      <c r="AJ4432">
        <v>73.908339942049295</v>
      </c>
      <c r="AK4432">
        <v>42.092669963543599</v>
      </c>
      <c r="AL4432">
        <v>77.798640410531206</v>
      </c>
      <c r="AM4432">
        <v>87.953157450899099</v>
      </c>
      <c r="AN4432">
        <v>1.00000004824607</v>
      </c>
    </row>
    <row r="4433" spans="1:40" x14ac:dyDescent="0.25">
      <c r="A4433" t="str">
        <f>"20190303170859935"</f>
        <v>20190303170859935</v>
      </c>
      <c r="B4433" t="str">
        <f>"1551604139928188"</f>
        <v>1551604139928188</v>
      </c>
      <c r="C4433" t="s">
        <v>40</v>
      </c>
      <c r="D4433">
        <v>4.6175290000000002</v>
      </c>
      <c r="E4433">
        <v>0.60351259999999995</v>
      </c>
      <c r="F4433" t="s">
        <v>46</v>
      </c>
      <c r="G4433">
        <v>-290.31299999999999</v>
      </c>
      <c r="H4433">
        <v>-0.05</v>
      </c>
      <c r="I4433">
        <v>5.6495670000000002</v>
      </c>
      <c r="J4433">
        <v>-333.93849999999998</v>
      </c>
      <c r="K4433">
        <v>1.121184</v>
      </c>
      <c r="L4433">
        <v>16.87555</v>
      </c>
      <c r="M4433">
        <v>0.99933740000000004</v>
      </c>
      <c r="N4433">
        <v>-1.291583E-2</v>
      </c>
      <c r="O4433">
        <v>3.4027740000000001E-2</v>
      </c>
      <c r="P4433">
        <v>0.97998070000000004</v>
      </c>
      <c r="Q4433">
        <v>0.19907639999999999</v>
      </c>
      <c r="R4433">
        <v>-2.4961250000000001E-3</v>
      </c>
      <c r="S4433">
        <v>3.0764770000000001</v>
      </c>
      <c r="T4433">
        <v>-8.2064150000000002E-2</v>
      </c>
      <c r="U4433">
        <v>-0.78591919999999904</v>
      </c>
      <c r="V4433">
        <v>3.5847339999999998E-2</v>
      </c>
      <c r="W4433">
        <v>0.21170820000000001</v>
      </c>
      <c r="X4433">
        <v>0.97667530000000002</v>
      </c>
      <c r="Y4433">
        <v>0.28019579999999999</v>
      </c>
      <c r="Z4433">
        <v>-5.9778959999999999E-3</v>
      </c>
      <c r="AA4433">
        <v>0.95992429999999995</v>
      </c>
      <c r="AB4433">
        <v>29</v>
      </c>
      <c r="AC4433">
        <v>43.625499999999903</v>
      </c>
      <c r="AD4433">
        <v>-1.171184</v>
      </c>
      <c r="AE4433">
        <v>-11.225982999999999</v>
      </c>
      <c r="AF4433">
        <v>12.6955001608529</v>
      </c>
      <c r="AG4433">
        <v>-1.171184</v>
      </c>
      <c r="AH4433">
        <v>43.189010817664197</v>
      </c>
      <c r="AI4433">
        <v>91.490321964350699</v>
      </c>
      <c r="AJ4433">
        <v>73.619190342714603</v>
      </c>
      <c r="AK4433">
        <v>45.031522866814001</v>
      </c>
      <c r="AL4433">
        <v>77.777524283402897</v>
      </c>
      <c r="AM4433">
        <v>87.897991549024695</v>
      </c>
      <c r="AN4433">
        <v>1.0000000176812001</v>
      </c>
    </row>
    <row r="4434" spans="1:40" x14ac:dyDescent="0.25">
      <c r="A4434" t="str">
        <f>"20190303170859958"</f>
        <v>20190303170859958</v>
      </c>
      <c r="B4434" t="str">
        <f>"1551604139947708"</f>
        <v>1551604139947708</v>
      </c>
      <c r="C4434" t="s">
        <v>40</v>
      </c>
      <c r="D4434">
        <v>4.6000370000000004</v>
      </c>
      <c r="E4434">
        <v>0.60429350000000004</v>
      </c>
      <c r="F4434" t="s">
        <v>46</v>
      </c>
      <c r="G4434">
        <v>-287.21409999999997</v>
      </c>
      <c r="H4434">
        <v>-0.05</v>
      </c>
      <c r="I4434">
        <v>4.7351380000000001</v>
      </c>
      <c r="J4434">
        <v>-333.63630000000001</v>
      </c>
      <c r="K4434">
        <v>1.1211709999999999</v>
      </c>
      <c r="L4434">
        <v>16.885829999999999</v>
      </c>
      <c r="M4434">
        <v>0.99933799999999995</v>
      </c>
      <c r="N4434">
        <v>-1.293249E-2</v>
      </c>
      <c r="O4434">
        <v>3.400682E-2</v>
      </c>
      <c r="P4434">
        <v>0.97982789999999997</v>
      </c>
      <c r="Q4434">
        <v>0.19978270000000001</v>
      </c>
      <c r="R4434">
        <v>-4.90319E-3</v>
      </c>
      <c r="S4434">
        <v>3.0748899999999999</v>
      </c>
      <c r="T4434">
        <v>-7.7074530000000002E-2</v>
      </c>
      <c r="U4434">
        <v>-0.79895019999999894</v>
      </c>
      <c r="V4434">
        <v>3.8235409999999997E-2</v>
      </c>
      <c r="W4434">
        <v>0.2124259</v>
      </c>
      <c r="X4434">
        <v>0.97642890000000004</v>
      </c>
      <c r="Y4434">
        <v>0.28411960000000003</v>
      </c>
      <c r="Z4434">
        <v>-5.7768289999999998E-3</v>
      </c>
      <c r="AA4434">
        <v>0.9587715</v>
      </c>
      <c r="AB4434">
        <v>29</v>
      </c>
      <c r="AC4434">
        <v>46.422199999999997</v>
      </c>
      <c r="AD4434">
        <v>-1.171171</v>
      </c>
      <c r="AE4434">
        <v>-12.150691999999999</v>
      </c>
      <c r="AF4434">
        <v>13.714296896370101</v>
      </c>
      <c r="AG4434">
        <v>-1.171171</v>
      </c>
      <c r="AH4434">
        <v>45.954729851833697</v>
      </c>
      <c r="AI4434">
        <v>91.398944050579303</v>
      </c>
      <c r="AJ4434">
        <v>73.383287575733107</v>
      </c>
      <c r="AK4434">
        <v>47.971770622190299</v>
      </c>
      <c r="AL4434">
        <v>77.7354464793533</v>
      </c>
      <c r="AM4434">
        <v>87.757533692898406</v>
      </c>
      <c r="AN4434">
        <v>1.00000005316194</v>
      </c>
    </row>
    <row r="4435" spans="1:40" x14ac:dyDescent="0.25">
      <c r="A4435" t="str">
        <f>"20190303170859978"</f>
        <v>20190303170859978</v>
      </c>
      <c r="B4435" t="str">
        <f>"1551604139968205"</f>
        <v>1551604139968205</v>
      </c>
      <c r="C4435" t="s">
        <v>40</v>
      </c>
      <c r="D4435">
        <v>4.5626569999999997</v>
      </c>
      <c r="E4435">
        <v>0.60505259999999905</v>
      </c>
      <c r="F4435" t="s">
        <v>46</v>
      </c>
      <c r="G4435">
        <v>-285.06569999999999</v>
      </c>
      <c r="H4435">
        <v>-0.05</v>
      </c>
      <c r="I4435">
        <v>4.0574949999999896</v>
      </c>
      <c r="J4435">
        <v>-333.36470000000003</v>
      </c>
      <c r="K4435">
        <v>1.121148</v>
      </c>
      <c r="L4435">
        <v>16.895019999999999</v>
      </c>
      <c r="M4435">
        <v>0.99933959999999999</v>
      </c>
      <c r="N4435">
        <v>-1.295053E-2</v>
      </c>
      <c r="O4435">
        <v>3.3950000000000001E-2</v>
      </c>
      <c r="P4435">
        <v>0.97986499999999999</v>
      </c>
      <c r="Q4435">
        <v>0.19955919999999999</v>
      </c>
      <c r="R4435">
        <v>-6.3829009999999999E-3</v>
      </c>
      <c r="S4435">
        <v>3.0728149999999999</v>
      </c>
      <c r="T4435">
        <v>-7.4094060000000003E-2</v>
      </c>
      <c r="U4435">
        <v>-0.81158450000000004</v>
      </c>
      <c r="V4435">
        <v>3.967213E-2</v>
      </c>
      <c r="W4435">
        <v>0.21221799999999999</v>
      </c>
      <c r="X4435">
        <v>0.97641670000000003</v>
      </c>
      <c r="Y4435">
        <v>0.2879159</v>
      </c>
      <c r="Z4435">
        <v>-5.6821479999999997E-3</v>
      </c>
      <c r="AA4435">
        <v>0.95763880000000001</v>
      </c>
      <c r="AB4435">
        <v>29</v>
      </c>
      <c r="AC4435">
        <v>48.298999999999999</v>
      </c>
      <c r="AD4435">
        <v>-1.1711479999999901</v>
      </c>
      <c r="AE4435">
        <v>-12.837524999999999</v>
      </c>
      <c r="AF4435">
        <v>14.4620699165879</v>
      </c>
      <c r="AG4435">
        <v>-1.1711479999999901</v>
      </c>
      <c r="AH4435">
        <v>47.809027030474901</v>
      </c>
      <c r="AI4435">
        <v>91.343173860769397</v>
      </c>
      <c r="AJ4435">
        <v>73.169610525139504</v>
      </c>
      <c r="AK4435">
        <v>49.962246942174801</v>
      </c>
      <c r="AL4435">
        <v>77.747635099396206</v>
      </c>
      <c r="AM4435">
        <v>87.673333473592606</v>
      </c>
      <c r="AN4435">
        <v>0.99999996473081199</v>
      </c>
    </row>
    <row r="4436" spans="1:40" x14ac:dyDescent="0.25">
      <c r="A4436" t="str">
        <f>"20190303170900003"</f>
        <v>20190303170900003</v>
      </c>
      <c r="B4436" t="str">
        <f>"1551604139988541"</f>
        <v>1551604139988541</v>
      </c>
      <c r="C4436" t="s">
        <v>40</v>
      </c>
      <c r="D4436">
        <v>4.511209</v>
      </c>
      <c r="E4436">
        <v>0.60581870000000004</v>
      </c>
      <c r="F4436" t="s">
        <v>46</v>
      </c>
      <c r="G4436">
        <v>-284.38080000000002</v>
      </c>
      <c r="H4436">
        <v>-0.05</v>
      </c>
      <c r="I4436">
        <v>3.7855829999999999</v>
      </c>
      <c r="J4436">
        <v>-333.0591</v>
      </c>
      <c r="K4436">
        <v>1.1210990000000001</v>
      </c>
      <c r="L4436">
        <v>16.905270000000002</v>
      </c>
      <c r="M4436">
        <v>0.9993438</v>
      </c>
      <c r="N4436">
        <v>-1.297181E-2</v>
      </c>
      <c r="O4436">
        <v>3.3822530000000003E-2</v>
      </c>
      <c r="P4436">
        <v>0.98018539999999998</v>
      </c>
      <c r="Q4436">
        <v>0.19796340000000001</v>
      </c>
      <c r="R4436">
        <v>-6.8987469999999898E-3</v>
      </c>
      <c r="S4436">
        <v>3.0712890000000002</v>
      </c>
      <c r="T4436">
        <v>-7.3430899999999993E-2</v>
      </c>
      <c r="U4436">
        <v>-0.82196039999999904</v>
      </c>
      <c r="V4436">
        <v>4.0096619999999999E-2</v>
      </c>
      <c r="W4436">
        <v>0.2106423</v>
      </c>
      <c r="X4436">
        <v>0.97674050000000001</v>
      </c>
      <c r="Y4436">
        <v>0.29093200000000002</v>
      </c>
      <c r="Z4436">
        <v>-5.7020090000000001E-3</v>
      </c>
      <c r="AA4436">
        <v>0.95672670000000004</v>
      </c>
      <c r="AB4436">
        <v>29</v>
      </c>
      <c r="AC4436">
        <v>48.678299999999901</v>
      </c>
      <c r="AD4436">
        <v>-1.1710989999999999</v>
      </c>
      <c r="AE4436">
        <v>-13.1196869999999</v>
      </c>
      <c r="AF4436">
        <v>14.750781606099901</v>
      </c>
      <c r="AG4436">
        <v>-1.1710989999999999</v>
      </c>
      <c r="AH4436">
        <v>48.180668246059703</v>
      </c>
      <c r="AI4436">
        <v>91.331404230794504</v>
      </c>
      <c r="AJ4436">
        <v>72.977737506690502</v>
      </c>
      <c r="AK4436">
        <v>50.401724409939803</v>
      </c>
      <c r="AL4436">
        <v>77.840004205800895</v>
      </c>
      <c r="AM4436">
        <v>87.649244730319296</v>
      </c>
      <c r="AN4436">
        <v>0.999999960912481</v>
      </c>
    </row>
    <row r="4437" spans="1:40" x14ac:dyDescent="0.25">
      <c r="A4437" t="str">
        <f>"20190303170900026"</f>
        <v>20190303170900026</v>
      </c>
      <c r="B4437" t="str">
        <f>"1551604140017821"</f>
        <v>1551604140017821</v>
      </c>
      <c r="C4437" t="s">
        <v>40</v>
      </c>
      <c r="D4437">
        <v>4.5247380000000001</v>
      </c>
      <c r="E4437">
        <v>0.60679159999999999</v>
      </c>
      <c r="F4437" t="s">
        <v>46</v>
      </c>
      <c r="G4437">
        <v>-284.75490000000002</v>
      </c>
      <c r="H4437">
        <v>-0.05</v>
      </c>
      <c r="I4437">
        <v>3.816147</v>
      </c>
      <c r="J4437">
        <v>-332.74970000000002</v>
      </c>
      <c r="K4437">
        <v>1.1210260000000001</v>
      </c>
      <c r="L4437">
        <v>16.915589999999899</v>
      </c>
      <c r="M4437">
        <v>0.99935079999999998</v>
      </c>
      <c r="N4437">
        <v>-1.299169E-2</v>
      </c>
      <c r="O4437">
        <v>3.3602529999999999E-2</v>
      </c>
      <c r="P4437">
        <v>0.98049059999999999</v>
      </c>
      <c r="Q4437">
        <v>0.19640920000000001</v>
      </c>
      <c r="R4437">
        <v>-7.8567120000000001E-3</v>
      </c>
      <c r="S4437">
        <v>3.069855</v>
      </c>
      <c r="T4437">
        <v>-7.4426290000000006E-2</v>
      </c>
      <c r="U4437">
        <v>-0.83184809999999998</v>
      </c>
      <c r="V4437">
        <v>4.0884030000000002E-2</v>
      </c>
      <c r="W4437">
        <v>0.20910429999999999</v>
      </c>
      <c r="X4437">
        <v>0.97703830000000003</v>
      </c>
      <c r="Y4437">
        <v>0.29370069999999998</v>
      </c>
      <c r="Z4437">
        <v>-5.8113820000000004E-3</v>
      </c>
      <c r="AA4437">
        <v>0.9558797</v>
      </c>
      <c r="AB4437">
        <v>29</v>
      </c>
      <c r="AC4437">
        <v>47.994799999999998</v>
      </c>
      <c r="AD4437">
        <v>-1.1710259999999999</v>
      </c>
      <c r="AE4437">
        <v>-13.0994429999999</v>
      </c>
      <c r="AF4437">
        <v>14.6967844494855</v>
      </c>
      <c r="AG4437">
        <v>-1.1710259999999999</v>
      </c>
      <c r="AH4437">
        <v>47.501162455199697</v>
      </c>
      <c r="AI4437">
        <v>91.349128759144307</v>
      </c>
      <c r="AJ4437">
        <v>72.808015366930107</v>
      </c>
      <c r="AK4437">
        <v>49.736578185904499</v>
      </c>
      <c r="AL4437">
        <v>77.930132594692694</v>
      </c>
      <c r="AM4437">
        <v>87.603864065227597</v>
      </c>
      <c r="AN4437">
        <v>0.99999997592721002</v>
      </c>
    </row>
    <row r="4438" spans="1:40" x14ac:dyDescent="0.25">
      <c r="A4438" t="str">
        <f>"20190303170900050"</f>
        <v>20190303170900050</v>
      </c>
      <c r="B4438" t="str">
        <f>"1551604140038316"</f>
        <v>1551604140038316</v>
      </c>
      <c r="C4438" t="s">
        <v>40</v>
      </c>
      <c r="D4438">
        <v>4.5042429999999998</v>
      </c>
      <c r="E4438">
        <v>0.60735680000000003</v>
      </c>
      <c r="F4438" t="s">
        <v>46</v>
      </c>
      <c r="G4438">
        <v>-285.80079999999998</v>
      </c>
      <c r="H4438">
        <v>-0.05</v>
      </c>
      <c r="I4438">
        <v>4.0074620000000003</v>
      </c>
      <c r="J4438">
        <v>-332.44409999999999</v>
      </c>
      <c r="K4438">
        <v>1.1209370000000001</v>
      </c>
      <c r="L4438">
        <v>16.925509999999999</v>
      </c>
      <c r="M4438">
        <v>0.99936190000000003</v>
      </c>
      <c r="N4438">
        <v>-1.3009359999999999E-2</v>
      </c>
      <c r="O4438">
        <v>3.326084E-2</v>
      </c>
      <c r="P4438">
        <v>0.98035030000000001</v>
      </c>
      <c r="Q4438">
        <v>0.19699520000000001</v>
      </c>
      <c r="R4438">
        <v>-1.0294940000000001E-2</v>
      </c>
      <c r="S4438">
        <v>3.068298</v>
      </c>
      <c r="T4438">
        <v>-7.6531169999999996E-2</v>
      </c>
      <c r="U4438">
        <v>-0.84359740000000005</v>
      </c>
      <c r="V4438">
        <v>4.3027719999999998E-2</v>
      </c>
      <c r="W4438">
        <v>0.20969450000000001</v>
      </c>
      <c r="X4438">
        <v>0.97681980000000002</v>
      </c>
      <c r="Y4438">
        <v>0.29689339999999997</v>
      </c>
      <c r="Z4438">
        <v>-5.9923590000000001E-3</v>
      </c>
      <c r="AA4438">
        <v>0.95489179999999996</v>
      </c>
      <c r="AB4438">
        <v>29</v>
      </c>
      <c r="AC4438">
        <v>46.643300000000004</v>
      </c>
      <c r="AD4438">
        <v>-1.1709369999999999</v>
      </c>
      <c r="AE4438">
        <v>-12.918048000000001</v>
      </c>
      <c r="AF4438">
        <v>14.4539659657217</v>
      </c>
      <c r="AG4438">
        <v>-1.1709369999999999</v>
      </c>
      <c r="AH4438">
        <v>46.160767819311999</v>
      </c>
      <c r="AI4438">
        <v>91.386717968262801</v>
      </c>
      <c r="AJ4438">
        <v>72.613497925738699</v>
      </c>
      <c r="AK4438">
        <v>48.384963689814299</v>
      </c>
      <c r="AL4438">
        <v>77.895550780201106</v>
      </c>
      <c r="AM4438">
        <v>87.477821254600499</v>
      </c>
      <c r="AN4438">
        <v>1.0000000448453401</v>
      </c>
    </row>
    <row r="4439" spans="1:40" x14ac:dyDescent="0.25">
      <c r="A4439" t="str">
        <f>"20190303170900079"</f>
        <v>20190303170900079</v>
      </c>
      <c r="B4439" t="str">
        <f>"1551604140067597"</f>
        <v>1551604140067597</v>
      </c>
      <c r="C4439" t="s">
        <v>40</v>
      </c>
      <c r="D4439">
        <v>4.5212240000000001</v>
      </c>
      <c r="E4439">
        <v>0.61558690000000005</v>
      </c>
      <c r="F4439" t="s">
        <v>46</v>
      </c>
      <c r="G4439">
        <v>-283.89609999999999</v>
      </c>
      <c r="H4439">
        <v>-0.05</v>
      </c>
      <c r="I4439">
        <v>3.3875579999999998</v>
      </c>
      <c r="J4439">
        <v>-332.0421</v>
      </c>
      <c r="K4439">
        <v>1.120803</v>
      </c>
      <c r="L4439">
        <v>16.938110000000002</v>
      </c>
      <c r="M4439">
        <v>0.99938550000000004</v>
      </c>
      <c r="N4439">
        <v>-1.303036E-2</v>
      </c>
      <c r="O4439">
        <v>3.2542769999999999E-2</v>
      </c>
      <c r="P4439">
        <v>0.97973509999999997</v>
      </c>
      <c r="Q4439">
        <v>0.19989950000000001</v>
      </c>
      <c r="R4439">
        <v>-1.262713E-2</v>
      </c>
      <c r="S4439">
        <v>3.0660099999999999</v>
      </c>
      <c r="T4439">
        <v>-7.3949689999999998E-2</v>
      </c>
      <c r="U4439">
        <v>-0.85498050000000003</v>
      </c>
      <c r="V4439">
        <v>4.4712269999999998E-2</v>
      </c>
      <c r="W4439">
        <v>0.21259359999999999</v>
      </c>
      <c r="X4439">
        <v>0.97611720000000002</v>
      </c>
      <c r="Y4439">
        <v>0.29968709999999998</v>
      </c>
      <c r="Z4439">
        <v>-5.8907219999999897E-3</v>
      </c>
      <c r="AA4439">
        <v>0.95401939999999996</v>
      </c>
      <c r="AB4439">
        <v>29</v>
      </c>
      <c r="AC4439">
        <v>48.146000000000001</v>
      </c>
      <c r="AD4439">
        <v>-1.170803</v>
      </c>
      <c r="AE4439">
        <v>-13.550552</v>
      </c>
      <c r="AF4439">
        <v>15.1020355792958</v>
      </c>
      <c r="AG4439">
        <v>-1.170803</v>
      </c>
      <c r="AH4439">
        <v>47.653373324921503</v>
      </c>
      <c r="AI4439">
        <v>91.341687224623897</v>
      </c>
      <c r="AJ4439">
        <v>72.415846760546103</v>
      </c>
      <c r="AK4439">
        <v>50.002862393541797</v>
      </c>
      <c r="AL4439">
        <v>77.725612803751901</v>
      </c>
      <c r="AM4439">
        <v>87.377328393587803</v>
      </c>
      <c r="AN4439">
        <v>1.00000000699267</v>
      </c>
    </row>
    <row r="4440" spans="1:40" x14ac:dyDescent="0.25">
      <c r="A4440" t="str">
        <f>"20190303170900103"</f>
        <v>20190303170900103</v>
      </c>
      <c r="B4440" t="str">
        <f>"1551604140097690"</f>
        <v>1551604140097690</v>
      </c>
      <c r="C4440" t="s">
        <v>40</v>
      </c>
      <c r="D4440">
        <v>4.5012220000000003</v>
      </c>
      <c r="E4440">
        <v>0.61629299999999998</v>
      </c>
      <c r="F4440" t="s">
        <v>99</v>
      </c>
      <c r="G4440">
        <v>-279.02</v>
      </c>
      <c r="H4440">
        <v>0.29350229999999999</v>
      </c>
      <c r="I4440">
        <v>0.83418269999999906</v>
      </c>
      <c r="J4440">
        <v>-331.74099999999999</v>
      </c>
      <c r="K4440">
        <v>1.1206989999999999</v>
      </c>
      <c r="L4440">
        <v>16.947199999999999</v>
      </c>
      <c r="M4440">
        <v>0.99940759999999995</v>
      </c>
      <c r="N4440">
        <v>-1.3044429999999999E-2</v>
      </c>
      <c r="O4440">
        <v>3.1846899999999997E-2</v>
      </c>
      <c r="P4440">
        <v>0.97957119999999998</v>
      </c>
      <c r="Q4440">
        <v>0.200628</v>
      </c>
      <c r="R4440">
        <v>-1.372717E-2</v>
      </c>
      <c r="S4440">
        <v>3.0597840000000001</v>
      </c>
      <c r="T4440">
        <v>-4.7741649999999997E-2</v>
      </c>
      <c r="U4440">
        <v>-0.92932130000000002</v>
      </c>
      <c r="V4440">
        <v>4.5182590000000002E-2</v>
      </c>
      <c r="W4440">
        <v>0.21332129999999999</v>
      </c>
      <c r="X4440">
        <v>0.97593680000000005</v>
      </c>
      <c r="Y4440">
        <v>0.32087199999999999</v>
      </c>
      <c r="Z4440">
        <v>-4.6677999999999997E-3</v>
      </c>
      <c r="AA4440">
        <v>0.94711109999999998</v>
      </c>
      <c r="AB4440">
        <v>29</v>
      </c>
      <c r="AC4440">
        <v>52.720999999999997</v>
      </c>
      <c r="AD4440">
        <v>-0.82719669999999901</v>
      </c>
      <c r="AE4440">
        <v>-16.113017299999999</v>
      </c>
      <c r="AF4440">
        <v>17.779982933283701</v>
      </c>
      <c r="AG4440">
        <v>-0.82719669999999901</v>
      </c>
      <c r="AH4440">
        <v>52.169314042622901</v>
      </c>
      <c r="AI4440">
        <v>90.859848078263795</v>
      </c>
      <c r="AJ4440">
        <v>71.180220028756807</v>
      </c>
      <c r="AK4440">
        <v>55.122131446145701</v>
      </c>
      <c r="AL4440">
        <v>77.6829402282156</v>
      </c>
      <c r="AM4440">
        <v>87.349290940816701</v>
      </c>
      <c r="AN4440">
        <v>1.0000000405335101</v>
      </c>
    </row>
    <row r="4441" spans="1:40" x14ac:dyDescent="0.25">
      <c r="A4441" t="str">
        <f>"20190303170900125"</f>
        <v>20190303170900125</v>
      </c>
      <c r="B4441" t="str">
        <f>"1551604140118186"</f>
        <v>1551604140118186</v>
      </c>
      <c r="C4441" t="s">
        <v>40</v>
      </c>
      <c r="D4441">
        <v>4.4695450000000001</v>
      </c>
      <c r="E4441">
        <v>0.616784</v>
      </c>
      <c r="F4441" t="s">
        <v>99</v>
      </c>
      <c r="G4441">
        <v>-279.02</v>
      </c>
      <c r="H4441">
        <v>0.38865040000000001</v>
      </c>
      <c r="I4441">
        <v>0.74915699999999996</v>
      </c>
      <c r="J4441">
        <v>-331.43959999999998</v>
      </c>
      <c r="K4441">
        <v>1.1205799999999999</v>
      </c>
      <c r="L4441">
        <v>16.955870000000001</v>
      </c>
      <c r="M4441">
        <v>0.99943490000000001</v>
      </c>
      <c r="N4441">
        <v>-1.3057020000000001E-2</v>
      </c>
      <c r="O4441">
        <v>3.097687E-2</v>
      </c>
      <c r="P4441">
        <v>0.97959019999999997</v>
      </c>
      <c r="Q4441">
        <v>0.2003076</v>
      </c>
      <c r="R4441">
        <v>-1.6738039999999999E-2</v>
      </c>
      <c r="S4441">
        <v>3.0581049999999999</v>
      </c>
      <c r="T4441">
        <v>-4.246283E-2</v>
      </c>
      <c r="U4441">
        <v>-0.93957520000000005</v>
      </c>
      <c r="V4441">
        <v>4.7401539999999999E-2</v>
      </c>
      <c r="W4441">
        <v>0.21299660000000001</v>
      </c>
      <c r="X4441">
        <v>0.97590239999999995</v>
      </c>
      <c r="Y4441">
        <v>0.32310640000000002</v>
      </c>
      <c r="Z4441">
        <v>-4.375706E-3</v>
      </c>
      <c r="AA4441">
        <v>0.94635250000000004</v>
      </c>
      <c r="AB4441">
        <v>29</v>
      </c>
      <c r="AC4441">
        <v>52.419600000000003</v>
      </c>
      <c r="AD4441">
        <v>-0.73192959999999896</v>
      </c>
      <c r="AE4441">
        <v>-16.206713000000001</v>
      </c>
      <c r="AF4441">
        <v>17.819696470304802</v>
      </c>
      <c r="AG4441">
        <v>-0.73192959999999896</v>
      </c>
      <c r="AH4441">
        <v>51.883130901889601</v>
      </c>
      <c r="AI4441">
        <v>90.764409639137</v>
      </c>
      <c r="AJ4441">
        <v>71.044536037588699</v>
      </c>
      <c r="AK4441">
        <v>54.862888872313</v>
      </c>
      <c r="AL4441">
        <v>77.701980982677796</v>
      </c>
      <c r="AM4441">
        <v>87.219214363809002</v>
      </c>
      <c r="AN4441">
        <v>0.999999975965845</v>
      </c>
    </row>
    <row r="4442" spans="1:40" x14ac:dyDescent="0.25">
      <c r="A4442" t="str">
        <f>"20190303170900147"</f>
        <v>20190303170900147</v>
      </c>
      <c r="B4442" t="str">
        <f>"1551604140137706"</f>
        <v>1551604140137706</v>
      </c>
      <c r="C4442" t="s">
        <v>40</v>
      </c>
      <c r="D4442">
        <v>4.5289000000000001</v>
      </c>
      <c r="E4442">
        <v>0.61703640000000004</v>
      </c>
      <c r="F4442" t="s">
        <v>99</v>
      </c>
      <c r="G4442">
        <v>-279.02</v>
      </c>
      <c r="H4442">
        <v>0.38781120000000002</v>
      </c>
      <c r="I4442">
        <v>0.60240749999999998</v>
      </c>
      <c r="J4442">
        <v>-331.15719999999999</v>
      </c>
      <c r="K4442">
        <v>1.1204540000000001</v>
      </c>
      <c r="L4442">
        <v>16.963619999999999</v>
      </c>
      <c r="M4442">
        <v>0.99946520000000005</v>
      </c>
      <c r="N4442">
        <v>-1.3067799999999999E-2</v>
      </c>
      <c r="O4442">
        <v>2.9977440000000001E-2</v>
      </c>
      <c r="P4442">
        <v>0.97956310000000002</v>
      </c>
      <c r="Q4442">
        <v>0.2000479</v>
      </c>
      <c r="R4442">
        <v>-2.0908079999999999E-2</v>
      </c>
      <c r="S4442">
        <v>3.0549620000000002</v>
      </c>
      <c r="T4442">
        <v>-4.2705060000000003E-2</v>
      </c>
      <c r="U4442">
        <v>-0.95306400000000002</v>
      </c>
      <c r="V4442">
        <v>5.0655810000000003E-2</v>
      </c>
      <c r="W4442">
        <v>0.21272540000000001</v>
      </c>
      <c r="X4442">
        <v>0.9757981</v>
      </c>
      <c r="Y4442">
        <v>0.32624300000000001</v>
      </c>
      <c r="Z4442">
        <v>-4.4361169999999998E-3</v>
      </c>
      <c r="AA4442">
        <v>0.94527550000000005</v>
      </c>
      <c r="AB4442">
        <v>29</v>
      </c>
      <c r="AC4442">
        <v>52.1372</v>
      </c>
      <c r="AD4442">
        <v>-0.73264280000000004</v>
      </c>
      <c r="AE4442">
        <v>-16.361212500000001</v>
      </c>
      <c r="AF4442">
        <v>17.913711082444699</v>
      </c>
      <c r="AG4442">
        <v>-0.73264280000000004</v>
      </c>
      <c r="AH4442">
        <v>51.613976905688702</v>
      </c>
      <c r="AI4442">
        <v>90.768287431892006</v>
      </c>
      <c r="AJ4442">
        <v>70.859598546541406</v>
      </c>
      <c r="AK4442">
        <v>54.6391839455775</v>
      </c>
      <c r="AL4442">
        <v>77.717884599517703</v>
      </c>
      <c r="AM4442">
        <v>87.0283185025542</v>
      </c>
      <c r="AN4442">
        <v>1.0000000194277601</v>
      </c>
    </row>
    <row r="4443" spans="1:40" x14ac:dyDescent="0.25">
      <c r="A4443" t="str">
        <f>"20190303170900169"</f>
        <v>20190303170900169</v>
      </c>
      <c r="B4443" t="str">
        <f>"1551604140158201"</f>
        <v>1551604140158201</v>
      </c>
      <c r="C4443" t="s">
        <v>40</v>
      </c>
      <c r="D4443">
        <v>4.5381099999999996</v>
      </c>
      <c r="E4443">
        <v>0.61731210000000003</v>
      </c>
      <c r="F4443" t="s">
        <v>99</v>
      </c>
      <c r="G4443">
        <v>-279.02</v>
      </c>
      <c r="H4443">
        <v>0.31741239999999998</v>
      </c>
      <c r="I4443">
        <v>0.43359379999999997</v>
      </c>
      <c r="J4443">
        <v>-330.87270000000001</v>
      </c>
      <c r="K4443">
        <v>1.1203190000000001</v>
      </c>
      <c r="L4443">
        <v>16.970979999999901</v>
      </c>
      <c r="M4443">
        <v>0.99950000000000006</v>
      </c>
      <c r="N4443">
        <v>-1.307815E-2</v>
      </c>
      <c r="O4443">
        <v>2.8788609999999999E-2</v>
      </c>
      <c r="P4443">
        <v>0.97930660000000003</v>
      </c>
      <c r="Q4443">
        <v>0.20089509999999999</v>
      </c>
      <c r="R4443">
        <v>-2.4492469999999999E-2</v>
      </c>
      <c r="S4443">
        <v>3.0515750000000001</v>
      </c>
      <c r="T4443">
        <v>-4.7001840000000003E-2</v>
      </c>
      <c r="U4443">
        <v>-0.96749879999999999</v>
      </c>
      <c r="V4443">
        <v>5.3142849999999998E-2</v>
      </c>
      <c r="W4443">
        <v>0.21355569999999999</v>
      </c>
      <c r="X4443">
        <v>0.97548440000000003</v>
      </c>
      <c r="Y4443">
        <v>0.32947369999999998</v>
      </c>
      <c r="Z4443">
        <v>-4.7489300000000002E-3</v>
      </c>
      <c r="AA4443">
        <v>0.94415280000000001</v>
      </c>
      <c r="AB4443">
        <v>29</v>
      </c>
      <c r="AC4443">
        <v>51.852699999999999</v>
      </c>
      <c r="AD4443">
        <v>-0.80290660000000003</v>
      </c>
      <c r="AE4443">
        <v>-16.537386199999901</v>
      </c>
      <c r="AF4443">
        <v>18.019503853247102</v>
      </c>
      <c r="AG4443">
        <v>-0.80290660000000003</v>
      </c>
      <c r="AH4443">
        <v>51.3439015195788</v>
      </c>
      <c r="AI4443">
        <v>90.845365201692005</v>
      </c>
      <c r="AJ4443">
        <v>70.661118009771002</v>
      </c>
      <c r="AK4443">
        <v>54.420064327210397</v>
      </c>
      <c r="AL4443">
        <v>77.6691929021585</v>
      </c>
      <c r="AM4443">
        <v>86.881698887566699</v>
      </c>
      <c r="AN4443">
        <v>1.00000000707598</v>
      </c>
    </row>
    <row r="4444" spans="1:40" x14ac:dyDescent="0.25">
      <c r="A4444" t="str">
        <f>"20190303170900191"</f>
        <v>20190303170900191</v>
      </c>
      <c r="B4444" t="str">
        <f>"1551604140177722"</f>
        <v>1551604140177722</v>
      </c>
      <c r="C4444" t="s">
        <v>40</v>
      </c>
      <c r="D4444">
        <v>4.5587390000000001</v>
      </c>
      <c r="E4444">
        <v>0.61764730000000001</v>
      </c>
      <c r="F4444" t="s">
        <v>99</v>
      </c>
      <c r="G4444">
        <v>-279.02</v>
      </c>
      <c r="H4444">
        <v>0.33711219999999997</v>
      </c>
      <c r="I4444">
        <v>0.27766420000000003</v>
      </c>
      <c r="J4444">
        <v>-330.58620000000002</v>
      </c>
      <c r="K4444">
        <v>1.120177</v>
      </c>
      <c r="L4444">
        <v>16.97775</v>
      </c>
      <c r="M4444">
        <v>0.99953899999999996</v>
      </c>
      <c r="N4444">
        <v>-1.3087669999999999E-2</v>
      </c>
      <c r="O4444">
        <v>2.7399880000000001E-2</v>
      </c>
      <c r="P4444">
        <v>0.97890310000000003</v>
      </c>
      <c r="Q4444">
        <v>0.20239209999999999</v>
      </c>
      <c r="R4444">
        <v>-2.804361E-2</v>
      </c>
      <c r="S4444">
        <v>3.048279</v>
      </c>
      <c r="T4444">
        <v>-4.6042560000000003E-2</v>
      </c>
      <c r="U4444">
        <v>-0.98135380000000005</v>
      </c>
      <c r="V4444">
        <v>5.5403750000000002E-2</v>
      </c>
      <c r="W4444">
        <v>0.21503120000000001</v>
      </c>
      <c r="X4444">
        <v>0.97503439999999997</v>
      </c>
      <c r="Y4444">
        <v>0.33234940000000002</v>
      </c>
      <c r="Z4444">
        <v>-4.7313650000000004E-3</v>
      </c>
      <c r="AA4444">
        <v>0.94314439999999999</v>
      </c>
      <c r="AB4444">
        <v>29</v>
      </c>
      <c r="AC4444">
        <v>51.566200000000002</v>
      </c>
      <c r="AD4444">
        <v>-0.78306480000000001</v>
      </c>
      <c r="AE4444">
        <v>-16.7000858</v>
      </c>
      <c r="AF4444">
        <v>18.103064924442599</v>
      </c>
      <c r="AG4444">
        <v>-0.78306480000000001</v>
      </c>
      <c r="AH4444">
        <v>51.078556081605299</v>
      </c>
      <c r="AI4444">
        <v>90.827860901727405</v>
      </c>
      <c r="AJ4444">
        <v>70.484851577591101</v>
      </c>
      <c r="AK4444">
        <v>54.197352716911197</v>
      </c>
      <c r="AL4444">
        <v>77.582642718571805</v>
      </c>
      <c r="AM4444">
        <v>86.747816111089193</v>
      </c>
      <c r="AN4444">
        <v>1.00000003683543</v>
      </c>
    </row>
    <row r="4445" spans="1:40" x14ac:dyDescent="0.25">
      <c r="A4445" t="str">
        <f>"20190303170900214"</f>
        <v>20190303170900214</v>
      </c>
      <c r="B4445" t="str">
        <f>"1551604140207978"</f>
        <v>1551604140207978</v>
      </c>
      <c r="C4445" t="s">
        <v>40</v>
      </c>
      <c r="D4445">
        <v>4.5818209999999997</v>
      </c>
      <c r="E4445">
        <v>0.6180831</v>
      </c>
      <c r="F4445" t="s">
        <v>99</v>
      </c>
      <c r="G4445">
        <v>-279.02</v>
      </c>
      <c r="H4445">
        <v>0.36027890000000001</v>
      </c>
      <c r="I4445">
        <v>0.13333889999999901</v>
      </c>
      <c r="J4445">
        <v>-330.27539999999999</v>
      </c>
      <c r="K4445">
        <v>1.1200399999999999</v>
      </c>
      <c r="L4445">
        <v>16.984470000000002</v>
      </c>
      <c r="M4445">
        <v>0.99958320000000001</v>
      </c>
      <c r="N4445">
        <v>-1.3096689999999999E-2</v>
      </c>
      <c r="O4445">
        <v>2.5727110000000001E-2</v>
      </c>
      <c r="P4445">
        <v>0.97862300000000002</v>
      </c>
      <c r="Q4445">
        <v>0.20304469999999999</v>
      </c>
      <c r="R4445">
        <v>-3.2709460000000003E-2</v>
      </c>
      <c r="S4445">
        <v>3.0454409999999998</v>
      </c>
      <c r="T4445">
        <v>-4.4878719999999997E-2</v>
      </c>
      <c r="U4445">
        <v>-0.99481200000000003</v>
      </c>
      <c r="V4445">
        <v>5.8500160000000002E-2</v>
      </c>
      <c r="W4445">
        <v>0.2156612</v>
      </c>
      <c r="X4445">
        <v>0.97471430000000003</v>
      </c>
      <c r="Y4445">
        <v>0.33479930000000002</v>
      </c>
      <c r="Z4445">
        <v>-4.6942360000000001E-3</v>
      </c>
      <c r="AA4445">
        <v>0.94227780000000005</v>
      </c>
      <c r="AB4445">
        <v>29</v>
      </c>
      <c r="AC4445">
        <v>51.255400000000002</v>
      </c>
      <c r="AD4445">
        <v>-0.75976109999999997</v>
      </c>
      <c r="AE4445">
        <v>-16.8511311</v>
      </c>
      <c r="AF4445">
        <v>18.160717816005999</v>
      </c>
      <c r="AG4445">
        <v>-0.75976109999999997</v>
      </c>
      <c r="AH4445">
        <v>50.794791527759401</v>
      </c>
      <c r="AI4445">
        <v>90.806919590125801</v>
      </c>
      <c r="AJ4445">
        <v>70.326449930693101</v>
      </c>
      <c r="AK4445">
        <v>53.949047766111697</v>
      </c>
      <c r="AL4445">
        <v>77.545678591199604</v>
      </c>
      <c r="AM4445">
        <v>86.565356238508599</v>
      </c>
      <c r="AN4445">
        <v>0.99999999426497699</v>
      </c>
    </row>
    <row r="4446" spans="1:40" x14ac:dyDescent="0.25">
      <c r="A4446" t="str">
        <f>"20190303170900238"</f>
        <v>20190303170900238</v>
      </c>
      <c r="B4446" t="str">
        <f>"1551604140228474"</f>
        <v>1551604140228474</v>
      </c>
      <c r="C4446" t="s">
        <v>40</v>
      </c>
      <c r="D4446">
        <v>4.5467190000000004</v>
      </c>
      <c r="E4446">
        <v>0.61821550000000003</v>
      </c>
      <c r="F4446" t="s">
        <v>99</v>
      </c>
      <c r="G4446">
        <v>-279.02</v>
      </c>
      <c r="H4446">
        <v>0.33063999999999999</v>
      </c>
      <c r="I4446">
        <v>-6.2429430000000001E-2</v>
      </c>
      <c r="J4446">
        <v>-329.9674</v>
      </c>
      <c r="K4446">
        <v>1.11992</v>
      </c>
      <c r="L4446">
        <v>16.990449999999999</v>
      </c>
      <c r="M4446">
        <v>0.99962819999999997</v>
      </c>
      <c r="N4446">
        <v>-1.310397E-2</v>
      </c>
      <c r="O4446">
        <v>2.3911499999999999E-2</v>
      </c>
      <c r="P4446">
        <v>0.97855360000000002</v>
      </c>
      <c r="Q4446">
        <v>0.20253499999999999</v>
      </c>
      <c r="R4446">
        <v>-3.7583279999999997E-2</v>
      </c>
      <c r="S4446">
        <v>3.0414119999999998</v>
      </c>
      <c r="T4446">
        <v>-4.684174E-2</v>
      </c>
      <c r="U4446">
        <v>-1.011536</v>
      </c>
      <c r="V4446">
        <v>6.1656530000000001E-2</v>
      </c>
      <c r="W4446">
        <v>0.21513080000000001</v>
      </c>
      <c r="X4446">
        <v>0.97463699999999998</v>
      </c>
      <c r="Y4446">
        <v>0.33812179999999997</v>
      </c>
      <c r="Z4446">
        <v>-4.8632069999999996E-3</v>
      </c>
      <c r="AA4446">
        <v>0.94108979999999998</v>
      </c>
      <c r="AB4446">
        <v>29</v>
      </c>
      <c r="AC4446">
        <v>50.947400000000002</v>
      </c>
      <c r="AD4446">
        <v>-0.78927999999999998</v>
      </c>
      <c r="AE4446">
        <v>-17.052879430000001</v>
      </c>
      <c r="AF4446">
        <v>18.262394709696601</v>
      </c>
      <c r="AG4446">
        <v>-0.78927999999999998</v>
      </c>
      <c r="AH4446">
        <v>50.514133472521699</v>
      </c>
      <c r="AI4446">
        <v>90.841850667916503</v>
      </c>
      <c r="AJ4446">
        <v>70.123536474671099</v>
      </c>
      <c r="AK4446">
        <v>53.719788755456698</v>
      </c>
      <c r="AL4446">
        <v>77.576799281478003</v>
      </c>
      <c r="AM4446">
        <v>86.380234163212506</v>
      </c>
      <c r="AN4446">
        <v>1.0000000352846301</v>
      </c>
    </row>
    <row r="4447" spans="1:40" x14ac:dyDescent="0.25">
      <c r="A4447" t="str">
        <f>"20190303170900258"</f>
        <v>20190303170900258</v>
      </c>
      <c r="B4447" t="str">
        <f>"1551604140247995"</f>
        <v>1551604140247995</v>
      </c>
      <c r="C4447" t="s">
        <v>40</v>
      </c>
      <c r="D4447">
        <v>4.608276</v>
      </c>
      <c r="E4447">
        <v>0.61836380000000002</v>
      </c>
      <c r="F4447" t="s">
        <v>99</v>
      </c>
      <c r="G4447">
        <v>-279.02</v>
      </c>
      <c r="H4447">
        <v>0.25122119999999998</v>
      </c>
      <c r="I4447">
        <v>-0.22820090000000001</v>
      </c>
      <c r="J4447">
        <v>-329.6995</v>
      </c>
      <c r="K4447">
        <v>1.119823</v>
      </c>
      <c r="L4447">
        <v>16.995059999999999</v>
      </c>
      <c r="M4447">
        <v>0.99966739999999998</v>
      </c>
      <c r="N4447">
        <v>-1.310966E-2</v>
      </c>
      <c r="O4447">
        <v>2.220726E-2</v>
      </c>
      <c r="P4447">
        <v>0.9787382</v>
      </c>
      <c r="Q4447">
        <v>0.20095170000000001</v>
      </c>
      <c r="R4447">
        <v>-4.1104309999999998E-2</v>
      </c>
      <c r="S4447">
        <v>3.037048</v>
      </c>
      <c r="T4447">
        <v>-5.1784400000000001E-2</v>
      </c>
      <c r="U4447">
        <v>-1.0264279999999999</v>
      </c>
      <c r="V4447">
        <v>6.3557600000000006E-2</v>
      </c>
      <c r="W4447">
        <v>0.21353559999999999</v>
      </c>
      <c r="X4447">
        <v>0.9748656</v>
      </c>
      <c r="Y4447">
        <v>0.34105600000000003</v>
      </c>
      <c r="Z4447">
        <v>-5.2109280000000001E-3</v>
      </c>
      <c r="AA4447">
        <v>0.94002850000000004</v>
      </c>
      <c r="AB4447">
        <v>29</v>
      </c>
      <c r="AC4447">
        <v>50.679499999999997</v>
      </c>
      <c r="AD4447">
        <v>-0.86860179999999998</v>
      </c>
      <c r="AE4447">
        <v>-17.2232609</v>
      </c>
      <c r="AF4447">
        <v>18.339732810220799</v>
      </c>
      <c r="AG4447">
        <v>-0.86860179999999998</v>
      </c>
      <c r="AH4447">
        <v>50.271247193408598</v>
      </c>
      <c r="AI4447">
        <v>90.929936475287803</v>
      </c>
      <c r="AJ4447">
        <v>69.957244070589297</v>
      </c>
      <c r="AK4447">
        <v>53.519142024308003</v>
      </c>
      <c r="AL4447">
        <v>77.670371394410793</v>
      </c>
      <c r="AM4447">
        <v>86.269808089691693</v>
      </c>
      <c r="AN4447">
        <v>0.99999997952423902</v>
      </c>
    </row>
    <row r="4448" spans="1:40" x14ac:dyDescent="0.25">
      <c r="A4448" t="str">
        <f>"20190303170900281"</f>
        <v>20190303170900281</v>
      </c>
      <c r="B4448" t="str">
        <f>"1551604140268489"</f>
        <v>1551604140268489</v>
      </c>
      <c r="C4448" t="s">
        <v>40</v>
      </c>
      <c r="D4448">
        <v>4.6002890000000001</v>
      </c>
      <c r="E4448">
        <v>0.61853150000000001</v>
      </c>
      <c r="F4448" t="s">
        <v>99</v>
      </c>
      <c r="G4448">
        <v>-279.02</v>
      </c>
      <c r="H4448">
        <v>0.1682997</v>
      </c>
      <c r="I4448">
        <v>-0.35324860000000002</v>
      </c>
      <c r="J4448">
        <v>-329.40190000000001</v>
      </c>
      <c r="K4448">
        <v>1.119715</v>
      </c>
      <c r="L4448">
        <v>16.999569999999999</v>
      </c>
      <c r="M4448">
        <v>0.99971010000000005</v>
      </c>
      <c r="N4448">
        <v>-1.311557E-2</v>
      </c>
      <c r="O4448">
        <v>2.0188910000000001E-2</v>
      </c>
      <c r="P4448">
        <v>0.97886669999999998</v>
      </c>
      <c r="Q4448">
        <v>0.19954079999999999</v>
      </c>
      <c r="R4448">
        <v>-4.4760670000000002E-2</v>
      </c>
      <c r="S4448">
        <v>3.033264</v>
      </c>
      <c r="T4448">
        <v>-5.6950569999999999E-2</v>
      </c>
      <c r="U4448">
        <v>-1.03833</v>
      </c>
      <c r="V4448">
        <v>6.5286979999999994E-2</v>
      </c>
      <c r="W4448">
        <v>0.21211179999999999</v>
      </c>
      <c r="X4448">
        <v>0.97506210000000004</v>
      </c>
      <c r="Y4448">
        <v>0.34280500000000003</v>
      </c>
      <c r="Z4448">
        <v>-5.5510510000000004E-3</v>
      </c>
      <c r="AA4448">
        <v>0.93939019999999995</v>
      </c>
      <c r="AB4448">
        <v>29</v>
      </c>
      <c r="AC4448">
        <v>50.381900000000002</v>
      </c>
      <c r="AD4448">
        <v>-0.95141529999999996</v>
      </c>
      <c r="AE4448">
        <v>-17.352818599999999</v>
      </c>
      <c r="AF4448">
        <v>18.360671185455701</v>
      </c>
      <c r="AG4448">
        <v>-0.95141529999999996</v>
      </c>
      <c r="AH4448">
        <v>50.005323694367803</v>
      </c>
      <c r="AI4448">
        <v>91.023216261951404</v>
      </c>
      <c r="AJ4448">
        <v>69.838060985392403</v>
      </c>
      <c r="AK4448">
        <v>53.278061481551703</v>
      </c>
      <c r="AL4448">
        <v>77.753861509804196</v>
      </c>
      <c r="AM4448">
        <v>86.169379018244996</v>
      </c>
      <c r="AN4448">
        <v>0.99999995215658399</v>
      </c>
    </row>
    <row r="4449" spans="1:40" x14ac:dyDescent="0.25">
      <c r="A4449" t="str">
        <f>"20190303170900304"</f>
        <v>20190303170900304</v>
      </c>
      <c r="B4449" t="str">
        <f>"1551604140297770"</f>
        <v>1551604140297770</v>
      </c>
      <c r="C4449" t="s">
        <v>40</v>
      </c>
      <c r="D4449">
        <v>4.6294250000000003</v>
      </c>
      <c r="E4449">
        <v>0.61875609999999903</v>
      </c>
      <c r="F4449" t="s">
        <v>46</v>
      </c>
      <c r="G4449">
        <v>-272.0607</v>
      </c>
      <c r="H4449">
        <v>-0.05</v>
      </c>
      <c r="I4449">
        <v>-2.8976289999999998</v>
      </c>
      <c r="J4449">
        <v>-329.1078</v>
      </c>
      <c r="K4449">
        <v>1.119621</v>
      </c>
      <c r="L4449">
        <v>17.003270000000001</v>
      </c>
      <c r="M4449">
        <v>0.99975040000000004</v>
      </c>
      <c r="N4449">
        <v>-1.3120980000000001E-2</v>
      </c>
      <c r="O4449">
        <v>1.8081340000000001E-2</v>
      </c>
      <c r="P4449">
        <v>0.97855029999999998</v>
      </c>
      <c r="Q4449">
        <v>0.20030809999999999</v>
      </c>
      <c r="R4449">
        <v>-4.8127209999999997E-2</v>
      </c>
      <c r="S4449">
        <v>3.0293580000000002</v>
      </c>
      <c r="T4449">
        <v>-6.1796549999999999E-2</v>
      </c>
      <c r="U4449">
        <v>-1.0511779999999999</v>
      </c>
      <c r="V4449">
        <v>6.6636669999999995E-2</v>
      </c>
      <c r="W4449">
        <v>0.21286099999999999</v>
      </c>
      <c r="X4449">
        <v>0.9748076</v>
      </c>
      <c r="Y4449">
        <v>0.34474159999999998</v>
      </c>
      <c r="Z4449">
        <v>-5.8706510000000002E-3</v>
      </c>
      <c r="AA4449">
        <v>0.93867929999999999</v>
      </c>
      <c r="AB4449">
        <v>29</v>
      </c>
      <c r="AC4449">
        <v>57.0471</v>
      </c>
      <c r="AD4449">
        <v>-1.169621</v>
      </c>
      <c r="AE4449">
        <v>-19.900898999999999</v>
      </c>
      <c r="AF4449">
        <v>20.921381461391299</v>
      </c>
      <c r="AG4449">
        <v>-1.169621</v>
      </c>
      <c r="AH4449">
        <v>56.6566739920411</v>
      </c>
      <c r="AI4449">
        <v>91.109442930640697</v>
      </c>
      <c r="AJ4449">
        <v>69.732527859432494</v>
      </c>
      <c r="AK4449">
        <v>60.407374743296998</v>
      </c>
      <c r="AL4449">
        <v>77.709933615058702</v>
      </c>
      <c r="AM4449">
        <v>86.089413443856799</v>
      </c>
      <c r="AN4449">
        <v>1.0000000540637199</v>
      </c>
    </row>
    <row r="4450" spans="1:40" x14ac:dyDescent="0.25">
      <c r="A4450" t="str">
        <f>"20190303170900328"</f>
        <v>20190303170900328</v>
      </c>
      <c r="B4450" t="str">
        <f>"1551604140318266"</f>
        <v>1551604140318266</v>
      </c>
      <c r="C4450" t="s">
        <v>40</v>
      </c>
      <c r="D4450">
        <v>4.6417919999999997</v>
      </c>
      <c r="E4450">
        <v>0.61887239999999999</v>
      </c>
      <c r="F4450" t="s">
        <v>46</v>
      </c>
      <c r="G4450">
        <v>-272.16180000000003</v>
      </c>
      <c r="H4450">
        <v>-0.05</v>
      </c>
      <c r="I4450">
        <v>-2.9869840000000001</v>
      </c>
      <c r="J4450">
        <v>-328.7996</v>
      </c>
      <c r="K4450">
        <v>1.1195269999999999</v>
      </c>
      <c r="L4450">
        <v>17.006409999999999</v>
      </c>
      <c r="M4450">
        <v>0.9997897</v>
      </c>
      <c r="N4450">
        <v>-1.3126280000000001E-2</v>
      </c>
      <c r="O4450">
        <v>1.5764819999999999E-2</v>
      </c>
      <c r="P4450">
        <v>0.97818570000000005</v>
      </c>
      <c r="Q4450">
        <v>0.20119670000000001</v>
      </c>
      <c r="R4450">
        <v>-5.1700669999999997E-2</v>
      </c>
      <c r="S4450">
        <v>3.0262150000000001</v>
      </c>
      <c r="T4450">
        <v>-6.2155719999999998E-2</v>
      </c>
      <c r="U4450">
        <v>-1.062317</v>
      </c>
      <c r="V4450">
        <v>6.7990699999999904E-2</v>
      </c>
      <c r="W4450">
        <v>0.21373130000000001</v>
      </c>
      <c r="X4450">
        <v>0.97452360000000005</v>
      </c>
      <c r="Y4450">
        <v>0.34594639999999999</v>
      </c>
      <c r="Z4450">
        <v>-5.8998790000000002E-3</v>
      </c>
      <c r="AA4450">
        <v>0.93823570000000001</v>
      </c>
      <c r="AB4450">
        <v>29</v>
      </c>
      <c r="AC4450">
        <v>56.637799999999899</v>
      </c>
      <c r="AD4450">
        <v>-1.169527</v>
      </c>
      <c r="AE4450">
        <v>-19.993393999999999</v>
      </c>
      <c r="AF4450">
        <v>20.875955467455899</v>
      </c>
      <c r="AG4450">
        <v>-1.169527</v>
      </c>
      <c r="AH4450">
        <v>56.294197249639502</v>
      </c>
      <c r="AI4450">
        <v>91.115924566934098</v>
      </c>
      <c r="AJ4450">
        <v>69.653370014714696</v>
      </c>
      <c r="AK4450">
        <v>60.051727319572201</v>
      </c>
      <c r="AL4450">
        <v>77.658894208593694</v>
      </c>
      <c r="AM4450">
        <v>86.009047033922002</v>
      </c>
      <c r="AN4450">
        <v>1.00000002542156</v>
      </c>
    </row>
    <row r="4451" spans="1:40" x14ac:dyDescent="0.25">
      <c r="A4451" t="str">
        <f>"20190303170900348"</f>
        <v>20190303170900348</v>
      </c>
      <c r="B4451" t="str">
        <f>"1551604140337786"</f>
        <v>1551604140337786</v>
      </c>
      <c r="C4451" t="s">
        <v>40</v>
      </c>
      <c r="D4451">
        <v>4.653651</v>
      </c>
      <c r="E4451">
        <v>0.61893640000000005</v>
      </c>
      <c r="F4451" t="s">
        <v>46</v>
      </c>
      <c r="G4451">
        <v>-271.36680000000001</v>
      </c>
      <c r="H4451">
        <v>-0.05</v>
      </c>
      <c r="I4451">
        <v>-3.3842769999999902</v>
      </c>
      <c r="J4451">
        <v>-328.53230000000002</v>
      </c>
      <c r="K4451">
        <v>1.1194459999999999</v>
      </c>
      <c r="L4451">
        <v>17.008420000000001</v>
      </c>
      <c r="M4451">
        <v>0.99982040000000005</v>
      </c>
      <c r="N4451">
        <v>-1.313047E-2</v>
      </c>
      <c r="O4451">
        <v>1.366668E-2</v>
      </c>
      <c r="P4451">
        <v>0.97824140000000004</v>
      </c>
      <c r="Q4451">
        <v>0.2004399</v>
      </c>
      <c r="R4451">
        <v>-5.3550729999999998E-2</v>
      </c>
      <c r="S4451">
        <v>3.0228269999999999</v>
      </c>
      <c r="T4451">
        <v>-6.1555029999999997E-2</v>
      </c>
      <c r="U4451">
        <v>-1.0732120000000001</v>
      </c>
      <c r="V4451">
        <v>6.7826730000000002E-2</v>
      </c>
      <c r="W4451">
        <v>0.21296870000000001</v>
      </c>
      <c r="X4451">
        <v>0.97470190000000001</v>
      </c>
      <c r="Y4451">
        <v>0.34731339999999999</v>
      </c>
      <c r="Z4451">
        <v>-5.8754539999999996E-3</v>
      </c>
      <c r="AA4451">
        <v>0.93773070000000003</v>
      </c>
      <c r="AB4451">
        <v>29</v>
      </c>
      <c r="AC4451">
        <v>57.165500000000002</v>
      </c>
      <c r="AD4451">
        <v>-1.169446</v>
      </c>
      <c r="AE4451">
        <v>-20.392696999999998</v>
      </c>
      <c r="AF4451">
        <v>21.164264785620901</v>
      </c>
      <c r="AG4451">
        <v>-1.169446</v>
      </c>
      <c r="AH4451">
        <v>56.860326166843102</v>
      </c>
      <c r="AI4451">
        <v>91.104243308316001</v>
      </c>
      <c r="AJ4451">
        <v>69.583979940866001</v>
      </c>
      <c r="AK4451">
        <v>60.682702639735602</v>
      </c>
      <c r="AL4451">
        <v>77.703616913696493</v>
      </c>
      <c r="AM4451">
        <v>86.019366798587498</v>
      </c>
      <c r="AN4451">
        <v>0.99999996317289497</v>
      </c>
    </row>
    <row r="4452" spans="1:40" x14ac:dyDescent="0.25">
      <c r="A4452" t="str">
        <f>"20190303170900369"</f>
        <v>20190303170900369</v>
      </c>
      <c r="B4452" t="str">
        <f>"1551604140358282"</f>
        <v>1551604140358282</v>
      </c>
      <c r="C4452" t="s">
        <v>40</v>
      </c>
      <c r="D4452">
        <v>4.6628020000000001</v>
      </c>
      <c r="E4452">
        <v>0.61911099999999997</v>
      </c>
      <c r="F4452" t="s">
        <v>46</v>
      </c>
      <c r="G4452">
        <v>-272.00580000000002</v>
      </c>
      <c r="H4452">
        <v>-0.05</v>
      </c>
      <c r="I4452">
        <v>-3.2088930000000002</v>
      </c>
      <c r="J4452">
        <v>-328.25439999999998</v>
      </c>
      <c r="K4452">
        <v>1.1193690000000001</v>
      </c>
      <c r="L4452">
        <v>17.009829999999901</v>
      </c>
      <c r="M4452">
        <v>0.99984879999999998</v>
      </c>
      <c r="N4452">
        <v>-1.313455E-2</v>
      </c>
      <c r="O4452">
        <v>1.1404890000000001E-2</v>
      </c>
      <c r="P4452">
        <v>0.97838789999999998</v>
      </c>
      <c r="Q4452">
        <v>0.1992613</v>
      </c>
      <c r="R4452">
        <v>-5.5249680000000002E-2</v>
      </c>
      <c r="S4452">
        <v>3.0203549999999999</v>
      </c>
      <c r="T4452">
        <v>-6.2486409999999999E-2</v>
      </c>
      <c r="U4452">
        <v>-1.0802609999999999</v>
      </c>
      <c r="V4452">
        <v>6.7347599999999994E-2</v>
      </c>
      <c r="W4452">
        <v>0.21178839999999999</v>
      </c>
      <c r="X4452">
        <v>0.97499230000000003</v>
      </c>
      <c r="Y4452">
        <v>0.3473733</v>
      </c>
      <c r="Z4452">
        <v>-5.9189819999999997E-3</v>
      </c>
      <c r="AA4452">
        <v>0.93770830000000005</v>
      </c>
      <c r="AB4452">
        <v>29</v>
      </c>
      <c r="AC4452">
        <v>56.248599999999897</v>
      </c>
      <c r="AD4452">
        <v>-1.1693690000000001</v>
      </c>
      <c r="AE4452">
        <v>-20.218723000000001</v>
      </c>
      <c r="AF4452">
        <v>20.850991606112402</v>
      </c>
      <c r="AG4452">
        <v>-1.1693690000000001</v>
      </c>
      <c r="AH4452">
        <v>55.9928980527704</v>
      </c>
      <c r="AI4452">
        <v>91.121209004749005</v>
      </c>
      <c r="AJ4452">
        <v>69.575355503083699</v>
      </c>
      <c r="AK4452">
        <v>59.760655176832401</v>
      </c>
      <c r="AL4452">
        <v>77.772822393123207</v>
      </c>
      <c r="AM4452">
        <v>86.048570209866298</v>
      </c>
      <c r="AN4452">
        <v>1.0000000053297999</v>
      </c>
    </row>
    <row r="4453" spans="1:40" x14ac:dyDescent="0.25">
      <c r="A4453" t="str">
        <f>"20190303170900393"</f>
        <v>20190303170900393</v>
      </c>
      <c r="B4453" t="str">
        <f>"1551604140388538"</f>
        <v>1551604140388538</v>
      </c>
      <c r="C4453" t="s">
        <v>40</v>
      </c>
      <c r="D4453">
        <v>4.6868759999999998</v>
      </c>
      <c r="E4453">
        <v>0.61936289999999905</v>
      </c>
      <c r="F4453" t="s">
        <v>46</v>
      </c>
      <c r="G4453">
        <v>-274.75540000000001</v>
      </c>
      <c r="H4453">
        <v>-0.05</v>
      </c>
      <c r="I4453">
        <v>-2.2641909999999998</v>
      </c>
      <c r="J4453">
        <v>-327.94869999999997</v>
      </c>
      <c r="K4453">
        <v>1.11931</v>
      </c>
      <c r="L4453">
        <v>17.010470000000002</v>
      </c>
      <c r="M4453">
        <v>0.99987479999999995</v>
      </c>
      <c r="N4453">
        <v>-1.313831E-2</v>
      </c>
      <c r="O4453">
        <v>8.8321319999999995E-3</v>
      </c>
      <c r="P4453">
        <v>0.97819409999999896</v>
      </c>
      <c r="Q4453">
        <v>0.19935910000000001</v>
      </c>
      <c r="R4453">
        <v>-5.82458E-2</v>
      </c>
      <c r="S4453">
        <v>3.0183110000000002</v>
      </c>
      <c r="T4453">
        <v>-6.5973519999999994E-2</v>
      </c>
      <c r="U4453">
        <v>-1.087402</v>
      </c>
      <c r="V4453">
        <v>6.7860719999999999E-2</v>
      </c>
      <c r="W4453">
        <v>0.21187600000000001</v>
      </c>
      <c r="X4453">
        <v>0.97493770000000002</v>
      </c>
      <c r="Y4453">
        <v>0.34711700000000001</v>
      </c>
      <c r="Z4453">
        <v>-6.1025760000000002E-3</v>
      </c>
      <c r="AA4453">
        <v>0.93780200000000002</v>
      </c>
      <c r="AB4453">
        <v>29</v>
      </c>
      <c r="AC4453">
        <v>53.193299999999901</v>
      </c>
      <c r="AD4453">
        <v>-1.1693100000000001</v>
      </c>
      <c r="AE4453">
        <v>-19.274660999999998</v>
      </c>
      <c r="AF4453">
        <v>19.735330115044199</v>
      </c>
      <c r="AG4453">
        <v>-1.1693100000000001</v>
      </c>
      <c r="AH4453">
        <v>52.998336257991397</v>
      </c>
      <c r="AI4453">
        <v>91.184487147552503</v>
      </c>
      <c r="AJ4453">
        <v>69.575856345302199</v>
      </c>
      <c r="AK4453">
        <v>56.5656626120564</v>
      </c>
      <c r="AL4453">
        <v>77.767686889245596</v>
      </c>
      <c r="AM4453">
        <v>86.018338546760205</v>
      </c>
      <c r="AN4453">
        <v>1.0000000177881001</v>
      </c>
    </row>
    <row r="4454" spans="1:40" x14ac:dyDescent="0.25">
      <c r="A4454" t="str">
        <f>"20190303170900415"</f>
        <v>20190303170900415</v>
      </c>
      <c r="B4454" t="str">
        <f>"1551604140408058"</f>
        <v>1551604140408058</v>
      </c>
      <c r="C4454" t="s">
        <v>40</v>
      </c>
      <c r="D4454">
        <v>4.706747</v>
      </c>
      <c r="E4454">
        <v>0.62395299999999998</v>
      </c>
      <c r="F4454" t="s">
        <v>46</v>
      </c>
      <c r="G4454">
        <v>-275.78769999999997</v>
      </c>
      <c r="H4454">
        <v>-0.05</v>
      </c>
      <c r="I4454">
        <v>-1.9819340000000001</v>
      </c>
      <c r="J4454">
        <v>-327.65159999999997</v>
      </c>
      <c r="K4454">
        <v>1.1192599999999999</v>
      </c>
      <c r="L4454">
        <v>17.010279999999899</v>
      </c>
      <c r="M4454">
        <v>0.99989410000000001</v>
      </c>
      <c r="N4454">
        <v>-1.3141419999999999E-2</v>
      </c>
      <c r="O4454">
        <v>6.2748730000000003E-3</v>
      </c>
      <c r="P4454">
        <v>0.97782029999999998</v>
      </c>
      <c r="Q4454">
        <v>0.19995250000000001</v>
      </c>
      <c r="R4454">
        <v>-6.2343580000000003E-2</v>
      </c>
      <c r="S4454">
        <v>3.0152890000000001</v>
      </c>
      <c r="T4454">
        <v>-6.7594769999999998E-2</v>
      </c>
      <c r="U4454">
        <v>-1.0979000000000001</v>
      </c>
      <c r="V4454">
        <v>6.9483589999999998E-2</v>
      </c>
      <c r="W4454">
        <v>0.2124538</v>
      </c>
      <c r="X4454">
        <v>0.97469760000000005</v>
      </c>
      <c r="Y4454">
        <v>0.34789900000000001</v>
      </c>
      <c r="Z4454">
        <v>-6.1917559999999996E-3</v>
      </c>
      <c r="AA4454">
        <v>0.9375116</v>
      </c>
      <c r="AB4454">
        <v>29</v>
      </c>
      <c r="AC4454">
        <v>51.863900000000001</v>
      </c>
      <c r="AD4454">
        <v>-1.16926</v>
      </c>
      <c r="AE4454">
        <v>-18.992214000000001</v>
      </c>
      <c r="AF4454">
        <v>19.308653944008</v>
      </c>
      <c r="AG4454">
        <v>-1.16926</v>
      </c>
      <c r="AH4454">
        <v>51.720515251454501</v>
      </c>
      <c r="AI4454">
        <v>91.213313463078904</v>
      </c>
      <c r="AJ4454">
        <v>69.528049517116798</v>
      </c>
      <c r="AK4454">
        <v>55.219588770227098</v>
      </c>
      <c r="AL4454">
        <v>77.733809910966897</v>
      </c>
      <c r="AM4454">
        <v>85.922434728166806</v>
      </c>
      <c r="AN4454">
        <v>0.99999999892974401</v>
      </c>
    </row>
    <row r="4455" spans="1:40" x14ac:dyDescent="0.25">
      <c r="A4455" t="str">
        <f>"20190303170900439"</f>
        <v>20190303170900439</v>
      </c>
      <c r="B4455" t="str">
        <f>"1551604140428554"</f>
        <v>1551604140428554</v>
      </c>
      <c r="C4455" t="s">
        <v>40</v>
      </c>
      <c r="D4455">
        <v>4.7001019999999896</v>
      </c>
      <c r="E4455">
        <v>0.62429389999999996</v>
      </c>
      <c r="F4455" t="s">
        <v>46</v>
      </c>
      <c r="G4455">
        <v>-277.46370000000002</v>
      </c>
      <c r="H4455">
        <v>-0.05</v>
      </c>
      <c r="I4455">
        <v>-2.0966339999999999</v>
      </c>
      <c r="J4455">
        <v>-327.34829999999999</v>
      </c>
      <c r="K4455">
        <v>1.119221</v>
      </c>
      <c r="L4455">
        <v>17.009309999999999</v>
      </c>
      <c r="M4455">
        <v>0.99990710000000005</v>
      </c>
      <c r="N4455">
        <v>-1.3143810000000001E-2</v>
      </c>
      <c r="O4455">
        <v>3.6159439999999998E-3</v>
      </c>
      <c r="P4455">
        <v>0.97766160000000002</v>
      </c>
      <c r="Q4455">
        <v>0.19957929999999999</v>
      </c>
      <c r="R4455">
        <v>-6.5924250000000004E-2</v>
      </c>
      <c r="S4455">
        <v>3.009369</v>
      </c>
      <c r="T4455">
        <v>-7.0111270000000003E-2</v>
      </c>
      <c r="U4455">
        <v>-1.145691</v>
      </c>
      <c r="V4455">
        <v>7.04819E-2</v>
      </c>
      <c r="W4455">
        <v>0.21207219999999999</v>
      </c>
      <c r="X4455">
        <v>0.97470900000000005</v>
      </c>
      <c r="Y4455">
        <v>0.35903380000000001</v>
      </c>
      <c r="Z4455">
        <v>-6.5157640000000003E-3</v>
      </c>
      <c r="AA4455">
        <v>0.93330179999999996</v>
      </c>
      <c r="AB4455">
        <v>29</v>
      </c>
      <c r="AC4455">
        <v>49.884599999999899</v>
      </c>
      <c r="AD4455">
        <v>-1.1692209999999901</v>
      </c>
      <c r="AE4455">
        <v>-19.105944000000001</v>
      </c>
      <c r="AF4455">
        <v>19.2769792351136</v>
      </c>
      <c r="AG4455">
        <v>-1.1692209999999901</v>
      </c>
      <c r="AH4455">
        <v>49.791327487392302</v>
      </c>
      <c r="AI4455">
        <v>91.254492636066601</v>
      </c>
      <c r="AJ4455">
        <v>68.835821041249304</v>
      </c>
      <c r="AK4455">
        <v>53.405480047787201</v>
      </c>
      <c r="AL4455">
        <v>77.756183532658198</v>
      </c>
      <c r="AM4455">
        <v>85.8641001208765</v>
      </c>
      <c r="AN4455">
        <v>0.99999997546072406</v>
      </c>
    </row>
    <row r="4456" spans="1:40" x14ac:dyDescent="0.25">
      <c r="A4456" t="str">
        <f>"20190303170900460"</f>
        <v>20190303170900460</v>
      </c>
      <c r="B4456" t="str">
        <f>"1551604140448073"</f>
        <v>1551604140448073</v>
      </c>
      <c r="C4456" t="s">
        <v>40</v>
      </c>
      <c r="D4456">
        <v>4.6962390000000003</v>
      </c>
      <c r="E4456">
        <v>0.62409899999999996</v>
      </c>
      <c r="F4456" t="s">
        <v>46</v>
      </c>
      <c r="G4456">
        <v>-278.58609999999999</v>
      </c>
      <c r="H4456">
        <v>-0.05</v>
      </c>
      <c r="I4456">
        <v>-1.8004150000000001</v>
      </c>
      <c r="J4456">
        <v>-327.06470000000002</v>
      </c>
      <c r="K4456">
        <v>1.1191819999999999</v>
      </c>
      <c r="L4456">
        <v>17.007629999999999</v>
      </c>
      <c r="M4456">
        <v>0.99991319999999995</v>
      </c>
      <c r="N4456">
        <v>-1.314565E-2</v>
      </c>
      <c r="O4456">
        <v>1.0935980000000001E-3</v>
      </c>
      <c r="P4456">
        <v>0.97770029999999997</v>
      </c>
      <c r="Q4456">
        <v>0.19832359999999999</v>
      </c>
      <c r="R4456">
        <v>-6.9066279999999994E-2</v>
      </c>
      <c r="S4456">
        <v>3.0051269999999999</v>
      </c>
      <c r="T4456">
        <v>-7.2057010000000005E-2</v>
      </c>
      <c r="U4456">
        <v>-1.1592100000000001</v>
      </c>
      <c r="V4456">
        <v>7.1166370000000007E-2</v>
      </c>
      <c r="W4456">
        <v>0.2108129</v>
      </c>
      <c r="X4456">
        <v>0.97493240000000003</v>
      </c>
      <c r="Y4456">
        <v>0.36077029999999999</v>
      </c>
      <c r="Z4456">
        <v>-6.64031E-3</v>
      </c>
      <c r="AA4456">
        <v>0.93263110000000005</v>
      </c>
      <c r="AB4456">
        <v>29</v>
      </c>
      <c r="AC4456">
        <v>48.4786</v>
      </c>
      <c r="AD4456">
        <v>-1.1691819999999999</v>
      </c>
      <c r="AE4456">
        <v>-18.808045</v>
      </c>
      <c r="AF4456">
        <v>18.8515238860296</v>
      </c>
      <c r="AG4456">
        <v>-1.1691819999999999</v>
      </c>
      <c r="AH4456">
        <v>48.433514849057502</v>
      </c>
      <c r="AI4456">
        <v>91.288707387709593</v>
      </c>
      <c r="AJ4456">
        <v>68.732779712455397</v>
      </c>
      <c r="AK4456">
        <v>51.986077944085601</v>
      </c>
      <c r="AL4456">
        <v>77.830004973227801</v>
      </c>
      <c r="AM4456">
        <v>85.825030119419296</v>
      </c>
      <c r="AN4456">
        <v>0.999999957797572</v>
      </c>
    </row>
    <row r="4457" spans="1:40" x14ac:dyDescent="0.25">
      <c r="A4457" t="str">
        <f>"20190303170900482"</f>
        <v>20190303170900482</v>
      </c>
      <c r="B4457" t="str">
        <f>"1551604140467594"</f>
        <v>1551604140467594</v>
      </c>
      <c r="C4457" t="s">
        <v>40</v>
      </c>
      <c r="D4457">
        <v>4.8581770000000004</v>
      </c>
      <c r="E4457">
        <v>0.62426759999999903</v>
      </c>
      <c r="F4457" t="s">
        <v>46</v>
      </c>
      <c r="G4457">
        <v>-280.69959999999998</v>
      </c>
      <c r="H4457">
        <v>-0.05</v>
      </c>
      <c r="I4457">
        <v>-1.0361479999999901</v>
      </c>
      <c r="J4457">
        <v>-326.7937</v>
      </c>
      <c r="K4457">
        <v>1.119164</v>
      </c>
      <c r="L4457">
        <v>17.005279999999999</v>
      </c>
      <c r="M4457">
        <v>0.99991269999999999</v>
      </c>
      <c r="N4457">
        <v>-1.314719E-2</v>
      </c>
      <c r="O4457">
        <v>-1.3408350000000001E-3</v>
      </c>
      <c r="P4457">
        <v>0.9774313</v>
      </c>
      <c r="Q4457">
        <v>0.19838520000000001</v>
      </c>
      <c r="R4457">
        <v>-7.260809E-2</v>
      </c>
      <c r="S4457">
        <v>3.0012819999999998</v>
      </c>
      <c r="T4457">
        <v>-7.5682879999999994E-2</v>
      </c>
      <c r="U4457">
        <v>-1.167999</v>
      </c>
      <c r="V4457">
        <v>7.2340039999999994E-2</v>
      </c>
      <c r="W4457">
        <v>0.21086460000000001</v>
      </c>
      <c r="X4457">
        <v>0.97483489999999995</v>
      </c>
      <c r="Y4457">
        <v>0.3612628</v>
      </c>
      <c r="Z4457">
        <v>-6.8373210000000004E-3</v>
      </c>
      <c r="AA4457">
        <v>0.93243900000000002</v>
      </c>
      <c r="AB4457">
        <v>29</v>
      </c>
      <c r="AC4457">
        <v>46.094099999999997</v>
      </c>
      <c r="AD4457">
        <v>-1.1691639999999901</v>
      </c>
      <c r="AE4457">
        <v>-18.041428</v>
      </c>
      <c r="AF4457">
        <v>17.969576624802901</v>
      </c>
      <c r="AG4457">
        <v>-1.1691639999999901</v>
      </c>
      <c r="AH4457">
        <v>46.092536188108397</v>
      </c>
      <c r="AI4457">
        <v>91.353824307195495</v>
      </c>
      <c r="AJ4457">
        <v>68.701243376353702</v>
      </c>
      <c r="AK4457">
        <v>49.485296005840397</v>
      </c>
      <c r="AL4457">
        <v>77.8269754509367</v>
      </c>
      <c r="AM4457">
        <v>85.756003469105295</v>
      </c>
      <c r="AN4457">
        <v>1.00000002158918</v>
      </c>
    </row>
    <row r="4458" spans="1:40" x14ac:dyDescent="0.25">
      <c r="A4458" t="str">
        <f>"20190303170900505"</f>
        <v>20190303170900505</v>
      </c>
      <c r="B4458" t="str">
        <f>"1551604140497850"</f>
        <v>1551604140497850</v>
      </c>
      <c r="C4458" t="s">
        <v>40</v>
      </c>
      <c r="D4458">
        <v>4.7511260000000002</v>
      </c>
      <c r="E4458">
        <v>0.57852019999999904</v>
      </c>
      <c r="F4458" t="s">
        <v>46</v>
      </c>
      <c r="G4458">
        <v>-279.92290000000003</v>
      </c>
      <c r="H4458">
        <v>-0.05</v>
      </c>
      <c r="I4458">
        <v>-1.4442900000000001</v>
      </c>
      <c r="J4458">
        <v>-326.48419999999999</v>
      </c>
      <c r="K4458">
        <v>1.119146</v>
      </c>
      <c r="L4458">
        <v>17.001860000000001</v>
      </c>
      <c r="M4458">
        <v>0.99990489999999999</v>
      </c>
      <c r="N4458">
        <v>-1.3148669999999999E-2</v>
      </c>
      <c r="O4458">
        <v>-4.1444460000000004E-3</v>
      </c>
      <c r="P4458">
        <v>0.97688529999999996</v>
      </c>
      <c r="Q4458">
        <v>0.1993356</v>
      </c>
      <c r="R4458">
        <v>-7.7203740000000007E-2</v>
      </c>
      <c r="S4458">
        <v>2.996826</v>
      </c>
      <c r="T4458">
        <v>-7.4753879999999995E-2</v>
      </c>
      <c r="U4458">
        <v>-1.1796260000000001</v>
      </c>
      <c r="V4458">
        <v>7.4212970000000003E-2</v>
      </c>
      <c r="W4458">
        <v>0.21179909999999999</v>
      </c>
      <c r="X4458">
        <v>0.97449140000000001</v>
      </c>
      <c r="Y4458">
        <v>0.36225590000000002</v>
      </c>
      <c r="Z4458">
        <v>-6.7757370000000004E-3</v>
      </c>
      <c r="AA4458">
        <v>0.93205400000000005</v>
      </c>
      <c r="AB4458">
        <v>29</v>
      </c>
      <c r="AC4458">
        <v>46.561299999999903</v>
      </c>
      <c r="AD4458">
        <v>-1.169146</v>
      </c>
      <c r="AE4458">
        <v>-18.446149999999999</v>
      </c>
      <c r="AF4458">
        <v>18.243062138944602</v>
      </c>
      <c r="AG4458">
        <v>-1.169146</v>
      </c>
      <c r="AH4458">
        <v>46.611953613946604</v>
      </c>
      <c r="AI4458">
        <v>91.338032443827601</v>
      </c>
      <c r="AJ4458">
        <v>68.625538121696906</v>
      </c>
      <c r="AK4458">
        <v>50.0684575185158</v>
      </c>
      <c r="AL4458">
        <v>77.772194487359698</v>
      </c>
      <c r="AM4458">
        <v>85.645012149503899</v>
      </c>
      <c r="AN4458">
        <v>0.99999995617549398</v>
      </c>
    </row>
    <row r="4459" spans="1:40" x14ac:dyDescent="0.25">
      <c r="A4459" t="str">
        <f>"20190303170900527"</f>
        <v>20190303170900527</v>
      </c>
      <c r="B4459" t="str">
        <f>"1551604140518346"</f>
        <v>1551604140518346</v>
      </c>
      <c r="C4459" t="s">
        <v>40</v>
      </c>
      <c r="D4459">
        <v>4.8149680000000004</v>
      </c>
      <c r="E4459">
        <v>0.56745869999999998</v>
      </c>
      <c r="F4459" t="s">
        <v>46</v>
      </c>
      <c r="G4459">
        <v>-295.51569999999998</v>
      </c>
      <c r="H4459">
        <v>-0.05</v>
      </c>
      <c r="I4459">
        <v>8.5523530000000001</v>
      </c>
      <c r="J4459">
        <v>-326.20350000000002</v>
      </c>
      <c r="K4459">
        <v>1.119122</v>
      </c>
      <c r="L4459">
        <v>16.997920000000001</v>
      </c>
      <c r="M4459">
        <v>0.99989119999999998</v>
      </c>
      <c r="N4459">
        <v>-1.314971E-2</v>
      </c>
      <c r="O4459">
        <v>-6.7063349999999999E-3</v>
      </c>
      <c r="P4459">
        <v>0.97653140000000005</v>
      </c>
      <c r="Q4459">
        <v>0.1996542</v>
      </c>
      <c r="R4459">
        <v>-8.0776210000000001E-2</v>
      </c>
      <c r="S4459">
        <v>3.0290219999999999</v>
      </c>
      <c r="T4459">
        <v>-0.114354</v>
      </c>
      <c r="U4459">
        <v>-0.82644649999999997</v>
      </c>
      <c r="V4459">
        <v>7.5294810000000004E-2</v>
      </c>
      <c r="W4459">
        <v>0.21210809999999999</v>
      </c>
      <c r="X4459">
        <v>0.97434129999999997</v>
      </c>
      <c r="Y4459">
        <v>0.25651360000000001</v>
      </c>
      <c r="Z4459">
        <v>-6.309304E-3</v>
      </c>
      <c r="AA4459">
        <v>0.96652000000000005</v>
      </c>
      <c r="AB4459">
        <v>29</v>
      </c>
      <c r="AC4459">
        <v>30.687799999999999</v>
      </c>
      <c r="AD4459">
        <v>-1.169122</v>
      </c>
      <c r="AE4459">
        <v>-8.4455670000000005</v>
      </c>
      <c r="AF4459">
        <v>8.2284546692880198</v>
      </c>
      <c r="AG4459">
        <v>-1.169122</v>
      </c>
      <c r="AH4459">
        <v>30.702329465576302</v>
      </c>
      <c r="AI4459">
        <v>92.106458234550601</v>
      </c>
      <c r="AJ4459">
        <v>74.996882874603102</v>
      </c>
      <c r="AK4459">
        <v>31.807347376167801</v>
      </c>
      <c r="AL4459">
        <v>77.754079802445403</v>
      </c>
      <c r="AM4459">
        <v>85.581098919727694</v>
      </c>
      <c r="AN4459">
        <v>1.0000000616921101</v>
      </c>
    </row>
    <row r="4460" spans="1:40" x14ac:dyDescent="0.25">
      <c r="A4460" t="str">
        <f>"20190303170900548"</f>
        <v>20190303170900548</v>
      </c>
      <c r="B4460" t="str">
        <f>"1551604140537866"</f>
        <v>1551604140537866</v>
      </c>
      <c r="C4460" t="s">
        <v>40</v>
      </c>
      <c r="D4460">
        <v>4.7678479999999999</v>
      </c>
      <c r="E4460">
        <v>0.56194529999999998</v>
      </c>
      <c r="F4460" t="s">
        <v>46</v>
      </c>
      <c r="G4460">
        <v>-295.58300000000003</v>
      </c>
      <c r="H4460">
        <v>-0.05</v>
      </c>
      <c r="I4460">
        <v>9.4322970000000002</v>
      </c>
      <c r="J4460">
        <v>-325.92610000000002</v>
      </c>
      <c r="K4460">
        <v>1.119102</v>
      </c>
      <c r="L4460">
        <v>16.993320000000001</v>
      </c>
      <c r="M4460">
        <v>0.99987079999999995</v>
      </c>
      <c r="N4460">
        <v>-1.315056E-2</v>
      </c>
      <c r="O4460">
        <v>-9.258779E-3</v>
      </c>
      <c r="P4460">
        <v>0.97629359999999998</v>
      </c>
      <c r="Q4460">
        <v>0.19942879999999999</v>
      </c>
      <c r="R4460">
        <v>-8.4140549999999995E-2</v>
      </c>
      <c r="S4460">
        <v>3.0337519999999998</v>
      </c>
      <c r="T4460">
        <v>-0.1158319</v>
      </c>
      <c r="U4460">
        <v>-0.74957280000000004</v>
      </c>
      <c r="V4460">
        <v>7.6174370000000005E-2</v>
      </c>
      <c r="W4460">
        <v>0.21187600000000001</v>
      </c>
      <c r="X4460">
        <v>0.97432339999999995</v>
      </c>
      <c r="Y4460">
        <v>0.2306522</v>
      </c>
      <c r="Z4460">
        <v>-5.6482989999999999E-3</v>
      </c>
      <c r="AA4460">
        <v>0.97301990000000005</v>
      </c>
      <c r="AB4460">
        <v>29</v>
      </c>
      <c r="AC4460">
        <v>30.3431</v>
      </c>
      <c r="AD4460">
        <v>-1.1691020000000001</v>
      </c>
      <c r="AE4460">
        <v>-7.5610229999999996</v>
      </c>
      <c r="AF4460">
        <v>7.26957365770844</v>
      </c>
      <c r="AG4460">
        <v>-1.1691020000000001</v>
      </c>
      <c r="AH4460">
        <v>30.3693629642673</v>
      </c>
      <c r="AI4460">
        <v>92.144063643204404</v>
      </c>
      <c r="AJ4460">
        <v>76.538296307748794</v>
      </c>
      <c r="AK4460">
        <v>31.249187309539199</v>
      </c>
      <c r="AL4460">
        <v>77.767687052168995</v>
      </c>
      <c r="AM4460">
        <v>85.529605546903198</v>
      </c>
      <c r="AN4460">
        <v>1.0000000309042201</v>
      </c>
    </row>
    <row r="4461" spans="1:40" x14ac:dyDescent="0.25">
      <c r="A4461" t="str">
        <f>"20190303170900571"</f>
        <v>20190303170900571</v>
      </c>
      <c r="B4461" t="str">
        <f>"1551604140558362"</f>
        <v>1551604140558362</v>
      </c>
      <c r="C4461" t="s">
        <v>40</v>
      </c>
      <c r="D4461">
        <v>4.7721720000000003</v>
      </c>
      <c r="E4461">
        <v>0.55846180000000001</v>
      </c>
      <c r="F4461" t="s">
        <v>46</v>
      </c>
      <c r="G4461">
        <v>-295.15750000000003</v>
      </c>
      <c r="H4461">
        <v>-0.05</v>
      </c>
      <c r="I4461">
        <v>9.7331850000000006</v>
      </c>
      <c r="J4461">
        <v>-325.63869999999997</v>
      </c>
      <c r="K4461">
        <v>1.1190800000000001</v>
      </c>
      <c r="L4461">
        <v>16.987760000000002</v>
      </c>
      <c r="M4461">
        <v>0.99984240000000002</v>
      </c>
      <c r="N4461">
        <v>-1.315121E-2</v>
      </c>
      <c r="O4461">
        <v>-1.192844E-2</v>
      </c>
      <c r="P4461">
        <v>0.97614190000000001</v>
      </c>
      <c r="Q4461">
        <v>0.1982285</v>
      </c>
      <c r="R4461">
        <v>-8.8615360000000004E-2</v>
      </c>
      <c r="S4461">
        <v>3.0346980000000001</v>
      </c>
      <c r="T4461">
        <v>-0.1153083</v>
      </c>
      <c r="U4461">
        <v>-0.71606449999999999</v>
      </c>
      <c r="V4461">
        <v>7.8045349999999999E-2</v>
      </c>
      <c r="W4461">
        <v>0.2106642</v>
      </c>
      <c r="X4461">
        <v>0.97443809999999997</v>
      </c>
      <c r="Y4461">
        <v>0.2178262</v>
      </c>
      <c r="Z4461">
        <v>-5.2413319999999996E-3</v>
      </c>
      <c r="AA4461">
        <v>0.97597350000000005</v>
      </c>
      <c r="AB4461">
        <v>29</v>
      </c>
      <c r="AC4461">
        <v>30.481199999999902</v>
      </c>
      <c r="AD4461">
        <v>-1.1690799999999999</v>
      </c>
      <c r="AE4461">
        <v>-7.254575</v>
      </c>
      <c r="AF4461">
        <v>6.8808547871671104</v>
      </c>
      <c r="AG4461">
        <v>-1.1690799999999999</v>
      </c>
      <c r="AH4461">
        <v>30.523080625574799</v>
      </c>
      <c r="AI4461">
        <v>92.139796713010497</v>
      </c>
      <c r="AJ4461">
        <v>77.296103043352204</v>
      </c>
      <c r="AK4461">
        <v>31.310882477563901</v>
      </c>
      <c r="AL4461">
        <v>77.838721679720194</v>
      </c>
      <c r="AM4461">
        <v>85.420802896449501</v>
      </c>
      <c r="AN4461">
        <v>1.0000000462749301</v>
      </c>
    </row>
    <row r="4462" spans="1:40" x14ac:dyDescent="0.25">
      <c r="A4462" t="str">
        <f>"20190303170900593"</f>
        <v>20190303170900593</v>
      </c>
      <c r="B4462" t="str">
        <f>"1551604140587642"</f>
        <v>1551604140587642</v>
      </c>
      <c r="C4462" t="s">
        <v>40</v>
      </c>
      <c r="D4462">
        <v>4.7862730000000004</v>
      </c>
      <c r="E4462">
        <v>0.55522729999999998</v>
      </c>
      <c r="F4462" t="s">
        <v>46</v>
      </c>
      <c r="G4462">
        <v>-295.89229999999998</v>
      </c>
      <c r="H4462">
        <v>-0.05</v>
      </c>
      <c r="I4462">
        <v>10.10867</v>
      </c>
      <c r="J4462">
        <v>-325.34750000000003</v>
      </c>
      <c r="K4462">
        <v>1.119059</v>
      </c>
      <c r="L4462">
        <v>16.981259999999999</v>
      </c>
      <c r="M4462">
        <v>0.99980590000000003</v>
      </c>
      <c r="N4462">
        <v>-1.315214E-2</v>
      </c>
      <c r="O4462">
        <v>-1.466864E-2</v>
      </c>
      <c r="P4462">
        <v>0.97581099999999998</v>
      </c>
      <c r="Q4462">
        <v>0.19809389999999999</v>
      </c>
      <c r="R4462">
        <v>-9.2474619999999993E-2</v>
      </c>
      <c r="S4462">
        <v>3.0338440000000002</v>
      </c>
      <c r="T4462">
        <v>-0.1192346</v>
      </c>
      <c r="U4462">
        <v>-0.70159910000000003</v>
      </c>
      <c r="V4462">
        <v>7.924175E-2</v>
      </c>
      <c r="W4462">
        <v>0.2105197</v>
      </c>
      <c r="X4462">
        <v>0.97437269999999998</v>
      </c>
      <c r="Y4462">
        <v>0.21079059999999999</v>
      </c>
      <c r="Z4462">
        <v>-5.1136339999999997E-3</v>
      </c>
      <c r="AA4462">
        <v>0.97751790000000005</v>
      </c>
      <c r="AB4462">
        <v>29</v>
      </c>
      <c r="AC4462">
        <v>29.455200000000001</v>
      </c>
      <c r="AD4462">
        <v>-1.1690590000000001</v>
      </c>
      <c r="AE4462">
        <v>-6.87258999999999</v>
      </c>
      <c r="AF4462">
        <v>6.4301392377288797</v>
      </c>
      <c r="AG4462">
        <v>-1.1690590000000001</v>
      </c>
      <c r="AH4462">
        <v>29.508766915541401</v>
      </c>
      <c r="AI4462">
        <v>92.216755142465402</v>
      </c>
      <c r="AJ4462">
        <v>77.707066691005494</v>
      </c>
      <c r="AK4462">
        <v>30.223843475603999</v>
      </c>
      <c r="AL4462">
        <v>77.847190015668602</v>
      </c>
      <c r="AM4462">
        <v>85.350600597921698</v>
      </c>
      <c r="AN4462">
        <v>0.999999978768221</v>
      </c>
    </row>
    <row r="4463" spans="1:40" x14ac:dyDescent="0.25">
      <c r="A4463" t="str">
        <f>"20190303170900617"</f>
        <v>20190303170900617</v>
      </c>
      <c r="B4463" t="str">
        <f>"1551604140608138"</f>
        <v>1551604140608138</v>
      </c>
      <c r="C4463" t="s">
        <v>40</v>
      </c>
      <c r="D4463">
        <v>4.7865859999999998</v>
      </c>
      <c r="E4463">
        <v>0.55371179999999998</v>
      </c>
      <c r="F4463" t="s">
        <v>46</v>
      </c>
      <c r="G4463">
        <v>-295.8766</v>
      </c>
      <c r="H4463">
        <v>-0.05</v>
      </c>
      <c r="I4463">
        <v>10.30728</v>
      </c>
      <c r="J4463">
        <v>-325.03859999999997</v>
      </c>
      <c r="K4463">
        <v>1.1190389999999999</v>
      </c>
      <c r="L4463">
        <v>16.973479999999999</v>
      </c>
      <c r="M4463">
        <v>0.99975849999999999</v>
      </c>
      <c r="N4463">
        <v>-1.3153E-2</v>
      </c>
      <c r="O4463">
        <v>-1.7610609999999999E-2</v>
      </c>
      <c r="P4463">
        <v>0.97537110000000005</v>
      </c>
      <c r="Q4463">
        <v>0.1981955</v>
      </c>
      <c r="R4463">
        <v>-9.6799449999999995E-2</v>
      </c>
      <c r="S4463">
        <v>3.0336910000000001</v>
      </c>
      <c r="T4463">
        <v>-0.1203414</v>
      </c>
      <c r="U4463">
        <v>-0.687011699999999</v>
      </c>
      <c r="V4463">
        <v>8.0711939999999996E-2</v>
      </c>
      <c r="W4463">
        <v>0.21060690000000001</v>
      </c>
      <c r="X4463">
        <v>0.97423320000000002</v>
      </c>
      <c r="Y4463">
        <v>0.20345759999999999</v>
      </c>
      <c r="Z4463">
        <v>-4.8785429999999999E-3</v>
      </c>
      <c r="AA4463">
        <v>0.97907160000000004</v>
      </c>
      <c r="AB4463">
        <v>29</v>
      </c>
      <c r="AC4463">
        <v>29.1619999999999</v>
      </c>
      <c r="AD4463">
        <v>-1.1690389999999999</v>
      </c>
      <c r="AE4463">
        <v>-6.6661999999999901</v>
      </c>
      <c r="AF4463">
        <v>6.1421805624001999</v>
      </c>
      <c r="AG4463">
        <v>-1.1690389999999999</v>
      </c>
      <c r="AH4463">
        <v>29.2302416828338</v>
      </c>
      <c r="AI4463">
        <v>92.241378042280004</v>
      </c>
      <c r="AJ4463">
        <v>78.133031128885705</v>
      </c>
      <c r="AK4463">
        <v>29.891471410446201</v>
      </c>
      <c r="AL4463">
        <v>77.8420795746473</v>
      </c>
      <c r="AM4463">
        <v>85.264053003239198</v>
      </c>
      <c r="AN4463">
        <v>1.0000000057842</v>
      </c>
    </row>
    <row r="4464" spans="1:40" x14ac:dyDescent="0.25">
      <c r="A4464" t="str">
        <f>"20190303170900639"</f>
        <v>20190303170900639</v>
      </c>
      <c r="B4464" t="str">
        <f>"1551604140627658"</f>
        <v>1551604140627658</v>
      </c>
      <c r="C4464" t="s">
        <v>40</v>
      </c>
      <c r="D4464">
        <v>4.7642360000000004</v>
      </c>
      <c r="E4464">
        <v>0.55243999999999904</v>
      </c>
      <c r="F4464" t="s">
        <v>46</v>
      </c>
      <c r="G4464">
        <v>-295.35050000000001</v>
      </c>
      <c r="H4464">
        <v>-0.05</v>
      </c>
      <c r="I4464">
        <v>10.23029</v>
      </c>
      <c r="J4464">
        <v>-324.75220000000002</v>
      </c>
      <c r="K4464">
        <v>1.1190089999999999</v>
      </c>
      <c r="L4464">
        <v>16.965389999999999</v>
      </c>
      <c r="M4464">
        <v>0.99970579999999998</v>
      </c>
      <c r="N4464">
        <v>-1.315392E-2</v>
      </c>
      <c r="O4464">
        <v>-2.0381940000000001E-2</v>
      </c>
      <c r="P4464">
        <v>0.97508349999999999</v>
      </c>
      <c r="Q4464">
        <v>0.19774829999999999</v>
      </c>
      <c r="R4464">
        <v>-0.1005384</v>
      </c>
      <c r="S4464">
        <v>3.0316770000000002</v>
      </c>
      <c r="T4464">
        <v>-0.1193795</v>
      </c>
      <c r="U4464">
        <v>-0.68859859999999995</v>
      </c>
      <c r="V4464">
        <v>8.1759799999999994E-2</v>
      </c>
      <c r="W4464">
        <v>0.21015</v>
      </c>
      <c r="X4464">
        <v>0.97424449999999996</v>
      </c>
      <c r="Y4464">
        <v>0.20137620000000001</v>
      </c>
      <c r="Z4464">
        <v>-4.7284730000000004E-3</v>
      </c>
      <c r="AA4464">
        <v>0.9795026</v>
      </c>
      <c r="AB4464">
        <v>29</v>
      </c>
      <c r="AC4464">
        <v>29.401700000000002</v>
      </c>
      <c r="AD4464">
        <v>-1.169009</v>
      </c>
      <c r="AE4464">
        <v>-6.7350999999999903</v>
      </c>
      <c r="AF4464">
        <v>6.1251849276508699</v>
      </c>
      <c r="AG4464">
        <v>-1.169009</v>
      </c>
      <c r="AH4464">
        <v>29.488584673780601</v>
      </c>
      <c r="AI4464">
        <v>92.222778888790401</v>
      </c>
      <c r="AJ4464">
        <v>78.265737310785099</v>
      </c>
      <c r="AK4464">
        <v>30.140688421181199</v>
      </c>
      <c r="AL4464">
        <v>77.868857434407602</v>
      </c>
      <c r="AM4464">
        <v>85.202908057010305</v>
      </c>
      <c r="AN4464">
        <v>1.00000001658814</v>
      </c>
    </row>
    <row r="4465" spans="1:40" x14ac:dyDescent="0.25">
      <c r="A4465" t="str">
        <f>"20190303170900661"</f>
        <v>20190303170900661</v>
      </c>
      <c r="B4465" t="str">
        <f>"1551604140648154"</f>
        <v>1551604140648154</v>
      </c>
      <c r="C4465" t="s">
        <v>40</v>
      </c>
      <c r="D4465">
        <v>4.7557869999999998</v>
      </c>
      <c r="E4465">
        <v>0.55139579999999999</v>
      </c>
      <c r="F4465" t="s">
        <v>46</v>
      </c>
      <c r="G4465">
        <v>-295.30200000000002</v>
      </c>
      <c r="H4465">
        <v>-0.05</v>
      </c>
      <c r="I4465">
        <v>10.25174</v>
      </c>
      <c r="J4465">
        <v>-324.47199999999998</v>
      </c>
      <c r="K4465">
        <v>1.118968</v>
      </c>
      <c r="L4465">
        <v>16.956700000000001</v>
      </c>
      <c r="M4465">
        <v>0.99964549999999996</v>
      </c>
      <c r="N4465">
        <v>-1.315496E-2</v>
      </c>
      <c r="O4465">
        <v>-2.3153130000000001E-2</v>
      </c>
      <c r="P4465">
        <v>0.97468809999999995</v>
      </c>
      <c r="Q4465">
        <v>0.1975094</v>
      </c>
      <c r="R4465">
        <v>-0.1047556</v>
      </c>
      <c r="S4465">
        <v>3.029846</v>
      </c>
      <c r="T4465">
        <v>-0.1202681</v>
      </c>
      <c r="U4465">
        <v>-0.69070430000000005</v>
      </c>
      <c r="V4465">
        <v>8.3294439999999997E-2</v>
      </c>
      <c r="W4465">
        <v>0.20989550000000001</v>
      </c>
      <c r="X4465">
        <v>0.97416939999999996</v>
      </c>
      <c r="Y4465">
        <v>0.199436</v>
      </c>
      <c r="Z4465">
        <v>-4.6302239999999996E-3</v>
      </c>
      <c r="AA4465">
        <v>0.97989990000000005</v>
      </c>
      <c r="AB4465">
        <v>29</v>
      </c>
      <c r="AC4465">
        <v>29.169999999999899</v>
      </c>
      <c r="AD4465">
        <v>-1.168968</v>
      </c>
      <c r="AE4465">
        <v>-6.7049599999999998</v>
      </c>
      <c r="AF4465">
        <v>6.0185466817453497</v>
      </c>
      <c r="AG4465">
        <v>-1.168968</v>
      </c>
      <c r="AH4465">
        <v>29.272781769509301</v>
      </c>
      <c r="AI4465">
        <v>92.240006757379902</v>
      </c>
      <c r="AJ4465">
        <v>78.381768812972396</v>
      </c>
      <c r="AK4465">
        <v>29.907944477524499</v>
      </c>
      <c r="AL4465">
        <v>77.883772292816204</v>
      </c>
      <c r="AM4465">
        <v>85.112923277002906</v>
      </c>
      <c r="AN4465">
        <v>1.0000000522757599</v>
      </c>
    </row>
    <row r="4466" spans="1:40" x14ac:dyDescent="0.25">
      <c r="A4466" t="str">
        <f>"20190303170900684"</f>
        <v>20190303170900684</v>
      </c>
      <c r="B4466" t="str">
        <f>"1551604140678410"</f>
        <v>1551604140678410</v>
      </c>
      <c r="C4466" t="s">
        <v>40</v>
      </c>
      <c r="D4466">
        <v>4.7675960000000002</v>
      </c>
      <c r="E4466">
        <v>0.55019770000000001</v>
      </c>
      <c r="F4466" t="s">
        <v>46</v>
      </c>
      <c r="G4466">
        <v>-295.22469999999998</v>
      </c>
      <c r="H4466">
        <v>-0.05</v>
      </c>
      <c r="I4466">
        <v>10.23706</v>
      </c>
      <c r="J4466">
        <v>-324.1739</v>
      </c>
      <c r="K4466">
        <v>1.1189039999999999</v>
      </c>
      <c r="L4466">
        <v>16.946529999999999</v>
      </c>
      <c r="M4466">
        <v>0.99957059999999998</v>
      </c>
      <c r="N4466">
        <v>-1.3156609999999999E-2</v>
      </c>
      <c r="O4466">
        <v>-2.618496E-2</v>
      </c>
      <c r="P4466">
        <v>0.97431860000000003</v>
      </c>
      <c r="Q4466">
        <v>0.19693440000000001</v>
      </c>
      <c r="R4466">
        <v>-0.10918</v>
      </c>
      <c r="S4466">
        <v>3.027679</v>
      </c>
      <c r="T4466">
        <v>-0.1210117</v>
      </c>
      <c r="U4466">
        <v>-0.69561770000000001</v>
      </c>
      <c r="V4466">
        <v>8.4789349999999999E-2</v>
      </c>
      <c r="W4466">
        <v>0.2093024</v>
      </c>
      <c r="X4466">
        <v>0.97416800000000003</v>
      </c>
      <c r="Y4466">
        <v>0.198127</v>
      </c>
      <c r="Z4466">
        <v>-4.5362509999999998E-3</v>
      </c>
      <c r="AA4466">
        <v>0.98016590000000003</v>
      </c>
      <c r="AB4466">
        <v>29</v>
      </c>
      <c r="AC4466">
        <v>28.949200000000001</v>
      </c>
      <c r="AD4466">
        <v>-1.1689039999999999</v>
      </c>
      <c r="AE4466">
        <v>-6.7094699999999898</v>
      </c>
      <c r="AF4466">
        <v>5.9398793286603597</v>
      </c>
      <c r="AG4466">
        <v>-1.1689039999999999</v>
      </c>
      <c r="AH4466">
        <v>29.069995835928001</v>
      </c>
      <c r="AI4466">
        <v>92.2560568849334</v>
      </c>
      <c r="AJ4466">
        <v>78.451705204841204</v>
      </c>
      <c r="AK4466">
        <v>29.693655229714199</v>
      </c>
      <c r="AL4466">
        <v>77.918525882036207</v>
      </c>
      <c r="AM4466">
        <v>85.025642578924504</v>
      </c>
      <c r="AN4466">
        <v>1.00000001037159</v>
      </c>
    </row>
    <row r="4467" spans="1:40" x14ac:dyDescent="0.25">
      <c r="A4467" t="str">
        <f>"20190303170900697"</f>
        <v>20190303170900697</v>
      </c>
      <c r="B4467" t="str">
        <f>"1551604140688171"</f>
        <v>1551604140688171</v>
      </c>
      <c r="C4467" t="s">
        <v>40</v>
      </c>
      <c r="D4467">
        <v>4.7766029999999997</v>
      </c>
      <c r="E4467">
        <v>0.54985329999999999</v>
      </c>
      <c r="F4467" t="s">
        <v>46</v>
      </c>
      <c r="G4467">
        <v>-295.21159999999998</v>
      </c>
      <c r="H4467">
        <v>-0.05</v>
      </c>
      <c r="I4467">
        <v>10.240919999999999</v>
      </c>
      <c r="J4467">
        <v>-323.99009999999998</v>
      </c>
      <c r="K4467">
        <v>1.118857</v>
      </c>
      <c r="L4467">
        <v>16.939729999999901</v>
      </c>
      <c r="M4467">
        <v>0.99951809999999996</v>
      </c>
      <c r="N4467">
        <v>-1.3158029999999999E-2</v>
      </c>
      <c r="O4467">
        <v>-2.811199E-2</v>
      </c>
      <c r="P4467">
        <v>0.9741725</v>
      </c>
      <c r="Q4467">
        <v>0.1963019</v>
      </c>
      <c r="R4467">
        <v>-0.1115964</v>
      </c>
      <c r="S4467">
        <v>3.0252690000000002</v>
      </c>
      <c r="T4467">
        <v>-0.1220986</v>
      </c>
      <c r="U4467">
        <v>-0.70043949999999999</v>
      </c>
      <c r="V4467">
        <v>8.5344240000000002E-2</v>
      </c>
      <c r="W4467">
        <v>0.20866029999999999</v>
      </c>
      <c r="X4467">
        <v>0.97425729999999999</v>
      </c>
      <c r="Y4467">
        <v>0.19788890000000001</v>
      </c>
      <c r="Z4467">
        <v>-4.5063229999999996E-3</v>
      </c>
      <c r="AA4467">
        <v>0.98021409999999998</v>
      </c>
      <c r="AB4467">
        <v>29</v>
      </c>
      <c r="AC4467">
        <v>28.778500000000001</v>
      </c>
      <c r="AD4467">
        <v>-1.168857</v>
      </c>
      <c r="AE4467">
        <v>-6.6988099999999902</v>
      </c>
      <c r="AF4467">
        <v>5.8778730822442196</v>
      </c>
      <c r="AG4467">
        <v>-1.168857</v>
      </c>
      <c r="AH4467">
        <v>28.910217445660098</v>
      </c>
      <c r="AI4467">
        <v>92.268871721435005</v>
      </c>
      <c r="AJ4467">
        <v>78.507569001159894</v>
      </c>
      <c r="AK4467">
        <v>29.524841937134401</v>
      </c>
      <c r="AL4467">
        <v>77.956146331145902</v>
      </c>
      <c r="AM4467">
        <v>84.993710230605103</v>
      </c>
      <c r="AN4467">
        <v>1.0000000233502699</v>
      </c>
    </row>
    <row r="4468" spans="1:40" x14ac:dyDescent="0.25">
      <c r="A4468" t="str">
        <f>"20190303170900713"</f>
        <v>20190303170900713</v>
      </c>
      <c r="B4468" t="str">
        <f>"1551604140707690"</f>
        <v>1551604140707690</v>
      </c>
      <c r="C4468" t="s">
        <v>40</v>
      </c>
      <c r="D4468">
        <v>4.7841259999999997</v>
      </c>
      <c r="E4468">
        <v>0.5491509</v>
      </c>
      <c r="F4468" t="s">
        <v>46</v>
      </c>
      <c r="G4468">
        <v>-295.38260000000002</v>
      </c>
      <c r="H4468">
        <v>-0.05</v>
      </c>
      <c r="I4468">
        <v>10.26318</v>
      </c>
      <c r="J4468">
        <v>-323.79860000000002</v>
      </c>
      <c r="K4468">
        <v>1.1188070000000001</v>
      </c>
      <c r="L4468">
        <v>16.932279999999999</v>
      </c>
      <c r="M4468">
        <v>0.99945839999999997</v>
      </c>
      <c r="N4468">
        <v>-1.315976E-2</v>
      </c>
      <c r="O4468">
        <v>-3.0163659999999998E-2</v>
      </c>
      <c r="P4468">
        <v>0.97394990000000004</v>
      </c>
      <c r="Q4468">
        <v>0.19603039999999999</v>
      </c>
      <c r="R4468">
        <v>-0.1139892</v>
      </c>
      <c r="S4468">
        <v>3.02359</v>
      </c>
      <c r="T4468">
        <v>-0.12353889999999999</v>
      </c>
      <c r="U4468">
        <v>-0.70565800000000001</v>
      </c>
      <c r="V4468">
        <v>8.5762439999999995E-2</v>
      </c>
      <c r="W4468">
        <v>0.20837820000000001</v>
      </c>
      <c r="X4468">
        <v>0.97428099999999995</v>
      </c>
      <c r="Y4468">
        <v>0.19759840000000001</v>
      </c>
      <c r="Z4468">
        <v>-4.4773850000000004E-3</v>
      </c>
      <c r="AA4468">
        <v>0.98027280000000006</v>
      </c>
      <c r="AB4468">
        <v>29</v>
      </c>
      <c r="AC4468">
        <v>28.416</v>
      </c>
      <c r="AD4468">
        <v>-1.1688069999999999</v>
      </c>
      <c r="AE4468">
        <v>-6.6690999999999896</v>
      </c>
      <c r="AF4468">
        <v>5.79956042247328</v>
      </c>
      <c r="AG4468">
        <v>-1.1688069999999999</v>
      </c>
      <c r="AH4468">
        <v>28.558455627501701</v>
      </c>
      <c r="AI4468">
        <v>92.2967966173603</v>
      </c>
      <c r="AJ4468">
        <v>78.520659662025395</v>
      </c>
      <c r="AK4468">
        <v>29.164814395520299</v>
      </c>
      <c r="AL4468">
        <v>77.972673302650904</v>
      </c>
      <c r="AM4468">
        <v>84.969425963001996</v>
      </c>
      <c r="AN4468">
        <v>1.00000006865549</v>
      </c>
    </row>
    <row r="4469" spans="1:40" x14ac:dyDescent="0.25">
      <c r="A4469" t="str">
        <f>"20190303170900728"</f>
        <v>20190303170900728</v>
      </c>
      <c r="B4469" t="str">
        <f>"1551604140718427"</f>
        <v>1551604140718427</v>
      </c>
      <c r="C4469" t="s">
        <v>40</v>
      </c>
      <c r="D4469">
        <v>4.7667289999999998</v>
      </c>
      <c r="E4469">
        <v>0.54879</v>
      </c>
      <c r="F4469" t="s">
        <v>46</v>
      </c>
      <c r="G4469">
        <v>-295.47280000000001</v>
      </c>
      <c r="H4469">
        <v>-0.05</v>
      </c>
      <c r="I4469">
        <v>10.29787</v>
      </c>
      <c r="J4469">
        <v>-323.60250000000002</v>
      </c>
      <c r="K4469">
        <v>1.118743</v>
      </c>
      <c r="L4469">
        <v>16.924189999999999</v>
      </c>
      <c r="M4469">
        <v>0.99939089999999997</v>
      </c>
      <c r="N4469">
        <v>-1.3161849999999999E-2</v>
      </c>
      <c r="O4469">
        <v>-3.2320330000000001E-2</v>
      </c>
      <c r="P4469">
        <v>0.97346679999999997</v>
      </c>
      <c r="Q4469">
        <v>0.19650719999999999</v>
      </c>
      <c r="R4469">
        <v>-0.1172501</v>
      </c>
      <c r="S4469">
        <v>3.0224609999999998</v>
      </c>
      <c r="T4469">
        <v>-0.1247158</v>
      </c>
      <c r="U4469">
        <v>-0.70791630000000005</v>
      </c>
      <c r="V4469">
        <v>8.6962399999999995E-2</v>
      </c>
      <c r="W4469">
        <v>0.2088342</v>
      </c>
      <c r="X4469">
        <v>0.97407690000000002</v>
      </c>
      <c r="Y4469">
        <v>0.1962575</v>
      </c>
      <c r="Z4469">
        <v>-4.4091299999999998E-3</v>
      </c>
      <c r="AA4469">
        <v>0.98054249999999998</v>
      </c>
      <c r="AB4469">
        <v>29</v>
      </c>
      <c r="AC4469">
        <v>28.1297</v>
      </c>
      <c r="AD4469">
        <v>-1.1687430000000001</v>
      </c>
      <c r="AE4469">
        <v>-6.6263199999999998</v>
      </c>
      <c r="AF4469">
        <v>5.7042881829693499</v>
      </c>
      <c r="AG4469">
        <v>-1.1687430000000001</v>
      </c>
      <c r="AH4469">
        <v>28.282927753422399</v>
      </c>
      <c r="AI4469">
        <v>92.319646674797895</v>
      </c>
      <c r="AJ4469">
        <v>78.597178148533203</v>
      </c>
      <c r="AK4469">
        <v>28.876095064598399</v>
      </c>
      <c r="AL4469">
        <v>77.9459577941048</v>
      </c>
      <c r="AM4469">
        <v>84.898345461882002</v>
      </c>
      <c r="AN4469">
        <v>0.99999999460850497</v>
      </c>
    </row>
    <row r="4470" spans="1:40" x14ac:dyDescent="0.25">
      <c r="A4470" t="str">
        <f>"20190303170900740"</f>
        <v>20190303170900740</v>
      </c>
      <c r="B4470" t="str">
        <f>"1551604140728186"</f>
        <v>1551604140728186</v>
      </c>
      <c r="C4470" t="s">
        <v>40</v>
      </c>
      <c r="D4470">
        <v>4.7614369999999999</v>
      </c>
      <c r="E4470">
        <v>0.54842990000000003</v>
      </c>
      <c r="F4470" t="s">
        <v>46</v>
      </c>
      <c r="G4470">
        <v>-294.92520000000002</v>
      </c>
      <c r="H4470">
        <v>-0.05</v>
      </c>
      <c r="I4470">
        <v>10.13048</v>
      </c>
      <c r="J4470">
        <v>-323.43740000000003</v>
      </c>
      <c r="K4470">
        <v>1.1186879999999999</v>
      </c>
      <c r="L4470">
        <v>16.916869999999999</v>
      </c>
      <c r="M4470">
        <v>0.99932840000000001</v>
      </c>
      <c r="N4470">
        <v>-1.3163960000000001E-2</v>
      </c>
      <c r="O4470">
        <v>-3.4198409999999999E-2</v>
      </c>
      <c r="P4470">
        <v>0.97303340000000005</v>
      </c>
      <c r="Q4470">
        <v>0.1970335</v>
      </c>
      <c r="R4470">
        <v>-0.1199337</v>
      </c>
      <c r="S4470">
        <v>3.020416</v>
      </c>
      <c r="T4470">
        <v>-0.1230972</v>
      </c>
      <c r="U4470">
        <v>-0.71554569999999995</v>
      </c>
      <c r="V4470">
        <v>8.7854589999999996E-2</v>
      </c>
      <c r="W4470">
        <v>0.209343</v>
      </c>
      <c r="X4470">
        <v>0.97388759999999996</v>
      </c>
      <c r="Y4470">
        <v>0.1969129</v>
      </c>
      <c r="Z4470">
        <v>-4.3426050000000002E-3</v>
      </c>
      <c r="AA4470">
        <v>0.98041140000000004</v>
      </c>
      <c r="AB4470">
        <v>29</v>
      </c>
      <c r="AC4470">
        <v>28.5122</v>
      </c>
      <c r="AD4470">
        <v>-1.1686879999999999</v>
      </c>
      <c r="AE4470">
        <v>-6.7863899999999902</v>
      </c>
      <c r="AF4470">
        <v>5.79804430740095</v>
      </c>
      <c r="AG4470">
        <v>-1.1686879999999999</v>
      </c>
      <c r="AH4470">
        <v>28.682018030977101</v>
      </c>
      <c r="AI4470">
        <v>92.287092404230805</v>
      </c>
      <c r="AJ4470">
        <v>78.571717845679402</v>
      </c>
      <c r="AK4470">
        <v>29.285513616141699</v>
      </c>
      <c r="AL4470">
        <v>77.916146710780794</v>
      </c>
      <c r="AM4470">
        <v>84.845289164646701</v>
      </c>
      <c r="AN4470">
        <v>0.99999998903341403</v>
      </c>
    </row>
    <row r="4471" spans="1:40" x14ac:dyDescent="0.25">
      <c r="A4471" t="str">
        <f>"20190303170900754"</f>
        <v>20190303170900754</v>
      </c>
      <c r="B4471" t="str">
        <f>"1551604140747706"</f>
        <v>1551604140747706</v>
      </c>
      <c r="C4471" t="s">
        <v>40</v>
      </c>
      <c r="D4471">
        <v>4.7788890000000004</v>
      </c>
      <c r="E4471">
        <v>0.54778739999999904</v>
      </c>
      <c r="F4471" t="s">
        <v>46</v>
      </c>
      <c r="G4471">
        <v>-294.34410000000003</v>
      </c>
      <c r="H4471">
        <v>-0.05</v>
      </c>
      <c r="I4471">
        <v>9.9683229999999998</v>
      </c>
      <c r="J4471">
        <v>-323.26659999999998</v>
      </c>
      <c r="K4471">
        <v>1.1186320000000001</v>
      </c>
      <c r="L4471">
        <v>16.908999999999999</v>
      </c>
      <c r="M4471">
        <v>0.9992586</v>
      </c>
      <c r="N4471">
        <v>-1.3166260000000001E-2</v>
      </c>
      <c r="O4471">
        <v>-3.6177319999999999E-2</v>
      </c>
      <c r="P4471">
        <v>0.97261949999999997</v>
      </c>
      <c r="Q4471">
        <v>0.19758510000000001</v>
      </c>
      <c r="R4471">
        <v>-0.1223585</v>
      </c>
      <c r="S4471">
        <v>3.0188290000000002</v>
      </c>
      <c r="T4471">
        <v>-0.1212674</v>
      </c>
      <c r="U4471">
        <v>-0.72100830000000005</v>
      </c>
      <c r="V4471">
        <v>8.8392189999999995E-2</v>
      </c>
      <c r="W4471">
        <v>0.2098796</v>
      </c>
      <c r="X4471">
        <v>0.97372349999999996</v>
      </c>
      <c r="Y4471">
        <v>0.19677149999999999</v>
      </c>
      <c r="Z4471">
        <v>-4.2493510000000002E-3</v>
      </c>
      <c r="AA4471">
        <v>0.98044010000000004</v>
      </c>
      <c r="AB4471">
        <v>29</v>
      </c>
      <c r="AC4471">
        <v>28.9224999999999</v>
      </c>
      <c r="AD4471">
        <v>-1.1686319999999999</v>
      </c>
      <c r="AE4471">
        <v>-6.940677</v>
      </c>
      <c r="AF4471">
        <v>5.88062544156345</v>
      </c>
      <c r="AG4471">
        <v>-1.1686319999999999</v>
      </c>
      <c r="AH4471">
        <v>29.109743354249101</v>
      </c>
      <c r="AI4471">
        <v>92.253472246175804</v>
      </c>
      <c r="AJ4471">
        <v>78.579061063766403</v>
      </c>
      <c r="AK4471">
        <v>29.7207774879063</v>
      </c>
      <c r="AL4471">
        <v>77.884703900314406</v>
      </c>
      <c r="AM4471">
        <v>84.813048694063895</v>
      </c>
      <c r="AN4471">
        <v>1.0000000401007001</v>
      </c>
    </row>
    <row r="4472" spans="1:40" x14ac:dyDescent="0.25">
      <c r="A4472" t="str">
        <f>"20190303170900772"</f>
        <v>20190303170900772</v>
      </c>
      <c r="B4472" t="str">
        <f>"1551604140758443"</f>
        <v>1551604140758443</v>
      </c>
      <c r="C4472" t="s">
        <v>40</v>
      </c>
      <c r="D4472">
        <v>4.786162</v>
      </c>
      <c r="E4472">
        <v>0.54754720000000001</v>
      </c>
      <c r="F4472" t="s">
        <v>46</v>
      </c>
      <c r="G4472">
        <v>-293.64109999999999</v>
      </c>
      <c r="H4472">
        <v>-0.05</v>
      </c>
      <c r="I4472">
        <v>9.8071750000000009</v>
      </c>
      <c r="J4472">
        <v>-323.03930000000003</v>
      </c>
      <c r="K4472">
        <v>1.118565</v>
      </c>
      <c r="L4472">
        <v>16.89798</v>
      </c>
      <c r="M4472">
        <v>0.99915670000000001</v>
      </c>
      <c r="N4472">
        <v>-1.3169729999999999E-2</v>
      </c>
      <c r="O4472">
        <v>-3.8891240000000001E-2</v>
      </c>
      <c r="P4472">
        <v>0.97211899999999996</v>
      </c>
      <c r="Q4472">
        <v>0.19779050000000001</v>
      </c>
      <c r="R4472">
        <v>-0.1259517</v>
      </c>
      <c r="S4472">
        <v>3.017639</v>
      </c>
      <c r="T4472">
        <v>-0.1190364</v>
      </c>
      <c r="U4472">
        <v>-0.7233887</v>
      </c>
      <c r="V4472">
        <v>8.9393180000000003E-2</v>
      </c>
      <c r="W4472">
        <v>0.21006240000000001</v>
      </c>
      <c r="X4472">
        <v>0.97359260000000003</v>
      </c>
      <c r="Y4472">
        <v>0.19493550000000001</v>
      </c>
      <c r="Z4472">
        <v>-4.0874290000000001E-3</v>
      </c>
      <c r="AA4472">
        <v>0.98080750000000005</v>
      </c>
      <c r="AB4472">
        <v>29</v>
      </c>
      <c r="AC4472">
        <v>29.398199999999999</v>
      </c>
      <c r="AD4472">
        <v>-1.1685649999999901</v>
      </c>
      <c r="AE4472">
        <v>-7.0908049999999996</v>
      </c>
      <c r="AF4472">
        <v>5.9331488144996998</v>
      </c>
      <c r="AG4472">
        <v>-1.1685649999999901</v>
      </c>
      <c r="AH4472">
        <v>29.607540262283099</v>
      </c>
      <c r="AI4472">
        <v>92.216189943713502</v>
      </c>
      <c r="AJ4472">
        <v>78.668408669674506</v>
      </c>
      <c r="AK4472">
        <v>30.218772963125701</v>
      </c>
      <c r="AL4472">
        <v>77.873990336758595</v>
      </c>
      <c r="AM4472">
        <v>84.753934023734104</v>
      </c>
      <c r="AN4472">
        <v>0.99999995164951505</v>
      </c>
    </row>
    <row r="4473" spans="1:40" x14ac:dyDescent="0.25">
      <c r="A4473" t="str">
        <f>"20190303170900785"</f>
        <v>20190303170900785</v>
      </c>
      <c r="B4473" t="str">
        <f>"1551604140777962"</f>
        <v>1551604140777962</v>
      </c>
      <c r="C4473" t="s">
        <v>40</v>
      </c>
      <c r="D4473">
        <v>4.9788589999999999</v>
      </c>
      <c r="E4473">
        <v>0.54769129999999999</v>
      </c>
      <c r="F4473" t="s">
        <v>46</v>
      </c>
      <c r="G4473">
        <v>-293.23849999999999</v>
      </c>
      <c r="H4473">
        <v>-0.05</v>
      </c>
      <c r="I4473">
        <v>9.65123</v>
      </c>
      <c r="J4473">
        <v>-322.85410000000002</v>
      </c>
      <c r="K4473">
        <v>1.1185</v>
      </c>
      <c r="L4473">
        <v>16.88843</v>
      </c>
      <c r="M4473">
        <v>0.99906519999999999</v>
      </c>
      <c r="N4473">
        <v>-1.317274E-2</v>
      </c>
      <c r="O4473">
        <v>-4.1173059999999997E-2</v>
      </c>
      <c r="P4473">
        <v>0.97171719999999895</v>
      </c>
      <c r="Q4473">
        <v>0.1981021</v>
      </c>
      <c r="R4473">
        <v>-0.12853519999999999</v>
      </c>
      <c r="S4473">
        <v>3.0150760000000001</v>
      </c>
      <c r="T4473">
        <v>-0.1182289</v>
      </c>
      <c r="U4473">
        <v>-0.73318479999999997</v>
      </c>
      <c r="V4473">
        <v>8.9797440000000006E-2</v>
      </c>
      <c r="W4473">
        <v>0.21035889999999999</v>
      </c>
      <c r="X4473">
        <v>0.97349140000000001</v>
      </c>
      <c r="Y4473">
        <v>0.19589719999999999</v>
      </c>
      <c r="Z4473">
        <v>-4.040564E-3</v>
      </c>
      <c r="AA4473">
        <v>0.98061609999999999</v>
      </c>
      <c r="AB4473">
        <v>29</v>
      </c>
      <c r="AC4473">
        <v>29.615600000000001</v>
      </c>
      <c r="AD4473">
        <v>-1.1685000000000001</v>
      </c>
      <c r="AE4473">
        <v>-7.2371999999999996</v>
      </c>
      <c r="AF4473">
        <v>6.0027731676398197</v>
      </c>
      <c r="AG4473">
        <v>-1.1685000000000001</v>
      </c>
      <c r="AH4473">
        <v>29.844643783768198</v>
      </c>
      <c r="AI4473">
        <v>92.198164399117402</v>
      </c>
      <c r="AJ4473">
        <v>78.627605656365603</v>
      </c>
      <c r="AK4473">
        <v>30.464757352261099</v>
      </c>
      <c r="AL4473">
        <v>77.8566141855094</v>
      </c>
      <c r="AM4473">
        <v>84.729798440398099</v>
      </c>
      <c r="AN4473">
        <v>0.99999997645686101</v>
      </c>
    </row>
    <row r="4474" spans="1:40" x14ac:dyDescent="0.25">
      <c r="A4474" t="str">
        <f>"20190303170900799"</f>
        <v>20190303170900799</v>
      </c>
      <c r="B4474" t="str">
        <f>"1551604140787722"</f>
        <v>1551604140787722</v>
      </c>
      <c r="C4474" t="s">
        <v>40</v>
      </c>
      <c r="D4474">
        <v>4.868366</v>
      </c>
      <c r="E4474">
        <v>0.58962769999999898</v>
      </c>
      <c r="F4474" t="s">
        <v>46</v>
      </c>
      <c r="G4474">
        <v>-292.81979999999999</v>
      </c>
      <c r="H4474">
        <v>-0.05</v>
      </c>
      <c r="I4474">
        <v>9.4829100000000004</v>
      </c>
      <c r="J4474">
        <v>-322.68380000000002</v>
      </c>
      <c r="K4474">
        <v>1.1184430000000001</v>
      </c>
      <c r="L4474">
        <v>16.87921</v>
      </c>
      <c r="M4474">
        <v>0.99897420000000003</v>
      </c>
      <c r="N4474">
        <v>-1.3175630000000001E-2</v>
      </c>
      <c r="O4474">
        <v>-4.3325339999999997E-2</v>
      </c>
      <c r="P4474">
        <v>0.97141460000000002</v>
      </c>
      <c r="Q4474">
        <v>0.19791810000000001</v>
      </c>
      <c r="R4474">
        <v>-0.13108239999999999</v>
      </c>
      <c r="S4474">
        <v>3.0129090000000001</v>
      </c>
      <c r="T4474">
        <v>-0.1172189</v>
      </c>
      <c r="U4474">
        <v>-0.74288940000000003</v>
      </c>
      <c r="V4474">
        <v>9.0280940000000004E-2</v>
      </c>
      <c r="W4474">
        <v>0.2101616</v>
      </c>
      <c r="X4474">
        <v>0.9734893</v>
      </c>
      <c r="Y4474">
        <v>0.1969283</v>
      </c>
      <c r="Z4474">
        <v>-3.9957179999999997E-3</v>
      </c>
      <c r="AA4474">
        <v>0.98040970000000005</v>
      </c>
      <c r="AB4474">
        <v>29</v>
      </c>
      <c r="AC4474">
        <v>29.864000000000001</v>
      </c>
      <c r="AD4474">
        <v>-1.1684429999999999</v>
      </c>
      <c r="AE4474">
        <v>-7.3963000000000001</v>
      </c>
      <c r="AF4474">
        <v>6.0865947150357602</v>
      </c>
      <c r="AG4474">
        <v>-1.1684429999999999</v>
      </c>
      <c r="AH4474">
        <v>30.112995409058001</v>
      </c>
      <c r="AI4474">
        <v>92.178070356206604</v>
      </c>
      <c r="AJ4474">
        <v>78.573034720295894</v>
      </c>
      <c r="AK4474">
        <v>30.7441764692974</v>
      </c>
      <c r="AL4474">
        <v>77.868177192387407</v>
      </c>
      <c r="AM4474">
        <v>84.701571587166697</v>
      </c>
      <c r="AN4474">
        <v>0.99999998172816595</v>
      </c>
    </row>
    <row r="4475" spans="1:40" x14ac:dyDescent="0.25">
      <c r="A4475" t="str">
        <f>"20190303170900819"</f>
        <v>20190303170900819</v>
      </c>
      <c r="B4475" t="str">
        <f>"1551604140808217"</f>
        <v>1551604140808217</v>
      </c>
      <c r="C4475" t="s">
        <v>40</v>
      </c>
      <c r="D4475">
        <v>4.8536970000000004</v>
      </c>
      <c r="E4475">
        <v>0.60845629999999995</v>
      </c>
      <c r="F4475" t="s">
        <v>46</v>
      </c>
      <c r="G4475">
        <v>-279.79750000000001</v>
      </c>
      <c r="H4475">
        <v>-0.05</v>
      </c>
      <c r="I4475">
        <v>1.169281</v>
      </c>
      <c r="J4475">
        <v>-322.42880000000002</v>
      </c>
      <c r="K4475">
        <v>1.1183529999999999</v>
      </c>
      <c r="L4475">
        <v>16.864619999999999</v>
      </c>
      <c r="M4475">
        <v>0.99882519999999997</v>
      </c>
      <c r="N4475">
        <v>-1.317989E-2</v>
      </c>
      <c r="O4475">
        <v>-4.6629980000000001E-2</v>
      </c>
      <c r="P4475">
        <v>0.97080339999999998</v>
      </c>
      <c r="Q4475">
        <v>0.1979187</v>
      </c>
      <c r="R4475">
        <v>-0.13553200000000001</v>
      </c>
      <c r="S4475">
        <v>2.958405</v>
      </c>
      <c r="T4475">
        <v>-8.0602049999999995E-2</v>
      </c>
      <c r="U4475">
        <v>-1.08371</v>
      </c>
      <c r="V4475">
        <v>9.1568629999999998E-2</v>
      </c>
      <c r="W4475">
        <v>0.2101374</v>
      </c>
      <c r="X4475">
        <v>0.97337419999999997</v>
      </c>
      <c r="Y4475">
        <v>0.2996548</v>
      </c>
      <c r="Z4475">
        <v>-5.3596889999999999E-3</v>
      </c>
      <c r="AA4475">
        <v>0.95403269999999996</v>
      </c>
      <c r="AB4475">
        <v>29</v>
      </c>
      <c r="AC4475">
        <v>42.631300000000003</v>
      </c>
      <c r="AD4475">
        <v>-1.168353</v>
      </c>
      <c r="AE4475">
        <v>-15.695339000000001</v>
      </c>
      <c r="AF4475">
        <v>13.6811444474274</v>
      </c>
      <c r="AG4475">
        <v>-1.168353</v>
      </c>
      <c r="AH4475">
        <v>43.2882235884164</v>
      </c>
      <c r="AI4475">
        <v>91.474202779210202</v>
      </c>
      <c r="AJ4475">
        <v>72.460977845828793</v>
      </c>
      <c r="AK4475">
        <v>45.413754123224798</v>
      </c>
      <c r="AL4475">
        <v>77.869594870171795</v>
      </c>
      <c r="AM4475">
        <v>84.6258069360984</v>
      </c>
      <c r="AN4475">
        <v>0.999999937052236</v>
      </c>
    </row>
    <row r="4476" spans="1:40" x14ac:dyDescent="0.25">
      <c r="A4476" t="str">
        <f>"20190303170900840"</f>
        <v>20190303170900840</v>
      </c>
      <c r="B4476" t="str">
        <f>"1551604140827738"</f>
        <v>1551604140827738</v>
      </c>
      <c r="C4476" t="s">
        <v>40</v>
      </c>
      <c r="D4476">
        <v>4.992877</v>
      </c>
      <c r="E4476">
        <v>0.62089030000000001</v>
      </c>
      <c r="F4476" t="s">
        <v>99</v>
      </c>
      <c r="G4476">
        <v>-279.02</v>
      </c>
      <c r="H4476">
        <v>0.29667379999999999</v>
      </c>
      <c r="I4476">
        <v>-1.6181299999999901</v>
      </c>
      <c r="J4476">
        <v>-322.16059999999999</v>
      </c>
      <c r="K4476">
        <v>1.118266</v>
      </c>
      <c r="L4476">
        <v>16.848299999999998</v>
      </c>
      <c r="M4476">
        <v>0.99865110000000001</v>
      </c>
      <c r="N4476">
        <v>-1.318445E-2</v>
      </c>
      <c r="O4476">
        <v>-5.0219119999999999E-2</v>
      </c>
      <c r="P4476">
        <v>0.96998530000000005</v>
      </c>
      <c r="Q4476">
        <v>0.19846279999999999</v>
      </c>
      <c r="R4476">
        <v>-0.14050209999999999</v>
      </c>
      <c r="S4476">
        <v>2.927521</v>
      </c>
      <c r="T4476">
        <v>-5.5414680000000001E-2</v>
      </c>
      <c r="U4476">
        <v>-1.2464900000000001</v>
      </c>
      <c r="V4476">
        <v>9.3114479999999999E-2</v>
      </c>
      <c r="W4476">
        <v>0.21065249999999999</v>
      </c>
      <c r="X4476">
        <v>0.97311619999999999</v>
      </c>
      <c r="Y4476">
        <v>0.34495379999999998</v>
      </c>
      <c r="Z4476">
        <v>-5.2259380000000003E-3</v>
      </c>
      <c r="AA4476">
        <v>0.93860509999999997</v>
      </c>
      <c r="AB4476">
        <v>29</v>
      </c>
      <c r="AC4476">
        <v>43.140599999999999</v>
      </c>
      <c r="AD4476">
        <v>-0.821592199999999</v>
      </c>
      <c r="AE4476">
        <v>-18.466429999999999</v>
      </c>
      <c r="AF4476">
        <v>16.2714662677649</v>
      </c>
      <c r="AG4476">
        <v>-0.821592199999999</v>
      </c>
      <c r="AH4476">
        <v>44.0001179975227</v>
      </c>
      <c r="AI4476">
        <v>91.003337667350294</v>
      </c>
      <c r="AJ4476">
        <v>69.705351216267701</v>
      </c>
      <c r="AK4476">
        <v>46.919569606317097</v>
      </c>
      <c r="AL4476">
        <v>77.839406368703393</v>
      </c>
      <c r="AM4476">
        <v>84.534185137497303</v>
      </c>
      <c r="AN4476">
        <v>0.99999996042217898</v>
      </c>
    </row>
    <row r="4477" spans="1:40" x14ac:dyDescent="0.25">
      <c r="A4477" t="str">
        <f>"20190303170900862"</f>
        <v>20190303170900862</v>
      </c>
      <c r="B4477" t="str">
        <f>"1551604140848234"</f>
        <v>1551604140848234</v>
      </c>
      <c r="C4477" t="s">
        <v>40</v>
      </c>
      <c r="D4477">
        <v>4.9904080000000004</v>
      </c>
      <c r="E4477">
        <v>0.62741519999999995</v>
      </c>
      <c r="F4477" t="s">
        <v>99</v>
      </c>
      <c r="G4477">
        <v>-279.02</v>
      </c>
      <c r="H4477">
        <v>0.29966199999999998</v>
      </c>
      <c r="I4477">
        <v>-3.3249469999999999</v>
      </c>
      <c r="J4477">
        <v>-321.87630000000001</v>
      </c>
      <c r="K4477">
        <v>1.1181829999999999</v>
      </c>
      <c r="L4477">
        <v>16.829799999999999</v>
      </c>
      <c r="M4477">
        <v>0.99844619999999995</v>
      </c>
      <c r="N4477">
        <v>-1.3189559999999999E-2</v>
      </c>
      <c r="O4477">
        <v>-5.414008E-2</v>
      </c>
      <c r="P4477">
        <v>0.96918130000000002</v>
      </c>
      <c r="Q4477">
        <v>0.19891239999999999</v>
      </c>
      <c r="R4477">
        <v>-0.14533199999999999</v>
      </c>
      <c r="S4477">
        <v>2.9072269999999998</v>
      </c>
      <c r="T4477">
        <v>-5.5165409999999998E-2</v>
      </c>
      <c r="U4477">
        <v>-1.359467</v>
      </c>
      <c r="V4477">
        <v>9.4197509999999998E-2</v>
      </c>
      <c r="W4477">
        <v>0.21107619999999999</v>
      </c>
      <c r="X4477">
        <v>0.97292020000000001</v>
      </c>
      <c r="Y4477">
        <v>0.37382280000000001</v>
      </c>
      <c r="Z4477">
        <v>-5.6668689999999997E-3</v>
      </c>
      <c r="AA4477">
        <v>0.92748280000000005</v>
      </c>
      <c r="AB4477">
        <v>29</v>
      </c>
      <c r="AC4477">
        <v>42.856299999999997</v>
      </c>
      <c r="AD4477">
        <v>-0.81852099999999905</v>
      </c>
      <c r="AE4477">
        <v>-20.154747</v>
      </c>
      <c r="AF4477">
        <v>17.799419535831301</v>
      </c>
      <c r="AG4477">
        <v>-0.81852099999999905</v>
      </c>
      <c r="AH4477">
        <v>43.871603428756003</v>
      </c>
      <c r="AI4477">
        <v>90.9904584161429</v>
      </c>
      <c r="AJ4477">
        <v>67.916809219744394</v>
      </c>
      <c r="AK4477">
        <v>47.3519471600694</v>
      </c>
      <c r="AL4477">
        <v>77.8145725382401</v>
      </c>
      <c r="AM4477">
        <v>84.469896087237402</v>
      </c>
      <c r="AN4477">
        <v>1.0000000243323299</v>
      </c>
    </row>
    <row r="4478" spans="1:40" x14ac:dyDescent="0.25">
      <c r="A4478" t="str">
        <f>"20190303170900886"</f>
        <v>20190303170900886</v>
      </c>
      <c r="B4478" t="str">
        <f>"1551604140878491"</f>
        <v>1551604140878491</v>
      </c>
      <c r="C4478" t="s">
        <v>40</v>
      </c>
      <c r="D4478">
        <v>4.8380850000000004</v>
      </c>
      <c r="E4478">
        <v>0.63300840000000003</v>
      </c>
      <c r="F4478" t="s">
        <v>99</v>
      </c>
      <c r="G4478">
        <v>-279.02</v>
      </c>
      <c r="H4478">
        <v>0.34398440000000002</v>
      </c>
      <c r="I4478">
        <v>-4.2944559999999896</v>
      </c>
      <c r="J4478">
        <v>-321.56490000000002</v>
      </c>
      <c r="K4478">
        <v>1.1180859999999999</v>
      </c>
      <c r="L4478">
        <v>16.80817</v>
      </c>
      <c r="M4478">
        <v>0.99819669999999905</v>
      </c>
      <c r="N4478">
        <v>-1.319504E-2</v>
      </c>
      <c r="O4478">
        <v>-5.855933E-2</v>
      </c>
      <c r="P4478">
        <v>0.96836659999999997</v>
      </c>
      <c r="Q4478">
        <v>0.19911889999999999</v>
      </c>
      <c r="R4478">
        <v>-0.15039369999999999</v>
      </c>
      <c r="S4478">
        <v>2.892334</v>
      </c>
      <c r="T4478">
        <v>-5.2250030000000003E-2</v>
      </c>
      <c r="U4478">
        <v>-1.425659</v>
      </c>
      <c r="V4478">
        <v>9.5028089999999996E-2</v>
      </c>
      <c r="W4478">
        <v>0.2112589</v>
      </c>
      <c r="X4478">
        <v>0.97279970000000004</v>
      </c>
      <c r="Y4478">
        <v>0.38873410000000003</v>
      </c>
      <c r="Z4478">
        <v>-5.7620529999999996E-3</v>
      </c>
      <c r="AA4478">
        <v>0.92133200000000004</v>
      </c>
      <c r="AB4478">
        <v>29</v>
      </c>
      <c r="AC4478">
        <v>42.544899999999998</v>
      </c>
      <c r="AD4478">
        <v>-0.77410159999999995</v>
      </c>
      <c r="AE4478">
        <v>-21.102626000000001</v>
      </c>
      <c r="AF4478">
        <v>18.569854477877001</v>
      </c>
      <c r="AG4478">
        <v>-0.77410159999999995</v>
      </c>
      <c r="AH4478">
        <v>43.696130900377703</v>
      </c>
      <c r="AI4478">
        <v>90.934085712840698</v>
      </c>
      <c r="AJ4478">
        <v>66.975619908758205</v>
      </c>
      <c r="AK4478">
        <v>47.4846352442514</v>
      </c>
      <c r="AL4478">
        <v>77.803862285440403</v>
      </c>
      <c r="AM4478">
        <v>84.420754377923203</v>
      </c>
      <c r="AN4478">
        <v>0.999999958519173</v>
      </c>
    </row>
    <row r="4479" spans="1:40" x14ac:dyDescent="0.25">
      <c r="A4479" t="str">
        <f>"20190303170900898"</f>
        <v>20190303170900898</v>
      </c>
      <c r="B4479" t="str">
        <f>"1551604140888250"</f>
        <v>1551604140888250</v>
      </c>
      <c r="C4479" t="s">
        <v>40</v>
      </c>
      <c r="D4479">
        <v>4.8437519999999896</v>
      </c>
      <c r="E4479">
        <v>0.63420399999999999</v>
      </c>
      <c r="F4479" t="s">
        <v>99</v>
      </c>
      <c r="G4479">
        <v>-279.02</v>
      </c>
      <c r="H4479">
        <v>0.4819176</v>
      </c>
      <c r="I4479">
        <v>-5.1635179999999998</v>
      </c>
      <c r="J4479">
        <v>-321.4033</v>
      </c>
      <c r="K4479">
        <v>1.118036</v>
      </c>
      <c r="L4479">
        <v>16.796229999999898</v>
      </c>
      <c r="M4479">
        <v>0.9980559</v>
      </c>
      <c r="N4479">
        <v>-1.319791E-2</v>
      </c>
      <c r="O4479">
        <v>-6.0913109999999999E-2</v>
      </c>
      <c r="P4479">
        <v>0.96782950000000001</v>
      </c>
      <c r="Q4479">
        <v>0.1994311</v>
      </c>
      <c r="R4479">
        <v>-0.15340529999999999</v>
      </c>
      <c r="S4479">
        <v>2.87616</v>
      </c>
      <c r="T4479">
        <v>-4.3006900000000001E-2</v>
      </c>
      <c r="U4479">
        <v>-1.485352</v>
      </c>
      <c r="V4479">
        <v>9.5793020000000006E-2</v>
      </c>
      <c r="W4479">
        <v>0.21155579999999999</v>
      </c>
      <c r="X4479">
        <v>0.97266019999999997</v>
      </c>
      <c r="Y4479">
        <v>0.4038043</v>
      </c>
      <c r="Z4479">
        <v>-5.5695880000000003E-3</v>
      </c>
      <c r="AA4479">
        <v>0.91482839999999999</v>
      </c>
      <c r="AB4479">
        <v>29</v>
      </c>
      <c r="AC4479">
        <v>42.383299999999998</v>
      </c>
      <c r="AD4479">
        <v>-0.63611839999999997</v>
      </c>
      <c r="AE4479">
        <v>-21.959748000000001</v>
      </c>
      <c r="AF4479">
        <v>19.333606556186499</v>
      </c>
      <c r="AG4479">
        <v>-0.63611839999999997</v>
      </c>
      <c r="AH4479">
        <v>43.6345875531795</v>
      </c>
      <c r="AI4479">
        <v>90.763625394328201</v>
      </c>
      <c r="AJ4479">
        <v>66.102832950950997</v>
      </c>
      <c r="AK4479">
        <v>47.7301814371611</v>
      </c>
      <c r="AL4479">
        <v>77.786458454449203</v>
      </c>
      <c r="AM4479">
        <v>84.375329511492097</v>
      </c>
      <c r="AN4479">
        <v>1.0000000119292001</v>
      </c>
    </row>
    <row r="4480" spans="1:40" x14ac:dyDescent="0.25">
      <c r="A4480" t="str">
        <f>"20190303170900917"</f>
        <v>20190303170900917</v>
      </c>
      <c r="B4480" t="str">
        <f>"1551604140907770"</f>
        <v>1551604140907770</v>
      </c>
      <c r="C4480" t="s">
        <v>40</v>
      </c>
      <c r="D4480">
        <v>4.7531410000000003</v>
      </c>
      <c r="E4480">
        <v>0.63647129999999996</v>
      </c>
      <c r="F4480" t="s">
        <v>99</v>
      </c>
      <c r="G4480">
        <v>-279.02</v>
      </c>
      <c r="H4480">
        <v>0.55237930000000002</v>
      </c>
      <c r="I4480">
        <v>-5.4306999999999999</v>
      </c>
      <c r="J4480">
        <v>-321.16070000000002</v>
      </c>
      <c r="K4480">
        <v>1.117902</v>
      </c>
      <c r="L4480">
        <v>16.777739999999898</v>
      </c>
      <c r="M4480">
        <v>0.99782870000000001</v>
      </c>
      <c r="N4480">
        <v>-1.287192E-2</v>
      </c>
      <c r="O4480">
        <v>-6.4593220000000007E-2</v>
      </c>
      <c r="P4480">
        <v>0.96696009999999999</v>
      </c>
      <c r="Q4480">
        <v>0.20007449999999999</v>
      </c>
      <c r="R4480">
        <v>-0.1579827</v>
      </c>
      <c r="S4480">
        <v>2.86911</v>
      </c>
      <c r="T4480">
        <v>-3.8291810000000003E-2</v>
      </c>
      <c r="U4480">
        <v>-1.5046389999999901</v>
      </c>
      <c r="V4480">
        <v>9.6848890000000007E-2</v>
      </c>
      <c r="W4480">
        <v>0.21185870000000001</v>
      </c>
      <c r="X4480">
        <v>0.97248970000000001</v>
      </c>
      <c r="Y4480">
        <v>0.4061939</v>
      </c>
      <c r="Z4480">
        <v>-5.2980630000000004E-3</v>
      </c>
      <c r="AA4480">
        <v>0.91377160000000002</v>
      </c>
      <c r="AB4480">
        <v>29</v>
      </c>
      <c r="AC4480">
        <v>42.140700000000002</v>
      </c>
      <c r="AD4480">
        <v>-0.56552269999999905</v>
      </c>
      <c r="AE4480">
        <v>-22.20844</v>
      </c>
      <c r="AF4480">
        <v>19.4370854098899</v>
      </c>
      <c r="AG4480">
        <v>-0.56552269999999905</v>
      </c>
      <c r="AH4480">
        <v>43.481186941590501</v>
      </c>
      <c r="AI4480">
        <v>90.680285344996904</v>
      </c>
      <c r="AJ4480">
        <v>65.914264092243698</v>
      </c>
      <c r="AK4480">
        <v>47.631226343703503</v>
      </c>
      <c r="AL4480">
        <v>77.768701114261503</v>
      </c>
      <c r="AM4480">
        <v>84.312745782542095</v>
      </c>
      <c r="AN4480">
        <v>1.0000000164330001</v>
      </c>
    </row>
    <row r="4481" spans="1:40" x14ac:dyDescent="0.25">
      <c r="A4481" t="str">
        <f>"20190303170900930"</f>
        <v>20190303170900930</v>
      </c>
      <c r="B4481" t="str">
        <f>"1551604140918507"</f>
        <v>1551604140918507</v>
      </c>
      <c r="C4481" t="s">
        <v>40</v>
      </c>
      <c r="D4481">
        <v>4.7793409999999996</v>
      </c>
      <c r="E4481">
        <v>0.6372738</v>
      </c>
      <c r="F4481" t="s">
        <v>99</v>
      </c>
      <c r="G4481">
        <v>-279.02</v>
      </c>
      <c r="H4481">
        <v>0.69075169999999997</v>
      </c>
      <c r="I4481">
        <v>-5.8736189999999997</v>
      </c>
      <c r="J4481">
        <v>-321.00150000000002</v>
      </c>
      <c r="K4481">
        <v>1.117756</v>
      </c>
      <c r="L4481">
        <v>16.765229999999999</v>
      </c>
      <c r="M4481">
        <v>0.99766849999999996</v>
      </c>
      <c r="N4481">
        <v>-1.2439560000000001E-2</v>
      </c>
      <c r="O4481">
        <v>-6.7103609999999994E-2</v>
      </c>
      <c r="P4481">
        <v>0.96651949999999998</v>
      </c>
      <c r="Q4481">
        <v>0.20004769999999999</v>
      </c>
      <c r="R4481">
        <v>-0.16068969999999999</v>
      </c>
      <c r="S4481">
        <v>2.8575439999999999</v>
      </c>
      <c r="T4481">
        <v>-2.8964879999999998E-2</v>
      </c>
      <c r="U4481">
        <v>-1.5359799999999999</v>
      </c>
      <c r="V4481">
        <v>9.7134230000000002E-2</v>
      </c>
      <c r="W4481">
        <v>0.21140390000000001</v>
      </c>
      <c r="X4481">
        <v>0.97256019999999999</v>
      </c>
      <c r="Y4481">
        <v>0.4132344</v>
      </c>
      <c r="Z4481">
        <v>-4.8469799999999999E-3</v>
      </c>
      <c r="AA4481">
        <v>0.91061170000000002</v>
      </c>
      <c r="AB4481">
        <v>29</v>
      </c>
      <c r="AC4481">
        <v>41.981499999999997</v>
      </c>
      <c r="AD4481">
        <v>-0.427004299999999</v>
      </c>
      <c r="AE4481">
        <v>-22.638849</v>
      </c>
      <c r="AF4481">
        <v>19.768900898256</v>
      </c>
      <c r="AG4481">
        <v>-0.427004299999999</v>
      </c>
      <c r="AH4481">
        <v>43.402646947636001</v>
      </c>
      <c r="AI4481">
        <v>90.512968663348801</v>
      </c>
      <c r="AJ4481">
        <v>65.511833576110703</v>
      </c>
      <c r="AK4481">
        <v>47.694669906168997</v>
      </c>
      <c r="AL4481">
        <v>77.795363000357</v>
      </c>
      <c r="AM4481">
        <v>84.296510843293206</v>
      </c>
      <c r="AN4481">
        <v>1.0000000050984701</v>
      </c>
    </row>
    <row r="4482" spans="1:40" x14ac:dyDescent="0.25">
      <c r="A4482" t="str">
        <f>"20190303170900949"</f>
        <v>20190303170900949</v>
      </c>
      <c r="B4482" t="str">
        <f>"1551604140938026"</f>
        <v>1551604140938026</v>
      </c>
      <c r="C4482" t="s">
        <v>40</v>
      </c>
      <c r="D4482">
        <v>4.7739349999999998</v>
      </c>
      <c r="E4482">
        <v>0.63867450000000003</v>
      </c>
      <c r="F4482" t="s">
        <v>99</v>
      </c>
      <c r="G4482">
        <v>-279.02</v>
      </c>
      <c r="H4482">
        <v>0.72187889999999999</v>
      </c>
      <c r="I4482">
        <v>-6.0514429999999999</v>
      </c>
      <c r="J4482">
        <v>-320.74770000000001</v>
      </c>
      <c r="K4482">
        <v>1.117467</v>
      </c>
      <c r="L4482">
        <v>16.744289999999999</v>
      </c>
      <c r="M4482">
        <v>0.99739409999999895</v>
      </c>
      <c r="N4482">
        <v>-1.197608E-2</v>
      </c>
      <c r="O4482">
        <v>-7.1145470000000002E-2</v>
      </c>
      <c r="P4482">
        <v>0.96627620000000003</v>
      </c>
      <c r="Q4482">
        <v>0.1991175</v>
      </c>
      <c r="R4482">
        <v>-0.163287299999999</v>
      </c>
      <c r="S4482">
        <v>2.8518370000000002</v>
      </c>
      <c r="T4482">
        <v>-2.6892300000000001E-2</v>
      </c>
      <c r="U4482">
        <v>-1.549957</v>
      </c>
      <c r="V4482">
        <v>9.581655E-2</v>
      </c>
      <c r="W4482">
        <v>0.21002090000000001</v>
      </c>
      <c r="X4482">
        <v>0.97299049999999998</v>
      </c>
      <c r="Y4482">
        <v>0.41376200000000002</v>
      </c>
      <c r="Z4482">
        <v>-4.640038E-3</v>
      </c>
      <c r="AA4482">
        <v>0.91037330000000005</v>
      </c>
      <c r="AB4482">
        <v>29</v>
      </c>
      <c r="AC4482">
        <v>41.727699999999999</v>
      </c>
      <c r="AD4482">
        <v>-0.395588099999999</v>
      </c>
      <c r="AE4482">
        <v>-22.795732999999998</v>
      </c>
      <c r="AF4482">
        <v>19.767641316324799</v>
      </c>
      <c r="AG4482">
        <v>-0.395588099999999</v>
      </c>
      <c r="AH4482">
        <v>43.240881116013099</v>
      </c>
      <c r="AI4482">
        <v>90.4767057183915</v>
      </c>
      <c r="AJ4482">
        <v>65.432410692342401</v>
      </c>
      <c r="AK4482">
        <v>47.546713165527201</v>
      </c>
      <c r="AL4482">
        <v>77.876423591925601</v>
      </c>
      <c r="AM4482">
        <v>84.375854385199801</v>
      </c>
      <c r="AN4482">
        <v>1.0000000513904701</v>
      </c>
    </row>
    <row r="4483" spans="1:40" x14ac:dyDescent="0.25">
      <c r="A4483" t="str">
        <f>"20190303170900963"</f>
        <v>20190303170900963</v>
      </c>
      <c r="B4483" t="str">
        <f>"1551604140947786"</f>
        <v>1551604140947786</v>
      </c>
      <c r="C4483" t="s">
        <v>40</v>
      </c>
      <c r="D4483">
        <v>4.8305689999999997</v>
      </c>
      <c r="E4483">
        <v>0.63914559999999998</v>
      </c>
      <c r="F4483" t="s">
        <v>99</v>
      </c>
      <c r="G4483">
        <v>-279.02</v>
      </c>
      <c r="H4483">
        <v>0.72539600000000004</v>
      </c>
      <c r="I4483">
        <v>-6.2560469999999997</v>
      </c>
      <c r="J4483">
        <v>-320.57010000000002</v>
      </c>
      <c r="K4483">
        <v>1.117259</v>
      </c>
      <c r="L4483">
        <v>16.729029999999899</v>
      </c>
      <c r="M4483">
        <v>0.99718739999999995</v>
      </c>
      <c r="N4483">
        <v>-1.2068529999999999E-2</v>
      </c>
      <c r="O4483">
        <v>-7.3969640000000003E-2</v>
      </c>
      <c r="P4483">
        <v>0.96601740000000003</v>
      </c>
      <c r="Q4483">
        <v>0.1986281</v>
      </c>
      <c r="R4483">
        <v>-0.16540050000000001</v>
      </c>
      <c r="S4483">
        <v>2.8451840000000002</v>
      </c>
      <c r="T4483">
        <v>-2.6733159999999999E-2</v>
      </c>
      <c r="U4483">
        <v>-1.568268</v>
      </c>
      <c r="V4483">
        <v>9.5203549999999998E-2</v>
      </c>
      <c r="W4483">
        <v>0.2096162</v>
      </c>
      <c r="X4483">
        <v>0.9731379</v>
      </c>
      <c r="Y4483">
        <v>0.41658020000000001</v>
      </c>
      <c r="Z4483">
        <v>-4.7011789999999998E-3</v>
      </c>
      <c r="AA4483">
        <v>0.90908679999999997</v>
      </c>
      <c r="AB4483">
        <v>29</v>
      </c>
      <c r="AC4483">
        <v>41.5501</v>
      </c>
      <c r="AD4483">
        <v>-0.39186300000000002</v>
      </c>
      <c r="AE4483">
        <v>-22.985077</v>
      </c>
      <c r="AF4483">
        <v>19.847078381641701</v>
      </c>
      <c r="AG4483">
        <v>-0.39186300000000002</v>
      </c>
      <c r="AH4483">
        <v>43.133640845263002</v>
      </c>
      <c r="AI4483">
        <v>90.472857039056294</v>
      </c>
      <c r="AJ4483">
        <v>65.291426604144206</v>
      </c>
      <c r="AK4483">
        <v>47.482323547462798</v>
      </c>
      <c r="AL4483">
        <v>77.900138704045503</v>
      </c>
      <c r="AM4483">
        <v>84.412448275201498</v>
      </c>
      <c r="AN4483">
        <v>1.00000001982572</v>
      </c>
    </row>
    <row r="4484" spans="1:40" x14ac:dyDescent="0.25">
      <c r="A4484" t="str">
        <f>"20190303170900978"</f>
        <v>20190303170900978</v>
      </c>
      <c r="B4484" t="str">
        <f>"1551604140968284"</f>
        <v>1551604140968284</v>
      </c>
      <c r="C4484" t="s">
        <v>40</v>
      </c>
      <c r="D4484">
        <v>4.8113070000000002</v>
      </c>
      <c r="E4484">
        <v>0.63994449999999903</v>
      </c>
      <c r="F4484" t="s">
        <v>99</v>
      </c>
      <c r="G4484">
        <v>-279.02</v>
      </c>
      <c r="H4484">
        <v>0.72974749999999999</v>
      </c>
      <c r="I4484">
        <v>-6.3601869999999998</v>
      </c>
      <c r="J4484">
        <v>-320.38549999999998</v>
      </c>
      <c r="K4484">
        <v>1.116965</v>
      </c>
      <c r="L4484">
        <v>16.712679999999999</v>
      </c>
      <c r="M4484">
        <v>0.99696050000000003</v>
      </c>
      <c r="N4484">
        <v>-1.233655E-2</v>
      </c>
      <c r="O4484">
        <v>-7.6925049999999995E-2</v>
      </c>
      <c r="P4484">
        <v>0.96589329999999995</v>
      </c>
      <c r="Q4484">
        <v>0.1977196</v>
      </c>
      <c r="R4484">
        <v>-0.1672042</v>
      </c>
      <c r="S4484">
        <v>2.8407290000000001</v>
      </c>
      <c r="T4484">
        <v>-2.649367E-2</v>
      </c>
      <c r="U4484">
        <v>-1.5785830000000001</v>
      </c>
      <c r="V4484">
        <v>9.4148109999999993E-2</v>
      </c>
      <c r="W4484">
        <v>0.2089657</v>
      </c>
      <c r="X4484">
        <v>0.97338040000000003</v>
      </c>
      <c r="Y4484">
        <v>0.41701359999999899</v>
      </c>
      <c r="Z4484">
        <v>-4.7848309999999998E-3</v>
      </c>
      <c r="AA4484">
        <v>0.90888760000000002</v>
      </c>
      <c r="AB4484">
        <v>29</v>
      </c>
      <c r="AC4484">
        <v>41.365499999999997</v>
      </c>
      <c r="AD4484">
        <v>-0.38721749999999999</v>
      </c>
      <c r="AE4484">
        <v>-23.072866999999999</v>
      </c>
      <c r="AF4484">
        <v>19.820878674864201</v>
      </c>
      <c r="AG4484">
        <v>-0.38721749999999999</v>
      </c>
      <c r="AH4484">
        <v>43.015052082742201</v>
      </c>
      <c r="AI4484">
        <v>90.468422361796499</v>
      </c>
      <c r="AJ4484">
        <v>65.2602522474496</v>
      </c>
      <c r="AK4484">
        <v>47.363613402241803</v>
      </c>
      <c r="AL4484">
        <v>77.938253076434293</v>
      </c>
      <c r="AM4484">
        <v>84.4753752942472</v>
      </c>
      <c r="AN4484">
        <v>0.99999996674861003</v>
      </c>
    </row>
    <row r="4485" spans="1:40" x14ac:dyDescent="0.25">
      <c r="A4485" t="str">
        <f>"20190303170900996"</f>
        <v>20190303170900996</v>
      </c>
      <c r="B4485" t="str">
        <f>"1551604140987802"</f>
        <v>1551604140987802</v>
      </c>
      <c r="C4485" t="s">
        <v>40</v>
      </c>
      <c r="D4485">
        <v>4.7690260000000002</v>
      </c>
      <c r="E4485">
        <v>0.64065680000000003</v>
      </c>
      <c r="F4485" t="s">
        <v>99</v>
      </c>
      <c r="G4485">
        <v>-279.02</v>
      </c>
      <c r="H4485">
        <v>0.70534330000000001</v>
      </c>
      <c r="I4485">
        <v>-6.4788519999999998</v>
      </c>
      <c r="J4485">
        <v>-320.13560000000001</v>
      </c>
      <c r="K4485">
        <v>1.1163909999999999</v>
      </c>
      <c r="L4485">
        <v>16.68976</v>
      </c>
      <c r="M4485">
        <v>0.99663199999999996</v>
      </c>
      <c r="N4485">
        <v>-1.292157E-2</v>
      </c>
      <c r="O4485">
        <v>-8.0981499999999998E-2</v>
      </c>
      <c r="P4485">
        <v>0.96544090000000005</v>
      </c>
      <c r="Q4485">
        <v>0.1968733</v>
      </c>
      <c r="R4485">
        <v>-0.17077790000000001</v>
      </c>
      <c r="S4485">
        <v>2.8364259999999999</v>
      </c>
      <c r="T4485">
        <v>-2.8224829999999999E-2</v>
      </c>
      <c r="U4485">
        <v>-1.5902400000000001</v>
      </c>
      <c r="V4485">
        <v>9.3836929999999999E-2</v>
      </c>
      <c r="W4485">
        <v>0.2086654</v>
      </c>
      <c r="X4485">
        <v>0.97347490000000003</v>
      </c>
      <c r="Y4485">
        <v>0.41674220000000001</v>
      </c>
      <c r="Z4485">
        <v>-5.0439539999999998E-3</v>
      </c>
      <c r="AA4485">
        <v>0.90901069999999995</v>
      </c>
      <c r="AB4485">
        <v>29</v>
      </c>
      <c r="AC4485">
        <v>41.115600000000001</v>
      </c>
      <c r="AD4485">
        <v>-0.41104769999999902</v>
      </c>
      <c r="AE4485">
        <v>-23.168612</v>
      </c>
      <c r="AF4485">
        <v>19.761124904821202</v>
      </c>
      <c r="AG4485">
        <v>-0.41104769999999902</v>
      </c>
      <c r="AH4485">
        <v>42.853672023376099</v>
      </c>
      <c r="AI4485">
        <v>90.4990564644975</v>
      </c>
      <c r="AJ4485">
        <v>65.244143469391702</v>
      </c>
      <c r="AK4485">
        <v>47.192247494717897</v>
      </c>
      <c r="AL4485">
        <v>77.955847257312101</v>
      </c>
      <c r="AM4485">
        <v>84.494054222565495</v>
      </c>
      <c r="AN4485">
        <v>0.99999999975949705</v>
      </c>
    </row>
    <row r="4486" spans="1:40" x14ac:dyDescent="0.25">
      <c r="A4486" t="str">
        <f>"20190303170901017"</f>
        <v>20190303170901017</v>
      </c>
      <c r="B4486" t="str">
        <f>"1551604141008298"</f>
        <v>1551604141008298</v>
      </c>
      <c r="C4486" t="s">
        <v>40</v>
      </c>
      <c r="D4486">
        <v>4.8936320000000002</v>
      </c>
      <c r="E4486">
        <v>0.6412272</v>
      </c>
      <c r="F4486" t="s">
        <v>99</v>
      </c>
      <c r="G4486">
        <v>-279.02</v>
      </c>
      <c r="H4486">
        <v>0.6985924</v>
      </c>
      <c r="I4486">
        <v>-6.6662999999999997</v>
      </c>
      <c r="J4486">
        <v>-319.87240000000003</v>
      </c>
      <c r="K4486">
        <v>1.1155060000000001</v>
      </c>
      <c r="L4486">
        <v>16.664490000000001</v>
      </c>
      <c r="M4486">
        <v>0.99627160000000003</v>
      </c>
      <c r="N4486">
        <v>-1.380555E-2</v>
      </c>
      <c r="O4486">
        <v>-8.5161249999999994E-2</v>
      </c>
      <c r="P4486">
        <v>0.96470020000000001</v>
      </c>
      <c r="Q4486">
        <v>0.195719</v>
      </c>
      <c r="R4486">
        <v>-0.176204</v>
      </c>
      <c r="S4486">
        <v>2.8289789999999999</v>
      </c>
      <c r="T4486">
        <v>-2.8746839999999999E-2</v>
      </c>
      <c r="U4486">
        <v>-1.6070249999999999</v>
      </c>
      <c r="V4486">
        <v>9.5309290000000005E-2</v>
      </c>
      <c r="W4486">
        <v>0.20831520000000001</v>
      </c>
      <c r="X4486">
        <v>0.97340689999999996</v>
      </c>
      <c r="Y4486">
        <v>0.41803249999999997</v>
      </c>
      <c r="Z4486">
        <v>-5.365056E-3</v>
      </c>
      <c r="AA4486">
        <v>0.90841620000000001</v>
      </c>
      <c r="AB4486">
        <v>29</v>
      </c>
      <c r="AC4486">
        <v>40.852400000000003</v>
      </c>
      <c r="AD4486">
        <v>-0.416913599999999</v>
      </c>
      <c r="AE4486">
        <v>-23.33079</v>
      </c>
      <c r="AF4486">
        <v>19.765092255736398</v>
      </c>
      <c r="AG4486">
        <v>-0.416913599999999</v>
      </c>
      <c r="AH4486">
        <v>42.687678350484298</v>
      </c>
      <c r="AI4486">
        <v>90.507781352819407</v>
      </c>
      <c r="AJ4486">
        <v>65.155092837440094</v>
      </c>
      <c r="AK4486">
        <v>47.0432840242052</v>
      </c>
      <c r="AL4486">
        <v>77.976363554728493</v>
      </c>
      <c r="AM4486">
        <v>84.407817689069802</v>
      </c>
      <c r="AN4486">
        <v>1.00000003813947</v>
      </c>
    </row>
    <row r="4487" spans="1:40" x14ac:dyDescent="0.25">
      <c r="A4487" t="str">
        <f>"20190303170901053"</f>
        <v>20190303170901053</v>
      </c>
      <c r="B4487" t="str">
        <f>"1551604141038557"</f>
        <v>1551604141038557</v>
      </c>
      <c r="C4487" t="s">
        <v>40</v>
      </c>
      <c r="D4487">
        <v>4.872465</v>
      </c>
      <c r="E4487">
        <v>0.64180609999999905</v>
      </c>
      <c r="F4487" t="s">
        <v>99</v>
      </c>
      <c r="G4487">
        <v>-279.02</v>
      </c>
      <c r="H4487">
        <v>0.63970039999999995</v>
      </c>
      <c r="I4487">
        <v>-6.9214440000000002</v>
      </c>
      <c r="J4487">
        <v>-319.42430000000002</v>
      </c>
      <c r="K4487">
        <v>1.113551</v>
      </c>
      <c r="L4487">
        <v>16.618590000000001</v>
      </c>
      <c r="M4487">
        <v>0.99564900000000001</v>
      </c>
      <c r="N4487">
        <v>-1.617188E-2</v>
      </c>
      <c r="O4487">
        <v>-9.1769970000000006E-2</v>
      </c>
      <c r="P4487">
        <v>0.96363030000000005</v>
      </c>
      <c r="Q4487">
        <v>0.19261420000000001</v>
      </c>
      <c r="R4487">
        <v>-0.18524679999999999</v>
      </c>
      <c r="S4487">
        <v>2.819153</v>
      </c>
      <c r="T4487">
        <v>-3.2834530000000001E-2</v>
      </c>
      <c r="U4487">
        <v>-1.6276250000000001</v>
      </c>
      <c r="V4487">
        <v>9.8108899999999999E-2</v>
      </c>
      <c r="W4487">
        <v>0.20740749999999999</v>
      </c>
      <c r="X4487">
        <v>0.97332249999999998</v>
      </c>
      <c r="Y4487">
        <v>0.41833949999999998</v>
      </c>
      <c r="Z4487">
        <v>-6.2912480000000002E-3</v>
      </c>
      <c r="AA4487">
        <v>0.90826890000000005</v>
      </c>
      <c r="AB4487">
        <v>29</v>
      </c>
      <c r="AC4487">
        <v>40.404299999999999</v>
      </c>
      <c r="AD4487">
        <v>-0.47385059999999901</v>
      </c>
      <c r="AE4487">
        <v>-23.540033999999999</v>
      </c>
      <c r="AF4487">
        <v>19.7302625189403</v>
      </c>
      <c r="AG4487">
        <v>-0.47385059999999901</v>
      </c>
      <c r="AH4487">
        <v>42.389956363764298</v>
      </c>
      <c r="AI4487">
        <v>90.580637503012596</v>
      </c>
      <c r="AJ4487">
        <v>65.040535207591006</v>
      </c>
      <c r="AK4487">
        <v>46.759129525465497</v>
      </c>
      <c r="AL4487">
        <v>78.029531256510495</v>
      </c>
      <c r="AM4487">
        <v>84.244144685104203</v>
      </c>
      <c r="AN4487">
        <v>0.99999995816085396</v>
      </c>
    </row>
    <row r="4488" spans="1:40" x14ac:dyDescent="0.25">
      <c r="A4488" t="str">
        <f>"20190303170901074"</f>
        <v>20190303170901074</v>
      </c>
      <c r="B4488" t="str">
        <f>"1551604141067834"</f>
        <v>1551604141067834</v>
      </c>
      <c r="C4488" t="s">
        <v>40</v>
      </c>
      <c r="D4488">
        <v>4.8313579999999998</v>
      </c>
      <c r="E4488">
        <v>0.64232999999999996</v>
      </c>
      <c r="F4488" t="s">
        <v>99</v>
      </c>
      <c r="G4488">
        <v>-279.02</v>
      </c>
      <c r="H4488">
        <v>0.46641820000000001</v>
      </c>
      <c r="I4488">
        <v>-7.2941909999999996</v>
      </c>
      <c r="J4488">
        <v>-319.1497</v>
      </c>
      <c r="K4488">
        <v>1.11216</v>
      </c>
      <c r="L4488">
        <v>16.588560000000001</v>
      </c>
      <c r="M4488">
        <v>0.9952124</v>
      </c>
      <c r="N4488">
        <v>-1.7977549999999998E-2</v>
      </c>
      <c r="O4488">
        <v>-9.6068169999999994E-2</v>
      </c>
      <c r="P4488">
        <v>0.9629742</v>
      </c>
      <c r="Q4488">
        <v>0.1897267</v>
      </c>
      <c r="R4488">
        <v>-0.19153290000000001</v>
      </c>
      <c r="S4488">
        <v>2.8032840000000001</v>
      </c>
      <c r="T4488">
        <v>-4.4898630000000002E-2</v>
      </c>
      <c r="U4488">
        <v>-1.6590879999999999</v>
      </c>
      <c r="V4488">
        <v>0.1002728</v>
      </c>
      <c r="W4488">
        <v>0.20622589999999999</v>
      </c>
      <c r="X4488">
        <v>0.97335309999999997</v>
      </c>
      <c r="Y4488">
        <v>0.42417579999999999</v>
      </c>
      <c r="Z4488">
        <v>-7.4411369999999996E-3</v>
      </c>
      <c r="AA4488">
        <v>0.9055493</v>
      </c>
      <c r="AB4488">
        <v>29</v>
      </c>
      <c r="AC4488">
        <v>40.1297</v>
      </c>
      <c r="AD4488">
        <v>-0.64574180000000003</v>
      </c>
      <c r="AE4488">
        <v>-23.882750999999999</v>
      </c>
      <c r="AF4488">
        <v>19.912634256929501</v>
      </c>
      <c r="AG4488">
        <v>-0.64574180000000003</v>
      </c>
      <c r="AH4488">
        <v>42.2306984142282</v>
      </c>
      <c r="AI4488">
        <v>90.792375586842994</v>
      </c>
      <c r="AJ4488">
        <v>64.755167916489796</v>
      </c>
      <c r="AK4488">
        <v>46.694345204489203</v>
      </c>
      <c r="AL4488">
        <v>78.098728598184707</v>
      </c>
      <c r="AM4488">
        <v>84.1182571403873</v>
      </c>
      <c r="AN4488">
        <v>1.00000000676513</v>
      </c>
    </row>
    <row r="4489" spans="1:40" x14ac:dyDescent="0.25">
      <c r="A4489" t="str">
        <f>"20190303170901096"</f>
        <v>20190303170901096</v>
      </c>
      <c r="B4489" t="str">
        <f>"1551604141088331"</f>
        <v>1551604141088331</v>
      </c>
      <c r="C4489" t="s">
        <v>40</v>
      </c>
      <c r="D4489">
        <v>4.8265969999999996</v>
      </c>
      <c r="E4489">
        <v>0.64260509999999904</v>
      </c>
      <c r="F4489" t="s">
        <v>99</v>
      </c>
      <c r="G4489">
        <v>-279.02</v>
      </c>
      <c r="H4489">
        <v>0.31693660000000001</v>
      </c>
      <c r="I4489">
        <v>-7.5870979999999903</v>
      </c>
      <c r="J4489">
        <v>-318.86309999999997</v>
      </c>
      <c r="K4489">
        <v>1.1105510000000001</v>
      </c>
      <c r="L4489">
        <v>16.555629999999901</v>
      </c>
      <c r="M4489">
        <v>0.99468559999999995</v>
      </c>
      <c r="N4489">
        <v>-1.9823110000000001E-2</v>
      </c>
      <c r="O4489">
        <v>-0.1010337</v>
      </c>
      <c r="P4489">
        <v>0.96188189999999996</v>
      </c>
      <c r="Q4489">
        <v>0.1877925</v>
      </c>
      <c r="R4489">
        <v>-0.19878989999999999</v>
      </c>
      <c r="S4489">
        <v>2.7917480000000001</v>
      </c>
      <c r="T4489">
        <v>-5.5322169999999997E-2</v>
      </c>
      <c r="U4489">
        <v>-1.681854</v>
      </c>
      <c r="V4489">
        <v>0.1027935</v>
      </c>
      <c r="W4489">
        <v>0.2060294</v>
      </c>
      <c r="X4489">
        <v>0.97313170000000004</v>
      </c>
      <c r="Y4489">
        <v>0.42668430000000002</v>
      </c>
      <c r="Z4489">
        <v>-8.4916319999999903E-3</v>
      </c>
      <c r="AA4489">
        <v>0.90436079999999996</v>
      </c>
      <c r="AB4489">
        <v>29</v>
      </c>
      <c r="AC4489">
        <v>39.8430999999999</v>
      </c>
      <c r="AD4489">
        <v>-0.79361440000000005</v>
      </c>
      <c r="AE4489">
        <v>-24.142728000000002</v>
      </c>
      <c r="AF4489">
        <v>19.987054391245501</v>
      </c>
      <c r="AG4489">
        <v>-0.79361440000000005</v>
      </c>
      <c r="AH4489">
        <v>42.066643437828901</v>
      </c>
      <c r="AI4489">
        <v>90.976229380041403</v>
      </c>
      <c r="AJ4489">
        <v>64.586282606772002</v>
      </c>
      <c r="AK4489">
        <v>46.580195976186303</v>
      </c>
      <c r="AL4489">
        <v>78.110233755581902</v>
      </c>
      <c r="AM4489">
        <v>83.970113593535402</v>
      </c>
      <c r="AN4489">
        <v>0.99999996142574898</v>
      </c>
    </row>
    <row r="4490" spans="1:40" x14ac:dyDescent="0.25">
      <c r="A4490" t="str">
        <f>"20190303170901118"</f>
        <v>20190303170901118</v>
      </c>
      <c r="B4490" t="str">
        <f>"1551604141107850"</f>
        <v>1551604141107850</v>
      </c>
      <c r="C4490" t="s">
        <v>40</v>
      </c>
      <c r="D4490">
        <v>4.8104789999999999</v>
      </c>
      <c r="E4490">
        <v>0.64293409999999995</v>
      </c>
      <c r="F4490" t="s">
        <v>99</v>
      </c>
      <c r="G4490">
        <v>-279.02</v>
      </c>
      <c r="H4490">
        <v>0.19586999999999999</v>
      </c>
      <c r="I4490">
        <v>-7.8796299999999997</v>
      </c>
      <c r="J4490">
        <v>-318.58510000000001</v>
      </c>
      <c r="K4490">
        <v>1.1088579999999999</v>
      </c>
      <c r="L4490">
        <v>16.52206</v>
      </c>
      <c r="M4490">
        <v>0.99408540000000001</v>
      </c>
      <c r="N4490">
        <v>-2.1369719999999998E-2</v>
      </c>
      <c r="O4490">
        <v>-0.1064784</v>
      </c>
      <c r="P4490">
        <v>0.96034010000000003</v>
      </c>
      <c r="Q4490">
        <v>0.18656590000000001</v>
      </c>
      <c r="R4490">
        <v>-0.20721970000000001</v>
      </c>
      <c r="S4490">
        <v>2.779083</v>
      </c>
      <c r="T4490">
        <v>-6.3799620000000001E-2</v>
      </c>
      <c r="U4490">
        <v>-1.7043759999999999</v>
      </c>
      <c r="V4490">
        <v>0.10606359999999999</v>
      </c>
      <c r="W4490">
        <v>0.20623279999999999</v>
      </c>
      <c r="X4490">
        <v>0.97273770000000004</v>
      </c>
      <c r="Y4490">
        <v>0.4288517</v>
      </c>
      <c r="Z4490">
        <v>-9.3653380000000008E-3</v>
      </c>
      <c r="AA4490">
        <v>0.90332630000000003</v>
      </c>
      <c r="AB4490">
        <v>28</v>
      </c>
      <c r="AC4490">
        <v>39.565100000000001</v>
      </c>
      <c r="AD4490">
        <v>-0.91298800000000002</v>
      </c>
      <c r="AE4490">
        <v>-24.401689999999999</v>
      </c>
      <c r="AF4490">
        <v>20.0413816403311</v>
      </c>
      <c r="AG4490">
        <v>-0.91298800000000002</v>
      </c>
      <c r="AH4490">
        <v>41.922744480372302</v>
      </c>
      <c r="AI4490">
        <v>91.125610293022405</v>
      </c>
      <c r="AJ4490">
        <v>64.449630804133704</v>
      </c>
      <c r="AK4490">
        <v>46.4758757841972</v>
      </c>
      <c r="AL4490">
        <v>78.098325022135896</v>
      </c>
      <c r="AM4490">
        <v>83.777269992421694</v>
      </c>
      <c r="AN4490">
        <v>1.0000000440210399</v>
      </c>
    </row>
    <row r="4491" spans="1:40" x14ac:dyDescent="0.25">
      <c r="A4491" t="str">
        <f>"20190303170901140"</f>
        <v>20190303170901140</v>
      </c>
      <c r="B4491" t="str">
        <f>"1551604141128347"</f>
        <v>1551604141128347</v>
      </c>
      <c r="C4491" t="s">
        <v>40</v>
      </c>
      <c r="D4491">
        <v>4.7804890000000002</v>
      </c>
      <c r="E4491">
        <v>0.64325759999999998</v>
      </c>
      <c r="F4491" t="s">
        <v>46</v>
      </c>
      <c r="G4491">
        <v>-272.89760000000001</v>
      </c>
      <c r="H4491">
        <v>-0.05</v>
      </c>
      <c r="I4491">
        <v>-12.07803</v>
      </c>
      <c r="J4491">
        <v>-318.3143</v>
      </c>
      <c r="K4491">
        <v>1.107059</v>
      </c>
      <c r="L4491">
        <v>16.487850000000002</v>
      </c>
      <c r="M4491">
        <v>0.99341559999999995</v>
      </c>
      <c r="N4491">
        <v>-2.2495890000000001E-2</v>
      </c>
      <c r="O4491">
        <v>-0.11233750000000001</v>
      </c>
      <c r="P4491">
        <v>0.95904020000000001</v>
      </c>
      <c r="Q4491">
        <v>0.18563279999999999</v>
      </c>
      <c r="R4491">
        <v>-0.21396899999999999</v>
      </c>
      <c r="S4491">
        <v>2.76416</v>
      </c>
      <c r="T4491">
        <v>-7.0112590000000002E-2</v>
      </c>
      <c r="U4491">
        <v>-1.7303470000000001</v>
      </c>
      <c r="V4491">
        <v>0.107249</v>
      </c>
      <c r="W4491">
        <v>0.20633550000000001</v>
      </c>
      <c r="X4491">
        <v>0.9725859</v>
      </c>
      <c r="Y4491">
        <v>0.43178</v>
      </c>
      <c r="Z4491">
        <v>-1.003882E-2</v>
      </c>
      <c r="AA4491">
        <v>0.90192309999999998</v>
      </c>
      <c r="AB4491">
        <v>28</v>
      </c>
      <c r="AC4491">
        <v>45.416699999999899</v>
      </c>
      <c r="AD4491">
        <v>-1.1570590000000001</v>
      </c>
      <c r="AE4491">
        <v>-28.56588</v>
      </c>
      <c r="AF4491">
        <v>23.2708576335882</v>
      </c>
      <c r="AG4491">
        <v>-1.1570590000000001</v>
      </c>
      <c r="AH4491">
        <v>48.316432191595602</v>
      </c>
      <c r="AI4491">
        <v>91.235991641775499</v>
      </c>
      <c r="AJ4491">
        <v>64.282932216648604</v>
      </c>
      <c r="AK4491">
        <v>53.640928592421503</v>
      </c>
      <c r="AL4491">
        <v>78.092310991341606</v>
      </c>
      <c r="AM4491">
        <v>83.707303386973194</v>
      </c>
      <c r="AN4491">
        <v>1.0000000097200299</v>
      </c>
    </row>
    <row r="4492" spans="1:40" x14ac:dyDescent="0.25">
      <c r="A4492" t="str">
        <f>"20190303170901163"</f>
        <v>20190303170901163</v>
      </c>
      <c r="B4492" t="str">
        <f>"1551604141147867"</f>
        <v>1551604141147867</v>
      </c>
      <c r="C4492" t="s">
        <v>40</v>
      </c>
      <c r="D4492">
        <v>4.863664</v>
      </c>
      <c r="E4492">
        <v>0.64343149999999905</v>
      </c>
      <c r="F4492" t="s">
        <v>46</v>
      </c>
      <c r="G4492">
        <v>-275.13569999999999</v>
      </c>
      <c r="H4492">
        <v>-0.05</v>
      </c>
      <c r="I4492">
        <v>-11.016719999999999</v>
      </c>
      <c r="J4492">
        <v>-318.00659999999999</v>
      </c>
      <c r="K4492">
        <v>1.1047039999999999</v>
      </c>
      <c r="L4492">
        <v>16.446870000000001</v>
      </c>
      <c r="M4492">
        <v>0.99263120000000005</v>
      </c>
      <c r="N4492">
        <v>-2.3473419999999998E-2</v>
      </c>
      <c r="O4492">
        <v>-0.11888020000000001</v>
      </c>
      <c r="P4492">
        <v>0.95772849999999998</v>
      </c>
      <c r="Q4492">
        <v>0.1843225</v>
      </c>
      <c r="R4492">
        <v>-0.2208659</v>
      </c>
      <c r="S4492">
        <v>2.7513429999999999</v>
      </c>
      <c r="T4492">
        <v>-7.3727849999999998E-2</v>
      </c>
      <c r="U4492">
        <v>-1.75259399999999</v>
      </c>
      <c r="V4492">
        <v>0.10801180000000001</v>
      </c>
      <c r="W4492">
        <v>0.20586699999999999</v>
      </c>
      <c r="X4492">
        <v>0.97260080000000004</v>
      </c>
      <c r="Y4492">
        <v>0.43290590000000001</v>
      </c>
      <c r="Z4492">
        <v>-1.052203E-2</v>
      </c>
      <c r="AA4492">
        <v>0.90137769999999995</v>
      </c>
      <c r="AB4492">
        <v>29</v>
      </c>
      <c r="AC4492">
        <v>42.870899999999999</v>
      </c>
      <c r="AD4492">
        <v>-1.154704</v>
      </c>
      <c r="AE4492">
        <v>-27.46359</v>
      </c>
      <c r="AF4492">
        <v>22.159423571547801</v>
      </c>
      <c r="AG4492">
        <v>-1.154704</v>
      </c>
      <c r="AH4492">
        <v>45.808931038804801</v>
      </c>
      <c r="AI4492">
        <v>91.299903075645602</v>
      </c>
      <c r="AJ4492">
        <v>64.185279938723497</v>
      </c>
      <c r="AK4492">
        <v>50.900211760550299</v>
      </c>
      <c r="AL4492">
        <v>78.119743417004102</v>
      </c>
      <c r="AM4492">
        <v>83.663006217364099</v>
      </c>
      <c r="AN4492">
        <v>1.00000004339443</v>
      </c>
    </row>
    <row r="4493" spans="1:40" x14ac:dyDescent="0.25">
      <c r="A4493" t="str">
        <f>"20190303170901185"</f>
        <v>20190303170901185</v>
      </c>
      <c r="B4493" t="str">
        <f>"1551604141178122"</f>
        <v>1551604141178122</v>
      </c>
      <c r="C4493" t="s">
        <v>40</v>
      </c>
      <c r="D4493">
        <v>4.7232960000000004</v>
      </c>
      <c r="E4493">
        <v>0.64378760000000002</v>
      </c>
      <c r="F4493" t="s">
        <v>46</v>
      </c>
      <c r="G4493">
        <v>-276.6696</v>
      </c>
      <c r="H4493">
        <v>-0.05</v>
      </c>
      <c r="I4493">
        <v>-10.345079999999999</v>
      </c>
      <c r="J4493">
        <v>-317.72070000000002</v>
      </c>
      <c r="K4493">
        <v>1.1022620000000001</v>
      </c>
      <c r="L4493">
        <v>16.406559999999999</v>
      </c>
      <c r="M4493">
        <v>0.99188609999999999</v>
      </c>
      <c r="N4493">
        <v>-2.4211380000000001E-2</v>
      </c>
      <c r="O4493">
        <v>-0.12480280000000001</v>
      </c>
      <c r="P4493">
        <v>0.95630789999999999</v>
      </c>
      <c r="Q4493">
        <v>0.18326980000000001</v>
      </c>
      <c r="R4493">
        <v>-0.22778809999999999</v>
      </c>
      <c r="S4493">
        <v>2.7379150000000001</v>
      </c>
      <c r="T4493">
        <v>-7.6480629999999994E-2</v>
      </c>
      <c r="U4493">
        <v>-1.7745359999999999</v>
      </c>
      <c r="V4493">
        <v>0.1094739</v>
      </c>
      <c r="W4493">
        <v>0.2053817</v>
      </c>
      <c r="X4493">
        <v>0.97253990000000001</v>
      </c>
      <c r="Y4493">
        <v>0.43460959999999899</v>
      </c>
      <c r="Z4493">
        <v>-1.0910629999999999E-2</v>
      </c>
      <c r="AA4493">
        <v>0.90055289999999999</v>
      </c>
      <c r="AB4493">
        <v>29</v>
      </c>
      <c r="AC4493">
        <v>41.051099999999998</v>
      </c>
      <c r="AD4493">
        <v>-1.1522619999999999</v>
      </c>
      <c r="AE4493">
        <v>-26.751639999999998</v>
      </c>
      <c r="AF4493">
        <v>21.4057285917727</v>
      </c>
      <c r="AG4493">
        <v>-1.1522619999999999</v>
      </c>
      <c r="AH4493">
        <v>44.045256532736403</v>
      </c>
      <c r="AI4493">
        <v>91.347882286478693</v>
      </c>
      <c r="AJ4493">
        <v>64.080528094000698</v>
      </c>
      <c r="AK4493">
        <v>48.9848705958875</v>
      </c>
      <c r="AL4493">
        <v>78.148155897020501</v>
      </c>
      <c r="AM4493">
        <v>83.577538748713806</v>
      </c>
      <c r="AN4493">
        <v>1.00000001728405</v>
      </c>
    </row>
    <row r="4494" spans="1:40" x14ac:dyDescent="0.25">
      <c r="A4494" t="str">
        <f>"20190303170901207"</f>
        <v>20190303170901207</v>
      </c>
      <c r="B4494" t="str">
        <f>"1551604141198619"</f>
        <v>1551604141198619</v>
      </c>
      <c r="C4494" t="s">
        <v>40</v>
      </c>
      <c r="D4494">
        <v>4.7676040000000004</v>
      </c>
      <c r="E4494">
        <v>0.64402559999999998</v>
      </c>
      <c r="F4494" t="s">
        <v>46</v>
      </c>
      <c r="G4494">
        <v>-278.29640000000001</v>
      </c>
      <c r="H4494">
        <v>-0.05</v>
      </c>
      <c r="I4494">
        <v>-9.607742</v>
      </c>
      <c r="J4494">
        <v>-317.43540000000002</v>
      </c>
      <c r="K4494">
        <v>1.099656</v>
      </c>
      <c r="L4494">
        <v>16.36411</v>
      </c>
      <c r="M4494">
        <v>0.99108419999999997</v>
      </c>
      <c r="N4494">
        <v>-2.4724469999999998E-2</v>
      </c>
      <c r="O4494">
        <v>-0.13092229999999999</v>
      </c>
      <c r="P4494">
        <v>0.95419010000000004</v>
      </c>
      <c r="Q4494">
        <v>0.18245339999999999</v>
      </c>
      <c r="R4494">
        <v>-0.23713329999999999</v>
      </c>
      <c r="S4494">
        <v>2.7241520000000001</v>
      </c>
      <c r="T4494">
        <v>-7.9619410000000002E-2</v>
      </c>
      <c r="U4494">
        <v>-1.7975460000000001</v>
      </c>
      <c r="V4494">
        <v>0.1132451</v>
      </c>
      <c r="W4494">
        <v>0.20486180000000001</v>
      </c>
      <c r="X4494">
        <v>0.97221769999999996</v>
      </c>
      <c r="Y4494">
        <v>0.43642239999999999</v>
      </c>
      <c r="Z4494">
        <v>-1.123351E-2</v>
      </c>
      <c r="AA4494">
        <v>0.89967180000000002</v>
      </c>
      <c r="AB4494">
        <v>29</v>
      </c>
      <c r="AC4494">
        <v>39.139000000000003</v>
      </c>
      <c r="AD4494">
        <v>-1.149656</v>
      </c>
      <c r="AE4494">
        <v>-25.971851999999998</v>
      </c>
      <c r="AF4494">
        <v>20.6100839678776</v>
      </c>
      <c r="AG4494">
        <v>-1.149656</v>
      </c>
      <c r="AH4494">
        <v>42.177977804329601</v>
      </c>
      <c r="AI4494">
        <v>91.402884293634102</v>
      </c>
      <c r="AJ4494">
        <v>63.957755439197697</v>
      </c>
      <c r="AK4494">
        <v>46.958269577826499</v>
      </c>
      <c r="AL4494">
        <v>78.178591321631203</v>
      </c>
      <c r="AM4494">
        <v>83.356058029741206</v>
      </c>
      <c r="AN4494">
        <v>1.0000000329832599</v>
      </c>
    </row>
    <row r="4495" spans="1:40" x14ac:dyDescent="0.25">
      <c r="A4495" t="str">
        <f>"20190303170901228"</f>
        <v>20190303170901228</v>
      </c>
      <c r="B4495" t="str">
        <f>"1551604141218138"</f>
        <v>1551604141218138</v>
      </c>
      <c r="C4495" t="s">
        <v>40</v>
      </c>
      <c r="D4495">
        <v>4.7539800000000003</v>
      </c>
      <c r="E4495">
        <v>0.64421470000000003</v>
      </c>
      <c r="F4495" t="s">
        <v>46</v>
      </c>
      <c r="G4495">
        <v>-279.00569999999999</v>
      </c>
      <c r="H4495">
        <v>-0.05</v>
      </c>
      <c r="I4495">
        <v>-9.5871890000000004</v>
      </c>
      <c r="J4495">
        <v>-317.1755</v>
      </c>
      <c r="K4495">
        <v>1.0971470000000001</v>
      </c>
      <c r="L4495">
        <v>16.323270000000001</v>
      </c>
      <c r="M4495">
        <v>0.99026829999999999</v>
      </c>
      <c r="N4495">
        <v>-2.4934939999999999E-2</v>
      </c>
      <c r="O4495">
        <v>-0.13691889999999901</v>
      </c>
      <c r="P4495">
        <v>0.95194650000000003</v>
      </c>
      <c r="Q4495">
        <v>0.1828967</v>
      </c>
      <c r="R4495">
        <v>-0.2456557</v>
      </c>
      <c r="S4495">
        <v>2.705444</v>
      </c>
      <c r="T4495">
        <v>-8.0935480000000004E-2</v>
      </c>
      <c r="U4495">
        <v>-1.826965</v>
      </c>
      <c r="V4495">
        <v>0.11632480000000001</v>
      </c>
      <c r="W4495">
        <v>0.20532239999999999</v>
      </c>
      <c r="X4495">
        <v>0.97175679999999998</v>
      </c>
      <c r="Y4495">
        <v>0.44056630000000002</v>
      </c>
      <c r="Z4495">
        <v>-1.1458879999999999E-2</v>
      </c>
      <c r="AA4495">
        <v>0.89764699999999997</v>
      </c>
      <c r="AB4495">
        <v>29</v>
      </c>
      <c r="AC4495">
        <v>38.169800000000002</v>
      </c>
      <c r="AD4495">
        <v>-1.1471469999999999</v>
      </c>
      <c r="AE4495">
        <v>-25.910458999999999</v>
      </c>
      <c r="AF4495">
        <v>20.425866010881599</v>
      </c>
      <c r="AG4495">
        <v>-1.1471469999999999</v>
      </c>
      <c r="AH4495">
        <v>41.333280317988901</v>
      </c>
      <c r="AI4495">
        <v>91.425297788987393</v>
      </c>
      <c r="AJ4495">
        <v>63.702577447472002</v>
      </c>
      <c r="AK4495">
        <v>46.119106782108801</v>
      </c>
      <c r="AL4495">
        <v>78.151627468190199</v>
      </c>
      <c r="AM4495">
        <v>83.173851571580798</v>
      </c>
      <c r="AN4495">
        <v>1.0000000126915201</v>
      </c>
    </row>
    <row r="4496" spans="1:40" x14ac:dyDescent="0.25">
      <c r="A4496" t="str">
        <f>"20190303170901253"</f>
        <v>20190303170901253</v>
      </c>
      <c r="B4496" t="str">
        <f>"1551604141238635"</f>
        <v>1551604141238635</v>
      </c>
      <c r="C4496" t="s">
        <v>40</v>
      </c>
      <c r="D4496">
        <v>4.7522140000000004</v>
      </c>
      <c r="E4496">
        <v>0.64432900000000004</v>
      </c>
      <c r="F4496" t="s">
        <v>46</v>
      </c>
      <c r="G4496">
        <v>-277.66140000000001</v>
      </c>
      <c r="H4496">
        <v>-0.05</v>
      </c>
      <c r="I4496">
        <v>-10.92981</v>
      </c>
      <c r="J4496">
        <v>-316.86599999999999</v>
      </c>
      <c r="K4496">
        <v>1.0940270000000001</v>
      </c>
      <c r="L4496">
        <v>16.271850000000001</v>
      </c>
      <c r="M4496">
        <v>0.98920529999999995</v>
      </c>
      <c r="N4496">
        <v>-2.4990890000000002E-2</v>
      </c>
      <c r="O4496">
        <v>-0.1443894</v>
      </c>
      <c r="P4496">
        <v>0.94963770000000003</v>
      </c>
      <c r="Q4496">
        <v>0.1834017</v>
      </c>
      <c r="R4496">
        <v>-0.25407150000000001</v>
      </c>
      <c r="S4496">
        <v>2.6880190000000002</v>
      </c>
      <c r="T4496">
        <v>-7.8036899999999895E-2</v>
      </c>
      <c r="U4496">
        <v>-1.8539429999999999</v>
      </c>
      <c r="V4496">
        <v>0.1178993</v>
      </c>
      <c r="W4496">
        <v>0.2056944</v>
      </c>
      <c r="X4496">
        <v>0.97148840000000003</v>
      </c>
      <c r="Y4496">
        <v>0.44262849999999998</v>
      </c>
      <c r="Z4496">
        <v>-1.145097E-2</v>
      </c>
      <c r="AA4496">
        <v>0.89663199999999998</v>
      </c>
      <c r="AB4496">
        <v>29</v>
      </c>
      <c r="AC4496">
        <v>39.2045999999999</v>
      </c>
      <c r="AD4496">
        <v>-1.1440269999999999</v>
      </c>
      <c r="AE4496">
        <v>-27.201659999999901</v>
      </c>
      <c r="AF4496">
        <v>21.241726040657898</v>
      </c>
      <c r="AG4496">
        <v>-1.1440269999999999</v>
      </c>
      <c r="AH4496">
        <v>42.697830183382401</v>
      </c>
      <c r="AI4496">
        <v>91.374200974083905</v>
      </c>
      <c r="AJ4496">
        <v>63.550133040531897</v>
      </c>
      <c r="AK4496">
        <v>47.703505377823703</v>
      </c>
      <c r="AL4496">
        <v>78.129849280560094</v>
      </c>
      <c r="AM4496">
        <v>83.080453815179695</v>
      </c>
      <c r="AN4496">
        <v>1.0000000712332</v>
      </c>
    </row>
    <row r="4497" spans="1:40" x14ac:dyDescent="0.25">
      <c r="A4497" t="str">
        <f>"20190303170901275"</f>
        <v>20190303170901275</v>
      </c>
      <c r="B4497" t="str">
        <f>"1551604141267914"</f>
        <v>1551604141267914</v>
      </c>
      <c r="C4497" t="s">
        <v>40</v>
      </c>
      <c r="D4497">
        <v>4.7560359999999999</v>
      </c>
      <c r="E4497">
        <v>0.64439209999999902</v>
      </c>
      <c r="F4497" t="s">
        <v>46</v>
      </c>
      <c r="G4497">
        <v>-276.529</v>
      </c>
      <c r="H4497">
        <v>-0.05</v>
      </c>
      <c r="I4497">
        <v>-12.11374</v>
      </c>
      <c r="J4497">
        <v>-316.57760000000002</v>
      </c>
      <c r="K4497">
        <v>1.091059</v>
      </c>
      <c r="L4497">
        <v>16.221160000000001</v>
      </c>
      <c r="M4497">
        <v>0.98811839999999995</v>
      </c>
      <c r="N4497">
        <v>-2.4860279999999998E-2</v>
      </c>
      <c r="O4497">
        <v>-0.15167169999999999</v>
      </c>
      <c r="P4497">
        <v>0.94711279999999998</v>
      </c>
      <c r="Q4497">
        <v>0.18322089999999999</v>
      </c>
      <c r="R4497">
        <v>-0.2634534</v>
      </c>
      <c r="S4497">
        <v>2.670868</v>
      </c>
      <c r="T4497">
        <v>-7.5750349999999994E-2</v>
      </c>
      <c r="U4497">
        <v>-1.8795170000000001</v>
      </c>
      <c r="V4497">
        <v>0.12058629999999999</v>
      </c>
      <c r="W4497">
        <v>0.2052011</v>
      </c>
      <c r="X4497">
        <v>0.97126279999999998</v>
      </c>
      <c r="Y4497">
        <v>0.44448710000000002</v>
      </c>
      <c r="Z4497">
        <v>-1.139283E-2</v>
      </c>
      <c r="AA4497">
        <v>0.89571279999999998</v>
      </c>
      <c r="AB4497">
        <v>28</v>
      </c>
      <c r="AC4497">
        <v>40.0486</v>
      </c>
      <c r="AD4497">
        <v>-1.141059</v>
      </c>
      <c r="AE4497">
        <v>-28.334900000000001</v>
      </c>
      <c r="AF4497">
        <v>21.918913655531401</v>
      </c>
      <c r="AG4497">
        <v>-1.141059</v>
      </c>
      <c r="AH4497">
        <v>43.860189516598297</v>
      </c>
      <c r="AI4497">
        <v>91.333125757164396</v>
      </c>
      <c r="AJ4497">
        <v>63.446634961610002</v>
      </c>
      <c r="AK4497">
        <v>49.045458667567303</v>
      </c>
      <c r="AL4497">
        <v>78.158728341322899</v>
      </c>
      <c r="AM4497">
        <v>82.922707076581503</v>
      </c>
      <c r="AN4497">
        <v>0.99999998692636904</v>
      </c>
    </row>
    <row r="4498" spans="1:40" x14ac:dyDescent="0.25">
      <c r="A4498" t="str">
        <f>"20190303170901297"</f>
        <v>20190303170901297</v>
      </c>
      <c r="B4498" t="str">
        <f>"1551604141288411"</f>
        <v>1551604141288411</v>
      </c>
      <c r="C4498" t="s">
        <v>40</v>
      </c>
      <c r="D4498">
        <v>4.6195300000000001</v>
      </c>
      <c r="E4498">
        <v>0.644528199999999</v>
      </c>
      <c r="F4498" t="s">
        <v>46</v>
      </c>
      <c r="G4498">
        <v>-276.4907</v>
      </c>
      <c r="H4498">
        <v>-0.05</v>
      </c>
      <c r="I4498">
        <v>-12.609069999999999</v>
      </c>
      <c r="J4498">
        <v>-316.3048</v>
      </c>
      <c r="K4498">
        <v>1.0883149999999999</v>
      </c>
      <c r="L4498">
        <v>16.170649999999998</v>
      </c>
      <c r="M4498">
        <v>0.98698459999999999</v>
      </c>
      <c r="N4498">
        <v>-2.4538649999999999E-2</v>
      </c>
      <c r="O4498">
        <v>-0.1589323</v>
      </c>
      <c r="P4498">
        <v>0.94495569999999895</v>
      </c>
      <c r="Q4498">
        <v>0.1827355</v>
      </c>
      <c r="R4498">
        <v>-0.27141599999999999</v>
      </c>
      <c r="S4498">
        <v>2.6516419999999998</v>
      </c>
      <c r="T4498">
        <v>-7.5477959999999997E-2</v>
      </c>
      <c r="U4498">
        <v>-1.907043</v>
      </c>
      <c r="V4498">
        <v>0.12175130000000001</v>
      </c>
      <c r="W4498">
        <v>0.20429140000000001</v>
      </c>
      <c r="X4498">
        <v>0.97130919999999998</v>
      </c>
      <c r="Y4498">
        <v>0.44711010000000001</v>
      </c>
      <c r="Z4498">
        <v>-1.1332979999999999E-2</v>
      </c>
      <c r="AA4498">
        <v>0.89440719999999996</v>
      </c>
      <c r="AB4498">
        <v>28</v>
      </c>
      <c r="AC4498">
        <v>39.814100000000003</v>
      </c>
      <c r="AD4498">
        <v>-1.138315</v>
      </c>
      <c r="AE4498">
        <v>-28.779720000000001</v>
      </c>
      <c r="AF4498">
        <v>22.072190949354599</v>
      </c>
      <c r="AG4498">
        <v>-1.138315</v>
      </c>
      <c r="AH4498">
        <v>43.859591793299998</v>
      </c>
      <c r="AI4498">
        <v>91.328075059961904</v>
      </c>
      <c r="AJ4498">
        <v>63.286328454886302</v>
      </c>
      <c r="AK4498">
        <v>49.113553797489601</v>
      </c>
      <c r="AL4498">
        <v>78.211978074070799</v>
      </c>
      <c r="AM4498">
        <v>82.855373546781806</v>
      </c>
      <c r="AN4498">
        <v>0.99999995858514401</v>
      </c>
    </row>
    <row r="4499" spans="1:40" x14ac:dyDescent="0.25">
      <c r="A4499" t="str">
        <f>"20190303170901318"</f>
        <v>20190303170901318</v>
      </c>
      <c r="B4499" t="str">
        <f>"1551604141307930"</f>
        <v>1551604141307930</v>
      </c>
      <c r="C4499" t="s">
        <v>40</v>
      </c>
      <c r="D4499">
        <v>4.6379710000000003</v>
      </c>
      <c r="E4499">
        <v>0.64464089999999996</v>
      </c>
      <c r="F4499" t="s">
        <v>46</v>
      </c>
      <c r="G4499">
        <v>-276.92849999999999</v>
      </c>
      <c r="H4499">
        <v>-0.05</v>
      </c>
      <c r="I4499">
        <v>-12.67441</v>
      </c>
      <c r="J4499">
        <v>-316.03829999999999</v>
      </c>
      <c r="K4499">
        <v>1.0857540000000001</v>
      </c>
      <c r="L4499">
        <v>16.118839999999999</v>
      </c>
      <c r="M4499">
        <v>0.98573999999999995</v>
      </c>
      <c r="N4499">
        <v>-2.4059859999999999E-2</v>
      </c>
      <c r="O4499">
        <v>-0.16654679999999999</v>
      </c>
      <c r="P4499">
        <v>0.9423338</v>
      </c>
      <c r="Q4499">
        <v>0.1817532</v>
      </c>
      <c r="R4499">
        <v>-0.28102120000000003</v>
      </c>
      <c r="S4499">
        <v>2.63504</v>
      </c>
      <c r="T4499">
        <v>-7.6175450000000006E-2</v>
      </c>
      <c r="U4499">
        <v>-1.9302980000000001</v>
      </c>
      <c r="V4499">
        <v>0.12417880000000001</v>
      </c>
      <c r="W4499">
        <v>0.2027438</v>
      </c>
      <c r="X4499">
        <v>0.97132620000000003</v>
      </c>
      <c r="Y4499">
        <v>0.44802979999999998</v>
      </c>
      <c r="Z4499">
        <v>-1.1177869999999999E-2</v>
      </c>
      <c r="AA4499">
        <v>0.89394879999999999</v>
      </c>
      <c r="AB4499">
        <v>28</v>
      </c>
      <c r="AC4499">
        <v>39.1098</v>
      </c>
      <c r="AD4499">
        <v>-1.1357539999999999</v>
      </c>
      <c r="AE4499">
        <v>-28.79325</v>
      </c>
      <c r="AF4499">
        <v>21.8634209012559</v>
      </c>
      <c r="AG4499">
        <v>-1.1357539999999999</v>
      </c>
      <c r="AH4499">
        <v>43.336367737313203</v>
      </c>
      <c r="AI4499">
        <v>91.340403093403097</v>
      </c>
      <c r="AJ4499">
        <v>63.228820098906297</v>
      </c>
      <c r="AK4499">
        <v>48.552444627615102</v>
      </c>
      <c r="AL4499">
        <v>78.302545023165095</v>
      </c>
      <c r="AM4499">
        <v>82.714564651120597</v>
      </c>
      <c r="AN4499">
        <v>1.00000000480716</v>
      </c>
    </row>
    <row r="4500" spans="1:40" x14ac:dyDescent="0.25">
      <c r="A4500" t="str">
        <f>"20190303170901341"</f>
        <v>20190303170901341</v>
      </c>
      <c r="B4500" t="str">
        <f>"1551604141328427"</f>
        <v>1551604141328427</v>
      </c>
      <c r="C4500" t="s">
        <v>40</v>
      </c>
      <c r="D4500">
        <v>4.6343629999999996</v>
      </c>
      <c r="E4500">
        <v>0.64481040000000001</v>
      </c>
      <c r="F4500" t="s">
        <v>46</v>
      </c>
      <c r="G4500">
        <v>-278.79140000000001</v>
      </c>
      <c r="H4500">
        <v>-0.05</v>
      </c>
      <c r="I4500">
        <v>-11.75006</v>
      </c>
      <c r="J4500">
        <v>-315.7561</v>
      </c>
      <c r="K4500">
        <v>1.0831980000000001</v>
      </c>
      <c r="L4500">
        <v>16.06119</v>
      </c>
      <c r="M4500">
        <v>0.98423240000000001</v>
      </c>
      <c r="N4500">
        <v>-2.346264E-2</v>
      </c>
      <c r="O4500">
        <v>-0.17531729999999901</v>
      </c>
      <c r="P4500">
        <v>0.93900260000000002</v>
      </c>
      <c r="Q4500">
        <v>0.1819712</v>
      </c>
      <c r="R4500">
        <v>-0.291823</v>
      </c>
      <c r="S4500">
        <v>2.6154169999999999</v>
      </c>
      <c r="T4500">
        <v>-7.9750779999999993E-2</v>
      </c>
      <c r="U4500">
        <v>-1.956909</v>
      </c>
      <c r="V4500">
        <v>0.12673509999999999</v>
      </c>
      <c r="W4500">
        <v>0.2022988</v>
      </c>
      <c r="X4500">
        <v>0.97108879999999997</v>
      </c>
      <c r="Y4500">
        <v>0.44910709999999998</v>
      </c>
      <c r="Z4500">
        <v>-1.1016430000000001E-2</v>
      </c>
      <c r="AA4500">
        <v>0.89341000000000004</v>
      </c>
      <c r="AB4500">
        <v>28</v>
      </c>
      <c r="AC4500">
        <v>36.964699999999901</v>
      </c>
      <c r="AD4500">
        <v>-1.1331979999999999</v>
      </c>
      <c r="AE4500">
        <v>-27.811250000000001</v>
      </c>
      <c r="AF4500">
        <v>20.885400686075499</v>
      </c>
      <c r="AG4500">
        <v>-1.1331979999999999</v>
      </c>
      <c r="AH4500">
        <v>41.244257120531501</v>
      </c>
      <c r="AI4500">
        <v>91.404138283503897</v>
      </c>
      <c r="AJ4500">
        <v>63.143110185834502</v>
      </c>
      <c r="AK4500">
        <v>46.244706128914302</v>
      </c>
      <c r="AL4500">
        <v>78.328581394329106</v>
      </c>
      <c r="AM4500">
        <v>82.564453106563406</v>
      </c>
      <c r="AN4500">
        <v>1.00000002376944</v>
      </c>
    </row>
    <row r="4501" spans="1:40" x14ac:dyDescent="0.25">
      <c r="A4501" t="str">
        <f>"20190303170901365"</f>
        <v>20190303170901365</v>
      </c>
      <c r="B4501" t="str">
        <f>"1551604141358683"</f>
        <v>1551604141358683</v>
      </c>
      <c r="C4501" t="s">
        <v>40</v>
      </c>
      <c r="D4501">
        <v>4.675567</v>
      </c>
      <c r="E4501">
        <v>0.64500639999999998</v>
      </c>
      <c r="F4501" t="s">
        <v>46</v>
      </c>
      <c r="G4501">
        <v>-278.20499999999998</v>
      </c>
      <c r="H4501">
        <v>-0.05</v>
      </c>
      <c r="I4501">
        <v>-12.73996</v>
      </c>
      <c r="J4501">
        <v>-315.45690000000002</v>
      </c>
      <c r="K4501">
        <v>1.0806199999999999</v>
      </c>
      <c r="L4501">
        <v>15.99686</v>
      </c>
      <c r="M4501">
        <v>0.98240720000000004</v>
      </c>
      <c r="N4501">
        <v>-2.2781550000000001E-2</v>
      </c>
      <c r="O4501">
        <v>-0.1853573</v>
      </c>
      <c r="P4501">
        <v>0.93514109999999995</v>
      </c>
      <c r="Q4501">
        <v>0.1826815</v>
      </c>
      <c r="R4501">
        <v>-0.30354389999999998</v>
      </c>
      <c r="S4501">
        <v>2.592133</v>
      </c>
      <c r="T4501">
        <v>-7.8224059999999998E-2</v>
      </c>
      <c r="U4501">
        <v>-1.988129</v>
      </c>
      <c r="V4501">
        <v>0.1290345</v>
      </c>
      <c r="W4501">
        <v>0.2022726</v>
      </c>
      <c r="X4501">
        <v>0.97079139999999997</v>
      </c>
      <c r="Y4501">
        <v>0.45064969999999999</v>
      </c>
      <c r="Z4501">
        <v>-1.0720250000000001E-2</v>
      </c>
      <c r="AA4501">
        <v>0.89263649999999894</v>
      </c>
      <c r="AB4501">
        <v>28</v>
      </c>
      <c r="AC4501">
        <v>37.251899999999999</v>
      </c>
      <c r="AD4501">
        <v>-1.13062</v>
      </c>
      <c r="AE4501">
        <v>-28.736820000000002</v>
      </c>
      <c r="AF4501">
        <v>21.319569047605398</v>
      </c>
      <c r="AG4501">
        <v>-1.13062</v>
      </c>
      <c r="AH4501">
        <v>41.909789581096497</v>
      </c>
      <c r="AI4501">
        <v>91.377417883762703</v>
      </c>
      <c r="AJ4501">
        <v>63.037495333231803</v>
      </c>
      <c r="AK4501">
        <v>47.0343787956405</v>
      </c>
      <c r="AL4501">
        <v>78.330114242688296</v>
      </c>
      <c r="AM4501">
        <v>82.428805854015195</v>
      </c>
      <c r="AN4501">
        <v>1.0000000246074801</v>
      </c>
    </row>
    <row r="4502" spans="1:40" x14ac:dyDescent="0.25">
      <c r="A4502" t="str">
        <f>"20190303170901386"</f>
        <v>20190303170901386</v>
      </c>
      <c r="B4502" t="str">
        <f>"1551604141378203"</f>
        <v>1551604141378203</v>
      </c>
      <c r="C4502" t="s">
        <v>40</v>
      </c>
      <c r="D4502">
        <v>4.6701459999999999</v>
      </c>
      <c r="E4502">
        <v>0.64513369999999903</v>
      </c>
      <c r="F4502" t="s">
        <v>46</v>
      </c>
      <c r="G4502">
        <v>-276.13549999999998</v>
      </c>
      <c r="H4502">
        <v>-0.05</v>
      </c>
      <c r="I4502">
        <v>-14.996980000000001</v>
      </c>
      <c r="J4502">
        <v>-315.19709999999998</v>
      </c>
      <c r="K4502">
        <v>1.0784469999999999</v>
      </c>
      <c r="L4502">
        <v>15.93802</v>
      </c>
      <c r="M4502">
        <v>0.98064280000000004</v>
      </c>
      <c r="N4502">
        <v>-2.2156829999999999E-2</v>
      </c>
      <c r="O4502">
        <v>-0.1945482</v>
      </c>
      <c r="P4502">
        <v>0.93158169999999996</v>
      </c>
      <c r="Q4502">
        <v>0.18420030000000001</v>
      </c>
      <c r="R4502">
        <v>-0.31341039999999998</v>
      </c>
      <c r="S4502">
        <v>2.565979</v>
      </c>
      <c r="T4502">
        <v>-7.3780419999999999E-2</v>
      </c>
      <c r="U4502">
        <v>-2.0225520000000001</v>
      </c>
      <c r="V4502">
        <v>0.13034299999999999</v>
      </c>
      <c r="W4502">
        <v>0.2031145</v>
      </c>
      <c r="X4502">
        <v>0.97044070000000004</v>
      </c>
      <c r="Y4502">
        <v>0.45412419999999998</v>
      </c>
      <c r="Z4502">
        <v>-1.045928E-2</v>
      </c>
      <c r="AA4502">
        <v>0.89087700000000003</v>
      </c>
      <c r="AB4502">
        <v>28</v>
      </c>
      <c r="AC4502">
        <v>39.061599999999999</v>
      </c>
      <c r="AD4502">
        <v>-1.128447</v>
      </c>
      <c r="AE4502">
        <v>-30.934999999999999</v>
      </c>
      <c r="AF4502">
        <v>22.730743190118002</v>
      </c>
      <c r="AG4502">
        <v>-1.128447</v>
      </c>
      <c r="AH4502">
        <v>44.311977007468798</v>
      </c>
      <c r="AI4502">
        <v>91.298024270105302</v>
      </c>
      <c r="AJ4502">
        <v>62.843508157378501</v>
      </c>
      <c r="AK4502">
        <v>49.814770750424501</v>
      </c>
      <c r="AL4502">
        <v>78.280853810747601</v>
      </c>
      <c r="AM4502">
        <v>82.350201912176999</v>
      </c>
      <c r="AN4502">
        <v>0.99999997498786897</v>
      </c>
    </row>
    <row r="4503" spans="1:40" x14ac:dyDescent="0.25">
      <c r="A4503" t="str">
        <f>"20190303170901407"</f>
        <v>20190303170901407</v>
      </c>
      <c r="B4503" t="str">
        <f>"1551604141397723"</f>
        <v>1551604141397723</v>
      </c>
      <c r="C4503" t="s">
        <v>40</v>
      </c>
      <c r="D4503">
        <v>4.7126599999999996</v>
      </c>
      <c r="E4503">
        <v>0.64522880000000005</v>
      </c>
      <c r="F4503" t="s">
        <v>46</v>
      </c>
      <c r="G4503">
        <v>-273.56389999999999</v>
      </c>
      <c r="H4503">
        <v>-0.05</v>
      </c>
      <c r="I4503">
        <v>-17.620760000000001</v>
      </c>
      <c r="J4503">
        <v>-314.92430000000002</v>
      </c>
      <c r="K4503">
        <v>1.076244</v>
      </c>
      <c r="L4503">
        <v>15.8730799999999</v>
      </c>
      <c r="M4503">
        <v>0.97862610000000005</v>
      </c>
      <c r="N4503">
        <v>-2.1480140000000002E-2</v>
      </c>
      <c r="O4503">
        <v>-0.20452300000000001</v>
      </c>
      <c r="P4503">
        <v>0.92743710000000001</v>
      </c>
      <c r="Q4503">
        <v>0.18471080000000001</v>
      </c>
      <c r="R4503">
        <v>-0.32518059999999899</v>
      </c>
      <c r="S4503">
        <v>2.544098</v>
      </c>
      <c r="T4503">
        <v>-6.8956489999999995E-2</v>
      </c>
      <c r="U4503">
        <v>-2.0506899999999999</v>
      </c>
      <c r="V4503">
        <v>0.13286829999999999</v>
      </c>
      <c r="W4503">
        <v>0.20285069999999999</v>
      </c>
      <c r="X4503">
        <v>0.97015340000000005</v>
      </c>
      <c r="Y4503">
        <v>0.4547988</v>
      </c>
      <c r="Z4503">
        <v>-1.010697E-2</v>
      </c>
      <c r="AA4503">
        <v>0.89053689999999996</v>
      </c>
      <c r="AB4503">
        <v>28</v>
      </c>
      <c r="AC4503">
        <v>41.360399999999998</v>
      </c>
      <c r="AD4503">
        <v>-1.126244</v>
      </c>
      <c r="AE4503">
        <v>-33.493839999999999</v>
      </c>
      <c r="AF4503">
        <v>24.313516190487</v>
      </c>
      <c r="AG4503">
        <v>-1.126244</v>
      </c>
      <c r="AH4503">
        <v>47.3163585716661</v>
      </c>
      <c r="AI4503">
        <v>91.2128251507052</v>
      </c>
      <c r="AJ4503">
        <v>62.803629643352998</v>
      </c>
      <c r="AK4503">
        <v>53.2095224896361</v>
      </c>
      <c r="AL4503">
        <v>78.296290141632198</v>
      </c>
      <c r="AM4503">
        <v>82.201517968439106</v>
      </c>
      <c r="AN4503">
        <v>1.0000000055834699</v>
      </c>
    </row>
    <row r="4504" spans="1:40" x14ac:dyDescent="0.25">
      <c r="A4504" t="str">
        <f>"20190303170901430"</f>
        <v>20190303170901430</v>
      </c>
      <c r="B4504" t="str">
        <f>"1551604141418219"</f>
        <v>1551604141418219</v>
      </c>
      <c r="C4504" t="s">
        <v>40</v>
      </c>
      <c r="D4504">
        <v>4.743042</v>
      </c>
      <c r="E4504">
        <v>0.64532539999999905</v>
      </c>
      <c r="F4504" t="s">
        <v>46</v>
      </c>
      <c r="G4504">
        <v>-274.27789999999999</v>
      </c>
      <c r="H4504">
        <v>-0.05</v>
      </c>
      <c r="I4504">
        <v>-17.732240000000001</v>
      </c>
      <c r="J4504">
        <v>-314.6574</v>
      </c>
      <c r="K4504">
        <v>1.0742350000000001</v>
      </c>
      <c r="L4504">
        <v>15.806179999999999</v>
      </c>
      <c r="M4504">
        <v>0.97648190000000001</v>
      </c>
      <c r="N4504">
        <v>-2.0818219999999998E-2</v>
      </c>
      <c r="O4504">
        <v>-0.21459230000000001</v>
      </c>
      <c r="P4504">
        <v>0.92295430000000001</v>
      </c>
      <c r="Q4504">
        <v>0.18491079999999999</v>
      </c>
      <c r="R4504">
        <v>-0.33758510000000003</v>
      </c>
      <c r="S4504">
        <v>2.5185240000000002</v>
      </c>
      <c r="T4504">
        <v>-6.978405E-2</v>
      </c>
      <c r="U4504">
        <v>-2.0822449999999999</v>
      </c>
      <c r="V4504">
        <v>0.13599700000000001</v>
      </c>
      <c r="W4504">
        <v>0.20226749999999999</v>
      </c>
      <c r="X4504">
        <v>0.96984159999999997</v>
      </c>
      <c r="Y4504">
        <v>0.45669660000000001</v>
      </c>
      <c r="Z4504">
        <v>-9.8425579999999995E-3</v>
      </c>
      <c r="AA4504">
        <v>0.88956809999999997</v>
      </c>
      <c r="AB4504">
        <v>28</v>
      </c>
      <c r="AC4504">
        <v>40.3795</v>
      </c>
      <c r="AD4504">
        <v>-1.1242350000000001</v>
      </c>
      <c r="AE4504">
        <v>-33.538420000000002</v>
      </c>
      <c r="AF4504">
        <v>24.0787040345826</v>
      </c>
      <c r="AG4504">
        <v>-1.1242350000000001</v>
      </c>
      <c r="AH4504">
        <v>46.615658076811002</v>
      </c>
      <c r="AI4504">
        <v>91.227511783707897</v>
      </c>
      <c r="AJ4504">
        <v>62.681980900398699</v>
      </c>
      <c r="AK4504">
        <v>52.479209885957701</v>
      </c>
      <c r="AL4504">
        <v>78.330412650844295</v>
      </c>
      <c r="AM4504">
        <v>82.0176905475724</v>
      </c>
      <c r="AN4504">
        <v>1.0000000273278999</v>
      </c>
    </row>
    <row r="4505" spans="1:40" x14ac:dyDescent="0.25">
      <c r="A4505" t="str">
        <f>"20190303170901454"</f>
        <v>20190303170901454</v>
      </c>
      <c r="B4505" t="str">
        <f>"1551604141448474"</f>
        <v>1551604141448474</v>
      </c>
      <c r="C4505" t="s">
        <v>40</v>
      </c>
      <c r="D4505">
        <v>4.8081769999999997</v>
      </c>
      <c r="E4505">
        <v>0.64539349999999995</v>
      </c>
      <c r="F4505" t="s">
        <v>46</v>
      </c>
      <c r="G4505">
        <v>-273.66820000000001</v>
      </c>
      <c r="H4505">
        <v>-0.05</v>
      </c>
      <c r="I4505">
        <v>-19.043669999999999</v>
      </c>
      <c r="J4505">
        <v>-314.35739999999998</v>
      </c>
      <c r="K4505">
        <v>1.0722069999999999</v>
      </c>
      <c r="L4505">
        <v>15.72662</v>
      </c>
      <c r="M4505">
        <v>0.97384329999999997</v>
      </c>
      <c r="N4505">
        <v>-2.0102800000000001E-2</v>
      </c>
      <c r="O4505">
        <v>-0.22632969999999999</v>
      </c>
      <c r="P4505">
        <v>0.91821600000000003</v>
      </c>
      <c r="Q4505">
        <v>0.18504590000000001</v>
      </c>
      <c r="R4505">
        <v>-0.35019600000000001</v>
      </c>
      <c r="S4505">
        <v>2.4898069999999999</v>
      </c>
      <c r="T4505">
        <v>-6.8289279999999994E-2</v>
      </c>
      <c r="U4505">
        <v>-2.1168819999999999</v>
      </c>
      <c r="V4505">
        <v>0.13772029999999999</v>
      </c>
      <c r="W4505">
        <v>0.201595</v>
      </c>
      <c r="X4505">
        <v>0.9697384</v>
      </c>
      <c r="Y4505">
        <v>0.45824949999999998</v>
      </c>
      <c r="Z4505">
        <v>-9.5114280000000006E-3</v>
      </c>
      <c r="AA4505">
        <v>0.88877269999999897</v>
      </c>
      <c r="AB4505">
        <v>28</v>
      </c>
      <c r="AC4505">
        <v>40.6891999999999</v>
      </c>
      <c r="AD4505">
        <v>-1.122207</v>
      </c>
      <c r="AE4505">
        <v>-34.770290000000003</v>
      </c>
      <c r="AF4505">
        <v>24.6457868716649</v>
      </c>
      <c r="AG4505">
        <v>-1.122207</v>
      </c>
      <c r="AH4505">
        <v>47.4831782387906</v>
      </c>
      <c r="AI4505">
        <v>91.201688816208602</v>
      </c>
      <c r="AJ4505">
        <v>62.568769740559503</v>
      </c>
      <c r="AK4505">
        <v>53.510058631355797</v>
      </c>
      <c r="AL4505">
        <v>78.369754132372407</v>
      </c>
      <c r="AM4505">
        <v>81.917021397110602</v>
      </c>
      <c r="AN4505">
        <v>0.99999999474582402</v>
      </c>
    </row>
    <row r="4506" spans="1:40" x14ac:dyDescent="0.25">
      <c r="A4506" t="str">
        <f>"20190303170901476"</f>
        <v>20190303170901476</v>
      </c>
      <c r="B4506" t="str">
        <f>"1551604141467996"</f>
        <v>1551604141467996</v>
      </c>
      <c r="C4506" t="s">
        <v>40</v>
      </c>
      <c r="D4506">
        <v>4.793247</v>
      </c>
      <c r="E4506">
        <v>0.64537449999999996</v>
      </c>
      <c r="F4506" t="s">
        <v>109</v>
      </c>
      <c r="G4506">
        <v>-284.42840000000001</v>
      </c>
      <c r="H4506">
        <v>0.29272100000000001</v>
      </c>
      <c r="I4506">
        <v>-10.47931</v>
      </c>
      <c r="J4506">
        <v>-314.08659999999998</v>
      </c>
      <c r="K4506">
        <v>1.0706039999999999</v>
      </c>
      <c r="L4506">
        <v>15.6512799999999</v>
      </c>
      <c r="M4506">
        <v>0.97125379999999994</v>
      </c>
      <c r="N4506">
        <v>-1.949385E-2</v>
      </c>
      <c r="O4506">
        <v>-0.23724680000000001</v>
      </c>
      <c r="P4506">
        <v>0.91327290000000005</v>
      </c>
      <c r="Q4506">
        <v>0.18636990000000001</v>
      </c>
      <c r="R4506">
        <v>-0.36221439999999999</v>
      </c>
      <c r="S4506">
        <v>2.4589539999999999</v>
      </c>
      <c r="T4506">
        <v>-6.4043639999999999E-2</v>
      </c>
      <c r="U4506">
        <v>-2.153076</v>
      </c>
      <c r="V4506">
        <v>0.1397216</v>
      </c>
      <c r="W4506">
        <v>0.20222589999999999</v>
      </c>
      <c r="X4506">
        <v>0.96932070000000004</v>
      </c>
      <c r="Y4506">
        <v>0.46122590000000002</v>
      </c>
      <c r="Z4506">
        <v>-9.2581499999999997E-3</v>
      </c>
      <c r="AA4506">
        <v>0.88723439999999998</v>
      </c>
      <c r="AB4506">
        <v>28</v>
      </c>
      <c r="AC4506">
        <v>29.658199999999901</v>
      </c>
      <c r="AD4506">
        <v>-0.77788299999999999</v>
      </c>
      <c r="AE4506">
        <v>-26.130590000000002</v>
      </c>
      <c r="AF4506">
        <v>18.3395054531419</v>
      </c>
      <c r="AG4506">
        <v>-0.77788299999999999</v>
      </c>
      <c r="AH4506">
        <v>34.998137085828901</v>
      </c>
      <c r="AI4506">
        <v>91.127847964835794</v>
      </c>
      <c r="AJ4506">
        <v>62.344842918687803</v>
      </c>
      <c r="AK4506">
        <v>39.519769251679399</v>
      </c>
      <c r="AL4506">
        <v>78.332846479797695</v>
      </c>
      <c r="AM4506">
        <v>81.797663283697105</v>
      </c>
      <c r="AN4506">
        <v>1.0000000297929199</v>
      </c>
    </row>
    <row r="4507" spans="1:40" x14ac:dyDescent="0.25">
      <c r="A4507" t="str">
        <f>"20190303170901498"</f>
        <v>20190303170901498</v>
      </c>
      <c r="B4507" t="str">
        <f>"1551604141488491"</f>
        <v>1551604141488491</v>
      </c>
      <c r="C4507" t="s">
        <v>40</v>
      </c>
      <c r="D4507">
        <v>4.818295</v>
      </c>
      <c r="E4507">
        <v>0.64532539999999905</v>
      </c>
      <c r="F4507" t="s">
        <v>99</v>
      </c>
      <c r="G4507">
        <v>-279.02</v>
      </c>
      <c r="H4507">
        <v>0.20037289999999999</v>
      </c>
      <c r="I4507">
        <v>-15.877529999999901</v>
      </c>
      <c r="J4507">
        <v>-313.822</v>
      </c>
      <c r="K4507">
        <v>1.0692429999999999</v>
      </c>
      <c r="L4507">
        <v>15.574159999999999</v>
      </c>
      <c r="M4507">
        <v>0.96851449999999994</v>
      </c>
      <c r="N4507">
        <v>-1.894011E-2</v>
      </c>
      <c r="O4507">
        <v>-0.24823590000000001</v>
      </c>
      <c r="P4507">
        <v>0.90794459999999999</v>
      </c>
      <c r="Q4507">
        <v>0.18774440000000001</v>
      </c>
      <c r="R4507">
        <v>-0.37468420000000002</v>
      </c>
      <c r="S4507">
        <v>2.4305110000000001</v>
      </c>
      <c r="T4507">
        <v>-6.0316920000000003E-2</v>
      </c>
      <c r="U4507">
        <v>-2.1853030000000002</v>
      </c>
      <c r="V4507">
        <v>0.1421645</v>
      </c>
      <c r="W4507">
        <v>0.2029609</v>
      </c>
      <c r="X4507">
        <v>0.96881170000000005</v>
      </c>
      <c r="Y4507">
        <v>0.46285999999999999</v>
      </c>
      <c r="Z4507">
        <v>-9.0105370000000008E-3</v>
      </c>
      <c r="AA4507">
        <v>0.8863856</v>
      </c>
      <c r="AB4507">
        <v>28</v>
      </c>
      <c r="AC4507">
        <v>34.802</v>
      </c>
      <c r="AD4507">
        <v>-0.86887009999999898</v>
      </c>
      <c r="AE4507">
        <v>-31.451689999999999</v>
      </c>
      <c r="AF4507">
        <v>21.818739996995401</v>
      </c>
      <c r="AG4507">
        <v>-0.86887009999999898</v>
      </c>
      <c r="AH4507">
        <v>41.506884958756103</v>
      </c>
      <c r="AI4507">
        <v>91.0615174383952</v>
      </c>
      <c r="AJ4507">
        <v>62.270641111648203</v>
      </c>
      <c r="AK4507">
        <v>46.900254256097298</v>
      </c>
      <c r="AL4507">
        <v>78.289841841591794</v>
      </c>
      <c r="AM4507">
        <v>81.651933236195703</v>
      </c>
      <c r="AN4507">
        <v>0.99999999102297499</v>
      </c>
    </row>
    <row r="4508" spans="1:40" x14ac:dyDescent="0.25">
      <c r="A4508" t="str">
        <f>"20190303170901520"</f>
        <v>20190303170901520</v>
      </c>
      <c r="B4508" t="str">
        <f>"1551604141508010"</f>
        <v>1551604141508010</v>
      </c>
      <c r="C4508" t="s">
        <v>40</v>
      </c>
      <c r="D4508">
        <v>4.7982809999999896</v>
      </c>
      <c r="E4508">
        <v>0.64528299999999905</v>
      </c>
      <c r="F4508" t="s">
        <v>99</v>
      </c>
      <c r="G4508">
        <v>-279.02</v>
      </c>
      <c r="H4508">
        <v>0.17913850000000001</v>
      </c>
      <c r="I4508">
        <v>-16.52664</v>
      </c>
      <c r="J4508">
        <v>-313.54919999999998</v>
      </c>
      <c r="K4508">
        <v>1.0680160000000001</v>
      </c>
      <c r="L4508">
        <v>15.491</v>
      </c>
      <c r="M4508">
        <v>0.96546600000000005</v>
      </c>
      <c r="N4508">
        <v>-1.8419379999999999E-2</v>
      </c>
      <c r="O4508">
        <v>-0.2598779</v>
      </c>
      <c r="P4508">
        <v>0.90199309999999999</v>
      </c>
      <c r="Q4508">
        <v>0.1895733</v>
      </c>
      <c r="R4508">
        <v>-0.38790590000000003</v>
      </c>
      <c r="S4508">
        <v>2.4024049999999999</v>
      </c>
      <c r="T4508">
        <v>-6.1444520000000002E-2</v>
      </c>
      <c r="U4508">
        <v>-2.2159420000000001</v>
      </c>
      <c r="V4508">
        <v>0.14484229999999901</v>
      </c>
      <c r="W4508">
        <v>0.20417569999999999</v>
      </c>
      <c r="X4508">
        <v>0.96815960000000001</v>
      </c>
      <c r="Y4508">
        <v>0.46346559999999998</v>
      </c>
      <c r="Z4508">
        <v>-8.7344209999999992E-3</v>
      </c>
      <c r="AA4508">
        <v>0.88607190000000002</v>
      </c>
      <c r="AB4508">
        <v>28</v>
      </c>
      <c r="AC4508">
        <v>34.529200000000003</v>
      </c>
      <c r="AD4508">
        <v>-0.88887749999999999</v>
      </c>
      <c r="AE4508">
        <v>-32.01764</v>
      </c>
      <c r="AF4508">
        <v>21.934469350153201</v>
      </c>
      <c r="AG4508">
        <v>-0.88887749999999999</v>
      </c>
      <c r="AH4508">
        <v>41.6496652556241</v>
      </c>
      <c r="AI4508">
        <v>91.081797889978205</v>
      </c>
      <c r="AJ4508">
        <v>62.226818387241003</v>
      </c>
      <c r="AK4508">
        <v>47.080841802036197</v>
      </c>
      <c r="AL4508">
        <v>78.218750542876506</v>
      </c>
      <c r="AM4508">
        <v>81.491324167485701</v>
      </c>
      <c r="AN4508">
        <v>1.00000000970597</v>
      </c>
    </row>
    <row r="4509" spans="1:40" x14ac:dyDescent="0.25">
      <c r="A4509" t="str">
        <f>"20190303170901542"</f>
        <v>20190303170901542</v>
      </c>
      <c r="B4509" t="str">
        <f>"1551604141528507"</f>
        <v>1551604141528507</v>
      </c>
      <c r="C4509" t="s">
        <v>40</v>
      </c>
      <c r="D4509">
        <v>4.8400980000000002</v>
      </c>
      <c r="E4509">
        <v>0.64514050000000001</v>
      </c>
      <c r="F4509" t="s">
        <v>99</v>
      </c>
      <c r="G4509">
        <v>-279.02</v>
      </c>
      <c r="H4509">
        <v>0.2254023</v>
      </c>
      <c r="I4509">
        <v>-17.285409999999999</v>
      </c>
      <c r="J4509">
        <v>-313.28379999999999</v>
      </c>
      <c r="K4509">
        <v>1.0669550000000001</v>
      </c>
      <c r="L4509">
        <v>15.4064</v>
      </c>
      <c r="M4509">
        <v>0.96227309999999999</v>
      </c>
      <c r="N4509">
        <v>-1.796408E-2</v>
      </c>
      <c r="O4509">
        <v>-0.27149220000000002</v>
      </c>
      <c r="P4509">
        <v>0.89690590000000003</v>
      </c>
      <c r="Q4509">
        <v>0.1901591</v>
      </c>
      <c r="R4509">
        <v>-0.39924900000000002</v>
      </c>
      <c r="S4509">
        <v>2.3704529999999999</v>
      </c>
      <c r="T4509">
        <v>-5.784595E-2</v>
      </c>
      <c r="U4509">
        <v>-2.2501220000000002</v>
      </c>
      <c r="V4509">
        <v>0.14547889999999999</v>
      </c>
      <c r="W4509">
        <v>0.2042658</v>
      </c>
      <c r="X4509">
        <v>0.96804509999999999</v>
      </c>
      <c r="Y4509">
        <v>0.4654896</v>
      </c>
      <c r="Z4509">
        <v>-8.5494439999999998E-3</v>
      </c>
      <c r="AA4509">
        <v>0.88501209999999997</v>
      </c>
      <c r="AB4509">
        <v>28</v>
      </c>
      <c r="AC4509">
        <v>34.263800000000003</v>
      </c>
      <c r="AD4509">
        <v>-0.84155269999999904</v>
      </c>
      <c r="AE4509">
        <v>-32.691809999999997</v>
      </c>
      <c r="AF4509">
        <v>22.152672786406001</v>
      </c>
      <c r="AG4509">
        <v>-0.84155269999999904</v>
      </c>
      <c r="AH4509">
        <v>41.8402410206591</v>
      </c>
      <c r="AI4509">
        <v>91.018365542575907</v>
      </c>
      <c r="AJ4509">
        <v>62.100635838418903</v>
      </c>
      <c r="AK4509">
        <v>47.350342038841603</v>
      </c>
      <c r="AL4509">
        <v>78.213476597075001</v>
      </c>
      <c r="AM4509">
        <v>81.453482589467697</v>
      </c>
      <c r="AN4509">
        <v>0.99999997151442899</v>
      </c>
    </row>
    <row r="4510" spans="1:40" x14ac:dyDescent="0.25">
      <c r="A4510" t="str">
        <f>"20190303170901565"</f>
        <v>20190303170901565</v>
      </c>
      <c r="B4510" t="str">
        <f>"1551604141557787"</f>
        <v>1551604141557787</v>
      </c>
      <c r="C4510" t="s">
        <v>40</v>
      </c>
      <c r="D4510">
        <v>4.8719260000000002</v>
      </c>
      <c r="E4510">
        <v>0.63715959999999905</v>
      </c>
      <c r="F4510" t="s">
        <v>99</v>
      </c>
      <c r="G4510">
        <v>-279.02</v>
      </c>
      <c r="H4510">
        <v>0.2728624</v>
      </c>
      <c r="I4510">
        <v>-17.959759999999999</v>
      </c>
      <c r="J4510">
        <v>-312.99590000000001</v>
      </c>
      <c r="K4510">
        <v>1.0659299999999901</v>
      </c>
      <c r="L4510">
        <v>15.31049</v>
      </c>
      <c r="M4510">
        <v>0.95855259999999998</v>
      </c>
      <c r="N4510">
        <v>-1.75237E-2</v>
      </c>
      <c r="O4510">
        <v>-0.28437620000000002</v>
      </c>
      <c r="P4510">
        <v>0.89045429999999903</v>
      </c>
      <c r="Q4510">
        <v>0.19077050000000001</v>
      </c>
      <c r="R4510">
        <v>-0.41315590000000002</v>
      </c>
      <c r="S4510">
        <v>2.3414000000000001</v>
      </c>
      <c r="T4510">
        <v>-5.4263949999999998E-2</v>
      </c>
      <c r="U4510">
        <v>-2.2800600000000002</v>
      </c>
      <c r="V4510">
        <v>0.14767089999999999</v>
      </c>
      <c r="W4510">
        <v>0.20434740000000001</v>
      </c>
      <c r="X4510">
        <v>0.967696</v>
      </c>
      <c r="Y4510">
        <v>0.46493089999999998</v>
      </c>
      <c r="Z4510">
        <v>-8.3316109999999992E-3</v>
      </c>
      <c r="AA4510">
        <v>0.88530779999999998</v>
      </c>
      <c r="AB4510">
        <v>28</v>
      </c>
      <c r="AC4510">
        <v>33.975900000000003</v>
      </c>
      <c r="AD4510">
        <v>-0.79306759999999898</v>
      </c>
      <c r="AE4510">
        <v>-33.270249999999997</v>
      </c>
      <c r="AF4510">
        <v>22.2265791351846</v>
      </c>
      <c r="AG4510">
        <v>-0.79306759999999898</v>
      </c>
      <c r="AH4510">
        <v>42.023720777767899</v>
      </c>
      <c r="AI4510">
        <v>90.955733918845993</v>
      </c>
      <c r="AJ4510">
        <v>62.125388177160303</v>
      </c>
      <c r="AK4510">
        <v>47.546218401452201</v>
      </c>
      <c r="AL4510">
        <v>78.208701476004705</v>
      </c>
      <c r="AM4510">
        <v>81.323570896932395</v>
      </c>
      <c r="AN4510">
        <v>1.00000005150478</v>
      </c>
    </row>
    <row r="4511" spans="1:40" x14ac:dyDescent="0.25">
      <c r="A4511" t="str">
        <f>"20190303170901579"</f>
        <v>20190303170901579</v>
      </c>
      <c r="B4511" t="str">
        <f>"1551604141568524"</f>
        <v>1551604141568524</v>
      </c>
      <c r="C4511" t="s">
        <v>40</v>
      </c>
      <c r="D4511">
        <v>4.8430249999999999</v>
      </c>
      <c r="E4511">
        <v>0.63674469999999905</v>
      </c>
      <c r="F4511" t="s">
        <v>43</v>
      </c>
      <c r="G4511">
        <v>-287.19060000000002</v>
      </c>
      <c r="H4511">
        <v>7.9986109999999999E-2</v>
      </c>
      <c r="I4511">
        <v>-9.6329290000000007</v>
      </c>
      <c r="J4511">
        <v>-312.83240000000001</v>
      </c>
      <c r="K4511">
        <v>1.0654030000000001</v>
      </c>
      <c r="L4511">
        <v>15.253690000000001</v>
      </c>
      <c r="M4511">
        <v>0.9563104</v>
      </c>
      <c r="N4511">
        <v>-1.7300289999999999E-2</v>
      </c>
      <c r="O4511">
        <v>-0.29184090000000001</v>
      </c>
      <c r="P4511">
        <v>0.88654359999999999</v>
      </c>
      <c r="Q4511">
        <v>0.19095780000000001</v>
      </c>
      <c r="R4511">
        <v>-0.42139739999999998</v>
      </c>
      <c r="S4511">
        <v>2.3391109999999999</v>
      </c>
      <c r="T4511">
        <v>-8.9370489999999997E-2</v>
      </c>
      <c r="U4511">
        <v>-2.2609859999999999</v>
      </c>
      <c r="V4511">
        <v>0.14915919999999999</v>
      </c>
      <c r="W4511">
        <v>0.2042504</v>
      </c>
      <c r="X4511">
        <v>0.96748820000000002</v>
      </c>
      <c r="Y4511">
        <v>0.45459549999999999</v>
      </c>
      <c r="Z4511">
        <v>-7.3298199999999999E-3</v>
      </c>
      <c r="AA4511">
        <v>0.89066789999999996</v>
      </c>
      <c r="AB4511">
        <v>28</v>
      </c>
      <c r="AC4511">
        <v>25.6417999999999</v>
      </c>
      <c r="AD4511">
        <v>-0.98541688999999999</v>
      </c>
      <c r="AE4511">
        <v>-24.886619</v>
      </c>
      <c r="AF4511">
        <v>16.3060480673144</v>
      </c>
      <c r="AG4511">
        <v>-0.98541688999999999</v>
      </c>
      <c r="AH4511">
        <v>31.765053584616599</v>
      </c>
      <c r="AI4511">
        <v>91.580859796139606</v>
      </c>
      <c r="AJ4511">
        <v>62.827077086991899</v>
      </c>
      <c r="AK4511">
        <v>35.719418797822399</v>
      </c>
      <c r="AL4511">
        <v>78.214378953330495</v>
      </c>
      <c r="AM4511">
        <v>81.235623293623604</v>
      </c>
      <c r="AN4511">
        <v>1.0000000549920101</v>
      </c>
    </row>
    <row r="4512" spans="1:40" x14ac:dyDescent="0.25">
      <c r="A4512" t="str">
        <f>"20190303170901597"</f>
        <v>20190303170901597</v>
      </c>
      <c r="B4512" t="str">
        <f>"1551604141588043"</f>
        <v>1551604141588043</v>
      </c>
      <c r="C4512" t="s">
        <v>40</v>
      </c>
      <c r="D4512">
        <v>4.8437549999999998</v>
      </c>
      <c r="E4512">
        <v>0.63630489999999995</v>
      </c>
      <c r="F4512" t="s">
        <v>43</v>
      </c>
      <c r="G4512">
        <v>-287.6592</v>
      </c>
      <c r="H4512">
        <v>7.9986130000000003E-2</v>
      </c>
      <c r="I4512">
        <v>-9.4839690000000001</v>
      </c>
      <c r="J4512">
        <v>-312.62079999999997</v>
      </c>
      <c r="K4512">
        <v>1.0647719999999901</v>
      </c>
      <c r="L4512">
        <v>15.17822</v>
      </c>
      <c r="M4512">
        <v>0.95327819999999996</v>
      </c>
      <c r="N4512">
        <v>-1.703145E-2</v>
      </c>
      <c r="O4512">
        <v>-0.30161329999999997</v>
      </c>
      <c r="P4512">
        <v>0.88066060000000002</v>
      </c>
      <c r="Q4512">
        <v>0.19173899999999999</v>
      </c>
      <c r="R4512">
        <v>-0.43321270000000001</v>
      </c>
      <c r="S4512">
        <v>2.319855</v>
      </c>
      <c r="T4512">
        <v>-9.0812089999999998E-2</v>
      </c>
      <c r="U4512">
        <v>-2.2797239999999999</v>
      </c>
      <c r="V4512">
        <v>0.15232079999999901</v>
      </c>
      <c r="W4512">
        <v>0.2046471</v>
      </c>
      <c r="X4512">
        <v>0.96691159999999998</v>
      </c>
      <c r="Y4512">
        <v>0.45283420000000002</v>
      </c>
      <c r="Z4512">
        <v>-6.977685E-3</v>
      </c>
      <c r="AA4512">
        <v>0.89156749999999996</v>
      </c>
      <c r="AB4512">
        <v>28</v>
      </c>
      <c r="AC4512">
        <v>24.961599999999901</v>
      </c>
      <c r="AD4512">
        <v>-0.98478586999999895</v>
      </c>
      <c r="AE4512">
        <v>-24.662189000000001</v>
      </c>
      <c r="AF4512">
        <v>15.970916039891501</v>
      </c>
      <c r="AG4512">
        <v>-0.98478586999999895</v>
      </c>
      <c r="AH4512">
        <v>31.213739993318999</v>
      </c>
      <c r="AI4512">
        <v>91.608827114128204</v>
      </c>
      <c r="AJ4512">
        <v>62.902853697542398</v>
      </c>
      <c r="AK4512">
        <v>35.076167503499299</v>
      </c>
      <c r="AL4512">
        <v>78.191159218654903</v>
      </c>
      <c r="AM4512">
        <v>81.047578150770605</v>
      </c>
      <c r="AN4512">
        <v>1.0000000519328001</v>
      </c>
    </row>
    <row r="4513" spans="1:40" x14ac:dyDescent="0.25">
      <c r="A4513" t="str">
        <f>"20190303170901619"</f>
        <v>20190303170901619</v>
      </c>
      <c r="B4513" t="str">
        <f>"1551604141608179"</f>
        <v>1551604141608179</v>
      </c>
      <c r="C4513" t="s">
        <v>40</v>
      </c>
      <c r="D4513">
        <v>4.8308470000000003</v>
      </c>
      <c r="E4513">
        <v>0.63532580000000005</v>
      </c>
      <c r="F4513" t="s">
        <v>43</v>
      </c>
      <c r="G4513">
        <v>-285.36599999999999</v>
      </c>
      <c r="H4513">
        <v>7.9986459999999995E-2</v>
      </c>
      <c r="I4513">
        <v>-12.284420000000001</v>
      </c>
      <c r="J4513">
        <v>-312.35910000000001</v>
      </c>
      <c r="K4513">
        <v>1.0640700000000001</v>
      </c>
      <c r="L4513">
        <v>15.0811799999999</v>
      </c>
      <c r="M4513">
        <v>0.94930559999999997</v>
      </c>
      <c r="N4513">
        <v>-1.673324E-2</v>
      </c>
      <c r="O4513">
        <v>-0.3139093</v>
      </c>
      <c r="P4513">
        <v>0.873529</v>
      </c>
      <c r="Q4513">
        <v>0.1924139</v>
      </c>
      <c r="R4513">
        <v>-0.44712930000000001</v>
      </c>
      <c r="S4513">
        <v>2.2896420000000002</v>
      </c>
      <c r="T4513">
        <v>-8.2730410000000004E-2</v>
      </c>
      <c r="U4513">
        <v>-2.3070979999999999</v>
      </c>
      <c r="V4513">
        <v>0.15529679999999901</v>
      </c>
      <c r="W4513">
        <v>0.20490240000000001</v>
      </c>
      <c r="X4513">
        <v>0.96638389999999996</v>
      </c>
      <c r="Y4513">
        <v>0.45250980000000002</v>
      </c>
      <c r="Z4513">
        <v>-6.845505E-3</v>
      </c>
      <c r="AA4513">
        <v>0.8917332</v>
      </c>
      <c r="AB4513">
        <v>28</v>
      </c>
      <c r="AC4513">
        <v>26.993099999999998</v>
      </c>
      <c r="AD4513">
        <v>-0.98408353999999998</v>
      </c>
      <c r="AE4513">
        <v>-27.365600000000001</v>
      </c>
      <c r="AF4513">
        <v>17.495914323737399</v>
      </c>
      <c r="AG4513">
        <v>-0.98408353999999998</v>
      </c>
      <c r="AH4513">
        <v>34.197391050948802</v>
      </c>
      <c r="AI4513">
        <v>91.467506113395601</v>
      </c>
      <c r="AJ4513">
        <v>62.905012225746503</v>
      </c>
      <c r="AK4513">
        <v>38.425733475481898</v>
      </c>
      <c r="AL4513">
        <v>78.176213892252207</v>
      </c>
      <c r="AM4513">
        <v>80.870684577305298</v>
      </c>
      <c r="AN4513">
        <v>0.99999996589760398</v>
      </c>
    </row>
    <row r="4514" spans="1:40" x14ac:dyDescent="0.25">
      <c r="A4514" t="str">
        <f>"20190303170901635"</f>
        <v>20190303170901635</v>
      </c>
      <c r="B4514" t="str">
        <f>"1551604141628674"</f>
        <v>1551604141628674</v>
      </c>
      <c r="C4514" t="s">
        <v>40</v>
      </c>
      <c r="D4514">
        <v>4.8663759999999998</v>
      </c>
      <c r="E4514">
        <v>0.63462969999999996</v>
      </c>
      <c r="F4514" t="s">
        <v>43</v>
      </c>
      <c r="G4514">
        <v>-285.30270000000002</v>
      </c>
      <c r="H4514">
        <v>7.9986290000000002E-2</v>
      </c>
      <c r="I4514">
        <v>-12.922409999999999</v>
      </c>
      <c r="J4514">
        <v>-312.1739</v>
      </c>
      <c r="K4514">
        <v>1.0636319999999999</v>
      </c>
      <c r="L4514">
        <v>15.010129999999901</v>
      </c>
      <c r="M4514">
        <v>0.94634529999999994</v>
      </c>
      <c r="N4514">
        <v>-1.6542589999999999E-2</v>
      </c>
      <c r="O4514">
        <v>-0.32273380000000002</v>
      </c>
      <c r="P4514">
        <v>0.8686777</v>
      </c>
      <c r="Q4514">
        <v>0.19265370000000001</v>
      </c>
      <c r="R4514">
        <v>-0.45638089999999998</v>
      </c>
      <c r="S4514">
        <v>2.2568049999999999</v>
      </c>
      <c r="T4514">
        <v>-8.2083699999999996E-2</v>
      </c>
      <c r="U4514">
        <v>-2.3358150000000002</v>
      </c>
      <c r="V4514">
        <v>0.15663270000000001</v>
      </c>
      <c r="W4514">
        <v>0.2048874</v>
      </c>
      <c r="X4514">
        <v>0.96617149999999996</v>
      </c>
      <c r="Y4514">
        <v>0.45616030000000002</v>
      </c>
      <c r="Z4514">
        <v>-6.737041E-3</v>
      </c>
      <c r="AA4514">
        <v>0.88987209999999894</v>
      </c>
      <c r="AB4514">
        <v>28</v>
      </c>
      <c r="AC4514">
        <v>26.871199999999899</v>
      </c>
      <c r="AD4514">
        <v>-0.98364571000000001</v>
      </c>
      <c r="AE4514">
        <v>-27.932539999999999</v>
      </c>
      <c r="AF4514">
        <v>17.752578896946201</v>
      </c>
      <c r="AG4514">
        <v>-0.98364571000000001</v>
      </c>
      <c r="AH4514">
        <v>34.426746475932603</v>
      </c>
      <c r="AI4514">
        <v>91.454691827237397</v>
      </c>
      <c r="AJ4514">
        <v>62.721543600379498</v>
      </c>
      <c r="AK4514">
        <v>38.746902963891699</v>
      </c>
      <c r="AL4514">
        <v>78.177092467796001</v>
      </c>
      <c r="AM4514">
        <v>80.791502003618902</v>
      </c>
      <c r="AN4514">
        <v>1.0000000084001499</v>
      </c>
    </row>
    <row r="4515" spans="1:40" x14ac:dyDescent="0.25">
      <c r="A4515" t="str">
        <f>"20190303170901654"</f>
        <v>20190303170901654</v>
      </c>
      <c r="B4515" t="str">
        <f>"1551604141638435"</f>
        <v>1551604141638435</v>
      </c>
      <c r="C4515" t="s">
        <v>40</v>
      </c>
      <c r="D4515">
        <v>4.8927250000000004</v>
      </c>
      <c r="E4515">
        <v>0.63462969999999996</v>
      </c>
      <c r="F4515" t="s">
        <v>43</v>
      </c>
      <c r="G4515">
        <v>-287.64609999999999</v>
      </c>
      <c r="H4515">
        <v>7.9986799999999997E-2</v>
      </c>
      <c r="I4515">
        <v>-10.82926</v>
      </c>
      <c r="J4515">
        <v>-311.94940000000003</v>
      </c>
      <c r="K4515">
        <v>1.0631600000000001</v>
      </c>
      <c r="L4515">
        <v>14.921139999999999</v>
      </c>
      <c r="M4515">
        <v>0.94258339999999996</v>
      </c>
      <c r="N4515">
        <v>-1.6333589999999999E-2</v>
      </c>
      <c r="O4515">
        <v>-0.33357140000000002</v>
      </c>
      <c r="P4515">
        <v>0.8619753</v>
      </c>
      <c r="Q4515">
        <v>0.1930577</v>
      </c>
      <c r="R4515">
        <v>-0.46875099999999997</v>
      </c>
      <c r="S4515">
        <v>2.2359010000000001</v>
      </c>
      <c r="T4515">
        <v>-8.9667200000000002E-2</v>
      </c>
      <c r="U4515">
        <v>-2.3554689999999998</v>
      </c>
      <c r="V4515">
        <v>0.15945429999999999</v>
      </c>
      <c r="W4515">
        <v>0.2049714</v>
      </c>
      <c r="X4515">
        <v>0.96569199999999999</v>
      </c>
      <c r="Y4515">
        <v>0.45378869999999999</v>
      </c>
      <c r="Z4515">
        <v>-6.1810830000000004E-3</v>
      </c>
      <c r="AA4515">
        <v>0.89108790000000004</v>
      </c>
      <c r="AB4515">
        <v>28</v>
      </c>
      <c r="AC4515">
        <v>24.3033</v>
      </c>
      <c r="AD4515">
        <v>-0.98317319999999997</v>
      </c>
      <c r="AE4515">
        <v>-25.750399999999999</v>
      </c>
      <c r="AF4515">
        <v>16.154714153174002</v>
      </c>
      <c r="AG4515">
        <v>-0.98317319999999997</v>
      </c>
      <c r="AH4515">
        <v>31.4774153341268</v>
      </c>
      <c r="AI4515">
        <v>91.591743240550599</v>
      </c>
      <c r="AJ4515">
        <v>62.832378369804303</v>
      </c>
      <c r="AK4515">
        <v>35.394478312712501</v>
      </c>
      <c r="AL4515">
        <v>78.172175087373901</v>
      </c>
      <c r="AM4515">
        <v>80.623965833876298</v>
      </c>
      <c r="AN4515">
        <v>0.99999999373522497</v>
      </c>
    </row>
    <row r="4516" spans="1:40" x14ac:dyDescent="0.25">
      <c r="A4516" t="str">
        <f>"20190303170901677"</f>
        <v>20190303170901677</v>
      </c>
      <c r="B4516" t="str">
        <f>"1551604141668690"</f>
        <v>1551604141668690</v>
      </c>
      <c r="C4516" t="s">
        <v>40</v>
      </c>
      <c r="D4516">
        <v>4.864725</v>
      </c>
      <c r="E4516">
        <v>0.62700710000000004</v>
      </c>
      <c r="F4516" t="s">
        <v>43</v>
      </c>
      <c r="G4516">
        <v>-287.21910000000003</v>
      </c>
      <c r="H4516">
        <v>7.9986489999999993E-2</v>
      </c>
      <c r="I4516">
        <v>-11.90072</v>
      </c>
      <c r="J4516">
        <v>-311.67759999999998</v>
      </c>
      <c r="K4516">
        <v>1.062654</v>
      </c>
      <c r="L4516">
        <v>14.80902</v>
      </c>
      <c r="M4516">
        <v>0.93776219999999999</v>
      </c>
      <c r="N4516">
        <v>-1.6110670000000001E-2</v>
      </c>
      <c r="O4516">
        <v>-0.34690480000000001</v>
      </c>
      <c r="P4516">
        <v>0.85338639999999999</v>
      </c>
      <c r="Q4516">
        <v>0.1932902</v>
      </c>
      <c r="R4516">
        <v>-0.48411920000000003</v>
      </c>
      <c r="S4516">
        <v>2.201508</v>
      </c>
      <c r="T4516">
        <v>-8.7522630000000004E-2</v>
      </c>
      <c r="U4516">
        <v>-2.3876949999999999</v>
      </c>
      <c r="V4516">
        <v>0.1631522</v>
      </c>
      <c r="W4516">
        <v>0.2048394</v>
      </c>
      <c r="X4516">
        <v>0.96510209999999996</v>
      </c>
      <c r="Y4516">
        <v>0.454096</v>
      </c>
      <c r="Z4516">
        <v>-5.9401559999999898E-3</v>
      </c>
      <c r="AA4516">
        <v>0.89093290000000003</v>
      </c>
      <c r="AB4516">
        <v>28</v>
      </c>
      <c r="AC4516">
        <v>24.458499999999901</v>
      </c>
      <c r="AD4516">
        <v>-0.98266750999999997</v>
      </c>
      <c r="AE4516">
        <v>-26.70974</v>
      </c>
      <c r="AF4516">
        <v>16.552573540437798</v>
      </c>
      <c r="AG4516">
        <v>-0.98266750999999997</v>
      </c>
      <c r="AH4516">
        <v>32.182473523310797</v>
      </c>
      <c r="AI4516">
        <v>91.555380796716804</v>
      </c>
      <c r="AJ4516">
        <v>62.781653846440399</v>
      </c>
      <c r="AK4516">
        <v>36.203106611524603</v>
      </c>
      <c r="AL4516">
        <v>78.179901460561496</v>
      </c>
      <c r="AM4516">
        <v>80.404767549862598</v>
      </c>
      <c r="AN4516">
        <v>0.99999994179080298</v>
      </c>
    </row>
    <row r="4517" spans="1:40" x14ac:dyDescent="0.25">
      <c r="A4517" t="str">
        <f>"20190303170901698"</f>
        <v>20190303170901698</v>
      </c>
      <c r="B4517" t="str">
        <f>"1551604141688211"</f>
        <v>1551604141688211</v>
      </c>
      <c r="C4517" t="s">
        <v>40</v>
      </c>
      <c r="D4517">
        <v>5.0270409999999996</v>
      </c>
      <c r="E4517">
        <v>0.65156130000000001</v>
      </c>
      <c r="F4517" t="s">
        <v>43</v>
      </c>
      <c r="G4517">
        <v>-291.24979999999999</v>
      </c>
      <c r="H4517" s="1">
        <v>-3.05356E-6</v>
      </c>
      <c r="I4517">
        <v>-7.3025520000000004</v>
      </c>
      <c r="J4517">
        <v>-311.43299999999999</v>
      </c>
      <c r="K4517">
        <v>1.062263</v>
      </c>
      <c r="L4517">
        <v>14.7041</v>
      </c>
      <c r="M4517">
        <v>0.933172</v>
      </c>
      <c r="N4517">
        <v>-1.5934739999999999E-2</v>
      </c>
      <c r="O4517">
        <v>-0.35907699999999998</v>
      </c>
      <c r="P4517">
        <v>0.84459759999999995</v>
      </c>
      <c r="Q4517">
        <v>0.19414790000000001</v>
      </c>
      <c r="R4517">
        <v>-0.49896059999999998</v>
      </c>
      <c r="S4517">
        <v>2.194</v>
      </c>
      <c r="T4517">
        <v>-0.114132399999999</v>
      </c>
      <c r="U4517">
        <v>-2.3748469999999999</v>
      </c>
      <c r="V4517">
        <v>0.16761579999999901</v>
      </c>
      <c r="W4517">
        <v>0.20536019999999999</v>
      </c>
      <c r="X4517">
        <v>0.96422620000000003</v>
      </c>
      <c r="Y4517">
        <v>0.4415058</v>
      </c>
      <c r="Z4517">
        <v>-4.1762580000000004E-3</v>
      </c>
      <c r="AA4517">
        <v>0.89724869999999901</v>
      </c>
      <c r="AB4517">
        <v>28</v>
      </c>
      <c r="AC4517">
        <v>20.183199999999999</v>
      </c>
      <c r="AD4517">
        <v>-1.0622660535599999</v>
      </c>
      <c r="AE4517">
        <v>-22.006651999999999</v>
      </c>
      <c r="AF4517">
        <v>13.273556724641701</v>
      </c>
      <c r="AG4517">
        <v>-1.0622660535599999</v>
      </c>
      <c r="AH4517">
        <v>26.706075055990102</v>
      </c>
      <c r="AI4517">
        <v>92.039968111427797</v>
      </c>
      <c r="AJ4517">
        <v>63.571526994618502</v>
      </c>
      <c r="AK4517">
        <v>29.8417519959369</v>
      </c>
      <c r="AL4517">
        <v>78.149414576312395</v>
      </c>
      <c r="AM4517">
        <v>80.138560018123997</v>
      </c>
      <c r="AN4517">
        <v>1.00000001646005</v>
      </c>
    </row>
    <row r="4518" spans="1:40" x14ac:dyDescent="0.25">
      <c r="A4518" t="str">
        <f>"20190303170901720"</f>
        <v>20190303170901720</v>
      </c>
      <c r="B4518" t="str">
        <f>"1551604141708310"</f>
        <v>1551604141708310</v>
      </c>
      <c r="C4518" t="s">
        <v>40</v>
      </c>
      <c r="D4518">
        <v>4.9488820000000002</v>
      </c>
      <c r="E4518">
        <v>0.66868570000000005</v>
      </c>
      <c r="F4518" t="s">
        <v>110</v>
      </c>
      <c r="G4518">
        <v>-283.47340000000003</v>
      </c>
      <c r="H4518">
        <v>0.10691340000000001</v>
      </c>
      <c r="I4518">
        <v>-20.56719</v>
      </c>
      <c r="J4518">
        <v>-311.18110000000001</v>
      </c>
      <c r="K4518">
        <v>1.0619179999999999</v>
      </c>
      <c r="L4518">
        <v>14.591950000000001</v>
      </c>
      <c r="M4518">
        <v>0.92818469999999997</v>
      </c>
      <c r="N4518">
        <v>-1.5776370000000001E-2</v>
      </c>
      <c r="O4518">
        <v>-0.37178529999999999</v>
      </c>
      <c r="P4518">
        <v>0.83563199999999904</v>
      </c>
      <c r="Q4518">
        <v>0.1954042</v>
      </c>
      <c r="R4518">
        <v>-0.51335819999999999</v>
      </c>
      <c r="S4518">
        <v>2.0444339999999999</v>
      </c>
      <c r="T4518">
        <v>-6.9855929999999997E-2</v>
      </c>
      <c r="U4518">
        <v>-2.5790709999999999</v>
      </c>
      <c r="V4518">
        <v>0.17116999999999999</v>
      </c>
      <c r="W4518">
        <v>0.20631820000000001</v>
      </c>
      <c r="X4518">
        <v>0.9633969</v>
      </c>
      <c r="Y4518">
        <v>0.4962839</v>
      </c>
      <c r="Z4518">
        <v>-7.10066E-3</v>
      </c>
      <c r="AA4518">
        <v>0.86813130000000005</v>
      </c>
      <c r="AB4518">
        <v>28</v>
      </c>
      <c r="AC4518">
        <v>27.7076999999999</v>
      </c>
      <c r="AD4518">
        <v>-0.95500459999999998</v>
      </c>
      <c r="AE4518">
        <v>-35.159140000000001</v>
      </c>
      <c r="AF4518">
        <v>22.325478505187899</v>
      </c>
      <c r="AG4518">
        <v>-0.95500459999999998</v>
      </c>
      <c r="AH4518">
        <v>38.776693403488501</v>
      </c>
      <c r="AI4518">
        <v>91.222710754092205</v>
      </c>
      <c r="AJ4518">
        <v>60.0690391194168</v>
      </c>
      <c r="AK4518">
        <v>44.754563740246397</v>
      </c>
      <c r="AL4518">
        <v>78.093323618858804</v>
      </c>
      <c r="AM4518">
        <v>79.925199462979293</v>
      </c>
      <c r="AN4518">
        <v>0.99999997774042404</v>
      </c>
    </row>
    <row r="4519" spans="1:40" x14ac:dyDescent="0.25">
      <c r="A4519" t="str">
        <f>"20190303170901743"</f>
        <v>20190303170901743</v>
      </c>
      <c r="B4519" t="str">
        <f>"1551604141738566"</f>
        <v>1551604141738566</v>
      </c>
      <c r="C4519" t="s">
        <v>40</v>
      </c>
      <c r="D4519">
        <v>5.0551560000000002</v>
      </c>
      <c r="E4519">
        <v>0.68308709999999995</v>
      </c>
      <c r="F4519" t="s">
        <v>110</v>
      </c>
      <c r="G4519">
        <v>-283.16480000000001</v>
      </c>
      <c r="H4519">
        <v>0.91337170000000001</v>
      </c>
      <c r="I4519">
        <v>-25.255330000000001</v>
      </c>
      <c r="J4519">
        <v>-310.91520000000003</v>
      </c>
      <c r="K4519">
        <v>1.0615730000000001</v>
      </c>
      <c r="L4519">
        <v>14.468870000000001</v>
      </c>
      <c r="M4519">
        <v>0.92262149999999998</v>
      </c>
      <c r="N4519">
        <v>-1.5632279999999998E-2</v>
      </c>
      <c r="O4519">
        <v>-0.38539010000000001</v>
      </c>
      <c r="P4519">
        <v>0.82622870000000004</v>
      </c>
      <c r="Q4519">
        <v>0.19669249999999999</v>
      </c>
      <c r="R4519">
        <v>-0.52788139999999995</v>
      </c>
      <c r="S4519">
        <v>1.9172359999999999</v>
      </c>
      <c r="T4519">
        <v>-1.0165449999999999E-2</v>
      </c>
      <c r="U4519">
        <v>-2.7268680000000001</v>
      </c>
      <c r="V4519">
        <v>0.1740534</v>
      </c>
      <c r="W4519">
        <v>0.20733660000000001</v>
      </c>
      <c r="X4519">
        <v>0.9626614</v>
      </c>
      <c r="Y4519">
        <v>0.53311940000000002</v>
      </c>
      <c r="Z4519">
        <v>-9.8286099999999998E-3</v>
      </c>
      <c r="AA4519">
        <v>0.84598289999999998</v>
      </c>
      <c r="AB4519">
        <v>28</v>
      </c>
      <c r="AC4519">
        <v>27.750399999999999</v>
      </c>
      <c r="AD4519">
        <v>-0.14820129999999901</v>
      </c>
      <c r="AE4519">
        <v>-39.724200000000003</v>
      </c>
      <c r="AF4519">
        <v>25.958596419904801</v>
      </c>
      <c r="AG4519">
        <v>-0.14820129999999901</v>
      </c>
      <c r="AH4519">
        <v>40.9170393732755</v>
      </c>
      <c r="AI4519">
        <v>90.175234397065793</v>
      </c>
      <c r="AJ4519">
        <v>57.6081328676702</v>
      </c>
      <c r="AK4519">
        <v>48.456937612595702</v>
      </c>
      <c r="AL4519">
        <v>78.033684441222206</v>
      </c>
      <c r="AM4519">
        <v>79.751391203339494</v>
      </c>
      <c r="AN4519">
        <v>1.0000000114005301</v>
      </c>
    </row>
    <row r="4520" spans="1:40" x14ac:dyDescent="0.25">
      <c r="A4520" t="str">
        <f>"20190303170901765"</f>
        <v>20190303170901765</v>
      </c>
      <c r="B4520" t="str">
        <f>"1551604141758086"</f>
        <v>1551604141758086</v>
      </c>
      <c r="C4520" t="s">
        <v>40</v>
      </c>
      <c r="D4520">
        <v>5.0338370000000001</v>
      </c>
      <c r="E4520">
        <v>0.68749769999999999</v>
      </c>
      <c r="F4520" t="s">
        <v>110</v>
      </c>
      <c r="G4520">
        <v>-283.7996</v>
      </c>
      <c r="H4520">
        <v>1.71504399999999</v>
      </c>
      <c r="I4520">
        <v>-28.593229999999998</v>
      </c>
      <c r="J4520">
        <v>-310.65879999999999</v>
      </c>
      <c r="K4520">
        <v>1.061272</v>
      </c>
      <c r="L4520">
        <v>14.34552</v>
      </c>
      <c r="M4520">
        <v>0.91695420000000005</v>
      </c>
      <c r="N4520">
        <v>-1.5514190000000001E-2</v>
      </c>
      <c r="O4520">
        <v>-0.39869090000000001</v>
      </c>
      <c r="P4520">
        <v>0.81655519999999904</v>
      </c>
      <c r="Q4520">
        <v>0.1977816</v>
      </c>
      <c r="R4520">
        <v>-0.54232829999999999</v>
      </c>
      <c r="S4520">
        <v>1.79718</v>
      </c>
      <c r="T4520">
        <v>4.3310519999999998E-2</v>
      </c>
      <c r="U4520">
        <v>-2.854095</v>
      </c>
      <c r="V4520">
        <v>0.17725679999999999</v>
      </c>
      <c r="W4520">
        <v>0.20817060000000001</v>
      </c>
      <c r="X4520">
        <v>0.96189650000000004</v>
      </c>
      <c r="Y4520">
        <v>0.56365010000000004</v>
      </c>
      <c r="Z4520">
        <v>-1.206175E-2</v>
      </c>
      <c r="AA4520">
        <v>0.82592559999999904</v>
      </c>
      <c r="AB4520">
        <v>28</v>
      </c>
      <c r="AC4520">
        <v>26.859199999999898</v>
      </c>
      <c r="AD4520">
        <v>0.65377199999999902</v>
      </c>
      <c r="AE4520">
        <v>-42.938749999999999</v>
      </c>
      <c r="AF4520">
        <v>28.663020956208602</v>
      </c>
      <c r="AG4520">
        <v>0.65377199999999902</v>
      </c>
      <c r="AH4520">
        <v>41.746011591745102</v>
      </c>
      <c r="AI4520">
        <v>89.260325659985696</v>
      </c>
      <c r="AJ4520">
        <v>55.526312184950903</v>
      </c>
      <c r="AK4520">
        <v>50.643120677759903</v>
      </c>
      <c r="AL4520">
        <v>77.984832837004404</v>
      </c>
      <c r="AM4520">
        <v>79.558760454443103</v>
      </c>
      <c r="AN4520">
        <v>0.99999992428142204</v>
      </c>
    </row>
    <row r="4521" spans="1:40" x14ac:dyDescent="0.25">
      <c r="A4521" t="str">
        <f>"20190303170901787"</f>
        <v>20190303170901787</v>
      </c>
      <c r="B4521" t="str">
        <f>"1551604141778582"</f>
        <v>1551604141778582</v>
      </c>
      <c r="C4521" t="s">
        <v>40</v>
      </c>
      <c r="D4521">
        <v>5.064114</v>
      </c>
      <c r="E4521">
        <v>0.68960569999999999</v>
      </c>
      <c r="F4521" t="s">
        <v>99</v>
      </c>
      <c r="G4521">
        <v>-279.33690000000001</v>
      </c>
      <c r="H4521">
        <v>2.147205</v>
      </c>
      <c r="I4521">
        <v>-38.55782</v>
      </c>
      <c r="J4521">
        <v>-310.41660000000002</v>
      </c>
      <c r="K4521">
        <v>1.061015</v>
      </c>
      <c r="L4521">
        <v>14.224550000000001</v>
      </c>
      <c r="M4521">
        <v>0.91131439999999997</v>
      </c>
      <c r="N4521">
        <v>-1.5420140000000001E-2</v>
      </c>
      <c r="O4521">
        <v>-0.41142230000000002</v>
      </c>
      <c r="P4521">
        <v>0.806643</v>
      </c>
      <c r="Q4521">
        <v>0.1981726</v>
      </c>
      <c r="R4521">
        <v>-0.55682580000000004</v>
      </c>
      <c r="S4521">
        <v>1.724731</v>
      </c>
      <c r="T4521">
        <v>5.9796809999999999E-2</v>
      </c>
      <c r="U4521">
        <v>-2.913116</v>
      </c>
      <c r="V4521">
        <v>0.1811536</v>
      </c>
      <c r="W4521">
        <v>0.208311</v>
      </c>
      <c r="X4521">
        <v>0.96113990000000005</v>
      </c>
      <c r="Y4521">
        <v>0.57475730000000003</v>
      </c>
      <c r="Z4521">
        <v>-1.296451E-2</v>
      </c>
      <c r="AA4521">
        <v>0.81822119999999998</v>
      </c>
      <c r="AB4521">
        <v>28</v>
      </c>
      <c r="AC4521">
        <v>31.079699999999999</v>
      </c>
      <c r="AD4521">
        <v>1.08619</v>
      </c>
      <c r="AE4521">
        <v>-52.782369999999901</v>
      </c>
      <c r="AF4521">
        <v>35.3075484354003</v>
      </c>
      <c r="AG4521">
        <v>1.08619</v>
      </c>
      <c r="AH4521">
        <v>50.029439867714402</v>
      </c>
      <c r="AI4521">
        <v>88.983769369377796</v>
      </c>
      <c r="AJ4521">
        <v>54.788025808263598</v>
      </c>
      <c r="AK4521">
        <v>61.243347709865503</v>
      </c>
      <c r="AL4521">
        <v>77.976609171164696</v>
      </c>
      <c r="AM4521">
        <v>79.326229397602702</v>
      </c>
      <c r="AN4521">
        <v>1.0000000034429799</v>
      </c>
    </row>
    <row r="4522" spans="1:40" x14ac:dyDescent="0.25">
      <c r="A4522" t="str">
        <f>"20190303170901808"</f>
        <v>20190303170901808</v>
      </c>
      <c r="B4522" t="str">
        <f>"1551604141798037"</f>
        <v>1551604141798037</v>
      </c>
      <c r="C4522" t="s">
        <v>40</v>
      </c>
      <c r="D4522">
        <v>4.8860839999999897</v>
      </c>
      <c r="E4522">
        <v>0.69111409999999995</v>
      </c>
      <c r="F4522" t="s">
        <v>78</v>
      </c>
      <c r="G4522">
        <v>-250.9504</v>
      </c>
      <c r="H4522">
        <v>3.4297240000000002</v>
      </c>
      <c r="I4522">
        <v>-91.564989999999995</v>
      </c>
      <c r="J4522">
        <v>-310.17250000000001</v>
      </c>
      <c r="K4522">
        <v>1.0607850000000001</v>
      </c>
      <c r="L4522">
        <v>14.098240000000001</v>
      </c>
      <c r="M4522">
        <v>0.90533609999999998</v>
      </c>
      <c r="N4522">
        <v>-1.5340410000000001E-2</v>
      </c>
      <c r="O4522">
        <v>-0.42441879999999998</v>
      </c>
      <c r="P4522">
        <v>0.7964637</v>
      </c>
      <c r="Q4522">
        <v>0.19826659999999999</v>
      </c>
      <c r="R4522">
        <v>-0.57125839999999894</v>
      </c>
      <c r="S4522">
        <v>1.66192599999999</v>
      </c>
      <c r="T4522">
        <v>6.6199540000000001E-2</v>
      </c>
      <c r="U4522">
        <v>-2.9565429999999999</v>
      </c>
      <c r="V4522">
        <v>0.18478349999999999</v>
      </c>
      <c r="W4522">
        <v>0.20817340000000001</v>
      </c>
      <c r="X4522">
        <v>0.96047850000000001</v>
      </c>
      <c r="Y4522">
        <v>0.58141889999999996</v>
      </c>
      <c r="Z4522">
        <v>-1.358119E-2</v>
      </c>
      <c r="AA4522">
        <v>0.81349099999999996</v>
      </c>
      <c r="AB4522">
        <v>28</v>
      </c>
      <c r="AC4522">
        <v>59.222099999999998</v>
      </c>
      <c r="AD4522">
        <v>2.3689390000000001</v>
      </c>
      <c r="AE4522">
        <v>-105.66323</v>
      </c>
      <c r="AF4522">
        <v>70.507092034877303</v>
      </c>
      <c r="AG4522">
        <v>2.3689390000000001</v>
      </c>
      <c r="AH4522">
        <v>98.435298381299603</v>
      </c>
      <c r="AI4522">
        <v>88.879161878403906</v>
      </c>
      <c r="AJ4522">
        <v>54.386787351874901</v>
      </c>
      <c r="AK4522">
        <v>121.10478878482</v>
      </c>
      <c r="AL4522">
        <v>77.9846700760164</v>
      </c>
      <c r="AM4522">
        <v>79.1100955075039</v>
      </c>
      <c r="AN4522">
        <v>1.0000000276510199</v>
      </c>
    </row>
    <row r="4523" spans="1:40" x14ac:dyDescent="0.25">
      <c r="A4523" t="str">
        <f>"20190303170901832"</f>
        <v>20190303170901832</v>
      </c>
      <c r="B4523" t="str">
        <f>"1551604141818533"</f>
        <v>1551604141818533</v>
      </c>
      <c r="C4523" t="s">
        <v>40</v>
      </c>
      <c r="D4523">
        <v>4.9017429999999997</v>
      </c>
      <c r="E4523">
        <v>0.69192049999999905</v>
      </c>
      <c r="F4523" t="s">
        <v>78</v>
      </c>
      <c r="G4523">
        <v>-253.7175</v>
      </c>
      <c r="H4523">
        <v>3.6528779999999998</v>
      </c>
      <c r="I4523">
        <v>-91.564989999999995</v>
      </c>
      <c r="J4523">
        <v>-309.91570000000002</v>
      </c>
      <c r="K4523">
        <v>1.060567</v>
      </c>
      <c r="L4523">
        <v>13.959809999999999</v>
      </c>
      <c r="M4523">
        <v>0.89869959999999904</v>
      </c>
      <c r="N4523">
        <v>-1.527237E-2</v>
      </c>
      <c r="O4523">
        <v>-0.43829859999999998</v>
      </c>
      <c r="P4523">
        <v>0.78599609999999998</v>
      </c>
      <c r="Q4523">
        <v>0.19863710000000001</v>
      </c>
      <c r="R4523">
        <v>-0.58545170000000002</v>
      </c>
      <c r="S4523">
        <v>1.60022</v>
      </c>
      <c r="T4523">
        <v>7.3473220000000006E-2</v>
      </c>
      <c r="U4523">
        <v>-2.9950260000000002</v>
      </c>
      <c r="V4523">
        <v>0.18734709999999999</v>
      </c>
      <c r="W4523">
        <v>0.20835020000000001</v>
      </c>
      <c r="X4523">
        <v>0.9599434</v>
      </c>
      <c r="Y4523">
        <v>0.58630839999999995</v>
      </c>
      <c r="Z4523">
        <v>-1.432315E-2</v>
      </c>
      <c r="AA4523">
        <v>0.8099613</v>
      </c>
      <c r="AB4523">
        <v>28</v>
      </c>
      <c r="AC4523">
        <v>56.1982</v>
      </c>
      <c r="AD4523">
        <v>2.592311</v>
      </c>
      <c r="AE4523">
        <v>-105.5248</v>
      </c>
      <c r="AF4523">
        <v>70.178702219762599</v>
      </c>
      <c r="AG4523">
        <v>2.592311</v>
      </c>
      <c r="AH4523">
        <v>96.722490521168794</v>
      </c>
      <c r="AI4523">
        <v>88.757280522790893</v>
      </c>
      <c r="AJ4523">
        <v>54.036578513410802</v>
      </c>
      <c r="AK4523">
        <v>119.528283239526</v>
      </c>
      <c r="AL4523">
        <v>77.974313193498702</v>
      </c>
      <c r="AM4523">
        <v>78.956698372501407</v>
      </c>
      <c r="AN4523">
        <v>1.000000036461</v>
      </c>
    </row>
    <row r="4524" spans="1:40" x14ac:dyDescent="0.25">
      <c r="A4524" t="str">
        <f>"20190303170901855"</f>
        <v>20190303170901855</v>
      </c>
      <c r="B4524" t="str">
        <f>"1551604141847812"</f>
        <v>1551604141847812</v>
      </c>
      <c r="C4524" t="s">
        <v>40</v>
      </c>
      <c r="D4524">
        <v>4.9213060000000004</v>
      </c>
      <c r="E4524">
        <v>0.6917413</v>
      </c>
      <c r="F4524" t="s">
        <v>78</v>
      </c>
      <c r="G4524">
        <v>-256.2484</v>
      </c>
      <c r="H4524">
        <v>3.9065479999999999</v>
      </c>
      <c r="I4524">
        <v>-91.564989999999995</v>
      </c>
      <c r="J4524">
        <v>-309.6576</v>
      </c>
      <c r="K4524">
        <v>1.0603640000000001</v>
      </c>
      <c r="L4524">
        <v>13.8154</v>
      </c>
      <c r="M4524">
        <v>0.89167680000000005</v>
      </c>
      <c r="N4524">
        <v>-1.521635E-2</v>
      </c>
      <c r="O4524">
        <v>-0.45241720000000002</v>
      </c>
      <c r="P4524">
        <v>0.77532880000000004</v>
      </c>
      <c r="Q4524">
        <v>0.19923660000000001</v>
      </c>
      <c r="R4524">
        <v>-0.59930799999999995</v>
      </c>
      <c r="S4524">
        <v>1.5402830000000001</v>
      </c>
      <c r="T4524">
        <v>8.1681729999999994E-2</v>
      </c>
      <c r="U4524">
        <v>-3.0286249999999999</v>
      </c>
      <c r="V4524">
        <v>0.1893899</v>
      </c>
      <c r="W4524">
        <v>0.20878430000000001</v>
      </c>
      <c r="X4524">
        <v>0.95944799999999997</v>
      </c>
      <c r="Y4524">
        <v>0.58991899999999997</v>
      </c>
      <c r="Z4524">
        <v>-1.5190169999999999E-2</v>
      </c>
      <c r="AA4524">
        <v>0.80731960000000003</v>
      </c>
      <c r="AB4524">
        <v>28</v>
      </c>
      <c r="AC4524">
        <v>53.409199999999998</v>
      </c>
      <c r="AD4524">
        <v>2.846184</v>
      </c>
      <c r="AE4524">
        <v>-105.380389999999</v>
      </c>
      <c r="AF4524">
        <v>69.769584168872001</v>
      </c>
      <c r="AG4524">
        <v>2.846184</v>
      </c>
      <c r="AH4524">
        <v>95.255377450031304</v>
      </c>
      <c r="AI4524">
        <v>88.619143339816603</v>
      </c>
      <c r="AJ4524">
        <v>53.779173050780201</v>
      </c>
      <c r="AK4524">
        <v>118.107927640811</v>
      </c>
      <c r="AL4524">
        <v>77.948880647579301</v>
      </c>
      <c r="AM4524">
        <v>78.833673491343305</v>
      </c>
      <c r="AN4524">
        <v>0.99999994142624804</v>
      </c>
    </row>
    <row r="4525" spans="1:40" x14ac:dyDescent="0.25">
      <c r="A4525" t="str">
        <f>"20190303170901878"</f>
        <v>20190303170901878</v>
      </c>
      <c r="B4525" t="str">
        <f>"1551604141868308"</f>
        <v>1551604141868308</v>
      </c>
      <c r="C4525" t="s">
        <v>40</v>
      </c>
      <c r="D4525">
        <v>4.9474919999999996</v>
      </c>
      <c r="E4525">
        <v>0.69101290000000004</v>
      </c>
      <c r="F4525" t="s">
        <v>78</v>
      </c>
      <c r="G4525">
        <v>-258.65660000000003</v>
      </c>
      <c r="H4525">
        <v>3.9823059999999999</v>
      </c>
      <c r="I4525">
        <v>-90.976820000000004</v>
      </c>
      <c r="J4525">
        <v>-309.4126</v>
      </c>
      <c r="K4525">
        <v>1.0602039999999999</v>
      </c>
      <c r="L4525">
        <v>13.673159999999999</v>
      </c>
      <c r="M4525">
        <v>0.88467369999999901</v>
      </c>
      <c r="N4525">
        <v>-1.517173E-2</v>
      </c>
      <c r="O4525">
        <v>-0.46596409999999999</v>
      </c>
      <c r="P4525">
        <v>0.76404949999999905</v>
      </c>
      <c r="Q4525">
        <v>0.19985919999999999</v>
      </c>
      <c r="R4525">
        <v>-0.61342099999999999</v>
      </c>
      <c r="S4525">
        <v>1.4865109999999999</v>
      </c>
      <c r="T4525">
        <v>8.5165499999999894E-2</v>
      </c>
      <c r="U4525">
        <v>-3.0543520000000002</v>
      </c>
      <c r="V4525">
        <v>0.192492</v>
      </c>
      <c r="W4525">
        <v>0.20922689999999999</v>
      </c>
      <c r="X4525">
        <v>0.95873399999999998</v>
      </c>
      <c r="Y4525">
        <v>0.59177419999999903</v>
      </c>
      <c r="Z4525">
        <v>-1.5879810000000001E-2</v>
      </c>
      <c r="AA4525">
        <v>0.80594739999999998</v>
      </c>
      <c r="AB4525">
        <v>28</v>
      </c>
      <c r="AC4525">
        <v>50.755999999999901</v>
      </c>
      <c r="AD4525">
        <v>2.9221020000000002</v>
      </c>
      <c r="AE4525">
        <v>-104.64998</v>
      </c>
      <c r="AF4525">
        <v>68.8950499168958</v>
      </c>
      <c r="AG4525">
        <v>2.9221020000000002</v>
      </c>
      <c r="AH4525">
        <v>93.617310054736393</v>
      </c>
      <c r="AI4525">
        <v>88.559918229255302</v>
      </c>
      <c r="AJ4525">
        <v>53.649825906257099</v>
      </c>
      <c r="AK4525">
        <v>116.272384189172</v>
      </c>
      <c r="AL4525">
        <v>77.922949217227995</v>
      </c>
      <c r="AM4525">
        <v>78.647252223402603</v>
      </c>
      <c r="AN4525">
        <v>0.99999997425180398</v>
      </c>
    </row>
    <row r="4526" spans="1:40" x14ac:dyDescent="0.25">
      <c r="A4526" t="str">
        <f>"20190303170901899"</f>
        <v>20190303170901899</v>
      </c>
      <c r="B4526" t="str">
        <f>"1551604141887827"</f>
        <v>1551604141887827</v>
      </c>
      <c r="C4526" t="s">
        <v>40</v>
      </c>
      <c r="D4526">
        <v>4.9511310000000002</v>
      </c>
      <c r="E4526">
        <v>0.69002559999999902</v>
      </c>
      <c r="F4526" t="s">
        <v>78</v>
      </c>
      <c r="G4526">
        <v>-260.60410000000002</v>
      </c>
      <c r="H4526">
        <v>3.8692329999999999</v>
      </c>
      <c r="I4526">
        <v>-90.976820000000004</v>
      </c>
      <c r="J4526">
        <v>-309.18290000000002</v>
      </c>
      <c r="K4526">
        <v>1.060073</v>
      </c>
      <c r="L4526">
        <v>13.535159999999999</v>
      </c>
      <c r="M4526">
        <v>0.87780230000000004</v>
      </c>
      <c r="N4526">
        <v>-1.5135930000000001E-2</v>
      </c>
      <c r="O4526">
        <v>-0.47878419999999999</v>
      </c>
      <c r="P4526">
        <v>0.75346959999999996</v>
      </c>
      <c r="Q4526">
        <v>0.19999339999999999</v>
      </c>
      <c r="R4526">
        <v>-0.62632759999999998</v>
      </c>
      <c r="S4526">
        <v>1.4348749999999999</v>
      </c>
      <c r="T4526">
        <v>8.258045E-2</v>
      </c>
      <c r="U4526">
        <v>-3.076508</v>
      </c>
      <c r="V4526">
        <v>0.19491710000000001</v>
      </c>
      <c r="W4526">
        <v>0.20921799999999999</v>
      </c>
      <c r="X4526">
        <v>0.95824589999999998</v>
      </c>
      <c r="Y4526">
        <v>0.59337099999999998</v>
      </c>
      <c r="Z4526">
        <v>-1.623935E-2</v>
      </c>
      <c r="AA4526">
        <v>0.80476519999999996</v>
      </c>
      <c r="AB4526">
        <v>28</v>
      </c>
      <c r="AC4526">
        <v>48.578800000000001</v>
      </c>
      <c r="AD4526">
        <v>2.8091599999999999</v>
      </c>
      <c r="AE4526">
        <v>-104.51197999999999</v>
      </c>
      <c r="AF4526">
        <v>68.449264123874997</v>
      </c>
      <c r="AG4526">
        <v>2.8091599999999999</v>
      </c>
      <c r="AH4526">
        <v>92.636835589300105</v>
      </c>
      <c r="AI4526">
        <v>88.602896636189698</v>
      </c>
      <c r="AJ4526">
        <v>53.539342366276301</v>
      </c>
      <c r="AK4526">
        <v>115.216216076577</v>
      </c>
      <c r="AL4526">
        <v>77.923471326870995</v>
      </c>
      <c r="AM4526">
        <v>78.502309956278395</v>
      </c>
      <c r="AN4526">
        <v>1.0000000261316</v>
      </c>
    </row>
    <row r="4527" spans="1:40" x14ac:dyDescent="0.25">
      <c r="A4527" t="str">
        <f>"20190303170901921"</f>
        <v>20190303170901921</v>
      </c>
      <c r="B4527" t="str">
        <f>"1551604141908324"</f>
        <v>1551604141908324</v>
      </c>
      <c r="C4527" t="s">
        <v>40</v>
      </c>
      <c r="D4527">
        <v>4.9954039999999997</v>
      </c>
      <c r="E4527">
        <v>0.67745100000000003</v>
      </c>
      <c r="F4527" t="s">
        <v>78</v>
      </c>
      <c r="G4527">
        <v>-262.02780000000001</v>
      </c>
      <c r="H4527">
        <v>3.741663</v>
      </c>
      <c r="I4527">
        <v>-91.564989999999995</v>
      </c>
      <c r="J4527">
        <v>-308.94709999999998</v>
      </c>
      <c r="K4527">
        <v>1.059958</v>
      </c>
      <c r="L4527">
        <v>13.388579999999999</v>
      </c>
      <c r="M4527">
        <v>0.87042980000000003</v>
      </c>
      <c r="N4527">
        <v>-1.51051E-2</v>
      </c>
      <c r="O4527">
        <v>-0.49206080000000002</v>
      </c>
      <c r="P4527">
        <v>0.74256829999999996</v>
      </c>
      <c r="Q4527">
        <v>0.20009750000000001</v>
      </c>
      <c r="R4527">
        <v>-0.63918180000000002</v>
      </c>
      <c r="S4527">
        <v>1.3883669999999999</v>
      </c>
      <c r="T4527">
        <v>7.8953389999999998E-2</v>
      </c>
      <c r="U4527">
        <v>-3.0944210000000001</v>
      </c>
      <c r="V4527">
        <v>0.1968857</v>
      </c>
      <c r="W4527">
        <v>0.20919979999999999</v>
      </c>
      <c r="X4527">
        <v>0.95784729999999996</v>
      </c>
      <c r="Y4527">
        <v>0.59294150000000001</v>
      </c>
      <c r="Z4527">
        <v>-1.6548139999999999E-2</v>
      </c>
      <c r="AA4527">
        <v>0.80507550000000005</v>
      </c>
      <c r="AB4527">
        <v>28</v>
      </c>
      <c r="AC4527">
        <v>46.9192999999999</v>
      </c>
      <c r="AD4527">
        <v>2.681705</v>
      </c>
      <c r="AE4527">
        <v>-104.95357</v>
      </c>
      <c r="AF4527">
        <v>68.238224778615503</v>
      </c>
      <c r="AG4527">
        <v>2.681705</v>
      </c>
      <c r="AH4527">
        <v>92.443744486568605</v>
      </c>
      <c r="AI4527">
        <v>88.663004399859105</v>
      </c>
      <c r="AJ4527">
        <v>53.566759866613097</v>
      </c>
      <c r="AK4527">
        <v>114.932557429746</v>
      </c>
      <c r="AL4527">
        <v>77.924537297619395</v>
      </c>
      <c r="AM4527">
        <v>78.384624521220204</v>
      </c>
      <c r="AN4527">
        <v>0.999999992650909</v>
      </c>
    </row>
    <row r="4528" spans="1:40" x14ac:dyDescent="0.25">
      <c r="A4528" t="str">
        <f>"20190303170901944"</f>
        <v>20190303170901944</v>
      </c>
      <c r="B4528" t="str">
        <f>"1551604141927845"</f>
        <v>1551604141927845</v>
      </c>
      <c r="C4528" t="s">
        <v>40</v>
      </c>
      <c r="D4528">
        <v>4.9764799999999996</v>
      </c>
      <c r="E4528">
        <v>0.67758200000000002</v>
      </c>
      <c r="F4528" t="s">
        <v>78</v>
      </c>
      <c r="G4528">
        <v>-260.69709999999998</v>
      </c>
      <c r="H4528">
        <v>2.3940450000000002</v>
      </c>
      <c r="I4528">
        <v>-90.976820000000004</v>
      </c>
      <c r="J4528">
        <v>-308.70409999999998</v>
      </c>
      <c r="K4528">
        <v>1.0598399999999999</v>
      </c>
      <c r="L4528">
        <v>13.23221</v>
      </c>
      <c r="M4528">
        <v>0.86248609999999903</v>
      </c>
      <c r="N4528">
        <v>-1.5079240000000001E-2</v>
      </c>
      <c r="O4528">
        <v>-0.50585590000000002</v>
      </c>
      <c r="P4528">
        <v>0.73022229999999999</v>
      </c>
      <c r="Q4528">
        <v>0.20048260000000001</v>
      </c>
      <c r="R4528">
        <v>-0.65313269999999901</v>
      </c>
      <c r="S4528">
        <v>1.40802</v>
      </c>
      <c r="T4528">
        <v>3.893137E-2</v>
      </c>
      <c r="U4528">
        <v>-3.045563</v>
      </c>
      <c r="V4528">
        <v>0.19988339999999999</v>
      </c>
      <c r="W4528">
        <v>0.20943619999999999</v>
      </c>
      <c r="X4528">
        <v>0.95717450000000004</v>
      </c>
      <c r="Y4528">
        <v>0.57072860000000003</v>
      </c>
      <c r="Z4528">
        <v>-1.4437210000000001E-2</v>
      </c>
      <c r="AA4528">
        <v>0.82101179999999996</v>
      </c>
      <c r="AB4528">
        <v>28</v>
      </c>
      <c r="AC4528">
        <v>48.006999999999998</v>
      </c>
      <c r="AD4528">
        <v>1.3342050000000001</v>
      </c>
      <c r="AE4528">
        <v>-104.209029999999</v>
      </c>
      <c r="AF4528">
        <v>65.592809803787702</v>
      </c>
      <c r="AG4528">
        <v>1.3342050000000001</v>
      </c>
      <c r="AH4528">
        <v>94.118105594109096</v>
      </c>
      <c r="AI4528">
        <v>89.333673320516993</v>
      </c>
      <c r="AJ4528">
        <v>55.126580116661103</v>
      </c>
      <c r="AK4528">
        <v>114.72756687719701</v>
      </c>
      <c r="AL4528">
        <v>77.910685322720894</v>
      </c>
      <c r="AM4528">
        <v>78.204632799029298</v>
      </c>
      <c r="AN4528">
        <v>0.99999995945812403</v>
      </c>
    </row>
    <row r="4529" spans="1:40" x14ac:dyDescent="0.25">
      <c r="A4529" t="str">
        <f>"20190303170901966"</f>
        <v>20190303170901966</v>
      </c>
      <c r="B4529" t="str">
        <f>"1551604141958100"</f>
        <v>1551604141958100</v>
      </c>
      <c r="C4529" t="s">
        <v>40</v>
      </c>
      <c r="D4529">
        <v>4.9786979999999996</v>
      </c>
      <c r="E4529">
        <v>0.67202130000000004</v>
      </c>
      <c r="F4529" t="s">
        <v>78</v>
      </c>
      <c r="G4529">
        <v>-262.67140000000001</v>
      </c>
      <c r="H4529">
        <v>2.3075350000000001</v>
      </c>
      <c r="I4529">
        <v>-91.564989999999995</v>
      </c>
      <c r="J4529">
        <v>-308.47030000000001</v>
      </c>
      <c r="K4529">
        <v>1.059752</v>
      </c>
      <c r="L4529">
        <v>13.07639</v>
      </c>
      <c r="M4529">
        <v>0.85450369999999998</v>
      </c>
      <c r="N4529">
        <v>-1.5058780000000001E-2</v>
      </c>
      <c r="O4529">
        <v>-0.51922699999999999</v>
      </c>
      <c r="P4529">
        <v>0.71746730000000003</v>
      </c>
      <c r="Q4529">
        <v>0.200763</v>
      </c>
      <c r="R4529">
        <v>-0.66703429999999997</v>
      </c>
      <c r="S4529">
        <v>1.3497920000000001</v>
      </c>
      <c r="T4529">
        <v>3.6585810000000003E-2</v>
      </c>
      <c r="U4529">
        <v>-3.0729060000000001</v>
      </c>
      <c r="V4529">
        <v>0.20344019999999999</v>
      </c>
      <c r="W4529">
        <v>0.20956159999999999</v>
      </c>
      <c r="X4529">
        <v>0.95639739999999995</v>
      </c>
      <c r="Y4529">
        <v>0.57366839999999997</v>
      </c>
      <c r="Z4529">
        <v>-1.459971E-2</v>
      </c>
      <c r="AA4529">
        <v>0.8189575</v>
      </c>
      <c r="AB4529">
        <v>27</v>
      </c>
      <c r="AC4529">
        <v>45.798900000000003</v>
      </c>
      <c r="AD4529">
        <v>1.2477829999999901</v>
      </c>
      <c r="AE4529">
        <v>-104.64138</v>
      </c>
      <c r="AF4529">
        <v>65.636031245736504</v>
      </c>
      <c r="AG4529">
        <v>1.2477829999999901</v>
      </c>
      <c r="AH4529">
        <v>93.467404394734402</v>
      </c>
      <c r="AI4529">
        <v>89.374056755115305</v>
      </c>
      <c r="AJ4529">
        <v>54.922147477382701</v>
      </c>
      <c r="AK4529">
        <v>114.21821765548199</v>
      </c>
      <c r="AL4529">
        <v>77.903337660888198</v>
      </c>
      <c r="AM4529">
        <v>77.991307560542097</v>
      </c>
      <c r="AN4529">
        <v>0.99999998294867898</v>
      </c>
    </row>
    <row r="4530" spans="1:40" x14ac:dyDescent="0.25">
      <c r="A4530" t="str">
        <f>"20190303170901988"</f>
        <v>20190303170901988</v>
      </c>
      <c r="B4530" t="str">
        <f>"1551604141978596"</f>
        <v>1551604141978596</v>
      </c>
      <c r="C4530" t="s">
        <v>40</v>
      </c>
      <c r="D4530">
        <v>5.0080689999999999</v>
      </c>
      <c r="E4530">
        <v>0.66910859999999905</v>
      </c>
      <c r="F4530" t="s">
        <v>78</v>
      </c>
      <c r="G4530">
        <v>-263.3433</v>
      </c>
      <c r="H4530">
        <v>1.9866619999999999</v>
      </c>
      <c r="I4530">
        <v>-91.564989999999995</v>
      </c>
      <c r="J4530">
        <v>-308.24310000000003</v>
      </c>
      <c r="K4530">
        <v>1.059688</v>
      </c>
      <c r="L4530">
        <v>12.919829999999999</v>
      </c>
      <c r="M4530">
        <v>0.84642739999999905</v>
      </c>
      <c r="N4530">
        <v>-1.504143E-2</v>
      </c>
      <c r="O4530">
        <v>-0.53229209999999905</v>
      </c>
      <c r="P4530">
        <v>0.70593950000000005</v>
      </c>
      <c r="Q4530">
        <v>0.20061000000000001</v>
      </c>
      <c r="R4530">
        <v>-0.67926839999999999</v>
      </c>
      <c r="S4530">
        <v>1.3225709999999999</v>
      </c>
      <c r="T4530">
        <v>2.7166010000000001E-2</v>
      </c>
      <c r="U4530">
        <v>-3.0668030000000002</v>
      </c>
      <c r="V4530">
        <v>0.2051857</v>
      </c>
      <c r="W4530">
        <v>0.20931830000000001</v>
      </c>
      <c r="X4530">
        <v>0.95607779999999998</v>
      </c>
      <c r="Y4530">
        <v>0.56655440000000001</v>
      </c>
      <c r="Z4530">
        <v>-1.415285E-2</v>
      </c>
      <c r="AA4530">
        <v>0.82390280000000005</v>
      </c>
      <c r="AB4530">
        <v>27</v>
      </c>
      <c r="AC4530">
        <v>44.899799999999999</v>
      </c>
      <c r="AD4530">
        <v>0.92697399999999996</v>
      </c>
      <c r="AE4530">
        <v>-104.48482</v>
      </c>
      <c r="AF4530">
        <v>64.542004430792204</v>
      </c>
      <c r="AG4530">
        <v>0.92697399999999996</v>
      </c>
      <c r="AH4530">
        <v>93.625215215735807</v>
      </c>
      <c r="AI4530">
        <v>89.532955123882999</v>
      </c>
      <c r="AJ4530">
        <v>55.418955665545397</v>
      </c>
      <c r="AK4530">
        <v>113.719877510195</v>
      </c>
      <c r="AL4530">
        <v>77.917594617394499</v>
      </c>
      <c r="AM4530">
        <v>77.887374013353707</v>
      </c>
      <c r="AN4530">
        <v>1.0000000409261001</v>
      </c>
    </row>
    <row r="4531" spans="1:40" x14ac:dyDescent="0.25">
      <c r="A4531" t="str">
        <f>"20190303170902010"</f>
        <v>20190303170902010</v>
      </c>
      <c r="B4531" t="str">
        <f>"1551604141998117"</f>
        <v>1551604141998117</v>
      </c>
      <c r="C4531" t="s">
        <v>40</v>
      </c>
      <c r="D4531">
        <v>5.0806779999999998</v>
      </c>
      <c r="E4531">
        <v>0.65664419999999901</v>
      </c>
      <c r="F4531" t="s">
        <v>78</v>
      </c>
      <c r="G4531">
        <v>-264.48360000000002</v>
      </c>
      <c r="H4531">
        <v>1.7658149999999999</v>
      </c>
      <c r="I4531">
        <v>-91.564989999999995</v>
      </c>
      <c r="J4531">
        <v>-308.01710000000003</v>
      </c>
      <c r="K4531">
        <v>1.0596350000000001</v>
      </c>
      <c r="L4531">
        <v>12.75864</v>
      </c>
      <c r="M4531">
        <v>0.83807089999999995</v>
      </c>
      <c r="N4531">
        <v>-1.50254E-2</v>
      </c>
      <c r="O4531">
        <v>-0.54535480000000003</v>
      </c>
      <c r="P4531">
        <v>0.69426949999999998</v>
      </c>
      <c r="Q4531">
        <v>0.20058690000000001</v>
      </c>
      <c r="R4531">
        <v>-0.69119869999999906</v>
      </c>
      <c r="S4531">
        <v>1.2869569999999999</v>
      </c>
      <c r="T4531">
        <v>2.076745E-2</v>
      </c>
      <c r="U4531">
        <v>-3.0728759999999999</v>
      </c>
      <c r="V4531">
        <v>0.20666329999999999</v>
      </c>
      <c r="W4531">
        <v>0.20921989999999999</v>
      </c>
      <c r="X4531">
        <v>0.95578099999999999</v>
      </c>
      <c r="Y4531">
        <v>0.56243619999999905</v>
      </c>
      <c r="Z4531">
        <v>-1.3863199999999999E-2</v>
      </c>
      <c r="AA4531">
        <v>0.82672449999999997</v>
      </c>
      <c r="AB4531">
        <v>27</v>
      </c>
      <c r="AC4531">
        <v>43.533499999999997</v>
      </c>
      <c r="AD4531">
        <v>0.70618000000000003</v>
      </c>
      <c r="AE4531">
        <v>-104.32362999999999</v>
      </c>
      <c r="AF4531">
        <v>63.6940857082446</v>
      </c>
      <c r="AG4531">
        <v>0.70618000000000003</v>
      </c>
      <c r="AH4531">
        <v>93.384428693517705</v>
      </c>
      <c r="AI4531">
        <v>89.642061878531294</v>
      </c>
      <c r="AJ4531">
        <v>55.703539263712798</v>
      </c>
      <c r="AK4531">
        <v>113.04019978227301</v>
      </c>
      <c r="AL4531">
        <v>77.9233597180732</v>
      </c>
      <c r="AM4531">
        <v>77.799076060252901</v>
      </c>
      <c r="AN4531">
        <v>1.00000000304194</v>
      </c>
    </row>
    <row r="4532" spans="1:40" x14ac:dyDescent="0.25">
      <c r="A4532" t="str">
        <f>"20190303170902033"</f>
        <v>20190303170902033</v>
      </c>
      <c r="B4532" t="str">
        <f>"1551604142018612"</f>
        <v>1551604142018612</v>
      </c>
      <c r="C4532" t="s">
        <v>40</v>
      </c>
      <c r="D4532">
        <v>5.047593</v>
      </c>
      <c r="E4532">
        <v>0.65319110000000002</v>
      </c>
      <c r="F4532" t="s">
        <v>78</v>
      </c>
      <c r="G4532">
        <v>-262.7971</v>
      </c>
      <c r="H4532">
        <v>0.36942429999999998</v>
      </c>
      <c r="I4532">
        <v>-91.564989999999995</v>
      </c>
      <c r="J4532">
        <v>-307.78910000000002</v>
      </c>
      <c r="K4532">
        <v>1.059593</v>
      </c>
      <c r="L4532">
        <v>12.59027</v>
      </c>
      <c r="M4532">
        <v>0.82930749999999998</v>
      </c>
      <c r="N4532">
        <v>-1.501011E-2</v>
      </c>
      <c r="O4532">
        <v>-0.55859080000000005</v>
      </c>
      <c r="P4532">
        <v>0.68011369999999904</v>
      </c>
      <c r="Q4532">
        <v>0.20144680000000001</v>
      </c>
      <c r="R4532">
        <v>-0.70488629999999997</v>
      </c>
      <c r="S4532">
        <v>1.3124389999999999</v>
      </c>
      <c r="T4532">
        <v>-2.003193E-2</v>
      </c>
      <c r="U4532">
        <v>-3.0278320000000001</v>
      </c>
      <c r="V4532">
        <v>0.2107067</v>
      </c>
      <c r="W4532">
        <v>0.20992720000000001</v>
      </c>
      <c r="X4532">
        <v>0.9547426</v>
      </c>
      <c r="Y4532">
        <v>0.53874270000000002</v>
      </c>
      <c r="Z4532">
        <v>-1.010748E-2</v>
      </c>
      <c r="AA4532">
        <v>0.84240969999999904</v>
      </c>
      <c r="AB4532">
        <v>27</v>
      </c>
      <c r="AC4532">
        <v>44.991999999999997</v>
      </c>
      <c r="AD4532">
        <v>-0.69016869999999997</v>
      </c>
      <c r="AE4532">
        <v>-104.15526</v>
      </c>
      <c r="AF4532">
        <v>61.249257650712501</v>
      </c>
      <c r="AG4532">
        <v>-0.69016869999999997</v>
      </c>
      <c r="AH4532">
        <v>95.499602481428298</v>
      </c>
      <c r="AI4532">
        <v>90.348542303768994</v>
      </c>
      <c r="AJ4532">
        <v>57.325667542255701</v>
      </c>
      <c r="AK4532">
        <v>113.455374353569</v>
      </c>
      <c r="AL4532">
        <v>77.881915061939296</v>
      </c>
      <c r="AM4532">
        <v>77.554617270831301</v>
      </c>
      <c r="AN4532">
        <v>1.0000000874897399</v>
      </c>
    </row>
    <row r="4533" spans="1:40" x14ac:dyDescent="0.25">
      <c r="A4533" t="str">
        <f>"20190303170902067"</f>
        <v>20190303170902067</v>
      </c>
      <c r="B4533" t="str">
        <f>"1551604142058628"</f>
        <v>1551604142058628</v>
      </c>
      <c r="C4533" t="s">
        <v>40</v>
      </c>
      <c r="D4533">
        <v>4.8714079999999997</v>
      </c>
      <c r="E4533">
        <v>0.64771420000000002</v>
      </c>
      <c r="F4533" t="s">
        <v>78</v>
      </c>
      <c r="G4533">
        <v>-264.01159999999999</v>
      </c>
      <c r="H4533">
        <v>8.8493349999999998E-2</v>
      </c>
      <c r="I4533">
        <v>-91.564989999999995</v>
      </c>
      <c r="J4533">
        <v>-307.45280000000002</v>
      </c>
      <c r="K4533">
        <v>1.059572</v>
      </c>
      <c r="L4533">
        <v>12.331939999999999</v>
      </c>
      <c r="M4533">
        <v>0.81577840000000001</v>
      </c>
      <c r="N4533">
        <v>-1.49888E-2</v>
      </c>
      <c r="O4533">
        <v>-0.57817050000000003</v>
      </c>
      <c r="P4533">
        <v>0.66040149999999997</v>
      </c>
      <c r="Q4533">
        <v>0.2025806</v>
      </c>
      <c r="R4533">
        <v>-0.7230704</v>
      </c>
      <c r="S4533">
        <v>1.2751159999999999</v>
      </c>
      <c r="T4533">
        <v>-2.8285029999999999E-2</v>
      </c>
      <c r="U4533">
        <v>-3.0337519999999998</v>
      </c>
      <c r="V4533">
        <v>0.21412020000000001</v>
      </c>
      <c r="W4533">
        <v>0.21092430000000001</v>
      </c>
      <c r="X4533">
        <v>0.95376280000000002</v>
      </c>
      <c r="Y4533">
        <v>0.52799770000000001</v>
      </c>
      <c r="Z4533">
        <v>-9.1918599999999996E-3</v>
      </c>
      <c r="AA4533">
        <v>0.84919599999999995</v>
      </c>
      <c r="AB4533">
        <v>27</v>
      </c>
      <c r="AC4533">
        <v>43.441200000000002</v>
      </c>
      <c r="AD4533">
        <v>-0.97107865000000004</v>
      </c>
      <c r="AE4533">
        <v>-103.89693</v>
      </c>
      <c r="AF4533">
        <v>59.642711072316999</v>
      </c>
      <c r="AG4533">
        <v>-0.97107865000000004</v>
      </c>
      <c r="AH4533">
        <v>95.512151895233501</v>
      </c>
      <c r="AI4533">
        <v>90.494094087903207</v>
      </c>
      <c r="AJ4533">
        <v>58.017219398584601</v>
      </c>
      <c r="AK4533">
        <v>112.608912335829</v>
      </c>
      <c r="AL4533">
        <v>77.823475917717403</v>
      </c>
      <c r="AM4533">
        <v>77.346861084101803</v>
      </c>
      <c r="AN4533">
        <v>0.99999999952118501</v>
      </c>
    </row>
    <row r="4534" spans="1:40" x14ac:dyDescent="0.25">
      <c r="A4534" t="str">
        <f>"20190303170902089"</f>
        <v>20190303170902089</v>
      </c>
      <c r="B4534" t="str">
        <f>"1551604142078149"</f>
        <v>1551604142078149</v>
      </c>
      <c r="C4534" t="s">
        <v>40</v>
      </c>
      <c r="D4534">
        <v>4.9175139999999997</v>
      </c>
      <c r="E4534">
        <v>0.64621569999999995</v>
      </c>
      <c r="F4534" t="s">
        <v>78</v>
      </c>
      <c r="G4534">
        <v>-265.58969999999999</v>
      </c>
      <c r="H4534">
        <v>0.23981140000000001</v>
      </c>
      <c r="I4534">
        <v>-91.564989999999995</v>
      </c>
      <c r="J4534">
        <v>-307.23329999999999</v>
      </c>
      <c r="K4534">
        <v>1.0595760000000001</v>
      </c>
      <c r="L4534">
        <v>12.15643</v>
      </c>
      <c r="M4534">
        <v>0.80654440000000005</v>
      </c>
      <c r="N4534">
        <v>-1.4975769999999999E-2</v>
      </c>
      <c r="O4534">
        <v>-0.59098399999999995</v>
      </c>
      <c r="P4534">
        <v>0.64841119999999997</v>
      </c>
      <c r="Q4534">
        <v>0.2029667</v>
      </c>
      <c r="R4534">
        <v>-0.73373559999999904</v>
      </c>
      <c r="S4534">
        <v>1.2239990000000001</v>
      </c>
      <c r="T4534">
        <v>-2.3967860000000001E-2</v>
      </c>
      <c r="U4534">
        <v>-3.03775</v>
      </c>
      <c r="V4534">
        <v>0.21467910000000001</v>
      </c>
      <c r="W4534">
        <v>0.21127989999999999</v>
      </c>
      <c r="X4534">
        <v>0.95355840000000003</v>
      </c>
      <c r="Y4534">
        <v>0.52721430000000002</v>
      </c>
      <c r="Z4534">
        <v>-9.6524420000000007E-3</v>
      </c>
      <c r="AA4534">
        <v>0.84967749999999997</v>
      </c>
      <c r="AB4534">
        <v>27</v>
      </c>
      <c r="AC4534">
        <v>41.6435999999999</v>
      </c>
      <c r="AD4534">
        <v>-0.81976459999999995</v>
      </c>
      <c r="AE4534">
        <v>-103.72141999999999</v>
      </c>
      <c r="AF4534">
        <v>59.048668119245903</v>
      </c>
      <c r="AG4534">
        <v>-0.81976459999999995</v>
      </c>
      <c r="AH4534">
        <v>94.890638429532203</v>
      </c>
      <c r="AI4534">
        <v>90.420248115450903</v>
      </c>
      <c r="AJ4534">
        <v>58.106768841756796</v>
      </c>
      <c r="AK4534">
        <v>111.766052458787</v>
      </c>
      <c r="AL4534">
        <v>77.802631394866197</v>
      </c>
      <c r="AM4534">
        <v>77.312269965750602</v>
      </c>
      <c r="AN4534">
        <v>0.99999996716568895</v>
      </c>
    </row>
    <row r="4535" spans="1:40" x14ac:dyDescent="0.25">
      <c r="A4535" t="str">
        <f>"20190303170902112"</f>
        <v>20190303170902112</v>
      </c>
      <c r="B4535" t="str">
        <f>"1551604142098645"</f>
        <v>1551604142098645</v>
      </c>
      <c r="C4535" t="s">
        <v>40</v>
      </c>
      <c r="D4535">
        <v>4.8817700000000004</v>
      </c>
      <c r="E4535">
        <v>0.64515469999999997</v>
      </c>
      <c r="F4535" t="s">
        <v>78</v>
      </c>
      <c r="G4535">
        <v>-267.08330000000001</v>
      </c>
      <c r="H4535">
        <v>0.51006459999999998</v>
      </c>
      <c r="I4535">
        <v>-91.564989999999995</v>
      </c>
      <c r="J4535">
        <v>-307.0163</v>
      </c>
      <c r="K4535">
        <v>1.0595589999999999</v>
      </c>
      <c r="L4535">
        <v>11.976649999999999</v>
      </c>
      <c r="M4535">
        <v>0.79707839999999996</v>
      </c>
      <c r="N4535">
        <v>-1.4963789999999999E-2</v>
      </c>
      <c r="O4535">
        <v>-0.60369059999999997</v>
      </c>
      <c r="P4535">
        <v>0.63594740000000005</v>
      </c>
      <c r="Q4535">
        <v>0.20421929999999999</v>
      </c>
      <c r="R4535">
        <v>-0.74422169999999999</v>
      </c>
      <c r="S4535">
        <v>1.1805730000000001</v>
      </c>
      <c r="T4535">
        <v>-1.615751E-2</v>
      </c>
      <c r="U4535">
        <v>-3.0498349999999999</v>
      </c>
      <c r="V4535">
        <v>0.21540909999999999</v>
      </c>
      <c r="W4535">
        <v>0.21249670000000001</v>
      </c>
      <c r="X4535">
        <v>0.95312330000000001</v>
      </c>
      <c r="Y4535">
        <v>0.52540549999999997</v>
      </c>
      <c r="Z4535">
        <v>-1.055651E-2</v>
      </c>
      <c r="AA4535">
        <v>0.85078639999999905</v>
      </c>
      <c r="AB4535">
        <v>27</v>
      </c>
      <c r="AC4535">
        <v>39.9329999999999</v>
      </c>
      <c r="AD4535">
        <v>-0.54949439999999905</v>
      </c>
      <c r="AE4535">
        <v>-103.54164</v>
      </c>
      <c r="AF4535">
        <v>58.428730799547402</v>
      </c>
      <c r="AG4535">
        <v>-0.54949439999999905</v>
      </c>
      <c r="AH4535">
        <v>94.345086009077605</v>
      </c>
      <c r="AI4535">
        <v>90.2837048108549</v>
      </c>
      <c r="AJ4535">
        <v>58.229707451650697</v>
      </c>
      <c r="AK4535">
        <v>110.97393288967299</v>
      </c>
      <c r="AL4535">
        <v>77.731294205698703</v>
      </c>
      <c r="AM4535">
        <v>77.264908281468607</v>
      </c>
      <c r="AN4535">
        <v>0.99999997643829397</v>
      </c>
    </row>
    <row r="4536" spans="1:40" x14ac:dyDescent="0.25">
      <c r="A4536" t="str">
        <f>"20190303170902134"</f>
        <v>20190303170902134</v>
      </c>
      <c r="B4536" t="str">
        <f>"1551604142118164"</f>
        <v>1551604142118164</v>
      </c>
      <c r="C4536" t="s">
        <v>40</v>
      </c>
      <c r="D4536">
        <v>4.9353150000000001</v>
      </c>
      <c r="E4536">
        <v>0.64449609999999902</v>
      </c>
      <c r="F4536" t="s">
        <v>41</v>
      </c>
      <c r="G4536">
        <v>-285.48140000000001</v>
      </c>
      <c r="H4536">
        <v>0.80288719999999902</v>
      </c>
      <c r="I4536">
        <v>-46.076210000000003</v>
      </c>
      <c r="J4536">
        <v>-306.80599999999998</v>
      </c>
      <c r="K4536">
        <v>1.059552</v>
      </c>
      <c r="L4536">
        <v>11.79697</v>
      </c>
      <c r="M4536">
        <v>0.78758649999999997</v>
      </c>
      <c r="N4536">
        <v>-1.4952760000000001E-2</v>
      </c>
      <c r="O4536">
        <v>-0.61602290000000004</v>
      </c>
      <c r="P4536">
        <v>0.62382289999999996</v>
      </c>
      <c r="Q4536">
        <v>0.20453199999999999</v>
      </c>
      <c r="R4536">
        <v>-0.75432880000000002</v>
      </c>
      <c r="S4536">
        <v>1.1364749999999999</v>
      </c>
      <c r="T4536">
        <v>-1.354551E-2</v>
      </c>
      <c r="U4536">
        <v>-3.06366</v>
      </c>
      <c r="V4536">
        <v>0.21593589999999999</v>
      </c>
      <c r="W4536">
        <v>0.21278559999999999</v>
      </c>
      <c r="X4536">
        <v>0.9529396</v>
      </c>
      <c r="Y4536">
        <v>0.52417579999999997</v>
      </c>
      <c r="Z4536">
        <v>-1.091757E-2</v>
      </c>
      <c r="AA4536">
        <v>0.85154010000000002</v>
      </c>
      <c r="AB4536">
        <v>27</v>
      </c>
      <c r="AC4536">
        <v>21.324599999999901</v>
      </c>
      <c r="AD4536">
        <v>-0.25666480000000003</v>
      </c>
      <c r="AE4536">
        <v>-57.873179999999998</v>
      </c>
      <c r="AF4536">
        <v>32.446754257872101</v>
      </c>
      <c r="AG4536">
        <v>-0.25666480000000003</v>
      </c>
      <c r="AH4536">
        <v>52.451119305358297</v>
      </c>
      <c r="AI4536">
        <v>90.238435666070998</v>
      </c>
      <c r="AJ4536">
        <v>58.258676334270703</v>
      </c>
      <c r="AK4536">
        <v>61.676394634213501</v>
      </c>
      <c r="AL4536">
        <v>77.714353744843805</v>
      </c>
      <c r="AM4536">
        <v>77.232402749193795</v>
      </c>
      <c r="AN4536">
        <v>0.99999995286216303</v>
      </c>
    </row>
    <row r="4537" spans="1:40" x14ac:dyDescent="0.25">
      <c r="A4537" t="str">
        <f>"20190303170902157"</f>
        <v>20190303170902157</v>
      </c>
      <c r="B4537" t="str">
        <f>"1551604142148421"</f>
        <v>1551604142148421</v>
      </c>
      <c r="C4537" t="s">
        <v>40</v>
      </c>
      <c r="D4537">
        <v>4.9225089999999998</v>
      </c>
      <c r="E4537">
        <v>0.6280097</v>
      </c>
      <c r="F4537" t="s">
        <v>78</v>
      </c>
      <c r="G4537">
        <v>-274.01799999999997</v>
      </c>
      <c r="H4537">
        <v>0.52745200000000003</v>
      </c>
      <c r="I4537">
        <v>-80.464519999999993</v>
      </c>
      <c r="J4537">
        <v>-306.58909999999997</v>
      </c>
      <c r="K4537">
        <v>1.05956299999999</v>
      </c>
      <c r="L4537">
        <v>11.605560000000001</v>
      </c>
      <c r="M4537">
        <v>0.77745609999999998</v>
      </c>
      <c r="N4537">
        <v>-1.4941930000000001E-2</v>
      </c>
      <c r="O4537">
        <v>-0.62875969999999903</v>
      </c>
      <c r="P4537">
        <v>0.61117909999999998</v>
      </c>
      <c r="Q4537">
        <v>0.2049387</v>
      </c>
      <c r="R4537">
        <v>-0.76450010000000002</v>
      </c>
      <c r="S4537">
        <v>1.093658</v>
      </c>
      <c r="T4537">
        <v>-1.7748E-2</v>
      </c>
      <c r="U4537">
        <v>-3.077423</v>
      </c>
      <c r="V4537">
        <v>0.2162124</v>
      </c>
      <c r="W4537">
        <v>0.2131769</v>
      </c>
      <c r="X4537">
        <v>0.95278949999999996</v>
      </c>
      <c r="Y4537">
        <v>0.52201869999999995</v>
      </c>
      <c r="Z4537">
        <v>-1.044294E-2</v>
      </c>
      <c r="AA4537">
        <v>0.85287009999999996</v>
      </c>
      <c r="AB4537">
        <v>27</v>
      </c>
      <c r="AC4537">
        <v>32.571100000000001</v>
      </c>
      <c r="AD4537">
        <v>-0.532110999999999</v>
      </c>
      <c r="AE4537">
        <v>-92.070080000000004</v>
      </c>
      <c r="AF4537">
        <v>51.1052382958949</v>
      </c>
      <c r="AG4537">
        <v>-0.532110999999999</v>
      </c>
      <c r="AH4537">
        <v>83.219376025772704</v>
      </c>
      <c r="AI4537">
        <v>90.312183467767397</v>
      </c>
      <c r="AJ4537">
        <v>58.445804534472401</v>
      </c>
      <c r="AK4537">
        <v>97.660089440443798</v>
      </c>
      <c r="AL4537">
        <v>77.691408170199296</v>
      </c>
      <c r="AM4537">
        <v>77.214643355007695</v>
      </c>
      <c r="AN4537">
        <v>1.0000000119588099</v>
      </c>
    </row>
    <row r="4538" spans="1:40" x14ac:dyDescent="0.25">
      <c r="A4538" t="str">
        <f>"20190303170902177"</f>
        <v>20190303170902177</v>
      </c>
      <c r="B4538" t="str">
        <f>"1551604142167941"</f>
        <v>1551604142167941</v>
      </c>
      <c r="C4538" t="s">
        <v>40</v>
      </c>
      <c r="D4538">
        <v>5.0753059999999897</v>
      </c>
      <c r="E4538">
        <v>0.62745649999999997</v>
      </c>
      <c r="F4538" t="s">
        <v>78</v>
      </c>
      <c r="G4538">
        <v>-267.31189999999998</v>
      </c>
      <c r="H4538">
        <v>0.17225979999999999</v>
      </c>
      <c r="I4538">
        <v>-91.564989999999995</v>
      </c>
      <c r="J4538">
        <v>-306.39920000000001</v>
      </c>
      <c r="K4538">
        <v>1.0595680000000001</v>
      </c>
      <c r="L4538">
        <v>11.43271</v>
      </c>
      <c r="M4538">
        <v>0.76828739999999995</v>
      </c>
      <c r="N4538">
        <v>-1.4932880000000001E-2</v>
      </c>
      <c r="O4538">
        <v>-0.63993100000000003</v>
      </c>
      <c r="P4538">
        <v>0.60004569999999902</v>
      </c>
      <c r="Q4538">
        <v>0.20474719999999999</v>
      </c>
      <c r="R4538">
        <v>-0.77332000000000001</v>
      </c>
      <c r="S4538">
        <v>1.1473690000000001</v>
      </c>
      <c r="T4538">
        <v>-2.5919560000000001E-2</v>
      </c>
      <c r="U4538">
        <v>-3.0138240000000001</v>
      </c>
      <c r="V4538">
        <v>0.2162654</v>
      </c>
      <c r="W4538">
        <v>0.2129808</v>
      </c>
      <c r="X4538">
        <v>0.95282129999999998</v>
      </c>
      <c r="Y4538">
        <v>0.4903132</v>
      </c>
      <c r="Z4538">
        <v>-9.0378960000000001E-3</v>
      </c>
      <c r="AA4538">
        <v>0.87149940000000004</v>
      </c>
      <c r="AB4538">
        <v>27</v>
      </c>
      <c r="AC4538">
        <v>39.087299999999999</v>
      </c>
      <c r="AD4538">
        <v>-0.88730819999999999</v>
      </c>
      <c r="AE4538">
        <v>-102.99769999999999</v>
      </c>
      <c r="AF4538">
        <v>54.121178636325297</v>
      </c>
      <c r="AG4538">
        <v>-0.88730819999999999</v>
      </c>
      <c r="AH4538">
        <v>95.946166005337304</v>
      </c>
      <c r="AI4538">
        <v>90.461500295054805</v>
      </c>
      <c r="AJ4538">
        <v>60.573585364684099</v>
      </c>
      <c r="AK4538">
        <v>110.16149991694201</v>
      </c>
      <c r="AL4538">
        <v>77.702907654309698</v>
      </c>
      <c r="AM4538">
        <v>77.212025106640297</v>
      </c>
      <c r="AN4538">
        <v>0.99999998706974402</v>
      </c>
    </row>
    <row r="4539" spans="1:40" x14ac:dyDescent="0.25">
      <c r="A4539" t="str">
        <f>"20190303170902200"</f>
        <v>20190303170902200</v>
      </c>
      <c r="B4539" t="str">
        <f>"1551604142188437"</f>
        <v>1551604142188437</v>
      </c>
      <c r="C4539" t="s">
        <v>40</v>
      </c>
      <c r="D4539">
        <v>5.1356460000000004</v>
      </c>
      <c r="E4539">
        <v>0.65485159999999998</v>
      </c>
      <c r="F4539" t="s">
        <v>41</v>
      </c>
      <c r="G4539">
        <v>-285.404</v>
      </c>
      <c r="H4539">
        <v>0.52963609999999905</v>
      </c>
      <c r="I4539">
        <v>-46.015050000000002</v>
      </c>
      <c r="J4539">
        <v>-306.1961</v>
      </c>
      <c r="K4539">
        <v>1.0595760000000001</v>
      </c>
      <c r="L4539">
        <v>11.24225</v>
      </c>
      <c r="M4539">
        <v>0.75816569999999905</v>
      </c>
      <c r="N4539">
        <v>-1.492367E-2</v>
      </c>
      <c r="O4539">
        <v>-0.65189109999999995</v>
      </c>
      <c r="P4539">
        <v>0.58803090000000002</v>
      </c>
      <c r="Q4539">
        <v>0.20363120000000001</v>
      </c>
      <c r="R4539">
        <v>-0.78278599999999998</v>
      </c>
      <c r="S4539">
        <v>1.1066590000000001</v>
      </c>
      <c r="T4539">
        <v>-2.7932760000000001E-2</v>
      </c>
      <c r="U4539">
        <v>-3.028076</v>
      </c>
      <c r="V4539">
        <v>0.2162328</v>
      </c>
      <c r="W4539">
        <v>0.21186579999999999</v>
      </c>
      <c r="X4539">
        <v>0.95307730000000002</v>
      </c>
      <c r="Y4539">
        <v>0.48830649999999998</v>
      </c>
      <c r="Z4539">
        <v>-8.7456249999999999E-3</v>
      </c>
      <c r="AA4539">
        <v>0.87262830000000002</v>
      </c>
      <c r="AB4539">
        <v>27</v>
      </c>
      <c r="AC4539">
        <v>20.792100000000001</v>
      </c>
      <c r="AD4539">
        <v>-0.52993990000000002</v>
      </c>
      <c r="AE4539">
        <v>-57.257300000000001</v>
      </c>
      <c r="AF4539">
        <v>29.857402337719702</v>
      </c>
      <c r="AG4539">
        <v>-0.52993990000000002</v>
      </c>
      <c r="AH4539">
        <v>53.091277461605301</v>
      </c>
      <c r="AI4539">
        <v>90.498474176510797</v>
      </c>
      <c r="AJ4539">
        <v>60.6475272744945</v>
      </c>
      <c r="AK4539">
        <v>60.913291268484599</v>
      </c>
      <c r="AL4539">
        <v>77.768285162761998</v>
      </c>
      <c r="AM4539">
        <v>77.217210952895798</v>
      </c>
      <c r="AN4539">
        <v>1.0000000403903799</v>
      </c>
    </row>
    <row r="4540" spans="1:40" x14ac:dyDescent="0.25">
      <c r="A4540" t="str">
        <f>"20190303170902223"</f>
        <v>20190303170902223</v>
      </c>
      <c r="B4540" t="str">
        <f>"1551604142208932"</f>
        <v>1551604142208932</v>
      </c>
      <c r="C4540" t="s">
        <v>40</v>
      </c>
      <c r="D4540">
        <v>5.1108520000000004</v>
      </c>
      <c r="E4540">
        <v>0.66306669999999901</v>
      </c>
      <c r="F4540" t="s">
        <v>78</v>
      </c>
      <c r="G4540">
        <v>-277.63290000000001</v>
      </c>
      <c r="H4540">
        <v>0.13646910000000001</v>
      </c>
      <c r="I4540">
        <v>-91.625720000000001</v>
      </c>
      <c r="J4540">
        <v>-305.98930000000001</v>
      </c>
      <c r="K4540">
        <v>1.0595840000000001</v>
      </c>
      <c r="L4540">
        <v>11.04214</v>
      </c>
      <c r="M4540">
        <v>0.74751000000000001</v>
      </c>
      <c r="N4540">
        <v>-1.491486E-2</v>
      </c>
      <c r="O4540">
        <v>-0.66408339999999999</v>
      </c>
      <c r="P4540">
        <v>0.57566309999999998</v>
      </c>
      <c r="Q4540">
        <v>0.20408229999999999</v>
      </c>
      <c r="R4540">
        <v>-0.79181000000000001</v>
      </c>
      <c r="S4540">
        <v>0.88220209999999999</v>
      </c>
      <c r="T4540">
        <v>-2.8510690000000002E-2</v>
      </c>
      <c r="U4540">
        <v>-3.1771850000000001</v>
      </c>
      <c r="V4540">
        <v>0.21568670000000001</v>
      </c>
      <c r="W4540">
        <v>0.2123313</v>
      </c>
      <c r="X4540">
        <v>0.95309739999999998</v>
      </c>
      <c r="Y4540">
        <v>0.54255520000000002</v>
      </c>
      <c r="Z4540">
        <v>-9.3580369999999996E-3</v>
      </c>
      <c r="AA4540">
        <v>0.83996800000000005</v>
      </c>
      <c r="AB4540">
        <v>27</v>
      </c>
      <c r="AC4540">
        <v>28.356400000000001</v>
      </c>
      <c r="AD4540">
        <v>-0.92311489999999996</v>
      </c>
      <c r="AE4540">
        <v>-102.66786</v>
      </c>
      <c r="AF4540">
        <v>57.916317875374801</v>
      </c>
      <c r="AG4540">
        <v>-0.92311489999999996</v>
      </c>
      <c r="AH4540">
        <v>89.379924655722107</v>
      </c>
      <c r="AI4540">
        <v>90.496594833388201</v>
      </c>
      <c r="AJ4540">
        <v>57.057608271177699</v>
      </c>
      <c r="AK4540">
        <v>106.507853930227</v>
      </c>
      <c r="AL4540">
        <v>77.740992454206506</v>
      </c>
      <c r="AM4540">
        <v>77.24869747516</v>
      </c>
      <c r="AN4540">
        <v>0.99999999370167003</v>
      </c>
    </row>
    <row r="4541" spans="1:40" x14ac:dyDescent="0.25">
      <c r="A4541" t="str">
        <f>"20190303170902245"</f>
        <v>20190303170902245</v>
      </c>
      <c r="B4541" t="str">
        <f>"1551604142238213"</f>
        <v>1551604142238213</v>
      </c>
      <c r="C4541" t="s">
        <v>40</v>
      </c>
      <c r="D4541">
        <v>5.1099259999999997</v>
      </c>
      <c r="E4541">
        <v>0.66689359999999998</v>
      </c>
      <c r="F4541" t="s">
        <v>78</v>
      </c>
      <c r="G4541">
        <v>-277.44229999999999</v>
      </c>
      <c r="H4541">
        <v>0.72765539999999995</v>
      </c>
      <c r="I4541">
        <v>-107.57089999999999</v>
      </c>
      <c r="J4541">
        <v>-305.79199999999997</v>
      </c>
      <c r="K4541">
        <v>1.0595969999999999</v>
      </c>
      <c r="L4541">
        <v>10.844939999999999</v>
      </c>
      <c r="M4541">
        <v>0.73698660000000005</v>
      </c>
      <c r="N4541">
        <v>-1.490677E-2</v>
      </c>
      <c r="O4541">
        <v>-0.67574299999999998</v>
      </c>
      <c r="P4541">
        <v>0.56381239999999999</v>
      </c>
      <c r="Q4541">
        <v>0.20483699999999999</v>
      </c>
      <c r="R4541">
        <v>-0.80009839999999999</v>
      </c>
      <c r="S4541">
        <v>0.77655030000000003</v>
      </c>
      <c r="T4541">
        <v>-9.028912E-3</v>
      </c>
      <c r="U4541">
        <v>-3.2265630000000001</v>
      </c>
      <c r="V4541">
        <v>0.21477299999999999</v>
      </c>
      <c r="W4541">
        <v>0.2131122</v>
      </c>
      <c r="X4541">
        <v>0.95312949999999996</v>
      </c>
      <c r="Y4541">
        <v>0.55841580000000002</v>
      </c>
      <c r="Z4541">
        <v>-1.2201790000000001E-2</v>
      </c>
      <c r="AA4541">
        <v>0.82947150000000003</v>
      </c>
      <c r="AB4541">
        <v>27</v>
      </c>
      <c r="AC4541">
        <v>28.349699999999999</v>
      </c>
      <c r="AD4541">
        <v>-0.331941599999999</v>
      </c>
      <c r="AE4541">
        <v>-118.41584</v>
      </c>
      <c r="AF4541">
        <v>68.120836691567206</v>
      </c>
      <c r="AG4541">
        <v>-0.331941599999999</v>
      </c>
      <c r="AH4541">
        <v>100.922484578221</v>
      </c>
      <c r="AI4541">
        <v>90.156197552798503</v>
      </c>
      <c r="AJ4541">
        <v>55.981367805771796</v>
      </c>
      <c r="AK4541">
        <v>121.761678989025</v>
      </c>
      <c r="AL4541">
        <v>77.695202840556604</v>
      </c>
      <c r="AM4541">
        <v>77.301373548076796</v>
      </c>
      <c r="AN4541">
        <v>1.00000004754404</v>
      </c>
    </row>
    <row r="4542" spans="1:40" x14ac:dyDescent="0.25">
      <c r="A4542" t="str">
        <f>"20190303170902267"</f>
        <v>20190303170902267</v>
      </c>
      <c r="B4542" t="str">
        <f>"1551604142257733"</f>
        <v>1551604142257733</v>
      </c>
      <c r="C4542" t="s">
        <v>40</v>
      </c>
      <c r="D4542">
        <v>5.140409</v>
      </c>
      <c r="E4542">
        <v>0.6675508</v>
      </c>
      <c r="F4542" t="s">
        <v>111</v>
      </c>
      <c r="G4542">
        <v>-286.04180000000002</v>
      </c>
      <c r="H4542">
        <v>1.0036069999999999</v>
      </c>
      <c r="I4542">
        <v>-80.464519999999993</v>
      </c>
      <c r="J4542">
        <v>-305.60160000000002</v>
      </c>
      <c r="K4542">
        <v>1.059612</v>
      </c>
      <c r="L4542">
        <v>10.64874</v>
      </c>
      <c r="M4542">
        <v>0.72649770000000002</v>
      </c>
      <c r="N4542">
        <v>-1.4899300000000001E-2</v>
      </c>
      <c r="O4542">
        <v>-0.68700740000000005</v>
      </c>
      <c r="P4542">
        <v>0.5525814</v>
      </c>
      <c r="Q4542">
        <v>0.20460590000000001</v>
      </c>
      <c r="R4542">
        <v>-0.80795450000000002</v>
      </c>
      <c r="S4542">
        <v>0.70385739999999997</v>
      </c>
      <c r="T4542">
        <v>-1.9949669999999998E-3</v>
      </c>
      <c r="U4542">
        <v>-3.254089</v>
      </c>
      <c r="V4542">
        <v>0.2134395</v>
      </c>
      <c r="W4542">
        <v>0.212923</v>
      </c>
      <c r="X4542">
        <v>0.95347119999999996</v>
      </c>
      <c r="Y4542">
        <v>0.56485739999999995</v>
      </c>
      <c r="Z4542">
        <v>-1.331076E-2</v>
      </c>
      <c r="AA4542">
        <v>0.82508119999999996</v>
      </c>
      <c r="AB4542">
        <v>27</v>
      </c>
      <c r="AC4542">
        <v>19.559799999999999</v>
      </c>
      <c r="AD4542">
        <v>-5.6004999999999999E-2</v>
      </c>
      <c r="AE4542">
        <v>-91.113259999999997</v>
      </c>
      <c r="AF4542">
        <v>52.761682305628902</v>
      </c>
      <c r="AG4542">
        <v>-5.6004999999999999E-2</v>
      </c>
      <c r="AH4542">
        <v>76.814129761592795</v>
      </c>
      <c r="AI4542">
        <v>90.034433750788693</v>
      </c>
      <c r="AJ4542">
        <v>55.515812313150498</v>
      </c>
      <c r="AK4542">
        <v>93.189102299093804</v>
      </c>
      <c r="AL4542">
        <v>77.706296965102197</v>
      </c>
      <c r="AM4542">
        <v>77.382062610284805</v>
      </c>
      <c r="AN4542">
        <v>0.99999997665934404</v>
      </c>
    </row>
    <row r="4543" spans="1:40" x14ac:dyDescent="0.25">
      <c r="A4543" t="str">
        <f>"20190303170902294"</f>
        <v>20190303170902294</v>
      </c>
      <c r="B4543" t="str">
        <f>"1551604142287988"</f>
        <v>1551604142287988</v>
      </c>
      <c r="C4543" t="s">
        <v>40</v>
      </c>
      <c r="D4543">
        <v>5.1796490000000004</v>
      </c>
      <c r="E4543">
        <v>0.66718509999999998</v>
      </c>
      <c r="F4543" t="s">
        <v>111</v>
      </c>
      <c r="G4543">
        <v>-287.38060000000002</v>
      </c>
      <c r="H4543">
        <v>1.045347</v>
      </c>
      <c r="I4543">
        <v>-80.464519999999993</v>
      </c>
      <c r="J4543">
        <v>-305.37220000000002</v>
      </c>
      <c r="K4543">
        <v>1.059623</v>
      </c>
      <c r="L4543">
        <v>10.403560000000001</v>
      </c>
      <c r="M4543">
        <v>0.71338029999999997</v>
      </c>
      <c r="N4543">
        <v>-1.4890779999999999E-2</v>
      </c>
      <c r="O4543">
        <v>-0.70061899999999999</v>
      </c>
      <c r="P4543">
        <v>0.53830679999999997</v>
      </c>
      <c r="Q4543">
        <v>0.20361270000000001</v>
      </c>
      <c r="R4543">
        <v>-0.81778240000000002</v>
      </c>
      <c r="S4543">
        <v>0.65322880000000005</v>
      </c>
      <c r="T4543">
        <v>-5.1093099999999995E-4</v>
      </c>
      <c r="U4543">
        <v>-3.2664490000000002</v>
      </c>
      <c r="V4543">
        <v>0.2122946</v>
      </c>
      <c r="W4543">
        <v>0.21196970000000001</v>
      </c>
      <c r="X4543">
        <v>0.95393910000000004</v>
      </c>
      <c r="Y4543">
        <v>0.56216129999999997</v>
      </c>
      <c r="Z4543">
        <v>-1.362937E-2</v>
      </c>
      <c r="AA4543">
        <v>0.82691530000000002</v>
      </c>
      <c r="AB4543">
        <v>27</v>
      </c>
      <c r="AC4543">
        <v>17.991599999999998</v>
      </c>
      <c r="AD4543">
        <v>-1.42759999999999E-2</v>
      </c>
      <c r="AE4543">
        <v>-90.868080000000006</v>
      </c>
      <c r="AF4543">
        <v>52.224025943437297</v>
      </c>
      <c r="AG4543">
        <v>-1.42759999999999E-2</v>
      </c>
      <c r="AH4543">
        <v>76.5072306393144</v>
      </c>
      <c r="AI4543">
        <v>90.008830141780095</v>
      </c>
      <c r="AJ4543">
        <v>55.682457628821702</v>
      </c>
      <c r="AK4543">
        <v>92.632097189053397</v>
      </c>
      <c r="AL4543">
        <v>77.762193014492496</v>
      </c>
      <c r="AM4543">
        <v>77.4535572269276</v>
      </c>
      <c r="AN4543">
        <v>0.99999997870802904</v>
      </c>
    </row>
    <row r="4544" spans="1:40" x14ac:dyDescent="0.25">
      <c r="A4544" t="str">
        <f>"20190303170902317"</f>
        <v>20190303170902317</v>
      </c>
      <c r="B4544" t="str">
        <f>"1551604142298725"</f>
        <v>1551604142298725</v>
      </c>
      <c r="C4544" t="s">
        <v>40</v>
      </c>
      <c r="D4544">
        <v>5.160552</v>
      </c>
      <c r="E4544">
        <v>0.66689209999999999</v>
      </c>
      <c r="F4544" t="s">
        <v>111</v>
      </c>
      <c r="G4544">
        <v>-286.8082</v>
      </c>
      <c r="H4544">
        <v>0.95883660000000004</v>
      </c>
      <c r="I4544">
        <v>-91.564989999999995</v>
      </c>
      <c r="J4544">
        <v>-305.1902</v>
      </c>
      <c r="K4544">
        <v>1.059639</v>
      </c>
      <c r="L4544">
        <v>10.20227</v>
      </c>
      <c r="M4544">
        <v>0.70258730000000003</v>
      </c>
      <c r="N4544">
        <v>-1.4884400000000001E-2</v>
      </c>
      <c r="O4544">
        <v>-0.71144209999999997</v>
      </c>
      <c r="P4544">
        <v>0.5256286</v>
      </c>
      <c r="Q4544">
        <v>0.20352919999999999</v>
      </c>
      <c r="R4544">
        <v>-0.826009199999999</v>
      </c>
      <c r="S4544">
        <v>0.59652709999999998</v>
      </c>
      <c r="T4544">
        <v>-3.238201E-3</v>
      </c>
      <c r="U4544">
        <v>-3.2766109999999999</v>
      </c>
      <c r="V4544">
        <v>0.21243139999999999</v>
      </c>
      <c r="W4544">
        <v>0.2118835</v>
      </c>
      <c r="X4544">
        <v>0.95392779999999999</v>
      </c>
      <c r="Y4544">
        <v>0.56381250000000005</v>
      </c>
      <c r="Z4544">
        <v>-1.333966E-2</v>
      </c>
      <c r="AA4544">
        <v>0.825795099999999</v>
      </c>
      <c r="AB4544">
        <v>27</v>
      </c>
      <c r="AC4544">
        <v>18.382000000000001</v>
      </c>
      <c r="AD4544">
        <v>-0.100802399999999</v>
      </c>
      <c r="AE4544">
        <v>-101.76725999999999</v>
      </c>
      <c r="AF4544">
        <v>58.429063560289997</v>
      </c>
      <c r="AG4544">
        <v>-0.100802399999999</v>
      </c>
      <c r="AH4544">
        <v>85.3258304451615</v>
      </c>
      <c r="AI4544">
        <v>90.055848830467596</v>
      </c>
      <c r="AJ4544">
        <v>55.597600831601</v>
      </c>
      <c r="AK4544">
        <v>103.414036623722</v>
      </c>
      <c r="AL4544">
        <v>77.767246748785297</v>
      </c>
      <c r="AM4544">
        <v>77.445584673277594</v>
      </c>
      <c r="AN4544">
        <v>0.99999998244552402</v>
      </c>
    </row>
    <row r="4545" spans="1:40" x14ac:dyDescent="0.25">
      <c r="A4545" t="str">
        <f>"20190303170902338"</f>
        <v>20190303170902338</v>
      </c>
      <c r="B4545" t="str">
        <f>"1551604142328004"</f>
        <v>1551604142328004</v>
      </c>
      <c r="C4545" t="s">
        <v>40</v>
      </c>
      <c r="D4545">
        <v>5.2011459999999996</v>
      </c>
      <c r="E4545">
        <v>0.66559419999999903</v>
      </c>
      <c r="F4545" t="s">
        <v>111</v>
      </c>
      <c r="G4545">
        <v>-288.23970000000003</v>
      </c>
      <c r="H4545">
        <v>0.9531269</v>
      </c>
      <c r="I4545">
        <v>-91.564989999999995</v>
      </c>
      <c r="J4545">
        <v>-305.00729999999999</v>
      </c>
      <c r="K4545">
        <v>1.0596540000000001</v>
      </c>
      <c r="L4545">
        <v>9.9937439999999995</v>
      </c>
      <c r="M4545">
        <v>0.69138619999999995</v>
      </c>
      <c r="N4545">
        <v>-1.4878260000000001E-2</v>
      </c>
      <c r="O4545">
        <v>-0.72233219999999898</v>
      </c>
      <c r="P4545">
        <v>0.51161259999999997</v>
      </c>
      <c r="Q4545">
        <v>0.203983</v>
      </c>
      <c r="R4545">
        <v>-0.83465159999999905</v>
      </c>
      <c r="S4545">
        <v>0.54708859999999904</v>
      </c>
      <c r="T4545">
        <v>-3.4372809999999999E-3</v>
      </c>
      <c r="U4545">
        <v>-3.2846069999999998</v>
      </c>
      <c r="V4545">
        <v>0.21355869999999999</v>
      </c>
      <c r="W4545">
        <v>0.2123033</v>
      </c>
      <c r="X4545">
        <v>0.95358270000000001</v>
      </c>
      <c r="Y4545">
        <v>0.56332609999999905</v>
      </c>
      <c r="Z4545">
        <v>-1.339653E-2</v>
      </c>
      <c r="AA4545">
        <v>0.82612609999999997</v>
      </c>
      <c r="AB4545">
        <v>27</v>
      </c>
      <c r="AC4545">
        <v>16.767599999999899</v>
      </c>
      <c r="AD4545">
        <v>-0.1065271</v>
      </c>
      <c r="AE4545">
        <v>-101.558734</v>
      </c>
      <c r="AF4545">
        <v>58.110898319193403</v>
      </c>
      <c r="AG4545">
        <v>-0.1065271</v>
      </c>
      <c r="AH4545">
        <v>84.961342162006304</v>
      </c>
      <c r="AI4545">
        <v>90.059296058529497</v>
      </c>
      <c r="AJ4545">
        <v>55.629094049338804</v>
      </c>
      <c r="AK4545">
        <v>102.933558733078</v>
      </c>
      <c r="AL4545">
        <v>77.742634090306794</v>
      </c>
      <c r="AM4545">
        <v>77.376670537017603</v>
      </c>
      <c r="AN4545">
        <v>0.99999998763793496</v>
      </c>
    </row>
    <row r="4546" spans="1:40" x14ac:dyDescent="0.25">
      <c r="A4546" t="str">
        <f>"20190303170902361"</f>
        <v>20190303170902361</v>
      </c>
      <c r="B4546" t="str">
        <f>"1551604142348501"</f>
        <v>1551604142348501</v>
      </c>
      <c r="C4546" t="s">
        <v>40</v>
      </c>
      <c r="D4546">
        <v>5.2553229999999997</v>
      </c>
      <c r="E4546">
        <v>0.66480629999999996</v>
      </c>
      <c r="F4546" t="s">
        <v>111</v>
      </c>
      <c r="G4546">
        <v>-289.51229999999998</v>
      </c>
      <c r="H4546">
        <v>0.80687140000000002</v>
      </c>
      <c r="I4546">
        <v>-91.564989999999995</v>
      </c>
      <c r="J4546">
        <v>-304.83100000000002</v>
      </c>
      <c r="K4546">
        <v>1.0596749999999999</v>
      </c>
      <c r="L4546">
        <v>9.7862550000000006</v>
      </c>
      <c r="M4546">
        <v>0.68022320000000003</v>
      </c>
      <c r="N4546">
        <v>-1.4872460000000001E-2</v>
      </c>
      <c r="O4546">
        <v>-0.73285440000000002</v>
      </c>
      <c r="P4546">
        <v>0.49904589999999999</v>
      </c>
      <c r="Q4546">
        <v>0.20480570000000001</v>
      </c>
      <c r="R4546">
        <v>-0.84202600000000005</v>
      </c>
      <c r="S4546">
        <v>0.50176999999999905</v>
      </c>
      <c r="T4546">
        <v>-8.1853869999999902E-3</v>
      </c>
      <c r="U4546">
        <v>-3.2887569999999999</v>
      </c>
      <c r="V4546">
        <v>0.2130988</v>
      </c>
      <c r="W4546">
        <v>0.2131401</v>
      </c>
      <c r="X4546">
        <v>0.95349899999999999</v>
      </c>
      <c r="Y4546">
        <v>0.56191049999999998</v>
      </c>
      <c r="Z4546">
        <v>-1.2723999999999999E-2</v>
      </c>
      <c r="AA4546">
        <v>0.82710019999999995</v>
      </c>
      <c r="AB4546">
        <v>27</v>
      </c>
      <c r="AC4546">
        <v>15.3186999999999</v>
      </c>
      <c r="AD4546">
        <v>-0.25280359999999902</v>
      </c>
      <c r="AE4546">
        <v>-101.351244999999</v>
      </c>
      <c r="AF4546">
        <v>57.721113967393897</v>
      </c>
      <c r="AG4546">
        <v>-0.25280359999999902</v>
      </c>
      <c r="AH4546">
        <v>84.704678837411393</v>
      </c>
      <c r="AI4546">
        <v>90.141310264097996</v>
      </c>
      <c r="AJ4546">
        <v>55.727937049559102</v>
      </c>
      <c r="AK4546">
        <v>102.50206595111101</v>
      </c>
      <c r="AL4546">
        <v>77.693567001864295</v>
      </c>
      <c r="AM4546">
        <v>77.401915973975804</v>
      </c>
      <c r="AN4546">
        <v>1.00000007189522</v>
      </c>
    </row>
    <row r="4547" spans="1:40" x14ac:dyDescent="0.25">
      <c r="A4547" t="str">
        <f>"20190303170902380"</f>
        <v>20190303170902380</v>
      </c>
      <c r="B4547" t="str">
        <f>"1551604142368021"</f>
        <v>1551604142368021</v>
      </c>
      <c r="C4547" t="s">
        <v>40</v>
      </c>
      <c r="D4547">
        <v>5.384366</v>
      </c>
      <c r="E4547">
        <v>0.653653699999999</v>
      </c>
      <c r="F4547" t="s">
        <v>111</v>
      </c>
      <c r="G4547">
        <v>-290.74009999999998</v>
      </c>
      <c r="H4547">
        <v>0.80538559999999904</v>
      </c>
      <c r="I4547">
        <v>-91.564989999999995</v>
      </c>
      <c r="J4547">
        <v>-304.6755</v>
      </c>
      <c r="K4547">
        <v>1.0596950000000001</v>
      </c>
      <c r="L4547">
        <v>9.5978089999999998</v>
      </c>
      <c r="M4547">
        <v>0.67007050000000001</v>
      </c>
      <c r="N4547">
        <v>-1.4867399999999999E-2</v>
      </c>
      <c r="O4547">
        <v>-0.7421489</v>
      </c>
      <c r="P4547">
        <v>0.48833910000000003</v>
      </c>
      <c r="Q4547">
        <v>0.2058555</v>
      </c>
      <c r="R4547">
        <v>-0.84802630000000001</v>
      </c>
      <c r="S4547">
        <v>0.45788570000000001</v>
      </c>
      <c r="T4547">
        <v>-8.2627529999999994E-3</v>
      </c>
      <c r="U4547">
        <v>-3.2934269999999999</v>
      </c>
      <c r="V4547">
        <v>0.21190020000000001</v>
      </c>
      <c r="W4547">
        <v>0.2142268</v>
      </c>
      <c r="X4547">
        <v>0.95352250000000005</v>
      </c>
      <c r="Y4547">
        <v>0.56148949999999997</v>
      </c>
      <c r="Z4547">
        <v>-1.2764070000000001E-2</v>
      </c>
      <c r="AA4547">
        <v>0.82738539999999905</v>
      </c>
      <c r="AB4547">
        <v>27</v>
      </c>
      <c r="AC4547">
        <v>13.9354</v>
      </c>
      <c r="AD4547">
        <v>-0.25430940000000002</v>
      </c>
      <c r="AE4547">
        <v>-101.162798999999</v>
      </c>
      <c r="AF4547">
        <v>57.450044500090598</v>
      </c>
      <c r="AG4547">
        <v>-0.25430940000000002</v>
      </c>
      <c r="AH4547">
        <v>84.424346703266806</v>
      </c>
      <c r="AI4547">
        <v>90.142686897878804</v>
      </c>
      <c r="AJ4547">
        <v>55.765048353750799</v>
      </c>
      <c r="AK4547">
        <v>102.117787885396</v>
      </c>
      <c r="AL4547">
        <v>77.629830516358496</v>
      </c>
      <c r="AM4547">
        <v>77.470830911777</v>
      </c>
      <c r="AN4547">
        <v>0.99999998730226503</v>
      </c>
    </row>
    <row r="4548" spans="1:40" x14ac:dyDescent="0.25">
      <c r="A4548" t="str">
        <f>"20190303170902404"</f>
        <v>20190303170902404</v>
      </c>
      <c r="B4548" t="str">
        <f>"1551604142398277"</f>
        <v>1551604142398277</v>
      </c>
      <c r="C4548" t="s">
        <v>40</v>
      </c>
      <c r="D4548">
        <v>5.0537510000000001</v>
      </c>
      <c r="E4548">
        <v>0.65418509999999996</v>
      </c>
      <c r="F4548" t="s">
        <v>59</v>
      </c>
      <c r="G4548">
        <v>-295.07209999999998</v>
      </c>
      <c r="H4548" s="1">
        <v>-8.7143959999999998E-6</v>
      </c>
      <c r="I4548">
        <v>-52.939369999999997</v>
      </c>
      <c r="J4548">
        <v>-304.4948</v>
      </c>
      <c r="K4548">
        <v>1.059712</v>
      </c>
      <c r="L4548">
        <v>9.3721309999999995</v>
      </c>
      <c r="M4548">
        <v>0.65788819999999903</v>
      </c>
      <c r="N4548">
        <v>-1.486152E-2</v>
      </c>
      <c r="O4548">
        <v>-0.75296909999999995</v>
      </c>
      <c r="P4548">
        <v>0.47509760000000001</v>
      </c>
      <c r="Q4548">
        <v>0.20577390000000001</v>
      </c>
      <c r="R4548">
        <v>-0.85553459999999903</v>
      </c>
      <c r="S4548">
        <v>0.50100710000000004</v>
      </c>
      <c r="T4548">
        <v>-5.5284380000000001E-2</v>
      </c>
      <c r="U4548">
        <v>-3.262543</v>
      </c>
      <c r="V4548">
        <v>0.21118429999999999</v>
      </c>
      <c r="W4548">
        <v>0.214171</v>
      </c>
      <c r="X4548">
        <v>0.95369389999999998</v>
      </c>
      <c r="Y4548">
        <v>0.53589189999999998</v>
      </c>
      <c r="Z4548">
        <v>-4.623729E-3</v>
      </c>
      <c r="AA4548">
        <v>0.84427389999999902</v>
      </c>
      <c r="AB4548">
        <v>27</v>
      </c>
      <c r="AC4548">
        <v>9.4227000000000096</v>
      </c>
      <c r="AD4548">
        <v>-1.0597207143959999</v>
      </c>
      <c r="AE4548">
        <v>-62.3115009999999</v>
      </c>
      <c r="AF4548">
        <v>33.893156001312903</v>
      </c>
      <c r="AG4548">
        <v>-1.0597207143959999</v>
      </c>
      <c r="AH4548">
        <v>53.108561877863998</v>
      </c>
      <c r="AI4548">
        <v>90.963647137781393</v>
      </c>
      <c r="AJ4548">
        <v>57.454539272644197</v>
      </c>
      <c r="AK4548">
        <v>63.011017897323001</v>
      </c>
      <c r="AL4548">
        <v>77.633104255141006</v>
      </c>
      <c r="AM4548">
        <v>77.514004360187798</v>
      </c>
      <c r="AN4548">
        <v>1.0000000403523399</v>
      </c>
    </row>
    <row r="4549" spans="1:40" x14ac:dyDescent="0.25">
      <c r="A4549" t="str">
        <f>"20190303170902424"</f>
        <v>20190303170902424</v>
      </c>
      <c r="B4549" t="str">
        <f>"1551604142417797"</f>
        <v>1551604142417797</v>
      </c>
      <c r="C4549" t="s">
        <v>40</v>
      </c>
      <c r="D4549">
        <v>5.0712919999999997</v>
      </c>
      <c r="E4549">
        <v>0.64610959999999995</v>
      </c>
      <c r="F4549" t="s">
        <v>59</v>
      </c>
      <c r="G4549">
        <v>-296.79430000000002</v>
      </c>
      <c r="H4549" s="1">
        <v>-4.6970239999999999E-6</v>
      </c>
      <c r="I4549">
        <v>-46.991059999999997</v>
      </c>
      <c r="J4549">
        <v>-304.33960000000002</v>
      </c>
      <c r="K4549">
        <v>1.0597179999999999</v>
      </c>
      <c r="L4549">
        <v>9.1719969999999993</v>
      </c>
      <c r="M4549">
        <v>0.64707329999999996</v>
      </c>
      <c r="N4549">
        <v>-1.4856670000000001E-2</v>
      </c>
      <c r="O4549">
        <v>-0.76228319999999905</v>
      </c>
      <c r="P4549">
        <v>0.46320480000000003</v>
      </c>
      <c r="Q4549">
        <v>0.20612449999999999</v>
      </c>
      <c r="R4549">
        <v>-0.86194799999999905</v>
      </c>
      <c r="S4549">
        <v>0.44717410000000002</v>
      </c>
      <c r="T4549">
        <v>-6.1538339999999997E-2</v>
      </c>
      <c r="U4549">
        <v>-3.2730410000000001</v>
      </c>
      <c r="V4549">
        <v>0.2107241</v>
      </c>
      <c r="W4549">
        <v>0.21453749999999999</v>
      </c>
      <c r="X4549">
        <v>0.95371320000000004</v>
      </c>
      <c r="Y4549">
        <v>0.53783419999999904</v>
      </c>
      <c r="Z4549">
        <v>-3.449929E-3</v>
      </c>
      <c r="AA4549">
        <v>0.8430436</v>
      </c>
      <c r="AB4549">
        <v>27</v>
      </c>
      <c r="AC4549">
        <v>7.5452999999999903</v>
      </c>
      <c r="AD4549">
        <v>-1.0597226970239999</v>
      </c>
      <c r="AE4549">
        <v>-56.163057000000002</v>
      </c>
      <c r="AF4549">
        <v>30.582636595807099</v>
      </c>
      <c r="AG4549">
        <v>-1.0597226970239999</v>
      </c>
      <c r="AH4549">
        <v>47.683099897013498</v>
      </c>
      <c r="AI4549">
        <v>91.071719176475597</v>
      </c>
      <c r="AJ4549">
        <v>57.324997430805901</v>
      </c>
      <c r="AK4549">
        <v>56.6577328273411</v>
      </c>
      <c r="AL4549">
        <v>77.611604206208995</v>
      </c>
      <c r="AM4549">
        <v>77.540606753136601</v>
      </c>
      <c r="AN4549">
        <v>0.99999992654064696</v>
      </c>
    </row>
    <row r="4550" spans="1:40" x14ac:dyDescent="0.25">
      <c r="A4550" t="str">
        <f>"20190303170902451"</f>
        <v>20190303170902451</v>
      </c>
      <c r="B4550" t="str">
        <f>"1551604142438294"</f>
        <v>1551604142438294</v>
      </c>
      <c r="C4550" t="s">
        <v>40</v>
      </c>
      <c r="D4550">
        <v>5.0632289999999998</v>
      </c>
      <c r="E4550">
        <v>0.64696790000000004</v>
      </c>
      <c r="F4550" t="s">
        <v>111</v>
      </c>
      <c r="G4550">
        <v>-290.24119999999999</v>
      </c>
      <c r="H4550">
        <v>0.38705640000000002</v>
      </c>
      <c r="I4550">
        <v>-91.564989999999995</v>
      </c>
      <c r="J4550">
        <v>-304.14760000000001</v>
      </c>
      <c r="K4550">
        <v>1.0597430000000001</v>
      </c>
      <c r="L4550">
        <v>8.9161990000000007</v>
      </c>
      <c r="M4550">
        <v>0.63321859999999996</v>
      </c>
      <c r="N4550">
        <v>-1.485069E-2</v>
      </c>
      <c r="O4550">
        <v>-0.77383080000000004</v>
      </c>
      <c r="P4550">
        <v>0.44783830000000002</v>
      </c>
      <c r="Q4550">
        <v>0.20583750000000001</v>
      </c>
      <c r="R4550">
        <v>-0.87009919999999996</v>
      </c>
      <c r="S4550">
        <v>0.45370480000000002</v>
      </c>
      <c r="T4550">
        <v>-2.1646740000000001E-2</v>
      </c>
      <c r="U4550">
        <v>-3.2418520000000002</v>
      </c>
      <c r="V4550">
        <v>0.21046799999999999</v>
      </c>
      <c r="W4550">
        <v>0.21426229999999999</v>
      </c>
      <c r="X4550">
        <v>0.95383169999999995</v>
      </c>
      <c r="Y4550">
        <v>0.51983029999999997</v>
      </c>
      <c r="Z4550">
        <v>-1.0186809999999999E-2</v>
      </c>
      <c r="AA4550">
        <v>0.85420879999999999</v>
      </c>
      <c r="AB4550">
        <v>27</v>
      </c>
      <c r="AC4550">
        <v>13.9064</v>
      </c>
      <c r="AD4550">
        <v>-0.67268660000000002</v>
      </c>
      <c r="AE4550">
        <v>-100.481189</v>
      </c>
      <c r="AF4550">
        <v>52.868850953920102</v>
      </c>
      <c r="AG4550">
        <v>-0.67268660000000002</v>
      </c>
      <c r="AH4550">
        <v>86.566950667083105</v>
      </c>
      <c r="AI4550">
        <v>90.379964886651095</v>
      </c>
      <c r="AJ4550">
        <v>58.586423828344302</v>
      </c>
      <c r="AK4550">
        <v>101.436703693716</v>
      </c>
      <c r="AL4550">
        <v>77.627748475399301</v>
      </c>
      <c r="AM4550">
        <v>77.556774947082104</v>
      </c>
      <c r="AN4550">
        <v>1.00000001207508</v>
      </c>
    </row>
    <row r="4551" spans="1:40" x14ac:dyDescent="0.25">
      <c r="A4551" t="str">
        <f>"20190303170902473"</f>
        <v>20190303170902473</v>
      </c>
      <c r="B4551" t="str">
        <f>"1551604142468549"</f>
        <v>1551604142468549</v>
      </c>
      <c r="C4551" t="s">
        <v>40</v>
      </c>
      <c r="D4551">
        <v>5.0253310000000004</v>
      </c>
      <c r="E4551">
        <v>0.64599209999999996</v>
      </c>
      <c r="F4551" t="s">
        <v>111</v>
      </c>
      <c r="G4551">
        <v>-292.09780000000001</v>
      </c>
      <c r="H4551">
        <v>0.1420698</v>
      </c>
      <c r="I4551">
        <v>-91.564989999999995</v>
      </c>
      <c r="J4551">
        <v>-303.9796</v>
      </c>
      <c r="K4551">
        <v>1.059769</v>
      </c>
      <c r="L4551">
        <v>8.6835939999999994</v>
      </c>
      <c r="M4551">
        <v>0.62061739999999999</v>
      </c>
      <c r="N4551">
        <v>-1.4845479999999999E-2</v>
      </c>
      <c r="O4551">
        <v>-0.78397299999999903</v>
      </c>
      <c r="P4551">
        <v>0.43517109999999898</v>
      </c>
      <c r="Q4551">
        <v>0.2060051</v>
      </c>
      <c r="R4551">
        <v>-0.8764634</v>
      </c>
      <c r="S4551">
        <v>0.39022829999999997</v>
      </c>
      <c r="T4551">
        <v>-2.971816E-2</v>
      </c>
      <c r="U4551">
        <v>-3.2540589999999998</v>
      </c>
      <c r="V4551">
        <v>0.20883840000000001</v>
      </c>
      <c r="W4551">
        <v>0.21448349999999999</v>
      </c>
      <c r="X4551">
        <v>0.95414010000000005</v>
      </c>
      <c r="Y4551">
        <v>0.52281949999999999</v>
      </c>
      <c r="Z4551">
        <v>-8.7201650000000002E-3</v>
      </c>
      <c r="AA4551">
        <v>0.85239889999999996</v>
      </c>
      <c r="AB4551">
        <v>27</v>
      </c>
      <c r="AC4551">
        <v>11.881799999999901</v>
      </c>
      <c r="AD4551">
        <v>-0.91769920000000005</v>
      </c>
      <c r="AE4551">
        <v>-100.24858399999999</v>
      </c>
      <c r="AF4551">
        <v>52.902463425097899</v>
      </c>
      <c r="AG4551">
        <v>-0.91769920000000005</v>
      </c>
      <c r="AH4551">
        <v>85.968604699180304</v>
      </c>
      <c r="AI4551">
        <v>90.520882120948102</v>
      </c>
      <c r="AJ4551">
        <v>58.393122955306602</v>
      </c>
      <c r="AK4551">
        <v>100.94609354595801</v>
      </c>
      <c r="AL4551">
        <v>77.614772712912099</v>
      </c>
      <c r="AM4551">
        <v>77.654021508872205</v>
      </c>
      <c r="AN4551">
        <v>0.99999998975741</v>
      </c>
    </row>
    <row r="4552" spans="1:40" x14ac:dyDescent="0.25">
      <c r="A4552" t="str">
        <f>"20190303170902496"</f>
        <v>20190303170902496</v>
      </c>
      <c r="B4552" t="str">
        <f>"1551604142488069"</f>
        <v>1551604142488069</v>
      </c>
      <c r="C4552" t="s">
        <v>40</v>
      </c>
      <c r="D4552">
        <v>5.0537029999999996</v>
      </c>
      <c r="E4552">
        <v>0.63774969999999997</v>
      </c>
      <c r="F4552" t="s">
        <v>46</v>
      </c>
      <c r="G4552">
        <v>-293.26209999999998</v>
      </c>
      <c r="H4552">
        <v>-0.05</v>
      </c>
      <c r="I4552">
        <v>-91.031270000000006</v>
      </c>
      <c r="J4552">
        <v>-303.81540000000001</v>
      </c>
      <c r="K4552">
        <v>1.0597909999999999</v>
      </c>
      <c r="L4552">
        <v>8.4483639999999998</v>
      </c>
      <c r="M4552">
        <v>0.60784859999999996</v>
      </c>
      <c r="N4552">
        <v>-1.4840290000000001E-2</v>
      </c>
      <c r="O4552">
        <v>-0.79391429999999996</v>
      </c>
      <c r="P4552">
        <v>0.42219309999999899</v>
      </c>
      <c r="Q4552">
        <v>0.2065121</v>
      </c>
      <c r="R4552">
        <v>-0.88266979999999995</v>
      </c>
      <c r="S4552">
        <v>0.3501282</v>
      </c>
      <c r="T4552">
        <v>-3.625453E-2</v>
      </c>
      <c r="U4552">
        <v>-3.2575379999999998</v>
      </c>
      <c r="V4552">
        <v>0.20740239999999999</v>
      </c>
      <c r="W4552">
        <v>0.2150368</v>
      </c>
      <c r="X4552">
        <v>0.95432879999999998</v>
      </c>
      <c r="Y4552">
        <v>0.51947619999999906</v>
      </c>
      <c r="Z4552">
        <v>-7.4096279999999997E-3</v>
      </c>
      <c r="AA4552">
        <v>0.85445280000000001</v>
      </c>
      <c r="AB4552">
        <v>27</v>
      </c>
      <c r="AC4552">
        <v>10.5533</v>
      </c>
      <c r="AD4552">
        <v>-1.109791</v>
      </c>
      <c r="AE4552">
        <v>-99.479634000000004</v>
      </c>
      <c r="AF4552">
        <v>52.089464926491203</v>
      </c>
      <c r="AG4552">
        <v>-1.109791</v>
      </c>
      <c r="AH4552">
        <v>85.392005175354797</v>
      </c>
      <c r="AI4552">
        <v>90.635675018738198</v>
      </c>
      <c r="AJ4552">
        <v>58.616641814485703</v>
      </c>
      <c r="AK4552">
        <v>100.031687680752</v>
      </c>
      <c r="AL4552">
        <v>77.582313960246097</v>
      </c>
      <c r="AM4552">
        <v>77.738687961400899</v>
      </c>
      <c r="AN4552">
        <v>1.0000000196947101</v>
      </c>
    </row>
    <row r="4553" spans="1:40" x14ac:dyDescent="0.25">
      <c r="A4553" t="str">
        <f>"20190303170902522"</f>
        <v>20190303170902522</v>
      </c>
      <c r="B4553" t="str">
        <f>"1551604142508565"</f>
        <v>1551604142508565</v>
      </c>
      <c r="C4553" t="s">
        <v>40</v>
      </c>
      <c r="D4553">
        <v>5.0508360000000003</v>
      </c>
      <c r="E4553">
        <v>0.6381677</v>
      </c>
      <c r="F4553" t="s">
        <v>46</v>
      </c>
      <c r="G4553">
        <v>-292.6275</v>
      </c>
      <c r="H4553">
        <v>-0.05</v>
      </c>
      <c r="I4553">
        <v>-91.715119999999999</v>
      </c>
      <c r="J4553">
        <v>-303.6628</v>
      </c>
      <c r="K4553">
        <v>1.059804</v>
      </c>
      <c r="L4553">
        <v>8.2222899999999992</v>
      </c>
      <c r="M4553">
        <v>0.59555979999999997</v>
      </c>
      <c r="N4553">
        <v>-1.483543E-2</v>
      </c>
      <c r="O4553">
        <v>-0.8031741</v>
      </c>
      <c r="P4553">
        <v>0.4086188</v>
      </c>
      <c r="Q4553">
        <v>0.20722370000000001</v>
      </c>
      <c r="R4553">
        <v>-0.88886939999999903</v>
      </c>
      <c r="S4553">
        <v>0.36126710000000001</v>
      </c>
      <c r="T4553">
        <v>-3.5836220000000002E-2</v>
      </c>
      <c r="U4553">
        <v>-3.234375</v>
      </c>
      <c r="V4553">
        <v>0.20725189999999999</v>
      </c>
      <c r="W4553">
        <v>0.21575429999999901</v>
      </c>
      <c r="X4553">
        <v>0.95419949999999998</v>
      </c>
      <c r="Y4553">
        <v>0.50267609999999996</v>
      </c>
      <c r="Z4553">
        <v>-7.2234339999999999E-3</v>
      </c>
      <c r="AA4553">
        <v>0.86444460000000001</v>
      </c>
      <c r="AB4553">
        <v>27</v>
      </c>
      <c r="AC4553">
        <v>11.035299999999999</v>
      </c>
      <c r="AD4553">
        <v>-1.109804</v>
      </c>
      <c r="AE4553">
        <v>-99.93741</v>
      </c>
      <c r="AF4553">
        <v>50.654835444016001</v>
      </c>
      <c r="AG4553">
        <v>-1.109804</v>
      </c>
      <c r="AH4553">
        <v>86.838289538708096</v>
      </c>
      <c r="AI4553">
        <v>90.632476541980793</v>
      </c>
      <c r="AJ4553">
        <v>59.743973134826902</v>
      </c>
      <c r="AK4553">
        <v>100.538711692498</v>
      </c>
      <c r="AL4553">
        <v>77.540215527965699</v>
      </c>
      <c r="AM4553">
        <v>77.745706261151199</v>
      </c>
      <c r="AN4553">
        <v>0.99999997691117404</v>
      </c>
    </row>
    <row r="4554" spans="1:40" x14ac:dyDescent="0.25">
      <c r="A4554" t="str">
        <f>"20190303170902546"</f>
        <v>20190303170902546</v>
      </c>
      <c r="B4554" t="str">
        <f>"1551604142537845"</f>
        <v>1551604142537845</v>
      </c>
      <c r="C4554" t="s">
        <v>40</v>
      </c>
      <c r="D4554">
        <v>5.0240289999999996</v>
      </c>
      <c r="E4554">
        <v>0.63729190000000002</v>
      </c>
      <c r="F4554" t="s">
        <v>59</v>
      </c>
      <c r="G4554">
        <v>-296.66340000000002</v>
      </c>
      <c r="H4554" s="1">
        <v>-1.27971699999999E-5</v>
      </c>
      <c r="I4554">
        <v>-64.617519999999999</v>
      </c>
      <c r="J4554">
        <v>-303.4785</v>
      </c>
      <c r="K4554">
        <v>1.0598240000000001</v>
      </c>
      <c r="L4554">
        <v>7.939209</v>
      </c>
      <c r="M4554">
        <v>0.58014149999999998</v>
      </c>
      <c r="N4554">
        <v>-1.482962E-2</v>
      </c>
      <c r="O4554">
        <v>-0.81438100000000002</v>
      </c>
      <c r="P4554">
        <v>0.39159719999999998</v>
      </c>
      <c r="Q4554">
        <v>0.20715529999999999</v>
      </c>
      <c r="R4554">
        <v>-0.896514699999999</v>
      </c>
      <c r="S4554">
        <v>0.31161499999999998</v>
      </c>
      <c r="T4554">
        <v>-4.7183040000000002E-2</v>
      </c>
      <c r="U4554">
        <v>-3.2428279999999998</v>
      </c>
      <c r="V4554">
        <v>0.2072524</v>
      </c>
      <c r="W4554">
        <v>0.21568999999999999</v>
      </c>
      <c r="X4554">
        <v>0.95421389999999995</v>
      </c>
      <c r="Y4554">
        <v>0.49951990000000002</v>
      </c>
      <c r="Z4554">
        <v>-4.8355480000000003E-3</v>
      </c>
      <c r="AA4554">
        <v>0.86628890000000003</v>
      </c>
      <c r="AB4554">
        <v>27</v>
      </c>
      <c r="AC4554">
        <v>6.81509999999997</v>
      </c>
      <c r="AD4554">
        <v>-1.05983679716999</v>
      </c>
      <c r="AE4554">
        <v>-72.556729000000004</v>
      </c>
      <c r="AF4554">
        <v>36.5393635393336</v>
      </c>
      <c r="AG4554">
        <v>-1.05983679716999</v>
      </c>
      <c r="AH4554">
        <v>63.036129542955102</v>
      </c>
      <c r="AI4554">
        <v>90.833369836890597</v>
      </c>
      <c r="AJ4554">
        <v>59.900954282731497</v>
      </c>
      <c r="AK4554">
        <v>72.8683879995464</v>
      </c>
      <c r="AL4554">
        <v>77.543988143354298</v>
      </c>
      <c r="AM4554">
        <v>77.745856932081594</v>
      </c>
      <c r="AN4554">
        <v>0.99999995017948295</v>
      </c>
    </row>
    <row r="4555" spans="1:40" x14ac:dyDescent="0.25">
      <c r="A4555" t="str">
        <f>"20190303170902580"</f>
        <v>20190303170902580</v>
      </c>
      <c r="B4555" t="str">
        <f>"1551604142568101"</f>
        <v>1551604142568101</v>
      </c>
      <c r="C4555" t="s">
        <v>40</v>
      </c>
      <c r="D4555">
        <v>4.9976430000000001</v>
      </c>
      <c r="E4555">
        <v>0.62873679999999998</v>
      </c>
      <c r="F4555" t="s">
        <v>59</v>
      </c>
      <c r="G4555">
        <v>-299.02999999999997</v>
      </c>
      <c r="H4555" s="1">
        <v>-4.704576E-6</v>
      </c>
      <c r="I4555">
        <v>-47.97878</v>
      </c>
      <c r="J4555">
        <v>-303.2595</v>
      </c>
      <c r="K4555">
        <v>1.059852</v>
      </c>
      <c r="L4555">
        <v>7.5860289999999901</v>
      </c>
      <c r="M4555">
        <v>0.56088229999999994</v>
      </c>
      <c r="N4555">
        <v>-1.482261E-2</v>
      </c>
      <c r="O4555">
        <v>-0.82776329999999998</v>
      </c>
      <c r="P4555">
        <v>0.3714961</v>
      </c>
      <c r="Q4555">
        <v>0.2074278</v>
      </c>
      <c r="R4555">
        <v>-0.90496679999999996</v>
      </c>
      <c r="S4555">
        <v>0.25836179999999997</v>
      </c>
      <c r="T4555">
        <v>-6.1553599999999903E-2</v>
      </c>
      <c r="U4555">
        <v>-3.2476500000000001</v>
      </c>
      <c r="V4555">
        <v>0.20612050000000001</v>
      </c>
      <c r="W4555">
        <v>0.216002</v>
      </c>
      <c r="X4555">
        <v>0.95438860000000003</v>
      </c>
      <c r="Y4555">
        <v>0.49338799999999999</v>
      </c>
      <c r="Z4555">
        <v>-1.622351E-3</v>
      </c>
      <c r="AA4555">
        <v>0.86980780000000002</v>
      </c>
      <c r="AB4555">
        <v>27</v>
      </c>
      <c r="AC4555">
        <v>4.22950000000003</v>
      </c>
      <c r="AD4555">
        <v>-1.0598567045759999</v>
      </c>
      <c r="AE4555">
        <v>-55.564808999999997</v>
      </c>
      <c r="AF4555">
        <v>27.657317736706101</v>
      </c>
      <c r="AG4555">
        <v>-1.0598567045759999</v>
      </c>
      <c r="AH4555">
        <v>48.354566185667501</v>
      </c>
      <c r="AI4555">
        <v>91.089983971990407</v>
      </c>
      <c r="AJ4555">
        <v>60.231777488497102</v>
      </c>
      <c r="AK4555">
        <v>55.715478923073597</v>
      </c>
      <c r="AL4555">
        <v>77.525681715373807</v>
      </c>
      <c r="AM4555">
        <v>77.812940571172007</v>
      </c>
      <c r="AN4555">
        <v>1.0000000621670999</v>
      </c>
    </row>
    <row r="4556" spans="1:40" x14ac:dyDescent="0.25">
      <c r="A4556" t="str">
        <f>"20190303170902607"</f>
        <v>20190303170902607</v>
      </c>
      <c r="B4556" t="str">
        <f>"1551604142598357"</f>
        <v>1551604142598357</v>
      </c>
      <c r="C4556" t="s">
        <v>40</v>
      </c>
      <c r="D4556">
        <v>5.0238589999999999</v>
      </c>
      <c r="E4556">
        <v>0.62562649999999997</v>
      </c>
      <c r="F4556" t="s">
        <v>43</v>
      </c>
      <c r="G4556">
        <v>-299.91329999999999</v>
      </c>
      <c r="H4556" s="1">
        <v>-2.0255919999999999E-6</v>
      </c>
      <c r="I4556">
        <v>-35.681339999999999</v>
      </c>
      <c r="J4556">
        <v>-303.08690000000001</v>
      </c>
      <c r="K4556">
        <v>1.059874</v>
      </c>
      <c r="L4556">
        <v>7.294556</v>
      </c>
      <c r="M4556">
        <v>0.54494889999999996</v>
      </c>
      <c r="N4556">
        <v>-1.481702E-2</v>
      </c>
      <c r="O4556">
        <v>-0.83833849999999999</v>
      </c>
      <c r="P4556">
        <v>0.35390630000000001</v>
      </c>
      <c r="Q4556">
        <v>0.2079964</v>
      </c>
      <c r="R4556">
        <v>-0.91185959999999999</v>
      </c>
      <c r="S4556">
        <v>0.2498474</v>
      </c>
      <c r="T4556">
        <v>-7.9135540000000004E-2</v>
      </c>
      <c r="U4556">
        <v>-3.2306210000000002</v>
      </c>
      <c r="V4556">
        <v>0.2062804</v>
      </c>
      <c r="W4556">
        <v>0.2165677</v>
      </c>
      <c r="X4556">
        <v>0.95422580000000001</v>
      </c>
      <c r="Y4556">
        <v>0.47857889999999997</v>
      </c>
      <c r="Z4556">
        <v>2.600392E-3</v>
      </c>
      <c r="AA4556">
        <v>0.87804069999999901</v>
      </c>
      <c r="AB4556">
        <v>27</v>
      </c>
      <c r="AC4556">
        <v>3.17360000000002</v>
      </c>
      <c r="AD4556">
        <v>-1.0598760255919999</v>
      </c>
      <c r="AE4556">
        <v>-42.975895999999999</v>
      </c>
      <c r="AF4556">
        <v>20.748840939329199</v>
      </c>
      <c r="AG4556">
        <v>-1.0598760255919999</v>
      </c>
      <c r="AH4556">
        <v>37.739108842213298</v>
      </c>
      <c r="AI4556">
        <v>91.409765253533394</v>
      </c>
      <c r="AJ4556">
        <v>61.198145998327597</v>
      </c>
      <c r="AK4556">
        <v>43.079903362468599</v>
      </c>
      <c r="AL4556">
        <v>77.4924832321514</v>
      </c>
      <c r="AM4556">
        <v>77.801750758253505</v>
      </c>
      <c r="AN4556">
        <v>1.0000000247465399</v>
      </c>
    </row>
    <row r="4557" spans="1:40" x14ac:dyDescent="0.25">
      <c r="A4557" t="str">
        <f>"20190303170902631"</f>
        <v>20190303170902631</v>
      </c>
      <c r="B4557" t="str">
        <f>"1551604142617877"</f>
        <v>1551604142617877</v>
      </c>
      <c r="C4557" t="s">
        <v>40</v>
      </c>
      <c r="D4557">
        <v>5.1025119999999999</v>
      </c>
      <c r="E4557">
        <v>0.62502819999999903</v>
      </c>
      <c r="F4557" t="s">
        <v>43</v>
      </c>
      <c r="G4557">
        <v>-300.08640000000003</v>
      </c>
      <c r="H4557" s="1">
        <v>-9.091711E-7</v>
      </c>
      <c r="I4557">
        <v>-38.34516</v>
      </c>
      <c r="J4557">
        <v>-302.94049999999999</v>
      </c>
      <c r="K4557">
        <v>1.059898</v>
      </c>
      <c r="L4557">
        <v>7.0364990000000001</v>
      </c>
      <c r="M4557">
        <v>0.53082819999999997</v>
      </c>
      <c r="N4557">
        <v>-1.48121E-2</v>
      </c>
      <c r="O4557">
        <v>-0.84735000000000005</v>
      </c>
      <c r="P4557">
        <v>0.33788699999999999</v>
      </c>
      <c r="Q4557">
        <v>0.20825440000000001</v>
      </c>
      <c r="R4557">
        <v>-0.91785749999999999</v>
      </c>
      <c r="S4557">
        <v>0.21200559999999999</v>
      </c>
      <c r="T4557">
        <v>-7.488823E-2</v>
      </c>
      <c r="U4557">
        <v>-3.2247919999999999</v>
      </c>
      <c r="V4557">
        <v>0.20697090000000001</v>
      </c>
      <c r="W4557">
        <v>0.21680740000000001</v>
      </c>
      <c r="X4557">
        <v>0.95402180000000003</v>
      </c>
      <c r="Y4557">
        <v>0.47399999999999998</v>
      </c>
      <c r="Z4557">
        <v>1.9991100000000001E-3</v>
      </c>
      <c r="AA4557">
        <v>0.88052249999999999</v>
      </c>
      <c r="AB4557">
        <v>27</v>
      </c>
      <c r="AC4557">
        <v>2.8540999999999599</v>
      </c>
      <c r="AD4557">
        <v>-1.0598989091711</v>
      </c>
      <c r="AE4557">
        <v>-45.381658999999999</v>
      </c>
      <c r="AF4557">
        <v>21.662051095112901</v>
      </c>
      <c r="AG4557">
        <v>-1.0598989091711</v>
      </c>
      <c r="AH4557">
        <v>39.951864300678302</v>
      </c>
      <c r="AI4557">
        <v>91.336000744393601</v>
      </c>
      <c r="AJ4557">
        <v>61.533284250206798</v>
      </c>
      <c r="AK4557">
        <v>45.458984859373601</v>
      </c>
      <c r="AL4557">
        <v>77.4784148577819</v>
      </c>
      <c r="AM4557">
        <v>77.759609203260695</v>
      </c>
      <c r="AN4557">
        <v>0.99999999850840504</v>
      </c>
    </row>
    <row r="4558" spans="1:40" x14ac:dyDescent="0.25">
      <c r="A4558" t="str">
        <f>"20190303170902669"</f>
        <v>20190303170902669</v>
      </c>
      <c r="B4558" t="str">
        <f>"1551604142657893"</f>
        <v>1551604142657893</v>
      </c>
      <c r="C4558" t="s">
        <v>40</v>
      </c>
      <c r="D4558">
        <v>5.1845410000000003</v>
      </c>
      <c r="E4558">
        <v>0.64992589999999995</v>
      </c>
      <c r="F4558" t="s">
        <v>43</v>
      </c>
      <c r="G4558">
        <v>-300.65449999999998</v>
      </c>
      <c r="H4558" s="1">
        <v>-9.3554809999999997E-7</v>
      </c>
      <c r="I4558">
        <v>-38.636040000000001</v>
      </c>
      <c r="J4558">
        <v>-302.7208</v>
      </c>
      <c r="K4558">
        <v>1.0599149999999999</v>
      </c>
      <c r="L4558">
        <v>6.629486</v>
      </c>
      <c r="M4558">
        <v>0.5085134</v>
      </c>
      <c r="N4558">
        <v>-1.480445E-2</v>
      </c>
      <c r="O4558">
        <v>-0.860927</v>
      </c>
      <c r="P4558">
        <v>0.31390249999999997</v>
      </c>
      <c r="Q4558">
        <v>0.20722989999999999</v>
      </c>
      <c r="R4558">
        <v>-0.92656430000000001</v>
      </c>
      <c r="S4558">
        <v>0.16146849999999999</v>
      </c>
      <c r="T4558">
        <v>-7.4865100000000004E-2</v>
      </c>
      <c r="U4558">
        <v>-3.2260439999999999</v>
      </c>
      <c r="V4558">
        <v>0.20693549999999999</v>
      </c>
      <c r="W4558">
        <v>0.2157925</v>
      </c>
      <c r="X4558">
        <v>0.95425959999999999</v>
      </c>
      <c r="Y4558">
        <v>0.4647461</v>
      </c>
      <c r="Z4558">
        <v>2.4448389999999999E-3</v>
      </c>
      <c r="AA4558">
        <v>0.88544059999999902</v>
      </c>
      <c r="AB4558">
        <v>27</v>
      </c>
      <c r="AC4558">
        <v>2.0663000000000098</v>
      </c>
      <c r="AD4558">
        <v>-1.0599159355481</v>
      </c>
      <c r="AE4558">
        <v>-45.265526000000001</v>
      </c>
      <c r="AF4558">
        <v>21.229901391694401</v>
      </c>
      <c r="AG4558">
        <v>-1.0599159355481</v>
      </c>
      <c r="AH4558">
        <v>40.003546414655297</v>
      </c>
      <c r="AI4558">
        <v>91.340703518084695</v>
      </c>
      <c r="AJ4558">
        <v>62.045086162231897</v>
      </c>
      <c r="AK4558">
        <v>45.300285436639101</v>
      </c>
      <c r="AL4558">
        <v>77.537974879230305</v>
      </c>
      <c r="AM4558">
        <v>77.764597568156304</v>
      </c>
      <c r="AN4558">
        <v>1.00000004420432</v>
      </c>
    </row>
    <row r="4559" spans="1:40" x14ac:dyDescent="0.25">
      <c r="A4559" t="str">
        <f>"20190303170902699"</f>
        <v>20190303170902699</v>
      </c>
      <c r="B4559" t="str">
        <f>"1551604142689126"</f>
        <v>1551604142689126</v>
      </c>
      <c r="C4559" t="s">
        <v>40</v>
      </c>
      <c r="D4559">
        <v>5.1976440000000004</v>
      </c>
      <c r="E4559">
        <v>0.6505938</v>
      </c>
      <c r="F4559" t="s">
        <v>111</v>
      </c>
      <c r="G4559">
        <v>-306.2448</v>
      </c>
      <c r="H4559">
        <v>0.1971202</v>
      </c>
      <c r="I4559">
        <v>-91.564989999999995</v>
      </c>
      <c r="J4559">
        <v>-302.55529999999999</v>
      </c>
      <c r="K4559">
        <v>1.0599369999999999</v>
      </c>
      <c r="L4559">
        <v>6.3034670000000004</v>
      </c>
      <c r="M4559">
        <v>0.49062280000000003</v>
      </c>
      <c r="N4559">
        <v>-1.479838E-2</v>
      </c>
      <c r="O4559">
        <v>-0.87124669999999904</v>
      </c>
      <c r="P4559">
        <v>0.29462110000000002</v>
      </c>
      <c r="Q4559">
        <v>0.20781069999999999</v>
      </c>
      <c r="R4559">
        <v>-0.9327453</v>
      </c>
      <c r="S4559">
        <v>-0.1178589</v>
      </c>
      <c r="T4559">
        <v>-2.8856039999999999E-2</v>
      </c>
      <c r="U4559">
        <v>-3.2841490000000002</v>
      </c>
      <c r="V4559">
        <v>0.20695469999999999</v>
      </c>
      <c r="W4559">
        <v>0.21637629999999999</v>
      </c>
      <c r="X4559">
        <v>0.95412319999999995</v>
      </c>
      <c r="Y4559">
        <v>0.52151479999999995</v>
      </c>
      <c r="Z4559">
        <v>-8.5000400000000004E-3</v>
      </c>
      <c r="AA4559">
        <v>0.85319990000000001</v>
      </c>
      <c r="AB4559">
        <v>27</v>
      </c>
      <c r="AC4559">
        <v>-3.6894999999999998</v>
      </c>
      <c r="AD4559">
        <v>-0.86281679999999905</v>
      </c>
      <c r="AE4559">
        <v>-97.868456999999907</v>
      </c>
      <c r="AF4559">
        <v>51.232581554930498</v>
      </c>
      <c r="AG4559">
        <v>-0.86281679999999905</v>
      </c>
      <c r="AH4559">
        <v>83.460057157225805</v>
      </c>
      <c r="AI4559">
        <v>90.504792118988703</v>
      </c>
      <c r="AJ4559">
        <v>58.456004938594702</v>
      </c>
      <c r="AK4559">
        <v>97.934176906228103</v>
      </c>
      <c r="AL4559">
        <v>77.503715873722399</v>
      </c>
      <c r="AM4559">
        <v>77.7617999485864</v>
      </c>
      <c r="AN4559">
        <v>1.0000000159160001</v>
      </c>
    </row>
    <row r="4560" spans="1:40" x14ac:dyDescent="0.25">
      <c r="A4560" t="str">
        <f>"20190303170902736"</f>
        <v>20190303170902736</v>
      </c>
      <c r="B4560" t="str">
        <f>"1551604142728165"</f>
        <v>1551604142728165</v>
      </c>
      <c r="C4560" t="s">
        <v>40</v>
      </c>
      <c r="D4560">
        <v>5.0305609999999996</v>
      </c>
      <c r="E4560">
        <v>0.64948219999999901</v>
      </c>
      <c r="F4560" t="s">
        <v>111</v>
      </c>
      <c r="G4560">
        <v>-308.2285</v>
      </c>
      <c r="H4560">
        <v>0.18274119999999999</v>
      </c>
      <c r="I4560">
        <v>-91.564989999999995</v>
      </c>
      <c r="J4560">
        <v>-302.35449999999997</v>
      </c>
      <c r="K4560">
        <v>1.059984</v>
      </c>
      <c r="L4560">
        <v>5.8853150000000003</v>
      </c>
      <c r="M4560">
        <v>0.46763310000000002</v>
      </c>
      <c r="N4560">
        <v>-1.4789770000000001E-2</v>
      </c>
      <c r="O4560">
        <v>-0.88379909999999995</v>
      </c>
      <c r="P4560">
        <v>0.26995429999999998</v>
      </c>
      <c r="Q4560">
        <v>0.20972009999999999</v>
      </c>
      <c r="R4560">
        <v>-0.93975660000000005</v>
      </c>
      <c r="S4560">
        <v>-0.19030759999999999</v>
      </c>
      <c r="T4560">
        <v>-2.942502E-2</v>
      </c>
      <c r="U4560">
        <v>-3.2829899999999999</v>
      </c>
      <c r="V4560">
        <v>0.20692640000000001</v>
      </c>
      <c r="W4560">
        <v>0.21828880000000001</v>
      </c>
      <c r="X4560">
        <v>0.95369360000000003</v>
      </c>
      <c r="Y4560">
        <v>0.51795599999999997</v>
      </c>
      <c r="Z4560">
        <v>-8.2636610000000003E-3</v>
      </c>
      <c r="AA4560">
        <v>0.8553674</v>
      </c>
      <c r="AB4560">
        <v>27</v>
      </c>
      <c r="AC4560">
        <v>-5.8740000000000201</v>
      </c>
      <c r="AD4560">
        <v>-0.87724279999999999</v>
      </c>
      <c r="AE4560">
        <v>-97.450305</v>
      </c>
      <c r="AF4560">
        <v>50.763870416723101</v>
      </c>
      <c r="AG4560">
        <v>-0.87724279999999999</v>
      </c>
      <c r="AH4560">
        <v>83.381990606080095</v>
      </c>
      <c r="AI4560">
        <v>90.514867032878598</v>
      </c>
      <c r="AJ4560">
        <v>58.6664864659733</v>
      </c>
      <c r="AK4560">
        <v>97.623237254500197</v>
      </c>
      <c r="AL4560">
        <v>77.391454270414798</v>
      </c>
      <c r="AM4560">
        <v>77.758077148764897</v>
      </c>
      <c r="AN4560">
        <v>1.0000000089516801</v>
      </c>
    </row>
    <row r="4561" spans="1:40" x14ac:dyDescent="0.25">
      <c r="A4561" t="str">
        <f>"20190303170902764"</f>
        <v>20190303170902764</v>
      </c>
      <c r="B4561" t="str">
        <f>"1551604142748661"</f>
        <v>1551604142748661</v>
      </c>
      <c r="C4561" t="s">
        <v>40</v>
      </c>
      <c r="D4561">
        <v>5.0375839999999998</v>
      </c>
      <c r="E4561">
        <v>0.64819459999999995</v>
      </c>
      <c r="F4561" t="s">
        <v>111</v>
      </c>
      <c r="G4561">
        <v>-310.26170000000002</v>
      </c>
      <c r="H4561">
        <v>0.44234899999999999</v>
      </c>
      <c r="I4561">
        <v>-91.564989999999995</v>
      </c>
      <c r="J4561">
        <v>-302.21890000000002</v>
      </c>
      <c r="K4561">
        <v>1.060025</v>
      </c>
      <c r="L4561">
        <v>5.5861510000000001</v>
      </c>
      <c r="M4561">
        <v>0.45118059999999899</v>
      </c>
      <c r="N4561">
        <v>-1.478206E-2</v>
      </c>
      <c r="O4561">
        <v>-0.8923103</v>
      </c>
      <c r="P4561">
        <v>0.2534979</v>
      </c>
      <c r="Q4561">
        <v>0.20828640000000001</v>
      </c>
      <c r="R4561">
        <v>-0.94464590000000004</v>
      </c>
      <c r="S4561">
        <v>-0.26559450000000001</v>
      </c>
      <c r="T4561">
        <v>-2.0745280000000001E-2</v>
      </c>
      <c r="U4561">
        <v>-3.2732540000000001</v>
      </c>
      <c r="V4561">
        <v>0.2060023</v>
      </c>
      <c r="W4561">
        <v>0.21689539999999999</v>
      </c>
      <c r="X4561">
        <v>0.95421140000000004</v>
      </c>
      <c r="Y4561">
        <v>0.52183809999999997</v>
      </c>
      <c r="Z4561">
        <v>-1.023605E-2</v>
      </c>
      <c r="AA4561">
        <v>0.85298320000000005</v>
      </c>
      <c r="AB4561">
        <v>27</v>
      </c>
      <c r="AC4561">
        <v>-8.0427999999999997</v>
      </c>
      <c r="AD4561">
        <v>-0.617676</v>
      </c>
      <c r="AE4561">
        <v>-97.151140999999996</v>
      </c>
      <c r="AF4561">
        <v>51.012906325383497</v>
      </c>
      <c r="AG4561">
        <v>-0.617676</v>
      </c>
      <c r="AH4561">
        <v>83.065944985576706</v>
      </c>
      <c r="AI4561">
        <v>90.363047887076306</v>
      </c>
      <c r="AJ4561">
        <v>58.444857676708601</v>
      </c>
      <c r="AK4561">
        <v>97.481533388381706</v>
      </c>
      <c r="AL4561">
        <v>77.473249679613801</v>
      </c>
      <c r="AM4561">
        <v>77.817526168985694</v>
      </c>
      <c r="AN4561">
        <v>0.99999997901820403</v>
      </c>
    </row>
    <row r="4562" spans="1:40" x14ac:dyDescent="0.25">
      <c r="A4562" t="str">
        <f>"20190303170902786"</f>
        <v>20190303170902786</v>
      </c>
      <c r="B4562" t="str">
        <f>"1551604142777941"</f>
        <v>1551604142777941</v>
      </c>
      <c r="C4562" t="s">
        <v>40</v>
      </c>
      <c r="D4562">
        <v>5.030411</v>
      </c>
      <c r="E4562">
        <v>0.64571690000000004</v>
      </c>
      <c r="F4562" t="s">
        <v>111</v>
      </c>
      <c r="G4562">
        <v>-311.58800000000002</v>
      </c>
      <c r="H4562">
        <v>0.4892995</v>
      </c>
      <c r="I4562">
        <v>-91.564989999999995</v>
      </c>
      <c r="J4562">
        <v>-302.10809999999998</v>
      </c>
      <c r="K4562">
        <v>1.0600540000000001</v>
      </c>
      <c r="L4562">
        <v>5.3301699999999999</v>
      </c>
      <c r="M4562">
        <v>0.43711169999999999</v>
      </c>
      <c r="N4562">
        <v>-1.477388E-2</v>
      </c>
      <c r="O4562">
        <v>-0.89928589999999997</v>
      </c>
      <c r="P4562">
        <v>0.2400571</v>
      </c>
      <c r="Q4562">
        <v>0.2079994</v>
      </c>
      <c r="R4562">
        <v>-0.94821359999999999</v>
      </c>
      <c r="S4562">
        <v>-0.31481930000000002</v>
      </c>
      <c r="T4562">
        <v>-1.9177199999999998E-2</v>
      </c>
      <c r="U4562">
        <v>-3.2644959999999998</v>
      </c>
      <c r="V4562">
        <v>0.20456479999999999</v>
      </c>
      <c r="W4562">
        <v>0.2166612</v>
      </c>
      <c r="X4562">
        <v>0.95457380000000003</v>
      </c>
      <c r="Y4562">
        <v>0.52138830000000003</v>
      </c>
      <c r="Z4562">
        <v>-1.0565150000000001E-2</v>
      </c>
      <c r="AA4562">
        <v>0.85325409999999902</v>
      </c>
      <c r="AB4562">
        <v>27</v>
      </c>
      <c r="AC4562">
        <v>-9.4798999999999793</v>
      </c>
      <c r="AD4562">
        <v>-0.57075450000000005</v>
      </c>
      <c r="AE4562">
        <v>-96.895160000000004</v>
      </c>
      <c r="AF4562">
        <v>50.882952388085798</v>
      </c>
      <c r="AG4562">
        <v>-0.57075450000000005</v>
      </c>
      <c r="AH4562">
        <v>82.998880738807401</v>
      </c>
      <c r="AI4562">
        <v>90.335900918147999</v>
      </c>
      <c r="AJ4562">
        <v>58.4893754127406</v>
      </c>
      <c r="AK4562">
        <v>97.356123630320496</v>
      </c>
      <c r="AL4562">
        <v>77.486995301142798</v>
      </c>
      <c r="AM4562">
        <v>77.904481314510605</v>
      </c>
      <c r="AN4562">
        <v>0.99999998631545906</v>
      </c>
    </row>
    <row r="4563" spans="1:40" x14ac:dyDescent="0.25">
      <c r="A4563" t="str">
        <f>"20190303170902826"</f>
        <v>20190303170902826</v>
      </c>
      <c r="B4563" t="str">
        <f>"1551604142817956"</f>
        <v>1551604142817956</v>
      </c>
      <c r="C4563" t="s">
        <v>40</v>
      </c>
      <c r="D4563">
        <v>5.0407289999999998</v>
      </c>
      <c r="E4563">
        <v>0.6280078</v>
      </c>
      <c r="F4563" t="s">
        <v>111</v>
      </c>
      <c r="G4563">
        <v>-312.30680000000001</v>
      </c>
      <c r="H4563">
        <v>0.47406939999999997</v>
      </c>
      <c r="I4563">
        <v>-91.564989999999995</v>
      </c>
      <c r="J4563">
        <v>-301.92250000000001</v>
      </c>
      <c r="K4563">
        <v>1.060149</v>
      </c>
      <c r="L4563">
        <v>4.8744509999999996</v>
      </c>
      <c r="M4563">
        <v>0.41216819999999998</v>
      </c>
      <c r="N4563">
        <v>-1.4751419999999999E-2</v>
      </c>
      <c r="O4563">
        <v>-0.91098849999999998</v>
      </c>
      <c r="P4563">
        <v>0.2136972</v>
      </c>
      <c r="Q4563">
        <v>0.2099288</v>
      </c>
      <c r="R4563">
        <v>-0.95407739999999996</v>
      </c>
      <c r="S4563">
        <v>-0.34259030000000001</v>
      </c>
      <c r="T4563">
        <v>-1.9683840000000001E-2</v>
      </c>
      <c r="U4563">
        <v>-3.254883</v>
      </c>
      <c r="V4563">
        <v>0.2045333</v>
      </c>
      <c r="W4563">
        <v>0.21861220000000001</v>
      </c>
      <c r="X4563">
        <v>0.95413570000000003</v>
      </c>
      <c r="Y4563">
        <v>0.50523359999999995</v>
      </c>
      <c r="Z4563">
        <v>-1.0282380000000001E-2</v>
      </c>
      <c r="AA4563">
        <v>0.86292139999999995</v>
      </c>
      <c r="AB4563">
        <v>27</v>
      </c>
      <c r="AC4563">
        <v>-10.3842999999999</v>
      </c>
      <c r="AD4563">
        <v>-0.58607959999999903</v>
      </c>
      <c r="AE4563">
        <v>-96.439441000000002</v>
      </c>
      <c r="AF4563">
        <v>49.212800126692002</v>
      </c>
      <c r="AG4563">
        <v>-0.58607959999999903</v>
      </c>
      <c r="AH4563">
        <v>83.581175091027404</v>
      </c>
      <c r="AI4563">
        <v>90.346203881571697</v>
      </c>
      <c r="AJ4563">
        <v>59.510319335696501</v>
      </c>
      <c r="AK4563">
        <v>96.995133976938504</v>
      </c>
      <c r="AL4563">
        <v>77.372466735776499</v>
      </c>
      <c r="AM4563">
        <v>77.900899655531305</v>
      </c>
      <c r="AN4563">
        <v>1.0000000494061001</v>
      </c>
    </row>
    <row r="4564" spans="1:40" x14ac:dyDescent="0.25">
      <c r="A4564" t="str">
        <f>"20190303170902856"</f>
        <v>20190303170902856</v>
      </c>
      <c r="B4564" t="str">
        <f>"1551604142848213"</f>
        <v>1551604142848213</v>
      </c>
      <c r="C4564" t="s">
        <v>40</v>
      </c>
      <c r="D4564">
        <v>5.0472939999999999</v>
      </c>
      <c r="E4564">
        <v>0.62472349999999999</v>
      </c>
      <c r="F4564" t="s">
        <v>46</v>
      </c>
      <c r="G4564">
        <v>-311.19150000000002</v>
      </c>
      <c r="H4564">
        <v>-0.05</v>
      </c>
      <c r="I4564">
        <v>-98.624799999999993</v>
      </c>
      <c r="J4564">
        <v>-301.80149999999998</v>
      </c>
      <c r="K4564">
        <v>1.060252</v>
      </c>
      <c r="L4564">
        <v>4.5561220000000002</v>
      </c>
      <c r="M4564">
        <v>0.39485179999999998</v>
      </c>
      <c r="N4564">
        <v>-1.4728979999999999E-2</v>
      </c>
      <c r="O4564">
        <v>-0.91862690000000002</v>
      </c>
      <c r="P4564">
        <v>0.19710459999999999</v>
      </c>
      <c r="Q4564">
        <v>0.2099888</v>
      </c>
      <c r="R4564">
        <v>-0.95762999999999998</v>
      </c>
      <c r="S4564">
        <v>-0.28805540000000002</v>
      </c>
      <c r="T4564">
        <v>-3.4500599999999999E-2</v>
      </c>
      <c r="U4564">
        <v>-3.2164920000000001</v>
      </c>
      <c r="V4564">
        <v>0.20297789999999999</v>
      </c>
      <c r="W4564">
        <v>0.21874070000000001</v>
      </c>
      <c r="X4564">
        <v>0.95443829999999996</v>
      </c>
      <c r="Y4564">
        <v>0.47517690000000001</v>
      </c>
      <c r="Z4564">
        <v>-6.2542769999999999E-3</v>
      </c>
      <c r="AA4564">
        <v>0.87986810000000004</v>
      </c>
      <c r="AB4564">
        <v>27</v>
      </c>
      <c r="AC4564">
        <v>-9.3900000000000396</v>
      </c>
      <c r="AD4564">
        <v>-1.110252</v>
      </c>
      <c r="AE4564">
        <v>-103.180922</v>
      </c>
      <c r="AF4564">
        <v>49.366759658638003</v>
      </c>
      <c r="AG4564">
        <v>-1.110252</v>
      </c>
      <c r="AH4564">
        <v>91.076522282913402</v>
      </c>
      <c r="AI4564">
        <v>90.614026391923801</v>
      </c>
      <c r="AJ4564">
        <v>61.540710167261402</v>
      </c>
      <c r="AK4564">
        <v>103.601363552065</v>
      </c>
      <c r="AL4564">
        <v>77.364920919867501</v>
      </c>
      <c r="AM4564">
        <v>77.993924759411499</v>
      </c>
      <c r="AN4564">
        <v>0.99999999511589499</v>
      </c>
    </row>
    <row r="4565" spans="1:40" x14ac:dyDescent="0.25">
      <c r="A4565" t="str">
        <f>"20190303170902897"</f>
        <v>20190303170902897</v>
      </c>
      <c r="B4565" t="str">
        <f>"1551604142888229"</f>
        <v>1551604142888229</v>
      </c>
      <c r="C4565" t="s">
        <v>40</v>
      </c>
      <c r="D4565">
        <v>5.0282739999999997</v>
      </c>
      <c r="E4565">
        <v>0.62139840000000002</v>
      </c>
      <c r="F4565" t="s">
        <v>46</v>
      </c>
      <c r="G4565">
        <v>-312.02870000000001</v>
      </c>
      <c r="H4565">
        <v>-0.05</v>
      </c>
      <c r="I4565">
        <v>-98.363309999999998</v>
      </c>
      <c r="J4565">
        <v>-301.63279999999997</v>
      </c>
      <c r="K4565">
        <v>1.060425</v>
      </c>
      <c r="L4565">
        <v>4.0805049999999996</v>
      </c>
      <c r="M4565">
        <v>0.36921080000000001</v>
      </c>
      <c r="N4565">
        <v>-1.46882E-2</v>
      </c>
      <c r="O4565">
        <v>-0.92922959999999999</v>
      </c>
      <c r="P4565">
        <v>0.172515</v>
      </c>
      <c r="Q4565">
        <v>0.2112677</v>
      </c>
      <c r="R4565">
        <v>-0.96208360000000004</v>
      </c>
      <c r="S4565">
        <v>-0.318573</v>
      </c>
      <c r="T4565">
        <v>-3.4583929999999999E-2</v>
      </c>
      <c r="U4565">
        <v>-3.205902</v>
      </c>
      <c r="V4565">
        <v>0.2007709</v>
      </c>
      <c r="W4565">
        <v>0.22012139999999999</v>
      </c>
      <c r="X4565">
        <v>0.95458759999999998</v>
      </c>
      <c r="Y4565">
        <v>0.45924730000000002</v>
      </c>
      <c r="Z4565">
        <v>-5.9580730000000004E-3</v>
      </c>
      <c r="AA4565">
        <v>0.88828850000000004</v>
      </c>
      <c r="AB4565">
        <v>27</v>
      </c>
      <c r="AC4565">
        <v>-10.395899999999999</v>
      </c>
      <c r="AD4565">
        <v>-1.110425</v>
      </c>
      <c r="AE4565">
        <v>-102.443815</v>
      </c>
      <c r="AF4565">
        <v>47.483141658236597</v>
      </c>
      <c r="AG4565">
        <v>-1.110425</v>
      </c>
      <c r="AH4565">
        <v>91.354778581019204</v>
      </c>
      <c r="AI4565">
        <v>90.617923965253397</v>
      </c>
      <c r="AJ4565">
        <v>62.536106223899203</v>
      </c>
      <c r="AK4565">
        <v>102.963961437989</v>
      </c>
      <c r="AL4565">
        <v>77.283835668797195</v>
      </c>
      <c r="AM4565">
        <v>78.122544741748797</v>
      </c>
      <c r="AN4565">
        <v>0.99999993554926203</v>
      </c>
    </row>
    <row r="4566" spans="1:40" x14ac:dyDescent="0.25">
      <c r="A4566" t="str">
        <f>"20190303170902938"</f>
        <v>20190303170902938</v>
      </c>
      <c r="B4566" t="str">
        <f>"1551604142928245"</f>
        <v>1551604142928245</v>
      </c>
      <c r="C4566" t="s">
        <v>40</v>
      </c>
      <c r="D4566">
        <v>5.0385669999999996</v>
      </c>
      <c r="E4566">
        <v>0.61040950000000005</v>
      </c>
      <c r="F4566" t="s">
        <v>46</v>
      </c>
      <c r="G4566">
        <v>-313.63920000000002</v>
      </c>
      <c r="H4566">
        <v>-0.05</v>
      </c>
      <c r="I4566">
        <v>-98.650180000000006</v>
      </c>
      <c r="J4566">
        <v>-301.47710000000001</v>
      </c>
      <c r="K4566">
        <v>1.060602</v>
      </c>
      <c r="L4566">
        <v>3.6008909999999998</v>
      </c>
      <c r="M4566">
        <v>0.34369159999999999</v>
      </c>
      <c r="N4566">
        <v>-1.4638969999999999E-2</v>
      </c>
      <c r="O4566">
        <v>-0.93896869999999999</v>
      </c>
      <c r="P4566">
        <v>0.1488679</v>
      </c>
      <c r="Q4566">
        <v>0.208847</v>
      </c>
      <c r="R4566">
        <v>-0.9665513</v>
      </c>
      <c r="S4566">
        <v>-0.37313839999999998</v>
      </c>
      <c r="T4566">
        <v>-3.4510369999999999E-2</v>
      </c>
      <c r="U4566">
        <v>-3.1927189999999999</v>
      </c>
      <c r="V4566">
        <v>0.19811480000000001</v>
      </c>
      <c r="W4566">
        <v>0.2178263</v>
      </c>
      <c r="X4566">
        <v>0.95566839999999997</v>
      </c>
      <c r="Y4566">
        <v>0.45032650000000002</v>
      </c>
      <c r="Z4566">
        <v>-5.7410849999999999E-3</v>
      </c>
      <c r="AA4566">
        <v>0.89284549999999996</v>
      </c>
      <c r="AB4566">
        <v>27</v>
      </c>
      <c r="AC4566">
        <v>-12.162100000000001</v>
      </c>
      <c r="AD4566">
        <v>-1.1106020000000001</v>
      </c>
      <c r="AE4566">
        <v>-102.251071</v>
      </c>
      <c r="AF4566">
        <v>46.562228831459002</v>
      </c>
      <c r="AG4566">
        <v>-1.1106020000000001</v>
      </c>
      <c r="AH4566">
        <v>91.829682565485399</v>
      </c>
      <c r="AI4566">
        <v>90.618011160550694</v>
      </c>
      <c r="AJ4566">
        <v>63.112718553008797</v>
      </c>
      <c r="AK4566">
        <v>102.96584477696101</v>
      </c>
      <c r="AL4566">
        <v>77.418605974831607</v>
      </c>
      <c r="AM4566">
        <v>78.288193091055305</v>
      </c>
      <c r="AN4566">
        <v>0.99999993085464201</v>
      </c>
    </row>
    <row r="4567" spans="1:40" x14ac:dyDescent="0.25">
      <c r="A4567" t="str">
        <f>"20190303170902982"</f>
        <v>20190303170902982</v>
      </c>
      <c r="B4567" t="str">
        <f>"1551604142968261"</f>
        <v>1551604142968261</v>
      </c>
      <c r="C4567" t="s">
        <v>40</v>
      </c>
      <c r="D4567">
        <v>5.0396260000000002</v>
      </c>
      <c r="E4567">
        <v>0.60872269999999995</v>
      </c>
      <c r="F4567" t="s">
        <v>59</v>
      </c>
      <c r="G4567">
        <v>-309.48160000000001</v>
      </c>
      <c r="H4567" s="1">
        <v>-7.2138049999999998E-6</v>
      </c>
      <c r="I4567">
        <v>-66.405940000000001</v>
      </c>
      <c r="J4567">
        <v>-301.3252</v>
      </c>
      <c r="K4567">
        <v>1.060818</v>
      </c>
      <c r="L4567">
        <v>3.0859380000000001</v>
      </c>
      <c r="M4567">
        <v>0.3167528</v>
      </c>
      <c r="N4567">
        <v>-1.457788E-2</v>
      </c>
      <c r="O4567">
        <v>-0.94839640000000003</v>
      </c>
      <c r="P4567">
        <v>0.1308444</v>
      </c>
      <c r="Q4567">
        <v>0.20762459999999999</v>
      </c>
      <c r="R4567">
        <v>-0.96941860000000002</v>
      </c>
      <c r="S4567">
        <v>-0.36245729999999998</v>
      </c>
      <c r="T4567">
        <v>-4.8025970000000001E-2</v>
      </c>
      <c r="U4567">
        <v>-3.170013</v>
      </c>
      <c r="V4567">
        <v>0.1885262</v>
      </c>
      <c r="W4567">
        <v>0.21692330000000001</v>
      </c>
      <c r="X4567">
        <v>0.95781110000000003</v>
      </c>
      <c r="Y4567">
        <v>0.42239070000000001</v>
      </c>
      <c r="Z4567">
        <v>-1.631347E-3</v>
      </c>
      <c r="AA4567">
        <v>0.90641240000000001</v>
      </c>
      <c r="AB4567">
        <v>27</v>
      </c>
      <c r="AC4567">
        <v>-8.1564000000000192</v>
      </c>
      <c r="AD4567">
        <v>-1.0608252138050001</v>
      </c>
      <c r="AE4567">
        <v>-69.491878</v>
      </c>
      <c r="AF4567">
        <v>29.7435629539359</v>
      </c>
      <c r="AG4567">
        <v>-1.0608252138050001</v>
      </c>
      <c r="AH4567">
        <v>63.314441538009099</v>
      </c>
      <c r="AI4567">
        <v>90.868816189999293</v>
      </c>
      <c r="AJ4567">
        <v>64.837019743332405</v>
      </c>
      <c r="AK4567">
        <v>69.960870453411005</v>
      </c>
      <c r="AL4567">
        <v>77.471612085743004</v>
      </c>
      <c r="AM4567">
        <v>78.864801567246403</v>
      </c>
      <c r="AN4567">
        <v>0.999999974726269</v>
      </c>
    </row>
    <row r="4568" spans="1:40" x14ac:dyDescent="0.25">
      <c r="A4568" t="str">
        <f>"20190303170903012"</f>
        <v>20190303170903012</v>
      </c>
      <c r="B4568" t="str">
        <f>"1551604142998518"</f>
        <v>1551604142998518</v>
      </c>
      <c r="C4568" t="s">
        <v>40</v>
      </c>
      <c r="D4568">
        <v>5.049798</v>
      </c>
      <c r="E4568">
        <v>0.60129619999999995</v>
      </c>
      <c r="F4568" t="s">
        <v>59</v>
      </c>
      <c r="G4568">
        <v>-309.84109999999998</v>
      </c>
      <c r="H4568" s="1">
        <v>-7.5557999999999997E-6</v>
      </c>
      <c r="I4568">
        <v>-62.243690000000001</v>
      </c>
      <c r="J4568">
        <v>-301.23070000000001</v>
      </c>
      <c r="K4568">
        <v>1.0609679999999999</v>
      </c>
      <c r="L4568">
        <v>2.7367249999999999</v>
      </c>
      <c r="M4568">
        <v>0.29875299999999999</v>
      </c>
      <c r="N4568">
        <v>-1.453347E-2</v>
      </c>
      <c r="O4568">
        <v>-0.95421999999999996</v>
      </c>
      <c r="P4568">
        <v>0.1155766</v>
      </c>
      <c r="Q4568">
        <v>0.20754020000000001</v>
      </c>
      <c r="R4568">
        <v>-0.97137530000000005</v>
      </c>
      <c r="S4568">
        <v>-0.41207890000000003</v>
      </c>
      <c r="T4568">
        <v>-5.1332589999999997E-2</v>
      </c>
      <c r="U4568">
        <v>-3.1612550000000001</v>
      </c>
      <c r="V4568">
        <v>0.18538460000000001</v>
      </c>
      <c r="W4568">
        <v>0.2169517</v>
      </c>
      <c r="X4568">
        <v>0.95841770000000004</v>
      </c>
      <c r="Y4568">
        <v>0.41953750000000001</v>
      </c>
      <c r="Z4568">
        <v>-5.1781730000000005E-4</v>
      </c>
      <c r="AA4568">
        <v>0.90773789999999999</v>
      </c>
      <c r="AB4568">
        <v>27</v>
      </c>
      <c r="AC4568">
        <v>-8.6103999999999701</v>
      </c>
      <c r="AD4568">
        <v>-1.0609755558</v>
      </c>
      <c r="AE4568">
        <v>-64.980414999999994</v>
      </c>
      <c r="AF4568">
        <v>27.6249854060936</v>
      </c>
      <c r="AG4568">
        <v>-1.0609755558</v>
      </c>
      <c r="AH4568">
        <v>59.4239265718967</v>
      </c>
      <c r="AI4568">
        <v>90.927559354644998</v>
      </c>
      <c r="AJ4568">
        <v>65.067233341017001</v>
      </c>
      <c r="AK4568">
        <v>65.5398240540747</v>
      </c>
      <c r="AL4568">
        <v>77.469945369243106</v>
      </c>
      <c r="AM4568">
        <v>79.052598727890199</v>
      </c>
      <c r="AN4568">
        <v>0.99999998886166996</v>
      </c>
    </row>
    <row r="4569" spans="1:40" x14ac:dyDescent="0.25">
      <c r="A4569" t="str">
        <f>"20190303170903049"</f>
        <v>20190303170903049</v>
      </c>
      <c r="B4569" t="str">
        <f>"1551604143038533"</f>
        <v>1551604143038533</v>
      </c>
      <c r="C4569" t="s">
        <v>40</v>
      </c>
      <c r="D4569">
        <v>5.0728049999999998</v>
      </c>
      <c r="E4569">
        <v>0.59957159999999998</v>
      </c>
      <c r="F4569" t="s">
        <v>59</v>
      </c>
      <c r="G4569">
        <v>-308.43270000000001</v>
      </c>
      <c r="H4569" s="1">
        <v>-7.6944629999999994E-6</v>
      </c>
      <c r="I4569">
        <v>-53.869759999999999</v>
      </c>
      <c r="J4569">
        <v>-301.12189999999998</v>
      </c>
      <c r="K4569">
        <v>1.061129</v>
      </c>
      <c r="L4569">
        <v>2.2989809999999999</v>
      </c>
      <c r="M4569">
        <v>0.27643849999999998</v>
      </c>
      <c r="N4569">
        <v>-1.448197E-2</v>
      </c>
      <c r="O4569">
        <v>-0.96092250000000001</v>
      </c>
      <c r="P4569">
        <v>9.8554530000000001E-2</v>
      </c>
      <c r="Q4569">
        <v>0.20710210000000001</v>
      </c>
      <c r="R4569">
        <v>-0.9733425</v>
      </c>
      <c r="S4569">
        <v>-0.40060420000000002</v>
      </c>
      <c r="T4569">
        <v>-5.9015749999999999E-2</v>
      </c>
      <c r="U4569">
        <v>-3.148682</v>
      </c>
      <c r="V4569">
        <v>0.1797395</v>
      </c>
      <c r="W4569">
        <v>0.2166892</v>
      </c>
      <c r="X4569">
        <v>0.95955179999999995</v>
      </c>
      <c r="Y4569">
        <v>0.39545209999999997</v>
      </c>
      <c r="Z4569">
        <v>2.0638380000000001E-3</v>
      </c>
      <c r="AA4569">
        <v>0.91848430000000003</v>
      </c>
      <c r="AB4569">
        <v>26</v>
      </c>
      <c r="AC4569">
        <v>-7.3108000000000199</v>
      </c>
      <c r="AD4569">
        <v>-1.0611366944630001</v>
      </c>
      <c r="AE4569">
        <v>-56.168740999999997</v>
      </c>
      <c r="AF4569">
        <v>22.546766746065199</v>
      </c>
      <c r="AG4569">
        <v>-1.0611366944630001</v>
      </c>
      <c r="AH4569">
        <v>51.940039798739399</v>
      </c>
      <c r="AI4569">
        <v>91.073625812289293</v>
      </c>
      <c r="AJ4569">
        <v>66.534710715672801</v>
      </c>
      <c r="AK4569">
        <v>56.632591641919802</v>
      </c>
      <c r="AL4569">
        <v>77.485353134322395</v>
      </c>
      <c r="AM4569">
        <v>79.390523959982303</v>
      </c>
      <c r="AN4569">
        <v>1.0000000770700599</v>
      </c>
    </row>
    <row r="4570" spans="1:40" x14ac:dyDescent="0.25">
      <c r="A4570" t="str">
        <f>"20190303170903078"</f>
        <v>20190303170903078</v>
      </c>
      <c r="B4570" t="str">
        <f>"1551604143067813"</f>
        <v>1551604143067813</v>
      </c>
      <c r="C4570" t="s">
        <v>40</v>
      </c>
      <c r="D4570">
        <v>5.0852120000000003</v>
      </c>
      <c r="E4570">
        <v>0.59437150000000005</v>
      </c>
      <c r="F4570" t="s">
        <v>59</v>
      </c>
      <c r="G4570">
        <v>-309.7878</v>
      </c>
      <c r="H4570" s="1">
        <v>-9.965271E-6</v>
      </c>
      <c r="I4570">
        <v>-58.792540000000002</v>
      </c>
      <c r="J4570">
        <v>-301.04329999999999</v>
      </c>
      <c r="K4570">
        <v>1.0612220000000001</v>
      </c>
      <c r="L4570">
        <v>1.9507140000000001</v>
      </c>
      <c r="M4570">
        <v>0.25882539999999998</v>
      </c>
      <c r="N4570">
        <v>-1.444847E-2</v>
      </c>
      <c r="O4570">
        <v>-0.96581600000000001</v>
      </c>
      <c r="P4570">
        <v>8.4186979999999995E-2</v>
      </c>
      <c r="Q4570">
        <v>0.206037</v>
      </c>
      <c r="R4570">
        <v>-0.97491620000000001</v>
      </c>
      <c r="S4570">
        <v>-0.44525150000000002</v>
      </c>
      <c r="T4570">
        <v>-5.4520850000000003E-2</v>
      </c>
      <c r="U4570">
        <v>-3.138855</v>
      </c>
      <c r="V4570">
        <v>0.17632709999999999</v>
      </c>
      <c r="W4570">
        <v>0.2157222</v>
      </c>
      <c r="X4570">
        <v>0.96040239999999999</v>
      </c>
      <c r="Y4570">
        <v>0.39185439999999999</v>
      </c>
      <c r="Z4570">
        <v>9.8165790000000002E-4</v>
      </c>
      <c r="AA4570">
        <v>0.92002669999999998</v>
      </c>
      <c r="AB4570">
        <v>26</v>
      </c>
      <c r="AC4570">
        <v>-8.7445000000000093</v>
      </c>
      <c r="AD4570">
        <v>-1.0612319652709901</v>
      </c>
      <c r="AE4570">
        <v>-60.743254</v>
      </c>
      <c r="AF4570">
        <v>24.162773890409198</v>
      </c>
      <c r="AG4570">
        <v>-1.0612319652709901</v>
      </c>
      <c r="AH4570">
        <v>56.392536102099598</v>
      </c>
      <c r="AI4570">
        <v>90.990985442350294</v>
      </c>
      <c r="AJ4570">
        <v>66.806092744854098</v>
      </c>
      <c r="AK4570">
        <v>61.360280176917101</v>
      </c>
      <c r="AL4570">
        <v>77.542099899763798</v>
      </c>
      <c r="AM4570">
        <v>79.596521328273198</v>
      </c>
      <c r="AN4570">
        <v>1.0000000418465</v>
      </c>
    </row>
    <row r="4571" spans="1:40" x14ac:dyDescent="0.25">
      <c r="A4571" t="str">
        <f>"20190303170903117"</f>
        <v>20190303170903117</v>
      </c>
      <c r="B4571" t="str">
        <f>"1551604143107829"</f>
        <v>1551604143107829</v>
      </c>
      <c r="C4571" t="s">
        <v>40</v>
      </c>
      <c r="D4571">
        <v>5.1362690000000004</v>
      </c>
      <c r="E4571">
        <v>0.56800830000000002</v>
      </c>
      <c r="F4571" t="s">
        <v>59</v>
      </c>
      <c r="G4571">
        <v>-308.27339999999998</v>
      </c>
      <c r="H4571" s="1">
        <v>-5.2889149999999997E-6</v>
      </c>
      <c r="I4571">
        <v>-48.133290000000002</v>
      </c>
      <c r="J4571">
        <v>-300.94920000000002</v>
      </c>
      <c r="K4571">
        <v>1.061293</v>
      </c>
      <c r="L4571">
        <v>1.491028</v>
      </c>
      <c r="M4571">
        <v>0.235652</v>
      </c>
      <c r="N4571">
        <v>-1.4412899999999999E-2</v>
      </c>
      <c r="O4571">
        <v>-0.97173080000000001</v>
      </c>
      <c r="P4571">
        <v>6.5976980000000005E-2</v>
      </c>
      <c r="Q4571">
        <v>0.2072736</v>
      </c>
      <c r="R4571">
        <v>-0.97605569999999997</v>
      </c>
      <c r="S4571">
        <v>-0.45187379999999999</v>
      </c>
      <c r="T4571">
        <v>-6.6326019999999999E-2</v>
      </c>
      <c r="U4571">
        <v>-3.1302189999999999</v>
      </c>
      <c r="V4571">
        <v>0.17119500000000001</v>
      </c>
      <c r="W4571">
        <v>0.21708620000000001</v>
      </c>
      <c r="X4571">
        <v>0.96102330000000002</v>
      </c>
      <c r="Y4571">
        <v>0.37201309999999999</v>
      </c>
      <c r="Z4571">
        <v>4.7619259999999997E-3</v>
      </c>
      <c r="AA4571">
        <v>0.92821529999999997</v>
      </c>
      <c r="AB4571">
        <v>26</v>
      </c>
      <c r="AC4571">
        <v>-7.3241999999999603</v>
      </c>
      <c r="AD4571">
        <v>-1.061298288915</v>
      </c>
      <c r="AE4571">
        <v>-49.624318000000002</v>
      </c>
      <c r="AF4571">
        <v>18.804753696864399</v>
      </c>
      <c r="AG4571">
        <v>-1.061298288915</v>
      </c>
      <c r="AH4571">
        <v>46.479531888599404</v>
      </c>
      <c r="AI4571">
        <v>91.212594459184999</v>
      </c>
      <c r="AJ4571">
        <v>67.972660325643602</v>
      </c>
      <c r="AK4571">
        <v>50.150692918853203</v>
      </c>
      <c r="AL4571">
        <v>77.462050634125802</v>
      </c>
      <c r="AM4571">
        <v>79.899382988125097</v>
      </c>
      <c r="AN4571">
        <v>0.99999996469916397</v>
      </c>
    </row>
    <row r="4572" spans="1:40" x14ac:dyDescent="0.25">
      <c r="A4572" t="str">
        <f>"20190303170903160"</f>
        <v>20190303170903160</v>
      </c>
      <c r="B4572" t="str">
        <f>"1551604143147845"</f>
        <v>1551604143147845</v>
      </c>
      <c r="C4572" t="s">
        <v>40</v>
      </c>
      <c r="D4572">
        <v>5.0964159999999996</v>
      </c>
      <c r="E4572">
        <v>0.55771769999999998</v>
      </c>
      <c r="F4572" t="s">
        <v>43</v>
      </c>
      <c r="G4572">
        <v>-304.1549</v>
      </c>
      <c r="H4572" s="1">
        <v>-4.365999E-6</v>
      </c>
      <c r="I4572">
        <v>-32.349240000000002</v>
      </c>
      <c r="J4572">
        <v>-300.85759999999999</v>
      </c>
      <c r="K4572">
        <v>1.061572</v>
      </c>
      <c r="L4572">
        <v>0.97891240000000002</v>
      </c>
      <c r="M4572">
        <v>0.20953640000000001</v>
      </c>
      <c r="N4572">
        <v>-1.4610049999999999E-2</v>
      </c>
      <c r="O4572">
        <v>-0.97769189999999995</v>
      </c>
      <c r="P4572">
        <v>4.2997420000000001E-2</v>
      </c>
      <c r="Q4572">
        <v>0.20633470000000001</v>
      </c>
      <c r="R4572">
        <v>-0.97753670000000004</v>
      </c>
      <c r="S4572">
        <v>-0.29501339999999998</v>
      </c>
      <c r="T4572">
        <v>-9.7670199999999999E-2</v>
      </c>
      <c r="U4572">
        <v>-3.1142880000000002</v>
      </c>
      <c r="V4572">
        <v>0.16796759999999999</v>
      </c>
      <c r="W4572">
        <v>0.2165029</v>
      </c>
      <c r="X4572">
        <v>0.96172420000000003</v>
      </c>
      <c r="Y4572">
        <v>0.30072379999999999</v>
      </c>
      <c r="Z4572">
        <v>1.4754639999999999E-2</v>
      </c>
      <c r="AA4572">
        <v>0.95359709999999998</v>
      </c>
      <c r="AB4572">
        <v>26</v>
      </c>
      <c r="AC4572">
        <v>-3.2972999999999999</v>
      </c>
      <c r="AD4572">
        <v>-1.0615763659989901</v>
      </c>
      <c r="AE4572">
        <v>-33.3281524</v>
      </c>
      <c r="AF4572">
        <v>10.1980457564076</v>
      </c>
      <c r="AG4572">
        <v>-1.0615763659989901</v>
      </c>
      <c r="AH4572">
        <v>31.865142333891001</v>
      </c>
      <c r="AI4572">
        <v>91.817347515274903</v>
      </c>
      <c r="AJ4572">
        <v>72.253370793230104</v>
      </c>
      <c r="AK4572">
        <v>33.474085164344103</v>
      </c>
      <c r="AL4572">
        <v>77.496286274498303</v>
      </c>
      <c r="AM4572">
        <v>80.0930705730933</v>
      </c>
      <c r="AN4572">
        <v>1.0000000286119</v>
      </c>
    </row>
    <row r="4573" spans="1:40" x14ac:dyDescent="0.25">
      <c r="A4573" t="str">
        <f>"20190303170903194"</f>
        <v>20190303170903194</v>
      </c>
      <c r="B4573" t="str">
        <f>"1551604143187861"</f>
        <v>1551604143187861</v>
      </c>
      <c r="C4573" t="s">
        <v>40</v>
      </c>
      <c r="D4573">
        <v>5.0481099999999897</v>
      </c>
      <c r="E4573">
        <v>0.55472580000000005</v>
      </c>
      <c r="F4573" t="s">
        <v>43</v>
      </c>
      <c r="G4573">
        <v>-303.81509999999997</v>
      </c>
      <c r="H4573" s="1">
        <v>-4.8698009999999998E-6</v>
      </c>
      <c r="I4573">
        <v>-30.691680000000002</v>
      </c>
      <c r="J4573">
        <v>-300.79570000000001</v>
      </c>
      <c r="K4573">
        <v>1.062648</v>
      </c>
      <c r="L4573">
        <v>0.58792109999999997</v>
      </c>
      <c r="M4573">
        <v>0.1902499</v>
      </c>
      <c r="N4573">
        <v>-1.588326E-2</v>
      </c>
      <c r="O4573">
        <v>-0.98160740000000002</v>
      </c>
      <c r="P4573">
        <v>2.545538E-2</v>
      </c>
      <c r="Q4573">
        <v>0.20407330000000001</v>
      </c>
      <c r="R4573">
        <v>-0.97862479999999996</v>
      </c>
      <c r="S4573">
        <v>-0.28982540000000001</v>
      </c>
      <c r="T4573">
        <v>-0.10403179999999999</v>
      </c>
      <c r="U4573">
        <v>-3.1036380000000001</v>
      </c>
      <c r="V4573">
        <v>0.16611860000000001</v>
      </c>
      <c r="W4573">
        <v>0.2156961</v>
      </c>
      <c r="X4573">
        <v>0.96222649999999998</v>
      </c>
      <c r="Y4573">
        <v>0.28060499999999999</v>
      </c>
      <c r="Z4573">
        <v>1.5816650000000002E-2</v>
      </c>
      <c r="AA4573">
        <v>0.95969300000000002</v>
      </c>
      <c r="AB4573">
        <v>26</v>
      </c>
      <c r="AC4573">
        <v>-3.0193999999999601</v>
      </c>
      <c r="AD4573">
        <v>-1.062652869801</v>
      </c>
      <c r="AE4573">
        <v>-31.279601100000001</v>
      </c>
      <c r="AF4573">
        <v>8.9057457097116703</v>
      </c>
      <c r="AG4573">
        <v>-1.062652869801</v>
      </c>
      <c r="AH4573">
        <v>30.099224580411502</v>
      </c>
      <c r="AI4573">
        <v>91.938962225760406</v>
      </c>
      <c r="AJ4573">
        <v>73.517590626901196</v>
      </c>
      <c r="AK4573">
        <v>31.407082929011299</v>
      </c>
      <c r="AL4573">
        <v>77.543631060344495</v>
      </c>
      <c r="AM4573">
        <v>80.205017477847605</v>
      </c>
      <c r="AN4573">
        <v>1.0000000170617001</v>
      </c>
    </row>
    <row r="4574" spans="1:40" x14ac:dyDescent="0.25">
      <c r="A4574" t="str">
        <f>"20190303170903227"</f>
        <v>20190303170903227</v>
      </c>
      <c r="B4574" t="str">
        <f>"1551604143218118"</f>
        <v>1551604143218118</v>
      </c>
      <c r="C4574" t="s">
        <v>40</v>
      </c>
      <c r="D4574">
        <v>5.0395699999999897</v>
      </c>
      <c r="E4574">
        <v>0.552840199999999</v>
      </c>
      <c r="F4574" t="s">
        <v>43</v>
      </c>
      <c r="G4574">
        <v>-303.84480000000002</v>
      </c>
      <c r="H4574" s="1">
        <v>-1.819579E-6</v>
      </c>
      <c r="I4574">
        <v>-28.55406</v>
      </c>
      <c r="J4574">
        <v>-300.74119999999999</v>
      </c>
      <c r="K4574">
        <v>1.0630580000000001</v>
      </c>
      <c r="L4574">
        <v>0.19592290000000001</v>
      </c>
      <c r="M4574">
        <v>0.17233619999999999</v>
      </c>
      <c r="N4574">
        <v>-1.543132E-2</v>
      </c>
      <c r="O4574">
        <v>-0.9849173</v>
      </c>
      <c r="P4574">
        <v>1.283865E-2</v>
      </c>
      <c r="Q4574">
        <v>0.20524600000000001</v>
      </c>
      <c r="R4574">
        <v>-0.97862629999999995</v>
      </c>
      <c r="S4574">
        <v>-0.32409670000000002</v>
      </c>
      <c r="T4574">
        <v>-0.1129491</v>
      </c>
      <c r="U4574">
        <v>-3.0975039999999998</v>
      </c>
      <c r="V4574">
        <v>0.16126460000000001</v>
      </c>
      <c r="W4574">
        <v>0.2163233</v>
      </c>
      <c r="X4574">
        <v>0.96291119999999997</v>
      </c>
      <c r="Y4574">
        <v>0.27379609999999999</v>
      </c>
      <c r="Z4574">
        <v>1.9263189999999999E-2</v>
      </c>
      <c r="AA4574">
        <v>0.96159479999999997</v>
      </c>
      <c r="AB4574">
        <v>26</v>
      </c>
      <c r="AC4574">
        <v>-3.1036000000000201</v>
      </c>
      <c r="AD4574">
        <v>-1.063059819579</v>
      </c>
      <c r="AE4574">
        <v>-28.749982899999999</v>
      </c>
      <c r="AF4574">
        <v>8.0015922922723508</v>
      </c>
      <c r="AG4574">
        <v>-1.063059819579</v>
      </c>
      <c r="AH4574">
        <v>27.747301702880598</v>
      </c>
      <c r="AI4574">
        <v>92.108226817931694</v>
      </c>
      <c r="AJ4574">
        <v>73.913829476872806</v>
      </c>
      <c r="AK4574">
        <v>28.897548809240401</v>
      </c>
      <c r="AL4574">
        <v>77.506826143162101</v>
      </c>
      <c r="AM4574">
        <v>80.492560764137593</v>
      </c>
      <c r="AN4574">
        <v>1.00000001021074</v>
      </c>
    </row>
    <row r="4575" spans="1:40" x14ac:dyDescent="0.25">
      <c r="A4575" t="str">
        <f>"20190303170903273"</f>
        <v>20190303170903273</v>
      </c>
      <c r="B4575" t="str">
        <f>"1551604143267893"</f>
        <v>1551604143267893</v>
      </c>
      <c r="C4575" t="s">
        <v>40</v>
      </c>
      <c r="D4575">
        <v>5.0879669999999999</v>
      </c>
      <c r="E4575">
        <v>0.54064840000000003</v>
      </c>
      <c r="F4575" t="s">
        <v>43</v>
      </c>
      <c r="G4575">
        <v>-304.01659999999998</v>
      </c>
      <c r="H4575" s="1">
        <v>-1.7339339999999999E-6</v>
      </c>
      <c r="I4575">
        <v>-28.860230000000001</v>
      </c>
      <c r="J4575">
        <v>-300.68299999999999</v>
      </c>
      <c r="K4575">
        <v>1.0645639999999901</v>
      </c>
      <c r="L4575">
        <v>-0.33843990000000002</v>
      </c>
      <c r="M4575">
        <v>0.1471336</v>
      </c>
      <c r="N4575">
        <v>-1.1297710000000001E-2</v>
      </c>
      <c r="O4575">
        <v>-0.98905220000000005</v>
      </c>
      <c r="P4575">
        <v>-2.4387530000000001E-3</v>
      </c>
      <c r="Q4575">
        <v>0.2090176</v>
      </c>
      <c r="R4575">
        <v>-0.97790889999999997</v>
      </c>
      <c r="S4575">
        <v>-0.34875489999999998</v>
      </c>
      <c r="T4575">
        <v>-0.1131924</v>
      </c>
      <c r="U4575">
        <v>-3.093842</v>
      </c>
      <c r="V4575">
        <v>0.15180150000000001</v>
      </c>
      <c r="W4575">
        <v>0.216171</v>
      </c>
      <c r="X4575">
        <v>0.96448239999999996</v>
      </c>
      <c r="Y4575">
        <v>0.25691079999999999</v>
      </c>
      <c r="Z4575">
        <v>2.3851669999999998E-2</v>
      </c>
      <c r="AA4575">
        <v>0.96614069999999996</v>
      </c>
      <c r="AB4575">
        <v>26</v>
      </c>
      <c r="AC4575">
        <v>-3.3335999999999899</v>
      </c>
      <c r="AD4575">
        <v>-1.06456573393399</v>
      </c>
      <c r="AE4575">
        <v>-28.5217901</v>
      </c>
      <c r="AF4575">
        <v>7.4838102352673399</v>
      </c>
      <c r="AG4575">
        <v>-1.06456573393399</v>
      </c>
      <c r="AH4575">
        <v>27.682775286237501</v>
      </c>
      <c r="AI4575">
        <v>92.126028620979397</v>
      </c>
      <c r="AJ4575">
        <v>74.872175451480601</v>
      </c>
      <c r="AK4575">
        <v>28.6962848359798</v>
      </c>
      <c r="AL4575">
        <v>77.515762980808503</v>
      </c>
      <c r="AM4575">
        <v>81.055497800782206</v>
      </c>
      <c r="AN4575">
        <v>0.99999994827650296</v>
      </c>
    </row>
    <row r="4576" spans="1:40" x14ac:dyDescent="0.25">
      <c r="A4576" t="str">
        <f>"20190303170903318"</f>
        <v>20190303170903318</v>
      </c>
      <c r="B4576" t="str">
        <f>"1551604143307910"</f>
        <v>1551604143307910</v>
      </c>
      <c r="C4576" t="s">
        <v>40</v>
      </c>
      <c r="D4576">
        <v>5.0551599999999999</v>
      </c>
      <c r="E4576">
        <v>0.53891869999999997</v>
      </c>
      <c r="F4576" t="s">
        <v>43</v>
      </c>
      <c r="G4576">
        <v>-303.19310000000002</v>
      </c>
      <c r="H4576" s="1">
        <v>-2.686206E-6</v>
      </c>
      <c r="I4576">
        <v>-26.12968</v>
      </c>
      <c r="J4576">
        <v>-300.6397</v>
      </c>
      <c r="K4576">
        <v>1.068516</v>
      </c>
      <c r="L4576">
        <v>-0.87078860000000002</v>
      </c>
      <c r="M4576">
        <v>0.11984599999999999</v>
      </c>
      <c r="N4576">
        <v>-7.8028719999999998E-3</v>
      </c>
      <c r="O4576">
        <v>-0.99276189999999997</v>
      </c>
      <c r="P4576">
        <v>-2.394599E-2</v>
      </c>
      <c r="Q4576">
        <v>0.21104539999999999</v>
      </c>
      <c r="R4576">
        <v>-0.97718300000000002</v>
      </c>
      <c r="S4576">
        <v>-0.30114750000000001</v>
      </c>
      <c r="T4576">
        <v>-0.12772240000000001</v>
      </c>
      <c r="U4576">
        <v>-3.0943299999999998</v>
      </c>
      <c r="V4576">
        <v>0.14591479999999901</v>
      </c>
      <c r="W4576">
        <v>0.2152636</v>
      </c>
      <c r="X4576">
        <v>0.96559329999999999</v>
      </c>
      <c r="Y4576">
        <v>0.2153592</v>
      </c>
      <c r="Z4576">
        <v>3.2372610000000003E-2</v>
      </c>
      <c r="AA4576">
        <v>0.97599820000000004</v>
      </c>
      <c r="AB4576">
        <v>26</v>
      </c>
      <c r="AC4576">
        <v>-2.5534000000000101</v>
      </c>
      <c r="AD4576">
        <v>-1.0685186862060001</v>
      </c>
      <c r="AE4576">
        <v>-25.2588914</v>
      </c>
      <c r="AF4576">
        <v>5.5524286287930602</v>
      </c>
      <c r="AG4576">
        <v>-1.0685186862060001</v>
      </c>
      <c r="AH4576">
        <v>24.7270008576983</v>
      </c>
      <c r="AI4576">
        <v>92.414316393929397</v>
      </c>
      <c r="AJ4576">
        <v>77.344202423468602</v>
      </c>
      <c r="AK4576">
        <v>25.365247234695399</v>
      </c>
      <c r="AL4576">
        <v>77.569007202046706</v>
      </c>
      <c r="AM4576">
        <v>81.406813855727904</v>
      </c>
      <c r="AN4576">
        <v>0.99999998367444398</v>
      </c>
    </row>
    <row r="4577" spans="1:40" x14ac:dyDescent="0.25">
      <c r="A4577" t="str">
        <f>"20190303170903362"</f>
        <v>20190303170903362</v>
      </c>
      <c r="B4577" t="str">
        <f>"1551604143347926"</f>
        <v>1551604143347926</v>
      </c>
      <c r="C4577" t="s">
        <v>40</v>
      </c>
      <c r="D4577">
        <v>5.0601940000000001</v>
      </c>
      <c r="E4577">
        <v>0.53706869999999995</v>
      </c>
      <c r="F4577" t="s">
        <v>43</v>
      </c>
      <c r="G4577">
        <v>-303.66250000000002</v>
      </c>
      <c r="H4577" s="1">
        <v>-2.224307E-6</v>
      </c>
      <c r="I4577">
        <v>-27.497530000000001</v>
      </c>
      <c r="J4577">
        <v>-300.6096</v>
      </c>
      <c r="K4577">
        <v>1.072414</v>
      </c>
      <c r="L4577">
        <v>-1.3948969999999901</v>
      </c>
      <c r="M4577">
        <v>9.2186959999999998E-2</v>
      </c>
      <c r="N4577">
        <v>-4.7004200000000003E-3</v>
      </c>
      <c r="O4577">
        <v>-0.99573080000000003</v>
      </c>
      <c r="P4577">
        <v>-4.1114879999999999E-2</v>
      </c>
      <c r="Q4577">
        <v>0.21246429999999999</v>
      </c>
      <c r="R4577">
        <v>-0.9763039</v>
      </c>
      <c r="S4577">
        <v>-0.35058590000000001</v>
      </c>
      <c r="T4577">
        <v>-0.123929</v>
      </c>
      <c r="U4577">
        <v>-3.0882260000000001</v>
      </c>
      <c r="V4577">
        <v>0.13557829999999901</v>
      </c>
      <c r="W4577">
        <v>0.21414859999999999</v>
      </c>
      <c r="X4577">
        <v>0.96734629999999999</v>
      </c>
      <c r="Y4577">
        <v>0.20382829999999999</v>
      </c>
      <c r="Z4577">
        <v>3.4572100000000001E-2</v>
      </c>
      <c r="AA4577">
        <v>0.97839600000000004</v>
      </c>
      <c r="AB4577">
        <v>26</v>
      </c>
      <c r="AC4577">
        <v>-3.0529000000000202</v>
      </c>
      <c r="AD4577">
        <v>-1.0724162243069999</v>
      </c>
      <c r="AE4577">
        <v>-26.102633000000001</v>
      </c>
      <c r="AF4577">
        <v>5.4371943068487303</v>
      </c>
      <c r="AG4577">
        <v>-1.0724162243069999</v>
      </c>
      <c r="AH4577">
        <v>25.667297196497401</v>
      </c>
      <c r="AI4577">
        <v>92.340627679099796</v>
      </c>
      <c r="AJ4577">
        <v>78.039641433327901</v>
      </c>
      <c r="AK4577">
        <v>26.258775749488098</v>
      </c>
      <c r="AL4577">
        <v>77.634417422250607</v>
      </c>
      <c r="AM4577">
        <v>82.0216866737413</v>
      </c>
      <c r="AN4577">
        <v>0.99999998121826905</v>
      </c>
    </row>
    <row r="4578" spans="1:40" x14ac:dyDescent="0.25">
      <c r="A4578" t="str">
        <f>"20190303170903395"</f>
        <v>20190303170903395</v>
      </c>
      <c r="B4578" t="str">
        <f>"1551604143387942"</f>
        <v>1551604143387942</v>
      </c>
      <c r="C4578" t="s">
        <v>40</v>
      </c>
      <c r="D4578">
        <v>5.0848000000000004</v>
      </c>
      <c r="E4578">
        <v>0.52797249999999996</v>
      </c>
      <c r="F4578" t="s">
        <v>43</v>
      </c>
      <c r="G4578">
        <v>-304.13330000000002</v>
      </c>
      <c r="H4578" s="1">
        <v>-1.6970279999999999E-6</v>
      </c>
      <c r="I4578">
        <v>-29.01867</v>
      </c>
      <c r="J4578">
        <v>-300.59449999999998</v>
      </c>
      <c r="K4578">
        <v>1.0753029999999999</v>
      </c>
      <c r="L4578">
        <v>-1.7903439999999999</v>
      </c>
      <c r="M4578">
        <v>7.0763199999999998E-2</v>
      </c>
      <c r="N4578">
        <v>-3.222272E-3</v>
      </c>
      <c r="O4578">
        <v>-0.99748809999999999</v>
      </c>
      <c r="P4578">
        <v>-5.8995190000000003E-2</v>
      </c>
      <c r="Q4578">
        <v>0.21376419999999999</v>
      </c>
      <c r="R4578">
        <v>-0.97510260000000004</v>
      </c>
      <c r="S4578">
        <v>-0.3931885</v>
      </c>
      <c r="T4578">
        <v>-0.1196619</v>
      </c>
      <c r="U4578">
        <v>-3.082306</v>
      </c>
      <c r="V4578">
        <v>0.1322535</v>
      </c>
      <c r="W4578">
        <v>0.21422640000000001</v>
      </c>
      <c r="X4578">
        <v>0.96778929999999996</v>
      </c>
      <c r="Y4578">
        <v>0.19632440000000001</v>
      </c>
      <c r="Z4578">
        <v>3.4880630000000003E-2</v>
      </c>
      <c r="AA4578">
        <v>0.97991839999999997</v>
      </c>
      <c r="AB4578">
        <v>26</v>
      </c>
      <c r="AC4578">
        <v>-3.5388000000000299</v>
      </c>
      <c r="AD4578">
        <v>-1.075304697028</v>
      </c>
      <c r="AE4578">
        <v>-27.228325999999999</v>
      </c>
      <c r="AF4578">
        <v>5.4483455679985804</v>
      </c>
      <c r="AG4578">
        <v>-1.075304697028</v>
      </c>
      <c r="AH4578">
        <v>26.868440999956299</v>
      </c>
      <c r="AI4578">
        <v>92.246150867778596</v>
      </c>
      <c r="AJ4578">
        <v>78.537069275676402</v>
      </c>
      <c r="AK4578">
        <v>27.4363603888692</v>
      </c>
      <c r="AL4578">
        <v>77.629854565650106</v>
      </c>
      <c r="AM4578">
        <v>82.218430755697995</v>
      </c>
      <c r="AN4578">
        <v>1.00000003395684</v>
      </c>
    </row>
    <row r="4579" spans="1:40" x14ac:dyDescent="0.25">
      <c r="A4579" t="str">
        <f>"20190303170903428"</f>
        <v>20190303170903428</v>
      </c>
      <c r="B4579" t="str">
        <f>"1551604143418184"</f>
        <v>1551604143418184</v>
      </c>
      <c r="C4579" t="s">
        <v>40</v>
      </c>
      <c r="D4579">
        <v>5.0759420000000004</v>
      </c>
      <c r="E4579">
        <v>0.52724859999999996</v>
      </c>
      <c r="F4579" t="s">
        <v>43</v>
      </c>
      <c r="G4579">
        <v>-303.87830000000002</v>
      </c>
      <c r="H4579" s="1">
        <v>-1.7158179999999901E-6</v>
      </c>
      <c r="I4579">
        <v>-28.81672</v>
      </c>
      <c r="J4579">
        <v>-300.58539999999999</v>
      </c>
      <c r="K4579">
        <v>1.078443</v>
      </c>
      <c r="L4579">
        <v>-2.1866460000000001</v>
      </c>
      <c r="M4579">
        <v>4.9687330000000002E-2</v>
      </c>
      <c r="N4579">
        <v>-3.5240520000000002E-3</v>
      </c>
      <c r="O4579">
        <v>-0.9987587</v>
      </c>
      <c r="P4579">
        <v>-7.4312840000000005E-2</v>
      </c>
      <c r="Q4579">
        <v>0.2099153</v>
      </c>
      <c r="R4579">
        <v>-0.97489150000000002</v>
      </c>
      <c r="S4579">
        <v>-0.37432860000000001</v>
      </c>
      <c r="T4579">
        <v>-0.12257700000000001</v>
      </c>
      <c r="U4579">
        <v>-3.0808110000000002</v>
      </c>
      <c r="V4579">
        <v>0.1270184</v>
      </c>
      <c r="W4579">
        <v>0.2107667</v>
      </c>
      <c r="X4579">
        <v>0.96924909999999997</v>
      </c>
      <c r="Y4579">
        <v>0.16970189999999999</v>
      </c>
      <c r="Z4579">
        <v>3.5717480000000003E-2</v>
      </c>
      <c r="AA4579">
        <v>0.98484799999999995</v>
      </c>
      <c r="AB4579">
        <v>26</v>
      </c>
      <c r="AC4579">
        <v>-3.2929000000000301</v>
      </c>
      <c r="AD4579">
        <v>-1.0784447158179999</v>
      </c>
      <c r="AE4579">
        <v>-26.630074</v>
      </c>
      <c r="AF4579">
        <v>4.6045800876352203</v>
      </c>
      <c r="AG4579">
        <v>-1.0784447158179999</v>
      </c>
      <c r="AH4579">
        <v>26.390934273664801</v>
      </c>
      <c r="AI4579">
        <v>92.305258240271399</v>
      </c>
      <c r="AJ4579">
        <v>80.102897547931903</v>
      </c>
      <c r="AK4579">
        <v>26.8113150111183</v>
      </c>
      <c r="AL4579">
        <v>77.832713980837994</v>
      </c>
      <c r="AM4579">
        <v>82.534033560830096</v>
      </c>
      <c r="AN4579">
        <v>1.0000000468091199</v>
      </c>
    </row>
    <row r="4580" spans="1:40" x14ac:dyDescent="0.25">
      <c r="A4580" t="str">
        <f>"20190303170903475"</f>
        <v>20190303170903475</v>
      </c>
      <c r="B4580" t="str">
        <f>"1551604143467960"</f>
        <v>1551604143467960</v>
      </c>
      <c r="C4580" t="s">
        <v>40</v>
      </c>
      <c r="D4580">
        <v>5.1039890000000003</v>
      </c>
      <c r="E4580">
        <v>0.52594680000000005</v>
      </c>
      <c r="F4580" t="s">
        <v>43</v>
      </c>
      <c r="G4580">
        <v>-303.90699999999998</v>
      </c>
      <c r="H4580" s="1">
        <v>-2.5800179999999999E-6</v>
      </c>
      <c r="I4580">
        <v>-26.82001</v>
      </c>
      <c r="J4580">
        <v>-300.5865</v>
      </c>
      <c r="K4580">
        <v>1.0833469999999901</v>
      </c>
      <c r="L4580">
        <v>-2.7319640000000001</v>
      </c>
      <c r="M4580">
        <v>2.4764660000000001E-2</v>
      </c>
      <c r="N4580">
        <v>-3.7463639999999999E-3</v>
      </c>
      <c r="O4580">
        <v>-0.99968630000000003</v>
      </c>
      <c r="P4580">
        <v>-9.4107170000000004E-2</v>
      </c>
      <c r="Q4580">
        <v>0.20688860000000001</v>
      </c>
      <c r="R4580">
        <v>-0.97382800000000003</v>
      </c>
      <c r="S4580">
        <v>-0.41458129999999999</v>
      </c>
      <c r="T4580">
        <v>-0.13460759999999999</v>
      </c>
      <c r="U4580">
        <v>-3.074646</v>
      </c>
      <c r="V4580">
        <v>0.1226541</v>
      </c>
      <c r="W4580">
        <v>0.20795939999999999</v>
      </c>
      <c r="X4580">
        <v>0.97041679999999997</v>
      </c>
      <c r="Y4580">
        <v>0.15801279999999901</v>
      </c>
      <c r="Z4580">
        <v>3.9498430000000001E-2</v>
      </c>
      <c r="AA4580">
        <v>0.98664680000000005</v>
      </c>
      <c r="AB4580">
        <v>26</v>
      </c>
      <c r="AC4580">
        <v>-3.32049999999998</v>
      </c>
      <c r="AD4580">
        <v>-1.08334958001799</v>
      </c>
      <c r="AE4580">
        <v>-24.088045999999899</v>
      </c>
      <c r="AF4580">
        <v>3.9082601974465301</v>
      </c>
      <c r="AG4580">
        <v>-1.08334958001799</v>
      </c>
      <c r="AH4580">
        <v>23.9508843373136</v>
      </c>
      <c r="AI4580">
        <v>92.556083791070805</v>
      </c>
      <c r="AJ4580">
        <v>80.732264178038704</v>
      </c>
      <c r="AK4580">
        <v>24.291829997405401</v>
      </c>
      <c r="AL4580">
        <v>77.997204809507394</v>
      </c>
      <c r="AM4580">
        <v>82.796399873981798</v>
      </c>
      <c r="AN4580">
        <v>0.99999995300870304</v>
      </c>
    </row>
    <row r="4581" spans="1:40" x14ac:dyDescent="0.25">
      <c r="A4581" t="str">
        <f>"20190303170903519"</f>
        <v>20190303170903519</v>
      </c>
      <c r="B4581" t="str">
        <f>"1551604143508541"</f>
        <v>1551604143508541</v>
      </c>
      <c r="C4581" t="s">
        <v>40</v>
      </c>
      <c r="D4581">
        <v>5.1055630000000001</v>
      </c>
      <c r="E4581">
        <v>0.52436400000000005</v>
      </c>
      <c r="F4581" t="s">
        <v>43</v>
      </c>
      <c r="G4581">
        <v>-304.11869999999999</v>
      </c>
      <c r="H4581" s="1">
        <v>-3.0817960000000002E-6</v>
      </c>
      <c r="I4581">
        <v>-25.781690000000001</v>
      </c>
      <c r="J4581">
        <v>-300.5992</v>
      </c>
      <c r="K4581">
        <v>1.089242</v>
      </c>
      <c r="L4581">
        <v>-3.2464900000000001</v>
      </c>
      <c r="M4581">
        <v>2.7032029999999999E-3</v>
      </c>
      <c r="N4581">
        <v>-4.1769839999999999E-3</v>
      </c>
      <c r="O4581">
        <v>-0.99998779999999998</v>
      </c>
      <c r="P4581">
        <v>-0.1180997</v>
      </c>
      <c r="Q4581">
        <v>0.20559930000000001</v>
      </c>
      <c r="R4581">
        <v>-0.97148440000000003</v>
      </c>
      <c r="S4581">
        <v>-0.46981810000000002</v>
      </c>
      <c r="T4581">
        <v>-0.14409549999999999</v>
      </c>
      <c r="U4581">
        <v>-3.0658259999999999</v>
      </c>
      <c r="V4581">
        <v>0.1248533</v>
      </c>
      <c r="W4581">
        <v>0.2072223</v>
      </c>
      <c r="X4581">
        <v>0.97029410000000005</v>
      </c>
      <c r="Y4581">
        <v>0.1539954</v>
      </c>
      <c r="Z4581">
        <v>4.222455E-2</v>
      </c>
      <c r="AA4581">
        <v>0.98716890000000002</v>
      </c>
      <c r="AB4581">
        <v>26</v>
      </c>
      <c r="AC4581">
        <v>-3.5194999999999901</v>
      </c>
      <c r="AD4581">
        <v>-1.089245081796</v>
      </c>
      <c r="AE4581">
        <v>-22.5352</v>
      </c>
      <c r="AF4581">
        <v>3.5722577414388499</v>
      </c>
      <c r="AG4581">
        <v>-1.089245081796</v>
      </c>
      <c r="AH4581">
        <v>22.474347094906701</v>
      </c>
      <c r="AI4581">
        <v>92.740386680358498</v>
      </c>
      <c r="AJ4581">
        <v>80.968490358996803</v>
      </c>
      <c r="AK4581">
        <v>22.7825318514389</v>
      </c>
      <c r="AL4581">
        <v>78.040379015091005</v>
      </c>
      <c r="AM4581">
        <v>82.667714661561803</v>
      </c>
      <c r="AN4581">
        <v>1.0000000343164901</v>
      </c>
    </row>
    <row r="4582" spans="1:40" x14ac:dyDescent="0.25">
      <c r="A4582" t="str">
        <f>"20190303170903565"</f>
        <v>20190303170903565</v>
      </c>
      <c r="B4582" t="str">
        <f>"1551604143558317"</f>
        <v>1551604143558317</v>
      </c>
      <c r="C4582" t="s">
        <v>40</v>
      </c>
      <c r="D4582">
        <v>5.1389250000000004</v>
      </c>
      <c r="E4582">
        <v>0.52276480000000003</v>
      </c>
      <c r="F4582" t="s">
        <v>43</v>
      </c>
      <c r="G4582">
        <v>-304.41129999999998</v>
      </c>
      <c r="H4582" s="1">
        <v>-3.3068919999999998E-6</v>
      </c>
      <c r="I4582">
        <v>-25.43845</v>
      </c>
      <c r="J4582">
        <v>-300.62329999999997</v>
      </c>
      <c r="K4582">
        <v>1.0955820000000001</v>
      </c>
      <c r="L4582">
        <v>-3.7911679999999999</v>
      </c>
      <c r="M4582">
        <v>-1.8695079999999999E-2</v>
      </c>
      <c r="N4582">
        <v>-5.4539019999999896E-3</v>
      </c>
      <c r="O4582">
        <v>-0.99981059999999999</v>
      </c>
      <c r="P4582">
        <v>-0.1389165</v>
      </c>
      <c r="Q4582">
        <v>0.19860630000000001</v>
      </c>
      <c r="R4582">
        <v>-0.97018490000000002</v>
      </c>
      <c r="S4582">
        <v>-0.52496339999999997</v>
      </c>
      <c r="T4582">
        <v>-0.1499972</v>
      </c>
      <c r="U4582">
        <v>-3.056</v>
      </c>
      <c r="V4582">
        <v>0.1243369</v>
      </c>
      <c r="W4582">
        <v>0.20174310000000001</v>
      </c>
      <c r="X4582">
        <v>0.97151430000000005</v>
      </c>
      <c r="Y4582">
        <v>0.15066840000000001</v>
      </c>
      <c r="Z4582">
        <v>4.2938329999999997E-2</v>
      </c>
      <c r="AA4582">
        <v>0.98765139999999996</v>
      </c>
      <c r="AB4582">
        <v>26</v>
      </c>
      <c r="AC4582">
        <v>-3.78800000000001</v>
      </c>
      <c r="AD4582">
        <v>-1.0955853068920001</v>
      </c>
      <c r="AE4582">
        <v>-21.647282000000001</v>
      </c>
      <c r="AF4582">
        <v>3.3742481951318499</v>
      </c>
      <c r="AG4582">
        <v>-1.0955853068920001</v>
      </c>
      <c r="AH4582">
        <v>21.660482837331202</v>
      </c>
      <c r="AI4582">
        <v>92.861099077480205</v>
      </c>
      <c r="AJ4582">
        <v>81.145686323866897</v>
      </c>
      <c r="AK4582">
        <v>21.949085967150101</v>
      </c>
      <c r="AL4582">
        <v>78.361090557925294</v>
      </c>
      <c r="AM4582">
        <v>82.706786081129295</v>
      </c>
      <c r="AN4582">
        <v>0.99999998910185495</v>
      </c>
    </row>
    <row r="4583" spans="1:40" x14ac:dyDescent="0.25">
      <c r="A4583" t="str">
        <f>"20190303170903608"</f>
        <v>20190303170903608</v>
      </c>
      <c r="B4583" t="str">
        <f>"1551604143598333"</f>
        <v>1551604143598333</v>
      </c>
      <c r="C4583" t="s">
        <v>40</v>
      </c>
      <c r="D4583">
        <v>5.1631400000000003</v>
      </c>
      <c r="E4583">
        <v>0.52132369999999995</v>
      </c>
      <c r="F4583" t="s">
        <v>43</v>
      </c>
      <c r="G4583">
        <v>-304.18779999999998</v>
      </c>
      <c r="H4583" s="1">
        <v>-4.2783280000000001E-6</v>
      </c>
      <c r="I4583">
        <v>-22.624020000000002</v>
      </c>
      <c r="J4583">
        <v>-300.65440000000001</v>
      </c>
      <c r="K4583">
        <v>1.100929</v>
      </c>
      <c r="L4583">
        <v>-4.30307</v>
      </c>
      <c r="M4583">
        <v>-3.6043680000000002E-2</v>
      </c>
      <c r="N4583">
        <v>-6.7492860000000002E-3</v>
      </c>
      <c r="O4583">
        <v>-0.99932759999999998</v>
      </c>
      <c r="P4583">
        <v>-0.16163150000000001</v>
      </c>
      <c r="Q4583">
        <v>0.1954148</v>
      </c>
      <c r="R4583">
        <v>-0.96730989999999994</v>
      </c>
      <c r="S4583">
        <v>-0.57650760000000001</v>
      </c>
      <c r="T4583">
        <v>-0.17719460000000001</v>
      </c>
      <c r="U4583">
        <v>-3.0459290000000001</v>
      </c>
      <c r="V4583">
        <v>0.12975210000000001</v>
      </c>
      <c r="W4583">
        <v>0.20000209999999999</v>
      </c>
      <c r="X4583">
        <v>0.97116610000000003</v>
      </c>
      <c r="Y4583">
        <v>0.1501642</v>
      </c>
      <c r="Z4583">
        <v>5.0467890000000001E-2</v>
      </c>
      <c r="AA4583">
        <v>0.98737209999999997</v>
      </c>
      <c r="AB4583">
        <v>26</v>
      </c>
      <c r="AC4583">
        <v>-3.5333999999999701</v>
      </c>
      <c r="AD4583">
        <v>-1.1009332783279999</v>
      </c>
      <c r="AE4583">
        <v>-18.32095</v>
      </c>
      <c r="AF4583">
        <v>2.8607747984431402</v>
      </c>
      <c r="AG4583">
        <v>-1.1009332783279999</v>
      </c>
      <c r="AH4583">
        <v>18.372440899600999</v>
      </c>
      <c r="AI4583">
        <v>93.388503726258193</v>
      </c>
      <c r="AJ4583">
        <v>81.149539524582295</v>
      </c>
      <c r="AK4583">
        <v>18.626397159409802</v>
      </c>
      <c r="AL4583">
        <v>78.462918406121204</v>
      </c>
      <c r="AM4583">
        <v>82.390095399716103</v>
      </c>
      <c r="AN4583">
        <v>1.0000000206240101</v>
      </c>
    </row>
    <row r="4584" spans="1:40" x14ac:dyDescent="0.25">
      <c r="A4584" t="str">
        <f>"20190303170903655"</f>
        <v>20190303170903655</v>
      </c>
      <c r="B4584" t="str">
        <f>"1551604143648749"</f>
        <v>1551604143648749</v>
      </c>
      <c r="C4584" t="s">
        <v>40</v>
      </c>
      <c r="D4584">
        <v>5.1372429999999998</v>
      </c>
      <c r="E4584">
        <v>0.51907590000000003</v>
      </c>
      <c r="F4584" t="s">
        <v>43</v>
      </c>
      <c r="G4584">
        <v>-304.34719999999999</v>
      </c>
      <c r="H4584" s="1">
        <v>-4.4584189999999998E-6</v>
      </c>
      <c r="I4584">
        <v>-22.17792</v>
      </c>
      <c r="J4584">
        <v>-300.69200000000001</v>
      </c>
      <c r="K4584">
        <v>1.1056410000000001</v>
      </c>
      <c r="L4584">
        <v>-4.8201599999999996</v>
      </c>
      <c r="M4584">
        <v>-5.0700759999999997E-2</v>
      </c>
      <c r="N4584">
        <v>-7.9647439999999993E-3</v>
      </c>
      <c r="O4584">
        <v>-0.99868230000000002</v>
      </c>
      <c r="P4584">
        <v>-0.17287089999999999</v>
      </c>
      <c r="Q4584">
        <v>0.1862181</v>
      </c>
      <c r="R4584">
        <v>-0.96718099999999996</v>
      </c>
      <c r="S4584">
        <v>-0.62689209999999995</v>
      </c>
      <c r="T4584">
        <v>-0.186892</v>
      </c>
      <c r="U4584">
        <v>-3.0343930000000001</v>
      </c>
      <c r="V4584">
        <v>0.12606319999999999</v>
      </c>
      <c r="W4584">
        <v>0.19239059999999999</v>
      </c>
      <c r="X4584">
        <v>0.97318749999999998</v>
      </c>
      <c r="Y4584">
        <v>0.15208959999999999</v>
      </c>
      <c r="Z4584">
        <v>5.2453380000000001E-2</v>
      </c>
      <c r="AA4584">
        <v>0.98697389999999996</v>
      </c>
      <c r="AB4584">
        <v>26</v>
      </c>
      <c r="AC4584">
        <v>-3.65519999999997</v>
      </c>
      <c r="AD4584">
        <v>-1.1056454584190001</v>
      </c>
      <c r="AE4584">
        <v>-17.357759999999999</v>
      </c>
      <c r="AF4584">
        <v>2.7596976548354699</v>
      </c>
      <c r="AG4584">
        <v>-1.1056454584190001</v>
      </c>
      <c r="AH4584">
        <v>17.452955592136401</v>
      </c>
      <c r="AI4584">
        <v>93.580479651225403</v>
      </c>
      <c r="AJ4584">
        <v>81.014664824513204</v>
      </c>
      <c r="AK4584">
        <v>17.704350932098901</v>
      </c>
      <c r="AL4584">
        <v>78.9076700439403</v>
      </c>
      <c r="AM4584">
        <v>82.619210603815802</v>
      </c>
      <c r="AN4584">
        <v>0.999999991759424</v>
      </c>
    </row>
    <row r="4585" spans="1:40" x14ac:dyDescent="0.25">
      <c r="A4585" t="str">
        <f>"20190303170903685"</f>
        <v>20190303170903685</v>
      </c>
      <c r="B4585" t="str">
        <f>"1551604143678030"</f>
        <v>1551604143678030</v>
      </c>
      <c r="C4585" t="s">
        <v>40</v>
      </c>
      <c r="D4585">
        <v>5.0330440000000003</v>
      </c>
      <c r="E4585">
        <v>0.51763749999999997</v>
      </c>
      <c r="F4585" t="s">
        <v>43</v>
      </c>
      <c r="G4585">
        <v>-304.09039999999999</v>
      </c>
      <c r="H4585" s="1">
        <v>-4.863298E-6</v>
      </c>
      <c r="I4585">
        <v>-20.854299999999999</v>
      </c>
      <c r="J4585">
        <v>-300.72390000000001</v>
      </c>
      <c r="K4585">
        <v>1.1085959999999999</v>
      </c>
      <c r="L4585">
        <v>-5.2151180000000004</v>
      </c>
      <c r="M4585">
        <v>-6.0300359999999997E-2</v>
      </c>
      <c r="N4585">
        <v>-8.7694049999999992E-3</v>
      </c>
      <c r="O4585">
        <v>-0.99814190000000003</v>
      </c>
      <c r="P4585">
        <v>-0.17628650000000001</v>
      </c>
      <c r="Q4585">
        <v>0.1811593</v>
      </c>
      <c r="R4585">
        <v>-0.96752510000000003</v>
      </c>
      <c r="S4585">
        <v>-0.64163210000000004</v>
      </c>
      <c r="T4585">
        <v>-0.20875050000000001</v>
      </c>
      <c r="U4585">
        <v>-3.0273129999999999</v>
      </c>
      <c r="V4585">
        <v>0.1196754</v>
      </c>
      <c r="W4585">
        <v>0.18842610000000001</v>
      </c>
      <c r="X4585">
        <v>0.97476839999999998</v>
      </c>
      <c r="Y4585">
        <v>0.1475648</v>
      </c>
      <c r="Z4585">
        <v>5.878651E-2</v>
      </c>
      <c r="AA4585">
        <v>0.98730379999999995</v>
      </c>
      <c r="AB4585">
        <v>26</v>
      </c>
      <c r="AC4585">
        <v>-3.3664999999999701</v>
      </c>
      <c r="AD4585">
        <v>-1.108600863298</v>
      </c>
      <c r="AE4585">
        <v>-15.6391819999999</v>
      </c>
      <c r="AF4585">
        <v>2.4057358989679498</v>
      </c>
      <c r="AG4585">
        <v>-1.108600863298</v>
      </c>
      <c r="AH4585">
        <v>15.7381502184169</v>
      </c>
      <c r="AI4585">
        <v>93.983164016096495</v>
      </c>
      <c r="AJ4585">
        <v>81.309033912647706</v>
      </c>
      <c r="AK4585">
        <v>15.9595091837796</v>
      </c>
      <c r="AL4585">
        <v>79.139052739154494</v>
      </c>
      <c r="AM4585">
        <v>83.0006433337429</v>
      </c>
      <c r="AN4585">
        <v>1.0000000150824599</v>
      </c>
    </row>
    <row r="4586" spans="1:40" x14ac:dyDescent="0.25">
      <c r="A4586" t="str">
        <f>"20190303170903731"</f>
        <v>20190303170903731</v>
      </c>
      <c r="B4586" t="str">
        <f>"1551604143718550"</f>
        <v>1551604143718550</v>
      </c>
      <c r="C4586" t="s">
        <v>40</v>
      </c>
      <c r="D4586">
        <v>5.0609999999999999</v>
      </c>
      <c r="E4586">
        <v>0.51597119999999996</v>
      </c>
      <c r="F4586" t="s">
        <v>43</v>
      </c>
      <c r="G4586">
        <v>-303.97019999999998</v>
      </c>
      <c r="H4586" s="1">
        <v>-4.9515599999999999E-6</v>
      </c>
      <c r="I4586">
        <v>-20.53229</v>
      </c>
      <c r="J4586">
        <v>-300.77</v>
      </c>
      <c r="K4586">
        <v>1.111694</v>
      </c>
      <c r="L4586">
        <v>-5.7414860000000001</v>
      </c>
      <c r="M4586">
        <v>-7.1145169999999994E-2</v>
      </c>
      <c r="N4586">
        <v>-9.6676639999999994E-3</v>
      </c>
      <c r="O4586">
        <v>-0.99741919999999995</v>
      </c>
      <c r="P4586">
        <v>-0.1731751</v>
      </c>
      <c r="Q4586">
        <v>0.181866</v>
      </c>
      <c r="R4586">
        <v>-0.96795410000000004</v>
      </c>
      <c r="S4586">
        <v>-0.64108279999999995</v>
      </c>
      <c r="T4586">
        <v>-0.21892929999999999</v>
      </c>
      <c r="U4586">
        <v>-3.0248719999999998</v>
      </c>
      <c r="V4586">
        <v>0.10557859999999999</v>
      </c>
      <c r="W4586">
        <v>0.19037200000000001</v>
      </c>
      <c r="X4586">
        <v>0.97601830000000001</v>
      </c>
      <c r="Y4586">
        <v>0.1367622</v>
      </c>
      <c r="Z4586">
        <v>6.121882E-2</v>
      </c>
      <c r="AA4586">
        <v>0.98871050000000005</v>
      </c>
      <c r="AB4586">
        <v>26</v>
      </c>
      <c r="AC4586">
        <v>-3.2001999999999899</v>
      </c>
      <c r="AD4586">
        <v>-1.11169895156</v>
      </c>
      <c r="AE4586">
        <v>-14.790804</v>
      </c>
      <c r="AF4586">
        <v>2.1282610766768899</v>
      </c>
      <c r="AG4586">
        <v>-1.11169895156</v>
      </c>
      <c r="AH4586">
        <v>14.9005967764133</v>
      </c>
      <c r="AI4586">
        <v>94.224088254446499</v>
      </c>
      <c r="AJ4586">
        <v>81.871388410765107</v>
      </c>
      <c r="AK4586">
        <v>15.092817962947001</v>
      </c>
      <c r="AL4586">
        <v>79.025505855945894</v>
      </c>
      <c r="AM4586">
        <v>83.826163055343798</v>
      </c>
      <c r="AN4586">
        <v>1.00000003054842</v>
      </c>
    </row>
    <row r="4587" spans="1:40" x14ac:dyDescent="0.25">
      <c r="A4587" t="str">
        <f>"20190303170903764"</f>
        <v>20190303170903764</v>
      </c>
      <c r="B4587" t="str">
        <f>"1551604143758567"</f>
        <v>1551604143758567</v>
      </c>
      <c r="C4587" t="s">
        <v>40</v>
      </c>
      <c r="D4587">
        <v>5.186045</v>
      </c>
      <c r="E4587">
        <v>0.51444690000000004</v>
      </c>
      <c r="F4587" t="s">
        <v>43</v>
      </c>
      <c r="G4587">
        <v>-304.03789999999998</v>
      </c>
      <c r="H4587" s="1">
        <v>-4.5261900000000001E-6</v>
      </c>
      <c r="I4587">
        <v>-21.817540000000001</v>
      </c>
      <c r="J4587">
        <v>-300.8066</v>
      </c>
      <c r="K4587">
        <v>1.1135029999999999</v>
      </c>
      <c r="L4587">
        <v>-6.1333919999999997</v>
      </c>
      <c r="M4587">
        <v>-7.7947779999999994E-2</v>
      </c>
      <c r="N4587">
        <v>-1.021041E-2</v>
      </c>
      <c r="O4587">
        <v>-0.99690529999999999</v>
      </c>
      <c r="P4587">
        <v>-0.16989070000000001</v>
      </c>
      <c r="Q4587">
        <v>0.17655999999999999</v>
      </c>
      <c r="R4587">
        <v>-0.96951739999999997</v>
      </c>
      <c r="S4587">
        <v>-0.61563109999999999</v>
      </c>
      <c r="T4587">
        <v>-0.20943049999999999</v>
      </c>
      <c r="U4587">
        <v>-3.0285340000000001</v>
      </c>
      <c r="V4587">
        <v>9.5245289999999996E-2</v>
      </c>
      <c r="W4587">
        <v>0.18582029999999999</v>
      </c>
      <c r="X4587">
        <v>0.97795659999999895</v>
      </c>
      <c r="Y4587">
        <v>0.1218278</v>
      </c>
      <c r="Z4587">
        <v>5.7617769999999999E-2</v>
      </c>
      <c r="AA4587">
        <v>0.99087749999999997</v>
      </c>
      <c r="AB4587">
        <v>26</v>
      </c>
      <c r="AC4587">
        <v>-3.2312999999999699</v>
      </c>
      <c r="AD4587">
        <v>-1.11350752619</v>
      </c>
      <c r="AE4587">
        <v>-15.684148</v>
      </c>
      <c r="AF4587">
        <v>1.9892411841323301</v>
      </c>
      <c r="AG4587">
        <v>-1.11350752619</v>
      </c>
      <c r="AH4587">
        <v>15.811855986929601</v>
      </c>
      <c r="AI4587">
        <v>93.996848849592993</v>
      </c>
      <c r="AJ4587">
        <v>82.829465340100299</v>
      </c>
      <c r="AK4587">
        <v>15.975348799038199</v>
      </c>
      <c r="AL4587">
        <v>79.291038362735193</v>
      </c>
      <c r="AM4587">
        <v>84.437384487595097</v>
      </c>
      <c r="AN4587">
        <v>0.99999998032141602</v>
      </c>
    </row>
    <row r="4588" spans="1:40" x14ac:dyDescent="0.25">
      <c r="A4588" t="str">
        <f>"20190303170903798"</f>
        <v>20190303170903798</v>
      </c>
      <c r="B4588" t="str">
        <f>"1551604143788823"</f>
        <v>1551604143788823</v>
      </c>
      <c r="C4588" t="s">
        <v>40</v>
      </c>
      <c r="D4588">
        <v>5.1628270000000001</v>
      </c>
      <c r="E4588">
        <v>0.51269690000000001</v>
      </c>
      <c r="F4588" t="s">
        <v>43</v>
      </c>
      <c r="G4588">
        <v>-303.84539999999998</v>
      </c>
      <c r="H4588" s="1">
        <v>-4.5903349999999998E-6</v>
      </c>
      <c r="I4588">
        <v>-21.52871</v>
      </c>
      <c r="J4588">
        <v>-300.84460000000001</v>
      </c>
      <c r="K4588">
        <v>1.114924</v>
      </c>
      <c r="L4588">
        <v>-6.5211180000000004</v>
      </c>
      <c r="M4588">
        <v>-8.3956879999999998E-2</v>
      </c>
      <c r="N4588">
        <v>-1.0664679999999999E-2</v>
      </c>
      <c r="O4588">
        <v>-0.99641250000000003</v>
      </c>
      <c r="P4588">
        <v>-0.1678856</v>
      </c>
      <c r="Q4588">
        <v>0.17646039999999999</v>
      </c>
      <c r="R4588">
        <v>-0.96988479999999999</v>
      </c>
      <c r="S4588">
        <v>-0.59796139999999998</v>
      </c>
      <c r="T4588">
        <v>-0.21911310000000001</v>
      </c>
      <c r="U4588">
        <v>-3.0294490000000001</v>
      </c>
      <c r="V4588">
        <v>8.7130289999999999E-2</v>
      </c>
      <c r="W4588">
        <v>0.18631880000000001</v>
      </c>
      <c r="X4588">
        <v>0.97861819999999999</v>
      </c>
      <c r="Y4588">
        <v>0.1101898</v>
      </c>
      <c r="Z4588">
        <v>6.0305150000000002E-2</v>
      </c>
      <c r="AA4588">
        <v>0.99207939999999994</v>
      </c>
      <c r="AB4588">
        <v>26</v>
      </c>
      <c r="AC4588">
        <v>-3.0007999999999599</v>
      </c>
      <c r="AD4588">
        <v>-1.1149285903349999</v>
      </c>
      <c r="AE4588">
        <v>-15.007592000000001</v>
      </c>
      <c r="AF4588">
        <v>1.7210087631498601</v>
      </c>
      <c r="AG4588">
        <v>-1.1149285903349999</v>
      </c>
      <c r="AH4588">
        <v>15.126277374810901</v>
      </c>
      <c r="AI4588">
        <v>94.188611225406802</v>
      </c>
      <c r="AJ4588">
        <v>83.509022510718907</v>
      </c>
      <c r="AK4588">
        <v>15.2646390112607</v>
      </c>
      <c r="AL4588">
        <v>79.261968779392504</v>
      </c>
      <c r="AM4588">
        <v>84.912143333005901</v>
      </c>
      <c r="AN4588">
        <v>0.999999982020081</v>
      </c>
    </row>
    <row r="4589" spans="1:40" x14ac:dyDescent="0.25">
      <c r="A4589" t="str">
        <f>"20190303170903831"</f>
        <v>20190303170903831</v>
      </c>
      <c r="B4589" t="str">
        <f>"1551604143818103"</f>
        <v>1551604143818103</v>
      </c>
      <c r="C4589" t="s">
        <v>40</v>
      </c>
      <c r="D4589">
        <v>5.0979749999999999</v>
      </c>
      <c r="E4589">
        <v>0.44946700000000001</v>
      </c>
      <c r="F4589" t="s">
        <v>43</v>
      </c>
      <c r="G4589">
        <v>-303.84989999999999</v>
      </c>
      <c r="H4589" s="1">
        <v>-4.3654200000000003E-6</v>
      </c>
      <c r="I4589">
        <v>-22.191990000000001</v>
      </c>
      <c r="J4589">
        <v>-300.88420000000002</v>
      </c>
      <c r="K4589">
        <v>1.116134</v>
      </c>
      <c r="L4589">
        <v>-6.9111330000000004</v>
      </c>
      <c r="M4589">
        <v>-8.9245899999999906E-2</v>
      </c>
      <c r="N4589">
        <v>-1.1047950000000001E-2</v>
      </c>
      <c r="O4589">
        <v>-0.99594839999999996</v>
      </c>
      <c r="P4589">
        <v>-0.16468569999999999</v>
      </c>
      <c r="Q4589">
        <v>0.17994280000000001</v>
      </c>
      <c r="R4589">
        <v>-0.96979360000000003</v>
      </c>
      <c r="S4589">
        <v>-0.58142090000000002</v>
      </c>
      <c r="T4589">
        <v>-0.2156978</v>
      </c>
      <c r="U4589">
        <v>-3.0317379999999998</v>
      </c>
      <c r="V4589">
        <v>7.8596730000000004E-2</v>
      </c>
      <c r="W4589">
        <v>0.19030549999999999</v>
      </c>
      <c r="X4589">
        <v>0.97857360000000004</v>
      </c>
      <c r="Y4589">
        <v>9.9569110000000002E-2</v>
      </c>
      <c r="Z4589">
        <v>5.8804349999999998E-2</v>
      </c>
      <c r="AA4589">
        <v>0.99329149999999999</v>
      </c>
      <c r="AB4589">
        <v>26</v>
      </c>
      <c r="AC4589">
        <v>-2.9656999999999698</v>
      </c>
      <c r="AD4589">
        <v>-1.1161383654199999</v>
      </c>
      <c r="AE4589">
        <v>-15.280856999999999</v>
      </c>
      <c r="AF4589">
        <v>1.5818941168718501</v>
      </c>
      <c r="AG4589">
        <v>-1.1161383654199999</v>
      </c>
      <c r="AH4589">
        <v>15.405360513442799</v>
      </c>
      <c r="AI4589">
        <v>94.122312177289402</v>
      </c>
      <c r="AJ4589">
        <v>84.137151301451894</v>
      </c>
      <c r="AK4589">
        <v>15.5265349127517</v>
      </c>
      <c r="AL4589">
        <v>79.029386193964498</v>
      </c>
      <c r="AM4589">
        <v>85.407995043024599</v>
      </c>
      <c r="AN4589">
        <v>0.99999995995695001</v>
      </c>
    </row>
    <row r="4590" spans="1:40" x14ac:dyDescent="0.25">
      <c r="A4590" t="str">
        <f>"20190303170903864"</f>
        <v>20190303170903864</v>
      </c>
      <c r="B4590" t="str">
        <f>"1551604143858119"</f>
        <v>1551604143858119</v>
      </c>
      <c r="C4590" t="s">
        <v>40</v>
      </c>
      <c r="D4590">
        <v>5.0744290000000003</v>
      </c>
      <c r="E4590">
        <v>0.44863779999999998</v>
      </c>
      <c r="F4590" t="s">
        <v>59</v>
      </c>
      <c r="G4590">
        <v>-301.90660000000003</v>
      </c>
      <c r="H4590" s="1">
        <v>-5.0313219999999998E-6</v>
      </c>
      <c r="I4590">
        <v>-48.801780000000001</v>
      </c>
      <c r="J4590">
        <v>-300.92439999999999</v>
      </c>
      <c r="K4590">
        <v>1.1170869999999999</v>
      </c>
      <c r="L4590">
        <v>-7.2954410000000003</v>
      </c>
      <c r="M4590">
        <v>-9.3792840000000002E-2</v>
      </c>
      <c r="N4590">
        <v>-1.135917E-2</v>
      </c>
      <c r="O4590">
        <v>-0.9955271</v>
      </c>
      <c r="P4590">
        <v>-0.15945519999999999</v>
      </c>
      <c r="Q4590">
        <v>0.17705179999999901</v>
      </c>
      <c r="R4590">
        <v>-0.97119889999999998</v>
      </c>
      <c r="S4590">
        <v>-7.5561519999999993E-2</v>
      </c>
      <c r="T4590">
        <v>-8.2487939999999996E-2</v>
      </c>
      <c r="U4590">
        <v>-3.095917</v>
      </c>
      <c r="V4590">
        <v>6.8613709999999994E-2</v>
      </c>
      <c r="W4590">
        <v>0.18784629999999999</v>
      </c>
      <c r="X4590">
        <v>0.97979890000000003</v>
      </c>
      <c r="Y4590">
        <v>-6.9466699999999895E-2</v>
      </c>
      <c r="Z4590">
        <v>1.5078670000000001E-2</v>
      </c>
      <c r="AA4590">
        <v>0.99747030000000003</v>
      </c>
      <c r="AB4590">
        <v>26</v>
      </c>
      <c r="AC4590">
        <v>-0.98220000000003405</v>
      </c>
      <c r="AD4590">
        <v>-1.1170920313220001</v>
      </c>
      <c r="AE4590">
        <v>-41.506338999999997</v>
      </c>
      <c r="AF4590">
        <v>-2.91326925206624</v>
      </c>
      <c r="AG4590">
        <v>-1.1170920313220001</v>
      </c>
      <c r="AH4590">
        <v>41.385512859993099</v>
      </c>
      <c r="AI4590">
        <v>91.542357198972098</v>
      </c>
      <c r="AJ4590">
        <v>94.026605732598597</v>
      </c>
      <c r="AK4590">
        <v>41.502960220038901</v>
      </c>
      <c r="AL4590">
        <v>79.172876435663298</v>
      </c>
      <c r="AM4590">
        <v>85.994210083038496</v>
      </c>
      <c r="AN4590">
        <v>0.99999997903243099</v>
      </c>
    </row>
    <row r="4591" spans="1:40" x14ac:dyDescent="0.25">
      <c r="A4591" t="str">
        <f>"20190303170903898"</f>
        <v>20190303170903898</v>
      </c>
      <c r="B4591" t="str">
        <f>"1551604143888374"</f>
        <v>1551604143888374</v>
      </c>
      <c r="C4591" t="s">
        <v>40</v>
      </c>
      <c r="D4591">
        <v>5.0345769999999996</v>
      </c>
      <c r="E4591">
        <v>0.44852009999999998</v>
      </c>
      <c r="F4591" t="s">
        <v>59</v>
      </c>
      <c r="G4591">
        <v>-301.59199999999998</v>
      </c>
      <c r="H4591" s="1">
        <v>-3.527457E-6</v>
      </c>
      <c r="I4591">
        <v>-45.738990000000001</v>
      </c>
      <c r="J4591">
        <v>-300.96519999999998</v>
      </c>
      <c r="K4591">
        <v>1.1178330000000001</v>
      </c>
      <c r="L4591">
        <v>-7.6752929999999902</v>
      </c>
      <c r="M4591">
        <v>-9.7697720000000002E-2</v>
      </c>
      <c r="N4591">
        <v>-1.161623E-2</v>
      </c>
      <c r="O4591">
        <v>-0.99514849999999999</v>
      </c>
      <c r="P4591">
        <v>-0.15119589999999999</v>
      </c>
      <c r="Q4591">
        <v>0.17287620000000001</v>
      </c>
      <c r="R4591">
        <v>-0.97326959999999996</v>
      </c>
      <c r="S4591">
        <v>-5.3771970000000002E-2</v>
      </c>
      <c r="T4591">
        <v>-8.9979649999999994E-2</v>
      </c>
      <c r="U4591">
        <v>-3.0965579999999999</v>
      </c>
      <c r="V4591">
        <v>5.6190230000000001E-2</v>
      </c>
      <c r="W4591">
        <v>0.18404239999999999</v>
      </c>
      <c r="X4591">
        <v>0.98131089999999999</v>
      </c>
      <c r="Y4591">
        <v>-8.0393660000000006E-2</v>
      </c>
      <c r="Z4591">
        <v>1.7184749999999999E-2</v>
      </c>
      <c r="AA4591">
        <v>0.99661509999999998</v>
      </c>
      <c r="AB4591">
        <v>26</v>
      </c>
      <c r="AC4591">
        <v>-0.62680000000000202</v>
      </c>
      <c r="AD4591">
        <v>-1.1178365274569999</v>
      </c>
      <c r="AE4591">
        <v>-38.063696999999998</v>
      </c>
      <c r="AF4591">
        <v>-3.0925192487611799</v>
      </c>
      <c r="AG4591">
        <v>-1.1178365274569999</v>
      </c>
      <c r="AH4591">
        <v>37.910135105298899</v>
      </c>
      <c r="AI4591">
        <v>91.683373144212794</v>
      </c>
      <c r="AJ4591">
        <v>94.663576912262201</v>
      </c>
      <c r="AK4591">
        <v>38.052484511633303</v>
      </c>
      <c r="AL4591">
        <v>79.394692798651803</v>
      </c>
      <c r="AM4591">
        <v>86.722800766499304</v>
      </c>
      <c r="AN4591">
        <v>1.0000000147020101</v>
      </c>
    </row>
    <row r="4592" spans="1:40" x14ac:dyDescent="0.25">
      <c r="A4592" t="str">
        <f>"20190303170903934"</f>
        <v>20190303170903934</v>
      </c>
      <c r="B4592" t="str">
        <f>"1551604143928390"</f>
        <v>1551604143928390</v>
      </c>
      <c r="C4592" t="s">
        <v>40</v>
      </c>
      <c r="D4592">
        <v>5.0061140000000002</v>
      </c>
      <c r="E4592">
        <v>0.44855630000000002</v>
      </c>
      <c r="F4592" t="s">
        <v>59</v>
      </c>
      <c r="G4592">
        <v>-301.28199999999998</v>
      </c>
      <c r="H4592" s="1">
        <v>-7.6571859999999995E-7</v>
      </c>
      <c r="I4592">
        <v>-41.300719999999998</v>
      </c>
      <c r="J4592">
        <v>-301.01049999999998</v>
      </c>
      <c r="K4592">
        <v>1.1185510000000001</v>
      </c>
      <c r="L4592">
        <v>-8.0897830000000006</v>
      </c>
      <c r="M4592">
        <v>-0.10121520000000001</v>
      </c>
      <c r="N4592">
        <v>-1.1847369999999999E-2</v>
      </c>
      <c r="O4592">
        <v>-0.99479419999999996</v>
      </c>
      <c r="P4592">
        <v>-0.14671319999999999</v>
      </c>
      <c r="Q4592">
        <v>0.17262629999999901</v>
      </c>
      <c r="R4592">
        <v>-0.97399990000000003</v>
      </c>
      <c r="S4592">
        <v>-2.9174800000000001E-2</v>
      </c>
      <c r="T4592">
        <v>-0.1029269</v>
      </c>
      <c r="U4592">
        <v>-3.09613</v>
      </c>
      <c r="V4592">
        <v>4.8030959999999998E-2</v>
      </c>
      <c r="W4592">
        <v>0.18409909999999999</v>
      </c>
      <c r="X4592">
        <v>0.98173339999999998</v>
      </c>
      <c r="Y4592">
        <v>-9.1820990000000005E-2</v>
      </c>
      <c r="Z4592">
        <v>2.1061079999999999E-2</v>
      </c>
      <c r="AA4592">
        <v>0.99555280000000002</v>
      </c>
      <c r="AB4592">
        <v>26</v>
      </c>
      <c r="AC4592">
        <v>-0.27150000000000302</v>
      </c>
      <c r="AD4592">
        <v>-1.1185517657185999</v>
      </c>
      <c r="AE4592">
        <v>-33.210937000000001</v>
      </c>
      <c r="AF4592">
        <v>-3.0880786463871801</v>
      </c>
      <c r="AG4592">
        <v>-1.1185517657185999</v>
      </c>
      <c r="AH4592">
        <v>33.030376230122499</v>
      </c>
      <c r="AI4592">
        <v>91.931127360208905</v>
      </c>
      <c r="AJ4592">
        <v>95.341175834786995</v>
      </c>
      <c r="AK4592">
        <v>33.1932695238403</v>
      </c>
      <c r="AL4592">
        <v>79.391387068157002</v>
      </c>
      <c r="AM4592">
        <v>87.199057588831096</v>
      </c>
      <c r="AN4592">
        <v>0.99999996020744497</v>
      </c>
    </row>
    <row r="4593" spans="1:40" x14ac:dyDescent="0.25">
      <c r="A4593" t="str">
        <f>"20190303170903965"</f>
        <v>20190303170903965</v>
      </c>
      <c r="B4593" t="str">
        <f>"1551604143958647"</f>
        <v>1551604143958647</v>
      </c>
      <c r="C4593" t="s">
        <v>40</v>
      </c>
      <c r="D4593">
        <v>5.0147269999999997</v>
      </c>
      <c r="E4593">
        <v>0.44890649999999999</v>
      </c>
      <c r="F4593" t="s">
        <v>59</v>
      </c>
      <c r="G4593">
        <v>-301.16109999999998</v>
      </c>
      <c r="H4593" s="1">
        <v>-1.361831E-6</v>
      </c>
      <c r="I4593">
        <v>-42.265050000000002</v>
      </c>
      <c r="J4593">
        <v>-301.05110000000002</v>
      </c>
      <c r="K4593">
        <v>1.1191329999999999</v>
      </c>
      <c r="L4593">
        <v>-8.4568479999999902</v>
      </c>
      <c r="M4593">
        <v>-0.1037077</v>
      </c>
      <c r="N4593">
        <v>-1.201579E-2</v>
      </c>
      <c r="O4593">
        <v>-0.99453519999999895</v>
      </c>
      <c r="P4593">
        <v>-0.14306099999999999</v>
      </c>
      <c r="Q4593">
        <v>0.17473540000000001</v>
      </c>
      <c r="R4593">
        <v>-0.97416700000000001</v>
      </c>
      <c r="S4593">
        <v>-1.364136E-2</v>
      </c>
      <c r="T4593">
        <v>-0.101331</v>
      </c>
      <c r="U4593">
        <v>-3.0959780000000001</v>
      </c>
      <c r="V4593">
        <v>4.1787680000000001E-2</v>
      </c>
      <c r="W4593">
        <v>0.1864247</v>
      </c>
      <c r="X4593">
        <v>0.98158020000000001</v>
      </c>
      <c r="Y4593">
        <v>-9.9305850000000001E-2</v>
      </c>
      <c r="Z4593">
        <v>2.035785E-2</v>
      </c>
      <c r="AA4593">
        <v>0.99484870000000003</v>
      </c>
      <c r="AB4593">
        <v>26</v>
      </c>
      <c r="AC4593">
        <v>-0.10999999999995599</v>
      </c>
      <c r="AD4593">
        <v>-1.1191343618309999</v>
      </c>
      <c r="AE4593">
        <v>-33.808202000000001</v>
      </c>
      <c r="AF4593">
        <v>-3.3932991114036501</v>
      </c>
      <c r="AG4593">
        <v>-1.1191343618309999</v>
      </c>
      <c r="AH4593">
        <v>33.600466237264797</v>
      </c>
      <c r="AI4593">
        <v>91.898004387494794</v>
      </c>
      <c r="AJ4593">
        <v>95.766728612923998</v>
      </c>
      <c r="AK4593">
        <v>33.789913760482698</v>
      </c>
      <c r="AL4593">
        <v>79.255793516515993</v>
      </c>
      <c r="AM4593">
        <v>87.562284925944496</v>
      </c>
      <c r="AN4593">
        <v>1.0000000340009501</v>
      </c>
    </row>
    <row r="4594" spans="1:40" x14ac:dyDescent="0.25">
      <c r="A4594" t="str">
        <f>"20190303170903998"</f>
        <v>20190303170903998</v>
      </c>
      <c r="B4594" t="str">
        <f>"1551604143987927"</f>
        <v>1551604143987927</v>
      </c>
      <c r="C4594" t="s">
        <v>40</v>
      </c>
      <c r="D4594">
        <v>4.9720370000000003</v>
      </c>
      <c r="E4594">
        <v>0.4493393</v>
      </c>
      <c r="F4594" t="s">
        <v>59</v>
      </c>
      <c r="G4594">
        <v>-301.1003</v>
      </c>
      <c r="H4594" s="1">
        <v>-2.0121059999999999E-6</v>
      </c>
      <c r="I4594">
        <v>-43.30142</v>
      </c>
      <c r="J4594">
        <v>-301.09309999999999</v>
      </c>
      <c r="K4594">
        <v>1.119664</v>
      </c>
      <c r="L4594">
        <v>-8.8341669999999901</v>
      </c>
      <c r="M4594">
        <v>-0.1055373</v>
      </c>
      <c r="N4594">
        <v>-1.215919E-2</v>
      </c>
      <c r="O4594">
        <v>-0.99434109999999998</v>
      </c>
      <c r="P4594">
        <v>-0.13890350000000001</v>
      </c>
      <c r="Q4594">
        <v>0.1732416</v>
      </c>
      <c r="R4594">
        <v>-0.97503530000000005</v>
      </c>
      <c r="S4594">
        <v>-4.3640140000000003E-3</v>
      </c>
      <c r="T4594">
        <v>-9.9461789999999994E-2</v>
      </c>
      <c r="U4594">
        <v>-3.0967709999999999</v>
      </c>
      <c r="V4594">
        <v>3.5593239999999998E-2</v>
      </c>
      <c r="W4594">
        <v>0.1851245</v>
      </c>
      <c r="X4594">
        <v>0.98207029999999995</v>
      </c>
      <c r="Y4594">
        <v>-0.10411570000000001</v>
      </c>
      <c r="Z4594">
        <v>1.9590840000000002E-2</v>
      </c>
      <c r="AA4594">
        <v>0.99437220000000004</v>
      </c>
      <c r="AB4594">
        <v>26</v>
      </c>
      <c r="AC4594">
        <v>-7.2000000000116398E-3</v>
      </c>
      <c r="AD4594">
        <v>-1.119666012106</v>
      </c>
      <c r="AE4594">
        <v>-34.467252999999999</v>
      </c>
      <c r="AF4594">
        <v>-3.6268622997467799</v>
      </c>
      <c r="AG4594">
        <v>-1.119666012106</v>
      </c>
      <c r="AH4594">
        <v>34.239364923356298</v>
      </c>
      <c r="AI4594">
        <v>91.862556620985899</v>
      </c>
      <c r="AJ4594">
        <v>96.046603825897805</v>
      </c>
      <c r="AK4594">
        <v>34.4491203439907</v>
      </c>
      <c r="AL4594">
        <v>79.331609076791494</v>
      </c>
      <c r="AM4594">
        <v>87.924333724931898</v>
      </c>
      <c r="AN4594">
        <v>1.0000000166880101</v>
      </c>
    </row>
    <row r="4595" spans="1:40" x14ac:dyDescent="0.25">
      <c r="A4595" t="str">
        <f>"20190303170904032"</f>
        <v>20190303170904032</v>
      </c>
      <c r="B4595" t="str">
        <f>"1551604144027943"</f>
        <v>1551604144027943</v>
      </c>
      <c r="C4595" t="s">
        <v>40</v>
      </c>
      <c r="D4595">
        <v>4.9486980000000003</v>
      </c>
      <c r="E4595">
        <v>0.44990390000000002</v>
      </c>
      <c r="F4595" t="s">
        <v>59</v>
      </c>
      <c r="G4595">
        <v>-301.0659</v>
      </c>
      <c r="H4595" s="1">
        <v>-3.8191740000000001E-7</v>
      </c>
      <c r="I4595">
        <v>-40.615780000000001</v>
      </c>
      <c r="J4595">
        <v>-301.13619999999997</v>
      </c>
      <c r="K4595">
        <v>1.1202399999999999</v>
      </c>
      <c r="L4595">
        <v>-9.2248230000000007</v>
      </c>
      <c r="M4595">
        <v>-0.1065101</v>
      </c>
      <c r="N4595">
        <v>-1.2283820000000001E-2</v>
      </c>
      <c r="O4595">
        <v>-0.99423569999999994</v>
      </c>
      <c r="P4595">
        <v>-0.14019229999999899</v>
      </c>
      <c r="Q4595">
        <v>0.17254529999999901</v>
      </c>
      <c r="R4595">
        <v>-0.97497409999999995</v>
      </c>
      <c r="S4595">
        <v>2.6550290000000002E-3</v>
      </c>
      <c r="T4595">
        <v>-0.1090926</v>
      </c>
      <c r="U4595">
        <v>-3.0965880000000001</v>
      </c>
      <c r="V4595">
        <v>3.5718470000000002E-2</v>
      </c>
      <c r="W4595">
        <v>0.18459030000000001</v>
      </c>
      <c r="X4595">
        <v>0.98216630000000005</v>
      </c>
      <c r="Y4595">
        <v>-0.1073388</v>
      </c>
      <c r="Z4595">
        <v>2.2526580000000001E-2</v>
      </c>
      <c r="AA4595">
        <v>0.9939673</v>
      </c>
      <c r="AB4595">
        <v>26</v>
      </c>
      <c r="AC4595">
        <v>7.0299999999974702E-2</v>
      </c>
      <c r="AD4595">
        <v>-1.1202403819173901</v>
      </c>
      <c r="AE4595">
        <v>-31.390957</v>
      </c>
      <c r="AF4595">
        <v>-3.40926460662098</v>
      </c>
      <c r="AG4595">
        <v>-1.1202403819173901</v>
      </c>
      <c r="AH4595">
        <v>31.165188075481499</v>
      </c>
      <c r="AI4595">
        <v>92.046426815493305</v>
      </c>
      <c r="AJ4595">
        <v>96.242953802147994</v>
      </c>
      <c r="AK4595">
        <v>31.371116834619901</v>
      </c>
      <c r="AL4595">
        <v>79.362753216151702</v>
      </c>
      <c r="AM4595">
        <v>87.917240611592007</v>
      </c>
      <c r="AN4595">
        <v>1.0000000144044601</v>
      </c>
    </row>
    <row r="4596" spans="1:40" x14ac:dyDescent="0.25">
      <c r="A4596" t="str">
        <f>"20190303170904066"</f>
        <v>20190303170904066</v>
      </c>
      <c r="B4596" t="str">
        <f>"1551604144058199"</f>
        <v>1551604144058199</v>
      </c>
      <c r="C4596" t="s">
        <v>40</v>
      </c>
      <c r="D4596">
        <v>4.9427859999999999</v>
      </c>
      <c r="E4596">
        <v>0.45030550000000003</v>
      </c>
      <c r="F4596" t="s">
        <v>59</v>
      </c>
      <c r="G4596">
        <v>-301.16370000000001</v>
      </c>
      <c r="H4596" s="1">
        <v>-9.794748999999999E-7</v>
      </c>
      <c r="I4596">
        <v>-41.662939999999999</v>
      </c>
      <c r="J4596">
        <v>-301.17739999999998</v>
      </c>
      <c r="K4596">
        <v>1.1208180000000001</v>
      </c>
      <c r="L4596">
        <v>-9.6054689999999994</v>
      </c>
      <c r="M4596">
        <v>-0.1065261</v>
      </c>
      <c r="N4596">
        <v>-1.2386579999999999E-2</v>
      </c>
      <c r="O4596">
        <v>-0.99423289999999998</v>
      </c>
      <c r="P4596">
        <v>-0.14253160000000001</v>
      </c>
      <c r="Q4596">
        <v>0.17087959999999999</v>
      </c>
      <c r="R4596">
        <v>-0.97492829999999997</v>
      </c>
      <c r="S4596">
        <v>-2.6245119999999999E-3</v>
      </c>
      <c r="T4596">
        <v>-0.1069039</v>
      </c>
      <c r="U4596">
        <v>-3.0955509999999999</v>
      </c>
      <c r="V4596">
        <v>3.7828250000000001E-2</v>
      </c>
      <c r="W4596">
        <v>0.18306829999999999</v>
      </c>
      <c r="X4596">
        <v>0.98237209999999997</v>
      </c>
      <c r="Y4596">
        <v>-0.1056604</v>
      </c>
      <c r="Z4596">
        <v>2.1741690000000001E-2</v>
      </c>
      <c r="AA4596">
        <v>0.99416459999999995</v>
      </c>
      <c r="AB4596">
        <v>26</v>
      </c>
      <c r="AC4596">
        <v>1.3699999999971599E-2</v>
      </c>
      <c r="AD4596">
        <v>-1.1208189794748999</v>
      </c>
      <c r="AE4596">
        <v>-32.057471</v>
      </c>
      <c r="AF4596">
        <v>-3.4246546041591599</v>
      </c>
      <c r="AG4596">
        <v>-1.1208189794748999</v>
      </c>
      <c r="AH4596">
        <v>31.834658855352899</v>
      </c>
      <c r="AI4596">
        <v>92.004850847424706</v>
      </c>
      <c r="AJ4596">
        <v>96.140054661416798</v>
      </c>
      <c r="AK4596">
        <v>32.037946232229601</v>
      </c>
      <c r="AL4596">
        <v>79.451468713192298</v>
      </c>
      <c r="AM4596">
        <v>87.794798167066205</v>
      </c>
      <c r="AN4596">
        <v>0.99999996091068</v>
      </c>
    </row>
    <row r="4597" spans="1:40" x14ac:dyDescent="0.25">
      <c r="A4597" t="str">
        <f>"20190303170904099"</f>
        <v>20190303170904099</v>
      </c>
      <c r="B4597" t="str">
        <f>"1551604144088455"</f>
        <v>1551604144088455</v>
      </c>
      <c r="C4597" t="s">
        <v>40</v>
      </c>
      <c r="D4597">
        <v>4.9060790000000001</v>
      </c>
      <c r="E4597">
        <v>0.4506561</v>
      </c>
      <c r="F4597" t="s">
        <v>59</v>
      </c>
      <c r="G4597">
        <v>-301.29820000000001</v>
      </c>
      <c r="H4597" s="1">
        <v>-8.4736419999999997E-7</v>
      </c>
      <c r="I4597">
        <v>-41.425629999999998</v>
      </c>
      <c r="J4597">
        <v>-301.21730000000002</v>
      </c>
      <c r="K4597">
        <v>1.1213420000000001</v>
      </c>
      <c r="L4597">
        <v>-9.9848630000000007</v>
      </c>
      <c r="M4597">
        <v>-0.1055567</v>
      </c>
      <c r="N4597">
        <v>-1.247296E-2</v>
      </c>
      <c r="O4597">
        <v>-0.99433530000000003</v>
      </c>
      <c r="P4597">
        <v>-0.14228869999999999</v>
      </c>
      <c r="Q4597">
        <v>0.16734089999999999</v>
      </c>
      <c r="R4597">
        <v>-0.97557749999999999</v>
      </c>
      <c r="S4597">
        <v>-1.1749269999999999E-2</v>
      </c>
      <c r="T4597">
        <v>-0.10900079999999999</v>
      </c>
      <c r="U4597">
        <v>-3.0945429999999998</v>
      </c>
      <c r="V4597">
        <v>3.828355E-2</v>
      </c>
      <c r="W4597">
        <v>0.1796635</v>
      </c>
      <c r="X4597">
        <v>0.98298289999999999</v>
      </c>
      <c r="Y4597">
        <v>-0.101759</v>
      </c>
      <c r="Z4597">
        <v>2.2349839999999999E-2</v>
      </c>
      <c r="AA4597">
        <v>0.99455800000000005</v>
      </c>
      <c r="AB4597">
        <v>26</v>
      </c>
      <c r="AC4597">
        <v>-8.0899999999985497E-2</v>
      </c>
      <c r="AD4597">
        <v>-1.1213428473642</v>
      </c>
      <c r="AE4597">
        <v>-31.440767000000001</v>
      </c>
      <c r="AF4597">
        <v>-3.2344787750223598</v>
      </c>
      <c r="AG4597">
        <v>-1.1213428473642</v>
      </c>
      <c r="AH4597">
        <v>31.233899724605902</v>
      </c>
      <c r="AI4597">
        <v>92.045191806264398</v>
      </c>
      <c r="AJ4597">
        <v>95.912286046775407</v>
      </c>
      <c r="AK4597">
        <v>31.420944523265799</v>
      </c>
      <c r="AL4597">
        <v>79.649839670623095</v>
      </c>
      <c r="AM4597">
        <v>87.769668413412703</v>
      </c>
      <c r="AN4597">
        <v>0.99999999256263095</v>
      </c>
    </row>
    <row r="4598" spans="1:40" x14ac:dyDescent="0.25">
      <c r="A4598" t="str">
        <f>"20190303170904136"</f>
        <v>20190303170904136</v>
      </c>
      <c r="B4598" t="str">
        <f>"1551604144128471"</f>
        <v>1551604144128471</v>
      </c>
      <c r="C4598" t="s">
        <v>40</v>
      </c>
      <c r="D4598">
        <v>4.9085080000000003</v>
      </c>
      <c r="E4598">
        <v>0.4510152</v>
      </c>
      <c r="F4598" t="s">
        <v>43</v>
      </c>
      <c r="G4598">
        <v>-301.3544</v>
      </c>
      <c r="H4598" s="1">
        <v>-8.9027419999999903E-7</v>
      </c>
      <c r="I4598">
        <v>-39.175640000000001</v>
      </c>
      <c r="J4598">
        <v>-301.25889999999998</v>
      </c>
      <c r="K4598">
        <v>1.1218840000000001</v>
      </c>
      <c r="L4598">
        <v>-10.39706</v>
      </c>
      <c r="M4598">
        <v>-0.10340240000000001</v>
      </c>
      <c r="N4598">
        <v>-1.255534E-2</v>
      </c>
      <c r="O4598">
        <v>-0.99456049999999996</v>
      </c>
      <c r="P4598">
        <v>-0.14209479999999999</v>
      </c>
      <c r="Q4598">
        <v>0.1648802</v>
      </c>
      <c r="R4598">
        <v>-0.97602480000000003</v>
      </c>
      <c r="S4598">
        <v>-1.452637E-2</v>
      </c>
      <c r="T4598">
        <v>-0.11883009999999999</v>
      </c>
      <c r="U4598">
        <v>-3.0933839999999999</v>
      </c>
      <c r="V4598">
        <v>3.9972189999999998E-2</v>
      </c>
      <c r="W4598">
        <v>0.17733779999999999</v>
      </c>
      <c r="X4598">
        <v>0.98333789999999999</v>
      </c>
      <c r="Y4598">
        <v>-9.8708400000000002E-2</v>
      </c>
      <c r="Z4598">
        <v>2.5437390000000001E-2</v>
      </c>
      <c r="AA4598">
        <v>0.99479119999999999</v>
      </c>
      <c r="AB4598">
        <v>26</v>
      </c>
      <c r="AC4598">
        <v>-9.5500000000015406E-2</v>
      </c>
      <c r="AD4598">
        <v>-1.1218848902742</v>
      </c>
      <c r="AE4598">
        <v>-28.778579999999899</v>
      </c>
      <c r="AF4598">
        <v>-2.8766487988196299</v>
      </c>
      <c r="AG4598">
        <v>-1.1218848902742</v>
      </c>
      <c r="AH4598">
        <v>28.590717967081702</v>
      </c>
      <c r="AI4598">
        <v>92.235826750244399</v>
      </c>
      <c r="AJ4598">
        <v>95.745466555393307</v>
      </c>
      <c r="AK4598">
        <v>28.756962424636999</v>
      </c>
      <c r="AL4598">
        <v>79.785267043334898</v>
      </c>
      <c r="AM4598">
        <v>87.672236994839807</v>
      </c>
      <c r="AN4598">
        <v>0.99999994842932105</v>
      </c>
    </row>
    <row r="4599" spans="1:40" x14ac:dyDescent="0.25">
      <c r="A4599" t="str">
        <f>"20190303170904166"</f>
        <v>20190303170904166</v>
      </c>
      <c r="B4599" t="str">
        <f>"1551604144158726"</f>
        <v>1551604144158726</v>
      </c>
      <c r="C4599" t="s">
        <v>40</v>
      </c>
      <c r="D4599">
        <v>4.8410019999999996</v>
      </c>
      <c r="E4599">
        <v>0.45120919999999998</v>
      </c>
      <c r="F4599" t="s">
        <v>43</v>
      </c>
      <c r="G4599">
        <v>-301.39069999999998</v>
      </c>
      <c r="H4599" s="1">
        <v>-1.0608089999999999E-6</v>
      </c>
      <c r="I4599">
        <v>-38.800649999999997</v>
      </c>
      <c r="J4599">
        <v>-301.29309999999998</v>
      </c>
      <c r="K4599">
        <v>1.122274</v>
      </c>
      <c r="L4599">
        <v>-10.75159</v>
      </c>
      <c r="M4599">
        <v>-0.1008502</v>
      </c>
      <c r="N4599">
        <v>-1.2615899999999999E-2</v>
      </c>
      <c r="O4599">
        <v>-0.99482170000000003</v>
      </c>
      <c r="P4599">
        <v>-0.1357411</v>
      </c>
      <c r="Q4599">
        <v>0.16276940000000001</v>
      </c>
      <c r="R4599">
        <v>-0.9772824</v>
      </c>
      <c r="S4599">
        <v>-1.434326E-2</v>
      </c>
      <c r="T4599">
        <v>-0.1221367</v>
      </c>
      <c r="U4599">
        <v>-3.0922239999999999</v>
      </c>
      <c r="V4599">
        <v>3.5911209999999999E-2</v>
      </c>
      <c r="W4599">
        <v>0.17531340000000001</v>
      </c>
      <c r="X4599">
        <v>0.98385750000000005</v>
      </c>
      <c r="Y4599">
        <v>-9.6212110000000003E-2</v>
      </c>
      <c r="Z4599">
        <v>2.6467480000000002E-2</v>
      </c>
      <c r="AA4599">
        <v>0.99500889999999997</v>
      </c>
      <c r="AB4599">
        <v>26</v>
      </c>
      <c r="AC4599">
        <v>-9.7599999999999895E-2</v>
      </c>
      <c r="AD4599">
        <v>-1.122275060809</v>
      </c>
      <c r="AE4599">
        <v>-28.049060000000001</v>
      </c>
      <c r="AF4599">
        <v>-2.7275095412143302</v>
      </c>
      <c r="AG4599">
        <v>-1.122275060809</v>
      </c>
      <c r="AH4599">
        <v>27.8712579145507</v>
      </c>
      <c r="AI4599">
        <v>92.2948978925848</v>
      </c>
      <c r="AJ4599">
        <v>95.5892261198764</v>
      </c>
      <c r="AK4599">
        <v>28.026876874688199</v>
      </c>
      <c r="AL4599">
        <v>79.903103354679601</v>
      </c>
      <c r="AM4599">
        <v>87.909608098162096</v>
      </c>
      <c r="AN4599">
        <v>0.99999999176473697</v>
      </c>
    </row>
    <row r="4600" spans="1:40" x14ac:dyDescent="0.25">
      <c r="A4600" t="str">
        <f>"20190303170904199"</f>
        <v>20190303170904199</v>
      </c>
      <c r="B4600" t="str">
        <f>"1551604144188007"</f>
        <v>1551604144188007</v>
      </c>
      <c r="C4600" t="s">
        <v>40</v>
      </c>
      <c r="D4600">
        <v>4.7834659999999998</v>
      </c>
      <c r="E4600">
        <v>0.45620929999999998</v>
      </c>
      <c r="F4600" t="s">
        <v>43</v>
      </c>
      <c r="G4600">
        <v>-301.2672</v>
      </c>
      <c r="H4600" s="1">
        <v>-1.4679329999999901E-6</v>
      </c>
      <c r="I4600">
        <v>-37.77505</v>
      </c>
      <c r="J4600">
        <v>-301.32749999999999</v>
      </c>
      <c r="K4600">
        <v>1.12256</v>
      </c>
      <c r="L4600">
        <v>-11.12604</v>
      </c>
      <c r="M4600">
        <v>-9.7692360000000006E-2</v>
      </c>
      <c r="N4600">
        <v>-1.266519E-2</v>
      </c>
      <c r="O4600">
        <v>-0.99513600000000002</v>
      </c>
      <c r="P4600">
        <v>-0.12671189999999999</v>
      </c>
      <c r="Q4600">
        <v>0.16580929999999999</v>
      </c>
      <c r="R4600">
        <v>-0.9779833</v>
      </c>
      <c r="S4600">
        <v>2.960205E-3</v>
      </c>
      <c r="T4600">
        <v>-0.12839110000000001</v>
      </c>
      <c r="U4600">
        <v>-3.0915530000000002</v>
      </c>
      <c r="V4600">
        <v>2.9882880000000001E-2</v>
      </c>
      <c r="W4600">
        <v>0.17839449999999901</v>
      </c>
      <c r="X4600">
        <v>0.98350519999999997</v>
      </c>
      <c r="Y4600">
        <v>-9.8618600000000001E-2</v>
      </c>
      <c r="Z4600">
        <v>2.8436900000000001E-2</v>
      </c>
      <c r="AA4600">
        <v>0.99471889999999996</v>
      </c>
      <c r="AB4600">
        <v>26</v>
      </c>
      <c r="AC4600">
        <v>6.0299999999983797E-2</v>
      </c>
      <c r="AD4600">
        <v>-1.122561467933</v>
      </c>
      <c r="AE4600">
        <v>-26.649009999999901</v>
      </c>
      <c r="AF4600">
        <v>-2.6589071906958099</v>
      </c>
      <c r="AG4600">
        <v>-1.122561467933</v>
      </c>
      <c r="AH4600">
        <v>26.4686604563665</v>
      </c>
      <c r="AI4600">
        <v>92.416367143036197</v>
      </c>
      <c r="AJ4600">
        <v>95.736398947412695</v>
      </c>
      <c r="AK4600">
        <v>26.625550098588398</v>
      </c>
      <c r="AL4600">
        <v>79.723742404248597</v>
      </c>
      <c r="AM4600">
        <v>88.259657080746706</v>
      </c>
      <c r="AN4600">
        <v>1.0000000312871899</v>
      </c>
    </row>
    <row r="4601" spans="1:40" x14ac:dyDescent="0.25">
      <c r="A4601" t="str">
        <f>"20190303170904232"</f>
        <v>20190303170904232</v>
      </c>
      <c r="B4601" t="str">
        <f>"1551604144218263"</f>
        <v>1551604144218263</v>
      </c>
      <c r="C4601" t="s">
        <v>40</v>
      </c>
      <c r="D4601">
        <v>4.8139969999999996</v>
      </c>
      <c r="E4601">
        <v>0.45767720000000001</v>
      </c>
      <c r="F4601" t="s">
        <v>59</v>
      </c>
      <c r="G4601">
        <v>-301.47489999999999</v>
      </c>
      <c r="H4601" s="1">
        <v>-4.5391110000000004E-6</v>
      </c>
      <c r="I4601">
        <v>-47.88496</v>
      </c>
      <c r="J4601">
        <v>-301.36110000000002</v>
      </c>
      <c r="K4601">
        <v>1.1226989999999999</v>
      </c>
      <c r="L4601">
        <v>-11.508509999999999</v>
      </c>
      <c r="M4601">
        <v>-9.424275E-2</v>
      </c>
      <c r="N4601">
        <v>-1.270452E-2</v>
      </c>
      <c r="O4601">
        <v>-0.99546809999999997</v>
      </c>
      <c r="P4601">
        <v>-0.1200513</v>
      </c>
      <c r="Q4601">
        <v>0.1698007</v>
      </c>
      <c r="R4601">
        <v>-0.97813870000000003</v>
      </c>
      <c r="S4601">
        <v>-1.235962E-2</v>
      </c>
      <c r="T4601">
        <v>-9.4117049999999994E-2</v>
      </c>
      <c r="U4601">
        <v>-3.081909</v>
      </c>
      <c r="V4601">
        <v>2.6601400000000001E-2</v>
      </c>
      <c r="W4601">
        <v>0.18240919999999999</v>
      </c>
      <c r="X4601">
        <v>0.98286280000000004</v>
      </c>
      <c r="Y4601">
        <v>-9.023283E-2</v>
      </c>
      <c r="Z4601">
        <v>1.7559519999999999E-2</v>
      </c>
      <c r="AA4601">
        <v>0.99576589999999998</v>
      </c>
      <c r="AB4601">
        <v>26</v>
      </c>
      <c r="AC4601">
        <v>-0.113799999999969</v>
      </c>
      <c r="AD4601">
        <v>-1.1227035391109901</v>
      </c>
      <c r="AE4601">
        <v>-36.376449999999998</v>
      </c>
      <c r="AF4601">
        <v>-3.3120453651942401</v>
      </c>
      <c r="AG4601">
        <v>-1.1227035391109901</v>
      </c>
      <c r="AH4601">
        <v>36.190773567871098</v>
      </c>
      <c r="AI4601">
        <v>91.769459685968997</v>
      </c>
      <c r="AJ4601">
        <v>95.228931852937805</v>
      </c>
      <c r="AK4601">
        <v>36.359348167682498</v>
      </c>
      <c r="AL4601">
        <v>79.489879735499002</v>
      </c>
      <c r="AM4601">
        <v>88.449655482775498</v>
      </c>
      <c r="AN4601">
        <v>1.0000000171752099</v>
      </c>
    </row>
    <row r="4602" spans="1:40" x14ac:dyDescent="0.25">
      <c r="A4602" t="str">
        <f>"20190303170904266"</f>
        <v>20190303170904266</v>
      </c>
      <c r="B4602" t="str">
        <f>"1551604144258279"</f>
        <v>1551604144258279</v>
      </c>
      <c r="C4602" t="s">
        <v>40</v>
      </c>
      <c r="D4602">
        <v>4.7971279999999998</v>
      </c>
      <c r="E4602">
        <v>0.45841609999999999</v>
      </c>
      <c r="F4602" t="s">
        <v>59</v>
      </c>
      <c r="G4602">
        <v>-301.43099999999998</v>
      </c>
      <c r="H4602" s="1">
        <v>-6.0450340000000002E-6</v>
      </c>
      <c r="I4602">
        <v>-50.961359999999999</v>
      </c>
      <c r="J4602">
        <v>-301.39330000000001</v>
      </c>
      <c r="K4602">
        <v>1.1227210000000001</v>
      </c>
      <c r="L4602">
        <v>-11.891690000000001</v>
      </c>
      <c r="M4602">
        <v>-9.0749380000000004E-2</v>
      </c>
      <c r="N4602">
        <v>-1.273577E-2</v>
      </c>
      <c r="O4602">
        <v>-0.99579229999999996</v>
      </c>
      <c r="P4602">
        <v>-0.1186282</v>
      </c>
      <c r="Q4602">
        <v>0.17097960000000001</v>
      </c>
      <c r="R4602">
        <v>-0.97810680000000005</v>
      </c>
      <c r="S4602">
        <v>-5.4626459999999998E-3</v>
      </c>
      <c r="T4602">
        <v>-8.7692859999999997E-2</v>
      </c>
      <c r="U4602">
        <v>-3.081604</v>
      </c>
      <c r="V4602">
        <v>2.8642399999999998E-2</v>
      </c>
      <c r="W4602">
        <v>0.18362329999999999</v>
      </c>
      <c r="X4602">
        <v>0.98257930000000004</v>
      </c>
      <c r="Y4602">
        <v>-8.8968019999999995E-2</v>
      </c>
      <c r="Z4602">
        <v>1.548101E-2</v>
      </c>
      <c r="AA4602">
        <v>0.99591419999999997</v>
      </c>
      <c r="AB4602">
        <v>26</v>
      </c>
      <c r="AC4602">
        <v>-3.7699999999972499E-2</v>
      </c>
      <c r="AD4602">
        <v>-1.1227270450339999</v>
      </c>
      <c r="AE4602">
        <v>-39.069670000000002</v>
      </c>
      <c r="AF4602">
        <v>-3.5053968589652702</v>
      </c>
      <c r="AG4602">
        <v>-1.1227270450339999</v>
      </c>
      <c r="AH4602">
        <v>38.879748138926303</v>
      </c>
      <c r="AI4602">
        <v>91.647387092990797</v>
      </c>
      <c r="AJ4602">
        <v>95.151856291209597</v>
      </c>
      <c r="AK4602">
        <v>39.053593157388697</v>
      </c>
      <c r="AL4602">
        <v>79.419121548248299</v>
      </c>
      <c r="AM4602">
        <v>88.330288413635202</v>
      </c>
      <c r="AN4602">
        <v>0.99999999208457002</v>
      </c>
    </row>
    <row r="4603" spans="1:40" x14ac:dyDescent="0.25">
      <c r="A4603" t="str">
        <f>"20190303170904300"</f>
        <v>20190303170904300</v>
      </c>
      <c r="B4603" t="str">
        <f>"1551604144288535"</f>
        <v>1551604144288535</v>
      </c>
      <c r="C4603" t="s">
        <v>40</v>
      </c>
      <c r="D4603">
        <v>4.7610429999999999</v>
      </c>
      <c r="E4603">
        <v>0.4587215</v>
      </c>
      <c r="F4603" t="s">
        <v>59</v>
      </c>
      <c r="G4603">
        <v>-301.47640000000001</v>
      </c>
      <c r="H4603" s="1">
        <v>-7.5634280000000002E-6</v>
      </c>
      <c r="I4603">
        <v>-54.682830000000003</v>
      </c>
      <c r="J4603">
        <v>-301.42349999999999</v>
      </c>
      <c r="K4603">
        <v>1.1227020000000001</v>
      </c>
      <c r="L4603">
        <v>-12.267670000000001</v>
      </c>
      <c r="M4603">
        <v>-8.7410340000000003E-2</v>
      </c>
      <c r="N4603">
        <v>-1.275987E-2</v>
      </c>
      <c r="O4603">
        <v>-0.9960907</v>
      </c>
      <c r="P4603">
        <v>-0.11660280000000001</v>
      </c>
      <c r="Q4603">
        <v>0.173058399999999</v>
      </c>
      <c r="R4603">
        <v>-0.9779852</v>
      </c>
      <c r="S4603">
        <v>-5.9814450000000002E-3</v>
      </c>
      <c r="T4603">
        <v>-8.0825330000000001E-2</v>
      </c>
      <c r="U4603">
        <v>-3.0805359999999999</v>
      </c>
      <c r="V4603">
        <v>2.9946440000000001E-2</v>
      </c>
      <c r="W4603">
        <v>0.1857229</v>
      </c>
      <c r="X4603">
        <v>0.98214570000000001</v>
      </c>
      <c r="Y4603">
        <v>-8.5461869999999995E-2</v>
      </c>
      <c r="Z4603">
        <v>1.327328E-2</v>
      </c>
      <c r="AA4603">
        <v>0.99625300000000006</v>
      </c>
      <c r="AB4603">
        <v>26</v>
      </c>
      <c r="AC4603">
        <v>-5.2900000000022297E-2</v>
      </c>
      <c r="AD4603">
        <v>-1.122709563428</v>
      </c>
      <c r="AE4603">
        <v>-42.41516</v>
      </c>
      <c r="AF4603">
        <v>-3.6525686883754598</v>
      </c>
      <c r="AG4603">
        <v>-1.122709563428</v>
      </c>
      <c r="AH4603">
        <v>42.227822956138397</v>
      </c>
      <c r="AI4603">
        <v>91.517299252619395</v>
      </c>
      <c r="AJ4603">
        <v>94.943593388793502</v>
      </c>
      <c r="AK4603">
        <v>42.400362809793002</v>
      </c>
      <c r="AL4603">
        <v>79.296717835898704</v>
      </c>
      <c r="AM4603">
        <v>88.253545072569594</v>
      </c>
      <c r="AN4603">
        <v>0.99999998044078597</v>
      </c>
    </row>
    <row r="4604" spans="1:40" x14ac:dyDescent="0.25">
      <c r="A4604" t="str">
        <f>"20190303170904335"</f>
        <v>20190303170904335</v>
      </c>
      <c r="B4604" t="str">
        <f>"1551604144328552"</f>
        <v>1551604144328552</v>
      </c>
      <c r="C4604" t="s">
        <v>40</v>
      </c>
      <c r="D4604">
        <v>4.7769360000000001</v>
      </c>
      <c r="E4604">
        <v>0.4595069</v>
      </c>
      <c r="F4604" t="s">
        <v>59</v>
      </c>
      <c r="G4604">
        <v>-301.43869999999998</v>
      </c>
      <c r="H4604" s="1">
        <v>-9.7435939999999996E-6</v>
      </c>
      <c r="I4604">
        <v>-59.96331</v>
      </c>
      <c r="J4604">
        <v>-301.4538</v>
      </c>
      <c r="K4604">
        <v>1.1226609999999999</v>
      </c>
      <c r="L4604">
        <v>-12.658939999999999</v>
      </c>
      <c r="M4604">
        <v>-8.4051210000000001E-2</v>
      </c>
      <c r="N4604">
        <v>-1.277992E-2</v>
      </c>
      <c r="O4604">
        <v>-0.99637969999999998</v>
      </c>
      <c r="P4604">
        <v>-0.11522499999999999</v>
      </c>
      <c r="Q4604">
        <v>0.17339209999999999</v>
      </c>
      <c r="R4604">
        <v>-0.97808949999999995</v>
      </c>
      <c r="S4604">
        <v>-9.765625E-4</v>
      </c>
      <c r="T4604">
        <v>-7.2505829999999993E-2</v>
      </c>
      <c r="U4604">
        <v>-3.0802309999999999</v>
      </c>
      <c r="V4604">
        <v>3.1903569999999999E-2</v>
      </c>
      <c r="W4604">
        <v>0.18607850000000001</v>
      </c>
      <c r="X4604">
        <v>0.98201680000000002</v>
      </c>
      <c r="Y4604">
        <v>-8.3722660000000004E-2</v>
      </c>
      <c r="Z4604">
        <v>1.0588230000000001E-2</v>
      </c>
      <c r="AA4604">
        <v>0.99643280000000001</v>
      </c>
      <c r="AB4604">
        <v>26</v>
      </c>
      <c r="AC4604">
        <v>1.5100000000018101E-2</v>
      </c>
      <c r="AD4604">
        <v>-1.122670743594</v>
      </c>
      <c r="AE4604">
        <v>-47.304369999999999</v>
      </c>
      <c r="AF4604">
        <v>-3.9891130815458098</v>
      </c>
      <c r="AG4604">
        <v>-1.122670743594</v>
      </c>
      <c r="AH4604">
        <v>47.1091495877669</v>
      </c>
      <c r="AI4604">
        <v>91.360306238427398</v>
      </c>
      <c r="AJ4604">
        <v>94.840150970008196</v>
      </c>
      <c r="AK4604">
        <v>47.2910709083488</v>
      </c>
      <c r="AL4604">
        <v>79.275982437193505</v>
      </c>
      <c r="AM4604">
        <v>88.139240372377998</v>
      </c>
      <c r="AN4604">
        <v>1.00000002071161</v>
      </c>
    </row>
    <row r="4605" spans="1:40" x14ac:dyDescent="0.25">
      <c r="A4605" t="str">
        <f>"20190303170904367"</f>
        <v>20190303170904367</v>
      </c>
      <c r="B4605" t="str">
        <f>"1551604144357832"</f>
        <v>1551604144357832</v>
      </c>
      <c r="C4605" t="s">
        <v>40</v>
      </c>
      <c r="D4605">
        <v>4.797142</v>
      </c>
      <c r="E4605">
        <v>0.45966620000000002</v>
      </c>
      <c r="F4605" t="s">
        <v>59</v>
      </c>
      <c r="G4605">
        <v>-301.48430000000002</v>
      </c>
      <c r="H4605" s="1">
        <v>-9.1450070000000005E-6</v>
      </c>
      <c r="I4605">
        <v>-58.564770000000003</v>
      </c>
      <c r="J4605">
        <v>-301.48180000000002</v>
      </c>
      <c r="K4605">
        <v>1.122614</v>
      </c>
      <c r="L4605">
        <v>-13.03687</v>
      </c>
      <c r="M4605">
        <v>-8.0909889999999998E-2</v>
      </c>
      <c r="N4605">
        <v>-1.2794979999999999E-2</v>
      </c>
      <c r="O4605">
        <v>-0.99663950000000001</v>
      </c>
      <c r="P4605">
        <v>-0.1131947</v>
      </c>
      <c r="Q4605">
        <v>0.17199120000000001</v>
      </c>
      <c r="R4605">
        <v>-0.97857380000000005</v>
      </c>
      <c r="S4605">
        <v>-2.0446779999999999E-3</v>
      </c>
      <c r="T4605">
        <v>-7.5332159999999995E-2</v>
      </c>
      <c r="U4605">
        <v>-3.0803219999999998</v>
      </c>
      <c r="V4605">
        <v>3.2970380000000001E-2</v>
      </c>
      <c r="W4605">
        <v>0.18469479999999999</v>
      </c>
      <c r="X4605">
        <v>0.98224279999999997</v>
      </c>
      <c r="Y4605">
        <v>-8.023574E-2</v>
      </c>
      <c r="Z4605">
        <v>1.149617E-2</v>
      </c>
      <c r="AA4605">
        <v>0.99670959999999997</v>
      </c>
      <c r="AB4605">
        <v>26</v>
      </c>
      <c r="AC4605">
        <v>-2.4999999999977202E-3</v>
      </c>
      <c r="AD4605">
        <v>-1.1226231450069999</v>
      </c>
      <c r="AE4605">
        <v>-45.527900000000002</v>
      </c>
      <c r="AF4605">
        <v>-3.6792293615195999</v>
      </c>
      <c r="AG4605">
        <v>-1.1226231450069999</v>
      </c>
      <c r="AH4605">
        <v>45.351236890033498</v>
      </c>
      <c r="AI4605">
        <v>91.413366777222606</v>
      </c>
      <c r="AJ4605">
        <v>94.638101752211398</v>
      </c>
      <c r="AK4605">
        <v>45.514082423754402</v>
      </c>
      <c r="AL4605">
        <v>79.356661619448602</v>
      </c>
      <c r="AM4605">
        <v>88.077507282578097</v>
      </c>
      <c r="AN4605">
        <v>1.0000000666281099</v>
      </c>
    </row>
    <row r="4606" spans="1:40" x14ac:dyDescent="0.25">
      <c r="A4606" t="str">
        <f>"20190303170904400"</f>
        <v>20190303170904400</v>
      </c>
      <c r="B4606" t="str">
        <f>"1551604144388087"</f>
        <v>1551604144388087</v>
      </c>
      <c r="C4606" t="s">
        <v>40</v>
      </c>
      <c r="D4606">
        <v>4.8124739999999999</v>
      </c>
      <c r="E4606">
        <v>0.45993519999999999</v>
      </c>
      <c r="F4606" t="s">
        <v>59</v>
      </c>
      <c r="G4606">
        <v>-301.42680000000001</v>
      </c>
      <c r="H4606" s="1">
        <v>-8.3784029999999907E-6</v>
      </c>
      <c r="I4606">
        <v>-56.690800000000003</v>
      </c>
      <c r="J4606">
        <v>-301.50839999999999</v>
      </c>
      <c r="K4606">
        <v>1.1225579999999999</v>
      </c>
      <c r="L4606">
        <v>-13.41095</v>
      </c>
      <c r="M4606">
        <v>-7.7887890000000001E-2</v>
      </c>
      <c r="N4606">
        <v>-1.28034E-2</v>
      </c>
      <c r="O4606">
        <v>-0.99687990000000004</v>
      </c>
      <c r="P4606">
        <v>-0.1104218</v>
      </c>
      <c r="Q4606">
        <v>0.17103979999999999</v>
      </c>
      <c r="R4606">
        <v>-0.97905699999999996</v>
      </c>
      <c r="S4606">
        <v>3.8757319999999998E-3</v>
      </c>
      <c r="T4606">
        <v>-7.9207780000000005E-2</v>
      </c>
      <c r="U4606">
        <v>-3.0800480000000001</v>
      </c>
      <c r="V4606">
        <v>3.318074E-2</v>
      </c>
      <c r="W4606">
        <v>0.18375040000000001</v>
      </c>
      <c r="X4606">
        <v>0.98241279999999997</v>
      </c>
      <c r="Y4606">
        <v>-7.9129050000000006E-2</v>
      </c>
      <c r="Z4606">
        <v>1.2748550000000001E-2</v>
      </c>
      <c r="AA4606">
        <v>0.99678279999999997</v>
      </c>
      <c r="AB4606">
        <v>26</v>
      </c>
      <c r="AC4606">
        <v>8.1599999999980299E-2</v>
      </c>
      <c r="AD4606">
        <v>-1.122566378403</v>
      </c>
      <c r="AE4606">
        <v>-43.279850000000003</v>
      </c>
      <c r="AF4606">
        <v>-3.4502834563063298</v>
      </c>
      <c r="AG4606">
        <v>-1.122566378403</v>
      </c>
      <c r="AH4606">
        <v>43.112989331743897</v>
      </c>
      <c r="AI4606">
        <v>91.486766350462403</v>
      </c>
      <c r="AJ4606">
        <v>94.575564387843301</v>
      </c>
      <c r="AK4606">
        <v>43.265395645040002</v>
      </c>
      <c r="AL4606">
        <v>79.411713716643106</v>
      </c>
      <c r="AM4606">
        <v>88.065585089492501</v>
      </c>
      <c r="AN4606">
        <v>1.0000000403054701</v>
      </c>
    </row>
    <row r="4607" spans="1:40" x14ac:dyDescent="0.25">
      <c r="A4607" t="str">
        <f>"20190303170904434"</f>
        <v>20190303170904434</v>
      </c>
      <c r="B4607" t="str">
        <f>"1551604144428103"</f>
        <v>1551604144428103</v>
      </c>
      <c r="C4607" t="s">
        <v>40</v>
      </c>
      <c r="D4607">
        <v>4.8784660000000004</v>
      </c>
      <c r="E4607">
        <v>0.46022809999999997</v>
      </c>
      <c r="F4607" t="s">
        <v>59</v>
      </c>
      <c r="G4607">
        <v>-301.36279999999999</v>
      </c>
      <c r="H4607" s="1">
        <v>-7.6541500000000002E-6</v>
      </c>
      <c r="I4607">
        <v>-54.921759999999999</v>
      </c>
      <c r="J4607">
        <v>-301.53469999999999</v>
      </c>
      <c r="K4607">
        <v>1.122501</v>
      </c>
      <c r="L4607">
        <v>-13.79651</v>
      </c>
      <c r="M4607">
        <v>-7.4843359999999998E-2</v>
      </c>
      <c r="N4607">
        <v>-1.2797279999999999E-2</v>
      </c>
      <c r="O4607">
        <v>-0.99711329999999998</v>
      </c>
      <c r="P4607">
        <v>-0.1045488</v>
      </c>
      <c r="Q4607">
        <v>0.17116700000000001</v>
      </c>
      <c r="R4607">
        <v>-0.97967930000000003</v>
      </c>
      <c r="S4607">
        <v>1.0803220000000001E-2</v>
      </c>
      <c r="T4607">
        <v>-8.3290459999999997E-2</v>
      </c>
      <c r="U4607">
        <v>-3.0799560000000001</v>
      </c>
      <c r="V4607">
        <v>3.0308310000000001E-2</v>
      </c>
      <c r="W4607">
        <v>0.1838582</v>
      </c>
      <c r="X4607">
        <v>0.98248539999999995</v>
      </c>
      <c r="Y4607">
        <v>-7.8326370000000006E-2</v>
      </c>
      <c r="Z4607">
        <v>1.408103E-2</v>
      </c>
      <c r="AA4607">
        <v>0.9968283</v>
      </c>
      <c r="AB4607">
        <v>25</v>
      </c>
      <c r="AC4607">
        <v>0.171899999999993</v>
      </c>
      <c r="AD4607">
        <v>-1.12250865415</v>
      </c>
      <c r="AE4607">
        <v>-41.125250000000001</v>
      </c>
      <c r="AF4607">
        <v>-3.2472022400188401</v>
      </c>
      <c r="AG4607">
        <v>-1.12250865415</v>
      </c>
      <c r="AH4607">
        <v>40.966500665544999</v>
      </c>
      <c r="AI4607">
        <v>91.564643635662193</v>
      </c>
      <c r="AJ4607">
        <v>94.532063895835407</v>
      </c>
      <c r="AK4607">
        <v>41.1103213906961</v>
      </c>
      <c r="AL4607">
        <v>79.405429706590496</v>
      </c>
      <c r="AM4607">
        <v>88.233065132316597</v>
      </c>
      <c r="AN4607">
        <v>0.99999999628772795</v>
      </c>
    </row>
    <row r="4608" spans="1:40" x14ac:dyDescent="0.25">
      <c r="A4608" t="str">
        <f>"20190303170904468"</f>
        <v>20190303170904468</v>
      </c>
      <c r="B4608" t="str">
        <f>"1551604144458359"</f>
        <v>1551604144458359</v>
      </c>
      <c r="C4608" t="s">
        <v>40</v>
      </c>
      <c r="D4608">
        <v>4.8683860000000001</v>
      </c>
      <c r="E4608">
        <v>0.46049050000000002</v>
      </c>
      <c r="F4608" t="s">
        <v>59</v>
      </c>
      <c r="G4608">
        <v>-301.18009999999998</v>
      </c>
      <c r="H4608" s="1">
        <v>-7.7610680000000001E-6</v>
      </c>
      <c r="I4608">
        <v>-55.210279999999997</v>
      </c>
      <c r="J4608">
        <v>-301.55959999999999</v>
      </c>
      <c r="K4608">
        <v>1.122476</v>
      </c>
      <c r="L4608">
        <v>-14.174899999999999</v>
      </c>
      <c r="M4608">
        <v>-7.1904709999999997E-2</v>
      </c>
      <c r="N4608">
        <v>-1.2777210000000001E-2</v>
      </c>
      <c r="O4608">
        <v>-0.99732980000000004</v>
      </c>
      <c r="P4608">
        <v>-9.9903400000000003E-2</v>
      </c>
      <c r="Q4608">
        <v>0.17251279999999999</v>
      </c>
      <c r="R4608">
        <v>-0.97992809999999997</v>
      </c>
      <c r="S4608">
        <v>2.6367189999999999E-2</v>
      </c>
      <c r="T4608">
        <v>-8.3472249999999998E-2</v>
      </c>
      <c r="U4608">
        <v>-3.0796199999999998</v>
      </c>
      <c r="V4608">
        <v>2.8571590000000001E-2</v>
      </c>
      <c r="W4608">
        <v>0.18517320000000001</v>
      </c>
      <c r="X4608">
        <v>0.98229040000000001</v>
      </c>
      <c r="Y4608">
        <v>-8.0425880000000005E-2</v>
      </c>
      <c r="Z4608">
        <v>1.416652E-2</v>
      </c>
      <c r="AA4608">
        <v>0.99665990000000004</v>
      </c>
      <c r="AB4608">
        <v>25</v>
      </c>
      <c r="AC4608">
        <v>0.379500000000007</v>
      </c>
      <c r="AD4608">
        <v>-1.1224837610680001</v>
      </c>
      <c r="AE4608">
        <v>-41.035379999999897</v>
      </c>
      <c r="AF4608">
        <v>-3.3269059613430101</v>
      </c>
      <c r="AG4608">
        <v>-1.1224837610680001</v>
      </c>
      <c r="AH4608">
        <v>40.871273706173596</v>
      </c>
      <c r="AI4608">
        <v>91.567985493069003</v>
      </c>
      <c r="AJ4608">
        <v>94.653594435361796</v>
      </c>
      <c r="AK4608">
        <v>41.021814775000301</v>
      </c>
      <c r="AL4608">
        <v>79.328768850954006</v>
      </c>
      <c r="AM4608">
        <v>88.333924374638897</v>
      </c>
      <c r="AN4608">
        <v>0.99999993984276203</v>
      </c>
    </row>
    <row r="4609" spans="1:40" x14ac:dyDescent="0.25">
      <c r="A4609" t="str">
        <f>"20190303170904504"</f>
        <v>20190303170904504</v>
      </c>
      <c r="B4609" t="str">
        <f>"1551604144498375"</f>
        <v>1551604144498375</v>
      </c>
      <c r="C4609" t="s">
        <v>40</v>
      </c>
      <c r="D4609">
        <v>4.8927069999999997</v>
      </c>
      <c r="E4609">
        <v>0.46076990000000001</v>
      </c>
      <c r="F4609" t="s">
        <v>59</v>
      </c>
      <c r="G4609">
        <v>-301.00779999999997</v>
      </c>
      <c r="H4609" s="1">
        <v>-8.768401E-6</v>
      </c>
      <c r="I4609">
        <v>-57.708030000000001</v>
      </c>
      <c r="J4609">
        <v>-301.58440000000002</v>
      </c>
      <c r="K4609">
        <v>1.122449</v>
      </c>
      <c r="L4609">
        <v>-14.573270000000001</v>
      </c>
      <c r="M4609">
        <v>-6.8841579999999999E-2</v>
      </c>
      <c r="N4609">
        <v>-1.272771E-2</v>
      </c>
      <c r="O4609">
        <v>-0.99754670000000001</v>
      </c>
      <c r="P4609">
        <v>-9.3930330000000006E-2</v>
      </c>
      <c r="Q4609">
        <v>0.17305479999999901</v>
      </c>
      <c r="R4609">
        <v>-0.98042320000000005</v>
      </c>
      <c r="S4609">
        <v>3.9031980000000001E-2</v>
      </c>
      <c r="T4609">
        <v>-7.9401250000000007E-2</v>
      </c>
      <c r="U4609">
        <v>-3.0794069999999998</v>
      </c>
      <c r="V4609">
        <v>2.5608309999999999E-2</v>
      </c>
      <c r="W4609">
        <v>0.18565590000000001</v>
      </c>
      <c r="X4609">
        <v>0.98228110000000002</v>
      </c>
      <c r="Y4609">
        <v>-8.1464620000000001E-2</v>
      </c>
      <c r="Z4609">
        <v>1.29093E-2</v>
      </c>
      <c r="AA4609">
        <v>0.99659260000000005</v>
      </c>
      <c r="AB4609">
        <v>25</v>
      </c>
      <c r="AC4609">
        <v>0.57660000000004097</v>
      </c>
      <c r="AD4609">
        <v>-1.122457768401</v>
      </c>
      <c r="AE4609">
        <v>-43.13476</v>
      </c>
      <c r="AF4609">
        <v>-3.5425381755190402</v>
      </c>
      <c r="AG4609">
        <v>-1.122457768401</v>
      </c>
      <c r="AH4609">
        <v>42.9636258350343</v>
      </c>
      <c r="AI4609">
        <v>91.4914966253735</v>
      </c>
      <c r="AJ4609">
        <v>94.713623795988497</v>
      </c>
      <c r="AK4609">
        <v>43.1240377638699</v>
      </c>
      <c r="AL4609">
        <v>79.300625124247702</v>
      </c>
      <c r="AM4609">
        <v>88.506623195623803</v>
      </c>
      <c r="AN4609">
        <v>1.0000000290815301</v>
      </c>
    </row>
    <row r="4610" spans="1:40" x14ac:dyDescent="0.25">
      <c r="A4610" t="str">
        <f>"20190303170904548"</f>
        <v>20190303170904548</v>
      </c>
      <c r="B4610" t="str">
        <f>"1551604144538391"</f>
        <v>1551604144538391</v>
      </c>
      <c r="C4610" t="s">
        <v>40</v>
      </c>
      <c r="D4610">
        <v>4.9075499999999996</v>
      </c>
      <c r="E4610">
        <v>0.46797620000000001</v>
      </c>
      <c r="F4610" t="s">
        <v>59</v>
      </c>
      <c r="G4610">
        <v>-300.78449999999998</v>
      </c>
      <c r="H4610" s="1">
        <v>-9.2489140000000005E-6</v>
      </c>
      <c r="I4610">
        <v>-58.919600000000003</v>
      </c>
      <c r="J4610">
        <v>-301.61369999999999</v>
      </c>
      <c r="K4610">
        <v>1.1224430000000001</v>
      </c>
      <c r="L4610">
        <v>-15.06644</v>
      </c>
      <c r="M4610">
        <v>-6.5055890000000005E-2</v>
      </c>
      <c r="N4610">
        <v>-1.263836E-2</v>
      </c>
      <c r="O4610">
        <v>-0.99780179999999996</v>
      </c>
      <c r="P4610">
        <v>-8.7530689999999994E-2</v>
      </c>
      <c r="Q4610">
        <v>0.1748091</v>
      </c>
      <c r="R4610">
        <v>-0.98070409999999997</v>
      </c>
      <c r="S4610">
        <v>5.5541989999999999E-2</v>
      </c>
      <c r="T4610">
        <v>-7.7932600000000005E-2</v>
      </c>
      <c r="U4610">
        <v>-3.0789789999999999</v>
      </c>
      <c r="V4610">
        <v>2.2936439999999999E-2</v>
      </c>
      <c r="W4610">
        <v>0.18731</v>
      </c>
      <c r="X4610">
        <v>0.98203300000000004</v>
      </c>
      <c r="Y4610">
        <v>-8.3027069999999994E-2</v>
      </c>
      <c r="Z4610">
        <v>1.253318E-2</v>
      </c>
      <c r="AA4610">
        <v>0.99646849999999998</v>
      </c>
      <c r="AB4610">
        <v>25</v>
      </c>
      <c r="AC4610">
        <v>0.82920000000001404</v>
      </c>
      <c r="AD4610">
        <v>-1.1224522489139901</v>
      </c>
      <c r="AE4610">
        <v>-43.853159999999903</v>
      </c>
      <c r="AF4610">
        <v>-3.6781679207908402</v>
      </c>
      <c r="AG4610">
        <v>-1.1224522489139901</v>
      </c>
      <c r="AH4610">
        <v>43.677694198011999</v>
      </c>
      <c r="AI4610">
        <v>91.466903058290697</v>
      </c>
      <c r="AJ4610">
        <v>94.813611207076704</v>
      </c>
      <c r="AK4610">
        <v>43.846662230546997</v>
      </c>
      <c r="AL4610">
        <v>79.204159290491702</v>
      </c>
      <c r="AM4610">
        <v>88.662038519972199</v>
      </c>
      <c r="AN4610">
        <v>0.99999996473443598</v>
      </c>
    </row>
    <row r="4611" spans="1:40" x14ac:dyDescent="0.25">
      <c r="A4611" t="str">
        <f>"20190303170904592"</f>
        <v>20190303170904592</v>
      </c>
      <c r="B4611" t="str">
        <f>"1551604144578407"</f>
        <v>1551604144578407</v>
      </c>
      <c r="C4611" t="s">
        <v>40</v>
      </c>
      <c r="D4611">
        <v>4.7466650000000001</v>
      </c>
      <c r="E4611">
        <v>0.46817330000000001</v>
      </c>
      <c r="F4611" t="s">
        <v>59</v>
      </c>
      <c r="G4611">
        <v>-301.39679999999998</v>
      </c>
      <c r="H4611" s="1">
        <v>-4.5579089999999996E-6</v>
      </c>
      <c r="I4611">
        <v>-47.930750000000003</v>
      </c>
      <c r="J4611">
        <v>-301.64120000000003</v>
      </c>
      <c r="K4611">
        <v>1.1224240000000001</v>
      </c>
      <c r="L4611">
        <v>-15.562900000000001</v>
      </c>
      <c r="M4611">
        <v>-6.1225410000000001E-2</v>
      </c>
      <c r="N4611">
        <v>-1.252142E-2</v>
      </c>
      <c r="O4611">
        <v>-0.99804550000000003</v>
      </c>
      <c r="P4611">
        <v>-8.3267729999999998E-2</v>
      </c>
      <c r="Q4611">
        <v>0.17494370000000001</v>
      </c>
      <c r="R4611">
        <v>-0.98105129999999996</v>
      </c>
      <c r="S4611">
        <v>2.0324709999999999E-2</v>
      </c>
      <c r="T4611">
        <v>-0.1051803</v>
      </c>
      <c r="U4611">
        <v>-3.07959</v>
      </c>
      <c r="V4611">
        <v>2.2437990000000001E-2</v>
      </c>
      <c r="W4611">
        <v>0.1873283</v>
      </c>
      <c r="X4611">
        <v>0.9820411</v>
      </c>
      <c r="Y4611">
        <v>-6.7794770000000004E-2</v>
      </c>
      <c r="Z4611">
        <v>2.1479069999999999E-2</v>
      </c>
      <c r="AA4611">
        <v>0.99746809999999997</v>
      </c>
      <c r="AB4611">
        <v>25</v>
      </c>
      <c r="AC4611">
        <v>0.244400000000041</v>
      </c>
      <c r="AD4611">
        <v>-1.1224285579090001</v>
      </c>
      <c r="AE4611">
        <v>-32.367849999999997</v>
      </c>
      <c r="AF4611">
        <v>-2.2231583051656201</v>
      </c>
      <c r="AG4611">
        <v>-1.1224285579090001</v>
      </c>
      <c r="AH4611">
        <v>32.253369712409103</v>
      </c>
      <c r="AI4611">
        <v>91.9883947571862</v>
      </c>
      <c r="AJ4611">
        <v>93.943043349937099</v>
      </c>
      <c r="AK4611">
        <v>32.349376138076998</v>
      </c>
      <c r="AL4611">
        <v>79.203092692179297</v>
      </c>
      <c r="AM4611">
        <v>88.691115388730097</v>
      </c>
      <c r="AN4611">
        <v>1.00000003873266</v>
      </c>
    </row>
    <row r="4612" spans="1:40" x14ac:dyDescent="0.25">
      <c r="A4612" t="str">
        <f>"20190303170904635"</f>
        <v>20190303170904635</v>
      </c>
      <c r="B4612" t="str">
        <f>"1551604144628183"</f>
        <v>1551604144628183</v>
      </c>
      <c r="C4612" t="s">
        <v>40</v>
      </c>
      <c r="D4612">
        <v>4.7768949999999997</v>
      </c>
      <c r="E4612">
        <v>0.46887909999999999</v>
      </c>
      <c r="F4612" t="s">
        <v>59</v>
      </c>
      <c r="G4612">
        <v>-301.30180000000001</v>
      </c>
      <c r="H4612" s="1">
        <v>-5.33273699999999E-6</v>
      </c>
      <c r="I4612">
        <v>-49.462229999999998</v>
      </c>
      <c r="J4612">
        <v>-301.66730000000001</v>
      </c>
      <c r="K4612">
        <v>1.122395</v>
      </c>
      <c r="L4612">
        <v>-16.07123</v>
      </c>
      <c r="M4612">
        <v>-5.728507E-2</v>
      </c>
      <c r="N4612">
        <v>-1.2348110000000001E-2</v>
      </c>
      <c r="O4612">
        <v>-0.9982818</v>
      </c>
      <c r="P4612">
        <v>-8.086728E-2</v>
      </c>
      <c r="Q4612">
        <v>0.1749744</v>
      </c>
      <c r="R4612">
        <v>-0.98124659999999997</v>
      </c>
      <c r="S4612">
        <v>3.0822749999999999E-2</v>
      </c>
      <c r="T4612">
        <v>-0.101939</v>
      </c>
      <c r="U4612">
        <v>-3.078735</v>
      </c>
      <c r="V4612">
        <v>2.3915639999999998E-2</v>
      </c>
      <c r="W4612">
        <v>0.1871929</v>
      </c>
      <c r="X4612">
        <v>0.98203200000000002</v>
      </c>
      <c r="Y4612">
        <v>-6.7260059999999997E-2</v>
      </c>
      <c r="Z4612">
        <v>2.0625299999999999E-2</v>
      </c>
      <c r="AA4612">
        <v>0.99752229999999997</v>
      </c>
      <c r="AB4612">
        <v>25</v>
      </c>
      <c r="AC4612">
        <v>0.36549999999999699</v>
      </c>
      <c r="AD4612">
        <v>-1.122400332737</v>
      </c>
      <c r="AE4612">
        <v>-33.390999999999998</v>
      </c>
      <c r="AF4612">
        <v>-2.2752802320835799</v>
      </c>
      <c r="AG4612">
        <v>-1.122400332737</v>
      </c>
      <c r="AH4612">
        <v>33.277624155277103</v>
      </c>
      <c r="AI4612">
        <v>91.927265330377395</v>
      </c>
      <c r="AJ4612">
        <v>93.911378378427202</v>
      </c>
      <c r="AK4612">
        <v>33.3741959013445</v>
      </c>
      <c r="AL4612">
        <v>79.210989761266703</v>
      </c>
      <c r="AM4612">
        <v>88.604939105093706</v>
      </c>
      <c r="AN4612">
        <v>0.99999999433550901</v>
      </c>
    </row>
    <row r="4613" spans="1:40" x14ac:dyDescent="0.25">
      <c r="A4613" t="str">
        <f>"20190303170904679"</f>
        <v>20190303170904679</v>
      </c>
      <c r="B4613" t="str">
        <f>"1551604144668199"</f>
        <v>1551604144668199</v>
      </c>
      <c r="C4613" t="s">
        <v>40</v>
      </c>
      <c r="D4613">
        <v>4.952318</v>
      </c>
      <c r="E4613">
        <v>0.46927639999999998</v>
      </c>
      <c r="F4613" t="s">
        <v>59</v>
      </c>
      <c r="G4613">
        <v>-301.29719999999998</v>
      </c>
      <c r="H4613" s="1">
        <v>-4.8772069999999996E-6</v>
      </c>
      <c r="I4613">
        <v>-48.568730000000002</v>
      </c>
      <c r="J4613">
        <v>-301.69110000000001</v>
      </c>
      <c r="K4613">
        <v>1.1223529999999999</v>
      </c>
      <c r="L4613">
        <v>-16.570070000000001</v>
      </c>
      <c r="M4613">
        <v>-5.3410720000000002E-2</v>
      </c>
      <c r="N4613">
        <v>-1.211156E-2</v>
      </c>
      <c r="O4613">
        <v>-0.99849929999999998</v>
      </c>
      <c r="P4613">
        <v>-7.7845689999999995E-2</v>
      </c>
      <c r="Q4613">
        <v>0.1764579</v>
      </c>
      <c r="R4613">
        <v>-0.98122509999999996</v>
      </c>
      <c r="S4613">
        <v>3.5064699999999997E-2</v>
      </c>
      <c r="T4613">
        <v>-0.1063492</v>
      </c>
      <c r="U4613">
        <v>-3.0791930000000001</v>
      </c>
      <c r="V4613">
        <v>2.4714369999999999E-2</v>
      </c>
      <c r="W4613">
        <v>0.188443</v>
      </c>
      <c r="X4613">
        <v>0.98177309999999995</v>
      </c>
      <c r="Y4613">
        <v>-6.476063E-2</v>
      </c>
      <c r="Z4613">
        <v>2.2295639999999999E-2</v>
      </c>
      <c r="AA4613">
        <v>0.99765170000000003</v>
      </c>
      <c r="AB4613">
        <v>25</v>
      </c>
      <c r="AC4613">
        <v>0.39390000000003</v>
      </c>
      <c r="AD4613">
        <v>-1.122357877207</v>
      </c>
      <c r="AE4613">
        <v>-31.998659999999902</v>
      </c>
      <c r="AF4613">
        <v>-2.0999511923450802</v>
      </c>
      <c r="AG4613">
        <v>-1.122357877207</v>
      </c>
      <c r="AH4613">
        <v>31.892708736037299</v>
      </c>
      <c r="AI4613">
        <v>92.011151421372602</v>
      </c>
      <c r="AJ4613">
        <v>93.767159252512499</v>
      </c>
      <c r="AK4613">
        <v>31.981468895853801</v>
      </c>
      <c r="AL4613">
        <v>79.138066525162401</v>
      </c>
      <c r="AM4613">
        <v>88.557986463279505</v>
      </c>
      <c r="AN4613">
        <v>0.99999999210855295</v>
      </c>
    </row>
    <row r="4614" spans="1:40" x14ac:dyDescent="0.25">
      <c r="A4614" t="str">
        <f>"20190303170904713"</f>
        <v>20190303170904713</v>
      </c>
      <c r="B4614" t="str">
        <f>"1551604144698456"</f>
        <v>1551604144698456</v>
      </c>
      <c r="C4614" t="s">
        <v>40</v>
      </c>
      <c r="D4614">
        <v>4.8508399999999998</v>
      </c>
      <c r="E4614">
        <v>0.4696264</v>
      </c>
      <c r="F4614" t="s">
        <v>59</v>
      </c>
      <c r="G4614">
        <v>-301.25940000000003</v>
      </c>
      <c r="H4614" s="1">
        <v>-5.7368759999999901E-6</v>
      </c>
      <c r="I4614">
        <v>-50.260219999999997</v>
      </c>
      <c r="J4614">
        <v>-301.7079</v>
      </c>
      <c r="K4614">
        <v>1.1223190000000001</v>
      </c>
      <c r="L4614">
        <v>-16.94791</v>
      </c>
      <c r="M4614">
        <v>-5.0475880000000001E-2</v>
      </c>
      <c r="N4614">
        <v>-1.1869050000000001E-2</v>
      </c>
      <c r="O4614">
        <v>-0.99865490000000001</v>
      </c>
      <c r="P4614">
        <v>-7.5540270000000007E-2</v>
      </c>
      <c r="Q4614">
        <v>0.1782242</v>
      </c>
      <c r="R4614">
        <v>-0.98108600000000001</v>
      </c>
      <c r="S4614">
        <v>3.9459229999999998E-2</v>
      </c>
      <c r="T4614">
        <v>-0.1025736</v>
      </c>
      <c r="U4614">
        <v>-3.0789789999999999</v>
      </c>
      <c r="V4614">
        <v>2.5305569999999999E-2</v>
      </c>
      <c r="W4614">
        <v>0.18996940000000001</v>
      </c>
      <c r="X4614">
        <v>0.9814638</v>
      </c>
      <c r="Y4614">
        <v>-6.3253660000000003E-2</v>
      </c>
      <c r="Z4614">
        <v>2.1328679999999999E-2</v>
      </c>
      <c r="AA4614">
        <v>0.99776949999999998</v>
      </c>
      <c r="AB4614">
        <v>25</v>
      </c>
      <c r="AC4614">
        <v>0.44849999999996698</v>
      </c>
      <c r="AD4614">
        <v>-1.1223247368760001</v>
      </c>
      <c r="AE4614">
        <v>-33.312309999999997</v>
      </c>
      <c r="AF4614">
        <v>-2.1271005717148799</v>
      </c>
      <c r="AG4614">
        <v>-1.1223247368760001</v>
      </c>
      <c r="AH4614">
        <v>33.209511428976001</v>
      </c>
      <c r="AI4614">
        <v>91.931635016446904</v>
      </c>
      <c r="AJ4614">
        <v>93.664842560942702</v>
      </c>
      <c r="AK4614">
        <v>33.2964835832326</v>
      </c>
      <c r="AL4614">
        <v>79.049001218768097</v>
      </c>
      <c r="AM4614">
        <v>88.523041609552607</v>
      </c>
      <c r="AN4614">
        <v>0.99999996775991096</v>
      </c>
    </row>
    <row r="4615" spans="1:40" x14ac:dyDescent="0.25">
      <c r="A4615" t="str">
        <f>"20190303170904748"</f>
        <v>20190303170904748</v>
      </c>
      <c r="B4615" t="str">
        <f>"1551604144738476"</f>
        <v>1551604144738476</v>
      </c>
      <c r="C4615" t="s">
        <v>40</v>
      </c>
      <c r="D4615">
        <v>4.9193020000000001</v>
      </c>
      <c r="E4615">
        <v>0.47010600000000002</v>
      </c>
      <c r="F4615" t="s">
        <v>59</v>
      </c>
      <c r="G4615">
        <v>-301.20119999999997</v>
      </c>
      <c r="H4615" s="1">
        <v>-6.5678850000000001E-6</v>
      </c>
      <c r="I4615">
        <v>-52.277799999999999</v>
      </c>
      <c r="J4615">
        <v>-301.72430000000003</v>
      </c>
      <c r="K4615">
        <v>1.122293</v>
      </c>
      <c r="L4615">
        <v>-17.345700000000001</v>
      </c>
      <c r="M4615">
        <v>-4.7395510000000002E-2</v>
      </c>
      <c r="N4615">
        <v>-1.1560020000000001E-2</v>
      </c>
      <c r="O4615">
        <v>-0.99880950000000002</v>
      </c>
      <c r="P4615">
        <v>-7.2604660000000001E-2</v>
      </c>
      <c r="Q4615">
        <v>0.17995829999999999</v>
      </c>
      <c r="R4615">
        <v>-0.98099150000000002</v>
      </c>
      <c r="S4615">
        <v>4.4158940000000001E-2</v>
      </c>
      <c r="T4615">
        <v>-9.7810980000000006E-2</v>
      </c>
      <c r="U4615">
        <v>-3.0790099999999998</v>
      </c>
      <c r="V4615">
        <v>2.5408050000000001E-2</v>
      </c>
      <c r="W4615">
        <v>0.1913966</v>
      </c>
      <c r="X4615">
        <v>0.9811839</v>
      </c>
      <c r="Y4615">
        <v>-6.1699749999999998E-2</v>
      </c>
      <c r="Z4615">
        <v>2.0105370000000001E-2</v>
      </c>
      <c r="AA4615">
        <v>0.99789229999999995</v>
      </c>
      <c r="AB4615">
        <v>26</v>
      </c>
      <c r="AC4615">
        <v>0.52310000000005596</v>
      </c>
      <c r="AD4615">
        <v>-1.1222995678850001</v>
      </c>
      <c r="AE4615">
        <v>-34.932099999999998</v>
      </c>
      <c r="AF4615">
        <v>-2.1760014854034502</v>
      </c>
      <c r="AG4615">
        <v>-1.1222995678850001</v>
      </c>
      <c r="AH4615">
        <v>34.8320978849017</v>
      </c>
      <c r="AI4615">
        <v>91.8418589166332</v>
      </c>
      <c r="AJ4615">
        <v>93.574688268976104</v>
      </c>
      <c r="AK4615">
        <v>34.91804092225</v>
      </c>
      <c r="AL4615">
        <v>78.965701005932203</v>
      </c>
      <c r="AM4615">
        <v>88.516640189717094</v>
      </c>
      <c r="AN4615">
        <v>1.0000000365577799</v>
      </c>
    </row>
    <row r="4616" spans="1:40" x14ac:dyDescent="0.25">
      <c r="A4616" t="str">
        <f>"20190303170904792"</f>
        <v>20190303170904792</v>
      </c>
      <c r="B4616" t="str">
        <f>"1551604144778492"</f>
        <v>1551604144778492</v>
      </c>
      <c r="C4616" t="s">
        <v>40</v>
      </c>
      <c r="D4616">
        <v>4.7751150000000004</v>
      </c>
      <c r="E4616">
        <v>0.47079219999999999</v>
      </c>
      <c r="F4616" t="s">
        <v>59</v>
      </c>
      <c r="G4616">
        <v>-301.10480000000001</v>
      </c>
      <c r="H4616" s="1">
        <v>-7.6505269999999995E-6</v>
      </c>
      <c r="I4616">
        <v>-54.949620000000003</v>
      </c>
      <c r="J4616">
        <v>-301.74329999999998</v>
      </c>
      <c r="K4616">
        <v>1.12222</v>
      </c>
      <c r="L4616">
        <v>-17.845210000000002</v>
      </c>
      <c r="M4616">
        <v>-4.3570730000000002E-2</v>
      </c>
      <c r="N4616">
        <v>-1.1118609999999999E-2</v>
      </c>
      <c r="O4616">
        <v>-0.9989884</v>
      </c>
      <c r="P4616">
        <v>-6.735062E-2</v>
      </c>
      <c r="Q4616">
        <v>0.18072240000000001</v>
      </c>
      <c r="R4616">
        <v>-0.98122569999999998</v>
      </c>
      <c r="S4616">
        <v>5.0720210000000002E-2</v>
      </c>
      <c r="T4616">
        <v>-9.1885809999999998E-2</v>
      </c>
      <c r="U4616">
        <v>-3.078735</v>
      </c>
      <c r="V4616">
        <v>2.3918080000000001E-2</v>
      </c>
      <c r="W4616">
        <v>0.1917209</v>
      </c>
      <c r="X4616">
        <v>0.98115799999999997</v>
      </c>
      <c r="Y4616">
        <v>-6.0007459999999999E-2</v>
      </c>
      <c r="Z4616">
        <v>1.8641129999999999E-2</v>
      </c>
      <c r="AA4616">
        <v>0.99802389999999996</v>
      </c>
      <c r="AB4616">
        <v>26</v>
      </c>
      <c r="AC4616">
        <v>0.63849999999996498</v>
      </c>
      <c r="AD4616">
        <v>-1.1222276505269999</v>
      </c>
      <c r="AE4616">
        <v>-37.104410000000001</v>
      </c>
      <c r="AF4616">
        <v>-2.2525998593685799</v>
      </c>
      <c r="AG4616">
        <v>-1.1222276505269999</v>
      </c>
      <c r="AH4616">
        <v>37.007504356588001</v>
      </c>
      <c r="AI4616">
        <v>91.733716879740896</v>
      </c>
      <c r="AJ4616">
        <v>93.483223897206003</v>
      </c>
      <c r="AK4616">
        <v>37.092977498832802</v>
      </c>
      <c r="AL4616">
        <v>78.946768978831699</v>
      </c>
      <c r="AM4616">
        <v>88.603554496885906</v>
      </c>
      <c r="AN4616">
        <v>0.99999999950584795</v>
      </c>
    </row>
    <row r="4617" spans="1:40" x14ac:dyDescent="0.25">
      <c r="A4617" t="str">
        <f>"20190303170904836"</f>
        <v>20190303170904836</v>
      </c>
      <c r="B4617" t="str">
        <f>"1551604144828268"</f>
        <v>1551604144828268</v>
      </c>
      <c r="C4617" t="s">
        <v>40</v>
      </c>
      <c r="D4617">
        <v>4.7771460000000001</v>
      </c>
      <c r="E4617">
        <v>0.47713070000000002</v>
      </c>
      <c r="F4617" t="s">
        <v>59</v>
      </c>
      <c r="G4617">
        <v>-300.96319999999997</v>
      </c>
      <c r="H4617" s="1">
        <v>-8.2862849999999996E-6</v>
      </c>
      <c r="I4617">
        <v>-56.530709999999999</v>
      </c>
      <c r="J4617">
        <v>-301.7611</v>
      </c>
      <c r="K4617">
        <v>1.122155</v>
      </c>
      <c r="L4617">
        <v>-18.36392</v>
      </c>
      <c r="M4617">
        <v>-3.9667809999999998E-2</v>
      </c>
      <c r="N4617">
        <v>-1.065697E-2</v>
      </c>
      <c r="O4617">
        <v>-0.99915639999999994</v>
      </c>
      <c r="P4617">
        <v>-6.3377879999999998E-2</v>
      </c>
      <c r="Q4617">
        <v>0.18259449999999999</v>
      </c>
      <c r="R4617">
        <v>-0.98114380000000001</v>
      </c>
      <c r="S4617">
        <v>6.2072750000000003E-2</v>
      </c>
      <c r="T4617">
        <v>-8.9292529999999995E-2</v>
      </c>
      <c r="U4617">
        <v>-3.0780940000000001</v>
      </c>
      <c r="V4617">
        <v>2.3794530000000001E-2</v>
      </c>
      <c r="W4617">
        <v>0.193135</v>
      </c>
      <c r="X4617">
        <v>0.98088370000000003</v>
      </c>
      <c r="Y4617">
        <v>-5.979197E-2</v>
      </c>
      <c r="Z4617">
        <v>1.8275320000000001E-2</v>
      </c>
      <c r="AA4617">
        <v>0.99804349999999997</v>
      </c>
      <c r="AB4617">
        <v>26</v>
      </c>
      <c r="AC4617">
        <v>0.79790000000002603</v>
      </c>
      <c r="AD4617">
        <v>-1.122163286285</v>
      </c>
      <c r="AE4617">
        <v>-38.166789999999999</v>
      </c>
      <c r="AF4617">
        <v>-2.3093549522660801</v>
      </c>
      <c r="AG4617">
        <v>-1.122163286285</v>
      </c>
      <c r="AH4617">
        <v>38.072196451445002</v>
      </c>
      <c r="AI4617">
        <v>91.685186667123702</v>
      </c>
      <c r="AJ4617">
        <v>93.471151773549295</v>
      </c>
      <c r="AK4617">
        <v>38.158675466714797</v>
      </c>
      <c r="AL4617">
        <v>78.864204759770402</v>
      </c>
      <c r="AM4617">
        <v>88.610376728140395</v>
      </c>
      <c r="AN4617">
        <v>1.0000000704042999</v>
      </c>
    </row>
    <row r="4618" spans="1:40" x14ac:dyDescent="0.25">
      <c r="A4618" t="str">
        <f>"20190303170904880"</f>
        <v>20190303170904880</v>
      </c>
      <c r="B4618" t="str">
        <f>"1551604144868284"</f>
        <v>1551604144868284</v>
      </c>
      <c r="C4618" t="s">
        <v>40</v>
      </c>
      <c r="D4618">
        <v>4.601013</v>
      </c>
      <c r="E4618">
        <v>0.47681800000000002</v>
      </c>
      <c r="F4618" t="s">
        <v>59</v>
      </c>
      <c r="G4618">
        <v>-301.44819999999999</v>
      </c>
      <c r="H4618" s="1">
        <v>-9.2748740000000005E-6</v>
      </c>
      <c r="I4618">
        <v>-58.888759999999998</v>
      </c>
      <c r="J4618">
        <v>-301.77679999999998</v>
      </c>
      <c r="K4618">
        <v>1.122082</v>
      </c>
      <c r="L4618">
        <v>-18.87622</v>
      </c>
      <c r="M4618">
        <v>-3.5887670000000003E-2</v>
      </c>
      <c r="N4618">
        <v>-1.019368E-2</v>
      </c>
      <c r="O4618">
        <v>-0.99930399999999997</v>
      </c>
      <c r="P4618">
        <v>-5.7181759999999998E-2</v>
      </c>
      <c r="Q4618">
        <v>0.1823254</v>
      </c>
      <c r="R4618">
        <v>-0.9815741</v>
      </c>
      <c r="S4618">
        <v>2.3742679999999999E-2</v>
      </c>
      <c r="T4618">
        <v>-8.5150359999999994E-2</v>
      </c>
      <c r="U4618">
        <v>-3.075043</v>
      </c>
      <c r="V4618">
        <v>2.1312669999999999E-2</v>
      </c>
      <c r="W4618">
        <v>0.19240409999999999</v>
      </c>
      <c r="X4618">
        <v>0.98108430000000002</v>
      </c>
      <c r="Y4618">
        <v>-4.3594750000000002E-2</v>
      </c>
      <c r="Z4618">
        <v>1.7447239999999999E-2</v>
      </c>
      <c r="AA4618">
        <v>0.99889700000000003</v>
      </c>
      <c r="AB4618">
        <v>26</v>
      </c>
      <c r="AC4618">
        <v>0.32859999999999401</v>
      </c>
      <c r="AD4618">
        <v>-1.122091274874</v>
      </c>
      <c r="AE4618">
        <v>-40.012540000000001</v>
      </c>
      <c r="AF4618">
        <v>-1.7630330953375899</v>
      </c>
      <c r="AG4618">
        <v>-1.122091274874</v>
      </c>
      <c r="AH4618">
        <v>39.943558168116603</v>
      </c>
      <c r="AI4618">
        <v>91.6075609902651</v>
      </c>
      <c r="AJ4618">
        <v>92.527286974557299</v>
      </c>
      <c r="AK4618">
        <v>39.9981901297311</v>
      </c>
      <c r="AL4618">
        <v>78.906881756092901</v>
      </c>
      <c r="AM4618">
        <v>88.755525894553799</v>
      </c>
      <c r="AN4618">
        <v>0.99999998565291404</v>
      </c>
    </row>
    <row r="4619" spans="1:40" x14ac:dyDescent="0.25">
      <c r="A4619" t="str">
        <f>"20190303170904926"</f>
        <v>20190303170904926</v>
      </c>
      <c r="B4619" t="str">
        <f>"1551604144918060"</f>
        <v>1551604144918060</v>
      </c>
      <c r="C4619" t="s">
        <v>40</v>
      </c>
      <c r="D4619">
        <v>4.6362189999999996</v>
      </c>
      <c r="E4619">
        <v>0.41912929999999998</v>
      </c>
      <c r="F4619" t="s">
        <v>59</v>
      </c>
      <c r="G4619">
        <v>-301.1619</v>
      </c>
      <c r="H4619" s="1">
        <v>-1.074086E-5</v>
      </c>
      <c r="I4619">
        <v>-61.011360000000003</v>
      </c>
      <c r="J4619">
        <v>-301.79129999999998</v>
      </c>
      <c r="K4619">
        <v>1.12201</v>
      </c>
      <c r="L4619">
        <v>-19.40964</v>
      </c>
      <c r="M4619">
        <v>-3.2054310000000003E-2</v>
      </c>
      <c r="N4619">
        <v>-9.7060189999999998E-3</v>
      </c>
      <c r="O4619">
        <v>-0.99943899999999997</v>
      </c>
      <c r="P4619">
        <v>-4.8563250000000002E-2</v>
      </c>
      <c r="Q4619">
        <v>0.18418780000000001</v>
      </c>
      <c r="R4619">
        <v>-0.98169079999999997</v>
      </c>
      <c r="S4619">
        <v>4.4860839999999999E-2</v>
      </c>
      <c r="T4619">
        <v>-8.1866499999999995E-2</v>
      </c>
      <c r="U4619">
        <v>-3.0741269999999998</v>
      </c>
      <c r="V4619">
        <v>1.6470490000000001E-2</v>
      </c>
      <c r="W4619">
        <v>0.19376930000000001</v>
      </c>
      <c r="X4619">
        <v>0.98090889999999997</v>
      </c>
      <c r="Y4619">
        <v>-4.6626069999999999E-2</v>
      </c>
      <c r="Z4619">
        <v>1.6878859999999999E-2</v>
      </c>
      <c r="AA4619">
        <v>0.99876980000000004</v>
      </c>
      <c r="AB4619">
        <v>26</v>
      </c>
      <c r="AC4619">
        <v>0.62939999999997498</v>
      </c>
      <c r="AD4619">
        <v>-1.12202074086</v>
      </c>
      <c r="AE4619">
        <v>-41.60172</v>
      </c>
      <c r="AF4619">
        <v>-1.96122749575726</v>
      </c>
      <c r="AG4619">
        <v>-1.12202074086</v>
      </c>
      <c r="AH4619">
        <v>41.529961725583398</v>
      </c>
      <c r="AI4619">
        <v>91.545869600976999</v>
      </c>
      <c r="AJ4619">
        <v>92.7037500470623</v>
      </c>
      <c r="AK4619">
        <v>41.591382097274099</v>
      </c>
      <c r="AL4619">
        <v>78.827162011640894</v>
      </c>
      <c r="AM4619">
        <v>89.038034122462903</v>
      </c>
      <c r="AN4619">
        <v>1.00000004438126</v>
      </c>
    </row>
    <row r="4620" spans="1:40" x14ac:dyDescent="0.25">
      <c r="A4620" t="str">
        <f>"20190303170904970"</f>
        <v>20190303170904970</v>
      </c>
      <c r="B4620" t="str">
        <f>"1551604144958075"</f>
        <v>1551604144958075</v>
      </c>
      <c r="C4620" t="s">
        <v>40</v>
      </c>
      <c r="D4620">
        <v>4.5624820000000001</v>
      </c>
      <c r="E4620">
        <v>0.40516360000000001</v>
      </c>
      <c r="F4620" t="s">
        <v>111</v>
      </c>
      <c r="G4620">
        <v>-289.4341</v>
      </c>
      <c r="H4620">
        <v>1.0964510000000001</v>
      </c>
      <c r="I4620">
        <v>-91.564989999999995</v>
      </c>
      <c r="J4620">
        <v>-301.80329999999998</v>
      </c>
      <c r="K4620">
        <v>1.1219330000000001</v>
      </c>
      <c r="L4620">
        <v>-19.920169999999999</v>
      </c>
      <c r="M4620">
        <v>-2.849544E-2</v>
      </c>
      <c r="N4620">
        <v>-9.2653679999999995E-3</v>
      </c>
      <c r="O4620">
        <v>-0.99955130000000003</v>
      </c>
      <c r="P4620">
        <v>-3.8867649999999997E-2</v>
      </c>
      <c r="Q4620">
        <v>0.18481819999999999</v>
      </c>
      <c r="R4620">
        <v>-0.98200419999999999</v>
      </c>
      <c r="S4620">
        <v>0.52786250000000001</v>
      </c>
      <c r="T4620">
        <v>-1.0912420000000001E-3</v>
      </c>
      <c r="U4620">
        <v>-3.0822750000000001</v>
      </c>
      <c r="V4620">
        <v>1.0281139999999999E-2</v>
      </c>
      <c r="W4620">
        <v>0.19394710000000001</v>
      </c>
      <c r="X4620">
        <v>0.98095810000000006</v>
      </c>
      <c r="Y4620">
        <v>-0.1968037</v>
      </c>
      <c r="Z4620">
        <v>-8.9400260000000002E-3</v>
      </c>
      <c r="AA4620">
        <v>0.9804022</v>
      </c>
      <c r="AB4620">
        <v>26</v>
      </c>
      <c r="AC4620">
        <v>12.3691999999999</v>
      </c>
      <c r="AD4620">
        <v>-2.5482000000000001E-2</v>
      </c>
      <c r="AE4620">
        <v>-71.644819999999996</v>
      </c>
      <c r="AF4620">
        <v>-14.4058126024409</v>
      </c>
      <c r="AG4620">
        <v>-2.5482000000000001E-2</v>
      </c>
      <c r="AH4620">
        <v>71.263234602923703</v>
      </c>
      <c r="AI4620">
        <v>90.020081378907804</v>
      </c>
      <c r="AJ4620">
        <v>101.42829252540299</v>
      </c>
      <c r="AK4620">
        <v>72.704722626115</v>
      </c>
      <c r="AL4620">
        <v>78.816777176590307</v>
      </c>
      <c r="AM4620">
        <v>89.399521382932605</v>
      </c>
      <c r="AN4620">
        <v>0.99999998669685897</v>
      </c>
    </row>
    <row r="4621" spans="1:40" x14ac:dyDescent="0.25">
      <c r="A4621" t="str">
        <f>"20190303170905016"</f>
        <v>20190303170905016</v>
      </c>
      <c r="B4621" t="str">
        <f>"1551604145007852"</f>
        <v>1551604145007852</v>
      </c>
      <c r="C4621" t="s">
        <v>40</v>
      </c>
      <c r="D4621">
        <v>4.5391940000000002</v>
      </c>
      <c r="E4621">
        <v>0.39956720000000001</v>
      </c>
      <c r="F4621" t="s">
        <v>111</v>
      </c>
      <c r="G4621">
        <v>-288.13979999999998</v>
      </c>
      <c r="H4621">
        <v>1.794619</v>
      </c>
      <c r="I4621">
        <v>-82.868229999999997</v>
      </c>
      <c r="J4621">
        <v>-301.8143</v>
      </c>
      <c r="K4621">
        <v>1.1218619999999999</v>
      </c>
      <c r="L4621">
        <v>-20.464479999999998</v>
      </c>
      <c r="M4621">
        <v>-2.4838099999999998E-2</v>
      </c>
      <c r="N4621">
        <v>-8.8548800000000007E-3</v>
      </c>
      <c r="O4621">
        <v>-0.9996526</v>
      </c>
      <c r="P4621">
        <v>-3.1394499999999999E-2</v>
      </c>
      <c r="Q4621">
        <v>0.1856583</v>
      </c>
      <c r="R4621">
        <v>-0.98211320000000002</v>
      </c>
      <c r="S4621">
        <v>0.66751099999999997</v>
      </c>
      <c r="T4621">
        <v>3.2863620000000003E-2</v>
      </c>
      <c r="U4621">
        <v>-3.0752259999999998</v>
      </c>
      <c r="V4621">
        <v>6.4151919999999897E-3</v>
      </c>
      <c r="W4621">
        <v>0.1943714</v>
      </c>
      <c r="X4621">
        <v>0.98090699999999997</v>
      </c>
      <c r="Y4621">
        <v>-0.2362918</v>
      </c>
      <c r="Z4621">
        <v>-1.9286109999999999E-2</v>
      </c>
      <c r="AA4621">
        <v>0.97149070000000004</v>
      </c>
      <c r="AB4621">
        <v>26</v>
      </c>
      <c r="AC4621">
        <v>13.6745</v>
      </c>
      <c r="AD4621">
        <v>0.67275699999999905</v>
      </c>
      <c r="AE4621">
        <v>-62.403750000000002</v>
      </c>
      <c r="AF4621">
        <v>-15.218644021215599</v>
      </c>
      <c r="AG4621">
        <v>0.67275699999999905</v>
      </c>
      <c r="AH4621">
        <v>62.037954391344698</v>
      </c>
      <c r="AI4621">
        <v>89.396582419060493</v>
      </c>
      <c r="AJ4621">
        <v>103.78315421486001</v>
      </c>
      <c r="AK4621">
        <v>63.880885348342602</v>
      </c>
      <c r="AL4621">
        <v>78.791994773789597</v>
      </c>
      <c r="AM4621">
        <v>89.625287426864205</v>
      </c>
      <c r="AN4621">
        <v>0.99999996923767698</v>
      </c>
    </row>
    <row r="4622" spans="1:40" x14ac:dyDescent="0.25">
      <c r="A4622" t="str">
        <f>"20190303170905059"</f>
        <v>20190303170905059</v>
      </c>
      <c r="B4622" t="str">
        <f>"1551604145048590"</f>
        <v>1551604145048590</v>
      </c>
      <c r="C4622" t="s">
        <v>40</v>
      </c>
      <c r="D4622">
        <v>4.5613409999999996</v>
      </c>
      <c r="E4622">
        <v>0.39751150000000002</v>
      </c>
      <c r="F4622" t="s">
        <v>111</v>
      </c>
      <c r="G4622">
        <v>-287.45030000000003</v>
      </c>
      <c r="H4622">
        <v>2.056673</v>
      </c>
      <c r="I4622">
        <v>-80.464519999999993</v>
      </c>
      <c r="J4622">
        <v>-301.8229</v>
      </c>
      <c r="K4622">
        <v>1.1218330000000001</v>
      </c>
      <c r="L4622">
        <v>-20.971800000000002</v>
      </c>
      <c r="M4622">
        <v>-2.153629E-2</v>
      </c>
      <c r="N4622">
        <v>-8.5484299999999992E-3</v>
      </c>
      <c r="O4622">
        <v>-0.9997315</v>
      </c>
      <c r="P4622">
        <v>-2.4167290000000001E-2</v>
      </c>
      <c r="Q4622">
        <v>0.18795129999999999</v>
      </c>
      <c r="R4622">
        <v>-0.98188109999999995</v>
      </c>
      <c r="S4622">
        <v>0.73474119999999998</v>
      </c>
      <c r="T4622">
        <v>4.7817709999999999E-2</v>
      </c>
      <c r="U4622">
        <v>-3.0690919999999999</v>
      </c>
      <c r="V4622">
        <v>2.4428639999999999E-3</v>
      </c>
      <c r="W4622">
        <v>0.19634860000000001</v>
      </c>
      <c r="X4622">
        <v>0.98053109999999999</v>
      </c>
      <c r="Y4622">
        <v>-0.2536544</v>
      </c>
      <c r="Z4622">
        <v>-2.3673570000000001E-2</v>
      </c>
      <c r="AA4622">
        <v>0.96700520000000001</v>
      </c>
      <c r="AB4622">
        <v>26</v>
      </c>
      <c r="AC4622">
        <v>14.372599999999901</v>
      </c>
      <c r="AD4622">
        <v>0.93484</v>
      </c>
      <c r="AE4622">
        <v>-59.492719999999899</v>
      </c>
      <c r="AF4622">
        <v>-15.646915190403099</v>
      </c>
      <c r="AG4622">
        <v>0.93484</v>
      </c>
      <c r="AH4622">
        <v>59.155575972160896</v>
      </c>
      <c r="AI4622">
        <v>89.124721737759302</v>
      </c>
      <c r="AJ4622">
        <v>104.81569584434899</v>
      </c>
      <c r="AK4622">
        <v>61.197075497113197</v>
      </c>
      <c r="AL4622">
        <v>78.676484051057201</v>
      </c>
      <c r="AM4622">
        <v>89.857255412357404</v>
      </c>
      <c r="AN4622">
        <v>0.99999998918684596</v>
      </c>
    </row>
    <row r="4623" spans="1:40" x14ac:dyDescent="0.25">
      <c r="A4623" t="str">
        <f>"20190303170905105"</f>
        <v>20190303170905105</v>
      </c>
      <c r="B4623" t="str">
        <f>"1551604145098366"</f>
        <v>1551604145098366</v>
      </c>
      <c r="C4623" t="s">
        <v>40</v>
      </c>
      <c r="D4623">
        <v>4.5799379999999896</v>
      </c>
      <c r="E4623">
        <v>0.396588</v>
      </c>
      <c r="F4623" t="s">
        <v>111</v>
      </c>
      <c r="G4623">
        <v>-286.81729999999999</v>
      </c>
      <c r="H4623">
        <v>2.2577880000000001</v>
      </c>
      <c r="I4623">
        <v>-80.464519999999993</v>
      </c>
      <c r="J4623">
        <v>-301.83049999999997</v>
      </c>
      <c r="K4623">
        <v>1.1217969999999999</v>
      </c>
      <c r="L4623">
        <v>-21.516570000000002</v>
      </c>
      <c r="M4623">
        <v>-1.8100870000000002E-2</v>
      </c>
      <c r="N4623">
        <v>-8.2920219999999996E-3</v>
      </c>
      <c r="O4623">
        <v>-0.99980190000000002</v>
      </c>
      <c r="P4623">
        <v>-1.6441170000000001E-2</v>
      </c>
      <c r="Q4623">
        <v>0.1906437</v>
      </c>
      <c r="R4623">
        <v>-0.98152200000000001</v>
      </c>
      <c r="S4623">
        <v>0.77261349999999995</v>
      </c>
      <c r="T4623">
        <v>5.8488970000000001E-2</v>
      </c>
      <c r="U4623">
        <v>-3.0631710000000001</v>
      </c>
      <c r="V4623">
        <v>-1.898091E-3</v>
      </c>
      <c r="W4623">
        <v>0.19877230000000001</v>
      </c>
      <c r="X4623">
        <v>0.98004389999999997</v>
      </c>
      <c r="Y4623">
        <v>-0.26200210000000002</v>
      </c>
      <c r="Z4623">
        <v>-2.6772130000000002E-2</v>
      </c>
      <c r="AA4623">
        <v>0.96469590000000005</v>
      </c>
      <c r="AB4623">
        <v>27</v>
      </c>
      <c r="AC4623">
        <v>15.0131999999999</v>
      </c>
      <c r="AD4623">
        <v>1.135991</v>
      </c>
      <c r="AE4623">
        <v>-58.947949999999899</v>
      </c>
      <c r="AF4623">
        <v>-16.072180672760702</v>
      </c>
      <c r="AG4623">
        <v>1.135991</v>
      </c>
      <c r="AH4623">
        <v>58.646077365023999</v>
      </c>
      <c r="AI4623">
        <v>88.929756743852806</v>
      </c>
      <c r="AJ4623">
        <v>105.325837710786</v>
      </c>
      <c r="AK4623">
        <v>60.819140551592199</v>
      </c>
      <c r="AL4623">
        <v>78.534824780449796</v>
      </c>
      <c r="AM4623">
        <v>90.110966934701906</v>
      </c>
      <c r="AN4623">
        <v>1.00000003796197</v>
      </c>
    </row>
    <row r="4624" spans="1:40" x14ac:dyDescent="0.25">
      <c r="A4624" t="str">
        <f>"20190303170905150"</f>
        <v>20190303170905150</v>
      </c>
      <c r="B4624" t="str">
        <f>"1551604145138383"</f>
        <v>1551604145138383</v>
      </c>
      <c r="C4624" t="s">
        <v>40</v>
      </c>
      <c r="D4624">
        <v>4.622916</v>
      </c>
      <c r="E4624">
        <v>0.39643539999999999</v>
      </c>
      <c r="F4624" t="s">
        <v>111</v>
      </c>
      <c r="G4624">
        <v>-286.30029999999999</v>
      </c>
      <c r="H4624">
        <v>2.4406430000000001</v>
      </c>
      <c r="I4624">
        <v>-80.464519999999993</v>
      </c>
      <c r="J4624">
        <v>-301.83620000000002</v>
      </c>
      <c r="K4624">
        <v>1.121767</v>
      </c>
      <c r="L4624">
        <v>-22.046389999999999</v>
      </c>
      <c r="M4624">
        <v>-1.485971E-2</v>
      </c>
      <c r="N4624">
        <v>-8.1036909999999997E-3</v>
      </c>
      <c r="O4624">
        <v>-0.999857</v>
      </c>
      <c r="P4624">
        <v>-1.0411719999999999E-2</v>
      </c>
      <c r="Q4624">
        <v>0.1906803</v>
      </c>
      <c r="R4624">
        <v>-0.98159719999999995</v>
      </c>
      <c r="S4624">
        <v>0.80529790000000001</v>
      </c>
      <c r="T4624">
        <v>6.8387749999999997E-2</v>
      </c>
      <c r="U4624">
        <v>-3.0566710000000001</v>
      </c>
      <c r="V4624">
        <v>-4.7348720000000002E-3</v>
      </c>
      <c r="W4624">
        <v>0.19861619999999999</v>
      </c>
      <c r="X4624">
        <v>0.98006590000000005</v>
      </c>
      <c r="Y4624">
        <v>-0.26900659999999998</v>
      </c>
      <c r="Z4624">
        <v>-2.9700210000000001E-2</v>
      </c>
      <c r="AA4624">
        <v>0.96268030000000004</v>
      </c>
      <c r="AB4624">
        <v>27</v>
      </c>
      <c r="AC4624">
        <v>15.5359</v>
      </c>
      <c r="AD4624">
        <v>1.3188759999999999</v>
      </c>
      <c r="AE4624">
        <v>-58.418129999999898</v>
      </c>
      <c r="AF4624">
        <v>-16.394485034621098</v>
      </c>
      <c r="AG4624">
        <v>1.3188759999999999</v>
      </c>
      <c r="AH4624">
        <v>58.153130411376097</v>
      </c>
      <c r="AI4624">
        <v>88.749517701021105</v>
      </c>
      <c r="AJ4624">
        <v>105.74416429075799</v>
      </c>
      <c r="AK4624">
        <v>60.434304414763602</v>
      </c>
      <c r="AL4624">
        <v>78.543950062543502</v>
      </c>
      <c r="AM4624">
        <v>90.276803908305993</v>
      </c>
      <c r="AN4624">
        <v>0.99999999112905302</v>
      </c>
    </row>
    <row r="4625" spans="1:40" x14ac:dyDescent="0.25">
      <c r="A4625" t="str">
        <f>"20190303170905194"</f>
        <v>20190303170905194</v>
      </c>
      <c r="B4625" t="str">
        <f>"1551604145188158"</f>
        <v>1551604145188158</v>
      </c>
      <c r="C4625" t="s">
        <v>40</v>
      </c>
      <c r="D4625">
        <v>4.6552210000000001</v>
      </c>
      <c r="E4625">
        <v>0.39646419999999999</v>
      </c>
      <c r="F4625" t="s">
        <v>111</v>
      </c>
      <c r="G4625">
        <v>-286.0385</v>
      </c>
      <c r="H4625">
        <v>2.3870070000000001</v>
      </c>
      <c r="I4625">
        <v>-80.464519999999993</v>
      </c>
      <c r="J4625">
        <v>-301.84019999999998</v>
      </c>
      <c r="K4625">
        <v>1.1217440000000001</v>
      </c>
      <c r="L4625">
        <v>-22.58249</v>
      </c>
      <c r="M4625">
        <v>-1.1672979999999999E-2</v>
      </c>
      <c r="N4625">
        <v>-7.9640079999999999E-3</v>
      </c>
      <c r="O4625">
        <v>-0.99990049999999997</v>
      </c>
      <c r="P4625">
        <v>-4.5117569999999999E-3</v>
      </c>
      <c r="Q4625">
        <v>0.19214690000000001</v>
      </c>
      <c r="R4625">
        <v>-0.98135600000000001</v>
      </c>
      <c r="S4625">
        <v>0.82537839999999996</v>
      </c>
      <c r="T4625">
        <v>6.6105250000000004E-2</v>
      </c>
      <c r="U4625">
        <v>-3.052155</v>
      </c>
      <c r="V4625">
        <v>-7.4984650000000002E-3</v>
      </c>
      <c r="W4625">
        <v>0.19993620000000001</v>
      </c>
      <c r="X4625">
        <v>0.97978019999999999</v>
      </c>
      <c r="Y4625">
        <v>-0.272204</v>
      </c>
      <c r="Z4625">
        <v>-2.884165E-2</v>
      </c>
      <c r="AA4625">
        <v>0.96180730000000003</v>
      </c>
      <c r="AB4625">
        <v>27</v>
      </c>
      <c r="AC4625">
        <v>15.801699999999901</v>
      </c>
      <c r="AD4625">
        <v>1.265263</v>
      </c>
      <c r="AE4625">
        <v>-57.882029999999901</v>
      </c>
      <c r="AF4625">
        <v>-16.468976738373598</v>
      </c>
      <c r="AG4625">
        <v>1.265263</v>
      </c>
      <c r="AH4625">
        <v>57.6679831320006</v>
      </c>
      <c r="AI4625">
        <v>88.791408714337095</v>
      </c>
      <c r="AJ4625">
        <v>105.938423898038</v>
      </c>
      <c r="AK4625">
        <v>59.986868261153397</v>
      </c>
      <c r="AL4625">
        <v>78.466771507246904</v>
      </c>
      <c r="AM4625">
        <v>90.438488152310399</v>
      </c>
      <c r="AN4625">
        <v>0.99999997567991705</v>
      </c>
    </row>
    <row r="4626" spans="1:40" x14ac:dyDescent="0.25">
      <c r="A4626" t="str">
        <f>"20190303170905237"</f>
        <v>20190303170905237</v>
      </c>
      <c r="B4626" t="str">
        <f>"1551604145228175"</f>
        <v>1551604145228175</v>
      </c>
      <c r="C4626" t="s">
        <v>40</v>
      </c>
      <c r="D4626">
        <v>4.6768850000000004</v>
      </c>
      <c r="E4626">
        <v>0.39664379999999999</v>
      </c>
      <c r="F4626" t="s">
        <v>111</v>
      </c>
      <c r="G4626">
        <v>-285.81290000000001</v>
      </c>
      <c r="H4626">
        <v>2.4311769999999999</v>
      </c>
      <c r="I4626">
        <v>-80.464519999999993</v>
      </c>
      <c r="J4626">
        <v>-301.84269999999998</v>
      </c>
      <c r="K4626">
        <v>1.1217330000000001</v>
      </c>
      <c r="L4626">
        <v>-23.123049999999999</v>
      </c>
      <c r="M4626">
        <v>-8.5285789999999997E-3</v>
      </c>
      <c r="N4626">
        <v>-7.8614340000000005E-3</v>
      </c>
      <c r="O4626">
        <v>-0.99993279999999995</v>
      </c>
      <c r="P4626">
        <v>-7.9261000000000002E-4</v>
      </c>
      <c r="Q4626">
        <v>0.19408510000000001</v>
      </c>
      <c r="R4626">
        <v>-0.98098450000000004</v>
      </c>
      <c r="S4626">
        <v>0.84381099999999998</v>
      </c>
      <c r="T4626">
        <v>6.894016E-2</v>
      </c>
      <c r="U4626">
        <v>-3.0473940000000002</v>
      </c>
      <c r="V4626">
        <v>-8.1293279999999999E-3</v>
      </c>
      <c r="W4626">
        <v>0.20176920000000001</v>
      </c>
      <c r="X4626">
        <v>0.97939940000000003</v>
      </c>
      <c r="Y4626">
        <v>-0.27496219999999999</v>
      </c>
      <c r="Z4626">
        <v>-2.963824E-2</v>
      </c>
      <c r="AA4626">
        <v>0.96099809999999997</v>
      </c>
      <c r="AB4626">
        <v>27</v>
      </c>
      <c r="AC4626">
        <v>16.029799999999899</v>
      </c>
      <c r="AD4626">
        <v>1.3094439999999901</v>
      </c>
      <c r="AE4626">
        <v>-57.341470000000001</v>
      </c>
      <c r="AF4626">
        <v>-16.510287621270098</v>
      </c>
      <c r="AG4626">
        <v>1.3094439999999901</v>
      </c>
      <c r="AH4626">
        <v>57.175014400491698</v>
      </c>
      <c r="AI4626">
        <v>88.739504034662104</v>
      </c>
      <c r="AJ4626">
        <v>106.107000217901</v>
      </c>
      <c r="AK4626">
        <v>59.525511443604103</v>
      </c>
      <c r="AL4626">
        <v>78.359564345521704</v>
      </c>
      <c r="AM4626">
        <v>90.475562358443597</v>
      </c>
      <c r="AN4626">
        <v>1.00000004038136</v>
      </c>
    </row>
    <row r="4627" spans="1:40" x14ac:dyDescent="0.25">
      <c r="A4627" t="str">
        <f>"20190303170905285"</f>
        <v>20190303170905285</v>
      </c>
      <c r="B4627" t="str">
        <f>"1551604145277951"</f>
        <v>1551604145277951</v>
      </c>
      <c r="C4627" t="s">
        <v>40</v>
      </c>
      <c r="D4627">
        <v>4.7436189999999998</v>
      </c>
      <c r="E4627">
        <v>0.39668409999999998</v>
      </c>
      <c r="F4627" t="s">
        <v>111</v>
      </c>
      <c r="G4627">
        <v>-285.75630000000001</v>
      </c>
      <c r="H4627">
        <v>2.4882390000000001</v>
      </c>
      <c r="I4627">
        <v>-80.464519999999993</v>
      </c>
      <c r="J4627">
        <v>-301.84370000000001</v>
      </c>
      <c r="K4627">
        <v>1.1217269999999999</v>
      </c>
      <c r="L4627">
        <v>-23.697939999999999</v>
      </c>
      <c r="M4627">
        <v>-5.2187960000000004E-3</v>
      </c>
      <c r="N4627">
        <v>-7.7842419999999898E-3</v>
      </c>
      <c r="O4627">
        <v>-0.99995619999999996</v>
      </c>
      <c r="P4627">
        <v>7.3219880000000004E-4</v>
      </c>
      <c r="Q4627">
        <v>0.19361339999999999</v>
      </c>
      <c r="R4627">
        <v>-0.9810778</v>
      </c>
      <c r="S4627">
        <v>0.85409550000000001</v>
      </c>
      <c r="T4627">
        <v>7.2554110000000005E-2</v>
      </c>
      <c r="U4627">
        <v>-3.044495</v>
      </c>
      <c r="V4627">
        <v>-6.4091E-3</v>
      </c>
      <c r="W4627">
        <v>0.2012274</v>
      </c>
      <c r="X4627">
        <v>0.97952360000000005</v>
      </c>
      <c r="Y4627">
        <v>-0.27501969999999998</v>
      </c>
      <c r="Z4627">
        <v>-3.0709360000000002E-2</v>
      </c>
      <c r="AA4627">
        <v>0.96094800000000002</v>
      </c>
      <c r="AB4627">
        <v>27</v>
      </c>
      <c r="AC4627">
        <v>16.087399999999999</v>
      </c>
      <c r="AD4627">
        <v>1.3665119999999999</v>
      </c>
      <c r="AE4627">
        <v>-56.766579999999898</v>
      </c>
      <c r="AF4627">
        <v>-16.374659621874201</v>
      </c>
      <c r="AG4627">
        <v>1.3665119999999999</v>
      </c>
      <c r="AH4627">
        <v>56.651459457395198</v>
      </c>
      <c r="AI4627">
        <v>88.672533063916106</v>
      </c>
      <c r="AJ4627">
        <v>106.121522696011</v>
      </c>
      <c r="AK4627">
        <v>58.986309355911303</v>
      </c>
      <c r="AL4627">
        <v>78.391256933477706</v>
      </c>
      <c r="AM4627">
        <v>90.374885444549506</v>
      </c>
      <c r="AN4627">
        <v>1.00000001301526</v>
      </c>
    </row>
    <row r="4628" spans="1:40" x14ac:dyDescent="0.25">
      <c r="A4628" t="str">
        <f>"20190303170905327"</f>
        <v>20190303170905327</v>
      </c>
      <c r="B4628" t="str">
        <f>"1551604145318474"</f>
        <v>1551604145318474</v>
      </c>
      <c r="C4628" t="s">
        <v>40</v>
      </c>
      <c r="D4628">
        <v>4.7349589999999999</v>
      </c>
      <c r="E4628">
        <v>0.3966209</v>
      </c>
      <c r="F4628" t="s">
        <v>111</v>
      </c>
      <c r="G4628">
        <v>-285.82839999999999</v>
      </c>
      <c r="H4628">
        <v>2.4001540000000001</v>
      </c>
      <c r="I4628">
        <v>-80.464519999999993</v>
      </c>
      <c r="J4628">
        <v>-301.84280000000001</v>
      </c>
      <c r="K4628">
        <v>1.121731</v>
      </c>
      <c r="L4628">
        <v>-24.220030000000001</v>
      </c>
      <c r="M4628">
        <v>-2.2202120000000001E-3</v>
      </c>
      <c r="N4628">
        <v>-7.7357980000000003E-3</v>
      </c>
      <c r="O4628">
        <v>-0.99996770000000001</v>
      </c>
      <c r="P4628">
        <v>3.5059980000000002E-3</v>
      </c>
      <c r="Q4628">
        <v>0.19514870000000001</v>
      </c>
      <c r="R4628">
        <v>-0.98076779999999997</v>
      </c>
      <c r="S4628">
        <v>0.85870360000000001</v>
      </c>
      <c r="T4628">
        <v>6.8547129999999998E-2</v>
      </c>
      <c r="U4628">
        <v>-3.043701</v>
      </c>
      <c r="V4628">
        <v>-6.2502080000000002E-3</v>
      </c>
      <c r="W4628">
        <v>0.202713</v>
      </c>
      <c r="X4628">
        <v>0.97921820000000004</v>
      </c>
      <c r="Y4628">
        <v>-0.273559</v>
      </c>
      <c r="Z4628">
        <v>-2.9398730000000001E-2</v>
      </c>
      <c r="AA4628">
        <v>0.96140579999999998</v>
      </c>
      <c r="AB4628">
        <v>27</v>
      </c>
      <c r="AC4628">
        <v>16.014399999999998</v>
      </c>
      <c r="AD4628">
        <v>1.2784229999999901</v>
      </c>
      <c r="AE4628">
        <v>-56.244489999999999</v>
      </c>
      <c r="AF4628">
        <v>-16.131529717834201</v>
      </c>
      <c r="AG4628">
        <v>1.2784229999999901</v>
      </c>
      <c r="AH4628">
        <v>56.181945699992099</v>
      </c>
      <c r="AI4628">
        <v>88.747065015094904</v>
      </c>
      <c r="AJ4628">
        <v>106.02036763874899</v>
      </c>
      <c r="AK4628">
        <v>58.465987026998597</v>
      </c>
      <c r="AL4628">
        <v>78.304346555828999</v>
      </c>
      <c r="AM4628">
        <v>90.365705699052796</v>
      </c>
      <c r="AN4628">
        <v>0.99999995434014</v>
      </c>
    </row>
    <row r="4629" spans="1:40" x14ac:dyDescent="0.25">
      <c r="A4629" t="str">
        <f>"20190303170905373"</f>
        <v>20190303170905373</v>
      </c>
      <c r="B4629" t="str">
        <f>"1551604145358490"</f>
        <v>1551604145358490</v>
      </c>
      <c r="C4629" t="s">
        <v>40</v>
      </c>
      <c r="D4629">
        <v>4.9734669999999896</v>
      </c>
      <c r="E4629">
        <v>0.39670640000000001</v>
      </c>
      <c r="F4629" t="s">
        <v>111</v>
      </c>
      <c r="G4629">
        <v>-285.77789999999999</v>
      </c>
      <c r="H4629">
        <v>2.4806710000000001</v>
      </c>
      <c r="I4629">
        <v>-80.464519999999993</v>
      </c>
      <c r="J4629">
        <v>-301.84030000000001</v>
      </c>
      <c r="K4629">
        <v>1.121734</v>
      </c>
      <c r="L4629">
        <v>-24.777529999999999</v>
      </c>
      <c r="M4629">
        <v>9.8651089999999999E-4</v>
      </c>
      <c r="N4629">
        <v>-7.7011390000000001E-3</v>
      </c>
      <c r="O4629">
        <v>-0.99997009999999997</v>
      </c>
      <c r="P4629">
        <v>5.4681189999999996E-3</v>
      </c>
      <c r="Q4629">
        <v>0.19578570000000001</v>
      </c>
      <c r="R4629">
        <v>-0.9806319</v>
      </c>
      <c r="S4629">
        <v>0.8686218</v>
      </c>
      <c r="T4629">
        <v>7.3477860000000006E-2</v>
      </c>
      <c r="U4629">
        <v>-3.0411069999999998</v>
      </c>
      <c r="V4629">
        <v>-5.0756960000000002E-3</v>
      </c>
      <c r="W4629">
        <v>0.20331859999999999</v>
      </c>
      <c r="X4629">
        <v>0.97909950000000001</v>
      </c>
      <c r="Y4629">
        <v>-0.27357939999999997</v>
      </c>
      <c r="Z4629">
        <v>-3.0926660000000002E-2</v>
      </c>
      <c r="AA4629">
        <v>0.96135210000000004</v>
      </c>
      <c r="AB4629">
        <v>28</v>
      </c>
      <c r="AC4629">
        <v>16.0624</v>
      </c>
      <c r="AD4629">
        <v>1.3589370000000001</v>
      </c>
      <c r="AE4629">
        <v>-55.686990000000002</v>
      </c>
      <c r="AF4629">
        <v>-15.998659116966801</v>
      </c>
      <c r="AG4629">
        <v>1.3589370000000001</v>
      </c>
      <c r="AH4629">
        <v>55.672202035851498</v>
      </c>
      <c r="AI4629">
        <v>88.656080333515405</v>
      </c>
      <c r="AJ4629">
        <v>106.033194862974</v>
      </c>
      <c r="AK4629">
        <v>57.941331386425198</v>
      </c>
      <c r="AL4629">
        <v>78.268911106556601</v>
      </c>
      <c r="AM4629">
        <v>90.297021246331596</v>
      </c>
      <c r="AN4629">
        <v>1.0000000233480399</v>
      </c>
    </row>
    <row r="4630" spans="1:40" x14ac:dyDescent="0.25">
      <c r="A4630" t="str">
        <f>"20190303170905417"</f>
        <v>20190303170905417</v>
      </c>
      <c r="B4630" t="str">
        <f>"1551604145408267"</f>
        <v>1551604145408267</v>
      </c>
      <c r="C4630" t="s">
        <v>40</v>
      </c>
      <c r="D4630">
        <v>4.8941460000000001</v>
      </c>
      <c r="E4630">
        <v>0.49531160000000002</v>
      </c>
      <c r="F4630" t="s">
        <v>111</v>
      </c>
      <c r="G4630">
        <v>-285.80840000000001</v>
      </c>
      <c r="H4630">
        <v>2.5020660000000001</v>
      </c>
      <c r="I4630">
        <v>-80.464519999999993</v>
      </c>
      <c r="J4630">
        <v>-301.83589999999998</v>
      </c>
      <c r="K4630">
        <v>1.121732</v>
      </c>
      <c r="L4630">
        <v>-25.333739999999999</v>
      </c>
      <c r="M4630">
        <v>4.1881920000000003E-3</v>
      </c>
      <c r="N4630">
        <v>-7.6795129999999998E-3</v>
      </c>
      <c r="O4630">
        <v>-0.99996189999999996</v>
      </c>
      <c r="P4630">
        <v>7.4705680000000003E-3</v>
      </c>
      <c r="Q4630">
        <v>0.19524330000000001</v>
      </c>
      <c r="R4630">
        <v>-0.98072630000000005</v>
      </c>
      <c r="S4630">
        <v>0.875</v>
      </c>
      <c r="T4630">
        <v>7.5337890000000005E-2</v>
      </c>
      <c r="U4630">
        <v>-3.0393370000000002</v>
      </c>
      <c r="V4630">
        <v>-3.9430639999999996E-3</v>
      </c>
      <c r="W4630">
        <v>0.20275869999999999</v>
      </c>
      <c r="X4630">
        <v>0.9792208</v>
      </c>
      <c r="Y4630">
        <v>-0.2725072</v>
      </c>
      <c r="Z4630">
        <v>-3.1499099999999898E-2</v>
      </c>
      <c r="AA4630">
        <v>0.96163799999999999</v>
      </c>
      <c r="AB4630">
        <v>28</v>
      </c>
      <c r="AC4630">
        <v>16.0274999999999</v>
      </c>
      <c r="AD4630">
        <v>1.3803339999999999</v>
      </c>
      <c r="AE4630">
        <v>-55.130780000000001</v>
      </c>
      <c r="AF4630">
        <v>-15.787328946940701</v>
      </c>
      <c r="AG4630">
        <v>1.3803339999999999</v>
      </c>
      <c r="AH4630">
        <v>55.165537810135703</v>
      </c>
      <c r="AI4630">
        <v>88.6219602815912</v>
      </c>
      <c r="AJ4630">
        <v>105.970115604284</v>
      </c>
      <c r="AK4630">
        <v>57.396704078822999</v>
      </c>
      <c r="AL4630">
        <v>78.3016732307605</v>
      </c>
      <c r="AM4630">
        <v>90.230713751677797</v>
      </c>
      <c r="AN4630">
        <v>1.00000000666601</v>
      </c>
    </row>
    <row r="4631" spans="1:40" x14ac:dyDescent="0.25">
      <c r="A4631" t="str">
        <f>"20190303170905463"</f>
        <v>20190303170905463</v>
      </c>
      <c r="B4631" t="str">
        <f>"1551604145458044"</f>
        <v>1551604145458044</v>
      </c>
      <c r="C4631" t="s">
        <v>40</v>
      </c>
      <c r="D4631">
        <v>4.8901779999999997</v>
      </c>
      <c r="E4631">
        <v>0.49741059999999998</v>
      </c>
      <c r="F4631" t="s">
        <v>59</v>
      </c>
      <c r="G4631">
        <v>-300.5548</v>
      </c>
      <c r="H4631" s="1">
        <v>-1.073759E-5</v>
      </c>
      <c r="I4631">
        <v>-63.181049999999999</v>
      </c>
      <c r="J4631">
        <v>-301.8295</v>
      </c>
      <c r="K4631">
        <v>1.12174</v>
      </c>
      <c r="L4631">
        <v>-25.912289999999999</v>
      </c>
      <c r="M4631">
        <v>7.5164369999999999E-3</v>
      </c>
      <c r="N4631">
        <v>-7.6669989999999999E-3</v>
      </c>
      <c r="O4631">
        <v>-0.99994260000000001</v>
      </c>
      <c r="P4631">
        <v>8.2372929999999997E-3</v>
      </c>
      <c r="Q4631">
        <v>0.1961002</v>
      </c>
      <c r="R4631">
        <v>-0.98054949999999996</v>
      </c>
      <c r="S4631">
        <v>0.104126</v>
      </c>
      <c r="T4631">
        <v>-9.1178060000000005E-2</v>
      </c>
      <c r="U4631">
        <v>-3.0763240000000001</v>
      </c>
      <c r="V4631">
        <v>-1.4559289999999999E-3</v>
      </c>
      <c r="W4631">
        <v>0.2036094</v>
      </c>
      <c r="X4631">
        <v>0.97905109999999995</v>
      </c>
      <c r="Y4631">
        <v>-2.630294E-2</v>
      </c>
      <c r="Z4631">
        <v>2.1947250000000001E-2</v>
      </c>
      <c r="AA4631">
        <v>0.99941310000000005</v>
      </c>
      <c r="AB4631">
        <v>28</v>
      </c>
      <c r="AC4631">
        <v>1.27469999999999</v>
      </c>
      <c r="AD4631">
        <v>-1.12175073759</v>
      </c>
      <c r="AE4631">
        <v>-37.26876</v>
      </c>
      <c r="AF4631">
        <v>-0.99362841349776698</v>
      </c>
      <c r="AG4631">
        <v>-1.12175073759</v>
      </c>
      <c r="AH4631">
        <v>37.243587326988298</v>
      </c>
      <c r="AI4631">
        <v>91.724573874999706</v>
      </c>
      <c r="AJ4631">
        <v>91.528241960335507</v>
      </c>
      <c r="AK4631">
        <v>37.273722904003002</v>
      </c>
      <c r="AL4631">
        <v>78.251893034551998</v>
      </c>
      <c r="AM4631">
        <v>90.085203443905797</v>
      </c>
      <c r="AN4631">
        <v>0.99999998195441098</v>
      </c>
    </row>
    <row r="4632" spans="1:40" x14ac:dyDescent="0.25">
      <c r="A4632" t="str">
        <f>"20190303170905499"</f>
        <v>20190303170905499</v>
      </c>
      <c r="B4632" t="str">
        <f>"1551604145488299"</f>
        <v>1551604145488299</v>
      </c>
      <c r="C4632" t="s">
        <v>40</v>
      </c>
      <c r="D4632">
        <v>4.9472180000000003</v>
      </c>
      <c r="E4632">
        <v>0.49791180000000002</v>
      </c>
      <c r="F4632" t="s">
        <v>59</v>
      </c>
      <c r="G4632">
        <v>-300.7079</v>
      </c>
      <c r="H4632" s="1">
        <v>-1.0574580000000001E-5</v>
      </c>
      <c r="I4632">
        <v>-64.255740000000003</v>
      </c>
      <c r="J4632">
        <v>-301.82330000000002</v>
      </c>
      <c r="K4632">
        <v>1.1217490000000001</v>
      </c>
      <c r="L4632">
        <v>-26.353390000000001</v>
      </c>
      <c r="M4632">
        <v>1.0047769999999999E-2</v>
      </c>
      <c r="N4632">
        <v>-7.662856E-3</v>
      </c>
      <c r="O4632">
        <v>-0.99992020000000004</v>
      </c>
      <c r="P4632">
        <v>8.1234459999999994E-3</v>
      </c>
      <c r="Q4632">
        <v>0.19801750000000001</v>
      </c>
      <c r="R4632">
        <v>-0.98016490000000001</v>
      </c>
      <c r="S4632">
        <v>8.9996339999999994E-2</v>
      </c>
      <c r="T4632">
        <v>-9.0011359999999999E-2</v>
      </c>
      <c r="U4632">
        <v>-3.0767519999999999</v>
      </c>
      <c r="V4632">
        <v>1.126656E-3</v>
      </c>
      <c r="W4632">
        <v>0.2055273</v>
      </c>
      <c r="X4632">
        <v>0.97865069999999998</v>
      </c>
      <c r="Y4632">
        <v>-1.9183180000000001E-2</v>
      </c>
      <c r="Z4632">
        <v>2.1572350000000001E-2</v>
      </c>
      <c r="AA4632">
        <v>0.99958320000000001</v>
      </c>
      <c r="AB4632">
        <v>28</v>
      </c>
      <c r="AC4632">
        <v>1.1154000000000199</v>
      </c>
      <c r="AD4632">
        <v>-1.12175957458</v>
      </c>
      <c r="AE4632">
        <v>-37.902349999999998</v>
      </c>
      <c r="AF4632">
        <v>-0.73385618281430998</v>
      </c>
      <c r="AG4632">
        <v>-1.12175957458</v>
      </c>
      <c r="AH4632">
        <v>37.878494144252699</v>
      </c>
      <c r="AI4632">
        <v>91.695982450536206</v>
      </c>
      <c r="AJ4632">
        <v>91.109906911952393</v>
      </c>
      <c r="AK4632">
        <v>37.902205847106103</v>
      </c>
      <c r="AL4632">
        <v>78.139631172923302</v>
      </c>
      <c r="AM4632">
        <v>89.934039177364198</v>
      </c>
      <c r="AN4632">
        <v>0.99999996650475997</v>
      </c>
    </row>
    <row r="4633" spans="1:40" x14ac:dyDescent="0.25">
      <c r="A4633" t="str">
        <f>"20190303170905533"</f>
        <v>20190303170905533</v>
      </c>
      <c r="B4633" t="str">
        <f>"1551604145518555"</f>
        <v>1551604145518555</v>
      </c>
      <c r="C4633" t="s">
        <v>40</v>
      </c>
      <c r="D4633">
        <v>4.9430860000000001</v>
      </c>
      <c r="E4633">
        <v>0.49794070000000001</v>
      </c>
      <c r="F4633" t="s">
        <v>59</v>
      </c>
      <c r="G4633">
        <v>-300.6696</v>
      </c>
      <c r="H4633" s="1">
        <v>-1.0319999999999999E-5</v>
      </c>
      <c r="I4633">
        <v>-66.943650000000005</v>
      </c>
      <c r="J4633">
        <v>-301.81630000000001</v>
      </c>
      <c r="K4633">
        <v>1.1217410000000001</v>
      </c>
      <c r="L4633">
        <v>-26.782810000000001</v>
      </c>
      <c r="M4633">
        <v>1.248471E-2</v>
      </c>
      <c r="N4633">
        <v>-7.6618449999999996E-3</v>
      </c>
      <c r="O4633">
        <v>-0.99989280000000003</v>
      </c>
      <c r="P4633">
        <v>1.1000100000000001E-2</v>
      </c>
      <c r="Q4633">
        <v>0.19701099999999999</v>
      </c>
      <c r="R4633">
        <v>-0.98033979999999998</v>
      </c>
      <c r="S4633">
        <v>8.7463379999999993E-2</v>
      </c>
      <c r="T4633">
        <v>-8.5041400000000003E-2</v>
      </c>
      <c r="U4633">
        <v>-3.0771790000000001</v>
      </c>
      <c r="V4633">
        <v>6.4464609999999995E-4</v>
      </c>
      <c r="W4633">
        <v>0.2045197</v>
      </c>
      <c r="X4633">
        <v>0.97886220000000002</v>
      </c>
      <c r="Y4633">
        <v>-1.5921709999999999E-2</v>
      </c>
      <c r="Z4633">
        <v>1.9956689999999999E-2</v>
      </c>
      <c r="AA4633">
        <v>0.99967410000000001</v>
      </c>
      <c r="AB4633">
        <v>28</v>
      </c>
      <c r="AC4633">
        <v>1.1467000000000001</v>
      </c>
      <c r="AD4633">
        <v>-1.12175131999999</v>
      </c>
      <c r="AE4633">
        <v>-40.16084</v>
      </c>
      <c r="AF4633">
        <v>-0.64469695038680597</v>
      </c>
      <c r="AG4633">
        <v>-1.12175131999999</v>
      </c>
      <c r="AH4633">
        <v>40.1407354672126</v>
      </c>
      <c r="AI4633">
        <v>91.600533995769098</v>
      </c>
      <c r="AJ4633">
        <v>90.920143546419496</v>
      </c>
      <c r="AK4633">
        <v>40.161581194351598</v>
      </c>
      <c r="AL4633">
        <v>78.198615385357797</v>
      </c>
      <c r="AM4633">
        <v>89.962266910020801</v>
      </c>
      <c r="AN4633">
        <v>0.999999964922761</v>
      </c>
    </row>
    <row r="4634" spans="1:40" x14ac:dyDescent="0.25">
      <c r="A4634" t="str">
        <f>"20190303170905565"</f>
        <v>20190303170905565</v>
      </c>
      <c r="B4634" t="str">
        <f>"1551604145558570"</f>
        <v>1551604145558570</v>
      </c>
      <c r="C4634" t="s">
        <v>40</v>
      </c>
      <c r="D4634">
        <v>4.9373950000000004</v>
      </c>
      <c r="E4634">
        <v>0.49828600000000001</v>
      </c>
      <c r="F4634" t="s">
        <v>59</v>
      </c>
      <c r="G4634">
        <v>-300.61880000000002</v>
      </c>
      <c r="H4634" s="1">
        <v>-1.047858E-5</v>
      </c>
      <c r="I4634">
        <v>-65.54092</v>
      </c>
      <c r="J4634">
        <v>-301.80860000000001</v>
      </c>
      <c r="K4634">
        <v>1.1217200000000001</v>
      </c>
      <c r="L4634">
        <v>-27.195129999999999</v>
      </c>
      <c r="M4634">
        <v>1.476744E-2</v>
      </c>
      <c r="N4634">
        <v>-7.663039E-3</v>
      </c>
      <c r="O4634">
        <v>-0.99986180000000002</v>
      </c>
      <c r="P4634">
        <v>1.247882E-2</v>
      </c>
      <c r="Q4634">
        <v>0.19800290000000001</v>
      </c>
      <c r="R4634">
        <v>-0.9801223</v>
      </c>
      <c r="S4634">
        <v>9.5062259999999996E-2</v>
      </c>
      <c r="T4634">
        <v>-8.9055540000000002E-2</v>
      </c>
      <c r="U4634">
        <v>-3.0769959999999998</v>
      </c>
      <c r="V4634">
        <v>1.407232E-3</v>
      </c>
      <c r="W4634">
        <v>0.20551330000000001</v>
      </c>
      <c r="X4634">
        <v>0.97865329999999995</v>
      </c>
      <c r="Y4634">
        <v>-1.610634E-2</v>
      </c>
      <c r="Z4634">
        <v>2.125782E-2</v>
      </c>
      <c r="AA4634">
        <v>0.99964430000000004</v>
      </c>
      <c r="AB4634">
        <v>28</v>
      </c>
      <c r="AC4634">
        <v>1.18979999999999</v>
      </c>
      <c r="AD4634">
        <v>-1.12173047858</v>
      </c>
      <c r="AE4634">
        <v>-38.345790000000001</v>
      </c>
      <c r="AF4634">
        <v>-0.62285210301725402</v>
      </c>
      <c r="AG4634">
        <v>-1.12173047858</v>
      </c>
      <c r="AH4634">
        <v>38.326413280993201</v>
      </c>
      <c r="AI4634">
        <v>91.676222651038501</v>
      </c>
      <c r="AJ4634">
        <v>90.931046047413801</v>
      </c>
      <c r="AK4634">
        <v>38.347883631229301</v>
      </c>
      <c r="AL4634">
        <v>78.140451083738895</v>
      </c>
      <c r="AM4634">
        <v>89.917612908651293</v>
      </c>
      <c r="AN4634">
        <v>0.99999998918984101</v>
      </c>
    </row>
    <row r="4635" spans="1:40" x14ac:dyDescent="0.25">
      <c r="A4635" t="str">
        <f>"20190303170905600"</f>
        <v>20190303170905600</v>
      </c>
      <c r="B4635" t="str">
        <f>"1551604145588827"</f>
        <v>1551604145588827</v>
      </c>
      <c r="C4635" t="s">
        <v>40</v>
      </c>
      <c r="D4635">
        <v>4.9358079999999998</v>
      </c>
      <c r="E4635">
        <v>0.49845650000000002</v>
      </c>
      <c r="F4635" t="s">
        <v>59</v>
      </c>
      <c r="G4635">
        <v>-300.58409999999998</v>
      </c>
      <c r="H4635" s="1">
        <v>-1.045857E-5</v>
      </c>
      <c r="I4635">
        <v>-65.867609999999999</v>
      </c>
      <c r="J4635">
        <v>-301.79919999999998</v>
      </c>
      <c r="K4635">
        <v>1.121683</v>
      </c>
      <c r="L4635">
        <v>-27.64575</v>
      </c>
      <c r="M4635">
        <v>1.7142640000000001E-2</v>
      </c>
      <c r="N4635">
        <v>-7.6660000000000001E-3</v>
      </c>
      <c r="O4635">
        <v>-0.99982389999999999</v>
      </c>
      <c r="P4635">
        <v>1.4556380000000001E-2</v>
      </c>
      <c r="Q4635">
        <v>0.19945889999999999</v>
      </c>
      <c r="R4635">
        <v>-0.97979810000000001</v>
      </c>
      <c r="S4635">
        <v>9.7442630000000002E-2</v>
      </c>
      <c r="T4635">
        <v>-8.9269639999999997E-2</v>
      </c>
      <c r="U4635">
        <v>-3.0776370000000002</v>
      </c>
      <c r="V4635">
        <v>1.672616E-3</v>
      </c>
      <c r="W4635">
        <v>0.20697090000000001</v>
      </c>
      <c r="X4635">
        <v>0.97834569999999998</v>
      </c>
      <c r="Y4635">
        <v>-1.449721E-2</v>
      </c>
      <c r="Z4635">
        <v>2.1316990000000001E-2</v>
      </c>
      <c r="AA4635">
        <v>0.99966759999999999</v>
      </c>
      <c r="AB4635">
        <v>28</v>
      </c>
      <c r="AC4635">
        <v>1.2151000000000001</v>
      </c>
      <c r="AD4635">
        <v>-1.12169345857</v>
      </c>
      <c r="AE4635">
        <v>-38.22186</v>
      </c>
      <c r="AF4635">
        <v>-0.55919763160634295</v>
      </c>
      <c r="AG4635">
        <v>-1.12169345857</v>
      </c>
      <c r="AH4635">
        <v>38.204203947676099</v>
      </c>
      <c r="AI4635">
        <v>91.681567975689106</v>
      </c>
      <c r="AJ4635">
        <v>90.838582488003695</v>
      </c>
      <c r="AK4635">
        <v>38.224757651054198</v>
      </c>
      <c r="AL4635">
        <v>78.055102315013897</v>
      </c>
      <c r="AM4635">
        <v>89.902045111276394</v>
      </c>
      <c r="AN4635">
        <v>1.00000002989979</v>
      </c>
    </row>
    <row r="4636" spans="1:40" x14ac:dyDescent="0.25">
      <c r="A4636" t="str">
        <f>"20190303170905663"</f>
        <v>20190303170905663</v>
      </c>
      <c r="B4636" t="str">
        <f>"1551604145658123"</f>
        <v>1551604145658123</v>
      </c>
      <c r="C4636" t="s">
        <v>40</v>
      </c>
      <c r="D4636">
        <v>4.8858309999999996</v>
      </c>
      <c r="E4636">
        <v>0.49874089999999999</v>
      </c>
      <c r="F4636" t="s">
        <v>59</v>
      </c>
      <c r="G4636">
        <v>-300.47550000000001</v>
      </c>
      <c r="H4636" s="1">
        <v>-1.036115E-5</v>
      </c>
      <c r="I4636">
        <v>-67.238100000000003</v>
      </c>
      <c r="J4636">
        <v>-301.78030000000001</v>
      </c>
      <c r="K4636">
        <v>1.121515</v>
      </c>
      <c r="L4636">
        <v>-28.45374</v>
      </c>
      <c r="M4636">
        <v>2.0914579999999999E-2</v>
      </c>
      <c r="N4636">
        <v>-7.6744509999999997E-3</v>
      </c>
      <c r="O4636">
        <v>-0.99975179999999997</v>
      </c>
      <c r="P4636">
        <v>2.233396E-2</v>
      </c>
      <c r="Q4636">
        <v>0.19915450000000001</v>
      </c>
      <c r="R4636">
        <v>-0.97971359999999996</v>
      </c>
      <c r="S4636">
        <v>0.10290530000000001</v>
      </c>
      <c r="T4636">
        <v>-8.7204809999999994E-2</v>
      </c>
      <c r="U4636">
        <v>-3.0780639999999999</v>
      </c>
      <c r="V4636">
        <v>-2.3302100000000001E-3</v>
      </c>
      <c r="W4636">
        <v>0.2066644</v>
      </c>
      <c r="X4636">
        <v>0.97840910000000003</v>
      </c>
      <c r="Y4636">
        <v>-1.2493489999999999E-2</v>
      </c>
      <c r="Z4636">
        <v>2.0631879999999998E-2</v>
      </c>
      <c r="AA4636">
        <v>0.99970910000000002</v>
      </c>
      <c r="AB4636">
        <v>29</v>
      </c>
      <c r="AC4636">
        <v>1.3048</v>
      </c>
      <c r="AD4636">
        <v>-1.12152536115</v>
      </c>
      <c r="AE4636">
        <v>-38.78436</v>
      </c>
      <c r="AF4636">
        <v>-0.49292037305763903</v>
      </c>
      <c r="AG4636">
        <v>-1.12152536115</v>
      </c>
      <c r="AH4636">
        <v>38.770783112256197</v>
      </c>
      <c r="AI4636">
        <v>91.656803446352299</v>
      </c>
      <c r="AJ4636">
        <v>90.728402503524293</v>
      </c>
      <c r="AK4636">
        <v>38.790132930520997</v>
      </c>
      <c r="AL4636">
        <v>78.073051005185405</v>
      </c>
      <c r="AM4636">
        <v>90.136457179258997</v>
      </c>
      <c r="AN4636">
        <v>0.99999998553440606</v>
      </c>
    </row>
    <row r="4637" spans="1:40" x14ac:dyDescent="0.25">
      <c r="A4637" t="str">
        <f>"20190303170905696"</f>
        <v>20190303170905696</v>
      </c>
      <c r="B4637" t="str">
        <f>"1551604145688379"</f>
        <v>1551604145688379</v>
      </c>
      <c r="C4637" t="s">
        <v>40</v>
      </c>
      <c r="D4637">
        <v>4.8881030000000001</v>
      </c>
      <c r="E4637">
        <v>0.49881619999999999</v>
      </c>
      <c r="F4637" t="s">
        <v>59</v>
      </c>
      <c r="G4637">
        <v>-300.28809999999999</v>
      </c>
      <c r="H4637" s="1">
        <v>-1.06131399999999E-5</v>
      </c>
      <c r="I4637">
        <v>-65.397499999999994</v>
      </c>
      <c r="J4637">
        <v>-301.76929999999999</v>
      </c>
      <c r="K4637">
        <v>1.1214360000000001</v>
      </c>
      <c r="L4637">
        <v>-28.88223</v>
      </c>
      <c r="M4637">
        <v>2.265959E-2</v>
      </c>
      <c r="N4637">
        <v>-7.68227699999999E-3</v>
      </c>
      <c r="O4637">
        <v>-0.99971370000000004</v>
      </c>
      <c r="P4637">
        <v>2.6109770000000001E-2</v>
      </c>
      <c r="Q4637">
        <v>0.19733120000000001</v>
      </c>
      <c r="R4637">
        <v>-0.97998909999999995</v>
      </c>
      <c r="S4637">
        <v>0.1243286</v>
      </c>
      <c r="T4637">
        <v>-9.3449229999999994E-2</v>
      </c>
      <c r="U4637">
        <v>-3.0782780000000001</v>
      </c>
      <c r="V4637">
        <v>-4.3459609999999997E-3</v>
      </c>
      <c r="W4637">
        <v>0.2048478</v>
      </c>
      <c r="X4637">
        <v>0.97878419999999999</v>
      </c>
      <c r="Y4637">
        <v>-1.769103E-2</v>
      </c>
      <c r="Z4637">
        <v>2.2641129999999999E-2</v>
      </c>
      <c r="AA4637">
        <v>0.99958709999999995</v>
      </c>
      <c r="AB4637">
        <v>29</v>
      </c>
      <c r="AC4637">
        <v>1.4812000000000001</v>
      </c>
      <c r="AD4637">
        <v>-1.12144661314</v>
      </c>
      <c r="AE4637">
        <v>-36.515270000000001</v>
      </c>
      <c r="AF4637">
        <v>-0.65275950268641603</v>
      </c>
      <c r="AG4637">
        <v>-1.12144661314</v>
      </c>
      <c r="AH4637">
        <v>36.505082728191098</v>
      </c>
      <c r="AI4637">
        <v>91.7593083291125</v>
      </c>
      <c r="AJ4637">
        <v>91.024415680079102</v>
      </c>
      <c r="AK4637">
        <v>36.528137133811597</v>
      </c>
      <c r="AL4637">
        <v>78.179410559288996</v>
      </c>
      <c r="AM4637">
        <v>90.254400905597805</v>
      </c>
      <c r="AN4637">
        <v>1.00000000935574</v>
      </c>
    </row>
    <row r="4638" spans="1:40" x14ac:dyDescent="0.25">
      <c r="A4638" t="str">
        <f>"20190303170905729"</f>
        <v>20190303170905729</v>
      </c>
      <c r="B4638" t="str">
        <f>"1551604145718635"</f>
        <v>1551604145718635</v>
      </c>
      <c r="C4638" t="s">
        <v>40</v>
      </c>
      <c r="D4638">
        <v>4.8256920000000001</v>
      </c>
      <c r="E4638">
        <v>0.49891059999999998</v>
      </c>
      <c r="F4638" t="s">
        <v>59</v>
      </c>
      <c r="G4638">
        <v>-300.26929999999999</v>
      </c>
      <c r="H4638" s="1">
        <v>-1.0825949999999999E-5</v>
      </c>
      <c r="I4638">
        <v>-63.33578</v>
      </c>
      <c r="J4638">
        <v>-301.75779999999997</v>
      </c>
      <c r="K4638">
        <v>1.1213500000000001</v>
      </c>
      <c r="L4638">
        <v>-29.313389999999998</v>
      </c>
      <c r="M4638">
        <v>2.4233589999999999E-2</v>
      </c>
      <c r="N4638">
        <v>-7.6999649999999996E-3</v>
      </c>
      <c r="O4638">
        <v>-0.99967689999999998</v>
      </c>
      <c r="P4638">
        <v>2.771937E-2</v>
      </c>
      <c r="Q4638">
        <v>0.19734979999999999</v>
      </c>
      <c r="R4638">
        <v>-0.97994170000000003</v>
      </c>
      <c r="S4638">
        <v>0.1340027</v>
      </c>
      <c r="T4638">
        <v>-0.10018249999999999</v>
      </c>
      <c r="U4638">
        <v>-3.0778500000000002</v>
      </c>
      <c r="V4638">
        <v>-4.374396E-3</v>
      </c>
      <c r="W4638">
        <v>0.20488419999999999</v>
      </c>
      <c r="X4638">
        <v>0.97877650000000005</v>
      </c>
      <c r="Y4638">
        <v>-1.9256039999999999E-2</v>
      </c>
      <c r="Z4638">
        <v>2.4806769999999999E-2</v>
      </c>
      <c r="AA4638">
        <v>0.99950680000000003</v>
      </c>
      <c r="AB4638">
        <v>29</v>
      </c>
      <c r="AC4638">
        <v>1.48849999999998</v>
      </c>
      <c r="AD4638">
        <v>-1.1213608259500001</v>
      </c>
      <c r="AE4638">
        <v>-34.022390000000001</v>
      </c>
      <c r="AF4638">
        <v>-0.66283525276768596</v>
      </c>
      <c r="AG4638">
        <v>-1.1213608259500001</v>
      </c>
      <c r="AH4638">
        <v>34.011593421403802</v>
      </c>
      <c r="AI4638">
        <v>91.887997210368894</v>
      </c>
      <c r="AJ4638">
        <v>91.116467997357603</v>
      </c>
      <c r="AK4638">
        <v>34.036528726313499</v>
      </c>
      <c r="AL4638">
        <v>78.177280333236695</v>
      </c>
      <c r="AM4638">
        <v>90.256067406603194</v>
      </c>
      <c r="AN4638">
        <v>1.00000005385112</v>
      </c>
    </row>
    <row r="4639" spans="1:40" x14ac:dyDescent="0.25">
      <c r="A4639" t="str">
        <f>"20190303170905764"</f>
        <v>20190303170905764</v>
      </c>
      <c r="B4639" t="str">
        <f>"1551604145758651"</f>
        <v>1551604145758651</v>
      </c>
      <c r="C4639" t="s">
        <v>40</v>
      </c>
      <c r="D4639">
        <v>4.7611169999999996</v>
      </c>
      <c r="E4639">
        <v>0.49913400000000002</v>
      </c>
      <c r="F4639" t="s">
        <v>59</v>
      </c>
      <c r="G4639">
        <v>-300.20729999999998</v>
      </c>
      <c r="H4639" s="1">
        <v>-1.0827549999999999E-5</v>
      </c>
      <c r="I4639">
        <v>-63.545650000000002</v>
      </c>
      <c r="J4639">
        <v>-301.74509999999998</v>
      </c>
      <c r="K4639">
        <v>1.1212930000000001</v>
      </c>
      <c r="L4639">
        <v>-29.76437</v>
      </c>
      <c r="M4639">
        <v>2.5702610000000001E-2</v>
      </c>
      <c r="N4639">
        <v>-7.7228779999999999E-3</v>
      </c>
      <c r="O4639">
        <v>-0.99963979999999997</v>
      </c>
      <c r="P4639">
        <v>3.0075149999999998E-2</v>
      </c>
      <c r="Q4639">
        <v>0.19614380000000001</v>
      </c>
      <c r="R4639">
        <v>-0.98011420000000005</v>
      </c>
      <c r="S4639">
        <v>0.13940429999999901</v>
      </c>
      <c r="T4639">
        <v>-0.10081950000000001</v>
      </c>
      <c r="U4639">
        <v>-3.0777589999999999</v>
      </c>
      <c r="V4639">
        <v>-5.2452109999999996E-3</v>
      </c>
      <c r="W4639">
        <v>0.2037014</v>
      </c>
      <c r="X4639">
        <v>0.97901899999999997</v>
      </c>
      <c r="Y4639">
        <v>-1.953852E-2</v>
      </c>
      <c r="Z4639">
        <v>2.498856E-2</v>
      </c>
      <c r="AA4639">
        <v>0.99949679999999996</v>
      </c>
      <c r="AB4639">
        <v>29</v>
      </c>
      <c r="AC4639">
        <v>1.5378000000000001</v>
      </c>
      <c r="AD4639">
        <v>-1.12130382755</v>
      </c>
      <c r="AE4639">
        <v>-33.781279999999903</v>
      </c>
      <c r="AF4639">
        <v>-0.66826421446745299</v>
      </c>
      <c r="AG4639">
        <v>-1.12130382755</v>
      </c>
      <c r="AH4639">
        <v>33.772512889594999</v>
      </c>
      <c r="AI4639">
        <v>91.901245126953597</v>
      </c>
      <c r="AJ4639">
        <v>91.133576387209899</v>
      </c>
      <c r="AK4639">
        <v>33.797729601437403</v>
      </c>
      <c r="AL4639">
        <v>78.246509053162896</v>
      </c>
      <c r="AM4639">
        <v>90.306966031854799</v>
      </c>
      <c r="AN4639">
        <v>0.99999998748069696</v>
      </c>
    </row>
    <row r="4640" spans="1:40" x14ac:dyDescent="0.25">
      <c r="A4640" t="str">
        <f>"20190303170905800"</f>
        <v>20190303170905800</v>
      </c>
      <c r="B4640" t="str">
        <f>"1551604145788907"</f>
        <v>1551604145788907</v>
      </c>
      <c r="C4640" t="s">
        <v>40</v>
      </c>
      <c r="D4640">
        <v>4.7686070000000003</v>
      </c>
      <c r="E4640">
        <v>0.49928610000000001</v>
      </c>
      <c r="F4640" t="s">
        <v>59</v>
      </c>
      <c r="G4640">
        <v>-300.2081</v>
      </c>
      <c r="H4640" s="1">
        <v>-1.090823E-5</v>
      </c>
      <c r="I4640">
        <v>-62.734990000000003</v>
      </c>
      <c r="J4640">
        <v>-301.73169999999999</v>
      </c>
      <c r="K4640">
        <v>1.1212219999999999</v>
      </c>
      <c r="L4640">
        <v>-30.225159999999999</v>
      </c>
      <c r="M4640">
        <v>2.7089160000000001E-2</v>
      </c>
      <c r="N4640">
        <v>-7.7462449999999997E-3</v>
      </c>
      <c r="O4640">
        <v>-0.99960309999999997</v>
      </c>
      <c r="P4640">
        <v>3.1573980000000001E-2</v>
      </c>
      <c r="Q4640">
        <v>0.1958135</v>
      </c>
      <c r="R4640">
        <v>-0.98013289999999997</v>
      </c>
      <c r="S4640">
        <v>0.14346310000000001</v>
      </c>
      <c r="T4640">
        <v>-0.10466060000000001</v>
      </c>
      <c r="U4640">
        <v>-3.077423</v>
      </c>
      <c r="V4640">
        <v>-5.35433E-3</v>
      </c>
      <c r="W4640">
        <v>0.2033951</v>
      </c>
      <c r="X4640">
        <v>0.97908209999999996</v>
      </c>
      <c r="Y4640">
        <v>-1.9470540000000001E-2</v>
      </c>
      <c r="Z4640">
        <v>2.6211290000000002E-2</v>
      </c>
      <c r="AA4640">
        <v>0.99946679999999999</v>
      </c>
      <c r="AB4640">
        <v>29</v>
      </c>
      <c r="AC4640">
        <v>1.5235999999999801</v>
      </c>
      <c r="AD4640">
        <v>-1.1212329082300001</v>
      </c>
      <c r="AE4640">
        <v>-32.509830000000001</v>
      </c>
      <c r="AF4640">
        <v>-0.64158901590095496</v>
      </c>
      <c r="AG4640">
        <v>-1.1212329082300001</v>
      </c>
      <c r="AH4640">
        <v>32.500598608547698</v>
      </c>
      <c r="AI4640">
        <v>91.975469657040406</v>
      </c>
      <c r="AJ4640">
        <v>91.130919746298105</v>
      </c>
      <c r="AK4640">
        <v>32.526261845065299</v>
      </c>
      <c r="AL4640">
        <v>78.264434125102994</v>
      </c>
      <c r="AM4640">
        <v>90.313331693926202</v>
      </c>
      <c r="AN4640">
        <v>0.99999999704708398</v>
      </c>
    </row>
    <row r="4641" spans="1:40" x14ac:dyDescent="0.25">
      <c r="A4641" t="str">
        <f>"20190303170905835"</f>
        <v>20190303170905835</v>
      </c>
      <c r="B4641" t="str">
        <f>"1551604145827947"</f>
        <v>1551604145827947</v>
      </c>
      <c r="C4641" t="s">
        <v>40</v>
      </c>
      <c r="D4641">
        <v>4.7696569999999996</v>
      </c>
      <c r="E4641">
        <v>0.49955149999999998</v>
      </c>
      <c r="F4641" t="s">
        <v>59</v>
      </c>
      <c r="G4641">
        <v>-300.18090000000001</v>
      </c>
      <c r="H4641" s="1">
        <v>-1.0901119999999999E-5</v>
      </c>
      <c r="I4641">
        <v>-62.905140000000003</v>
      </c>
      <c r="J4641">
        <v>-301.71710000000002</v>
      </c>
      <c r="K4641">
        <v>1.121181</v>
      </c>
      <c r="L4641">
        <v>-30.70599</v>
      </c>
      <c r="M4641">
        <v>2.8447099999999999E-2</v>
      </c>
      <c r="N4641">
        <v>-7.7700310000000002E-3</v>
      </c>
      <c r="O4641">
        <v>-0.99956500000000004</v>
      </c>
      <c r="P4641">
        <v>2.94448E-2</v>
      </c>
      <c r="Q4641">
        <v>0.1949389</v>
      </c>
      <c r="R4641">
        <v>-0.98037350000000001</v>
      </c>
      <c r="S4641">
        <v>0.14602660000000001</v>
      </c>
      <c r="T4641">
        <v>-0.1055775</v>
      </c>
      <c r="U4641">
        <v>-3.0772089999999999</v>
      </c>
      <c r="V4641">
        <v>-1.866239E-3</v>
      </c>
      <c r="W4641">
        <v>0.20255139999999999</v>
      </c>
      <c r="X4641">
        <v>0.97926990000000003</v>
      </c>
      <c r="Y4641">
        <v>-1.8945989999999999E-2</v>
      </c>
      <c r="Z4641">
        <v>2.6484919999999999E-2</v>
      </c>
      <c r="AA4641">
        <v>0.99946959999999996</v>
      </c>
      <c r="AB4641">
        <v>29</v>
      </c>
      <c r="AC4641">
        <v>1.5362</v>
      </c>
      <c r="AD4641">
        <v>-1.12119190112</v>
      </c>
      <c r="AE4641">
        <v>-32.199150000000003</v>
      </c>
      <c r="AF4641">
        <v>-0.61882946990507304</v>
      </c>
      <c r="AG4641">
        <v>-1.12119190112</v>
      </c>
      <c r="AH4641">
        <v>32.190878109247798</v>
      </c>
      <c r="AI4641">
        <v>91.994408296242597</v>
      </c>
      <c r="AJ4641">
        <v>91.101304228268205</v>
      </c>
      <c r="AK4641">
        <v>32.216341422272102</v>
      </c>
      <c r="AL4641">
        <v>78.313802773708403</v>
      </c>
      <c r="AM4641">
        <v>90.109191029780504</v>
      </c>
      <c r="AN4641">
        <v>1.00000004476798</v>
      </c>
    </row>
    <row r="4642" spans="1:40" x14ac:dyDescent="0.25">
      <c r="A4642" t="str">
        <f>"20190303170905866"</f>
        <v>20190303170905866</v>
      </c>
      <c r="B4642" t="str">
        <f>"1551604145858203"</f>
        <v>1551604145858203</v>
      </c>
      <c r="C4642" t="s">
        <v>40</v>
      </c>
      <c r="D4642">
        <v>4.8831939999999996</v>
      </c>
      <c r="E4642">
        <v>0.49977870000000002</v>
      </c>
      <c r="F4642" t="s">
        <v>59</v>
      </c>
      <c r="G4642">
        <v>-300.27289999999999</v>
      </c>
      <c r="H4642" s="1">
        <v>-1.0903489999999999E-5</v>
      </c>
      <c r="I4642">
        <v>-62.546480000000003</v>
      </c>
      <c r="J4642">
        <v>-301.70440000000002</v>
      </c>
      <c r="K4642">
        <v>1.121149</v>
      </c>
      <c r="L4642">
        <v>-31.110779999999998</v>
      </c>
      <c r="M4642">
        <v>2.9546949999999999E-2</v>
      </c>
      <c r="N4642">
        <v>-7.7890090000000004E-3</v>
      </c>
      <c r="O4642">
        <v>-0.999533</v>
      </c>
      <c r="P4642">
        <v>2.9208089999999999E-2</v>
      </c>
      <c r="Q4642">
        <v>0.19393150000000001</v>
      </c>
      <c r="R4642">
        <v>-0.98058020000000001</v>
      </c>
      <c r="S4642">
        <v>0.1395874</v>
      </c>
      <c r="T4642">
        <v>-0.10836460000000001</v>
      </c>
      <c r="U4642">
        <v>-3.077423</v>
      </c>
      <c r="V4642">
        <v>-5.3273329999999996E-4</v>
      </c>
      <c r="W4642">
        <v>0.20156650000000001</v>
      </c>
      <c r="X4642">
        <v>0.97947470000000003</v>
      </c>
      <c r="Y4642">
        <v>-1.5755040000000001E-2</v>
      </c>
      <c r="Z4642">
        <v>2.736765E-2</v>
      </c>
      <c r="AA4642">
        <v>0.99950130000000004</v>
      </c>
      <c r="AB4642">
        <v>29</v>
      </c>
      <c r="AC4642">
        <v>1.43150000000002</v>
      </c>
      <c r="AD4642">
        <v>-1.1211599034899999</v>
      </c>
      <c r="AE4642">
        <v>-31.435700000000001</v>
      </c>
      <c r="AF4642">
        <v>-0.50138124509584803</v>
      </c>
      <c r="AG4642">
        <v>-1.1211599034899999</v>
      </c>
      <c r="AH4642">
        <v>31.424382623100598</v>
      </c>
      <c r="AI4642">
        <v>92.043073724235398</v>
      </c>
      <c r="AJ4642">
        <v>90.914086120113893</v>
      </c>
      <c r="AK4642">
        <v>31.448373661051999</v>
      </c>
      <c r="AL4642">
        <v>78.371421498857799</v>
      </c>
      <c r="AM4642">
        <v>90.031162996539095</v>
      </c>
      <c r="AN4642">
        <v>1.00000001283355</v>
      </c>
    </row>
    <row r="4643" spans="1:40" x14ac:dyDescent="0.25">
      <c r="A4643" t="str">
        <f>"20190303170905897"</f>
        <v>20190303170905897</v>
      </c>
      <c r="B4643" t="str">
        <f>"1551604145888460"</f>
        <v>1551604145888460</v>
      </c>
      <c r="C4643" t="s">
        <v>40</v>
      </c>
      <c r="D4643">
        <v>4.884862</v>
      </c>
      <c r="E4643">
        <v>0.50000719999999998</v>
      </c>
      <c r="F4643" t="s">
        <v>59</v>
      </c>
      <c r="G4643">
        <v>-300.3202</v>
      </c>
      <c r="H4643" s="1">
        <v>-1.0932819999999999E-5</v>
      </c>
      <c r="I4643">
        <v>-62.080959999999997</v>
      </c>
      <c r="J4643">
        <v>-301.69099999999997</v>
      </c>
      <c r="K4643">
        <v>1.1211249999999999</v>
      </c>
      <c r="L4643">
        <v>-31.521360000000001</v>
      </c>
      <c r="M4643">
        <v>3.0612819999999999E-2</v>
      </c>
      <c r="N4643">
        <v>-7.8069740000000004E-3</v>
      </c>
      <c r="O4643">
        <v>-0.99950099999999997</v>
      </c>
      <c r="P4643">
        <v>2.9036559999999999E-2</v>
      </c>
      <c r="Q4643">
        <v>0.19442409999999999</v>
      </c>
      <c r="R4643">
        <v>-0.98048800000000003</v>
      </c>
      <c r="S4643">
        <v>0.13754269999999999</v>
      </c>
      <c r="T4643">
        <v>-0.1114044</v>
      </c>
      <c r="U4643">
        <v>-3.0773619999999999</v>
      </c>
      <c r="V4643">
        <v>6.9308420000000002E-4</v>
      </c>
      <c r="W4643">
        <v>0.20207739999999999</v>
      </c>
      <c r="X4643">
        <v>0.9793693</v>
      </c>
      <c r="Y4643">
        <v>-1.4025940000000001E-2</v>
      </c>
      <c r="Z4643">
        <v>2.8334729999999999E-2</v>
      </c>
      <c r="AA4643">
        <v>0.9995001</v>
      </c>
      <c r="AB4643">
        <v>30</v>
      </c>
      <c r="AC4643">
        <v>1.37079999999997</v>
      </c>
      <c r="AD4643">
        <v>-1.1211359328199999</v>
      </c>
      <c r="AE4643">
        <v>-30.5596</v>
      </c>
      <c r="AF4643">
        <v>-0.43403060702137802</v>
      </c>
      <c r="AG4643">
        <v>-1.1211359328199999</v>
      </c>
      <c r="AH4643">
        <v>30.5462113312459</v>
      </c>
      <c r="AI4643">
        <v>92.101768386410001</v>
      </c>
      <c r="AJ4643">
        <v>90.814059992907204</v>
      </c>
      <c r="AK4643">
        <v>30.5698602391445</v>
      </c>
      <c r="AL4643">
        <v>78.341533808728101</v>
      </c>
      <c r="AM4643">
        <v>89.959452687685896</v>
      </c>
      <c r="AN4643">
        <v>0.99999999086947899</v>
      </c>
    </row>
    <row r="4644" spans="1:40" x14ac:dyDescent="0.25">
      <c r="A4644" t="str">
        <f>"20190303170905932"</f>
        <v>20190303170905932</v>
      </c>
      <c r="B4644" t="str">
        <f>"1551604145918715"</f>
        <v>1551604145918715</v>
      </c>
      <c r="C4644" t="s">
        <v>40</v>
      </c>
      <c r="D4644">
        <v>4.82559</v>
      </c>
      <c r="E4644">
        <v>0.50021439999999995</v>
      </c>
      <c r="F4644" t="s">
        <v>59</v>
      </c>
      <c r="G4644">
        <v>-300.32130000000001</v>
      </c>
      <c r="H4644" s="1">
        <v>-1.0849850000000001E-5</v>
      </c>
      <c r="I4644">
        <v>-62.907319999999999</v>
      </c>
      <c r="J4644">
        <v>-301.67579999999998</v>
      </c>
      <c r="K4644">
        <v>1.121084</v>
      </c>
      <c r="L4644">
        <v>-31.980039999999999</v>
      </c>
      <c r="M4644">
        <v>3.1704019999999999E-2</v>
      </c>
      <c r="N4644">
        <v>-7.8253719999999902E-3</v>
      </c>
      <c r="O4644">
        <v>-0.99946699999999999</v>
      </c>
      <c r="P4644">
        <v>2.870224E-2</v>
      </c>
      <c r="Q4644">
        <v>0.19660929999999999</v>
      </c>
      <c r="R4644">
        <v>-0.98006219999999999</v>
      </c>
      <c r="S4644">
        <v>0.13430790000000001</v>
      </c>
      <c r="T4644">
        <v>-0.10993169999999999</v>
      </c>
      <c r="U4644">
        <v>-3.077515</v>
      </c>
      <c r="V4644">
        <v>2.1071639999999999E-3</v>
      </c>
      <c r="W4644">
        <v>0.20427880000000001</v>
      </c>
      <c r="X4644">
        <v>0.97891050000000002</v>
      </c>
      <c r="Y4644">
        <v>-1.1884479999999999E-2</v>
      </c>
      <c r="Z4644">
        <v>2.7837000000000001E-2</v>
      </c>
      <c r="AA4644">
        <v>0.99954180000000004</v>
      </c>
      <c r="AB4644">
        <v>30</v>
      </c>
      <c r="AC4644">
        <v>1.3544999999999701</v>
      </c>
      <c r="AD4644">
        <v>-1.12109484985</v>
      </c>
      <c r="AE4644">
        <v>-30.92728</v>
      </c>
      <c r="AF4644">
        <v>-0.37278134911569899</v>
      </c>
      <c r="AG4644">
        <v>-1.12109484985</v>
      </c>
      <c r="AH4644">
        <v>30.914132393702801</v>
      </c>
      <c r="AI4644">
        <v>92.076759017811497</v>
      </c>
      <c r="AJ4644">
        <v>90.690873757769197</v>
      </c>
      <c r="AK4644">
        <v>30.9366999088783</v>
      </c>
      <c r="AL4644">
        <v>78.212716259387307</v>
      </c>
      <c r="AM4644">
        <v>89.876667563100199</v>
      </c>
      <c r="AN4644">
        <v>1.0000000176399</v>
      </c>
    </row>
    <row r="4645" spans="1:40" x14ac:dyDescent="0.25">
      <c r="A4645" t="str">
        <f>"20190303170905967"</f>
        <v>20190303170905967</v>
      </c>
      <c r="B4645" t="str">
        <f>"1551604145958732"</f>
        <v>1551604145958732</v>
      </c>
      <c r="C4645" t="s">
        <v>40</v>
      </c>
      <c r="D4645">
        <v>4.8837630000000001</v>
      </c>
      <c r="E4645">
        <v>0.50045629999999997</v>
      </c>
      <c r="F4645" t="s">
        <v>59</v>
      </c>
      <c r="G4645">
        <v>-300.22399999999999</v>
      </c>
      <c r="H4645" s="1">
        <v>-1.0613910000000001E-5</v>
      </c>
      <c r="I4645">
        <v>-65.623450000000005</v>
      </c>
      <c r="J4645">
        <v>-301.65960000000001</v>
      </c>
      <c r="K4645">
        <v>1.1209819999999999</v>
      </c>
      <c r="L4645">
        <v>-32.454410000000003</v>
      </c>
      <c r="M4645">
        <v>3.2650499999999999E-2</v>
      </c>
      <c r="N4645">
        <v>-7.8430589999999994E-3</v>
      </c>
      <c r="O4645">
        <v>-0.9994362</v>
      </c>
      <c r="P4645">
        <v>2.9200360000000002E-2</v>
      </c>
      <c r="Q4645">
        <v>0.19702310000000001</v>
      </c>
      <c r="R4645">
        <v>-0.97996439999999996</v>
      </c>
      <c r="S4645">
        <v>0.1328125</v>
      </c>
      <c r="T4645">
        <v>-0.1025587</v>
      </c>
      <c r="U4645">
        <v>-3.077728</v>
      </c>
      <c r="V4645">
        <v>2.5791669999999998E-3</v>
      </c>
      <c r="W4645">
        <v>0.20470959999999999</v>
      </c>
      <c r="X4645">
        <v>0.97881940000000001</v>
      </c>
      <c r="Y4645">
        <v>-1.0452889999999999E-2</v>
      </c>
      <c r="Z4645">
        <v>2.5427169999999999E-2</v>
      </c>
      <c r="AA4645">
        <v>0.99962200000000001</v>
      </c>
      <c r="AB4645">
        <v>30</v>
      </c>
      <c r="AC4645">
        <v>1.43560000000002</v>
      </c>
      <c r="AD4645">
        <v>-1.1209926139099999</v>
      </c>
      <c r="AE4645">
        <v>-33.169040000000003</v>
      </c>
      <c r="AF4645">
        <v>-0.35141500521774799</v>
      </c>
      <c r="AG4645">
        <v>-1.1209926139099999</v>
      </c>
      <c r="AH4645">
        <v>33.160423879149498</v>
      </c>
      <c r="AI4645">
        <v>91.936045634079406</v>
      </c>
      <c r="AJ4645">
        <v>90.607164825145503</v>
      </c>
      <c r="AK4645">
        <v>33.181227053730296</v>
      </c>
      <c r="AL4645">
        <v>78.187500699322101</v>
      </c>
      <c r="AM4645">
        <v>89.849027265137806</v>
      </c>
      <c r="AN4645">
        <v>1.00000004512546</v>
      </c>
    </row>
    <row r="4646" spans="1:40" x14ac:dyDescent="0.25">
      <c r="A4646" t="str">
        <f>"20190303170906003"</f>
        <v>20190303170906003</v>
      </c>
      <c r="B4646" t="str">
        <f>"1551604145988011"</f>
        <v>1551604145988011</v>
      </c>
      <c r="C4646" t="s">
        <v>40</v>
      </c>
      <c r="D4646">
        <v>4.8229249999999997</v>
      </c>
      <c r="E4646">
        <v>0.5006197</v>
      </c>
      <c r="F4646" t="s">
        <v>59</v>
      </c>
      <c r="G4646">
        <v>-300.16379999999998</v>
      </c>
      <c r="H4646" s="1">
        <v>-1.05207399999999E-5</v>
      </c>
      <c r="I4646">
        <v>-66.774900000000002</v>
      </c>
      <c r="J4646">
        <v>-301.6431</v>
      </c>
      <c r="K4646">
        <v>1.1208359999999999</v>
      </c>
      <c r="L4646">
        <v>-32.937379999999997</v>
      </c>
      <c r="M4646">
        <v>3.3248229999999997E-2</v>
      </c>
      <c r="N4646">
        <v>-7.8664879999999996E-3</v>
      </c>
      <c r="O4646">
        <v>-0.99941630000000004</v>
      </c>
      <c r="P4646">
        <v>3.1644279999999997E-2</v>
      </c>
      <c r="Q4646">
        <v>0.1965961</v>
      </c>
      <c r="R4646">
        <v>-0.97997400000000001</v>
      </c>
      <c r="S4646">
        <v>0.13412479999999999</v>
      </c>
      <c r="T4646">
        <v>-0.10052030000000001</v>
      </c>
      <c r="U4646">
        <v>-3.0775450000000002</v>
      </c>
      <c r="V4646">
        <v>8.0511579999999997E-4</v>
      </c>
      <c r="W4646">
        <v>0.2043035</v>
      </c>
      <c r="X4646">
        <v>0.97890719999999998</v>
      </c>
      <c r="Y4646">
        <v>-1.028363E-2</v>
      </c>
      <c r="Z4646">
        <v>2.4744080000000002E-2</v>
      </c>
      <c r="AA4646">
        <v>0.99964090000000005</v>
      </c>
      <c r="AB4646">
        <v>30</v>
      </c>
      <c r="AC4646">
        <v>1.47930000000002</v>
      </c>
      <c r="AD4646">
        <v>-1.12084652074</v>
      </c>
      <c r="AE4646">
        <v>-33.837519999999998</v>
      </c>
      <c r="AF4646">
        <v>-0.35302316620606899</v>
      </c>
      <c r="AG4646">
        <v>-1.12084652074</v>
      </c>
      <c r="AH4646">
        <v>33.830947229545203</v>
      </c>
      <c r="AI4646">
        <v>91.897457997536904</v>
      </c>
      <c r="AJ4646">
        <v>90.597855072111003</v>
      </c>
      <c r="AK4646">
        <v>33.851350234919799</v>
      </c>
      <c r="AL4646">
        <v>78.211269603111205</v>
      </c>
      <c r="AM4646">
        <v>89.952876302311495</v>
      </c>
      <c r="AN4646">
        <v>0.99999993726776804</v>
      </c>
    </row>
    <row r="4647" spans="1:40" x14ac:dyDescent="0.25">
      <c r="A4647" t="str">
        <f>"20190303170906036"</f>
        <v>20190303170906036</v>
      </c>
      <c r="B4647" t="str">
        <f>"1551604146028028"</f>
        <v>1551604146028028</v>
      </c>
      <c r="C4647" t="s">
        <v>40</v>
      </c>
      <c r="D4647">
        <v>4.8786740000000002</v>
      </c>
      <c r="E4647">
        <v>0.50083250000000001</v>
      </c>
      <c r="F4647" t="s">
        <v>59</v>
      </c>
      <c r="G4647">
        <v>-300.10719999999998</v>
      </c>
      <c r="H4647" s="1">
        <v>-1.054299E-5</v>
      </c>
      <c r="I4647">
        <v>-66.758200000000002</v>
      </c>
      <c r="J4647">
        <v>-301.62810000000002</v>
      </c>
      <c r="K4647">
        <v>1.120649</v>
      </c>
      <c r="L4647">
        <v>-33.381619999999998</v>
      </c>
      <c r="M4647">
        <v>3.338435E-2</v>
      </c>
      <c r="N4647">
        <v>-7.9078910000000002E-3</v>
      </c>
      <c r="O4647">
        <v>-0.9994113</v>
      </c>
      <c r="P4647">
        <v>3.2434150000000002E-2</v>
      </c>
      <c r="Q4647">
        <v>0.1991656</v>
      </c>
      <c r="R4647">
        <v>-0.9794292</v>
      </c>
      <c r="S4647">
        <v>0.13974</v>
      </c>
      <c r="T4647">
        <v>-0.101983</v>
      </c>
      <c r="U4647">
        <v>-3.0772710000000001</v>
      </c>
      <c r="V4647">
        <v>2.3242879999999999E-4</v>
      </c>
      <c r="W4647">
        <v>0.20690890000000001</v>
      </c>
      <c r="X4647">
        <v>0.97836020000000001</v>
      </c>
      <c r="Y4647">
        <v>-1.1970980000000001E-2</v>
      </c>
      <c r="Z4647">
        <v>2.5178039999999999E-2</v>
      </c>
      <c r="AA4647">
        <v>0.99961129999999998</v>
      </c>
      <c r="AB4647">
        <v>30</v>
      </c>
      <c r="AC4647">
        <v>1.5209000000000299</v>
      </c>
      <c r="AD4647">
        <v>-1.1206595429899999</v>
      </c>
      <c r="AE4647">
        <v>-33.376579999999997</v>
      </c>
      <c r="AF4647">
        <v>-0.40530592570497698</v>
      </c>
      <c r="AG4647">
        <v>-1.1206595429899999</v>
      </c>
      <c r="AH4647">
        <v>33.371206647793898</v>
      </c>
      <c r="AI4647">
        <v>91.9232211903593</v>
      </c>
      <c r="AJ4647">
        <v>90.695844698023805</v>
      </c>
      <c r="AK4647">
        <v>33.392477952893401</v>
      </c>
      <c r="AL4647">
        <v>78.058733056220902</v>
      </c>
      <c r="AM4647">
        <v>89.986388255545606</v>
      </c>
      <c r="AN4647">
        <v>1.0000000139331899</v>
      </c>
    </row>
    <row r="4648" spans="1:40" x14ac:dyDescent="0.25">
      <c r="A4648" t="str">
        <f>"20190303170906099"</f>
        <v>20190303170906099</v>
      </c>
      <c r="B4648" t="str">
        <f>"1551604146088539"</f>
        <v>1551604146088539</v>
      </c>
      <c r="C4648" t="s">
        <v>40</v>
      </c>
      <c r="D4648">
        <v>4.816624</v>
      </c>
      <c r="E4648">
        <v>0.50109609999999905</v>
      </c>
      <c r="F4648" t="s">
        <v>59</v>
      </c>
      <c r="G4648">
        <v>-299.94130000000001</v>
      </c>
      <c r="H4648" s="1">
        <v>-1.5042629999999999E-5</v>
      </c>
      <c r="I4648">
        <v>-70.215789999999998</v>
      </c>
      <c r="J4648">
        <v>-301.60120000000001</v>
      </c>
      <c r="K4648">
        <v>1.120233</v>
      </c>
      <c r="L4648">
        <v>-34.213320000000003</v>
      </c>
      <c r="M4648">
        <v>3.2475950000000003E-2</v>
      </c>
      <c r="N4648">
        <v>-8.0323110000000003E-3</v>
      </c>
      <c r="O4648">
        <v>-0.99944040000000001</v>
      </c>
      <c r="P4648">
        <v>3.2923689999999999E-2</v>
      </c>
      <c r="Q4648">
        <v>0.20008129999999999</v>
      </c>
      <c r="R4648">
        <v>-0.97922620000000005</v>
      </c>
      <c r="S4648">
        <v>0.14093020000000001</v>
      </c>
      <c r="T4648">
        <v>-9.3628409999999995E-2</v>
      </c>
      <c r="U4648">
        <v>-3.0773929999999998</v>
      </c>
      <c r="V4648">
        <v>-9.4385029999999998E-4</v>
      </c>
      <c r="W4648">
        <v>0.20794579999999999</v>
      </c>
      <c r="X4648">
        <v>0.97813989999999995</v>
      </c>
      <c r="Y4648">
        <v>-1.3266770000000001E-2</v>
      </c>
      <c r="Z4648">
        <v>2.234562E-2</v>
      </c>
      <c r="AA4648">
        <v>0.9996623</v>
      </c>
      <c r="AB4648">
        <v>30</v>
      </c>
      <c r="AC4648">
        <v>1.6598999999999899</v>
      </c>
      <c r="AD4648">
        <v>-1.1202480426299899</v>
      </c>
      <c r="AE4648">
        <v>-36.002469999999903</v>
      </c>
      <c r="AF4648">
        <v>-0.48929969251627897</v>
      </c>
      <c r="AG4648">
        <v>-1.1202480426299899</v>
      </c>
      <c r="AH4648">
        <v>36.002602979357597</v>
      </c>
      <c r="AI4648">
        <v>91.782061734472805</v>
      </c>
      <c r="AJ4648">
        <v>90.778640406516402</v>
      </c>
      <c r="AK4648">
        <v>36.023350637542897</v>
      </c>
      <c r="AL4648">
        <v>77.998002084245599</v>
      </c>
      <c r="AM4648">
        <v>90.055287205743895</v>
      </c>
      <c r="AN4648">
        <v>1.0000000052815099</v>
      </c>
    </row>
    <row r="4649" spans="1:40" x14ac:dyDescent="0.25">
      <c r="A4649" t="str">
        <f>"20190303170906131"</f>
        <v>20190303170906131</v>
      </c>
      <c r="B4649" t="str">
        <f>"1551604146118795"</f>
        <v>1551604146118795</v>
      </c>
      <c r="C4649" t="s">
        <v>40</v>
      </c>
      <c r="D4649">
        <v>4.8115160000000001</v>
      </c>
      <c r="E4649">
        <v>0.50400599999999995</v>
      </c>
      <c r="F4649" t="s">
        <v>59</v>
      </c>
      <c r="G4649">
        <v>-299.92270000000002</v>
      </c>
      <c r="H4649">
        <v>5.3037599999999997E-2</v>
      </c>
      <c r="I4649">
        <v>-70.386750000000006</v>
      </c>
      <c r="J4649">
        <v>-301.58749999999998</v>
      </c>
      <c r="K4649">
        <v>1.1200540000000001</v>
      </c>
      <c r="L4649">
        <v>-34.66498</v>
      </c>
      <c r="M4649">
        <v>3.1459910000000001E-2</v>
      </c>
      <c r="N4649">
        <v>-8.1257650000000001E-3</v>
      </c>
      <c r="O4649">
        <v>-0.99947209999999997</v>
      </c>
      <c r="P4649">
        <v>3.4553100000000003E-2</v>
      </c>
      <c r="Q4649">
        <v>0.19728409999999999</v>
      </c>
      <c r="R4649">
        <v>-0.97973739999999998</v>
      </c>
      <c r="S4649">
        <v>0.14279169999999999</v>
      </c>
      <c r="T4649">
        <v>-9.0789789999999995E-2</v>
      </c>
      <c r="U4649">
        <v>-3.0773929999999998</v>
      </c>
      <c r="V4649">
        <v>-3.4654270000000001E-3</v>
      </c>
      <c r="W4649">
        <v>0.20524819999999999</v>
      </c>
      <c r="X4649">
        <v>0.97870380000000001</v>
      </c>
      <c r="Y4649">
        <v>-1.488746E-2</v>
      </c>
      <c r="Z4649">
        <v>2.1332719999999999E-2</v>
      </c>
      <c r="AA4649">
        <v>0.99966160000000004</v>
      </c>
      <c r="AB4649">
        <v>30</v>
      </c>
      <c r="AC4649">
        <v>1.6647999999999501</v>
      </c>
      <c r="AD4649">
        <v>-1.0670164</v>
      </c>
      <c r="AE4649">
        <v>-35.721769999999999</v>
      </c>
      <c r="AF4649">
        <v>-0.53965480030477198</v>
      </c>
      <c r="AG4649">
        <v>-1.0670164</v>
      </c>
      <c r="AH4649">
        <v>35.724657772119201</v>
      </c>
      <c r="AI4649">
        <v>91.710594382998906</v>
      </c>
      <c r="AJ4649">
        <v>90.865441205913399</v>
      </c>
      <c r="AK4649">
        <v>35.744662877643599</v>
      </c>
      <c r="AL4649">
        <v>78.155970942511303</v>
      </c>
      <c r="AM4649">
        <v>90.202873955864007</v>
      </c>
      <c r="AN4649">
        <v>0.99999998046098504</v>
      </c>
    </row>
    <row r="4650" spans="1:40" x14ac:dyDescent="0.25">
      <c r="A4650" t="str">
        <f>"20190303170906165"</f>
        <v>20190303170906165</v>
      </c>
      <c r="B4650" t="str">
        <f>"1551604146158812"</f>
        <v>1551604146158812</v>
      </c>
      <c r="C4650" t="s">
        <v>40</v>
      </c>
      <c r="D4650">
        <v>4.8735119999999998</v>
      </c>
      <c r="E4650">
        <v>0.50349860000000002</v>
      </c>
      <c r="F4650" t="s">
        <v>59</v>
      </c>
      <c r="G4650">
        <v>-300.28519999999997</v>
      </c>
      <c r="H4650" s="1">
        <v>-1.0446500000000001E-5</v>
      </c>
      <c r="I4650">
        <v>-67.076549999999997</v>
      </c>
      <c r="J4650">
        <v>-301.57400000000001</v>
      </c>
      <c r="K4650">
        <v>1.1199250000000001</v>
      </c>
      <c r="L4650">
        <v>-35.134369999999997</v>
      </c>
      <c r="M4650">
        <v>3.0123509999999999E-2</v>
      </c>
      <c r="N4650">
        <v>-8.2357019999999993E-3</v>
      </c>
      <c r="O4650">
        <v>-0.99951239999999997</v>
      </c>
      <c r="P4650">
        <v>3.375119E-2</v>
      </c>
      <c r="Q4650">
        <v>0.19784009999999999</v>
      </c>
      <c r="R4650">
        <v>-0.9796532</v>
      </c>
      <c r="S4650">
        <v>0.1237183</v>
      </c>
      <c r="T4650">
        <v>-0.10640620000000001</v>
      </c>
      <c r="U4650">
        <v>-3.0791019999999998</v>
      </c>
      <c r="V4650">
        <v>-3.9077499999999998E-3</v>
      </c>
      <c r="W4650">
        <v>0.2059127</v>
      </c>
      <c r="X4650">
        <v>0.9785625</v>
      </c>
      <c r="Y4650">
        <v>-1.00135E-2</v>
      </c>
      <c r="Z4650">
        <v>2.627169E-2</v>
      </c>
      <c r="AA4650">
        <v>0.99960470000000001</v>
      </c>
      <c r="AB4650">
        <v>30</v>
      </c>
      <c r="AC4650">
        <v>1.2888000000000299</v>
      </c>
      <c r="AD4650">
        <v>-1.1199354465</v>
      </c>
      <c r="AE4650">
        <v>-31.94218</v>
      </c>
      <c r="AF4650">
        <v>-0.32557243536212299</v>
      </c>
      <c r="AG4650">
        <v>-1.1199354465</v>
      </c>
      <c r="AH4650">
        <v>31.9273232649957</v>
      </c>
      <c r="AI4650">
        <v>92.008873192222396</v>
      </c>
      <c r="AJ4650">
        <v>90.584241897827198</v>
      </c>
      <c r="AK4650">
        <v>31.948618494115301</v>
      </c>
      <c r="AL4650">
        <v>78.117066407625302</v>
      </c>
      <c r="AM4650">
        <v>90.228801320555206</v>
      </c>
      <c r="AN4650">
        <v>0.99999993846879898</v>
      </c>
    </row>
    <row r="4651" spans="1:40" x14ac:dyDescent="0.25">
      <c r="A4651" t="str">
        <f>"20190303170906207"</f>
        <v>20190303170906207</v>
      </c>
      <c r="B4651" t="str">
        <f>"1551604146198827"</f>
        <v>1551604146198827</v>
      </c>
      <c r="C4651" t="s">
        <v>40</v>
      </c>
      <c r="D4651">
        <v>4.8154680000000001</v>
      </c>
      <c r="E4651">
        <v>0.50344560000000005</v>
      </c>
      <c r="F4651" t="s">
        <v>59</v>
      </c>
      <c r="G4651">
        <v>-300.22460000000001</v>
      </c>
      <c r="H4651" s="1">
        <v>-1.030403E-5</v>
      </c>
      <c r="I4651">
        <v>-68.723140000000001</v>
      </c>
      <c r="J4651">
        <v>-301.55880000000002</v>
      </c>
      <c r="K4651">
        <v>1.119853</v>
      </c>
      <c r="L4651">
        <v>-35.704099999999997</v>
      </c>
      <c r="M4651">
        <v>2.8323959999999999E-2</v>
      </c>
      <c r="N4651">
        <v>-8.3935219999999901E-3</v>
      </c>
      <c r="O4651">
        <v>-0.9995636</v>
      </c>
      <c r="P4651">
        <v>3.2240730000000002E-2</v>
      </c>
      <c r="Q4651">
        <v>0.19698009999999999</v>
      </c>
      <c r="R4651">
        <v>-0.97987740000000001</v>
      </c>
      <c r="S4651">
        <v>0.1236877</v>
      </c>
      <c r="T4651">
        <v>-0.10265390000000001</v>
      </c>
      <c r="U4651">
        <v>-3.0787659999999999</v>
      </c>
      <c r="V4651">
        <v>-4.1043479999999999E-3</v>
      </c>
      <c r="W4651">
        <v>0.20521</v>
      </c>
      <c r="X4651">
        <v>0.97870939999999995</v>
      </c>
      <c r="Y4651">
        <v>-1.180932E-2</v>
      </c>
      <c r="Z4651">
        <v>2.4904140000000002E-2</v>
      </c>
      <c r="AA4651">
        <v>0.99962010000000001</v>
      </c>
      <c r="AB4651">
        <v>30</v>
      </c>
      <c r="AC4651">
        <v>1.3342000000000001</v>
      </c>
      <c r="AD4651">
        <v>-1.1198633040299999</v>
      </c>
      <c r="AE4651">
        <v>-33.019039999999997</v>
      </c>
      <c r="AF4651">
        <v>-0.39794480427175699</v>
      </c>
      <c r="AG4651">
        <v>-1.1198633040299999</v>
      </c>
      <c r="AH4651">
        <v>33.005679184760197</v>
      </c>
      <c r="AI4651">
        <v>91.943125546586998</v>
      </c>
      <c r="AJ4651">
        <v>90.690773636563094</v>
      </c>
      <c r="AK4651">
        <v>33.027069387613999</v>
      </c>
      <c r="AL4651">
        <v>78.158207955104302</v>
      </c>
      <c r="AM4651">
        <v>90.240276061009695</v>
      </c>
      <c r="AN4651">
        <v>1.0000000397104301</v>
      </c>
    </row>
    <row r="4652" spans="1:40" x14ac:dyDescent="0.25">
      <c r="A4652" t="str">
        <f>"20190303170906233"</f>
        <v>20190303170906233</v>
      </c>
      <c r="B4652" t="str">
        <f>"1551604146218347"</f>
        <v>1551604146218347</v>
      </c>
      <c r="C4652" t="s">
        <v>40</v>
      </c>
      <c r="D4652">
        <v>4.9351430000000001</v>
      </c>
      <c r="E4652">
        <v>0.503363</v>
      </c>
      <c r="F4652" t="s">
        <v>59</v>
      </c>
      <c r="G4652">
        <v>-300.31639999999999</v>
      </c>
      <c r="H4652" s="1">
        <v>-1.029398E-5</v>
      </c>
      <c r="I4652">
        <v>-68.489559999999997</v>
      </c>
      <c r="J4652">
        <v>-301.5498</v>
      </c>
      <c r="K4652">
        <v>1.1198220000000001</v>
      </c>
      <c r="L4652">
        <v>-36.05771</v>
      </c>
      <c r="M4652">
        <v>2.7209899999999999E-2</v>
      </c>
      <c r="N4652">
        <v>-8.4968349999999995E-3</v>
      </c>
      <c r="O4652">
        <v>-0.99959399999999998</v>
      </c>
      <c r="P4652">
        <v>3.2416300000000002E-2</v>
      </c>
      <c r="Q4652">
        <v>0.19511990000000001</v>
      </c>
      <c r="R4652">
        <v>-0.980244</v>
      </c>
      <c r="S4652">
        <v>0.1166687</v>
      </c>
      <c r="T4652">
        <v>-0.1051676</v>
      </c>
      <c r="U4652">
        <v>-3.0789179999999998</v>
      </c>
      <c r="V4652">
        <v>-5.3561290000000003E-3</v>
      </c>
      <c r="W4652">
        <v>0.20345669999999999</v>
      </c>
      <c r="X4652">
        <v>0.97906930000000003</v>
      </c>
      <c r="Y4652">
        <v>-1.064584E-2</v>
      </c>
      <c r="Z4652">
        <v>2.561654E-2</v>
      </c>
      <c r="AA4652">
        <v>0.99961509999999998</v>
      </c>
      <c r="AB4652">
        <v>31</v>
      </c>
      <c r="AC4652">
        <v>1.23340000000001</v>
      </c>
      <c r="AD4652">
        <v>-1.1198322939799901</v>
      </c>
      <c r="AE4652">
        <v>-32.431849999999997</v>
      </c>
      <c r="AF4652">
        <v>-0.35002765211963199</v>
      </c>
      <c r="AG4652">
        <v>-1.1198322939799901</v>
      </c>
      <c r="AH4652">
        <v>32.414812564587997</v>
      </c>
      <c r="AI4652">
        <v>91.978491188075296</v>
      </c>
      <c r="AJ4652">
        <v>90.618677886364395</v>
      </c>
      <c r="AK4652">
        <v>32.436038866070803</v>
      </c>
      <c r="AL4652">
        <v>78.260829431261101</v>
      </c>
      <c r="AM4652">
        <v>90.3134410657443</v>
      </c>
      <c r="AN4652">
        <v>1.0000000055476199</v>
      </c>
    </row>
    <row r="4653" spans="1:40" x14ac:dyDescent="0.25">
      <c r="A4653" t="str">
        <f>"20190303170906266"</f>
        <v>20190303170906266</v>
      </c>
      <c r="B4653" t="str">
        <f>"1551604146258363"</f>
        <v>1551604146258363</v>
      </c>
      <c r="C4653" t="s">
        <v>40</v>
      </c>
      <c r="D4653">
        <v>4.934005</v>
      </c>
      <c r="E4653">
        <v>0.50327239999999995</v>
      </c>
      <c r="F4653" t="s">
        <v>59</v>
      </c>
      <c r="G4653">
        <v>-300.3965</v>
      </c>
      <c r="H4653" s="1">
        <v>-1.0423039999999999E-5</v>
      </c>
      <c r="I4653">
        <v>-66.906329999999997</v>
      </c>
      <c r="J4653">
        <v>-301.53890000000001</v>
      </c>
      <c r="K4653">
        <v>1.1198790000000001</v>
      </c>
      <c r="L4653">
        <v>-36.515140000000002</v>
      </c>
      <c r="M4653">
        <v>2.5894509999999999E-2</v>
      </c>
      <c r="N4653">
        <v>-8.6196220000000004E-3</v>
      </c>
      <c r="O4653">
        <v>-0.99962759999999995</v>
      </c>
      <c r="P4653">
        <v>3.2455190000000002E-2</v>
      </c>
      <c r="Q4653">
        <v>0.1969785</v>
      </c>
      <c r="R4653">
        <v>-0.97987049999999998</v>
      </c>
      <c r="S4653">
        <v>0.1151123</v>
      </c>
      <c r="T4653">
        <v>-0.1117663</v>
      </c>
      <c r="U4653">
        <v>-3.0788880000000001</v>
      </c>
      <c r="V4653">
        <v>-6.7118430000000003E-3</v>
      </c>
      <c r="W4653">
        <v>0.20543400000000001</v>
      </c>
      <c r="X4653">
        <v>0.97864790000000002</v>
      </c>
      <c r="Y4653">
        <v>-1.1455109999999999E-2</v>
      </c>
      <c r="Z4653">
        <v>2.763378E-2</v>
      </c>
      <c r="AA4653">
        <v>0.99955249999999995</v>
      </c>
      <c r="AB4653">
        <v>31</v>
      </c>
      <c r="AC4653">
        <v>1.1424000000000001</v>
      </c>
      <c r="AD4653">
        <v>-1.1198894230399901</v>
      </c>
      <c r="AE4653">
        <v>-30.391190000000002</v>
      </c>
      <c r="AF4653">
        <v>-0.354542018033424</v>
      </c>
      <c r="AG4653">
        <v>-1.1198894230399901</v>
      </c>
      <c r="AH4653">
        <v>30.369402285289699</v>
      </c>
      <c r="AI4653">
        <v>92.111714627363</v>
      </c>
      <c r="AJ4653">
        <v>90.668858686320903</v>
      </c>
      <c r="AK4653">
        <v>30.392111600350301</v>
      </c>
      <c r="AL4653">
        <v>78.1450931649685</v>
      </c>
      <c r="AM4653">
        <v>90.392944436327497</v>
      </c>
      <c r="AN4653">
        <v>0.99999994468343101</v>
      </c>
    </row>
    <row r="4654" spans="1:40" x14ac:dyDescent="0.25">
      <c r="A4654" t="str">
        <f>"20190303170906304"</f>
        <v>20190303170906304</v>
      </c>
      <c r="B4654" t="str">
        <f>"1551604146298380"</f>
        <v>1551604146298380</v>
      </c>
      <c r="C4654" t="s">
        <v>40</v>
      </c>
      <c r="D4654">
        <v>5.0563949999999904</v>
      </c>
      <c r="E4654">
        <v>0.50324230000000003</v>
      </c>
      <c r="F4654" t="s">
        <v>59</v>
      </c>
      <c r="G4654">
        <v>-300.32240000000002</v>
      </c>
      <c r="H4654" s="1">
        <v>-1.030662E-5</v>
      </c>
      <c r="I4654">
        <v>-68.341309999999993</v>
      </c>
      <c r="J4654">
        <v>-301.52699999999999</v>
      </c>
      <c r="K4654">
        <v>1.12005</v>
      </c>
      <c r="L4654">
        <v>-37.023130000000002</v>
      </c>
      <c r="M4654">
        <v>2.4777110000000001E-2</v>
      </c>
      <c r="N4654">
        <v>-8.7580490000000004E-3</v>
      </c>
      <c r="O4654">
        <v>-0.99965490000000001</v>
      </c>
      <c r="P4654">
        <v>3.1837190000000001E-2</v>
      </c>
      <c r="Q4654">
        <v>0.1973675</v>
      </c>
      <c r="R4654">
        <v>-0.97981289999999999</v>
      </c>
      <c r="S4654">
        <v>0.1177063</v>
      </c>
      <c r="T4654">
        <v>-0.1083615</v>
      </c>
      <c r="U4654">
        <v>-3.079529</v>
      </c>
      <c r="V4654">
        <v>-7.2630819999999997E-3</v>
      </c>
      <c r="W4654">
        <v>0.20595569999999999</v>
      </c>
      <c r="X4654">
        <v>0.97853429999999997</v>
      </c>
      <c r="Y4654">
        <v>-1.3406710000000001E-2</v>
      </c>
      <c r="Z4654">
        <v>2.6385510000000001E-2</v>
      </c>
      <c r="AA4654">
        <v>0.99956199999999995</v>
      </c>
      <c r="AB4654">
        <v>31</v>
      </c>
      <c r="AC4654">
        <v>1.2045999999999699</v>
      </c>
      <c r="AD4654">
        <v>-1.1200603066199999</v>
      </c>
      <c r="AE4654">
        <v>-31.318179999999899</v>
      </c>
      <c r="AF4654">
        <v>-0.42768039286474602</v>
      </c>
      <c r="AG4654">
        <v>-1.1200603066199999</v>
      </c>
      <c r="AH4654">
        <v>31.298438899629598</v>
      </c>
      <c r="AI4654">
        <v>92.049347290326295</v>
      </c>
      <c r="AJ4654">
        <v>90.782874717357203</v>
      </c>
      <c r="AK4654">
        <v>31.321394016913601</v>
      </c>
      <c r="AL4654">
        <v>78.114548736957801</v>
      </c>
      <c r="AM4654">
        <v>90.425264912043005</v>
      </c>
      <c r="AN4654">
        <v>0.99999993949955701</v>
      </c>
    </row>
    <row r="4655" spans="1:40" x14ac:dyDescent="0.25">
      <c r="A4655" t="str">
        <f>"20190303170906368"</f>
        <v>20190303170906368</v>
      </c>
      <c r="B4655" t="str">
        <f>"1551604146358891"</f>
        <v>1551604146358891</v>
      </c>
      <c r="C4655" t="s">
        <v>40</v>
      </c>
      <c r="D4655">
        <v>4.9972149999999997</v>
      </c>
      <c r="E4655">
        <v>0.5035541</v>
      </c>
      <c r="F4655" t="s">
        <v>59</v>
      </c>
      <c r="G4655">
        <v>-300.32409999999999</v>
      </c>
      <c r="H4655" s="1">
        <v>-1.0304549999999999E-5</v>
      </c>
      <c r="I4655">
        <v>-68.355959999999996</v>
      </c>
      <c r="J4655">
        <v>-301.5061</v>
      </c>
      <c r="K4655">
        <v>1.1205860000000001</v>
      </c>
      <c r="L4655">
        <v>-37.910249999999998</v>
      </c>
      <c r="M4655">
        <v>2.4278339999999999E-2</v>
      </c>
      <c r="N4655">
        <v>-9.0512100000000005E-3</v>
      </c>
      <c r="O4655">
        <v>-0.99966440000000001</v>
      </c>
      <c r="P4655">
        <v>2.8742819999999999E-2</v>
      </c>
      <c r="Q4655">
        <v>0.19886119999999999</v>
      </c>
      <c r="R4655">
        <v>-0.97960619999999998</v>
      </c>
      <c r="S4655">
        <v>0.1182556</v>
      </c>
      <c r="T4655">
        <v>-0.1101063</v>
      </c>
      <c r="U4655">
        <v>-3.080139</v>
      </c>
      <c r="V4655">
        <v>-4.9118479999999999E-3</v>
      </c>
      <c r="W4655">
        <v>0.2077243</v>
      </c>
      <c r="X4655">
        <v>0.97817509999999996</v>
      </c>
      <c r="Y4655">
        <v>-1.407543E-2</v>
      </c>
      <c r="Z4655">
        <v>2.6651009999999999E-2</v>
      </c>
      <c r="AA4655">
        <v>0.99954569999999998</v>
      </c>
      <c r="AB4655">
        <v>31</v>
      </c>
      <c r="AC4655">
        <v>1.1820000000000099</v>
      </c>
      <c r="AD4655">
        <v>-1.12059630455</v>
      </c>
      <c r="AE4655">
        <v>-30.445709999999998</v>
      </c>
      <c r="AF4655">
        <v>-0.441852404401886</v>
      </c>
      <c r="AG4655">
        <v>-1.12059630455</v>
      </c>
      <c r="AH4655">
        <v>30.424279158563699</v>
      </c>
      <c r="AI4655">
        <v>92.109159831307906</v>
      </c>
      <c r="AJ4655">
        <v>90.832049237588606</v>
      </c>
      <c r="AK4655">
        <v>30.4481154087287</v>
      </c>
      <c r="AL4655">
        <v>78.010976570942603</v>
      </c>
      <c r="AM4655">
        <v>90.287704925891703</v>
      </c>
      <c r="AN4655">
        <v>1.0000000186606299</v>
      </c>
    </row>
    <row r="4656" spans="1:40" x14ac:dyDescent="0.25">
      <c r="A4656" t="str">
        <f>"20190303170906410"</f>
        <v>20190303170906410</v>
      </c>
      <c r="B4656" t="str">
        <f>"1551604146398907"</f>
        <v>1551604146398907</v>
      </c>
      <c r="C4656" t="s">
        <v>40</v>
      </c>
      <c r="D4656">
        <v>5.0394069999999997</v>
      </c>
      <c r="E4656">
        <v>0.50299459999999996</v>
      </c>
      <c r="F4656" t="s">
        <v>59</v>
      </c>
      <c r="G4656">
        <v>-300.40859999999998</v>
      </c>
      <c r="H4656" s="1">
        <v>-1.0202640000000001E-5</v>
      </c>
      <c r="I4656">
        <v>-69.068640000000002</v>
      </c>
      <c r="J4656">
        <v>-301.49090000000001</v>
      </c>
      <c r="K4656">
        <v>1.121019</v>
      </c>
      <c r="L4656">
        <v>-38.499420000000001</v>
      </c>
      <c r="M4656">
        <v>2.517103E-2</v>
      </c>
      <c r="N4656">
        <v>-9.2478879999999992E-3</v>
      </c>
      <c r="O4656">
        <v>-0.99964070000000005</v>
      </c>
      <c r="P4656">
        <v>3.4965969999999999E-2</v>
      </c>
      <c r="Q4656">
        <v>0.20218829999999999</v>
      </c>
      <c r="R4656">
        <v>-0.9787226</v>
      </c>
      <c r="S4656">
        <v>0.10855099999999999</v>
      </c>
      <c r="T4656">
        <v>-0.1108339</v>
      </c>
      <c r="U4656">
        <v>-3.0817570000000001</v>
      </c>
      <c r="V4656">
        <v>-1.0482190000000001E-2</v>
      </c>
      <c r="W4656">
        <v>0.2112282</v>
      </c>
      <c r="X4656">
        <v>0.97738060000000004</v>
      </c>
      <c r="Y4656">
        <v>-1.001965E-2</v>
      </c>
      <c r="Z4656">
        <v>2.6672830000000002E-2</v>
      </c>
      <c r="AA4656">
        <v>0.99959399999999998</v>
      </c>
      <c r="AB4656">
        <v>31</v>
      </c>
      <c r="AC4656">
        <v>1.08230000000003</v>
      </c>
      <c r="AD4656">
        <v>-1.1210292026399999</v>
      </c>
      <c r="AE4656">
        <v>-30.569220000000001</v>
      </c>
      <c r="AF4656">
        <v>-0.31204651685314899</v>
      </c>
      <c r="AG4656">
        <v>-1.1210292026399999</v>
      </c>
      <c r="AH4656">
        <v>30.545750170293299</v>
      </c>
      <c r="AI4656">
        <v>92.101702565044704</v>
      </c>
      <c r="AJ4656">
        <v>90.585296691466795</v>
      </c>
      <c r="AK4656">
        <v>30.5679069117895</v>
      </c>
      <c r="AL4656">
        <v>77.805662798948404</v>
      </c>
      <c r="AM4656">
        <v>90.614460960276702</v>
      </c>
      <c r="AN4656">
        <v>1.0000000330193899</v>
      </c>
    </row>
    <row r="4657" spans="1:40" x14ac:dyDescent="0.25">
      <c r="A4657" t="str">
        <f>"20190303170906441"</f>
        <v>20190303170906441</v>
      </c>
      <c r="B4657" t="str">
        <f>"1551604146438924"</f>
        <v>1551604146438924</v>
      </c>
      <c r="C4657" t="s">
        <v>40</v>
      </c>
      <c r="D4657">
        <v>4.9324309999999896</v>
      </c>
      <c r="E4657">
        <v>0.44881529999999997</v>
      </c>
      <c r="F4657" t="s">
        <v>59</v>
      </c>
      <c r="G4657">
        <v>-300.10230000000001</v>
      </c>
      <c r="H4657">
        <v>6.2067150000000001E-2</v>
      </c>
      <c r="I4657">
        <v>-70.395780000000002</v>
      </c>
      <c r="J4657">
        <v>-301.47829999999999</v>
      </c>
      <c r="K4657">
        <v>1.1214500000000001</v>
      </c>
      <c r="L4657">
        <v>-38.942540000000001</v>
      </c>
      <c r="M4657">
        <v>2.676127E-2</v>
      </c>
      <c r="N4657">
        <v>-9.4002540000000002E-3</v>
      </c>
      <c r="O4657">
        <v>-0.99959790000000004</v>
      </c>
      <c r="P4657">
        <v>4.0914399999999997E-2</v>
      </c>
      <c r="Q4657">
        <v>0.2069539</v>
      </c>
      <c r="R4657">
        <v>-0.977495</v>
      </c>
      <c r="S4657">
        <v>0.13415529999999901</v>
      </c>
      <c r="T4657">
        <v>-0.1023076</v>
      </c>
      <c r="U4657">
        <v>-3.0815730000000001</v>
      </c>
      <c r="V4657">
        <v>-1.5118100000000001E-2</v>
      </c>
      <c r="W4657">
        <v>0.21611420000000001</v>
      </c>
      <c r="X4657">
        <v>0.97625099999999998</v>
      </c>
      <c r="Y4657">
        <v>-1.6725150000000001E-2</v>
      </c>
      <c r="Z4657">
        <v>2.3754609999999999E-2</v>
      </c>
      <c r="AA4657">
        <v>0.99957790000000002</v>
      </c>
      <c r="AB4657">
        <v>31</v>
      </c>
      <c r="AC4657">
        <v>1.3759999999999699</v>
      </c>
      <c r="AD4657">
        <v>-1.05938285</v>
      </c>
      <c r="AE4657">
        <v>-31.453240000000001</v>
      </c>
      <c r="AF4657">
        <v>-0.533137864893103</v>
      </c>
      <c r="AG4657">
        <v>-1.05938285</v>
      </c>
      <c r="AH4657">
        <v>31.443197497842</v>
      </c>
      <c r="AI4657">
        <v>91.929399875721799</v>
      </c>
      <c r="AJ4657">
        <v>90.971390481788305</v>
      </c>
      <c r="AK4657">
        <v>31.465555721997902</v>
      </c>
      <c r="AL4657">
        <v>77.519096316691204</v>
      </c>
      <c r="AM4657">
        <v>90.887204307241902</v>
      </c>
      <c r="AN4657">
        <v>0.99999995969512401</v>
      </c>
    </row>
    <row r="4658" spans="1:40" x14ac:dyDescent="0.25">
      <c r="A4658" t="str">
        <f>"20190303170906476"</f>
        <v>20190303170906476</v>
      </c>
      <c r="B4658" t="str">
        <f>"1551604146468203"</f>
        <v>1551604146468203</v>
      </c>
      <c r="C4658" t="s">
        <v>40</v>
      </c>
      <c r="D4658">
        <v>4.9945190000000004</v>
      </c>
      <c r="E4658">
        <v>0.4412529</v>
      </c>
      <c r="F4658" t="s">
        <v>111</v>
      </c>
      <c r="G4658">
        <v>-291.41219999999998</v>
      </c>
      <c r="H4658">
        <v>0.55183319999999902</v>
      </c>
      <c r="I4658">
        <v>-91.564989999999995</v>
      </c>
      <c r="J4658">
        <v>-301.46289999999999</v>
      </c>
      <c r="K4658">
        <v>1.121961</v>
      </c>
      <c r="L4658">
        <v>-39.420470000000002</v>
      </c>
      <c r="M4658">
        <v>2.9268639999999999E-2</v>
      </c>
      <c r="N4658">
        <v>-9.5658089999999998E-3</v>
      </c>
      <c r="O4658">
        <v>-0.99952580000000002</v>
      </c>
      <c r="P4658">
        <v>4.6978659999999998E-2</v>
      </c>
      <c r="Q4658">
        <v>0.20983840000000001</v>
      </c>
      <c r="R4658">
        <v>-0.97660720000000001</v>
      </c>
      <c r="S4658">
        <v>0.58374019999999904</v>
      </c>
      <c r="T4658">
        <v>-3.3031940000000003E-2</v>
      </c>
      <c r="U4658">
        <v>-3.0516359999999998</v>
      </c>
      <c r="V4658">
        <v>-1.9011E-2</v>
      </c>
      <c r="W4658">
        <v>0.21912590000000001</v>
      </c>
      <c r="X4658">
        <v>0.97551140000000003</v>
      </c>
      <c r="Y4658">
        <v>-0.1590366</v>
      </c>
      <c r="Z4658">
        <v>1.1120889999999999E-3</v>
      </c>
      <c r="AA4658">
        <v>0.98727209999999999</v>
      </c>
      <c r="AB4658">
        <v>31</v>
      </c>
      <c r="AC4658">
        <v>10.050700000000001</v>
      </c>
      <c r="AD4658">
        <v>-0.57012779999999996</v>
      </c>
      <c r="AE4658">
        <v>-52.14452</v>
      </c>
      <c r="AF4658">
        <v>-8.5191427412380794</v>
      </c>
      <c r="AG4658">
        <v>-0.57012779999999996</v>
      </c>
      <c r="AH4658">
        <v>52.410321163267199</v>
      </c>
      <c r="AI4658">
        <v>90.615174693792795</v>
      </c>
      <c r="AJ4658">
        <v>99.232512260476199</v>
      </c>
      <c r="AK4658">
        <v>53.1012486029352</v>
      </c>
      <c r="AL4658">
        <v>77.342302353893601</v>
      </c>
      <c r="AM4658">
        <v>91.116452559929598</v>
      </c>
      <c r="AN4658">
        <v>1.00000003485088</v>
      </c>
    </row>
    <row r="4659" spans="1:40" x14ac:dyDescent="0.25">
      <c r="A4659" t="str">
        <f>"20190303170906534"</f>
        <v>20190303170906534</v>
      </c>
      <c r="B4659" t="str">
        <f>"1551604146528716"</f>
        <v>1551604146528716</v>
      </c>
      <c r="C4659" t="s">
        <v>40</v>
      </c>
      <c r="D4659">
        <v>5.0066199999999998</v>
      </c>
      <c r="E4659">
        <v>0.43574289999999999</v>
      </c>
      <c r="F4659" t="s">
        <v>111</v>
      </c>
      <c r="G4659">
        <v>-290.09160000000003</v>
      </c>
      <c r="H4659">
        <v>0.83160020000000001</v>
      </c>
      <c r="I4659">
        <v>-91.564989999999995</v>
      </c>
      <c r="J4659">
        <v>-301.43200000000002</v>
      </c>
      <c r="K4659">
        <v>1.1228370000000001</v>
      </c>
      <c r="L4659">
        <v>-40.218719999999998</v>
      </c>
      <c r="M4659">
        <v>3.5672269999999999E-2</v>
      </c>
      <c r="N4659">
        <v>-9.8702430000000008E-3</v>
      </c>
      <c r="O4659">
        <v>-0.99931499999999995</v>
      </c>
      <c r="P4659">
        <v>5.9772909999999999E-2</v>
      </c>
      <c r="Q4659">
        <v>0.2129955</v>
      </c>
      <c r="R4659">
        <v>-0.97522330000000002</v>
      </c>
      <c r="S4659">
        <v>0.66372679999999995</v>
      </c>
      <c r="T4659">
        <v>-1.6947029999999998E-2</v>
      </c>
      <c r="U4659">
        <v>-3.0435789999999998</v>
      </c>
      <c r="V4659">
        <v>-2.6053030000000001E-2</v>
      </c>
      <c r="W4659">
        <v>0.22249849999999999</v>
      </c>
      <c r="X4659">
        <v>0.97458489999999998</v>
      </c>
      <c r="Y4659">
        <v>-0.1780611</v>
      </c>
      <c r="Z4659">
        <v>-4.3783219999999996E-3</v>
      </c>
      <c r="AA4659">
        <v>0.98400969999999999</v>
      </c>
      <c r="AB4659">
        <v>31</v>
      </c>
      <c r="AC4659">
        <v>11.340399999999899</v>
      </c>
      <c r="AD4659">
        <v>-0.29123680000000002</v>
      </c>
      <c r="AE4659">
        <v>-51.346269999999997</v>
      </c>
      <c r="AF4659">
        <v>-9.5011632933550203</v>
      </c>
      <c r="AG4659">
        <v>-0.29123680000000002</v>
      </c>
      <c r="AH4659">
        <v>51.716558095099401</v>
      </c>
      <c r="AI4659">
        <v>90.317341398739302</v>
      </c>
      <c r="AJ4659">
        <v>100.410072994373</v>
      </c>
      <c r="AK4659">
        <v>52.582880331952701</v>
      </c>
      <c r="AL4659">
        <v>77.144176024973007</v>
      </c>
      <c r="AM4659">
        <v>91.531291153179893</v>
      </c>
      <c r="AN4659">
        <v>1.0000000350912199</v>
      </c>
    </row>
    <row r="4660" spans="1:40" x14ac:dyDescent="0.25">
      <c r="A4660" t="str">
        <f>"20190303170906567"</f>
        <v>20190303170906567</v>
      </c>
      <c r="B4660" t="str">
        <f>"1551604146557996"</f>
        <v>1551604146557996</v>
      </c>
      <c r="C4660" t="s">
        <v>40</v>
      </c>
      <c r="D4660">
        <v>5.0011479999999997</v>
      </c>
      <c r="E4660">
        <v>0.4350174</v>
      </c>
      <c r="F4660" t="s">
        <v>111</v>
      </c>
      <c r="G4660">
        <v>-288.75700000000001</v>
      </c>
      <c r="H4660">
        <v>0.98959920000000001</v>
      </c>
      <c r="I4660">
        <v>-91.564989999999995</v>
      </c>
      <c r="J4660">
        <v>-301.41050000000001</v>
      </c>
      <c r="K4660">
        <v>1.1232599999999999</v>
      </c>
      <c r="L4660">
        <v>-40.68121</v>
      </c>
      <c r="M4660">
        <v>4.03653E-2</v>
      </c>
      <c r="N4660">
        <v>-1.005085E-2</v>
      </c>
      <c r="O4660">
        <v>-0.99913439999999998</v>
      </c>
      <c r="P4660">
        <v>6.2373669999999999E-2</v>
      </c>
      <c r="Q4660">
        <v>0.21537429999999999</v>
      </c>
      <c r="R4660">
        <v>-0.9745376</v>
      </c>
      <c r="S4660">
        <v>0.74847410000000003</v>
      </c>
      <c r="T4660">
        <v>-7.8670979999999995E-3</v>
      </c>
      <c r="U4660">
        <v>-3.0320740000000002</v>
      </c>
      <c r="V4660">
        <v>-2.431109E-2</v>
      </c>
      <c r="W4660">
        <v>0.22503609999999999</v>
      </c>
      <c r="X4660">
        <v>0.97404710000000005</v>
      </c>
      <c r="Y4660">
        <v>-0.20025280000000001</v>
      </c>
      <c r="Z4660">
        <v>-7.4744690000000001E-3</v>
      </c>
      <c r="AA4660">
        <v>0.97971580000000003</v>
      </c>
      <c r="AB4660">
        <v>31</v>
      </c>
      <c r="AC4660">
        <v>12.653499999999999</v>
      </c>
      <c r="AD4660">
        <v>-0.1336608</v>
      </c>
      <c r="AE4660">
        <v>-50.883780000000002</v>
      </c>
      <c r="AF4660">
        <v>-10.5890745352292</v>
      </c>
      <c r="AG4660">
        <v>-0.1336608</v>
      </c>
      <c r="AH4660">
        <v>51.352759417144398</v>
      </c>
      <c r="AI4660">
        <v>90.146056154926995</v>
      </c>
      <c r="AJ4660">
        <v>101.651237724479</v>
      </c>
      <c r="AK4660">
        <v>52.433312545339</v>
      </c>
      <c r="AL4660">
        <v>76.994999206946403</v>
      </c>
      <c r="AM4660">
        <v>91.429739611993696</v>
      </c>
      <c r="AN4660">
        <v>1.0000000142093</v>
      </c>
    </row>
    <row r="4661" spans="1:40" x14ac:dyDescent="0.25">
      <c r="A4661" t="str">
        <f>"20190303170906608"</f>
        <v>20190303170906608</v>
      </c>
      <c r="B4661" t="str">
        <f>"1551604146598988"</f>
        <v>1551604146598988</v>
      </c>
      <c r="C4661" t="s">
        <v>40</v>
      </c>
      <c r="D4661">
        <v>5.0060070000000003</v>
      </c>
      <c r="E4661">
        <v>0.43468440000000003</v>
      </c>
      <c r="F4661" t="s">
        <v>111</v>
      </c>
      <c r="G4661">
        <v>-288.59249999999997</v>
      </c>
      <c r="H4661">
        <v>1.076891</v>
      </c>
      <c r="I4661">
        <v>-91.564989999999995</v>
      </c>
      <c r="J4661">
        <v>-301.38060000000002</v>
      </c>
      <c r="K4661">
        <v>1.123705</v>
      </c>
      <c r="L4661">
        <v>-41.24268</v>
      </c>
      <c r="M4661">
        <v>4.686456E-2</v>
      </c>
      <c r="N4661">
        <v>-1.036516E-2</v>
      </c>
      <c r="O4661">
        <v>-0.99884759999999995</v>
      </c>
      <c r="P4661">
        <v>6.810766E-2</v>
      </c>
      <c r="Q4661">
        <v>0.2139366</v>
      </c>
      <c r="R4661">
        <v>-0.97447059999999996</v>
      </c>
      <c r="S4661">
        <v>0.76330569999999998</v>
      </c>
      <c r="T4661">
        <v>-2.7605300000000002E-3</v>
      </c>
      <c r="U4661">
        <v>-3.0301209999999998</v>
      </c>
      <c r="V4661">
        <v>-2.3891659999999999E-2</v>
      </c>
      <c r="W4661">
        <v>0.2238897</v>
      </c>
      <c r="X4661">
        <v>0.97432160000000001</v>
      </c>
      <c r="Y4661">
        <v>-0.19853680000000001</v>
      </c>
      <c r="Z4661">
        <v>-9.4184779999999992E-3</v>
      </c>
      <c r="AA4661">
        <v>0.98004820000000004</v>
      </c>
      <c r="AB4661">
        <v>31</v>
      </c>
      <c r="AC4661">
        <v>12.7881</v>
      </c>
      <c r="AD4661">
        <v>-4.6813999999999897E-2</v>
      </c>
      <c r="AE4661">
        <v>-50.322310000000002</v>
      </c>
      <c r="AF4661">
        <v>-10.415579822424901</v>
      </c>
      <c r="AG4661">
        <v>-4.6813999999999897E-2</v>
      </c>
      <c r="AH4661">
        <v>50.8663120268508</v>
      </c>
      <c r="AI4661">
        <v>90.051659371079495</v>
      </c>
      <c r="AJ4661">
        <v>101.572138675358</v>
      </c>
      <c r="AK4661">
        <v>51.921750681201502</v>
      </c>
      <c r="AL4661">
        <v>77.062402803990196</v>
      </c>
      <c r="AM4661">
        <v>91.404687131120397</v>
      </c>
      <c r="AN4661">
        <v>0.99999999470510204</v>
      </c>
    </row>
    <row r="4662" spans="1:40" x14ac:dyDescent="0.25">
      <c r="A4662" t="str">
        <f>"20190303170906640"</f>
        <v>20190303170906640</v>
      </c>
      <c r="B4662" t="str">
        <f>"1551604146628268"</f>
        <v>1551604146628268</v>
      </c>
      <c r="C4662" t="s">
        <v>40</v>
      </c>
      <c r="D4662">
        <v>5.0261500000000003</v>
      </c>
      <c r="E4662">
        <v>0.4348224</v>
      </c>
      <c r="F4662" t="s">
        <v>111</v>
      </c>
      <c r="G4662">
        <v>-288.36840000000001</v>
      </c>
      <c r="H4662">
        <v>0.88828850000000004</v>
      </c>
      <c r="I4662">
        <v>-91.564989999999995</v>
      </c>
      <c r="J4662">
        <v>-301.35250000000002</v>
      </c>
      <c r="K4662">
        <v>1.1240300000000001</v>
      </c>
      <c r="L4662">
        <v>-41.705660000000002</v>
      </c>
      <c r="M4662">
        <v>5.2771249999999999E-2</v>
      </c>
      <c r="N4662">
        <v>-1.070102E-2</v>
      </c>
      <c r="O4662">
        <v>-0.99854929999999997</v>
      </c>
      <c r="P4662">
        <v>7.3395329999999995E-2</v>
      </c>
      <c r="Q4662">
        <v>0.21516389999999999</v>
      </c>
      <c r="R4662">
        <v>-0.97381609999999996</v>
      </c>
      <c r="S4662">
        <v>0.78271480000000004</v>
      </c>
      <c r="T4662">
        <v>-1.416004E-2</v>
      </c>
      <c r="U4662">
        <v>-3.0270079999999999</v>
      </c>
      <c r="V4662">
        <v>-2.3600590000000001E-2</v>
      </c>
      <c r="W4662">
        <v>0.22542809999999999</v>
      </c>
      <c r="X4662">
        <v>0.97397389999999995</v>
      </c>
      <c r="Y4662">
        <v>-0.19888</v>
      </c>
      <c r="Z4662">
        <v>-6.0829250000000003E-3</v>
      </c>
      <c r="AA4662">
        <v>0.98000500000000001</v>
      </c>
      <c r="AB4662">
        <v>31</v>
      </c>
      <c r="AC4662">
        <v>12.9841</v>
      </c>
      <c r="AD4662">
        <v>-0.23574149999999899</v>
      </c>
      <c r="AE4662">
        <v>-49.85933</v>
      </c>
      <c r="AF4662">
        <v>-10.334500071273</v>
      </c>
      <c r="AG4662">
        <v>-0.23574149999999899</v>
      </c>
      <c r="AH4662">
        <v>50.474019104054101</v>
      </c>
      <c r="AI4662">
        <v>90.262162233671305</v>
      </c>
      <c r="AJ4662">
        <v>101.571318998482</v>
      </c>
      <c r="AK4662">
        <v>51.521685437244599</v>
      </c>
      <c r="AL4662">
        <v>76.971946575895402</v>
      </c>
      <c r="AM4662">
        <v>91.388075842821905</v>
      </c>
      <c r="AN4662">
        <v>0.99999998699958403</v>
      </c>
    </row>
    <row r="4663" spans="1:40" x14ac:dyDescent="0.25">
      <c r="A4663" t="str">
        <f>"20190303170906668"</f>
        <v>20190303170906668</v>
      </c>
      <c r="B4663" t="str">
        <f>"1551604146658524"</f>
        <v>1551604146658524</v>
      </c>
      <c r="C4663" t="s">
        <v>40</v>
      </c>
      <c r="D4663">
        <v>5.0114900000000002</v>
      </c>
      <c r="E4663">
        <v>0.43486770000000002</v>
      </c>
      <c r="F4663" t="s">
        <v>111</v>
      </c>
      <c r="G4663">
        <v>-288.23430000000002</v>
      </c>
      <c r="H4663">
        <v>0.84415629999999997</v>
      </c>
      <c r="I4663">
        <v>-91.564989999999995</v>
      </c>
      <c r="J4663">
        <v>-301.32729999999998</v>
      </c>
      <c r="K4663">
        <v>1.1242810000000001</v>
      </c>
      <c r="L4663">
        <v>-42.084009999999999</v>
      </c>
      <c r="M4663">
        <v>5.7820290000000003E-2</v>
      </c>
      <c r="N4663">
        <v>-1.10014E-2</v>
      </c>
      <c r="O4663">
        <v>-0.99826649999999995</v>
      </c>
      <c r="P4663">
        <v>7.4985620000000003E-2</v>
      </c>
      <c r="Q4663">
        <v>0.21668470000000001</v>
      </c>
      <c r="R4663">
        <v>-0.97335769999999999</v>
      </c>
      <c r="S4663">
        <v>0.79574579999999995</v>
      </c>
      <c r="T4663">
        <v>-1.697624E-2</v>
      </c>
      <c r="U4663">
        <v>-3.0244450000000001</v>
      </c>
      <c r="V4663">
        <v>-2.0400970000000001E-2</v>
      </c>
      <c r="W4663">
        <v>0.22725300000000001</v>
      </c>
      <c r="X4663">
        <v>0.97362199999999999</v>
      </c>
      <c r="Y4663">
        <v>-0.19807749999999999</v>
      </c>
      <c r="Z4663">
        <v>-5.4689999999999999E-3</v>
      </c>
      <c r="AA4663">
        <v>0.98017109999999996</v>
      </c>
      <c r="AB4663">
        <v>31</v>
      </c>
      <c r="AC4663">
        <v>13.0929999999999</v>
      </c>
      <c r="AD4663">
        <v>-0.28012469999999901</v>
      </c>
      <c r="AE4663">
        <v>-49.480980000000002</v>
      </c>
      <c r="AF4663">
        <v>-10.2096096099426</v>
      </c>
      <c r="AG4663">
        <v>-0.28012469999999901</v>
      </c>
      <c r="AH4663">
        <v>50.153773235208597</v>
      </c>
      <c r="AI4663">
        <v>90.313580562276996</v>
      </c>
      <c r="AJ4663">
        <v>101.506262734212</v>
      </c>
      <c r="AK4663">
        <v>51.183157073042203</v>
      </c>
      <c r="AL4663">
        <v>76.864601368052305</v>
      </c>
      <c r="AM4663">
        <v>91.200382134270797</v>
      </c>
      <c r="AN4663">
        <v>0.99999996223496901</v>
      </c>
    </row>
    <row r="4664" spans="1:40" x14ac:dyDescent="0.25">
      <c r="A4664" t="str">
        <f>"20190303170906702"</f>
        <v>20190303170906702</v>
      </c>
      <c r="B4664" t="str">
        <f>"1551604146698539"</f>
        <v>1551604146698539</v>
      </c>
      <c r="C4664" t="s">
        <v>40</v>
      </c>
      <c r="D4664">
        <v>4.972296</v>
      </c>
      <c r="E4664">
        <v>0.43478129999999998</v>
      </c>
      <c r="F4664" t="s">
        <v>111</v>
      </c>
      <c r="G4664">
        <v>-288.21600000000001</v>
      </c>
      <c r="H4664">
        <v>0.87233159999999899</v>
      </c>
      <c r="I4664">
        <v>-91.564989999999995</v>
      </c>
      <c r="J4664">
        <v>-301.29300000000001</v>
      </c>
      <c r="K4664">
        <v>1.1245130000000001</v>
      </c>
      <c r="L4664">
        <v>-42.550750000000001</v>
      </c>
      <c r="M4664">
        <v>6.4297389999999996E-2</v>
      </c>
      <c r="N4664">
        <v>-1.139865E-2</v>
      </c>
      <c r="O4664">
        <v>-0.99786569999999997</v>
      </c>
      <c r="P4664">
        <v>8.1532809999999997E-2</v>
      </c>
      <c r="Q4664">
        <v>0.21366170000000001</v>
      </c>
      <c r="R4664">
        <v>-0.97349929999999996</v>
      </c>
      <c r="S4664">
        <v>0.80123900000000003</v>
      </c>
      <c r="T4664">
        <v>-1.5395880000000001E-2</v>
      </c>
      <c r="U4664">
        <v>-3.0238040000000002</v>
      </c>
      <c r="V4664">
        <v>-2.066511E-2</v>
      </c>
      <c r="W4664">
        <v>0.2246146</v>
      </c>
      <c r="X4664">
        <v>0.97422850000000005</v>
      </c>
      <c r="Y4664">
        <v>-0.19342809999999999</v>
      </c>
      <c r="Z4664">
        <v>-6.3612909999999998E-3</v>
      </c>
      <c r="AA4664">
        <v>0.98109380000000002</v>
      </c>
      <c r="AB4664">
        <v>31</v>
      </c>
      <c r="AC4664">
        <v>13.0769999999999</v>
      </c>
      <c r="AD4664">
        <v>-0.2521814</v>
      </c>
      <c r="AE4664">
        <v>-49.014240000000001</v>
      </c>
      <c r="AF4664">
        <v>-9.8980003132699306</v>
      </c>
      <c r="AG4664">
        <v>-0.2521814</v>
      </c>
      <c r="AH4664">
        <v>49.752447732486097</v>
      </c>
      <c r="AI4664">
        <v>90.284832067396394</v>
      </c>
      <c r="AJ4664">
        <v>101.251798094463</v>
      </c>
      <c r="AK4664">
        <v>50.728099324080297</v>
      </c>
      <c r="AL4664">
        <v>77.0197832751102</v>
      </c>
      <c r="AM4664">
        <v>91.215162617986095</v>
      </c>
      <c r="AN4664">
        <v>0.99999996775835998</v>
      </c>
    </row>
    <row r="4665" spans="1:40" x14ac:dyDescent="0.25">
      <c r="A4665" t="str">
        <f>"20190303170906735"</f>
        <v>20190303170906735</v>
      </c>
      <c r="B4665" t="str">
        <f>"1551604146727993"</f>
        <v>1551604146727993</v>
      </c>
      <c r="C4665" t="s">
        <v>40</v>
      </c>
      <c r="D4665">
        <v>4.9668720000000004</v>
      </c>
      <c r="E4665">
        <v>0.43478250000000002</v>
      </c>
      <c r="F4665" t="s">
        <v>111</v>
      </c>
      <c r="G4665">
        <v>-287.9939</v>
      </c>
      <c r="H4665">
        <v>0.63324169999999902</v>
      </c>
      <c r="I4665">
        <v>-91.564989999999995</v>
      </c>
      <c r="J4665">
        <v>-301.25659999999999</v>
      </c>
      <c r="K4665">
        <v>1.1246830000000001</v>
      </c>
      <c r="L4665">
        <v>-43.005949999999999</v>
      </c>
      <c r="M4665">
        <v>7.0789179999999993E-2</v>
      </c>
      <c r="N4665">
        <v>-1.178657E-2</v>
      </c>
      <c r="O4665">
        <v>-0.99742180000000003</v>
      </c>
      <c r="P4665">
        <v>9.1013910000000003E-2</v>
      </c>
      <c r="Q4665">
        <v>0.21092420000000001</v>
      </c>
      <c r="R4665">
        <v>-0.97325649999999997</v>
      </c>
      <c r="S4665">
        <v>0.81933590000000001</v>
      </c>
      <c r="T4665">
        <v>-3.0265569999999999E-2</v>
      </c>
      <c r="U4665">
        <v>-3.0196839999999998</v>
      </c>
      <c r="V4665">
        <v>-2.3825679999999998E-2</v>
      </c>
      <c r="W4665">
        <v>0.22222890000000001</v>
      </c>
      <c r="X4665">
        <v>0.9747034</v>
      </c>
      <c r="Y4665">
        <v>-0.19285830000000001</v>
      </c>
      <c r="Z4665">
        <v>-1.9609060000000001E-3</v>
      </c>
      <c r="AA4665">
        <v>0.98122469999999995</v>
      </c>
      <c r="AB4665">
        <v>31</v>
      </c>
      <c r="AC4665">
        <v>13.262699999999899</v>
      </c>
      <c r="AD4665">
        <v>-0.49144130000000003</v>
      </c>
      <c r="AE4665">
        <v>-48.559040000000003</v>
      </c>
      <c r="AF4665">
        <v>-9.7907970924368897</v>
      </c>
      <c r="AG4665">
        <v>-0.49144130000000003</v>
      </c>
      <c r="AH4665">
        <v>49.371417938460198</v>
      </c>
      <c r="AI4665">
        <v>90.559408279993505</v>
      </c>
      <c r="AJ4665">
        <v>101.21674215661</v>
      </c>
      <c r="AK4665">
        <v>50.335257340265301</v>
      </c>
      <c r="AL4665">
        <v>77.160019596630406</v>
      </c>
      <c r="AM4665">
        <v>91.400260957362605</v>
      </c>
      <c r="AN4665">
        <v>1.0000000324971099</v>
      </c>
    </row>
    <row r="4666" spans="1:40" x14ac:dyDescent="0.25">
      <c r="A4666" t="str">
        <f>"20190303170906768"</f>
        <v>20190303170906768</v>
      </c>
      <c r="B4666" t="str">
        <f>"1551604146758250"</f>
        <v>1551604146758250</v>
      </c>
      <c r="C4666" t="s">
        <v>40</v>
      </c>
      <c r="D4666">
        <v>4.9623699999999999</v>
      </c>
      <c r="E4666">
        <v>0.43500220000000001</v>
      </c>
      <c r="F4666" t="s">
        <v>111</v>
      </c>
      <c r="G4666">
        <v>-287.64760000000001</v>
      </c>
      <c r="H4666">
        <v>0.41301919999999998</v>
      </c>
      <c r="I4666">
        <v>-91.564989999999995</v>
      </c>
      <c r="J4666">
        <v>-301.21730000000002</v>
      </c>
      <c r="K4666">
        <v>1.124798</v>
      </c>
      <c r="L4666">
        <v>-43.45917</v>
      </c>
      <c r="M4666">
        <v>7.7367039999999998E-2</v>
      </c>
      <c r="N4666">
        <v>-1.215346E-2</v>
      </c>
      <c r="O4666">
        <v>-0.9969287</v>
      </c>
      <c r="P4666">
        <v>9.8171560000000005E-2</v>
      </c>
      <c r="Q4666">
        <v>0.21184410000000001</v>
      </c>
      <c r="R4666">
        <v>-0.97236020000000001</v>
      </c>
      <c r="S4666">
        <v>0.84442139999999999</v>
      </c>
      <c r="T4666">
        <v>-4.415703E-2</v>
      </c>
      <c r="U4666">
        <v>-3.0130309999999998</v>
      </c>
      <c r="V4666">
        <v>-2.4640559999999999E-2</v>
      </c>
      <c r="W4666">
        <v>0.22349140000000001</v>
      </c>
      <c r="X4666">
        <v>0.97439439999999999</v>
      </c>
      <c r="Y4666">
        <v>-0.19451660000000001</v>
      </c>
      <c r="Z4666">
        <v>2.150669E-3</v>
      </c>
      <c r="AA4666">
        <v>0.98089689999999996</v>
      </c>
      <c r="AB4666">
        <v>31</v>
      </c>
      <c r="AC4666">
        <v>13.569699999999999</v>
      </c>
      <c r="AD4666">
        <v>-0.71177880000000004</v>
      </c>
      <c r="AE4666">
        <v>-48.105820000000001</v>
      </c>
      <c r="AF4666">
        <v>-9.8049534727412109</v>
      </c>
      <c r="AG4666">
        <v>-0.71177880000000004</v>
      </c>
      <c r="AH4666">
        <v>49.001598069579003</v>
      </c>
      <c r="AI4666">
        <v>90.816025071011396</v>
      </c>
      <c r="AJ4666">
        <v>101.315142188818</v>
      </c>
      <c r="AK4666">
        <v>49.977998709785503</v>
      </c>
      <c r="AL4666">
        <v>77.085817158640793</v>
      </c>
      <c r="AM4666">
        <v>91.448591315533506</v>
      </c>
      <c r="AN4666">
        <v>1.0000000049112101</v>
      </c>
    </row>
    <row r="4667" spans="1:40" x14ac:dyDescent="0.25">
      <c r="A4667" t="str">
        <f>"20190303170906810"</f>
        <v>20190303170906810</v>
      </c>
      <c r="B4667" t="str">
        <f>"1551604146798265"</f>
        <v>1551604146798265</v>
      </c>
      <c r="C4667" t="s">
        <v>40</v>
      </c>
      <c r="D4667">
        <v>4.9678300000000002</v>
      </c>
      <c r="E4667">
        <v>0.43522860000000002</v>
      </c>
      <c r="F4667" t="s">
        <v>111</v>
      </c>
      <c r="G4667">
        <v>-287.41340000000002</v>
      </c>
      <c r="H4667">
        <v>0.41122249999999999</v>
      </c>
      <c r="I4667">
        <v>-91.564989999999995</v>
      </c>
      <c r="J4667">
        <v>-301.1635</v>
      </c>
      <c r="K4667">
        <v>1.124954</v>
      </c>
      <c r="L4667">
        <v>-44.025390000000002</v>
      </c>
      <c r="M4667">
        <v>8.5770639999999995E-2</v>
      </c>
      <c r="N4667">
        <v>-1.256672E-2</v>
      </c>
      <c r="O4667">
        <v>-0.99623569999999995</v>
      </c>
      <c r="P4667">
        <v>0.1038979</v>
      </c>
      <c r="Q4667">
        <v>0.21422479999999999</v>
      </c>
      <c r="R4667">
        <v>-0.97124310000000003</v>
      </c>
      <c r="S4667">
        <v>0.86309809999999998</v>
      </c>
      <c r="T4667">
        <v>-4.461586E-2</v>
      </c>
      <c r="U4667">
        <v>-3.0078429999999998</v>
      </c>
      <c r="V4667">
        <v>-2.228494E-2</v>
      </c>
      <c r="W4667">
        <v>0.22628519999999999</v>
      </c>
      <c r="X4667">
        <v>0.97380610000000001</v>
      </c>
      <c r="Y4667">
        <v>-0.1923194</v>
      </c>
      <c r="Z4667">
        <v>1.9069320000000001E-3</v>
      </c>
      <c r="AA4667">
        <v>0.98133049999999999</v>
      </c>
      <c r="AB4667">
        <v>31</v>
      </c>
      <c r="AC4667">
        <v>13.7500999999999</v>
      </c>
      <c r="AD4667">
        <v>-0.71373149999999996</v>
      </c>
      <c r="AE4667">
        <v>-47.5396</v>
      </c>
      <c r="AF4667">
        <v>-9.6195969939742607</v>
      </c>
      <c r="AG4667">
        <v>-0.71373149999999996</v>
      </c>
      <c r="AH4667">
        <v>48.5337373826017</v>
      </c>
      <c r="AI4667">
        <v>90.826449496155405</v>
      </c>
      <c r="AJ4667">
        <v>101.21097128189299</v>
      </c>
      <c r="AK4667">
        <v>49.483024597369997</v>
      </c>
      <c r="AL4667">
        <v>76.921535485005293</v>
      </c>
      <c r="AM4667">
        <v>91.3109490571061</v>
      </c>
      <c r="AN4667">
        <v>0.99999996534352598</v>
      </c>
    </row>
    <row r="4668" spans="1:40" x14ac:dyDescent="0.25">
      <c r="A4668" t="str">
        <f>"20190303170906844"</f>
        <v>20190303170906844</v>
      </c>
      <c r="B4668" t="str">
        <f>"1551604146838789"</f>
        <v>1551604146838789</v>
      </c>
      <c r="C4668" t="s">
        <v>40</v>
      </c>
      <c r="D4668">
        <v>4.965668</v>
      </c>
      <c r="E4668">
        <v>0.43555549999999998</v>
      </c>
      <c r="F4668" t="s">
        <v>111</v>
      </c>
      <c r="G4668">
        <v>-287.30650000000003</v>
      </c>
      <c r="H4668">
        <v>0.4591789</v>
      </c>
      <c r="I4668">
        <v>-91.564989999999995</v>
      </c>
      <c r="J4668">
        <v>-301.11329999999998</v>
      </c>
      <c r="K4668">
        <v>1.1250830000000001</v>
      </c>
      <c r="L4668">
        <v>-44.510350000000003</v>
      </c>
      <c r="M4668">
        <v>9.3188320000000005E-2</v>
      </c>
      <c r="N4668">
        <v>-1.286933E-2</v>
      </c>
      <c r="O4668">
        <v>-0.99556529999999999</v>
      </c>
      <c r="P4668">
        <v>0.1080748</v>
      </c>
      <c r="Q4668">
        <v>0.21298919999999999</v>
      </c>
      <c r="R4668">
        <v>-0.97105909999999995</v>
      </c>
      <c r="S4668">
        <v>0.87573239999999997</v>
      </c>
      <c r="T4668">
        <v>-4.2075040000000001E-2</v>
      </c>
      <c r="U4668">
        <v>-3.0044249999999999</v>
      </c>
      <c r="V4668">
        <v>-1.923687E-2</v>
      </c>
      <c r="W4668">
        <v>0.22537189999999999</v>
      </c>
      <c r="X4668">
        <v>0.97408289999999997</v>
      </c>
      <c r="Y4668">
        <v>-0.18911349999999999</v>
      </c>
      <c r="Z4668">
        <v>8.0590969999999997E-4</v>
      </c>
      <c r="AA4668">
        <v>0.98195489999999996</v>
      </c>
      <c r="AB4668">
        <v>31</v>
      </c>
      <c r="AC4668">
        <v>13.8067999999999</v>
      </c>
      <c r="AD4668">
        <v>-0.6659041</v>
      </c>
      <c r="AE4668">
        <v>-47.054639999999999</v>
      </c>
      <c r="AF4668">
        <v>-9.3596777375671003</v>
      </c>
      <c r="AG4668">
        <v>-0.6659041</v>
      </c>
      <c r="AH4668">
        <v>48.1277123195771</v>
      </c>
      <c r="AI4668">
        <v>90.778128288094194</v>
      </c>
      <c r="AJ4668">
        <v>101.005274664854</v>
      </c>
      <c r="AK4668">
        <v>49.033903462170798</v>
      </c>
      <c r="AL4668">
        <v>76.975252131303904</v>
      </c>
      <c r="AM4668">
        <v>91.131370036975596</v>
      </c>
      <c r="AN4668">
        <v>1.0000000232746999</v>
      </c>
    </row>
    <row r="4669" spans="1:40" x14ac:dyDescent="0.25">
      <c r="A4669" t="str">
        <f>"20190303170906871"</f>
        <v>20190303170906871</v>
      </c>
      <c r="B4669" t="str">
        <f>"1551604146858309"</f>
        <v>1551604146858309</v>
      </c>
      <c r="C4669" t="s">
        <v>40</v>
      </c>
      <c r="D4669">
        <v>4.995978</v>
      </c>
      <c r="E4669">
        <v>0.43576120000000002</v>
      </c>
      <c r="F4669" t="s">
        <v>111</v>
      </c>
      <c r="G4669">
        <v>-287.24180000000001</v>
      </c>
      <c r="H4669">
        <v>0.353879</v>
      </c>
      <c r="I4669">
        <v>-91.564989999999995</v>
      </c>
      <c r="J4669">
        <v>-301.07420000000002</v>
      </c>
      <c r="K4669">
        <v>1.125175</v>
      </c>
      <c r="L4669">
        <v>-44.864199999999997</v>
      </c>
      <c r="M4669">
        <v>9.8752560000000003E-2</v>
      </c>
      <c r="N4669">
        <v>-1.3064900000000001E-2</v>
      </c>
      <c r="O4669">
        <v>-0.99502639999999998</v>
      </c>
      <c r="P4669">
        <v>0.11082980000000001</v>
      </c>
      <c r="Q4669">
        <v>0.212175</v>
      </c>
      <c r="R4669">
        <v>-0.97092679999999998</v>
      </c>
      <c r="S4669">
        <v>0.88488770000000005</v>
      </c>
      <c r="T4669">
        <v>-4.9195889999999999E-2</v>
      </c>
      <c r="U4669">
        <v>-3.001709</v>
      </c>
      <c r="V4669">
        <v>-1.657165E-2</v>
      </c>
      <c r="W4669">
        <v>0.2247731</v>
      </c>
      <c r="X4669">
        <v>0.97427019999999998</v>
      </c>
      <c r="Y4669">
        <v>-0.18661539999999999</v>
      </c>
      <c r="Z4669">
        <v>2.9085579999999999E-3</v>
      </c>
      <c r="AA4669">
        <v>0.98242870000000004</v>
      </c>
      <c r="AB4669">
        <v>31</v>
      </c>
      <c r="AC4669">
        <v>13.8324</v>
      </c>
      <c r="AD4669">
        <v>-0.77129599999999998</v>
      </c>
      <c r="AE4669">
        <v>-46.700789999999998</v>
      </c>
      <c r="AF4669">
        <v>-9.1502658211824492</v>
      </c>
      <c r="AG4669">
        <v>-0.77129599999999998</v>
      </c>
      <c r="AH4669">
        <v>47.826586373494997</v>
      </c>
      <c r="AI4669">
        <v>90.907468520492102</v>
      </c>
      <c r="AJ4669">
        <v>100.831040970036</v>
      </c>
      <c r="AK4669">
        <v>48.700150166701697</v>
      </c>
      <c r="AL4669">
        <v>77.010463935016205</v>
      </c>
      <c r="AM4669">
        <v>90.974466891514098</v>
      </c>
      <c r="AN4669">
        <v>0.99999999433768605</v>
      </c>
    </row>
    <row r="4670" spans="1:40" x14ac:dyDescent="0.25">
      <c r="A4670" t="str">
        <f>"20190303170906905"</f>
        <v>20190303170906905</v>
      </c>
      <c r="B4670" t="str">
        <f>"1551604146898325"</f>
        <v>1551604146898325</v>
      </c>
      <c r="C4670" t="s">
        <v>40</v>
      </c>
      <c r="D4670">
        <v>4.9544370000000004</v>
      </c>
      <c r="E4670">
        <v>0.44093749999999998</v>
      </c>
      <c r="F4670" t="s">
        <v>111</v>
      </c>
      <c r="G4670">
        <v>-287.1764</v>
      </c>
      <c r="H4670">
        <v>0.31488129999999998</v>
      </c>
      <c r="I4670">
        <v>-91.564989999999995</v>
      </c>
      <c r="J4670">
        <v>-301.02030000000002</v>
      </c>
      <c r="K4670">
        <v>1.125337</v>
      </c>
      <c r="L4670">
        <v>-45.321959999999997</v>
      </c>
      <c r="M4670">
        <v>0.1063014</v>
      </c>
      <c r="N4670">
        <v>-1.3291860000000001E-2</v>
      </c>
      <c r="O4670">
        <v>-0.99424520000000005</v>
      </c>
      <c r="P4670">
        <v>0.1173481</v>
      </c>
      <c r="Q4670">
        <v>0.2094297</v>
      </c>
      <c r="R4670">
        <v>-0.97075670000000003</v>
      </c>
      <c r="S4670">
        <v>0.89257809999999904</v>
      </c>
      <c r="T4670">
        <v>-5.2039740000000001E-2</v>
      </c>
      <c r="U4670">
        <v>-2.9993289999999999</v>
      </c>
      <c r="V4670">
        <v>-1.571869E-2</v>
      </c>
      <c r="W4670">
        <v>0.2222605</v>
      </c>
      <c r="X4670">
        <v>0.97486059999999997</v>
      </c>
      <c r="Y4670">
        <v>-0.18168210000000001</v>
      </c>
      <c r="Z4670">
        <v>3.6084540000000001E-3</v>
      </c>
      <c r="AA4670">
        <v>0.98335070000000002</v>
      </c>
      <c r="AB4670">
        <v>31</v>
      </c>
      <c r="AC4670">
        <v>13.8439</v>
      </c>
      <c r="AD4670">
        <v>-0.8104557</v>
      </c>
      <c r="AE4670">
        <v>-46.243029999999997</v>
      </c>
      <c r="AF4670">
        <v>-8.8468193722432904</v>
      </c>
      <c r="AG4670">
        <v>-0.8104557</v>
      </c>
      <c r="AH4670">
        <v>47.4393513464791</v>
      </c>
      <c r="AI4670">
        <v>90.962163508785196</v>
      </c>
      <c r="AJ4670">
        <v>100.563572136358</v>
      </c>
      <c r="AK4670">
        <v>48.264014623956101</v>
      </c>
      <c r="AL4670">
        <v>77.158162161234401</v>
      </c>
      <c r="AM4670">
        <v>90.923759314919906</v>
      </c>
      <c r="AN4670">
        <v>0.99999999825396202</v>
      </c>
    </row>
    <row r="4671" spans="1:40" x14ac:dyDescent="0.25">
      <c r="A4671" t="str">
        <f>"20190303170906936"</f>
        <v>20190303170906936</v>
      </c>
      <c r="B4671" t="str">
        <f>"1551604146928581"</f>
        <v>1551604146928581</v>
      </c>
      <c r="C4671" t="s">
        <v>40</v>
      </c>
      <c r="D4671">
        <v>4.9601179999999996</v>
      </c>
      <c r="E4671">
        <v>0.44090400000000002</v>
      </c>
      <c r="F4671" t="s">
        <v>46</v>
      </c>
      <c r="G4671">
        <v>-290.26769999999999</v>
      </c>
      <c r="H4671">
        <v>-0.05</v>
      </c>
      <c r="I4671">
        <v>-82.270899999999997</v>
      </c>
      <c r="J4671">
        <v>-300.96660000000003</v>
      </c>
      <c r="K4671">
        <v>1.1255250000000001</v>
      </c>
      <c r="L4671">
        <v>-45.746699999999997</v>
      </c>
      <c r="M4671">
        <v>0.1136576</v>
      </c>
      <c r="N4671">
        <v>-1.3474180000000001E-2</v>
      </c>
      <c r="O4671">
        <v>-0.9934288</v>
      </c>
      <c r="P4671">
        <v>0.12592339999999999</v>
      </c>
      <c r="Q4671">
        <v>0.20668239999999999</v>
      </c>
      <c r="R4671">
        <v>-0.9702712</v>
      </c>
      <c r="S4671">
        <v>0.87457280000000004</v>
      </c>
      <c r="T4671">
        <v>-9.5597150000000006E-2</v>
      </c>
      <c r="U4671">
        <v>-3.00528</v>
      </c>
      <c r="V4671">
        <v>-1.7127219999999999E-2</v>
      </c>
      <c r="W4671">
        <v>0.2196776</v>
      </c>
      <c r="X4671">
        <v>0.97542209999999996</v>
      </c>
      <c r="Y4671">
        <v>-0.16837820000000001</v>
      </c>
      <c r="Z4671">
        <v>1.7371540000000001E-2</v>
      </c>
      <c r="AA4671">
        <v>0.98556940000000004</v>
      </c>
      <c r="AB4671">
        <v>31</v>
      </c>
      <c r="AC4671">
        <v>10.6989</v>
      </c>
      <c r="AD4671">
        <v>-1.1755249999999999</v>
      </c>
      <c r="AE4671">
        <v>-36.5242</v>
      </c>
      <c r="AF4671">
        <v>-6.4717552222941004</v>
      </c>
      <c r="AG4671">
        <v>-1.1755249999999999</v>
      </c>
      <c r="AH4671">
        <v>37.467856397363299</v>
      </c>
      <c r="AI4671">
        <v>91.770816306367493</v>
      </c>
      <c r="AJ4671">
        <v>99.7999000044735</v>
      </c>
      <c r="AK4671">
        <v>38.040843020316302</v>
      </c>
      <c r="AL4671">
        <v>77.309901511170494</v>
      </c>
      <c r="AM4671">
        <v>91.005940494099704</v>
      </c>
      <c r="AN4671">
        <v>0.99999993138754695</v>
      </c>
    </row>
    <row r="4672" spans="1:40" x14ac:dyDescent="0.25">
      <c r="A4672" t="str">
        <f>"20190303170906971"</f>
        <v>20190303170906971</v>
      </c>
      <c r="B4672" t="str">
        <f>"1551604146958837"</f>
        <v>1551604146958837</v>
      </c>
      <c r="C4672" t="s">
        <v>40</v>
      </c>
      <c r="D4672">
        <v>4.986675</v>
      </c>
      <c r="E4672">
        <v>0.44115670000000001</v>
      </c>
      <c r="F4672" t="s">
        <v>46</v>
      </c>
      <c r="G4672">
        <v>-290.45569999999998</v>
      </c>
      <c r="H4672">
        <v>-0.05</v>
      </c>
      <c r="I4672">
        <v>-80.739669999999904</v>
      </c>
      <c r="J4672">
        <v>-300.90320000000003</v>
      </c>
      <c r="K4672">
        <v>1.12575</v>
      </c>
      <c r="L4672">
        <v>-46.217010000000002</v>
      </c>
      <c r="M4672">
        <v>0.1222487</v>
      </c>
      <c r="N4672">
        <v>-1.364712E-2</v>
      </c>
      <c r="O4672">
        <v>-0.9924058</v>
      </c>
      <c r="P4672">
        <v>0.13637679999999999</v>
      </c>
      <c r="Q4672">
        <v>0.20721729999999999</v>
      </c>
      <c r="R4672">
        <v>-0.96874280000000002</v>
      </c>
      <c r="S4672">
        <v>0.90008539999999904</v>
      </c>
      <c r="T4672">
        <v>-0.10066369999999999</v>
      </c>
      <c r="U4672">
        <v>-2.9965519999999999</v>
      </c>
      <c r="V4672">
        <v>-1.9351630000000002E-2</v>
      </c>
      <c r="W4672">
        <v>0.2203465</v>
      </c>
      <c r="X4672">
        <v>0.97522969999999998</v>
      </c>
      <c r="Y4672">
        <v>-0.16832349999999999</v>
      </c>
      <c r="Z4672">
        <v>1.884941E-2</v>
      </c>
      <c r="AA4672">
        <v>0.98555159999999997</v>
      </c>
      <c r="AB4672">
        <v>31</v>
      </c>
      <c r="AC4672">
        <v>10.4475</v>
      </c>
      <c r="AD4672">
        <v>-1.1757500000000001</v>
      </c>
      <c r="AE4672">
        <v>-34.522659999999902</v>
      </c>
      <c r="AF4672">
        <v>-6.1418548086918703</v>
      </c>
      <c r="AG4672">
        <v>-1.1757500000000001</v>
      </c>
      <c r="AH4672">
        <v>35.503261168492202</v>
      </c>
      <c r="AI4672">
        <v>91.869011949884396</v>
      </c>
      <c r="AJ4672">
        <v>99.814693329364204</v>
      </c>
      <c r="AK4672">
        <v>36.049775618604301</v>
      </c>
      <c r="AL4672">
        <v>77.270614801636995</v>
      </c>
      <c r="AM4672">
        <v>91.136779606079102</v>
      </c>
      <c r="AN4672">
        <v>1.00000001670399</v>
      </c>
    </row>
    <row r="4673" spans="1:40" x14ac:dyDescent="0.25">
      <c r="A4673" t="str">
        <f>"20190303170907010"</f>
        <v>20190303170907010</v>
      </c>
      <c r="B4673" t="str">
        <f>"1551604146998853"</f>
        <v>1551604146998853</v>
      </c>
      <c r="C4673" t="s">
        <v>40</v>
      </c>
      <c r="D4673">
        <v>5.007028</v>
      </c>
      <c r="E4673">
        <v>0.4416137</v>
      </c>
      <c r="F4673" t="s">
        <v>46</v>
      </c>
      <c r="G4673">
        <v>-289.44260000000003</v>
      </c>
      <c r="H4673">
        <v>-0.05</v>
      </c>
      <c r="I4673">
        <v>-82.909210000000002</v>
      </c>
      <c r="J4673">
        <v>-300.82760000000002</v>
      </c>
      <c r="K4673">
        <v>1.1259980000000001</v>
      </c>
      <c r="L4673">
        <v>-46.73639</v>
      </c>
      <c r="M4673">
        <v>0.13230939999999999</v>
      </c>
      <c r="N4673">
        <v>-1.3805950000000001E-2</v>
      </c>
      <c r="O4673">
        <v>-0.99111249999999995</v>
      </c>
      <c r="P4673">
        <v>0.14852989999999999</v>
      </c>
      <c r="Q4673">
        <v>0.20822760000000001</v>
      </c>
      <c r="R4673">
        <v>-0.96673710000000002</v>
      </c>
      <c r="S4673">
        <v>0.93264769999999997</v>
      </c>
      <c r="T4673">
        <v>-9.5680950000000001E-2</v>
      </c>
      <c r="U4673">
        <v>-2.9859619999999998</v>
      </c>
      <c r="V4673">
        <v>-2.188443E-2</v>
      </c>
      <c r="W4673">
        <v>0.22146869999999999</v>
      </c>
      <c r="X4673">
        <v>0.97492190000000001</v>
      </c>
      <c r="Y4673">
        <v>-0.16911899999999999</v>
      </c>
      <c r="Z4673">
        <v>1.7122499999999999E-2</v>
      </c>
      <c r="AA4673">
        <v>0.98544690000000001</v>
      </c>
      <c r="AB4673">
        <v>31</v>
      </c>
      <c r="AC4673">
        <v>11.3849999999999</v>
      </c>
      <c r="AD4673">
        <v>-1.1759979999999901</v>
      </c>
      <c r="AE4673">
        <v>-36.172820000000002</v>
      </c>
      <c r="AF4673">
        <v>-6.4921864949360799</v>
      </c>
      <c r="AG4673">
        <v>-1.1759979999999901</v>
      </c>
      <c r="AH4673">
        <v>37.3253357447445</v>
      </c>
      <c r="AI4673">
        <v>91.777927443170498</v>
      </c>
      <c r="AJ4673">
        <v>99.867034312879895</v>
      </c>
      <c r="AK4673">
        <v>37.903985875352703</v>
      </c>
      <c r="AL4673">
        <v>77.204688696613005</v>
      </c>
      <c r="AM4673">
        <v>91.285923452224296</v>
      </c>
      <c r="AN4673">
        <v>1.0000000122278601</v>
      </c>
    </row>
    <row r="4674" spans="1:40" x14ac:dyDescent="0.25">
      <c r="A4674" t="str">
        <f>"20190303170907070"</f>
        <v>20190303170907070</v>
      </c>
      <c r="B4674" t="str">
        <f>"1551604147058895"</f>
        <v>1551604147058895</v>
      </c>
      <c r="C4674" t="s">
        <v>40</v>
      </c>
      <c r="D4674">
        <v>5.013979</v>
      </c>
      <c r="E4674">
        <v>0.40921220000000003</v>
      </c>
      <c r="F4674" t="s">
        <v>46</v>
      </c>
      <c r="G4674">
        <v>-288.29410000000001</v>
      </c>
      <c r="H4674">
        <v>-0.05</v>
      </c>
      <c r="I4674">
        <v>-85.228039999999993</v>
      </c>
      <c r="J4674">
        <v>-300.6977</v>
      </c>
      <c r="K4674">
        <v>1.1263650000000001</v>
      </c>
      <c r="L4674">
        <v>-47.54419</v>
      </c>
      <c r="M4674">
        <v>0.14912439999999999</v>
      </c>
      <c r="N4674">
        <v>-1.399856E-2</v>
      </c>
      <c r="O4674">
        <v>-0.98871949999999997</v>
      </c>
      <c r="P4674">
        <v>0.16897079999999901</v>
      </c>
      <c r="Q4674">
        <v>0.20494090000000001</v>
      </c>
      <c r="R4674">
        <v>-0.96407909999999997</v>
      </c>
      <c r="S4674">
        <v>0.96838380000000002</v>
      </c>
      <c r="T4674">
        <v>-9.086168E-2</v>
      </c>
      <c r="U4674">
        <v>-2.9739990000000001</v>
      </c>
      <c r="V4674">
        <v>-2.6040190000000001E-2</v>
      </c>
      <c r="W4674">
        <v>0.2183088</v>
      </c>
      <c r="X4674">
        <v>0.97553219999999996</v>
      </c>
      <c r="Y4674">
        <v>-0.16425780000000001</v>
      </c>
      <c r="Z4674">
        <v>1.540568E-2</v>
      </c>
      <c r="AA4674">
        <v>0.98629710000000004</v>
      </c>
      <c r="AB4674">
        <v>31</v>
      </c>
      <c r="AC4674">
        <v>12.4035999999999</v>
      </c>
      <c r="AD4674">
        <v>-1.1763649999999899</v>
      </c>
      <c r="AE4674">
        <v>-37.68385</v>
      </c>
      <c r="AF4674">
        <v>-6.6389126576442798</v>
      </c>
      <c r="AG4674">
        <v>-1.1763649999999899</v>
      </c>
      <c r="AH4674">
        <v>39.077904999119703</v>
      </c>
      <c r="AI4674">
        <v>91.699915621400905</v>
      </c>
      <c r="AJ4674">
        <v>99.641873206903497</v>
      </c>
      <c r="AK4674">
        <v>39.655285335113703</v>
      </c>
      <c r="AL4674">
        <v>77.390279259051894</v>
      </c>
      <c r="AM4674">
        <v>91.529051292530497</v>
      </c>
      <c r="AN4674">
        <v>0.99999994844475604</v>
      </c>
    </row>
    <row r="4675" spans="1:40" x14ac:dyDescent="0.25">
      <c r="A4675" t="str">
        <f>"20190303170907103"</f>
        <v>20190303170907103</v>
      </c>
      <c r="B4675" t="str">
        <f>"1551604147098911"</f>
        <v>1551604147098911</v>
      </c>
      <c r="C4675" t="s">
        <v>40</v>
      </c>
      <c r="D4675">
        <v>5.0007739999999998</v>
      </c>
      <c r="E4675">
        <v>0.40639380000000003</v>
      </c>
      <c r="F4675" t="s">
        <v>111</v>
      </c>
      <c r="G4675">
        <v>-286.16489999999999</v>
      </c>
      <c r="H4675">
        <v>0.66441149999999904</v>
      </c>
      <c r="I4675">
        <v>-80.464519999999993</v>
      </c>
      <c r="J4675">
        <v>-300.61919999999998</v>
      </c>
      <c r="K4675">
        <v>1.1265639999999999</v>
      </c>
      <c r="L4675">
        <v>-47.989690000000003</v>
      </c>
      <c r="M4675">
        <v>0.158972</v>
      </c>
      <c r="N4675">
        <v>-1.408443E-2</v>
      </c>
      <c r="O4675">
        <v>-0.98718269999999997</v>
      </c>
      <c r="P4675">
        <v>0.18175749999999999</v>
      </c>
      <c r="Q4675">
        <v>0.2037889</v>
      </c>
      <c r="R4675">
        <v>-0.96199509999999999</v>
      </c>
      <c r="S4675">
        <v>1.2785949999999999</v>
      </c>
      <c r="T4675">
        <v>-4.0641669999999998E-2</v>
      </c>
      <c r="U4675">
        <v>-2.8963320000000001</v>
      </c>
      <c r="V4675">
        <v>-2.93321E-2</v>
      </c>
      <c r="W4675">
        <v>0.2171891</v>
      </c>
      <c r="X4675">
        <v>0.97568880000000002</v>
      </c>
      <c r="Y4675">
        <v>-0.25322319999999998</v>
      </c>
      <c r="Z4675">
        <v>-6.8177940000000001E-4</v>
      </c>
      <c r="AA4675">
        <v>0.96740760000000003</v>
      </c>
      <c r="AB4675">
        <v>31</v>
      </c>
      <c r="AC4675">
        <v>14.4542999999999</v>
      </c>
      <c r="AD4675">
        <v>-0.46215250000000002</v>
      </c>
      <c r="AE4675">
        <v>-32.474829999999898</v>
      </c>
      <c r="AF4675">
        <v>-9.1058096835808904</v>
      </c>
      <c r="AG4675">
        <v>-0.46215250000000002</v>
      </c>
      <c r="AH4675">
        <v>34.354017820998699</v>
      </c>
      <c r="AI4675">
        <v>90.745010055097595</v>
      </c>
      <c r="AJ4675">
        <v>104.845335896489</v>
      </c>
      <c r="AK4675">
        <v>35.5433242026171</v>
      </c>
      <c r="AL4675">
        <v>77.4560119555901</v>
      </c>
      <c r="AM4675">
        <v>91.721962482608404</v>
      </c>
      <c r="AN4675">
        <v>1.0000000558473201</v>
      </c>
    </row>
    <row r="4676" spans="1:40" x14ac:dyDescent="0.25">
      <c r="A4676" t="str">
        <f>"20190303170907136"</f>
        <v>20190303170907136</v>
      </c>
      <c r="B4676" t="str">
        <f>"1551604147128191"</f>
        <v>1551604147128191</v>
      </c>
      <c r="C4676" t="s">
        <v>40</v>
      </c>
      <c r="D4676">
        <v>5.0426669999999998</v>
      </c>
      <c r="E4676">
        <v>0.40586749999999999</v>
      </c>
      <c r="F4676" t="s">
        <v>111</v>
      </c>
      <c r="G4676">
        <v>-285.4821</v>
      </c>
      <c r="H4676">
        <v>0.68960949999999999</v>
      </c>
      <c r="I4676">
        <v>-80.464519999999993</v>
      </c>
      <c r="J4676">
        <v>-300.53629999999998</v>
      </c>
      <c r="K4676">
        <v>1.126782</v>
      </c>
      <c r="L4676">
        <v>-48.432920000000003</v>
      </c>
      <c r="M4676">
        <v>0.16922789999999999</v>
      </c>
      <c r="N4676">
        <v>-1.4157599999999999E-2</v>
      </c>
      <c r="O4676">
        <v>-0.9854754</v>
      </c>
      <c r="P4676">
        <v>0.19565440000000001</v>
      </c>
      <c r="Q4676">
        <v>0.2032641</v>
      </c>
      <c r="R4676">
        <v>-0.95937660000000002</v>
      </c>
      <c r="S4676">
        <v>1.3394469999999901</v>
      </c>
      <c r="T4676">
        <v>-3.8663980000000001E-2</v>
      </c>
      <c r="U4676">
        <v>-2.8736269999999999</v>
      </c>
      <c r="V4676">
        <v>-3.3407640000000002E-2</v>
      </c>
      <c r="W4676">
        <v>0.21666540000000001</v>
      </c>
      <c r="X4676">
        <v>0.97567420000000005</v>
      </c>
      <c r="Y4676">
        <v>-0.26293529999999998</v>
      </c>
      <c r="Z4676">
        <v>-1.338311E-3</v>
      </c>
      <c r="AA4676">
        <v>0.96481260000000002</v>
      </c>
      <c r="AB4676">
        <v>30</v>
      </c>
      <c r="AC4676">
        <v>15.0541999999999</v>
      </c>
      <c r="AD4676">
        <v>-0.43717250000000002</v>
      </c>
      <c r="AE4676">
        <v>-32.031599999999898</v>
      </c>
      <c r="AF4676">
        <v>-9.4144093449293393</v>
      </c>
      <c r="AG4676">
        <v>-0.43717250000000002</v>
      </c>
      <c r="AH4676">
        <v>34.1121544432104</v>
      </c>
      <c r="AI4676">
        <v>90.707789890197603</v>
      </c>
      <c r="AJ4676">
        <v>105.428654003218</v>
      </c>
      <c r="AK4676">
        <v>35.390130034602699</v>
      </c>
      <c r="AL4676">
        <v>77.4867496803206</v>
      </c>
      <c r="AM4676">
        <v>91.961073946457006</v>
      </c>
      <c r="AN4676">
        <v>1.00000005525658</v>
      </c>
    </row>
    <row r="4677" spans="1:40" x14ac:dyDescent="0.25">
      <c r="A4677" t="str">
        <f>"20190303170907170"</f>
        <v>20190303170907170</v>
      </c>
      <c r="B4677" t="str">
        <f>"1551604147158447"</f>
        <v>1551604147158447</v>
      </c>
      <c r="C4677" t="s">
        <v>40</v>
      </c>
      <c r="D4677">
        <v>5.0287179999999996</v>
      </c>
      <c r="E4677">
        <v>0.40579080000000001</v>
      </c>
      <c r="F4677" t="s">
        <v>78</v>
      </c>
      <c r="G4677">
        <v>-277.17500000000001</v>
      </c>
      <c r="H4677">
        <v>0.50302119999999995</v>
      </c>
      <c r="I4677">
        <v>-96.476619999999997</v>
      </c>
      <c r="J4677">
        <v>-300.44929999999999</v>
      </c>
      <c r="K4677">
        <v>1.1270789999999999</v>
      </c>
      <c r="L4677">
        <v>-48.870240000000003</v>
      </c>
      <c r="M4677">
        <v>0.17991949999999901</v>
      </c>
      <c r="N4677">
        <v>-1.423117E-2</v>
      </c>
      <c r="O4677">
        <v>-0.98357870000000003</v>
      </c>
      <c r="P4677">
        <v>0.20841750000000001</v>
      </c>
      <c r="Q4677">
        <v>0.2037688</v>
      </c>
      <c r="R4677">
        <v>-0.95657789999999998</v>
      </c>
      <c r="S4677">
        <v>1.3868100000000001</v>
      </c>
      <c r="T4677">
        <v>-3.7027959999999999E-2</v>
      </c>
      <c r="U4677">
        <v>-2.8520509999999999</v>
      </c>
      <c r="V4677">
        <v>-3.5998389999999998E-2</v>
      </c>
      <c r="W4677">
        <v>0.2171807</v>
      </c>
      <c r="X4677">
        <v>0.97546739999999998</v>
      </c>
      <c r="Y4677">
        <v>-0.26828689999999999</v>
      </c>
      <c r="Z4677">
        <v>-1.8775199999999999E-3</v>
      </c>
      <c r="AA4677">
        <v>0.9633372</v>
      </c>
      <c r="AB4677">
        <v>30</v>
      </c>
      <c r="AC4677">
        <v>23.274299999999901</v>
      </c>
      <c r="AD4677">
        <v>-0.6240578</v>
      </c>
      <c r="AE4677">
        <v>-47.606380000000001</v>
      </c>
      <c r="AF4677">
        <v>-14.326249364318199</v>
      </c>
      <c r="AG4677">
        <v>-0.6240578</v>
      </c>
      <c r="AH4677">
        <v>51.010198020369202</v>
      </c>
      <c r="AI4677">
        <v>90.674814440163601</v>
      </c>
      <c r="AJ4677">
        <v>105.68743398782399</v>
      </c>
      <c r="AK4677">
        <v>52.987462395019897</v>
      </c>
      <c r="AL4677">
        <v>77.456504227000295</v>
      </c>
      <c r="AM4677">
        <v>92.113469152239304</v>
      </c>
      <c r="AN4677">
        <v>0.99999999449892096</v>
      </c>
    </row>
    <row r="4678" spans="1:40" x14ac:dyDescent="0.25">
      <c r="A4678" t="str">
        <f>"20190303170907217"</f>
        <v>20190303170907217</v>
      </c>
      <c r="B4678" t="str">
        <f>"1551604147208223"</f>
        <v>1551604147208223</v>
      </c>
      <c r="C4678" t="s">
        <v>40</v>
      </c>
      <c r="D4678">
        <v>5.0731210000000004</v>
      </c>
      <c r="E4678">
        <v>0.4063737</v>
      </c>
      <c r="F4678" t="s">
        <v>78</v>
      </c>
      <c r="G4678">
        <v>-277.17500000000001</v>
      </c>
      <c r="H4678">
        <v>0.56821080000000002</v>
      </c>
      <c r="I4678">
        <v>-95.148129999999995</v>
      </c>
      <c r="J4678">
        <v>-300.3152</v>
      </c>
      <c r="K4678">
        <v>1.1275539999999999</v>
      </c>
      <c r="L4678">
        <v>-49.492220000000003</v>
      </c>
      <c r="M4678">
        <v>0.19620969999999999</v>
      </c>
      <c r="N4678">
        <v>-1.433099E-2</v>
      </c>
      <c r="O4678">
        <v>-0.98045720000000003</v>
      </c>
      <c r="P4678">
        <v>0.2249652</v>
      </c>
      <c r="Q4678">
        <v>0.2045901</v>
      </c>
      <c r="R4678">
        <v>-0.95264570000000004</v>
      </c>
      <c r="S4678">
        <v>1.4248050000000001</v>
      </c>
      <c r="T4678">
        <v>-3.4211640000000001E-2</v>
      </c>
      <c r="U4678">
        <v>-2.8330380000000002</v>
      </c>
      <c r="V4678">
        <v>-3.7011099999999998E-2</v>
      </c>
      <c r="W4678">
        <v>0.21804589999999999</v>
      </c>
      <c r="X4678">
        <v>0.97523649999999995</v>
      </c>
      <c r="Y4678">
        <v>-0.2652119</v>
      </c>
      <c r="Z4678">
        <v>-2.808882E-3</v>
      </c>
      <c r="AA4678">
        <v>0.96418610000000005</v>
      </c>
      <c r="AB4678">
        <v>30</v>
      </c>
      <c r="AC4678">
        <v>23.1402</v>
      </c>
      <c r="AD4678">
        <v>-0.55934320000000004</v>
      </c>
      <c r="AE4678">
        <v>-45.655909999999999</v>
      </c>
      <c r="AF4678">
        <v>-13.7296142390407</v>
      </c>
      <c r="AG4678">
        <v>-0.55934320000000004</v>
      </c>
      <c r="AH4678">
        <v>49.303174839465797</v>
      </c>
      <c r="AI4678">
        <v>90.626167667618304</v>
      </c>
      <c r="AJ4678">
        <v>105.56109638731699</v>
      </c>
      <c r="AK4678">
        <v>51.1822060995732</v>
      </c>
      <c r="AL4678">
        <v>77.405715249007699</v>
      </c>
      <c r="AM4678">
        <v>92.173383209536794</v>
      </c>
      <c r="AN4678">
        <v>1.0000000334811301</v>
      </c>
    </row>
    <row r="4679" spans="1:40" x14ac:dyDescent="0.25">
      <c r="A4679" t="str">
        <f>"20190303170907245"</f>
        <v>20190303170907245</v>
      </c>
      <c r="B4679" t="str">
        <f>"1551604147238479"</f>
        <v>1551604147238479</v>
      </c>
      <c r="C4679" t="s">
        <v>40</v>
      </c>
      <c r="D4679">
        <v>5.076759</v>
      </c>
      <c r="E4679">
        <v>0.4071224</v>
      </c>
      <c r="F4679" t="s">
        <v>78</v>
      </c>
      <c r="G4679">
        <v>-277.63290000000001</v>
      </c>
      <c r="H4679">
        <v>0.66787640000000004</v>
      </c>
      <c r="I4679">
        <v>-92.768510000000006</v>
      </c>
      <c r="J4679">
        <v>-300.23070000000001</v>
      </c>
      <c r="K4679">
        <v>1.1278060000000001</v>
      </c>
      <c r="L4679">
        <v>-49.858890000000002</v>
      </c>
      <c r="M4679">
        <v>0.20636740000000001</v>
      </c>
      <c r="N4679">
        <v>-1.438409E-2</v>
      </c>
      <c r="O4679">
        <v>-0.97836889999999999</v>
      </c>
      <c r="P4679">
        <v>0.23495279999999999</v>
      </c>
      <c r="Q4679">
        <v>0.203567</v>
      </c>
      <c r="R4679">
        <v>-0.95045139999999995</v>
      </c>
      <c r="S4679">
        <v>1.471741</v>
      </c>
      <c r="T4679">
        <v>-2.9825330000000001E-2</v>
      </c>
      <c r="U4679">
        <v>-2.8079830000000001</v>
      </c>
      <c r="V4679">
        <v>-3.7203220000000002E-2</v>
      </c>
      <c r="W4679">
        <v>0.2170541</v>
      </c>
      <c r="X4679">
        <v>0.97545040000000005</v>
      </c>
      <c r="Y4679">
        <v>-0.27138259999999997</v>
      </c>
      <c r="Z4679">
        <v>-4.19075E-3</v>
      </c>
      <c r="AA4679">
        <v>0.96246240000000005</v>
      </c>
      <c r="AB4679">
        <v>30</v>
      </c>
      <c r="AC4679">
        <v>22.597799999999999</v>
      </c>
      <c r="AD4679">
        <v>-0.45992959999999899</v>
      </c>
      <c r="AE4679">
        <v>-42.909619999999897</v>
      </c>
      <c r="AF4679">
        <v>-13.254016520252801</v>
      </c>
      <c r="AG4679">
        <v>-0.45992959999999899</v>
      </c>
      <c r="AH4679">
        <v>46.645515176300499</v>
      </c>
      <c r="AI4679">
        <v>90.5434141824704</v>
      </c>
      <c r="AJ4679">
        <v>105.86215054708001</v>
      </c>
      <c r="AK4679">
        <v>48.4941705282044</v>
      </c>
      <c r="AL4679">
        <v>77.4639354885377</v>
      </c>
      <c r="AM4679">
        <v>92.184175473004004</v>
      </c>
      <c r="AN4679">
        <v>1.0000000223826599</v>
      </c>
    </row>
    <row r="4680" spans="1:40" x14ac:dyDescent="0.25">
      <c r="A4680" t="str">
        <f>"20190303170907274"</f>
        <v>20190303170907274</v>
      </c>
      <c r="B4680" t="str">
        <f>"1551604147268736"</f>
        <v>1551604147268736</v>
      </c>
      <c r="C4680" t="s">
        <v>40</v>
      </c>
      <c r="D4680">
        <v>5.1005320000000003</v>
      </c>
      <c r="E4680">
        <v>0.40764889999999998</v>
      </c>
      <c r="F4680" t="s">
        <v>78</v>
      </c>
      <c r="G4680">
        <v>-277.63290000000001</v>
      </c>
      <c r="H4680">
        <v>0.62170930000000002</v>
      </c>
      <c r="I4680">
        <v>-92.015240000000006</v>
      </c>
      <c r="J4680">
        <v>-300.14769999999999</v>
      </c>
      <c r="K4680">
        <v>1.1280479999999999</v>
      </c>
      <c r="L4680">
        <v>-50.200870000000002</v>
      </c>
      <c r="M4680">
        <v>0.21629080000000001</v>
      </c>
      <c r="N4680">
        <v>-1.4427270000000001E-2</v>
      </c>
      <c r="O4680">
        <v>-0.97622260000000005</v>
      </c>
      <c r="P4680">
        <v>0.2439566</v>
      </c>
      <c r="Q4680">
        <v>0.20399030000000001</v>
      </c>
      <c r="R4680">
        <v>-0.94808950000000003</v>
      </c>
      <c r="S4680">
        <v>1.497406</v>
      </c>
      <c r="T4680">
        <v>-3.3534880000000003E-2</v>
      </c>
      <c r="U4680">
        <v>-2.7934269999999999</v>
      </c>
      <c r="V4680">
        <v>-3.6703590000000001E-2</v>
      </c>
      <c r="W4680">
        <v>0.21750700000000001</v>
      </c>
      <c r="X4680">
        <v>0.97536840000000002</v>
      </c>
      <c r="Y4680">
        <v>-0.2705649</v>
      </c>
      <c r="Z4680">
        <v>-3.0105359999999999E-3</v>
      </c>
      <c r="AA4680">
        <v>0.96269700000000002</v>
      </c>
      <c r="AB4680">
        <v>30</v>
      </c>
      <c r="AC4680">
        <v>22.514799999999902</v>
      </c>
      <c r="AD4680">
        <v>-0.50633869999999903</v>
      </c>
      <c r="AE4680">
        <v>-41.814369999999997</v>
      </c>
      <c r="AF4680">
        <v>-12.9352663452075</v>
      </c>
      <c r="AG4680">
        <v>-0.50633869999999903</v>
      </c>
      <c r="AH4680">
        <v>45.689429540933503</v>
      </c>
      <c r="AI4680">
        <v>90.610926467026502</v>
      </c>
      <c r="AJ4680">
        <v>105.80750128693801</v>
      </c>
      <c r="AK4680">
        <v>47.487908630266098</v>
      </c>
      <c r="AL4680">
        <v>77.437350594343599</v>
      </c>
      <c r="AM4680">
        <v>92.155051370693101</v>
      </c>
      <c r="AN4680">
        <v>0.99999998214322305</v>
      </c>
    </row>
    <row r="4681" spans="1:40" x14ac:dyDescent="0.25">
      <c r="A4681" t="str">
        <f>"20190303170907303"</f>
        <v>20190303170907303</v>
      </c>
      <c r="B4681" t="str">
        <f>"1551604147298015"</f>
        <v>1551604147298015</v>
      </c>
      <c r="C4681" t="s">
        <v>40</v>
      </c>
      <c r="D4681">
        <v>5.0997820000000003</v>
      </c>
      <c r="E4681">
        <v>0.41619089999999997</v>
      </c>
      <c r="F4681" t="s">
        <v>78</v>
      </c>
      <c r="G4681">
        <v>-277.63290000000001</v>
      </c>
      <c r="H4681">
        <v>0.65275340000000004</v>
      </c>
      <c r="I4681">
        <v>-91.334059999999994</v>
      </c>
      <c r="J4681">
        <v>-300.04059999999998</v>
      </c>
      <c r="K4681">
        <v>1.12839</v>
      </c>
      <c r="L4681">
        <v>-50.618290000000002</v>
      </c>
      <c r="M4681">
        <v>0.22905329999999999</v>
      </c>
      <c r="N4681">
        <v>-1.448106E-2</v>
      </c>
      <c r="O4681">
        <v>-0.97330629999999996</v>
      </c>
      <c r="P4681">
        <v>0.2556214</v>
      </c>
      <c r="Q4681">
        <v>0.2054281</v>
      </c>
      <c r="R4681">
        <v>-0.94469979999999998</v>
      </c>
      <c r="S4681">
        <v>1.5214840000000001</v>
      </c>
      <c r="T4681">
        <v>-3.21182E-2</v>
      </c>
      <c r="U4681">
        <v>-2.7796630000000002</v>
      </c>
      <c r="V4681">
        <v>-3.6229570000000003E-2</v>
      </c>
      <c r="W4681">
        <v>0.21897369999999999</v>
      </c>
      <c r="X4681">
        <v>0.97505790000000003</v>
      </c>
      <c r="Y4681">
        <v>-0.26638109999999998</v>
      </c>
      <c r="Z4681">
        <v>-3.4655739999999999E-3</v>
      </c>
      <c r="AA4681">
        <v>0.96386159999999999</v>
      </c>
      <c r="AB4681">
        <v>30</v>
      </c>
      <c r="AC4681">
        <v>22.407699999999899</v>
      </c>
      <c r="AD4681">
        <v>-0.47563660000000002</v>
      </c>
      <c r="AE4681">
        <v>-40.7157699999999</v>
      </c>
      <c r="AF4681">
        <v>-12.4834739788691</v>
      </c>
      <c r="AG4681">
        <v>-0.47563660000000002</v>
      </c>
      <c r="AH4681">
        <v>44.761472653709603</v>
      </c>
      <c r="AI4681">
        <v>90.586426400782898</v>
      </c>
      <c r="AJ4681">
        <v>105.58319167822501</v>
      </c>
      <c r="AK4681">
        <v>46.472064585997799</v>
      </c>
      <c r="AL4681">
        <v>77.351239197537794</v>
      </c>
      <c r="AM4681">
        <v>92.127921804828105</v>
      </c>
      <c r="AN4681">
        <v>0.999999985693242</v>
      </c>
    </row>
    <row r="4682" spans="1:40" x14ac:dyDescent="0.25">
      <c r="A4682" t="str">
        <f>"20190303170907338"</f>
        <v>20190303170907338</v>
      </c>
      <c r="B4682" t="str">
        <f>"1551604147328271"</f>
        <v>1551604147328271</v>
      </c>
      <c r="C4682" t="s">
        <v>40</v>
      </c>
      <c r="D4682">
        <v>5.0731580000000003</v>
      </c>
      <c r="E4682">
        <v>0.41806270000000001</v>
      </c>
      <c r="F4682" t="s">
        <v>78</v>
      </c>
      <c r="G4682">
        <v>-277.63290000000001</v>
      </c>
      <c r="H4682">
        <v>0.17332620000000001</v>
      </c>
      <c r="I4682">
        <v>-92.417540000000002</v>
      </c>
      <c r="J4682">
        <v>-299.92489999999998</v>
      </c>
      <c r="K4682">
        <v>1.128741</v>
      </c>
      <c r="L4682">
        <v>-51.042819999999999</v>
      </c>
      <c r="M4682">
        <v>0.24271490000000001</v>
      </c>
      <c r="N4682">
        <v>-1.453604E-2</v>
      </c>
      <c r="O4682">
        <v>-0.96998879999999998</v>
      </c>
      <c r="P4682">
        <v>0.27040189999999997</v>
      </c>
      <c r="Q4682">
        <v>0.2050796</v>
      </c>
      <c r="R4682">
        <v>-0.94065149999999997</v>
      </c>
      <c r="S4682">
        <v>1.4931950000000001</v>
      </c>
      <c r="T4682">
        <v>-6.3642260000000006E-2</v>
      </c>
      <c r="U4682">
        <v>-2.7854000000000001</v>
      </c>
      <c r="V4682">
        <v>-3.7980800000000002E-2</v>
      </c>
      <c r="W4682">
        <v>0.21861920000000001</v>
      </c>
      <c r="X4682">
        <v>0.97507080000000002</v>
      </c>
      <c r="Y4682">
        <v>-0.2443331</v>
      </c>
      <c r="Z4682">
        <v>6.4748740000000003E-3</v>
      </c>
      <c r="AA4682">
        <v>0.96966980000000003</v>
      </c>
      <c r="AB4682">
        <v>30</v>
      </c>
      <c r="AC4682">
        <v>22.291999999999899</v>
      </c>
      <c r="AD4682">
        <v>-0.95541480000000001</v>
      </c>
      <c r="AE4682">
        <v>-41.374720000000003</v>
      </c>
      <c r="AF4682">
        <v>-11.5771680263341</v>
      </c>
      <c r="AG4682">
        <v>-0.95541480000000001</v>
      </c>
      <c r="AH4682">
        <v>45.529610099014903</v>
      </c>
      <c r="AI4682">
        <v>91.165080425472794</v>
      </c>
      <c r="AJ4682">
        <v>104.266691254565</v>
      </c>
      <c r="AK4682">
        <v>46.988179712757102</v>
      </c>
      <c r="AL4682">
        <v>77.3720548375167</v>
      </c>
      <c r="AM4682">
        <v>92.230648240008506</v>
      </c>
      <c r="AN4682">
        <v>0.99999998039495896</v>
      </c>
    </row>
    <row r="4683" spans="1:40" x14ac:dyDescent="0.25">
      <c r="A4683" t="str">
        <f>"20190303170907371"</f>
        <v>20190303170907371</v>
      </c>
      <c r="B4683" t="str">
        <f>"1551604147358528"</f>
        <v>1551604147358528</v>
      </c>
      <c r="C4683" t="s">
        <v>40</v>
      </c>
      <c r="D4683">
        <v>5.0796849999999996</v>
      </c>
      <c r="E4683">
        <v>0.4237378</v>
      </c>
      <c r="F4683" t="s">
        <v>78</v>
      </c>
      <c r="G4683">
        <v>-277.63290000000001</v>
      </c>
      <c r="H4683">
        <v>0.128937</v>
      </c>
      <c r="I4683">
        <v>-91.536249999999995</v>
      </c>
      <c r="J4683">
        <v>-299.80250000000001</v>
      </c>
      <c r="K4683">
        <v>1.1291089999999999</v>
      </c>
      <c r="L4683">
        <v>-51.466250000000002</v>
      </c>
      <c r="M4683">
        <v>0.25704300000000002</v>
      </c>
      <c r="N4683">
        <v>-1.4582879999999999E-2</v>
      </c>
      <c r="O4683">
        <v>-0.96629010000000004</v>
      </c>
      <c r="P4683">
        <v>0.28887269999999998</v>
      </c>
      <c r="Q4683">
        <v>0.2047332</v>
      </c>
      <c r="R4683">
        <v>-0.93522070000000002</v>
      </c>
      <c r="S4683">
        <v>1.5229189999999999</v>
      </c>
      <c r="T4683">
        <v>-6.8302630000000003E-2</v>
      </c>
      <c r="U4683">
        <v>-2.7663880000000001</v>
      </c>
      <c r="V4683">
        <v>-4.2933890000000002E-2</v>
      </c>
      <c r="W4683">
        <v>0.21819160000000001</v>
      </c>
      <c r="X4683">
        <v>0.97496110000000002</v>
      </c>
      <c r="Y4683">
        <v>-0.2407764</v>
      </c>
      <c r="Z4683">
        <v>7.9433130000000005E-3</v>
      </c>
      <c r="AA4683">
        <v>0.97054810000000002</v>
      </c>
      <c r="AB4683">
        <v>30</v>
      </c>
      <c r="AC4683">
        <v>22.169599999999999</v>
      </c>
      <c r="AD4683">
        <v>-1.0001719999999901</v>
      </c>
      <c r="AE4683">
        <v>-40.069999999999901</v>
      </c>
      <c r="AF4683">
        <v>-11.1184294080069</v>
      </c>
      <c r="AG4683">
        <v>-1.0001719999999901</v>
      </c>
      <c r="AH4683">
        <v>44.401321311692499</v>
      </c>
      <c r="AI4683">
        <v>91.251774703148001</v>
      </c>
      <c r="AJ4683">
        <v>104.05822270573201</v>
      </c>
      <c r="AK4683">
        <v>45.783153569348798</v>
      </c>
      <c r="AL4683">
        <v>77.397161119714099</v>
      </c>
      <c r="AM4683">
        <v>92.521477453179699</v>
      </c>
      <c r="AN4683">
        <v>1.0000000198671499</v>
      </c>
    </row>
    <row r="4684" spans="1:40" x14ac:dyDescent="0.25">
      <c r="A4684" t="str">
        <f>"20190303170907405"</f>
        <v>20190303170907405</v>
      </c>
      <c r="B4684" t="str">
        <f>"1551604147398543"</f>
        <v>1551604147398543</v>
      </c>
      <c r="C4684" t="s">
        <v>40</v>
      </c>
      <c r="D4684">
        <v>5.0401030000000002</v>
      </c>
      <c r="E4684">
        <v>0.42517739999999998</v>
      </c>
      <c r="F4684" t="s">
        <v>46</v>
      </c>
      <c r="G4684">
        <v>-280.3562</v>
      </c>
      <c r="H4684">
        <v>-0.05</v>
      </c>
      <c r="I4684">
        <v>-86.279340000000005</v>
      </c>
      <c r="J4684">
        <v>-299.66840000000002</v>
      </c>
      <c r="K4684">
        <v>1.1294690000000001</v>
      </c>
      <c r="L4684">
        <v>-51.90146</v>
      </c>
      <c r="M4684">
        <v>0.27254450000000002</v>
      </c>
      <c r="N4684">
        <v>-1.463096E-2</v>
      </c>
      <c r="O4684">
        <v>-0.96203190000000005</v>
      </c>
      <c r="P4684">
        <v>0.30856670000000003</v>
      </c>
      <c r="Q4684">
        <v>0.2060844</v>
      </c>
      <c r="R4684">
        <v>-0.92860980000000004</v>
      </c>
      <c r="S4684">
        <v>1.537903</v>
      </c>
      <c r="T4684">
        <v>-9.3249200000000004E-2</v>
      </c>
      <c r="U4684">
        <v>-2.753174</v>
      </c>
      <c r="V4684">
        <v>-4.8171319999999997E-2</v>
      </c>
      <c r="W4684">
        <v>0.21944459999999999</v>
      </c>
      <c r="X4684">
        <v>0.97443500000000005</v>
      </c>
      <c r="Y4684">
        <v>-0.23110430000000001</v>
      </c>
      <c r="Z4684">
        <v>1.5774639999999999E-2</v>
      </c>
      <c r="AA4684">
        <v>0.97280109999999997</v>
      </c>
      <c r="AB4684">
        <v>30</v>
      </c>
      <c r="AC4684">
        <v>19.312200000000001</v>
      </c>
      <c r="AD4684">
        <v>-1.1794690000000001</v>
      </c>
      <c r="AE4684">
        <v>-34.377879999999998</v>
      </c>
      <c r="AF4684">
        <v>-9.2022028482446601</v>
      </c>
      <c r="AG4684">
        <v>-1.1794690000000001</v>
      </c>
      <c r="AH4684">
        <v>38.305882059292699</v>
      </c>
      <c r="AI4684">
        <v>91.714867771161906</v>
      </c>
      <c r="AJ4684">
        <v>103.508165795669</v>
      </c>
      <c r="AK4684">
        <v>39.413351604787998</v>
      </c>
      <c r="AL4684">
        <v>77.323586072047604</v>
      </c>
      <c r="AM4684">
        <v>92.830120310002997</v>
      </c>
      <c r="AN4684">
        <v>0.99999998888235098</v>
      </c>
    </row>
    <row r="4685" spans="1:40" x14ac:dyDescent="0.25">
      <c r="A4685" t="str">
        <f>"20190303170907444"</f>
        <v>20190303170907444</v>
      </c>
      <c r="B4685" t="str">
        <f>"1551604147438560"</f>
        <v>1551604147438560</v>
      </c>
      <c r="C4685" t="s">
        <v>40</v>
      </c>
      <c r="D4685">
        <v>5.0386009999999999</v>
      </c>
      <c r="E4685">
        <v>0.43100040000000001</v>
      </c>
      <c r="F4685" t="s">
        <v>46</v>
      </c>
      <c r="G4685">
        <v>-279.4701</v>
      </c>
      <c r="H4685">
        <v>-0.05</v>
      </c>
      <c r="I4685">
        <v>-86.610579999999999</v>
      </c>
      <c r="J4685">
        <v>-299.51119999999997</v>
      </c>
      <c r="K4685">
        <v>1.1298539999999999</v>
      </c>
      <c r="L4685">
        <v>-52.379489999999997</v>
      </c>
      <c r="M4685">
        <v>0.29044189999999998</v>
      </c>
      <c r="N4685">
        <v>-1.468656E-2</v>
      </c>
      <c r="O4685">
        <v>-0.95677999999999996</v>
      </c>
      <c r="P4685">
        <v>0.32889059999999998</v>
      </c>
      <c r="Q4685">
        <v>0.2086104</v>
      </c>
      <c r="R4685">
        <v>-0.9210391</v>
      </c>
      <c r="S4685">
        <v>1.585388</v>
      </c>
      <c r="T4685">
        <v>-9.2578049999999995E-2</v>
      </c>
      <c r="U4685">
        <v>-2.7243650000000001</v>
      </c>
      <c r="V4685">
        <v>-5.1835859999999997E-2</v>
      </c>
      <c r="W4685">
        <v>0.22189690000000001</v>
      </c>
      <c r="X4685">
        <v>0.97369130000000004</v>
      </c>
      <c r="Y4685">
        <v>-0.23008819999999999</v>
      </c>
      <c r="Z4685">
        <v>1.5534030000000001E-2</v>
      </c>
      <c r="AA4685">
        <v>0.97304579999999996</v>
      </c>
      <c r="AB4685">
        <v>30</v>
      </c>
      <c r="AC4685">
        <v>20.041099999999901</v>
      </c>
      <c r="AD4685">
        <v>-1.179854</v>
      </c>
      <c r="AE4685">
        <v>-34.231089999999902</v>
      </c>
      <c r="AF4685">
        <v>-9.2256137572965802</v>
      </c>
      <c r="AG4685">
        <v>-1.179854</v>
      </c>
      <c r="AH4685">
        <v>38.5424550609847</v>
      </c>
      <c r="AI4685">
        <v>91.705239230238206</v>
      </c>
      <c r="AJ4685">
        <v>103.461185017866</v>
      </c>
      <c r="AK4685">
        <v>39.648768540626399</v>
      </c>
      <c r="AL4685">
        <v>77.179528070480401</v>
      </c>
      <c r="AM4685">
        <v>93.047346743308694</v>
      </c>
      <c r="AN4685">
        <v>0.99999996915361899</v>
      </c>
    </row>
    <row r="4686" spans="1:40" x14ac:dyDescent="0.25">
      <c r="A4686" t="str">
        <f>"20190303170907476"</f>
        <v>20190303170907476</v>
      </c>
      <c r="B4686" t="str">
        <f>"1551604147468816"</f>
        <v>1551604147468816</v>
      </c>
      <c r="C4686" t="s">
        <v>40</v>
      </c>
      <c r="D4686">
        <v>5.0448360000000001</v>
      </c>
      <c r="E4686">
        <v>0.43244899999999997</v>
      </c>
      <c r="F4686" t="s">
        <v>46</v>
      </c>
      <c r="G4686">
        <v>-282.38659999999999</v>
      </c>
      <c r="H4686">
        <v>-0.05</v>
      </c>
      <c r="I4686">
        <v>-81.262509999999907</v>
      </c>
      <c r="J4686">
        <v>-299.36970000000002</v>
      </c>
      <c r="K4686">
        <v>1.1302080000000001</v>
      </c>
      <c r="L4686">
        <v>-52.783749999999998</v>
      </c>
      <c r="M4686">
        <v>0.3063341</v>
      </c>
      <c r="N4686">
        <v>-1.474494E-2</v>
      </c>
      <c r="O4686">
        <v>-0.95180980000000004</v>
      </c>
      <c r="P4686">
        <v>0.34845749999999998</v>
      </c>
      <c r="Q4686">
        <v>0.20873240000000001</v>
      </c>
      <c r="R4686">
        <v>-0.91378780000000004</v>
      </c>
      <c r="S4686">
        <v>1.6060179999999999</v>
      </c>
      <c r="T4686">
        <v>-0.1106516</v>
      </c>
      <c r="U4686">
        <v>-2.708771</v>
      </c>
      <c r="V4686">
        <v>-5.6599389999999999E-2</v>
      </c>
      <c r="W4686">
        <v>0.2219286</v>
      </c>
      <c r="X4686">
        <v>0.97341880000000003</v>
      </c>
      <c r="Y4686">
        <v>-0.221746</v>
      </c>
      <c r="Z4686">
        <v>2.1112430000000001E-2</v>
      </c>
      <c r="AA4686">
        <v>0.97487590000000002</v>
      </c>
      <c r="AB4686">
        <v>30</v>
      </c>
      <c r="AC4686">
        <v>16.9831</v>
      </c>
      <c r="AD4686">
        <v>-1.1802079999999999</v>
      </c>
      <c r="AE4686">
        <v>-28.478759999999902</v>
      </c>
      <c r="AF4686">
        <v>-7.4320595651865098</v>
      </c>
      <c r="AG4686">
        <v>-1.1802079999999999</v>
      </c>
      <c r="AH4686">
        <v>32.271495944097303</v>
      </c>
      <c r="AI4686">
        <v>92.0410633256555</v>
      </c>
      <c r="AJ4686">
        <v>102.968977383938</v>
      </c>
      <c r="AK4686">
        <v>33.1372577437185</v>
      </c>
      <c r="AL4686">
        <v>77.177665456616793</v>
      </c>
      <c r="AM4686">
        <v>93.327713609008498</v>
      </c>
      <c r="AN4686">
        <v>0.99999997731988499</v>
      </c>
    </row>
    <row r="4687" spans="1:40" x14ac:dyDescent="0.25">
      <c r="A4687" t="str">
        <f>"20190303170907507"</f>
        <v>20190303170907507</v>
      </c>
      <c r="B4687" t="str">
        <f>"1551604147498095"</f>
        <v>1551604147498095</v>
      </c>
      <c r="C4687" t="s">
        <v>40</v>
      </c>
      <c r="D4687">
        <v>5.03634</v>
      </c>
      <c r="E4687">
        <v>0.4399516</v>
      </c>
      <c r="F4687" t="s">
        <v>46</v>
      </c>
      <c r="G4687">
        <v>-282.06760000000003</v>
      </c>
      <c r="H4687">
        <v>-0.05</v>
      </c>
      <c r="I4687">
        <v>-80.822719999999904</v>
      </c>
      <c r="J4687">
        <v>-299.22919999999999</v>
      </c>
      <c r="K4687">
        <v>1.1305430000000001</v>
      </c>
      <c r="L4687">
        <v>-53.164000000000001</v>
      </c>
      <c r="M4687">
        <v>0.3218821</v>
      </c>
      <c r="N4687">
        <v>-1.4805469999999999E-2</v>
      </c>
      <c r="O4687">
        <v>-0.94666419999999996</v>
      </c>
      <c r="P4687">
        <v>0.36920039999999998</v>
      </c>
      <c r="Q4687">
        <v>0.2088342</v>
      </c>
      <c r="R4687">
        <v>-0.90558269999999996</v>
      </c>
      <c r="S4687">
        <v>1.6528320000000001</v>
      </c>
      <c r="T4687">
        <v>-0.1127425</v>
      </c>
      <c r="U4687">
        <v>-2.6784970000000001</v>
      </c>
      <c r="V4687">
        <v>-6.305645E-2</v>
      </c>
      <c r="W4687">
        <v>0.2218965</v>
      </c>
      <c r="X4687">
        <v>0.97302920000000004</v>
      </c>
      <c r="Y4687">
        <v>-0.22302089999999999</v>
      </c>
      <c r="Z4687">
        <v>2.172077E-2</v>
      </c>
      <c r="AA4687">
        <v>0.97457159999999998</v>
      </c>
      <c r="AB4687">
        <v>30</v>
      </c>
      <c r="AC4687">
        <v>17.1615999999999</v>
      </c>
      <c r="AD4687">
        <v>-1.1805429999999999</v>
      </c>
      <c r="AE4687">
        <v>-27.658719999999899</v>
      </c>
      <c r="AF4687">
        <v>-7.3345811981602598</v>
      </c>
      <c r="AG4687">
        <v>-1.1805429999999999</v>
      </c>
      <c r="AH4687">
        <v>31.669344037148502</v>
      </c>
      <c r="AI4687">
        <v>92.079834847459495</v>
      </c>
      <c r="AJ4687">
        <v>103.03973464699</v>
      </c>
      <c r="AK4687">
        <v>32.529019580530402</v>
      </c>
      <c r="AL4687">
        <v>77.179551955119393</v>
      </c>
      <c r="AM4687">
        <v>93.707826687051494</v>
      </c>
      <c r="AN4687">
        <v>0.99999999832574604</v>
      </c>
    </row>
    <row r="4688" spans="1:40" x14ac:dyDescent="0.25">
      <c r="A4688" t="str">
        <f>"20190303170907544"</f>
        <v>20190303170907544</v>
      </c>
      <c r="B4688" t="str">
        <f>"1551604147538111"</f>
        <v>1551604147538111</v>
      </c>
      <c r="C4688" t="s">
        <v>40</v>
      </c>
      <c r="D4688">
        <v>5.013458</v>
      </c>
      <c r="E4688">
        <v>0.4421446</v>
      </c>
      <c r="F4688" t="s">
        <v>59</v>
      </c>
      <c r="G4688">
        <v>-285.78660000000002</v>
      </c>
      <c r="H4688">
        <v>7.9986559999999998E-2</v>
      </c>
      <c r="I4688">
        <v>-74.758449999999996</v>
      </c>
      <c r="J4688">
        <v>-299.05169999999998</v>
      </c>
      <c r="K4688">
        <v>1.130916</v>
      </c>
      <c r="L4688">
        <v>-53.615479999999998</v>
      </c>
      <c r="M4688">
        <v>0.34117209999999998</v>
      </c>
      <c r="N4688">
        <v>-1.488128E-2</v>
      </c>
      <c r="O4688">
        <v>-0.93988300000000002</v>
      </c>
      <c r="P4688">
        <v>0.39138899999999999</v>
      </c>
      <c r="Q4688">
        <v>0.20995440000000001</v>
      </c>
      <c r="R4688">
        <v>-0.89595409999999998</v>
      </c>
      <c r="S4688">
        <v>1.65963699999999</v>
      </c>
      <c r="T4688">
        <v>-0.12970290000000001</v>
      </c>
      <c r="U4688">
        <v>-2.666077</v>
      </c>
      <c r="V4688">
        <v>-6.7458470000000006E-2</v>
      </c>
      <c r="W4688">
        <v>0.22292480000000001</v>
      </c>
      <c r="X4688">
        <v>0.9724988</v>
      </c>
      <c r="Y4688">
        <v>-0.20680599999999999</v>
      </c>
      <c r="Z4688">
        <v>2.6812909999999999E-2</v>
      </c>
      <c r="AA4688">
        <v>0.97801450000000001</v>
      </c>
      <c r="AB4688">
        <v>30</v>
      </c>
      <c r="AC4688">
        <v>13.265099999999901</v>
      </c>
      <c r="AD4688">
        <v>-1.05092944</v>
      </c>
      <c r="AE4688">
        <v>-21.142969999999899</v>
      </c>
      <c r="AF4688">
        <v>-5.2455331849558</v>
      </c>
      <c r="AG4688">
        <v>-1.05092944</v>
      </c>
      <c r="AH4688">
        <v>24.357122055596001</v>
      </c>
      <c r="AI4688">
        <v>92.415284101808098</v>
      </c>
      <c r="AJ4688">
        <v>102.153556494529</v>
      </c>
      <c r="AK4688">
        <v>24.937711721678301</v>
      </c>
      <c r="AL4688">
        <v>77.119121297643701</v>
      </c>
      <c r="AM4688">
        <v>93.968029884754003</v>
      </c>
      <c r="AN4688">
        <v>1.00000001381561</v>
      </c>
    </row>
    <row r="4689" spans="1:40" x14ac:dyDescent="0.25">
      <c r="A4689" t="str">
        <f>"20190303170907572"</f>
        <v>20190303170907572</v>
      </c>
      <c r="B4689" t="str">
        <f>"1551604147568368"</f>
        <v>1551604147568368</v>
      </c>
      <c r="C4689" t="s">
        <v>40</v>
      </c>
      <c r="D4689">
        <v>5.0128450000000004</v>
      </c>
      <c r="E4689">
        <v>0.44916030000000001</v>
      </c>
      <c r="F4689" t="s">
        <v>59</v>
      </c>
      <c r="G4689">
        <v>-285.33949999999999</v>
      </c>
      <c r="H4689">
        <v>7.9986559999999998E-2</v>
      </c>
      <c r="I4689">
        <v>-74.712249999999997</v>
      </c>
      <c r="J4689">
        <v>-298.91289999999998</v>
      </c>
      <c r="K4689">
        <v>1.131176</v>
      </c>
      <c r="L4689">
        <v>-53.949620000000003</v>
      </c>
      <c r="M4689">
        <v>0.35598999999999997</v>
      </c>
      <c r="N4689">
        <v>-1.4942840000000001E-2</v>
      </c>
      <c r="O4689">
        <v>-0.93437020000000004</v>
      </c>
      <c r="P4689">
        <v>0.40882970000000002</v>
      </c>
      <c r="Q4689">
        <v>0.20834469999999999</v>
      </c>
      <c r="R4689">
        <v>-0.88851019999999903</v>
      </c>
      <c r="S4689">
        <v>1.710602</v>
      </c>
      <c r="T4689">
        <v>-0.1311041</v>
      </c>
      <c r="U4689">
        <v>-2.6318359999999998</v>
      </c>
      <c r="V4689">
        <v>-7.1082960000000001E-2</v>
      </c>
      <c r="W4689">
        <v>0.2212469</v>
      </c>
      <c r="X4689">
        <v>0.97262380000000004</v>
      </c>
      <c r="Y4689">
        <v>-0.21044589999999999</v>
      </c>
      <c r="Z4689">
        <v>2.7189789999999998E-2</v>
      </c>
      <c r="AA4689">
        <v>0.97722730000000002</v>
      </c>
      <c r="AB4689">
        <v>30</v>
      </c>
      <c r="AC4689">
        <v>13.5733999999999</v>
      </c>
      <c r="AD4689">
        <v>-1.0511894399999999</v>
      </c>
      <c r="AE4689">
        <v>-20.762629999999898</v>
      </c>
      <c r="AF4689">
        <v>-5.2823969536681101</v>
      </c>
      <c r="AG4689">
        <v>-1.0511894399999999</v>
      </c>
      <c r="AH4689">
        <v>24.191242524439499</v>
      </c>
      <c r="AI4689">
        <v>92.430917412370903</v>
      </c>
      <c r="AJ4689">
        <v>102.31775437145301</v>
      </c>
      <c r="AK4689">
        <v>24.7835617232701</v>
      </c>
      <c r="AL4689">
        <v>77.217720240639395</v>
      </c>
      <c r="AM4689">
        <v>94.179956919418998</v>
      </c>
      <c r="AN4689">
        <v>1.0000000171442001</v>
      </c>
    </row>
    <row r="4690" spans="1:40" x14ac:dyDescent="0.25">
      <c r="A4690" t="str">
        <f>"20190303170907607"</f>
        <v>20190303170907607</v>
      </c>
      <c r="B4690" t="str">
        <f>"1551604147598624"</f>
        <v>1551604147598624</v>
      </c>
      <c r="C4690" t="s">
        <v>40</v>
      </c>
      <c r="D4690">
        <v>4.8263350000000003</v>
      </c>
      <c r="E4690">
        <v>0.40404499999999999</v>
      </c>
      <c r="F4690" t="s">
        <v>59</v>
      </c>
      <c r="G4690">
        <v>-287.24160000000001</v>
      </c>
      <c r="H4690">
        <v>7.9986559999999998E-2</v>
      </c>
      <c r="I4690">
        <v>-71.83117</v>
      </c>
      <c r="J4690">
        <v>-298.7294</v>
      </c>
      <c r="K4690">
        <v>1.1315189999999999</v>
      </c>
      <c r="L4690">
        <v>-54.368290000000002</v>
      </c>
      <c r="M4690">
        <v>0.37522830000000001</v>
      </c>
      <c r="N4690">
        <v>-1.5024289999999999E-2</v>
      </c>
      <c r="O4690">
        <v>-0.92681089999999999</v>
      </c>
      <c r="P4690">
        <v>0.43159989999999998</v>
      </c>
      <c r="Q4690">
        <v>0.20680899999999999</v>
      </c>
      <c r="R4690">
        <v>-0.87803889999999996</v>
      </c>
      <c r="S4690">
        <v>1.712982</v>
      </c>
      <c r="T4690">
        <v>-0.15428149999999999</v>
      </c>
      <c r="U4690">
        <v>-2.6244510000000001</v>
      </c>
      <c r="V4690">
        <v>-7.6077019999999995E-2</v>
      </c>
      <c r="W4690">
        <v>0.2196111</v>
      </c>
      <c r="X4690">
        <v>0.9726167</v>
      </c>
      <c r="Y4690">
        <v>-0.19195129999999999</v>
      </c>
      <c r="Z4690">
        <v>3.3997600000000003E-2</v>
      </c>
      <c r="AA4690">
        <v>0.9808154</v>
      </c>
      <c r="AB4690">
        <v>30</v>
      </c>
      <c r="AC4690">
        <v>11.487799999999901</v>
      </c>
      <c r="AD4690">
        <v>-1.0515324399999999</v>
      </c>
      <c r="AE4690">
        <v>-17.462879999999998</v>
      </c>
      <c r="AF4690">
        <v>-4.0845758943701904</v>
      </c>
      <c r="AG4690">
        <v>-1.0515324399999999</v>
      </c>
      <c r="AH4690">
        <v>20.445901596077199</v>
      </c>
      <c r="AI4690">
        <v>92.887176683241407</v>
      </c>
      <c r="AJ4690">
        <v>101.29752517590001</v>
      </c>
      <c r="AK4690">
        <v>20.8764070851695</v>
      </c>
      <c r="AL4690">
        <v>77.313807896048601</v>
      </c>
      <c r="AM4690">
        <v>94.472507137367103</v>
      </c>
      <c r="AN4690">
        <v>0.99999999666709005</v>
      </c>
    </row>
    <row r="4691" spans="1:40" x14ac:dyDescent="0.25">
      <c r="A4691" t="str">
        <f>"20190303170907641"</f>
        <v>20190303170907641</v>
      </c>
      <c r="B4691" t="str">
        <f>"1551604147628879"</f>
        <v>1551604147628879</v>
      </c>
      <c r="C4691" t="s">
        <v>40</v>
      </c>
      <c r="D4691">
        <v>4.834606</v>
      </c>
      <c r="E4691">
        <v>0.39878409999999997</v>
      </c>
      <c r="F4691" t="s">
        <v>78</v>
      </c>
      <c r="G4691">
        <v>-274.8399</v>
      </c>
      <c r="H4691">
        <v>0.87096359999999995</v>
      </c>
      <c r="I4691">
        <v>-81.934359999999998</v>
      </c>
      <c r="J4691">
        <v>-298.54570000000001</v>
      </c>
      <c r="K4691">
        <v>1.131821</v>
      </c>
      <c r="L4691">
        <v>-54.762630000000001</v>
      </c>
      <c r="M4691">
        <v>0.39404800000000001</v>
      </c>
      <c r="N4691">
        <v>-1.5103899999999899E-2</v>
      </c>
      <c r="O4691">
        <v>-0.9189657</v>
      </c>
      <c r="P4691">
        <v>0.45228269999999998</v>
      </c>
      <c r="Q4691">
        <v>0.2087668</v>
      </c>
      <c r="R4691">
        <v>-0.86709699999999901</v>
      </c>
      <c r="S4691">
        <v>2.0797119999999998</v>
      </c>
      <c r="T4691">
        <v>-2.2681710000000001E-2</v>
      </c>
      <c r="U4691">
        <v>-2.3997799999999998</v>
      </c>
      <c r="V4691">
        <v>-7.9702839999999997E-2</v>
      </c>
      <c r="W4691">
        <v>0.22148960000000001</v>
      </c>
      <c r="X4691">
        <v>0.97190010000000004</v>
      </c>
      <c r="Y4691">
        <v>-0.30403340000000001</v>
      </c>
      <c r="Z4691">
        <v>-5.952153E-3</v>
      </c>
      <c r="AA4691">
        <v>0.95264269999999995</v>
      </c>
      <c r="AB4691">
        <v>30</v>
      </c>
      <c r="AC4691">
        <v>23.7058</v>
      </c>
      <c r="AD4691">
        <v>-0.26085739999999902</v>
      </c>
      <c r="AE4691">
        <v>-27.17173</v>
      </c>
      <c r="AF4691">
        <v>-11.0785357452675</v>
      </c>
      <c r="AG4691">
        <v>-0.26085739999999902</v>
      </c>
      <c r="AH4691">
        <v>34.3132310937036</v>
      </c>
      <c r="AI4691">
        <v>90.414499995014907</v>
      </c>
      <c r="AJ4691">
        <v>107.893443651992</v>
      </c>
      <c r="AK4691">
        <v>36.058283776855099</v>
      </c>
      <c r="AL4691">
        <v>77.203460493874502</v>
      </c>
      <c r="AM4691">
        <v>94.688177619652393</v>
      </c>
      <c r="AN4691">
        <v>0.99999999499611703</v>
      </c>
    </row>
    <row r="4692" spans="1:40" x14ac:dyDescent="0.25">
      <c r="A4692" t="str">
        <f>"20190303170907672"</f>
        <v>20190303170907672</v>
      </c>
      <c r="B4692" t="str">
        <f>"1551604147668896"</f>
        <v>1551604147668896</v>
      </c>
      <c r="C4692" t="s">
        <v>40</v>
      </c>
      <c r="D4692">
        <v>4.8042530000000001</v>
      </c>
      <c r="E4692">
        <v>0.39579579999999998</v>
      </c>
      <c r="F4692" t="s">
        <v>78</v>
      </c>
      <c r="G4692">
        <v>-274.56229999999999</v>
      </c>
      <c r="H4692">
        <v>1.1207830000000001</v>
      </c>
      <c r="I4692">
        <v>-80.464519999999993</v>
      </c>
      <c r="J4692">
        <v>-298.36579999999998</v>
      </c>
      <c r="K4692">
        <v>1.132118</v>
      </c>
      <c r="L4692">
        <v>-55.129579999999997</v>
      </c>
      <c r="M4692">
        <v>0.41213549999999899</v>
      </c>
      <c r="N4692">
        <v>-1.518388E-2</v>
      </c>
      <c r="O4692">
        <v>-0.91099609999999998</v>
      </c>
      <c r="P4692">
        <v>0.4701977</v>
      </c>
      <c r="Q4692">
        <v>0.21119299999999999</v>
      </c>
      <c r="R4692">
        <v>-0.85692009999999996</v>
      </c>
      <c r="S4692">
        <v>2.1716920000000002</v>
      </c>
      <c r="T4692">
        <v>-9.982585999999999E-4</v>
      </c>
      <c r="U4692">
        <v>-2.3273009999999998</v>
      </c>
      <c r="V4692">
        <v>-8.1153470000000005E-2</v>
      </c>
      <c r="W4692">
        <v>0.22389339999999999</v>
      </c>
      <c r="X4692">
        <v>0.97122900000000001</v>
      </c>
      <c r="Y4692">
        <v>-0.32013960000000002</v>
      </c>
      <c r="Z4692">
        <v>-1.24978E-2</v>
      </c>
      <c r="AA4692">
        <v>0.94728800000000002</v>
      </c>
      <c r="AB4692">
        <v>29</v>
      </c>
      <c r="AC4692">
        <v>23.8034999999999</v>
      </c>
      <c r="AD4692">
        <v>-1.13349999999998E-2</v>
      </c>
      <c r="AE4692">
        <v>-25.3349399999999</v>
      </c>
      <c r="AF4692">
        <v>-11.2447619769883</v>
      </c>
      <c r="AG4692">
        <v>-1.13349999999998E-2</v>
      </c>
      <c r="AH4692">
        <v>32.894085610791201</v>
      </c>
      <c r="AI4692">
        <v>90.018682156509996</v>
      </c>
      <c r="AJ4692">
        <v>108.872866592466</v>
      </c>
      <c r="AK4692">
        <v>34.7629928022806</v>
      </c>
      <c r="AL4692">
        <v>77.062184769732497</v>
      </c>
      <c r="AM4692">
        <v>94.776396845777199</v>
      </c>
      <c r="AN4692">
        <v>0.99999995534879904</v>
      </c>
    </row>
    <row r="4693" spans="1:40" x14ac:dyDescent="0.25">
      <c r="A4693" t="str">
        <f>"20190303170907705"</f>
        <v>20190303170907705</v>
      </c>
      <c r="B4693" t="str">
        <f>"1551604147698175"</f>
        <v>1551604147698175</v>
      </c>
      <c r="C4693" t="s">
        <v>40</v>
      </c>
      <c r="D4693">
        <v>4.8333779999999997</v>
      </c>
      <c r="E4693">
        <v>0.39593780000000001</v>
      </c>
      <c r="F4693" t="s">
        <v>78</v>
      </c>
      <c r="G4693">
        <v>-273.34269999999998</v>
      </c>
      <c r="H4693">
        <v>1.4692959999999999</v>
      </c>
      <c r="I4693">
        <v>-80.464519999999993</v>
      </c>
      <c r="J4693">
        <v>-298.1662</v>
      </c>
      <c r="K4693">
        <v>1.1324259999999999</v>
      </c>
      <c r="L4693">
        <v>-55.514530000000001</v>
      </c>
      <c r="M4693">
        <v>0.43174750000000001</v>
      </c>
      <c r="N4693">
        <v>-1.5273449999999999E-2</v>
      </c>
      <c r="O4693">
        <v>-0.90186520000000003</v>
      </c>
      <c r="P4693">
        <v>0.4885505</v>
      </c>
      <c r="Q4693">
        <v>0.21072469999999999</v>
      </c>
      <c r="R4693">
        <v>-0.84670789999999996</v>
      </c>
      <c r="S4693">
        <v>2.2377319999999998</v>
      </c>
      <c r="T4693">
        <v>3.0153869999999999E-2</v>
      </c>
      <c r="U4693">
        <v>-2.265625</v>
      </c>
      <c r="V4693">
        <v>-8.1171060000000003E-2</v>
      </c>
      <c r="W4693">
        <v>0.22345799999999999</v>
      </c>
      <c r="X4693">
        <v>0.97132779999999996</v>
      </c>
      <c r="Y4693">
        <v>-0.32641379999999998</v>
      </c>
      <c r="Z4693">
        <v>-2.1894230000000001E-2</v>
      </c>
      <c r="AA4693">
        <v>0.94497339999999996</v>
      </c>
      <c r="AB4693">
        <v>29</v>
      </c>
      <c r="AC4693">
        <v>24.823499999999999</v>
      </c>
      <c r="AD4693">
        <v>0.33687</v>
      </c>
      <c r="AE4693">
        <v>-24.9499899999999</v>
      </c>
      <c r="AF4693">
        <v>-11.615645764069599</v>
      </c>
      <c r="AG4693">
        <v>0.33687</v>
      </c>
      <c r="AH4693">
        <v>33.2198433940491</v>
      </c>
      <c r="AI4693">
        <v>89.4515626903449</v>
      </c>
      <c r="AJ4693">
        <v>109.27268256808399</v>
      </c>
      <c r="AK4693">
        <v>35.193674190661</v>
      </c>
      <c r="AL4693">
        <v>77.087779860213402</v>
      </c>
      <c r="AM4693">
        <v>94.776943643569595</v>
      </c>
      <c r="AN4693">
        <v>0.99999995689918098</v>
      </c>
    </row>
    <row r="4694" spans="1:40" x14ac:dyDescent="0.25">
      <c r="A4694" t="str">
        <f>"20190303170907740"</f>
        <v>20190303170907740</v>
      </c>
      <c r="B4694" t="str">
        <f>"1551604147728431"</f>
        <v>1551604147728431</v>
      </c>
      <c r="C4694" t="s">
        <v>40</v>
      </c>
      <c r="D4694">
        <v>4.821949</v>
      </c>
      <c r="E4694">
        <v>0.39720889999999998</v>
      </c>
      <c r="F4694" t="s">
        <v>78</v>
      </c>
      <c r="G4694">
        <v>-272.48329999999999</v>
      </c>
      <c r="H4694">
        <v>1.4768079999999999</v>
      </c>
      <c r="I4694">
        <v>-80.464519999999993</v>
      </c>
      <c r="J4694">
        <v>-297.95839999999998</v>
      </c>
      <c r="K4694">
        <v>1.132708</v>
      </c>
      <c r="L4694">
        <v>-55.893129999999999</v>
      </c>
      <c r="M4694">
        <v>0.45167420000000003</v>
      </c>
      <c r="N4694">
        <v>-1.536238E-2</v>
      </c>
      <c r="O4694">
        <v>-0.89205089999999998</v>
      </c>
      <c r="P4694">
        <v>0.50719759999999903</v>
      </c>
      <c r="Q4694">
        <v>0.2109509</v>
      </c>
      <c r="R4694">
        <v>-0.83561430000000003</v>
      </c>
      <c r="S4694">
        <v>2.2832340000000002</v>
      </c>
      <c r="T4694">
        <v>3.0617120000000001E-2</v>
      </c>
      <c r="U4694">
        <v>-2.2180789999999999</v>
      </c>
      <c r="V4694">
        <v>-8.1315299999999993E-2</v>
      </c>
      <c r="W4694">
        <v>0.22371260000000001</v>
      </c>
      <c r="X4694">
        <v>0.97125720000000004</v>
      </c>
      <c r="Y4694">
        <v>-0.32494519999999999</v>
      </c>
      <c r="Z4694">
        <v>-2.1850830000000002E-2</v>
      </c>
      <c r="AA4694">
        <v>0.9454804</v>
      </c>
      <c r="AB4694">
        <v>29</v>
      </c>
      <c r="AC4694">
        <v>25.475100000000001</v>
      </c>
      <c r="AD4694">
        <v>0.34409999999999902</v>
      </c>
      <c r="AE4694">
        <v>-24.571389999999901</v>
      </c>
      <c r="AF4694">
        <v>-11.6270939353064</v>
      </c>
      <c r="AG4694">
        <v>0.34409999999999902</v>
      </c>
      <c r="AH4694">
        <v>33.426154985449202</v>
      </c>
      <c r="AI4694">
        <v>89.442935802834199</v>
      </c>
      <c r="AJ4694">
        <v>109.179933503076</v>
      </c>
      <c r="AK4694">
        <v>35.392309267716797</v>
      </c>
      <c r="AL4694">
        <v>77.072814392065595</v>
      </c>
      <c r="AM4694">
        <v>94.785739060103793</v>
      </c>
      <c r="AN4694">
        <v>1.0000000269823399</v>
      </c>
    </row>
    <row r="4695" spans="1:40" x14ac:dyDescent="0.25">
      <c r="A4695" t="str">
        <f>"20190303170907774"</f>
        <v>20190303170907774</v>
      </c>
      <c r="B4695" t="str">
        <f>"1551604147768448"</f>
        <v>1551604147768448</v>
      </c>
      <c r="C4695" t="s">
        <v>40</v>
      </c>
      <c r="D4695">
        <v>4.8294360000000003</v>
      </c>
      <c r="E4695">
        <v>0.39915519999999999</v>
      </c>
      <c r="F4695" t="s">
        <v>78</v>
      </c>
      <c r="G4695">
        <v>-260.37259999999998</v>
      </c>
      <c r="H4695">
        <v>1.6397459999999999</v>
      </c>
      <c r="I4695">
        <v>-90.976820000000004</v>
      </c>
      <c r="J4695">
        <v>-297.73759999999999</v>
      </c>
      <c r="K4695">
        <v>1.132965</v>
      </c>
      <c r="L4695">
        <v>-56.274140000000003</v>
      </c>
      <c r="M4695">
        <v>0.47232600000000002</v>
      </c>
      <c r="N4695">
        <v>-1.545523E-2</v>
      </c>
      <c r="O4695">
        <v>-0.88128850000000003</v>
      </c>
      <c r="P4695">
        <v>0.52589600000000003</v>
      </c>
      <c r="Q4695">
        <v>0.21048559999999999</v>
      </c>
      <c r="R4695">
        <v>-0.82409299999999996</v>
      </c>
      <c r="S4695">
        <v>2.3255309999999998</v>
      </c>
      <c r="T4695">
        <v>3.1372549999999999E-2</v>
      </c>
      <c r="U4695">
        <v>-2.170715</v>
      </c>
      <c r="V4695">
        <v>-8.0663929999999995E-2</v>
      </c>
      <c r="W4695">
        <v>0.22330739999999999</v>
      </c>
      <c r="X4695">
        <v>0.97140470000000001</v>
      </c>
      <c r="Y4695">
        <v>-0.32177280000000003</v>
      </c>
      <c r="Z4695">
        <v>-2.1875060000000002E-2</v>
      </c>
      <c r="AA4695">
        <v>0.94656419999999997</v>
      </c>
      <c r="AB4695">
        <v>29</v>
      </c>
      <c r="AC4695">
        <v>37.365000000000002</v>
      </c>
      <c r="AD4695">
        <v>0.50678099999999904</v>
      </c>
      <c r="AE4695">
        <v>-34.702679999999901</v>
      </c>
      <c r="AF4695">
        <v>-16.538707796586401</v>
      </c>
      <c r="AG4695">
        <v>0.50678099999999904</v>
      </c>
      <c r="AH4695">
        <v>48.232528346781898</v>
      </c>
      <c r="AI4695">
        <v>89.430557518469996</v>
      </c>
      <c r="AJ4695">
        <v>108.926601225669</v>
      </c>
      <c r="AK4695">
        <v>50.991788292684497</v>
      </c>
      <c r="AL4695">
        <v>77.096632573754405</v>
      </c>
      <c r="AM4695">
        <v>94.746861610884807</v>
      </c>
      <c r="AN4695">
        <v>0.99999997783994699</v>
      </c>
    </row>
    <row r="4696" spans="1:40" x14ac:dyDescent="0.25">
      <c r="A4696" t="str">
        <f>"20190303170907807"</f>
        <v>20190303170907807</v>
      </c>
      <c r="B4696" t="str">
        <f>"1551604147798704"</f>
        <v>1551604147798704</v>
      </c>
      <c r="C4696" t="s">
        <v>40</v>
      </c>
      <c r="D4696">
        <v>4.7969619999999997</v>
      </c>
      <c r="E4696">
        <v>0.40090360000000003</v>
      </c>
      <c r="F4696" t="s">
        <v>78</v>
      </c>
      <c r="G4696">
        <v>-259.19119999999998</v>
      </c>
      <c r="H4696">
        <v>1.5765549999999999</v>
      </c>
      <c r="I4696">
        <v>-90.976820000000004</v>
      </c>
      <c r="J4696">
        <v>-297.51760000000002</v>
      </c>
      <c r="K4696">
        <v>1.1332009999999999</v>
      </c>
      <c r="L4696">
        <v>-56.633510000000001</v>
      </c>
      <c r="M4696">
        <v>0.4923342</v>
      </c>
      <c r="N4696">
        <v>-1.554317E-2</v>
      </c>
      <c r="O4696">
        <v>-0.87026749999999997</v>
      </c>
      <c r="P4696">
        <v>0.54595669999999996</v>
      </c>
      <c r="Q4696">
        <v>0.20830770000000001</v>
      </c>
      <c r="R4696">
        <v>-0.81150459999999902</v>
      </c>
      <c r="S4696">
        <v>2.361755</v>
      </c>
      <c r="T4696">
        <v>2.717984E-2</v>
      </c>
      <c r="U4696">
        <v>-2.1262509999999999</v>
      </c>
      <c r="V4696">
        <v>-8.210771E-2</v>
      </c>
      <c r="W4696">
        <v>0.221133</v>
      </c>
      <c r="X4696">
        <v>0.97178109999999995</v>
      </c>
      <c r="Y4696">
        <v>-0.31720559999999998</v>
      </c>
      <c r="Z4696">
        <v>-2.0410020000000001E-2</v>
      </c>
      <c r="AA4696">
        <v>0.94813720000000001</v>
      </c>
      <c r="AB4696">
        <v>29</v>
      </c>
      <c r="AC4696">
        <v>38.3264</v>
      </c>
      <c r="AD4696">
        <v>0.44335399999999903</v>
      </c>
      <c r="AE4696">
        <v>-34.343309999999903</v>
      </c>
      <c r="AF4696">
        <v>-16.446599898246902</v>
      </c>
      <c r="AG4696">
        <v>0.44335399999999903</v>
      </c>
      <c r="AH4696">
        <v>48.759533926472798</v>
      </c>
      <c r="AI4696">
        <v>89.506366144132699</v>
      </c>
      <c r="AJ4696">
        <v>108.639260375502</v>
      </c>
      <c r="AK4696">
        <v>51.4604640448295</v>
      </c>
      <c r="AL4696">
        <v>77.224411665828399</v>
      </c>
      <c r="AM4696">
        <v>94.829563116031593</v>
      </c>
      <c r="AN4696">
        <v>0.99999999302382703</v>
      </c>
    </row>
    <row r="4697" spans="1:40" x14ac:dyDescent="0.25">
      <c r="A4697" t="str">
        <f>"20190303170907841"</f>
        <v>20190303170907841</v>
      </c>
      <c r="B4697" t="str">
        <f>"1551604147828959"</f>
        <v>1551604147828959</v>
      </c>
      <c r="C4697" t="s">
        <v>40</v>
      </c>
      <c r="D4697">
        <v>4.7826909999999998</v>
      </c>
      <c r="E4697">
        <v>0.41989029999999999</v>
      </c>
      <c r="F4697" t="s">
        <v>78</v>
      </c>
      <c r="G4697">
        <v>-257.21550000000002</v>
      </c>
      <c r="H4697">
        <v>1.3329959999999901</v>
      </c>
      <c r="I4697">
        <v>-91.564989999999995</v>
      </c>
      <c r="J4697">
        <v>-297.28339999999997</v>
      </c>
      <c r="K4697">
        <v>1.133413</v>
      </c>
      <c r="L4697">
        <v>-56.995150000000002</v>
      </c>
      <c r="M4697">
        <v>0.51299640000000002</v>
      </c>
      <c r="N4697">
        <v>-1.562734E-2</v>
      </c>
      <c r="O4697">
        <v>-0.85824849999999997</v>
      </c>
      <c r="P4697">
        <v>0.56683689999999998</v>
      </c>
      <c r="Q4697">
        <v>0.20624339999999999</v>
      </c>
      <c r="R4697">
        <v>-0.79759599999999997</v>
      </c>
      <c r="S4697">
        <v>2.3993229999999999</v>
      </c>
      <c r="T4697">
        <v>1.189542E-2</v>
      </c>
      <c r="U4697">
        <v>-2.07959</v>
      </c>
      <c r="V4697">
        <v>-8.3893319999999993E-2</v>
      </c>
      <c r="W4697">
        <v>0.2190608</v>
      </c>
      <c r="X4697">
        <v>0.97209789999999996</v>
      </c>
      <c r="Y4697">
        <v>-0.31245509999999999</v>
      </c>
      <c r="Z4697">
        <v>-1.5651729999999999E-2</v>
      </c>
      <c r="AA4697">
        <v>0.94980359999999997</v>
      </c>
      <c r="AB4697">
        <v>29</v>
      </c>
      <c r="AC4697">
        <v>40.067899999999902</v>
      </c>
      <c r="AD4697">
        <v>0.19958299999999901</v>
      </c>
      <c r="AE4697">
        <v>-34.569839999999999</v>
      </c>
      <c r="AF4697">
        <v>-16.655808574740099</v>
      </c>
      <c r="AG4697">
        <v>0.19958299999999901</v>
      </c>
      <c r="AH4697">
        <v>50.229620979150504</v>
      </c>
      <c r="AI4697">
        <v>89.783911478402104</v>
      </c>
      <c r="AJ4697">
        <v>108.345177997909</v>
      </c>
      <c r="AK4697">
        <v>52.919472941077103</v>
      </c>
      <c r="AL4697">
        <v>77.346125064974203</v>
      </c>
      <c r="AM4697">
        <v>94.932479361809101</v>
      </c>
      <c r="AN4697">
        <v>1.0000000252108301</v>
      </c>
    </row>
    <row r="4698" spans="1:40" x14ac:dyDescent="0.25">
      <c r="A4698" t="str">
        <f>"20190303170907874"</f>
        <v>20190303170907874</v>
      </c>
      <c r="B4698" t="str">
        <f>"1551604147868976"</f>
        <v>1551604147868976</v>
      </c>
      <c r="C4698" t="s">
        <v>40</v>
      </c>
      <c r="D4698">
        <v>4.8183879999999997</v>
      </c>
      <c r="E4698">
        <v>0.4229212</v>
      </c>
      <c r="F4698" t="s">
        <v>78</v>
      </c>
      <c r="G4698">
        <v>-259.7296</v>
      </c>
      <c r="H4698">
        <v>0.32102009999999997</v>
      </c>
      <c r="I4698">
        <v>-90.976830000000007</v>
      </c>
      <c r="J4698">
        <v>-297.04899999999998</v>
      </c>
      <c r="K4698">
        <v>1.133586</v>
      </c>
      <c r="L4698">
        <v>-57.33896</v>
      </c>
      <c r="M4698">
        <v>0.53304759999999995</v>
      </c>
      <c r="N4698">
        <v>-1.5704599999999999E-2</v>
      </c>
      <c r="O4698">
        <v>-0.84593949999999996</v>
      </c>
      <c r="P4698">
        <v>0.58719219999999905</v>
      </c>
      <c r="Q4698">
        <v>0.20600979999999999</v>
      </c>
      <c r="R4698">
        <v>-0.78279330000000003</v>
      </c>
      <c r="S4698">
        <v>2.3362729999999998</v>
      </c>
      <c r="T4698">
        <v>-5.0539260000000003E-2</v>
      </c>
      <c r="U4698">
        <v>-2.1140439999999998</v>
      </c>
      <c r="V4698">
        <v>-8.6128850000000007E-2</v>
      </c>
      <c r="W4698">
        <v>0.21879689999999999</v>
      </c>
      <c r="X4698">
        <v>0.97196179999999999</v>
      </c>
      <c r="Y4698">
        <v>-0.26957379999999997</v>
      </c>
      <c r="Z4698">
        <v>2.606625E-3</v>
      </c>
      <c r="AA4698">
        <v>0.96297619999999895</v>
      </c>
      <c r="AB4698">
        <v>29</v>
      </c>
      <c r="AC4698">
        <v>37.319400000000002</v>
      </c>
      <c r="AD4698">
        <v>-0.81256589999999995</v>
      </c>
      <c r="AE4698">
        <v>-33.637869999999999</v>
      </c>
      <c r="AF4698">
        <v>-13.6374837353206</v>
      </c>
      <c r="AG4698">
        <v>-0.81256589999999995</v>
      </c>
      <c r="AH4698">
        <v>48.341937726101001</v>
      </c>
      <c r="AI4698">
        <v>90.926811188210095</v>
      </c>
      <c r="AJ4698">
        <v>105.754004201762</v>
      </c>
      <c r="AK4698">
        <v>50.235288086037698</v>
      </c>
      <c r="AL4698">
        <v>77.361621042676703</v>
      </c>
      <c r="AM4698">
        <v>95.063947465898195</v>
      </c>
      <c r="AN4698">
        <v>1.0000000014555801</v>
      </c>
    </row>
    <row r="4699" spans="1:40" x14ac:dyDescent="0.25">
      <c r="A4699" t="str">
        <f>"20190303170907907"</f>
        <v>20190303170907907</v>
      </c>
      <c r="B4699" t="str">
        <f>"1551604147898255"</f>
        <v>1551604147898255</v>
      </c>
      <c r="C4699" t="s">
        <v>40</v>
      </c>
      <c r="D4699">
        <v>4.621162</v>
      </c>
      <c r="E4699">
        <v>0.37927260000000002</v>
      </c>
      <c r="F4699" t="s">
        <v>78</v>
      </c>
      <c r="G4699">
        <v>-258.44690000000003</v>
      </c>
      <c r="H4699">
        <v>0.2220249</v>
      </c>
      <c r="I4699">
        <v>-90.976820000000004</v>
      </c>
      <c r="J4699">
        <v>-296.8005</v>
      </c>
      <c r="K4699">
        <v>1.1337459999999999</v>
      </c>
      <c r="L4699">
        <v>-57.684910000000002</v>
      </c>
      <c r="M4699">
        <v>0.55359709999999995</v>
      </c>
      <c r="N4699">
        <v>-1.5777889999999999E-2</v>
      </c>
      <c r="O4699">
        <v>-0.83263509999999996</v>
      </c>
      <c r="P4699">
        <v>0.60597299999999998</v>
      </c>
      <c r="Q4699">
        <v>0.20773800000000001</v>
      </c>
      <c r="R4699">
        <v>-0.76788149999999999</v>
      </c>
      <c r="S4699">
        <v>2.3725589999999999</v>
      </c>
      <c r="T4699">
        <v>-5.6025390000000001E-2</v>
      </c>
      <c r="U4699">
        <v>-2.0674440000000001</v>
      </c>
      <c r="V4699">
        <v>-8.6265300000000003E-2</v>
      </c>
      <c r="W4699">
        <v>0.22055540000000001</v>
      </c>
      <c r="X4699">
        <v>0.97155219999999998</v>
      </c>
      <c r="Y4699">
        <v>-0.26400960000000001</v>
      </c>
      <c r="Z4699">
        <v>4.1831359999999996E-3</v>
      </c>
      <c r="AA4699">
        <v>0.96451100000000001</v>
      </c>
      <c r="AB4699">
        <v>29</v>
      </c>
      <c r="AC4699">
        <v>38.353599999999901</v>
      </c>
      <c r="AD4699">
        <v>-0.91172109999999995</v>
      </c>
      <c r="AE4699">
        <v>-33.291909999999902</v>
      </c>
      <c r="AF4699">
        <v>-13.501579520025601</v>
      </c>
      <c r="AG4699">
        <v>-0.91172109999999995</v>
      </c>
      <c r="AH4699">
        <v>48.942778705691602</v>
      </c>
      <c r="AI4699">
        <v>91.028780602552303</v>
      </c>
      <c r="AJ4699">
        <v>105.42229548197</v>
      </c>
      <c r="AK4699">
        <v>50.779124375416899</v>
      </c>
      <c r="AL4699">
        <v>77.258344020372604</v>
      </c>
      <c r="AM4699">
        <v>95.074055365628894</v>
      </c>
      <c r="AN4699">
        <v>1.0000000318890401</v>
      </c>
    </row>
    <row r="4700" spans="1:40" x14ac:dyDescent="0.25">
      <c r="A4700" t="str">
        <f>"20190303170907941"</f>
        <v>20190303170907941</v>
      </c>
      <c r="B4700" t="str">
        <f>"1551604147938272"</f>
        <v>1551604147938272</v>
      </c>
      <c r="C4700" t="s">
        <v>40</v>
      </c>
      <c r="D4700">
        <v>4.7738579999999997</v>
      </c>
      <c r="E4700">
        <v>0.35319070000000002</v>
      </c>
      <c r="F4700" t="s">
        <v>78</v>
      </c>
      <c r="G4700">
        <v>-245.8099</v>
      </c>
      <c r="H4700">
        <v>3.4217699999999902</v>
      </c>
      <c r="I4700">
        <v>-91.564989999999995</v>
      </c>
      <c r="J4700">
        <v>-296.54500000000002</v>
      </c>
      <c r="K4700">
        <v>1.1338699999999999</v>
      </c>
      <c r="L4700">
        <v>-58.021450000000002</v>
      </c>
      <c r="M4700">
        <v>0.57394519999999905</v>
      </c>
      <c r="N4700">
        <v>-1.5841770000000002E-2</v>
      </c>
      <c r="O4700">
        <v>-0.81874049999999998</v>
      </c>
      <c r="P4700">
        <v>0.62572759999999905</v>
      </c>
      <c r="Q4700">
        <v>0.20740169999999999</v>
      </c>
      <c r="R4700">
        <v>-0.75196419999999997</v>
      </c>
      <c r="S4700">
        <v>2.6654969999999998</v>
      </c>
      <c r="T4700">
        <v>0.1196055</v>
      </c>
      <c r="U4700">
        <v>-1.7710570000000001</v>
      </c>
      <c r="V4700">
        <v>-8.7592009999999998E-2</v>
      </c>
      <c r="W4700">
        <v>0.2202144</v>
      </c>
      <c r="X4700">
        <v>0.97151080000000001</v>
      </c>
      <c r="Y4700">
        <v>-0.36334460000000002</v>
      </c>
      <c r="Z4700">
        <v>-4.5870000000000001E-2</v>
      </c>
      <c r="AA4700">
        <v>0.93052489999999999</v>
      </c>
      <c r="AB4700">
        <v>29</v>
      </c>
      <c r="AC4700">
        <v>50.735100000000003</v>
      </c>
      <c r="AD4700">
        <v>2.2879</v>
      </c>
      <c r="AE4700">
        <v>-33.54354</v>
      </c>
      <c r="AF4700">
        <v>-22.258028118815201</v>
      </c>
      <c r="AG4700">
        <v>2.2879</v>
      </c>
      <c r="AH4700">
        <v>56.509758786552702</v>
      </c>
      <c r="AI4700">
        <v>87.842685680502896</v>
      </c>
      <c r="AJ4700">
        <v>111.498457094426</v>
      </c>
      <c r="AK4700">
        <v>60.778344336304102</v>
      </c>
      <c r="AL4700">
        <v>77.278373803859907</v>
      </c>
      <c r="AM4700">
        <v>95.151892976099504</v>
      </c>
      <c r="AN4700">
        <v>0.99999998834991999</v>
      </c>
    </row>
    <row r="4701" spans="1:40" x14ac:dyDescent="0.25">
      <c r="A4701" t="str">
        <f>"20190303170907975"</f>
        <v>20190303170907975</v>
      </c>
      <c r="B4701" t="str">
        <f>"1551604147968528"</f>
        <v>1551604147968528</v>
      </c>
      <c r="C4701" t="s">
        <v>40</v>
      </c>
      <c r="D4701">
        <v>4.8417890000000003</v>
      </c>
      <c r="E4701">
        <v>0.34805609999999998</v>
      </c>
      <c r="F4701" t="s">
        <v>56</v>
      </c>
      <c r="G4701">
        <v>-235.78870000000001</v>
      </c>
      <c r="H4701">
        <v>5.6488290000000001</v>
      </c>
      <c r="I4701">
        <v>-91.18253</v>
      </c>
      <c r="J4701">
        <v>-296.2817</v>
      </c>
      <c r="K4701">
        <v>1.1339649999999999</v>
      </c>
      <c r="L4701">
        <v>-58.351289999999999</v>
      </c>
      <c r="M4701">
        <v>0.59412739999999997</v>
      </c>
      <c r="N4701">
        <v>-1.5896850000000001E-2</v>
      </c>
      <c r="O4701">
        <v>-0.80421399999999998</v>
      </c>
      <c r="P4701">
        <v>0.64465980000000001</v>
      </c>
      <c r="Q4701">
        <v>0.2071556</v>
      </c>
      <c r="R4701">
        <v>-0.735867099999999</v>
      </c>
      <c r="S4701">
        <v>2.8529049999999998</v>
      </c>
      <c r="T4701">
        <v>0.212007</v>
      </c>
      <c r="U4701">
        <v>-1.557129</v>
      </c>
      <c r="V4701">
        <v>-8.8162320000000002E-2</v>
      </c>
      <c r="W4701">
        <v>0.21998419999999999</v>
      </c>
      <c r="X4701">
        <v>0.97151140000000002</v>
      </c>
      <c r="Y4701">
        <v>-0.4187226</v>
      </c>
      <c r="Z4701">
        <v>-7.1560410000000005E-2</v>
      </c>
      <c r="AA4701">
        <v>0.90529029999999999</v>
      </c>
      <c r="AB4701">
        <v>29</v>
      </c>
      <c r="AC4701">
        <v>60.493000000000002</v>
      </c>
      <c r="AD4701">
        <v>4.5148640000000002</v>
      </c>
      <c r="AE4701">
        <v>-32.831239999999902</v>
      </c>
      <c r="AF4701">
        <v>-29.022179017784701</v>
      </c>
      <c r="AG4701">
        <v>4.5148640000000002</v>
      </c>
      <c r="AH4701">
        <v>62.084620705569002</v>
      </c>
      <c r="AI4701">
        <v>86.230881660828004</v>
      </c>
      <c r="AJ4701">
        <v>115.05428544890199</v>
      </c>
      <c r="AK4701">
        <v>68.681664220031806</v>
      </c>
      <c r="AL4701">
        <v>77.291895292974601</v>
      </c>
      <c r="AM4701">
        <v>95.185251405433107</v>
      </c>
      <c r="AN4701">
        <v>1.0000000216236899</v>
      </c>
    </row>
    <row r="4702" spans="1:40" x14ac:dyDescent="0.25">
      <c r="A4702" t="str">
        <f>"20190303170908008"</f>
        <v>20190303170908008</v>
      </c>
      <c r="B4702" t="str">
        <f>"1551604147998784"</f>
        <v>1551604147998784</v>
      </c>
      <c r="C4702" t="s">
        <v>40</v>
      </c>
      <c r="D4702">
        <v>4.7377310000000001</v>
      </c>
      <c r="E4702">
        <v>0.34189190000000003</v>
      </c>
      <c r="F4702" t="s">
        <v>78</v>
      </c>
      <c r="G4702">
        <v>-247.1448</v>
      </c>
      <c r="H4702">
        <v>4.8179489999999996</v>
      </c>
      <c r="I4702">
        <v>-82.857119999999995</v>
      </c>
      <c r="J4702">
        <v>-296.00479999999999</v>
      </c>
      <c r="K4702">
        <v>1.134037</v>
      </c>
      <c r="L4702">
        <v>-58.680880000000002</v>
      </c>
      <c r="M4702">
        <v>0.6144925</v>
      </c>
      <c r="N4702">
        <v>-1.5942580000000001E-2</v>
      </c>
      <c r="O4702">
        <v>-0.78876159999999995</v>
      </c>
      <c r="P4702">
        <v>0.66375609999999996</v>
      </c>
      <c r="Q4702">
        <v>0.20870130000000001</v>
      </c>
      <c r="R4702">
        <v>-0.71824219999999905</v>
      </c>
      <c r="S4702">
        <v>2.9205930000000002</v>
      </c>
      <c r="T4702">
        <v>0.21896889999999999</v>
      </c>
      <c r="U4702">
        <v>-1.4565729999999999</v>
      </c>
      <c r="V4702">
        <v>-8.9193129999999995E-2</v>
      </c>
      <c r="W4702">
        <v>0.2215222</v>
      </c>
      <c r="X4702">
        <v>0.97106769999999998</v>
      </c>
      <c r="Y4702">
        <v>-0.42888609999999999</v>
      </c>
      <c r="Z4702">
        <v>-7.2458300000000003E-2</v>
      </c>
      <c r="AA4702">
        <v>0.90044799999999903</v>
      </c>
      <c r="AB4702">
        <v>29</v>
      </c>
      <c r="AC4702">
        <v>48.8599999999999</v>
      </c>
      <c r="AD4702">
        <v>3.6839119999999999</v>
      </c>
      <c r="AE4702">
        <v>-24.17624</v>
      </c>
      <c r="AF4702">
        <v>-23.578109532097699</v>
      </c>
      <c r="AG4702">
        <v>3.6839119999999999</v>
      </c>
      <c r="AH4702">
        <v>48.8764290482994</v>
      </c>
      <c r="AI4702">
        <v>86.116388676724</v>
      </c>
      <c r="AJ4702">
        <v>115.752775706452</v>
      </c>
      <c r="AK4702">
        <v>54.391210441070299</v>
      </c>
      <c r="AL4702">
        <v>77.201544989282198</v>
      </c>
      <c r="AM4702">
        <v>95.247925458021697</v>
      </c>
      <c r="AN4702">
        <v>0.99999998875766305</v>
      </c>
    </row>
    <row r="4703" spans="1:40" x14ac:dyDescent="0.25">
      <c r="A4703" t="str">
        <f>"20190303170908041"</f>
        <v>20190303170908041</v>
      </c>
      <c r="B4703" t="str">
        <f>"1551604148029040"</f>
        <v>1551604148029040</v>
      </c>
      <c r="C4703" t="s">
        <v>40</v>
      </c>
      <c r="D4703">
        <v>4.8083790000000004</v>
      </c>
      <c r="E4703">
        <v>0.34007379999999998</v>
      </c>
      <c r="F4703" t="s">
        <v>78</v>
      </c>
      <c r="G4703">
        <v>-247.1448</v>
      </c>
      <c r="H4703">
        <v>5.3283630000000004</v>
      </c>
      <c r="I4703">
        <v>-80.610479999999995</v>
      </c>
      <c r="J4703">
        <v>-295.73349999999999</v>
      </c>
      <c r="K4703">
        <v>1.134072</v>
      </c>
      <c r="L4703">
        <v>-58.986510000000003</v>
      </c>
      <c r="M4703">
        <v>0.63356679999999999</v>
      </c>
      <c r="N4703">
        <v>-1.5975010000000001E-2</v>
      </c>
      <c r="O4703">
        <v>-0.77352310000000002</v>
      </c>
      <c r="P4703">
        <v>0.68251189999999995</v>
      </c>
      <c r="Q4703">
        <v>0.20980170000000001</v>
      </c>
      <c r="R4703">
        <v>-0.70011499999999904</v>
      </c>
      <c r="S4703">
        <v>2.987946</v>
      </c>
      <c r="T4703">
        <v>0.25649699999999998</v>
      </c>
      <c r="U4703">
        <v>-1.341064</v>
      </c>
      <c r="V4703">
        <v>-9.1424560000000002E-2</v>
      </c>
      <c r="W4703">
        <v>0.22257150000000001</v>
      </c>
      <c r="X4703">
        <v>0.97062020000000004</v>
      </c>
      <c r="Y4703">
        <v>-0.4426465</v>
      </c>
      <c r="Z4703">
        <v>-8.1975759999999995E-2</v>
      </c>
      <c r="AA4703">
        <v>0.89294119999999999</v>
      </c>
      <c r="AB4703">
        <v>29</v>
      </c>
      <c r="AC4703">
        <v>48.588699999999903</v>
      </c>
      <c r="AD4703">
        <v>4.1942909999999998</v>
      </c>
      <c r="AE4703">
        <v>-21.62397</v>
      </c>
      <c r="AF4703">
        <v>-23.7396468841428</v>
      </c>
      <c r="AG4703">
        <v>4.1942909999999998</v>
      </c>
      <c r="AH4703">
        <v>47.223176595057701</v>
      </c>
      <c r="AI4703">
        <v>85.4627783857716</v>
      </c>
      <c r="AJ4703">
        <v>116.689214869108</v>
      </c>
      <c r="AK4703">
        <v>53.020668789675597</v>
      </c>
      <c r="AL4703">
        <v>77.139886021088699</v>
      </c>
      <c r="AM4703">
        <v>95.380922376246403</v>
      </c>
      <c r="AN4703">
        <v>1.00000004771574</v>
      </c>
    </row>
    <row r="4704" spans="1:40" x14ac:dyDescent="0.25">
      <c r="A4704" t="str">
        <f>"20190303170908086"</f>
        <v>20190303170908086</v>
      </c>
      <c r="B4704" t="str">
        <f>"1551604148078816"</f>
        <v>1551604148078816</v>
      </c>
      <c r="C4704" t="s">
        <v>40</v>
      </c>
      <c r="D4704">
        <v>4.8979860000000004</v>
      </c>
      <c r="E4704">
        <v>0.34317320000000001</v>
      </c>
      <c r="F4704" t="s">
        <v>56</v>
      </c>
      <c r="G4704">
        <v>-235.78870000000001</v>
      </c>
      <c r="H4704">
        <v>6.4350149999999999</v>
      </c>
      <c r="I4704">
        <v>-83.708129999999997</v>
      </c>
      <c r="J4704">
        <v>-295.34350000000001</v>
      </c>
      <c r="K4704">
        <v>1.1340779999999999</v>
      </c>
      <c r="L4704">
        <v>-59.401699999999998</v>
      </c>
      <c r="M4704">
        <v>0.65962149999999997</v>
      </c>
      <c r="N4704">
        <v>-1.6007879999999999E-2</v>
      </c>
      <c r="O4704">
        <v>-0.75142769999999903</v>
      </c>
      <c r="P4704">
        <v>0.70766830000000003</v>
      </c>
      <c r="Q4704">
        <v>0.2092572</v>
      </c>
      <c r="R4704">
        <v>-0.67484619999999995</v>
      </c>
      <c r="S4704">
        <v>3.0309140000000001</v>
      </c>
      <c r="T4704">
        <v>0.26802540000000002</v>
      </c>
      <c r="U4704">
        <v>-1.2499690000000001</v>
      </c>
      <c r="V4704">
        <v>-9.3664789999999998E-2</v>
      </c>
      <c r="W4704">
        <v>0.2219834</v>
      </c>
      <c r="X4704">
        <v>0.97054119999999999</v>
      </c>
      <c r="Y4704">
        <v>-0.43927569999999999</v>
      </c>
      <c r="Z4704">
        <v>-8.3299849999999995E-2</v>
      </c>
      <c r="AA4704">
        <v>0.894482</v>
      </c>
      <c r="AB4704">
        <v>29</v>
      </c>
      <c r="AC4704">
        <v>59.5548</v>
      </c>
      <c r="AD4704">
        <v>5.3009369999999896</v>
      </c>
      <c r="AE4704">
        <v>-24.306429999999999</v>
      </c>
      <c r="AF4704">
        <v>-28.5280124839745</v>
      </c>
      <c r="AG4704">
        <v>5.3009369999999896</v>
      </c>
      <c r="AH4704">
        <v>57.167269944576503</v>
      </c>
      <c r="AI4704">
        <v>85.257054371656693</v>
      </c>
      <c r="AJ4704">
        <v>116.520435801959</v>
      </c>
      <c r="AK4704">
        <v>64.109626284044595</v>
      </c>
      <c r="AL4704">
        <v>77.174445255492301</v>
      </c>
      <c r="AM4704">
        <v>95.512417805137801</v>
      </c>
      <c r="AN4704">
        <v>0.99999997182937095</v>
      </c>
    </row>
    <row r="4705" spans="1:40" x14ac:dyDescent="0.25">
      <c r="A4705" t="str">
        <f>"20190303170908109"</f>
        <v>20190303170908109</v>
      </c>
      <c r="B4705" t="str">
        <f>"1551604148098336"</f>
        <v>1551604148098336</v>
      </c>
      <c r="C4705" t="s">
        <v>40</v>
      </c>
      <c r="D4705">
        <v>4.8388400000000003</v>
      </c>
      <c r="E4705">
        <v>0.34421770000000002</v>
      </c>
      <c r="F4705" t="s">
        <v>56</v>
      </c>
      <c r="G4705">
        <v>-235.78870000000001</v>
      </c>
      <c r="H4705">
        <v>5.953786</v>
      </c>
      <c r="I4705">
        <v>-81.929609999999997</v>
      </c>
      <c r="J4705">
        <v>-295.15170000000001</v>
      </c>
      <c r="K4705">
        <v>1.1340790000000001</v>
      </c>
      <c r="L4705">
        <v>-59.595829999999999</v>
      </c>
      <c r="M4705">
        <v>0.67186020000000002</v>
      </c>
      <c r="N4705">
        <v>-1.6019129999999999E-2</v>
      </c>
      <c r="O4705">
        <v>-0.74050469999999902</v>
      </c>
      <c r="P4705">
        <v>0.71842799999999996</v>
      </c>
      <c r="Q4705">
        <v>0.211008</v>
      </c>
      <c r="R4705">
        <v>-0.6628252</v>
      </c>
      <c r="S4705">
        <v>3.0615839999999999</v>
      </c>
      <c r="T4705">
        <v>0.24777109999999999</v>
      </c>
      <c r="U4705">
        <v>-1.158112</v>
      </c>
      <c r="V4705">
        <v>-9.3774319999999994E-2</v>
      </c>
      <c r="W4705">
        <v>0.22373689999999999</v>
      </c>
      <c r="X4705">
        <v>0.97012790000000004</v>
      </c>
      <c r="Y4705">
        <v>-0.45146160000000002</v>
      </c>
      <c r="Z4705">
        <v>-7.7328149999999998E-2</v>
      </c>
      <c r="AA4705">
        <v>0.88893349999999904</v>
      </c>
      <c r="AB4705">
        <v>29</v>
      </c>
      <c r="AC4705">
        <v>59.363</v>
      </c>
      <c r="AD4705">
        <v>4.8197070000000002</v>
      </c>
      <c r="AE4705">
        <v>-22.333779999999901</v>
      </c>
      <c r="AF4705">
        <v>-28.7908651624528</v>
      </c>
      <c r="AG4705">
        <v>4.8197070000000002</v>
      </c>
      <c r="AH4705">
        <v>56.1051670860111</v>
      </c>
      <c r="AI4705">
        <v>85.629429247876502</v>
      </c>
      <c r="AJ4705">
        <v>117.165030112433</v>
      </c>
      <c r="AK4705">
        <v>63.245025623503501</v>
      </c>
      <c r="AL4705">
        <v>77.071385316332595</v>
      </c>
      <c r="AM4705">
        <v>95.521160797595101</v>
      </c>
      <c r="AN4705">
        <v>0.99999998293574099</v>
      </c>
    </row>
    <row r="4706" spans="1:40" x14ac:dyDescent="0.25">
      <c r="A4706" t="str">
        <f>"20190303170908130"</f>
        <v>20190303170908130</v>
      </c>
      <c r="B4706" t="str">
        <f>"1551604148118833"</f>
        <v>1551604148118833</v>
      </c>
      <c r="C4706" t="s">
        <v>40</v>
      </c>
      <c r="D4706">
        <v>4.8297350000000003</v>
      </c>
      <c r="E4706">
        <v>0.3454007</v>
      </c>
      <c r="F4706" t="s">
        <v>56</v>
      </c>
      <c r="G4706">
        <v>-235.78870000000001</v>
      </c>
      <c r="H4706">
        <v>5.9286589999999997</v>
      </c>
      <c r="I4706">
        <v>-81.093800000000002</v>
      </c>
      <c r="J4706">
        <v>-294.95819999999998</v>
      </c>
      <c r="K4706">
        <v>1.1340809999999999</v>
      </c>
      <c r="L4706">
        <v>-59.784999999999997</v>
      </c>
      <c r="M4706">
        <v>0.68383380000000005</v>
      </c>
      <c r="N4706">
        <v>-1.6027690000000001E-2</v>
      </c>
      <c r="O4706">
        <v>-0.72946180000000005</v>
      </c>
      <c r="P4706">
        <v>0.72883659999999995</v>
      </c>
      <c r="Q4706">
        <v>0.21340229999999999</v>
      </c>
      <c r="R4706">
        <v>-0.65058179999999999</v>
      </c>
      <c r="S4706">
        <v>3.0753170000000001</v>
      </c>
      <c r="T4706">
        <v>0.24838479999999999</v>
      </c>
      <c r="U4706">
        <v>-1.1137079999999999</v>
      </c>
      <c r="V4706">
        <v>-9.3939869999999995E-2</v>
      </c>
      <c r="W4706">
        <v>0.2261282</v>
      </c>
      <c r="X4706">
        <v>0.96955729999999996</v>
      </c>
      <c r="Y4706">
        <v>-0.44957530000000001</v>
      </c>
      <c r="Z4706">
        <v>-7.6666849999999995E-2</v>
      </c>
      <c r="AA4706">
        <v>0.88994619999999902</v>
      </c>
      <c r="AB4706">
        <v>29</v>
      </c>
      <c r="AC4706">
        <v>59.1694999999999</v>
      </c>
      <c r="AD4706">
        <v>4.7945779999999996</v>
      </c>
      <c r="AE4706">
        <v>-21.308800000000002</v>
      </c>
      <c r="AF4706">
        <v>-28.428649951015199</v>
      </c>
      <c r="AG4706">
        <v>4.7945779999999996</v>
      </c>
      <c r="AH4706">
        <v>55.6895712373165</v>
      </c>
      <c r="AI4706">
        <v>85.615072273473402</v>
      </c>
      <c r="AJ4706">
        <v>117.043596522588</v>
      </c>
      <c r="AK4706">
        <v>62.709683947789102</v>
      </c>
      <c r="AL4706">
        <v>76.930770889179897</v>
      </c>
      <c r="AM4706">
        <v>95.534082308773193</v>
      </c>
      <c r="AN4706">
        <v>1.0000000099970701</v>
      </c>
    </row>
    <row r="4707" spans="1:40" x14ac:dyDescent="0.25">
      <c r="A4707" t="str">
        <f>"20190303170908153"</f>
        <v>20190303170908153</v>
      </c>
      <c r="B4707" t="str">
        <f>"1551604148148728"</f>
        <v>1551604148148728</v>
      </c>
      <c r="C4707" t="s">
        <v>40</v>
      </c>
      <c r="D4707">
        <v>4.855785</v>
      </c>
      <c r="E4707">
        <v>0.34732030000000003</v>
      </c>
      <c r="F4707" t="s">
        <v>56</v>
      </c>
      <c r="G4707">
        <v>-235.78870000000001</v>
      </c>
      <c r="H4707">
        <v>5.9334559999999996</v>
      </c>
      <c r="I4707">
        <v>-80.292599999999993</v>
      </c>
      <c r="J4707">
        <v>-294.75139999999999</v>
      </c>
      <c r="K4707">
        <v>1.134061</v>
      </c>
      <c r="L4707">
        <v>-59.980319999999899</v>
      </c>
      <c r="M4707">
        <v>0.69623449999999998</v>
      </c>
      <c r="N4707">
        <v>-1.6034389999999999E-2</v>
      </c>
      <c r="O4707">
        <v>-0.71763540000000003</v>
      </c>
      <c r="P4707">
        <v>0.74066350000000003</v>
      </c>
      <c r="Q4707">
        <v>0.21365880000000001</v>
      </c>
      <c r="R4707">
        <v>-0.63699899999999998</v>
      </c>
      <c r="S4707">
        <v>3.0875849999999998</v>
      </c>
      <c r="T4707">
        <v>0.25044159999999999</v>
      </c>
      <c r="U4707">
        <v>-1.0701290000000001</v>
      </c>
      <c r="V4707">
        <v>-9.5198720000000001E-2</v>
      </c>
      <c r="W4707">
        <v>0.2263511</v>
      </c>
      <c r="X4707">
        <v>0.96938250000000004</v>
      </c>
      <c r="Y4707">
        <v>-0.446573</v>
      </c>
      <c r="Z4707">
        <v>-7.6301330000000001E-2</v>
      </c>
      <c r="AA4707">
        <v>0.8914879</v>
      </c>
      <c r="AB4707">
        <v>29</v>
      </c>
      <c r="AC4707">
        <v>58.962699999999899</v>
      </c>
      <c r="AD4707">
        <v>4.7993949999999996</v>
      </c>
      <c r="AE4707">
        <v>-20.312279999999902</v>
      </c>
      <c r="AF4707">
        <v>-28.0093420577847</v>
      </c>
      <c r="AG4707">
        <v>4.7993949999999996</v>
      </c>
      <c r="AH4707">
        <v>55.308255650357097</v>
      </c>
      <c r="AI4707">
        <v>85.573312489875093</v>
      </c>
      <c r="AJ4707">
        <v>116.85867747674899</v>
      </c>
      <c r="AK4707">
        <v>62.181673972009399</v>
      </c>
      <c r="AL4707">
        <v>76.917659895929006</v>
      </c>
      <c r="AM4707">
        <v>95.608777445478594</v>
      </c>
      <c r="AN4707">
        <v>1.00000002403354</v>
      </c>
    </row>
    <row r="4708" spans="1:40" x14ac:dyDescent="0.25">
      <c r="A4708" t="str">
        <f>"20190303170908176"</f>
        <v>20190303170908176</v>
      </c>
      <c r="B4708" t="str">
        <f>"1551604148168248"</f>
        <v>1551604148168248</v>
      </c>
      <c r="C4708" t="s">
        <v>40</v>
      </c>
      <c r="D4708">
        <v>4.9083909999999999</v>
      </c>
      <c r="E4708">
        <v>0.34878360000000003</v>
      </c>
      <c r="F4708" t="s">
        <v>56</v>
      </c>
      <c r="G4708">
        <v>-234.08670000000001</v>
      </c>
      <c r="H4708">
        <v>5.8650699999999896</v>
      </c>
      <c r="I4708">
        <v>-80.065659999999994</v>
      </c>
      <c r="J4708">
        <v>-294.54320000000001</v>
      </c>
      <c r="K4708">
        <v>1.1340479999999999</v>
      </c>
      <c r="L4708">
        <v>-60.170349999999999</v>
      </c>
      <c r="M4708">
        <v>0.70832810000000002</v>
      </c>
      <c r="N4708">
        <v>-1.6039100000000001E-2</v>
      </c>
      <c r="O4708">
        <v>-0.70570129999999998</v>
      </c>
      <c r="P4708">
        <v>0.75234659999999998</v>
      </c>
      <c r="Q4708">
        <v>0.21318290000000001</v>
      </c>
      <c r="R4708">
        <v>-0.62332010000000004</v>
      </c>
      <c r="S4708">
        <v>3.0984189999999998</v>
      </c>
      <c r="T4708">
        <v>0.24163399999999999</v>
      </c>
      <c r="U4708">
        <v>-1.0258480000000001</v>
      </c>
      <c r="V4708">
        <v>-9.6566620000000006E-2</v>
      </c>
      <c r="W4708">
        <v>0.22583929999999999</v>
      </c>
      <c r="X4708">
        <v>0.96936659999999997</v>
      </c>
      <c r="Y4708">
        <v>-0.44404339999999998</v>
      </c>
      <c r="Z4708">
        <v>-7.3052790000000006E-2</v>
      </c>
      <c r="AA4708">
        <v>0.89302219999999999</v>
      </c>
      <c r="AB4708">
        <v>28</v>
      </c>
      <c r="AC4708">
        <v>60.456499999999998</v>
      </c>
      <c r="AD4708">
        <v>4.7310219999999896</v>
      </c>
      <c r="AE4708">
        <v>-19.895309999999899</v>
      </c>
      <c r="AF4708">
        <v>-28.4184704665673</v>
      </c>
      <c r="AG4708">
        <v>4.7310219999999896</v>
      </c>
      <c r="AH4708">
        <v>56.5579831419576</v>
      </c>
      <c r="AI4708">
        <v>85.725426059798806</v>
      </c>
      <c r="AJ4708">
        <v>116.677978347083</v>
      </c>
      <c r="AK4708">
        <v>63.472809059546201</v>
      </c>
      <c r="AL4708">
        <v>76.947763788954205</v>
      </c>
      <c r="AM4708">
        <v>95.688937135988397</v>
      </c>
      <c r="AN4708">
        <v>1.00000005335913</v>
      </c>
    </row>
    <row r="4709" spans="1:40" x14ac:dyDescent="0.25">
      <c r="A4709" t="str">
        <f>"20190303170908197"</f>
        <v>20190303170908197</v>
      </c>
      <c r="B4709" t="str">
        <f>"1551604148188745"</f>
        <v>1551604148188745</v>
      </c>
      <c r="C4709" t="s">
        <v>40</v>
      </c>
      <c r="D4709">
        <v>4.8889310000000004</v>
      </c>
      <c r="E4709">
        <v>0.34996129999999998</v>
      </c>
      <c r="F4709" t="s">
        <v>56</v>
      </c>
      <c r="G4709">
        <v>-231.3057</v>
      </c>
      <c r="H4709">
        <v>5.8578650000000003</v>
      </c>
      <c r="I4709">
        <v>-80.065669999999997</v>
      </c>
      <c r="J4709">
        <v>-294.33929999999998</v>
      </c>
      <c r="K4709">
        <v>1.134028</v>
      </c>
      <c r="L4709">
        <v>-60.3504</v>
      </c>
      <c r="M4709">
        <v>0.71981200000000001</v>
      </c>
      <c r="N4709">
        <v>-1.6042069999999999E-2</v>
      </c>
      <c r="O4709">
        <v>-0.69398380000000004</v>
      </c>
      <c r="P4709">
        <v>0.7626792</v>
      </c>
      <c r="Q4709">
        <v>0.212974</v>
      </c>
      <c r="R4709">
        <v>-0.61070669999999905</v>
      </c>
      <c r="S4709">
        <v>3.1108090000000002</v>
      </c>
      <c r="T4709">
        <v>0.23237630000000001</v>
      </c>
      <c r="U4709">
        <v>-0.97869870000000003</v>
      </c>
      <c r="V4709">
        <v>-9.6827049999999998E-2</v>
      </c>
      <c r="W4709">
        <v>0.2256293</v>
      </c>
      <c r="X4709">
        <v>0.96938939999999996</v>
      </c>
      <c r="Y4709">
        <v>-0.44294270000000002</v>
      </c>
      <c r="Z4709">
        <v>-6.9749809999999995E-2</v>
      </c>
      <c r="AA4709">
        <v>0.89383259999999898</v>
      </c>
      <c r="AB4709">
        <v>28</v>
      </c>
      <c r="AC4709">
        <v>63.0335999999999</v>
      </c>
      <c r="AD4709">
        <v>4.7238369999999996</v>
      </c>
      <c r="AE4709">
        <v>-19.71527</v>
      </c>
      <c r="AF4709">
        <v>-29.406373735156802</v>
      </c>
      <c r="AG4709">
        <v>4.7238369999999996</v>
      </c>
      <c r="AH4709">
        <v>58.761404516138001</v>
      </c>
      <c r="AI4709">
        <v>85.888048932939398</v>
      </c>
      <c r="AJ4709">
        <v>116.585072621469</v>
      </c>
      <c r="AK4709">
        <v>65.878312918315601</v>
      </c>
      <c r="AL4709">
        <v>76.960113104885707</v>
      </c>
      <c r="AM4709">
        <v>95.7040452798811</v>
      </c>
      <c r="AN4709">
        <v>0.99999993373127405</v>
      </c>
    </row>
    <row r="4710" spans="1:40" x14ac:dyDescent="0.25">
      <c r="A4710" t="str">
        <f>"20190303170908243"</f>
        <v>20190303170908243</v>
      </c>
      <c r="B4710" t="str">
        <f>"1551604148238520"</f>
        <v>1551604148238520</v>
      </c>
      <c r="C4710" t="s">
        <v>40</v>
      </c>
      <c r="D4710">
        <v>4.920731</v>
      </c>
      <c r="E4710">
        <v>0.37159589999999998</v>
      </c>
      <c r="F4710" t="s">
        <v>56</v>
      </c>
      <c r="G4710">
        <v>-228.4753</v>
      </c>
      <c r="H4710">
        <v>5.9325919999999996</v>
      </c>
      <c r="I4710">
        <v>-80.065690000000004</v>
      </c>
      <c r="J4710">
        <v>-293.91109999999998</v>
      </c>
      <c r="K4710">
        <v>1.1339859999999999</v>
      </c>
      <c r="L4710">
        <v>-60.70984</v>
      </c>
      <c r="M4710">
        <v>0.74281809999999904</v>
      </c>
      <c r="N4710">
        <v>-1.6044340000000001E-2</v>
      </c>
      <c r="O4710">
        <v>-0.66930119999999904</v>
      </c>
      <c r="P4710">
        <v>0.78228379999999997</v>
      </c>
      <c r="Q4710">
        <v>0.21436569999999999</v>
      </c>
      <c r="R4710">
        <v>-0.5848757</v>
      </c>
      <c r="S4710">
        <v>3.1217649999999999</v>
      </c>
      <c r="T4710">
        <v>0.22743840000000001</v>
      </c>
      <c r="U4710">
        <v>-0.93444819999999995</v>
      </c>
      <c r="V4710">
        <v>-9.6282329999999999E-2</v>
      </c>
      <c r="W4710">
        <v>0.22704589999999999</v>
      </c>
      <c r="X4710">
        <v>0.96911290000000005</v>
      </c>
      <c r="Y4710">
        <v>-0.4253344</v>
      </c>
      <c r="Z4710">
        <v>-6.6263199999999994E-2</v>
      </c>
      <c r="AA4710">
        <v>0.90260720000000005</v>
      </c>
      <c r="AB4710">
        <v>28</v>
      </c>
      <c r="AC4710">
        <v>65.435799999999901</v>
      </c>
      <c r="AD4710">
        <v>4.7986060000000004</v>
      </c>
      <c r="AE4710">
        <v>-19.35585</v>
      </c>
      <c r="AF4710">
        <v>-29.2773889552615</v>
      </c>
      <c r="AG4710">
        <v>4.7986060000000004</v>
      </c>
      <c r="AH4710">
        <v>61.2667403493842</v>
      </c>
      <c r="AI4710">
        <v>85.957694197848596</v>
      </c>
      <c r="AJ4710">
        <v>115.541623299612</v>
      </c>
      <c r="AK4710">
        <v>68.072061792043399</v>
      </c>
      <c r="AL4710">
        <v>76.876785935885096</v>
      </c>
      <c r="AM4710">
        <v>95.673773648354896</v>
      </c>
      <c r="AN4710">
        <v>0.99999997036172406</v>
      </c>
    </row>
    <row r="4711" spans="1:40" x14ac:dyDescent="0.25">
      <c r="A4711" t="str">
        <f>"20190303170908265"</f>
        <v>20190303170908265</v>
      </c>
      <c r="B4711" t="str">
        <f>"1551604148259016"</f>
        <v>1551604148259016</v>
      </c>
      <c r="C4711" t="s">
        <v>40</v>
      </c>
      <c r="D4711">
        <v>4.9327110000000003</v>
      </c>
      <c r="E4711">
        <v>0.37342629999999999</v>
      </c>
      <c r="F4711" t="s">
        <v>56</v>
      </c>
      <c r="G4711">
        <v>-227.51820000000001</v>
      </c>
      <c r="H4711">
        <v>4.3454009999999998</v>
      </c>
      <c r="I4711">
        <v>-81.816599999999994</v>
      </c>
      <c r="J4711">
        <v>-293.69369999999998</v>
      </c>
      <c r="K4711">
        <v>1.133966</v>
      </c>
      <c r="L4711">
        <v>-60.883180000000003</v>
      </c>
      <c r="M4711">
        <v>0.75395509999999999</v>
      </c>
      <c r="N4711">
        <v>-1.6043829999999999E-2</v>
      </c>
      <c r="O4711">
        <v>-0.65673000000000004</v>
      </c>
      <c r="P4711">
        <v>0.79219490000000004</v>
      </c>
      <c r="Q4711">
        <v>0.21441579999999999</v>
      </c>
      <c r="R4711">
        <v>-0.5713608</v>
      </c>
      <c r="S4711">
        <v>3.0656129999999999</v>
      </c>
      <c r="T4711">
        <v>0.14828339999999901</v>
      </c>
      <c r="U4711">
        <v>-0.97457890000000003</v>
      </c>
      <c r="V4711">
        <v>-9.6620979999999995E-2</v>
      </c>
      <c r="W4711">
        <v>0.22708909999999999</v>
      </c>
      <c r="X4711">
        <v>0.96906910000000002</v>
      </c>
      <c r="Y4711">
        <v>-0.39610479999999998</v>
      </c>
      <c r="Z4711">
        <v>-4.5456580000000003E-2</v>
      </c>
      <c r="AA4711">
        <v>0.91707939999999999</v>
      </c>
      <c r="AB4711">
        <v>28</v>
      </c>
      <c r="AC4711">
        <v>66.1754999999999</v>
      </c>
      <c r="AD4711">
        <v>3.2114349999999998</v>
      </c>
      <c r="AE4711">
        <v>-20.933419999999899</v>
      </c>
      <c r="AF4711">
        <v>-27.621007923509001</v>
      </c>
      <c r="AG4711">
        <v>3.2114349999999998</v>
      </c>
      <c r="AH4711">
        <v>63.513181418971897</v>
      </c>
      <c r="AI4711">
        <v>87.345192718102098</v>
      </c>
      <c r="AJ4711">
        <v>113.503558585731</v>
      </c>
      <c r="AK4711">
        <v>69.333668642507405</v>
      </c>
      <c r="AL4711">
        <v>76.874244723768797</v>
      </c>
      <c r="AM4711">
        <v>95.693854545939899</v>
      </c>
      <c r="AN4711">
        <v>0.99999999684489005</v>
      </c>
    </row>
    <row r="4712" spans="1:40" x14ac:dyDescent="0.25">
      <c r="A4712" t="str">
        <f>"20190303170908287"</f>
        <v>20190303170908287</v>
      </c>
      <c r="B4712" t="str">
        <f>"1551604148278536"</f>
        <v>1551604148278536</v>
      </c>
      <c r="C4712" t="s">
        <v>40</v>
      </c>
      <c r="D4712">
        <v>4.9559119999999997</v>
      </c>
      <c r="E4712">
        <v>0.37545729999999999</v>
      </c>
      <c r="F4712" t="s">
        <v>56</v>
      </c>
      <c r="G4712">
        <v>-224.86680000000001</v>
      </c>
      <c r="H4712">
        <v>4.1975280000000001</v>
      </c>
      <c r="I4712">
        <v>-81.816559999999996</v>
      </c>
      <c r="J4712">
        <v>-293.48200000000003</v>
      </c>
      <c r="K4712">
        <v>1.1339379999999999</v>
      </c>
      <c r="L4712">
        <v>-61.046329999999998</v>
      </c>
      <c r="M4712">
        <v>0.76446380000000003</v>
      </c>
      <c r="N4712">
        <v>-1.6042420000000002E-2</v>
      </c>
      <c r="O4712">
        <v>-0.64446700000000001</v>
      </c>
      <c r="P4712">
        <v>0.80155799999999999</v>
      </c>
      <c r="Q4712">
        <v>0.2140841</v>
      </c>
      <c r="R4712">
        <v>-0.55827709999999997</v>
      </c>
      <c r="S4712">
        <v>3.0752869999999999</v>
      </c>
      <c r="T4712">
        <v>0.13688449999999999</v>
      </c>
      <c r="U4712">
        <v>-0.93533330000000003</v>
      </c>
      <c r="V4712">
        <v>-9.6914330000000007E-2</v>
      </c>
      <c r="W4712">
        <v>0.22675339999999999</v>
      </c>
      <c r="X4712">
        <v>0.96911840000000005</v>
      </c>
      <c r="Y4712">
        <v>-0.39297510000000002</v>
      </c>
      <c r="Z4712">
        <v>-4.1912560000000001E-2</v>
      </c>
      <c r="AA4712">
        <v>0.91859349999999995</v>
      </c>
      <c r="AB4712">
        <v>28</v>
      </c>
      <c r="AC4712">
        <v>68.615200000000002</v>
      </c>
      <c r="AD4712">
        <v>3.06359</v>
      </c>
      <c r="AE4712">
        <v>-20.770229999999898</v>
      </c>
      <c r="AF4712">
        <v>-28.294120960067001</v>
      </c>
      <c r="AG4712">
        <v>3.06359</v>
      </c>
      <c r="AH4712">
        <v>65.728007512299399</v>
      </c>
      <c r="AI4712">
        <v>87.548554245017797</v>
      </c>
      <c r="AJ4712">
        <v>113.290564230512</v>
      </c>
      <c r="AK4712">
        <v>71.624812991922596</v>
      </c>
      <c r="AL4712">
        <v>76.893993925956494</v>
      </c>
      <c r="AM4712">
        <v>95.710738892564805</v>
      </c>
      <c r="AN4712">
        <v>0.99999998249473399</v>
      </c>
    </row>
    <row r="4713" spans="1:40" x14ac:dyDescent="0.25">
      <c r="A4713" t="str">
        <f>"20190303170908309"</f>
        <v>20190303170908309</v>
      </c>
      <c r="B4713" t="str">
        <f>"1551604148299033"</f>
        <v>1551604148299033</v>
      </c>
      <c r="C4713" t="s">
        <v>40</v>
      </c>
      <c r="D4713">
        <v>4.9482920000000004</v>
      </c>
      <c r="E4713">
        <v>0.37720700000000001</v>
      </c>
      <c r="F4713" t="s">
        <v>56</v>
      </c>
      <c r="G4713">
        <v>-222.23769999999999</v>
      </c>
      <c r="H4713">
        <v>4.0547279999999999</v>
      </c>
      <c r="I4713">
        <v>-81.816509999999994</v>
      </c>
      <c r="J4713">
        <v>-293.26209999999998</v>
      </c>
      <c r="K4713">
        <v>1.133904</v>
      </c>
      <c r="L4713">
        <v>-61.210050000000003</v>
      </c>
      <c r="M4713">
        <v>0.77503259999999996</v>
      </c>
      <c r="N4713">
        <v>-1.6039899999999999E-2</v>
      </c>
      <c r="O4713">
        <v>-0.63171769999999905</v>
      </c>
      <c r="P4713">
        <v>0.81005329999999998</v>
      </c>
      <c r="Q4713">
        <v>0.21396850000000001</v>
      </c>
      <c r="R4713">
        <v>-0.54592259999999904</v>
      </c>
      <c r="S4713">
        <v>3.083008</v>
      </c>
      <c r="T4713">
        <v>0.1263937</v>
      </c>
      <c r="U4713">
        <v>-0.89880369999999998</v>
      </c>
      <c r="V4713">
        <v>-9.5716280000000001E-2</v>
      </c>
      <c r="W4713">
        <v>0.22668089999999999</v>
      </c>
      <c r="X4713">
        <v>0.96925439999999996</v>
      </c>
      <c r="Y4713">
        <v>-0.3885497</v>
      </c>
      <c r="Z4713">
        <v>-3.8631209999999999E-2</v>
      </c>
      <c r="AA4713">
        <v>0.92061760000000004</v>
      </c>
      <c r="AB4713">
        <v>28</v>
      </c>
      <c r="AC4713">
        <v>71.024399999999901</v>
      </c>
      <c r="AD4713">
        <v>2.9208240000000001</v>
      </c>
      <c r="AE4713">
        <v>-20.606459999999899</v>
      </c>
      <c r="AF4713">
        <v>-28.855397997295199</v>
      </c>
      <c r="AG4713">
        <v>2.9208240000000001</v>
      </c>
      <c r="AH4713">
        <v>67.966425611225702</v>
      </c>
      <c r="AI4713">
        <v>87.734724753383205</v>
      </c>
      <c r="AJ4713">
        <v>113.003829949384</v>
      </c>
      <c r="AK4713">
        <v>73.895874152672107</v>
      </c>
      <c r="AL4713">
        <v>76.898258685340707</v>
      </c>
      <c r="AM4713">
        <v>95.639814748353999</v>
      </c>
      <c r="AN4713">
        <v>0.99999996430060301</v>
      </c>
    </row>
    <row r="4714" spans="1:40" x14ac:dyDescent="0.25">
      <c r="A4714" t="str">
        <f>"20190303170908332"</f>
        <v>20190303170908332</v>
      </c>
      <c r="B4714" t="str">
        <f>"1551604148318553"</f>
        <v>1551604148318553</v>
      </c>
      <c r="C4714" t="s">
        <v>40</v>
      </c>
      <c r="D4714">
        <v>4.9412789999999998</v>
      </c>
      <c r="E4714">
        <v>0.38820529999999998</v>
      </c>
      <c r="F4714" t="s">
        <v>56</v>
      </c>
      <c r="G4714">
        <v>-219.45670000000001</v>
      </c>
      <c r="H4714">
        <v>4.0033599999999998</v>
      </c>
      <c r="I4714">
        <v>-81.816500000000005</v>
      </c>
      <c r="J4714">
        <v>-293.03800000000001</v>
      </c>
      <c r="K4714">
        <v>1.133866</v>
      </c>
      <c r="L4714">
        <v>-61.370849999999997</v>
      </c>
      <c r="M4714">
        <v>0.78544740000000002</v>
      </c>
      <c r="N4714">
        <v>-1.603508E-2</v>
      </c>
      <c r="O4714">
        <v>-0.61872090000000002</v>
      </c>
      <c r="P4714">
        <v>0.81876110000000002</v>
      </c>
      <c r="Q4714">
        <v>0.21436189999999999</v>
      </c>
      <c r="R4714">
        <v>-0.53261579999999997</v>
      </c>
      <c r="S4714">
        <v>3.0902400000000001</v>
      </c>
      <c r="T4714">
        <v>0.1201445</v>
      </c>
      <c r="U4714">
        <v>-0.86279300000000003</v>
      </c>
      <c r="V4714">
        <v>-9.5333080000000001E-2</v>
      </c>
      <c r="W4714">
        <v>0.2270887</v>
      </c>
      <c r="X4714">
        <v>0.96919670000000002</v>
      </c>
      <c r="Y4714">
        <v>-0.38380130000000001</v>
      </c>
      <c r="Z4714">
        <v>-3.642944E-2</v>
      </c>
      <c r="AA4714">
        <v>0.92269679999999998</v>
      </c>
      <c r="AB4714">
        <v>28</v>
      </c>
      <c r="AC4714">
        <v>73.581299999999999</v>
      </c>
      <c r="AD4714">
        <v>2.8694939999999902</v>
      </c>
      <c r="AE4714">
        <v>-20.445650000000001</v>
      </c>
      <c r="AF4714">
        <v>-29.429541414503099</v>
      </c>
      <c r="AG4714">
        <v>2.8694939999999902</v>
      </c>
      <c r="AH4714">
        <v>70.354113050045996</v>
      </c>
      <c r="AI4714">
        <v>87.845143162411205</v>
      </c>
      <c r="AJ4714">
        <v>112.699846418945</v>
      </c>
      <c r="AK4714">
        <v>76.3153531521845</v>
      </c>
      <c r="AL4714">
        <v>76.874267745282197</v>
      </c>
      <c r="AM4714">
        <v>95.617712741020497</v>
      </c>
      <c r="AN4714">
        <v>0.999999958550432</v>
      </c>
    </row>
    <row r="4715" spans="1:40" x14ac:dyDescent="0.25">
      <c r="A4715" t="str">
        <f>"20190303170908355"</f>
        <v>20190303170908355</v>
      </c>
      <c r="B4715" t="str">
        <f>"1551604148348808"</f>
        <v>1551604148348808</v>
      </c>
      <c r="C4715" t="s">
        <v>40</v>
      </c>
      <c r="D4715">
        <v>4.918285</v>
      </c>
      <c r="E4715">
        <v>0.38875419999999999</v>
      </c>
      <c r="F4715" t="s">
        <v>56</v>
      </c>
      <c r="G4715">
        <v>-222.5444</v>
      </c>
      <c r="H4715">
        <v>2.8916759999999999</v>
      </c>
      <c r="I4715">
        <v>-81.816119999999998</v>
      </c>
      <c r="J4715">
        <v>-292.80509999999998</v>
      </c>
      <c r="K4715">
        <v>1.133831</v>
      </c>
      <c r="L4715">
        <v>-61.532040000000002</v>
      </c>
      <c r="M4715">
        <v>0.79590419999999995</v>
      </c>
      <c r="N4715">
        <v>-1.6027860000000001E-2</v>
      </c>
      <c r="O4715">
        <v>-0.60521049999999998</v>
      </c>
      <c r="P4715">
        <v>0.82859609999999995</v>
      </c>
      <c r="Q4715">
        <v>0.21372169999999999</v>
      </c>
      <c r="R4715">
        <v>-0.5174472</v>
      </c>
      <c r="S4715">
        <v>3.0656430000000001</v>
      </c>
      <c r="T4715">
        <v>7.6444269999999995E-2</v>
      </c>
      <c r="U4715">
        <v>-0.88912959999999996</v>
      </c>
      <c r="V4715">
        <v>-9.6681959999999997E-2</v>
      </c>
      <c r="W4715">
        <v>0.22640969999999999</v>
      </c>
      <c r="X4715">
        <v>0.96922200000000003</v>
      </c>
      <c r="Y4715">
        <v>-0.35911599999999999</v>
      </c>
      <c r="Z4715">
        <v>-2.5360669999999998E-2</v>
      </c>
      <c r="AA4715">
        <v>0.93294829999999995</v>
      </c>
      <c r="AB4715">
        <v>28</v>
      </c>
      <c r="AC4715">
        <v>70.2606999999999</v>
      </c>
      <c r="AD4715">
        <v>1.7578450000000001</v>
      </c>
      <c r="AE4715">
        <v>-20.284079999999999</v>
      </c>
      <c r="AF4715">
        <v>-26.366481697748601</v>
      </c>
      <c r="AG4715">
        <v>1.7578450000000001</v>
      </c>
      <c r="AH4715">
        <v>68.166295357313501</v>
      </c>
      <c r="AI4715">
        <v>88.622237850971302</v>
      </c>
      <c r="AJ4715">
        <v>111.146293866411</v>
      </c>
      <c r="AK4715">
        <v>73.108995335062801</v>
      </c>
      <c r="AL4715">
        <v>76.914212814261205</v>
      </c>
      <c r="AM4715">
        <v>95.696531562616002</v>
      </c>
      <c r="AN4715">
        <v>1.0000000194637599</v>
      </c>
    </row>
    <row r="4716" spans="1:40" x14ac:dyDescent="0.25">
      <c r="A4716" t="str">
        <f>"20190303170908377"</f>
        <v>20190303170908377</v>
      </c>
      <c r="B4716" t="str">
        <f>"1551604148368328"</f>
        <v>1551604148368328</v>
      </c>
      <c r="C4716" t="s">
        <v>40</v>
      </c>
      <c r="D4716">
        <v>4.9792290000000001</v>
      </c>
      <c r="E4716">
        <v>0.3583518</v>
      </c>
      <c r="F4716" t="s">
        <v>56</v>
      </c>
      <c r="G4716">
        <v>-218.214</v>
      </c>
      <c r="H4716">
        <v>2.8968389999999999</v>
      </c>
      <c r="I4716">
        <v>-81.816119999999998</v>
      </c>
      <c r="J4716">
        <v>-292.5838</v>
      </c>
      <c r="K4716">
        <v>1.133777</v>
      </c>
      <c r="L4716">
        <v>-61.679900000000004</v>
      </c>
      <c r="M4716">
        <v>0.80549869999999901</v>
      </c>
      <c r="N4716">
        <v>-1.6018979999999999E-2</v>
      </c>
      <c r="O4716">
        <v>-0.59238119999999905</v>
      </c>
      <c r="P4716">
        <v>0.83786759999999905</v>
      </c>
      <c r="Q4716">
        <v>0.21360100000000001</v>
      </c>
      <c r="R4716">
        <v>-0.50234780000000001</v>
      </c>
      <c r="S4716">
        <v>3.0789490000000002</v>
      </c>
      <c r="T4716">
        <v>7.2773099999999993E-2</v>
      </c>
      <c r="U4716">
        <v>-0.83728029999999998</v>
      </c>
      <c r="V4716">
        <v>-9.870988E-2</v>
      </c>
      <c r="W4716">
        <v>0.22622619999999999</v>
      </c>
      <c r="X4716">
        <v>0.96906040000000004</v>
      </c>
      <c r="Y4716">
        <v>-0.3598499</v>
      </c>
      <c r="Z4716">
        <v>-2.4013929999999999E-2</v>
      </c>
      <c r="AA4716">
        <v>0.93270109999999995</v>
      </c>
      <c r="AB4716">
        <v>28</v>
      </c>
      <c r="AC4716">
        <v>74.369799999999898</v>
      </c>
      <c r="AD4716">
        <v>1.7630619999999999</v>
      </c>
      <c r="AE4716">
        <v>-20.136219999999899</v>
      </c>
      <c r="AF4716">
        <v>-27.824571437889499</v>
      </c>
      <c r="AG4716">
        <v>1.7630619999999999</v>
      </c>
      <c r="AH4716">
        <v>71.804706227628103</v>
      </c>
      <c r="AI4716">
        <v>88.688457051253494</v>
      </c>
      <c r="AJ4716">
        <v>111.181521397664</v>
      </c>
      <c r="AK4716">
        <v>77.027469124683293</v>
      </c>
      <c r="AL4716">
        <v>76.925006345370505</v>
      </c>
      <c r="AM4716">
        <v>95.816169793034007</v>
      </c>
      <c r="AN4716">
        <v>0.99999999641210702</v>
      </c>
    </row>
    <row r="4717" spans="1:40" x14ac:dyDescent="0.25">
      <c r="A4717" t="str">
        <f>"20190303170908398"</f>
        <v>20190303170908398</v>
      </c>
      <c r="B4717" t="str">
        <f>"1551604148388824"</f>
        <v>1551604148388824</v>
      </c>
      <c r="C4717" t="s">
        <v>40</v>
      </c>
      <c r="D4717">
        <v>5.0468979999999997</v>
      </c>
      <c r="E4717">
        <v>0.35727779999999998</v>
      </c>
      <c r="F4717" t="s">
        <v>56</v>
      </c>
      <c r="G4717">
        <v>-179.1311</v>
      </c>
      <c r="H4717">
        <v>8.0204459999999997</v>
      </c>
      <c r="I4717">
        <v>-81.817830000000001</v>
      </c>
      <c r="J4717">
        <v>-292.35359999999997</v>
      </c>
      <c r="K4717">
        <v>1.13371</v>
      </c>
      <c r="L4717">
        <v>-61.828429999999997</v>
      </c>
      <c r="M4717">
        <v>0.81512709999999999</v>
      </c>
      <c r="N4717">
        <v>-1.600654E-2</v>
      </c>
      <c r="O4717">
        <v>-0.57906089999999999</v>
      </c>
      <c r="P4717">
        <v>0.84609080000000003</v>
      </c>
      <c r="Q4717">
        <v>0.21392449999999999</v>
      </c>
      <c r="R4717">
        <v>-0.48822789999999999</v>
      </c>
      <c r="S4717">
        <v>3.1915279999999999</v>
      </c>
      <c r="T4717">
        <v>0.19372819999999999</v>
      </c>
      <c r="U4717">
        <v>-0.56649780000000005</v>
      </c>
      <c r="V4717">
        <v>-9.8956069999999993E-2</v>
      </c>
      <c r="W4717">
        <v>0.22654340000000001</v>
      </c>
      <c r="X4717">
        <v>0.96896119999999997</v>
      </c>
      <c r="Y4717">
        <v>-0.4256644</v>
      </c>
      <c r="Z4717">
        <v>-5.179226E-2</v>
      </c>
      <c r="AA4717">
        <v>0.90339769999999997</v>
      </c>
      <c r="AB4717">
        <v>28</v>
      </c>
      <c r="AC4717">
        <v>113.222499999999</v>
      </c>
      <c r="AD4717">
        <v>6.886736</v>
      </c>
      <c r="AE4717">
        <v>-19.9894</v>
      </c>
      <c r="AF4717">
        <v>-49.098977221222199</v>
      </c>
      <c r="AG4717">
        <v>6.886736</v>
      </c>
      <c r="AH4717">
        <v>103.507752552927</v>
      </c>
      <c r="AI4717">
        <v>86.559898069385795</v>
      </c>
      <c r="AJ4717">
        <v>115.37735791486099</v>
      </c>
      <c r="AK4717">
        <v>114.76929700691601</v>
      </c>
      <c r="AL4717">
        <v>76.906347908327405</v>
      </c>
      <c r="AM4717">
        <v>95.8311687578869</v>
      </c>
      <c r="AN4717">
        <v>1.0000000114894201</v>
      </c>
    </row>
    <row r="4718" spans="1:40" x14ac:dyDescent="0.25">
      <c r="A4718" t="str">
        <f>"20190303170908422"</f>
        <v>20190303170908422</v>
      </c>
      <c r="B4718" t="str">
        <f>"1551604148408345"</f>
        <v>1551604148408345</v>
      </c>
      <c r="C4718" t="s">
        <v>40</v>
      </c>
      <c r="D4718">
        <v>4.9702699999999904</v>
      </c>
      <c r="E4718">
        <v>0.35555920000000002</v>
      </c>
      <c r="F4718" t="s">
        <v>45</v>
      </c>
      <c r="G4718">
        <v>0</v>
      </c>
      <c r="H4718">
        <v>0</v>
      </c>
      <c r="I4718">
        <v>0</v>
      </c>
      <c r="J4718">
        <v>-292.11720000000003</v>
      </c>
      <c r="K4718">
        <v>1.133624</v>
      </c>
      <c r="L4718">
        <v>-61.975650000000002</v>
      </c>
      <c r="M4718">
        <v>0.82464079999999995</v>
      </c>
      <c r="N4718">
        <v>-1.5988780000000001E-2</v>
      </c>
      <c r="O4718">
        <v>-0.56543080000000001</v>
      </c>
      <c r="P4718">
        <v>0.85377409999999998</v>
      </c>
      <c r="Q4718">
        <v>0.213139</v>
      </c>
      <c r="R4718">
        <v>-0.47501739999999998</v>
      </c>
      <c r="S4718">
        <v>3.205994</v>
      </c>
      <c r="T4718">
        <v>0.19104399999999999</v>
      </c>
      <c r="U4718">
        <v>-0.50506589999999996</v>
      </c>
      <c r="V4718">
        <v>-9.7945909999999997E-2</v>
      </c>
      <c r="W4718">
        <v>0.22579469999999999</v>
      </c>
      <c r="X4718">
        <v>0.9692385</v>
      </c>
      <c r="Y4718">
        <v>-0.42826219999999998</v>
      </c>
      <c r="Z4718">
        <v>-5.0226029999999998E-2</v>
      </c>
      <c r="AA4718">
        <v>0.90225759999999999</v>
      </c>
      <c r="AB4718">
        <v>28</v>
      </c>
      <c r="AC4718">
        <v>3.205994</v>
      </c>
      <c r="AD4718">
        <v>0.19104399999999999</v>
      </c>
      <c r="AE4718">
        <v>-0.50506589999999996</v>
      </c>
      <c r="AF4718">
        <v>-1.3916263659692401</v>
      </c>
      <c r="AG4718">
        <v>0.19104399999999999</v>
      </c>
      <c r="AH4718">
        <v>2.91963134162875</v>
      </c>
      <c r="AI4718">
        <v>86.619602364453002</v>
      </c>
      <c r="AJ4718">
        <v>115.484548852752</v>
      </c>
      <c r="AK4718">
        <v>3.2399643398373499</v>
      </c>
      <c r="AL4718">
        <v>76.950385682198899</v>
      </c>
      <c r="AM4718">
        <v>95.770406951428996</v>
      </c>
      <c r="AN4718">
        <v>0.99999995885803294</v>
      </c>
    </row>
    <row r="4719" spans="1:40" x14ac:dyDescent="0.25">
      <c r="A4719" t="str">
        <f>"20190303170908445"</f>
        <v>20190303170908445</v>
      </c>
      <c r="B4719" t="str">
        <f>"1551604148438270"</f>
        <v>1551604148438270</v>
      </c>
      <c r="C4719" t="s">
        <v>40</v>
      </c>
      <c r="D4719">
        <v>4.9893929999999997</v>
      </c>
      <c r="E4719">
        <v>0.35592119999999999</v>
      </c>
      <c r="F4719" t="s">
        <v>45</v>
      </c>
      <c r="G4719">
        <v>0</v>
      </c>
      <c r="H4719">
        <v>0</v>
      </c>
      <c r="I4719">
        <v>0</v>
      </c>
      <c r="J4719">
        <v>-291.87990000000002</v>
      </c>
      <c r="K4719">
        <v>1.1335230000000001</v>
      </c>
      <c r="L4719">
        <v>-62.118130000000001</v>
      </c>
      <c r="M4719">
        <v>0.83380699999999996</v>
      </c>
      <c r="N4719">
        <v>-1.596531E-2</v>
      </c>
      <c r="O4719">
        <v>-0.55182540000000002</v>
      </c>
      <c r="P4719">
        <v>0.86195529999999998</v>
      </c>
      <c r="Q4719">
        <v>0.21122469999999999</v>
      </c>
      <c r="R4719">
        <v>-0.46088780000000001</v>
      </c>
      <c r="S4719">
        <v>3.2185670000000002</v>
      </c>
      <c r="T4719">
        <v>0.19856119999999999</v>
      </c>
      <c r="U4719">
        <v>-0.44152829999999899</v>
      </c>
      <c r="V4719">
        <v>-9.8155850000000003E-2</v>
      </c>
      <c r="W4719">
        <v>0.22388040000000001</v>
      </c>
      <c r="X4719">
        <v>0.96966129999999995</v>
      </c>
      <c r="Y4719">
        <v>-0.43131819999999998</v>
      </c>
      <c r="Z4719">
        <v>-5.1018670000000002E-2</v>
      </c>
      <c r="AA4719">
        <v>0.90075620000000001</v>
      </c>
      <c r="AB4719">
        <v>28</v>
      </c>
      <c r="AC4719">
        <v>3.2185670000000002</v>
      </c>
      <c r="AD4719">
        <v>0.19856119999999999</v>
      </c>
      <c r="AE4719">
        <v>-0.44152829999999899</v>
      </c>
      <c r="AF4719">
        <v>-1.4028762488281401</v>
      </c>
      <c r="AG4719">
        <v>0.19856119999999999</v>
      </c>
      <c r="AH4719">
        <v>2.9167868562374402</v>
      </c>
      <c r="AI4719">
        <v>86.4893996645351</v>
      </c>
      <c r="AJ4719">
        <v>115.685987412776</v>
      </c>
      <c r="AK4719">
        <v>3.24270471742203</v>
      </c>
      <c r="AL4719">
        <v>77.062949873388007</v>
      </c>
      <c r="AM4719">
        <v>95.780187328360995</v>
      </c>
      <c r="AN4719">
        <v>1.0000000205555299</v>
      </c>
    </row>
    <row r="4720" spans="1:40" x14ac:dyDescent="0.25">
      <c r="A4720" t="str">
        <f>"20190303170908466"</f>
        <v>20190303170908466</v>
      </c>
      <c r="B4720" t="str">
        <f>"1551604148458766"</f>
        <v>1551604148458766</v>
      </c>
      <c r="C4720" t="s">
        <v>40</v>
      </c>
      <c r="D4720">
        <v>4.9932970000000001</v>
      </c>
      <c r="E4720">
        <v>0.35678670000000001</v>
      </c>
      <c r="F4720" t="s">
        <v>45</v>
      </c>
      <c r="G4720">
        <v>0</v>
      </c>
      <c r="H4720">
        <v>0</v>
      </c>
      <c r="I4720">
        <v>0</v>
      </c>
      <c r="J4720">
        <v>-291.64249999999998</v>
      </c>
      <c r="K4720">
        <v>1.1333869999999999</v>
      </c>
      <c r="L4720">
        <v>-62.255650000000003</v>
      </c>
      <c r="M4720">
        <v>0.84260009999999996</v>
      </c>
      <c r="N4720">
        <v>-1.5936479999999999E-2</v>
      </c>
      <c r="O4720">
        <v>-0.538304</v>
      </c>
      <c r="P4720">
        <v>0.87025980000000003</v>
      </c>
      <c r="Q4720">
        <v>0.2082223</v>
      </c>
      <c r="R4720">
        <v>-0.44642090000000001</v>
      </c>
      <c r="S4720">
        <v>3.2248839999999999</v>
      </c>
      <c r="T4720">
        <v>0.1901178</v>
      </c>
      <c r="U4720">
        <v>-0.39080809999999999</v>
      </c>
      <c r="V4720">
        <v>-9.8950679999999999E-2</v>
      </c>
      <c r="W4720">
        <v>0.2208618</v>
      </c>
      <c r="X4720">
        <v>0.97027249999999998</v>
      </c>
      <c r="Y4720">
        <v>-0.431143</v>
      </c>
      <c r="Z4720">
        <v>-4.8167979999999999E-2</v>
      </c>
      <c r="AA4720">
        <v>0.90099700000000005</v>
      </c>
      <c r="AB4720">
        <v>28</v>
      </c>
      <c r="AC4720">
        <v>3.2248839999999999</v>
      </c>
      <c r="AD4720">
        <v>0.1901178</v>
      </c>
      <c r="AE4720">
        <v>-0.39080809999999999</v>
      </c>
      <c r="AF4720">
        <v>-1.4020493088100701</v>
      </c>
      <c r="AG4720">
        <v>0.1901178</v>
      </c>
      <c r="AH4720">
        <v>2.9180379854549701</v>
      </c>
      <c r="AI4720">
        <v>86.639127703031093</v>
      </c>
      <c r="AJ4720">
        <v>115.66320083607199</v>
      </c>
      <c r="AK4720">
        <v>3.24296665520473</v>
      </c>
      <c r="AL4720">
        <v>77.240343639505298</v>
      </c>
      <c r="AM4720">
        <v>95.823027259305206</v>
      </c>
      <c r="AN4720">
        <v>0.99999994801397496</v>
      </c>
    </row>
    <row r="4721" spans="1:40" x14ac:dyDescent="0.25">
      <c r="A4721" t="str">
        <f>"20190303170908489"</f>
        <v>20190303170908489</v>
      </c>
      <c r="B4721" t="str">
        <f>"1551604148478288"</f>
        <v>1551604148478288</v>
      </c>
      <c r="C4721" t="s">
        <v>40</v>
      </c>
      <c r="D4721">
        <v>5.0116509999999996</v>
      </c>
      <c r="E4721">
        <v>0.35783789999999999</v>
      </c>
      <c r="F4721" t="s">
        <v>45</v>
      </c>
      <c r="G4721">
        <v>0</v>
      </c>
      <c r="H4721">
        <v>0</v>
      </c>
      <c r="I4721">
        <v>0</v>
      </c>
      <c r="J4721">
        <v>-291.40820000000002</v>
      </c>
      <c r="K4721">
        <v>1.133235</v>
      </c>
      <c r="L4721">
        <v>-62.386539999999997</v>
      </c>
      <c r="M4721">
        <v>0.8509099</v>
      </c>
      <c r="N4721">
        <v>-1.590374E-2</v>
      </c>
      <c r="O4721">
        <v>-0.52507099999999995</v>
      </c>
      <c r="P4721">
        <v>0.87804130000000002</v>
      </c>
      <c r="Q4721">
        <v>0.2055959</v>
      </c>
      <c r="R4721">
        <v>-0.4321738</v>
      </c>
      <c r="S4721">
        <v>3.2292480000000001</v>
      </c>
      <c r="T4721">
        <v>0.175706</v>
      </c>
      <c r="U4721">
        <v>-0.34304810000000002</v>
      </c>
      <c r="V4721">
        <v>-9.9782789999999996E-2</v>
      </c>
      <c r="W4721">
        <v>0.21821579999999999</v>
      </c>
      <c r="X4721">
        <v>0.97078589999999998</v>
      </c>
      <c r="Y4721">
        <v>-0.43063709999999999</v>
      </c>
      <c r="Z4721">
        <v>-4.4080559999999998E-2</v>
      </c>
      <c r="AA4721">
        <v>0.90144809999999997</v>
      </c>
      <c r="AB4721">
        <v>28</v>
      </c>
      <c r="AC4721">
        <v>3.2292480000000001</v>
      </c>
      <c r="AD4721">
        <v>0.175706</v>
      </c>
      <c r="AE4721">
        <v>-0.34304810000000002</v>
      </c>
      <c r="AF4721">
        <v>-1.39976110278573</v>
      </c>
      <c r="AG4721">
        <v>0.175706</v>
      </c>
      <c r="AH4721">
        <v>2.9197462880691001</v>
      </c>
      <c r="AI4721">
        <v>86.893904466530302</v>
      </c>
      <c r="AJ4721">
        <v>115.613613409561</v>
      </c>
      <c r="AK4721">
        <v>3.2427029049854701</v>
      </c>
      <c r="AL4721">
        <v>77.395740097647902</v>
      </c>
      <c r="AM4721">
        <v>95.868570822292696</v>
      </c>
      <c r="AN4721">
        <v>1.0000000020943101</v>
      </c>
    </row>
    <row r="4722" spans="1:40" x14ac:dyDescent="0.25">
      <c r="A4722" t="str">
        <f>"20190303170908511"</f>
        <v>20190303170908511</v>
      </c>
      <c r="B4722" t="str">
        <f>"1551604148498783"</f>
        <v>1551604148498783</v>
      </c>
      <c r="C4722" t="s">
        <v>40</v>
      </c>
      <c r="D4722">
        <v>5.012861</v>
      </c>
      <c r="E4722">
        <v>0.35844569999999998</v>
      </c>
      <c r="F4722" t="s">
        <v>45</v>
      </c>
      <c r="G4722">
        <v>0</v>
      </c>
      <c r="H4722">
        <v>0</v>
      </c>
      <c r="I4722">
        <v>0</v>
      </c>
      <c r="J4722">
        <v>-291.16890000000001</v>
      </c>
      <c r="K4722">
        <v>1.133086</v>
      </c>
      <c r="L4722">
        <v>-62.5152</v>
      </c>
      <c r="M4722">
        <v>0.85901930000000004</v>
      </c>
      <c r="N4722">
        <v>-1.586591E-2</v>
      </c>
      <c r="O4722">
        <v>-0.51169730000000002</v>
      </c>
      <c r="P4722">
        <v>0.88495429999999997</v>
      </c>
      <c r="Q4722">
        <v>0.20590149999999999</v>
      </c>
      <c r="R4722">
        <v>-0.41768440000000001</v>
      </c>
      <c r="S4722">
        <v>3.2321170000000001</v>
      </c>
      <c r="T4722">
        <v>0.160219899999999</v>
      </c>
      <c r="U4722">
        <v>-0.29876710000000001</v>
      </c>
      <c r="V4722">
        <v>-0.100448</v>
      </c>
      <c r="W4722">
        <v>0.21849679999999999</v>
      </c>
      <c r="X4722">
        <v>0.97065409999999996</v>
      </c>
      <c r="Y4722">
        <v>-0.42911749999999999</v>
      </c>
      <c r="Z4722">
        <v>-3.9835179999999998E-2</v>
      </c>
      <c r="AA4722">
        <v>0.90236989999999995</v>
      </c>
      <c r="AB4722">
        <v>28</v>
      </c>
      <c r="AC4722">
        <v>3.2321170000000001</v>
      </c>
      <c r="AD4722">
        <v>0.160219899999999</v>
      </c>
      <c r="AE4722">
        <v>-0.29876710000000001</v>
      </c>
      <c r="AF4722">
        <v>-1.3939982658091801</v>
      </c>
      <c r="AG4722">
        <v>0.160219899999999</v>
      </c>
      <c r="AH4722">
        <v>2.9225771354994099</v>
      </c>
      <c r="AI4722">
        <v>87.167256415563898</v>
      </c>
      <c r="AJ4722">
        <v>115.50000766215101</v>
      </c>
      <c r="AK4722">
        <v>3.24196833642449</v>
      </c>
      <c r="AL4722">
        <v>77.379242058889204</v>
      </c>
      <c r="AM4722">
        <v>95.908214815537704</v>
      </c>
      <c r="AN4722">
        <v>1.0000000170805201</v>
      </c>
    </row>
    <row r="4723" spans="1:40" x14ac:dyDescent="0.25">
      <c r="A4723" t="str">
        <f>"20190303170908533"</f>
        <v>20190303170908533</v>
      </c>
      <c r="B4723" t="str">
        <f>"1551604148518303"</f>
        <v>1551604148518303</v>
      </c>
      <c r="C4723" t="s">
        <v>40</v>
      </c>
      <c r="D4723">
        <v>5.0048779999999997</v>
      </c>
      <c r="E4723">
        <v>0.36969010000000002</v>
      </c>
      <c r="F4723" t="s">
        <v>45</v>
      </c>
      <c r="G4723">
        <v>0</v>
      </c>
      <c r="H4723">
        <v>0</v>
      </c>
      <c r="I4723">
        <v>0</v>
      </c>
      <c r="J4723">
        <v>-290.92720000000003</v>
      </c>
      <c r="K4723">
        <v>1.1329320000000001</v>
      </c>
      <c r="L4723">
        <v>-62.640469999999901</v>
      </c>
      <c r="M4723">
        <v>0.86684369999999999</v>
      </c>
      <c r="N4723">
        <v>-1.582509E-2</v>
      </c>
      <c r="O4723">
        <v>-0.49832870000000001</v>
      </c>
      <c r="P4723">
        <v>0.8913259</v>
      </c>
      <c r="Q4723">
        <v>0.20679259999999999</v>
      </c>
      <c r="R4723">
        <v>-0.40345409999999998</v>
      </c>
      <c r="S4723">
        <v>3.2349239999999999</v>
      </c>
      <c r="T4723">
        <v>0.1580667</v>
      </c>
      <c r="U4723">
        <v>-0.2506409</v>
      </c>
      <c r="V4723">
        <v>-0.10080169999999999</v>
      </c>
      <c r="W4723">
        <v>0.2193706</v>
      </c>
      <c r="X4723">
        <v>0.97042030000000001</v>
      </c>
      <c r="Y4723">
        <v>-0.42859209999999898</v>
      </c>
      <c r="Z4723">
        <v>-3.8556050000000001E-2</v>
      </c>
      <c r="AA4723">
        <v>0.90267500000000001</v>
      </c>
      <c r="AB4723">
        <v>28</v>
      </c>
      <c r="AC4723">
        <v>3.2349239999999999</v>
      </c>
      <c r="AD4723">
        <v>0.1580667</v>
      </c>
      <c r="AE4723">
        <v>-0.2506409</v>
      </c>
      <c r="AF4723">
        <v>-1.39166088736642</v>
      </c>
      <c r="AG4723">
        <v>0.1580667</v>
      </c>
      <c r="AH4723">
        <v>2.9225059945360199</v>
      </c>
      <c r="AI4723">
        <v>87.204342778329703</v>
      </c>
      <c r="AJ4723">
        <v>115.463207082837</v>
      </c>
      <c r="AK4723">
        <v>3.24079409947212</v>
      </c>
      <c r="AL4723">
        <v>77.327932005185204</v>
      </c>
      <c r="AM4723">
        <v>95.930289276590898</v>
      </c>
      <c r="AN4723">
        <v>1.0000000007596599</v>
      </c>
    </row>
    <row r="4724" spans="1:40" x14ac:dyDescent="0.25">
      <c r="A4724" t="str">
        <f>"20190303170908556"</f>
        <v>20190303170908556</v>
      </c>
      <c r="B4724" t="str">
        <f>"1551604148548794"</f>
        <v>1551604148548794</v>
      </c>
      <c r="C4724" t="s">
        <v>40</v>
      </c>
      <c r="D4724">
        <v>5.0363490000000004</v>
      </c>
      <c r="E4724">
        <v>0.36938900000000002</v>
      </c>
      <c r="F4724" t="s">
        <v>45</v>
      </c>
      <c r="G4724">
        <v>0</v>
      </c>
      <c r="H4724">
        <v>0</v>
      </c>
      <c r="I4724">
        <v>0</v>
      </c>
      <c r="J4724">
        <v>-290.6782</v>
      </c>
      <c r="K4724">
        <v>1.132789</v>
      </c>
      <c r="L4724">
        <v>-62.764859999999999</v>
      </c>
      <c r="M4724">
        <v>0.87454869999999996</v>
      </c>
      <c r="N4724">
        <v>-1.5782129999999998E-2</v>
      </c>
      <c r="O4724">
        <v>-0.48468080000000002</v>
      </c>
      <c r="P4724">
        <v>0.89810429999999997</v>
      </c>
      <c r="Q4724">
        <v>0.20651539999999999</v>
      </c>
      <c r="R4724">
        <v>-0.38827850000000003</v>
      </c>
      <c r="S4724">
        <v>3.210083</v>
      </c>
      <c r="T4724">
        <v>0.1195667</v>
      </c>
      <c r="U4724">
        <v>-0.28265380000000001</v>
      </c>
      <c r="V4724">
        <v>-0.10199560000000001</v>
      </c>
      <c r="W4724">
        <v>0.219051</v>
      </c>
      <c r="X4724">
        <v>0.97036770000000006</v>
      </c>
      <c r="Y4724">
        <v>-0.40533750000000002</v>
      </c>
      <c r="Z4724">
        <v>-2.956903E-2</v>
      </c>
      <c r="AA4724">
        <v>0.91368879999999997</v>
      </c>
      <c r="AB4724">
        <v>28</v>
      </c>
      <c r="AC4724">
        <v>3.210083</v>
      </c>
      <c r="AD4724">
        <v>0.1195667</v>
      </c>
      <c r="AE4724">
        <v>-0.28265380000000001</v>
      </c>
      <c r="AF4724">
        <v>-1.3070347324096501</v>
      </c>
      <c r="AG4724">
        <v>0.1195667</v>
      </c>
      <c r="AH4724">
        <v>2.9406891692418702</v>
      </c>
      <c r="AI4724">
        <v>87.872168248074004</v>
      </c>
      <c r="AJ4724">
        <v>113.963493935266</v>
      </c>
      <c r="AK4724">
        <v>3.2202932750869899</v>
      </c>
      <c r="AL4724">
        <v>77.346699677469999</v>
      </c>
      <c r="AM4724">
        <v>96.000341347432297</v>
      </c>
      <c r="AN4724">
        <v>0.99999995811182396</v>
      </c>
    </row>
    <row r="4725" spans="1:40" x14ac:dyDescent="0.25">
      <c r="A4725" t="str">
        <f>"20190303170908577"</f>
        <v>20190303170908577</v>
      </c>
      <c r="B4725" t="str">
        <f>"1551604148568315"</f>
        <v>1551604148568315</v>
      </c>
      <c r="C4725" t="s">
        <v>40</v>
      </c>
      <c r="D4725">
        <v>4.9925280000000001</v>
      </c>
      <c r="E4725">
        <v>0.37045719999999999</v>
      </c>
      <c r="F4725" t="s">
        <v>45</v>
      </c>
      <c r="G4725">
        <v>0</v>
      </c>
      <c r="H4725">
        <v>0</v>
      </c>
      <c r="I4725">
        <v>0</v>
      </c>
      <c r="J4725">
        <v>-290.44589999999999</v>
      </c>
      <c r="K4725">
        <v>1.1326700000000001</v>
      </c>
      <c r="L4725">
        <v>-62.876710000000003</v>
      </c>
      <c r="M4725">
        <v>0.88142180000000003</v>
      </c>
      <c r="N4725">
        <v>-1.574308E-2</v>
      </c>
      <c r="O4725">
        <v>-0.47206749999999997</v>
      </c>
      <c r="P4725">
        <v>0.9044259</v>
      </c>
      <c r="Q4725">
        <v>0.20521729999999999</v>
      </c>
      <c r="R4725">
        <v>-0.37403209999999998</v>
      </c>
      <c r="S4725">
        <v>3.211182</v>
      </c>
      <c r="T4725">
        <v>0.13825789999999999</v>
      </c>
      <c r="U4725">
        <v>-0.22531129999999999</v>
      </c>
      <c r="V4725">
        <v>-0.1034312</v>
      </c>
      <c r="W4725">
        <v>0.21770709999999999</v>
      </c>
      <c r="X4725">
        <v>0.9705182</v>
      </c>
      <c r="Y4725">
        <v>-0.40824179999999999</v>
      </c>
      <c r="Z4725">
        <v>-3.2806910000000002E-2</v>
      </c>
      <c r="AA4725">
        <v>0.91228410000000004</v>
      </c>
      <c r="AB4725">
        <v>28</v>
      </c>
      <c r="AC4725">
        <v>3.211182</v>
      </c>
      <c r="AD4725">
        <v>0.13825789999999999</v>
      </c>
      <c r="AE4725">
        <v>-0.22531129999999999</v>
      </c>
      <c r="AF4725">
        <v>-1.3150378647469401</v>
      </c>
      <c r="AG4725">
        <v>0.13825789999999999</v>
      </c>
      <c r="AH4725">
        <v>2.9317239746480102</v>
      </c>
      <c r="AI4725">
        <v>87.536152436117604</v>
      </c>
      <c r="AJ4725">
        <v>114.158832120174</v>
      </c>
      <c r="AK4725">
        <v>3.21612271161356</v>
      </c>
      <c r="AL4725">
        <v>77.425604267265498</v>
      </c>
      <c r="AM4725">
        <v>96.083231337068895</v>
      </c>
      <c r="AN4725">
        <v>0.99999998552754399</v>
      </c>
    </row>
    <row r="4726" spans="1:40" x14ac:dyDescent="0.25">
      <c r="A4726" t="str">
        <f>"20190303170908600"</f>
        <v>20190303170908600</v>
      </c>
      <c r="B4726" t="str">
        <f>"1551604148588810"</f>
        <v>1551604148588810</v>
      </c>
      <c r="C4726" t="s">
        <v>40</v>
      </c>
      <c r="D4726">
        <v>5.0310879999999996</v>
      </c>
      <c r="E4726">
        <v>0.37109310000000001</v>
      </c>
      <c r="F4726" t="s">
        <v>53</v>
      </c>
      <c r="G4726">
        <v>-157.9383</v>
      </c>
      <c r="H4726">
        <v>6.4896880000000001</v>
      </c>
      <c r="I4726">
        <v>-70.421840000000003</v>
      </c>
      <c r="J4726">
        <v>-290.1927</v>
      </c>
      <c r="K4726">
        <v>1.132531</v>
      </c>
      <c r="L4726">
        <v>-62.994140000000002</v>
      </c>
      <c r="M4726">
        <v>0.88857389999999903</v>
      </c>
      <c r="N4726">
        <v>-1.5700639999999998E-2</v>
      </c>
      <c r="O4726">
        <v>-0.45846490000000001</v>
      </c>
      <c r="P4726">
        <v>0.91041490000000003</v>
      </c>
      <c r="Q4726">
        <v>0.20522099999999999</v>
      </c>
      <c r="R4726">
        <v>-0.3592071</v>
      </c>
      <c r="S4726">
        <v>3.2119450000000001</v>
      </c>
      <c r="T4726">
        <v>0.12985189999999999</v>
      </c>
      <c r="U4726">
        <v>-0.18289179999999999</v>
      </c>
      <c r="V4726">
        <v>-0.10429579999999999</v>
      </c>
      <c r="W4726">
        <v>0.21767819999999999</v>
      </c>
      <c r="X4726">
        <v>0.97043219999999997</v>
      </c>
      <c r="Y4726">
        <v>-0.40635539999999998</v>
      </c>
      <c r="Z4726">
        <v>-3.0341509999999999E-2</v>
      </c>
      <c r="AA4726">
        <v>0.9132112</v>
      </c>
      <c r="AB4726">
        <v>28</v>
      </c>
      <c r="AC4726">
        <v>132.2544</v>
      </c>
      <c r="AD4726">
        <v>5.3571569999999999</v>
      </c>
      <c r="AE4726">
        <v>-7.4276999999999997</v>
      </c>
      <c r="AF4726">
        <v>-53.952351819142898</v>
      </c>
      <c r="AG4726">
        <v>5.3571569999999999</v>
      </c>
      <c r="AH4726">
        <v>120.74056084515099</v>
      </c>
      <c r="AI4726">
        <v>87.680280878505897</v>
      </c>
      <c r="AJ4726">
        <v>114.07725519976</v>
      </c>
      <c r="AK4726">
        <v>132.35497131253101</v>
      </c>
      <c r="AL4726">
        <v>77.427301418584605</v>
      </c>
      <c r="AM4726">
        <v>96.134235551122799</v>
      </c>
      <c r="AN4726">
        <v>1.00000003372485</v>
      </c>
    </row>
    <row r="4727" spans="1:40" x14ac:dyDescent="0.25">
      <c r="A4727" t="str">
        <f>"20190303170908623"</f>
        <v>20190303170908623</v>
      </c>
      <c r="B4727" t="str">
        <f>"1551604148608330"</f>
        <v>1551604148608330</v>
      </c>
      <c r="C4727" t="s">
        <v>40</v>
      </c>
      <c r="D4727">
        <v>5.0370140000000001</v>
      </c>
      <c r="E4727">
        <v>0.38279859999999999</v>
      </c>
      <c r="F4727" t="s">
        <v>53</v>
      </c>
      <c r="G4727">
        <v>-168.45060000000001</v>
      </c>
      <c r="H4727">
        <v>5.9011950000000004</v>
      </c>
      <c r="I4727">
        <v>-68.151089999999996</v>
      </c>
      <c r="J4727">
        <v>-289.94310000000002</v>
      </c>
      <c r="K4727">
        <v>1.1324019999999999</v>
      </c>
      <c r="L4727">
        <v>-63.105620000000002</v>
      </c>
      <c r="M4727">
        <v>0.89530499999999902</v>
      </c>
      <c r="N4727">
        <v>-1.565743E-2</v>
      </c>
      <c r="O4727">
        <v>-0.44517839999999997</v>
      </c>
      <c r="P4727">
        <v>0.91563139999999998</v>
      </c>
      <c r="Q4727">
        <v>0.2052407</v>
      </c>
      <c r="R4727">
        <v>-0.34568100000000002</v>
      </c>
      <c r="S4727">
        <v>3.213165</v>
      </c>
      <c r="T4727">
        <v>0.12585969999999999</v>
      </c>
      <c r="U4727">
        <v>-0.13610839999999999</v>
      </c>
      <c r="V4727">
        <v>-0.1041395</v>
      </c>
      <c r="W4727">
        <v>0.2176932</v>
      </c>
      <c r="X4727">
        <v>0.97044560000000002</v>
      </c>
      <c r="Y4727">
        <v>-0.40609889999999998</v>
      </c>
      <c r="Z4727">
        <v>-2.8839500000000001E-2</v>
      </c>
      <c r="AA4727">
        <v>0.91337389999999996</v>
      </c>
      <c r="AB4727">
        <v>28</v>
      </c>
      <c r="AC4727">
        <v>121.49250000000001</v>
      </c>
      <c r="AD4727">
        <v>4.7687929999999996</v>
      </c>
      <c r="AE4727">
        <v>-5.0454699999999999</v>
      </c>
      <c r="AF4727">
        <v>-49.498548112356701</v>
      </c>
      <c r="AG4727">
        <v>4.7687929999999996</v>
      </c>
      <c r="AH4727">
        <v>110.862076484179</v>
      </c>
      <c r="AI4727">
        <v>87.750677577986707</v>
      </c>
      <c r="AJ4727">
        <v>114.06017187885899</v>
      </c>
      <c r="AK4727">
        <v>121.504105503856</v>
      </c>
      <c r="AL4727">
        <v>77.426420609054006</v>
      </c>
      <c r="AM4727">
        <v>96.1250286479887</v>
      </c>
      <c r="AN4727">
        <v>1.0000000136729199</v>
      </c>
    </row>
    <row r="4728" spans="1:40" x14ac:dyDescent="0.25">
      <c r="A4728" t="str">
        <f>"20190303170908646"</f>
        <v>20190303170908646</v>
      </c>
      <c r="B4728" t="str">
        <f>"1551604148639093"</f>
        <v>1551604148639093</v>
      </c>
      <c r="C4728" t="s">
        <v>40</v>
      </c>
      <c r="D4728">
        <v>5.0278929999999997</v>
      </c>
      <c r="E4728">
        <v>0.38465460000000001</v>
      </c>
      <c r="F4728" t="s">
        <v>53</v>
      </c>
      <c r="G4728">
        <v>-157.9383</v>
      </c>
      <c r="H4728">
        <v>4.3250830000000002</v>
      </c>
      <c r="I4728">
        <v>-70.460890000000006</v>
      </c>
      <c r="J4728">
        <v>-289.68239999999997</v>
      </c>
      <c r="K4728">
        <v>1.1322669999999999</v>
      </c>
      <c r="L4728">
        <v>-63.217529999999996</v>
      </c>
      <c r="M4728">
        <v>0.90200729999999996</v>
      </c>
      <c r="N4728">
        <v>-1.5611969999999999E-2</v>
      </c>
      <c r="O4728">
        <v>-0.43143860000000001</v>
      </c>
      <c r="P4728">
        <v>0.92059279999999999</v>
      </c>
      <c r="Q4728">
        <v>0.2059453</v>
      </c>
      <c r="R4728">
        <v>-0.33180700000000002</v>
      </c>
      <c r="S4728">
        <v>3.191986</v>
      </c>
      <c r="T4728">
        <v>7.7201130000000007E-2</v>
      </c>
      <c r="U4728">
        <v>-0.1778564</v>
      </c>
      <c r="V4728">
        <v>-0.10383969999999999</v>
      </c>
      <c r="W4728">
        <v>0.21839449999999999</v>
      </c>
      <c r="X4728">
        <v>0.97032019999999997</v>
      </c>
      <c r="Y4728">
        <v>-0.3802586</v>
      </c>
      <c r="Z4728">
        <v>-1.867183E-2</v>
      </c>
      <c r="AA4728">
        <v>0.92469170000000001</v>
      </c>
      <c r="AB4728">
        <v>28</v>
      </c>
      <c r="AC4728">
        <v>131.74409999999901</v>
      </c>
      <c r="AD4728">
        <v>3.1928160000000001</v>
      </c>
      <c r="AE4728">
        <v>-7.24336</v>
      </c>
      <c r="AF4728">
        <v>-50.282610268823099</v>
      </c>
      <c r="AG4728">
        <v>3.1928160000000001</v>
      </c>
      <c r="AH4728">
        <v>121.902678392724</v>
      </c>
      <c r="AI4728">
        <v>88.612990871345204</v>
      </c>
      <c r="AJ4728">
        <v>112.415245905823</v>
      </c>
      <c r="AK4728">
        <v>131.90450321644099</v>
      </c>
      <c r="AL4728">
        <v>77.385249101121602</v>
      </c>
      <c r="AM4728">
        <v>96.108312530731993</v>
      </c>
      <c r="AN4728">
        <v>1.0000000657271799</v>
      </c>
    </row>
    <row r="4729" spans="1:40" x14ac:dyDescent="0.25">
      <c r="A4729" t="str">
        <f>"20190303170908667"</f>
        <v>20190303170908667</v>
      </c>
      <c r="B4729" t="str">
        <f>"1551604148658612"</f>
        <v>1551604148658612</v>
      </c>
      <c r="C4729" t="s">
        <v>40</v>
      </c>
      <c r="D4729">
        <v>4.966316</v>
      </c>
      <c r="E4729">
        <v>0.38509719999999997</v>
      </c>
      <c r="F4729" t="s">
        <v>53</v>
      </c>
      <c r="G4729">
        <v>-157.9383</v>
      </c>
      <c r="H4729">
        <v>4.5162529999999999</v>
      </c>
      <c r="I4729">
        <v>-69.131969999999995</v>
      </c>
      <c r="J4729">
        <v>-289.4511</v>
      </c>
      <c r="K4729">
        <v>1.1321540000000001</v>
      </c>
      <c r="L4729">
        <v>-63.312869999999997</v>
      </c>
      <c r="M4729">
        <v>0.9076902</v>
      </c>
      <c r="N4729">
        <v>-1.5573160000000001E-2</v>
      </c>
      <c r="O4729">
        <v>-0.4193518</v>
      </c>
      <c r="P4729">
        <v>0.92450429999999995</v>
      </c>
      <c r="Q4729">
        <v>0.205988</v>
      </c>
      <c r="R4729">
        <v>-0.32071959999999999</v>
      </c>
      <c r="S4729">
        <v>3.1888429999999999</v>
      </c>
      <c r="T4729">
        <v>8.1908229999999999E-2</v>
      </c>
      <c r="U4729">
        <v>-0.14315799999999901</v>
      </c>
      <c r="V4729">
        <v>-0.1024683</v>
      </c>
      <c r="W4729">
        <v>0.2184661</v>
      </c>
      <c r="X4729">
        <v>0.97044980000000003</v>
      </c>
      <c r="Y4729">
        <v>-0.37786609999999998</v>
      </c>
      <c r="Z4729">
        <v>-1.908367E-2</v>
      </c>
      <c r="AA4729">
        <v>0.92566360000000003</v>
      </c>
      <c r="AB4729">
        <v>28</v>
      </c>
      <c r="AC4729">
        <v>131.5128</v>
      </c>
      <c r="AD4729">
        <v>3.384099</v>
      </c>
      <c r="AE4729">
        <v>-5.8190999999999899</v>
      </c>
      <c r="AF4729">
        <v>-49.841301238845702</v>
      </c>
      <c r="AG4729">
        <v>3.384099</v>
      </c>
      <c r="AH4729">
        <v>121.74745012397599</v>
      </c>
      <c r="AI4729">
        <v>88.526452682317498</v>
      </c>
      <c r="AJ4729">
        <v>112.26334434464</v>
      </c>
      <c r="AK4729">
        <v>131.598058674561</v>
      </c>
      <c r="AL4729">
        <v>77.381044390838397</v>
      </c>
      <c r="AM4729">
        <v>96.027439519878001</v>
      </c>
      <c r="AN4729">
        <v>1.0000000018370701</v>
      </c>
    </row>
    <row r="4730" spans="1:40" x14ac:dyDescent="0.25">
      <c r="A4730" t="str">
        <f>"20190303170908689"</f>
        <v>20190303170908689</v>
      </c>
      <c r="B4730" t="str">
        <f>"1551604148678133"</f>
        <v>1551604148678133</v>
      </c>
      <c r="C4730" t="s">
        <v>40</v>
      </c>
      <c r="D4730">
        <v>5.0215829999999997</v>
      </c>
      <c r="E4730">
        <v>0.39238040000000002</v>
      </c>
      <c r="F4730" t="s">
        <v>53</v>
      </c>
      <c r="G4730">
        <v>-168.45060000000001</v>
      </c>
      <c r="H4730">
        <v>4.2745629999999997</v>
      </c>
      <c r="I4730">
        <v>-67.424759999999907</v>
      </c>
      <c r="J4730">
        <v>-289.19670000000002</v>
      </c>
      <c r="K4730">
        <v>1.132031</v>
      </c>
      <c r="L4730">
        <v>-63.413760000000003</v>
      </c>
      <c r="M4730">
        <v>0.91367909999999997</v>
      </c>
      <c r="N4730">
        <v>-1.553349E-2</v>
      </c>
      <c r="O4730">
        <v>-0.40613969999999999</v>
      </c>
      <c r="P4730">
        <v>0.92877920000000003</v>
      </c>
      <c r="Q4730">
        <v>0.20526649999999999</v>
      </c>
      <c r="R4730">
        <v>-0.30860169999999998</v>
      </c>
      <c r="S4730">
        <v>3.1889340000000002</v>
      </c>
      <c r="T4730">
        <v>8.2816719999999996E-2</v>
      </c>
      <c r="U4730">
        <v>-0.1083679</v>
      </c>
      <c r="V4730">
        <v>-0.10105749999999999</v>
      </c>
      <c r="W4730">
        <v>0.217776</v>
      </c>
      <c r="X4730">
        <v>0.97075279999999997</v>
      </c>
      <c r="Y4730">
        <v>-0.37452269999999999</v>
      </c>
      <c r="Z4730">
        <v>-1.8696609999999999E-2</v>
      </c>
      <c r="AA4730">
        <v>0.92702929999999995</v>
      </c>
      <c r="AB4730">
        <v>28</v>
      </c>
      <c r="AC4730">
        <v>120.7461</v>
      </c>
      <c r="AD4730">
        <v>3.1425320000000001</v>
      </c>
      <c r="AE4730">
        <v>-4.0109999999999904</v>
      </c>
      <c r="AF4730">
        <v>-45.349803854044197</v>
      </c>
      <c r="AG4730">
        <v>3.1425320000000001</v>
      </c>
      <c r="AH4730">
        <v>111.890004420445</v>
      </c>
      <c r="AI4730">
        <v>88.508973233377205</v>
      </c>
      <c r="AJ4730">
        <v>112.063057846394</v>
      </c>
      <c r="AK4730">
        <v>120.771906113046</v>
      </c>
      <c r="AL4730">
        <v>77.421559746117794</v>
      </c>
      <c r="AM4730">
        <v>95.943208885702504</v>
      </c>
      <c r="AN4730">
        <v>1.0000000015950401</v>
      </c>
    </row>
    <row r="4731" spans="1:40" x14ac:dyDescent="0.25">
      <c r="A4731" t="str">
        <f>"20190303170908713"</f>
        <v>20190303170908713</v>
      </c>
      <c r="B4731" t="str">
        <f>"1551604148698628"</f>
        <v>1551604148698628</v>
      </c>
      <c r="C4731" t="s">
        <v>40</v>
      </c>
      <c r="D4731">
        <v>5.0224960000000003</v>
      </c>
      <c r="E4731">
        <v>0.39410529999999999</v>
      </c>
      <c r="F4731" t="s">
        <v>53</v>
      </c>
      <c r="G4731">
        <v>-168.45060000000001</v>
      </c>
      <c r="H4731">
        <v>3.711687</v>
      </c>
      <c r="I4731">
        <v>-68.056820000000002</v>
      </c>
      <c r="J4731">
        <v>-288.93110000000001</v>
      </c>
      <c r="K4731">
        <v>1.131926</v>
      </c>
      <c r="L4731">
        <v>-63.514339999999997</v>
      </c>
      <c r="M4731">
        <v>0.91964630000000003</v>
      </c>
      <c r="N4731">
        <v>-1.549538E-2</v>
      </c>
      <c r="O4731">
        <v>-0.39244220000000002</v>
      </c>
      <c r="P4731">
        <v>0.93292149999999996</v>
      </c>
      <c r="Q4731">
        <v>0.20492379999999999</v>
      </c>
      <c r="R4731">
        <v>-0.29608109999999999</v>
      </c>
      <c r="S4731">
        <v>3.1745299999999999</v>
      </c>
      <c r="T4731">
        <v>6.7821030000000004E-2</v>
      </c>
      <c r="U4731">
        <v>-0.12207030000000001</v>
      </c>
      <c r="V4731">
        <v>-9.9566589999999996E-2</v>
      </c>
      <c r="W4731">
        <v>0.2174642</v>
      </c>
      <c r="X4731">
        <v>0.97097679999999997</v>
      </c>
      <c r="Y4731">
        <v>-0.35657109999999997</v>
      </c>
      <c r="Z4731">
        <v>-1.5448979999999999E-2</v>
      </c>
      <c r="AA4731">
        <v>0.93414039999999998</v>
      </c>
      <c r="AB4731">
        <v>28</v>
      </c>
      <c r="AC4731">
        <v>120.48050000000001</v>
      </c>
      <c r="AD4731">
        <v>2.579761</v>
      </c>
      <c r="AE4731">
        <v>-4.5424799999999896</v>
      </c>
      <c r="AF4731">
        <v>-43.089598821138097</v>
      </c>
      <c r="AG4731">
        <v>2.579761</v>
      </c>
      <c r="AH4731">
        <v>112.544081496617</v>
      </c>
      <c r="AI4731">
        <v>88.773664365248294</v>
      </c>
      <c r="AJ4731">
        <v>110.950275725342</v>
      </c>
      <c r="AK4731">
        <v>120.538537295344</v>
      </c>
      <c r="AL4731">
        <v>77.439864051052695</v>
      </c>
      <c r="AM4731">
        <v>95.854800497335205</v>
      </c>
      <c r="AN4731">
        <v>1.00000006513205</v>
      </c>
    </row>
    <row r="4732" spans="1:40" x14ac:dyDescent="0.25">
      <c r="A4732" t="str">
        <f>"20190303170908735"</f>
        <v>20190303170908735</v>
      </c>
      <c r="B4732" t="str">
        <f>"1551604148728884"</f>
        <v>1551604148728884</v>
      </c>
      <c r="C4732" t="s">
        <v>40</v>
      </c>
      <c r="D4732">
        <v>5.0556549999999998</v>
      </c>
      <c r="E4732">
        <v>0.3955745</v>
      </c>
      <c r="F4732" t="s">
        <v>53</v>
      </c>
      <c r="G4732">
        <v>-168.45060000000001</v>
      </c>
      <c r="H4732">
        <v>3.4481480000000002</v>
      </c>
      <c r="I4732">
        <v>-67.00909</v>
      </c>
      <c r="J4732">
        <v>-288.67739999999998</v>
      </c>
      <c r="K4732">
        <v>1.1318379999999999</v>
      </c>
      <c r="L4732">
        <v>-63.606409999999997</v>
      </c>
      <c r="M4732">
        <v>0.92509779999999997</v>
      </c>
      <c r="N4732">
        <v>-1.5462099999999999E-2</v>
      </c>
      <c r="O4732">
        <v>-0.37941419999999998</v>
      </c>
      <c r="P4732">
        <v>0.93645750000000005</v>
      </c>
      <c r="Q4732">
        <v>0.20534839999999999</v>
      </c>
      <c r="R4732">
        <v>-0.28439300000000001</v>
      </c>
      <c r="S4732">
        <v>3.1730960000000001</v>
      </c>
      <c r="T4732">
        <v>6.1001779999999999E-2</v>
      </c>
      <c r="U4732">
        <v>-9.2041020000000001E-2</v>
      </c>
      <c r="V4732">
        <v>-9.7914899999999999E-2</v>
      </c>
      <c r="W4732">
        <v>0.21792069999999999</v>
      </c>
      <c r="X4732">
        <v>0.97104230000000002</v>
      </c>
      <c r="Y4732">
        <v>-0.35223409999999999</v>
      </c>
      <c r="Z4732">
        <v>-1.3787829999999999E-2</v>
      </c>
      <c r="AA4732">
        <v>0.93581040000000004</v>
      </c>
      <c r="AB4732">
        <v>28</v>
      </c>
      <c r="AC4732">
        <v>120.226799999999</v>
      </c>
      <c r="AD4732">
        <v>2.3163100000000001</v>
      </c>
      <c r="AE4732">
        <v>-3.4026800000000001</v>
      </c>
      <c r="AF4732">
        <v>-42.457270698234097</v>
      </c>
      <c r="AG4732">
        <v>2.3163100000000001</v>
      </c>
      <c r="AH4732">
        <v>112.484297646681</v>
      </c>
      <c r="AI4732">
        <v>88.896298886955407</v>
      </c>
      <c r="AJ4732">
        <v>110.679046523461</v>
      </c>
      <c r="AK4732">
        <v>120.25266044552301</v>
      </c>
      <c r="AL4732">
        <v>77.413064414026906</v>
      </c>
      <c r="AM4732">
        <v>95.757948723609005</v>
      </c>
      <c r="AN4732">
        <v>0.99999995375989303</v>
      </c>
    </row>
    <row r="4733" spans="1:40" x14ac:dyDescent="0.25">
      <c r="A4733" t="str">
        <f>"20190303170908756"</f>
        <v>20190303170908756</v>
      </c>
      <c r="B4733" t="str">
        <f>"1551604148748405"</f>
        <v>1551604148748405</v>
      </c>
      <c r="C4733" t="s">
        <v>40</v>
      </c>
      <c r="D4733">
        <v>5.0515109999999996</v>
      </c>
      <c r="E4733">
        <v>0.40176800000000001</v>
      </c>
      <c r="F4733" t="s">
        <v>53</v>
      </c>
      <c r="G4733">
        <v>-168.45060000000001</v>
      </c>
      <c r="H4733">
        <v>3.5442170000000002</v>
      </c>
      <c r="I4733">
        <v>-65.994959999999907</v>
      </c>
      <c r="J4733">
        <v>-288.43819999999999</v>
      </c>
      <c r="K4733">
        <v>1.1317630000000001</v>
      </c>
      <c r="L4733">
        <v>-63.689610000000002</v>
      </c>
      <c r="M4733">
        <v>0.93001929999999999</v>
      </c>
      <c r="N4733">
        <v>-1.5432909999999999E-2</v>
      </c>
      <c r="O4733">
        <v>-0.36718709999999999</v>
      </c>
      <c r="P4733">
        <v>0.93952970000000002</v>
      </c>
      <c r="Q4733">
        <v>0.2061201</v>
      </c>
      <c r="R4733">
        <v>-0.27349410000000002</v>
      </c>
      <c r="S4733">
        <v>3.1705019999999999</v>
      </c>
      <c r="T4733">
        <v>6.3616279999999997E-2</v>
      </c>
      <c r="U4733">
        <v>-6.2988279999999994E-2</v>
      </c>
      <c r="V4733">
        <v>-9.6306550000000005E-2</v>
      </c>
      <c r="W4733">
        <v>0.21872340000000001</v>
      </c>
      <c r="X4733">
        <v>0.97102270000000002</v>
      </c>
      <c r="Y4733">
        <v>-0.34843639999999998</v>
      </c>
      <c r="Z4733">
        <v>-1.380522E-2</v>
      </c>
      <c r="AA4733">
        <v>0.93723080000000003</v>
      </c>
      <c r="AB4733">
        <v>28</v>
      </c>
      <c r="AC4733">
        <v>119.9876</v>
      </c>
      <c r="AD4733">
        <v>2.4124539999999999</v>
      </c>
      <c r="AE4733">
        <v>-2.30534999999999</v>
      </c>
      <c r="AF4733">
        <v>-41.901929555921399</v>
      </c>
      <c r="AG4733">
        <v>2.4124539999999999</v>
      </c>
      <c r="AH4733">
        <v>112.40522352148101</v>
      </c>
      <c r="AI4733">
        <v>88.847921458616895</v>
      </c>
      <c r="AJ4733">
        <v>110.44422991307999</v>
      </c>
      <c r="AK4733">
        <v>119.98552375068201</v>
      </c>
      <c r="AL4733">
        <v>77.365936548404306</v>
      </c>
      <c r="AM4733">
        <v>95.664102308262201</v>
      </c>
      <c r="AN4733">
        <v>0.99999998059787598</v>
      </c>
    </row>
    <row r="4734" spans="1:40" x14ac:dyDescent="0.25">
      <c r="A4734" t="str">
        <f>"20190303170908778"</f>
        <v>20190303170908778</v>
      </c>
      <c r="B4734" t="str">
        <f>"1551604148768900"</f>
        <v>1551604148768900</v>
      </c>
      <c r="C4734" t="s">
        <v>40</v>
      </c>
      <c r="D4734">
        <v>5.0902120000000002</v>
      </c>
      <c r="E4734">
        <v>0.40315279999999998</v>
      </c>
      <c r="F4734" t="s">
        <v>53</v>
      </c>
      <c r="G4734">
        <v>-168.45060000000001</v>
      </c>
      <c r="H4734">
        <v>3.0263650000000002</v>
      </c>
      <c r="I4734">
        <v>-66.452479999999994</v>
      </c>
      <c r="J4734">
        <v>-288.1866</v>
      </c>
      <c r="K4734">
        <v>1.131678</v>
      </c>
      <c r="L4734">
        <v>-63.773380000000003</v>
      </c>
      <c r="M4734">
        <v>0.93497220000000003</v>
      </c>
      <c r="N4734">
        <v>-1.5402880000000001E-2</v>
      </c>
      <c r="O4734">
        <v>-0.35438609999999998</v>
      </c>
      <c r="P4734">
        <v>0.94308559999999997</v>
      </c>
      <c r="Q4734">
        <v>0.2055032</v>
      </c>
      <c r="R4734">
        <v>-0.26145309999999999</v>
      </c>
      <c r="S4734">
        <v>3.1609189999999998</v>
      </c>
      <c r="T4734">
        <v>4.9910309999999999E-2</v>
      </c>
      <c r="U4734">
        <v>-7.2784420000000002E-2</v>
      </c>
      <c r="V4734">
        <v>-9.5380610000000005E-2</v>
      </c>
      <c r="W4734">
        <v>0.2181236</v>
      </c>
      <c r="X4734">
        <v>0.97124900000000003</v>
      </c>
      <c r="Y4734">
        <v>-0.33263520000000002</v>
      </c>
      <c r="Z4734">
        <v>-1.1113039999999999E-2</v>
      </c>
      <c r="AA4734">
        <v>0.94299010000000005</v>
      </c>
      <c r="AB4734">
        <v>28</v>
      </c>
      <c r="AC4734">
        <v>119.736</v>
      </c>
      <c r="AD4734">
        <v>1.894687</v>
      </c>
      <c r="AE4734">
        <v>-2.6791</v>
      </c>
      <c r="AF4734">
        <v>-39.922640455020201</v>
      </c>
      <c r="AG4734">
        <v>1.894687</v>
      </c>
      <c r="AH4734">
        <v>112.884423498712</v>
      </c>
      <c r="AI4734">
        <v>89.093434664935202</v>
      </c>
      <c r="AJ4734">
        <v>109.476620809737</v>
      </c>
      <c r="AK4734">
        <v>119.750992181131</v>
      </c>
      <c r="AL4734">
        <v>77.401153045954501</v>
      </c>
      <c r="AM4734">
        <v>95.608695025408494</v>
      </c>
      <c r="AN4734">
        <v>0.99999999282096597</v>
      </c>
    </row>
    <row r="4735" spans="1:40" x14ac:dyDescent="0.25">
      <c r="A4735" t="str">
        <f>"20190303170908801"</f>
        <v>20190303170908801</v>
      </c>
      <c r="B4735" t="str">
        <f>"1551604148788420"</f>
        <v>1551604148788420</v>
      </c>
      <c r="C4735" t="s">
        <v>40</v>
      </c>
      <c r="D4735">
        <v>5.0775569999999997</v>
      </c>
      <c r="E4735">
        <v>0.4038195</v>
      </c>
      <c r="F4735" t="s">
        <v>53</v>
      </c>
      <c r="G4735">
        <v>-168.45060000000001</v>
      </c>
      <c r="H4735">
        <v>3.0316070000000002</v>
      </c>
      <c r="I4735">
        <v>-65.391980000000004</v>
      </c>
      <c r="J4735">
        <v>-287.92919999999998</v>
      </c>
      <c r="K4735">
        <v>1.1315770000000001</v>
      </c>
      <c r="L4735">
        <v>-63.855260000000001</v>
      </c>
      <c r="M4735">
        <v>0.93980070000000004</v>
      </c>
      <c r="N4735">
        <v>-1.537082E-2</v>
      </c>
      <c r="O4735">
        <v>-0.34137709999999999</v>
      </c>
      <c r="P4735">
        <v>0.94704410000000006</v>
      </c>
      <c r="Q4735">
        <v>0.203538</v>
      </c>
      <c r="R4735">
        <v>-0.24835460000000001</v>
      </c>
      <c r="S4735">
        <v>3.1582949999999999</v>
      </c>
      <c r="T4735">
        <v>5.0114150000000003E-2</v>
      </c>
      <c r="U4735">
        <v>-4.2694089999999997E-2</v>
      </c>
      <c r="V4735">
        <v>-9.5406759999999993E-2</v>
      </c>
      <c r="W4735">
        <v>0.21615429999999999</v>
      </c>
      <c r="X4735">
        <v>0.97168659999999996</v>
      </c>
      <c r="Y4735">
        <v>-0.32851390000000003</v>
      </c>
      <c r="Z4735">
        <v>-1.0741189999999999E-2</v>
      </c>
      <c r="AA4735">
        <v>0.944438</v>
      </c>
      <c r="AB4735">
        <v>27</v>
      </c>
      <c r="AC4735">
        <v>119.47859999999901</v>
      </c>
      <c r="AD4735">
        <v>1.9000299999999899</v>
      </c>
      <c r="AE4735">
        <v>-1.5367200000000001</v>
      </c>
      <c r="AF4735">
        <v>-39.337750359884602</v>
      </c>
      <c r="AG4735">
        <v>1.9000299999999899</v>
      </c>
      <c r="AH4735">
        <v>112.795484273555</v>
      </c>
      <c r="AI4735">
        <v>89.088765348253901</v>
      </c>
      <c r="AJ4735">
        <v>109.226364889777</v>
      </c>
      <c r="AK4735">
        <v>119.47338611541601</v>
      </c>
      <c r="AL4735">
        <v>77.516743518880801</v>
      </c>
      <c r="AM4735">
        <v>95.607712461534504</v>
      </c>
      <c r="AN4735">
        <v>0.99999998994087302</v>
      </c>
    </row>
    <row r="4736" spans="1:40" x14ac:dyDescent="0.25">
      <c r="A4736" t="str">
        <f>"20190303170908825"</f>
        <v>20190303170908825</v>
      </c>
      <c r="B4736" t="str">
        <f>"1551604148818676"</f>
        <v>1551604148818676</v>
      </c>
      <c r="C4736" t="s">
        <v>40</v>
      </c>
      <c r="D4736">
        <v>5.1013820000000001</v>
      </c>
      <c r="E4736">
        <v>0.41185169999999999</v>
      </c>
      <c r="F4736" t="s">
        <v>53</v>
      </c>
      <c r="G4736">
        <v>-157.3501</v>
      </c>
      <c r="H4736">
        <v>2.8594499999999998</v>
      </c>
      <c r="I4736">
        <v>-64.028139999999993</v>
      </c>
      <c r="J4736">
        <v>-287.65690000000001</v>
      </c>
      <c r="K4736">
        <v>1.1314439999999999</v>
      </c>
      <c r="L4736">
        <v>-63.937809999999999</v>
      </c>
      <c r="M4736">
        <v>0.94464709999999996</v>
      </c>
      <c r="N4736">
        <v>-1.533061E-2</v>
      </c>
      <c r="O4736">
        <v>-0.32773010000000002</v>
      </c>
      <c r="P4736">
        <v>0.95030369999999997</v>
      </c>
      <c r="Q4736">
        <v>0.20313829999999999</v>
      </c>
      <c r="R4736">
        <v>-0.23591960000000001</v>
      </c>
      <c r="S4736">
        <v>3.1576840000000002</v>
      </c>
      <c r="T4736">
        <v>4.1783210000000001E-2</v>
      </c>
      <c r="U4736">
        <v>-4.1809079999999997E-3</v>
      </c>
      <c r="V4736">
        <v>-9.4015319999999999E-2</v>
      </c>
      <c r="W4736">
        <v>0.21578130000000001</v>
      </c>
      <c r="X4736">
        <v>0.97190509999999997</v>
      </c>
      <c r="Y4736">
        <v>-0.32638820000000002</v>
      </c>
      <c r="Z4736">
        <v>-9.0276729999999999E-3</v>
      </c>
      <c r="AA4736">
        <v>0.9451927</v>
      </c>
      <c r="AB4736">
        <v>27</v>
      </c>
      <c r="AC4736">
        <v>130.30680000000001</v>
      </c>
      <c r="AD4736">
        <v>1.7280059999999899</v>
      </c>
      <c r="AE4736">
        <v>-9.0330000000008598E-2</v>
      </c>
      <c r="AF4736">
        <v>-42.617641367643401</v>
      </c>
      <c r="AG4736">
        <v>1.7280059999999899</v>
      </c>
      <c r="AH4736">
        <v>123.116353485161</v>
      </c>
      <c r="AI4736">
        <v>89.240108483414204</v>
      </c>
      <c r="AJ4736">
        <v>109.093675722979</v>
      </c>
      <c r="AK4736">
        <v>130.295379257901</v>
      </c>
      <c r="AL4736">
        <v>77.538631345977507</v>
      </c>
      <c r="AM4736">
        <v>95.525203224367601</v>
      </c>
      <c r="AN4736">
        <v>0.99999998661520095</v>
      </c>
    </row>
    <row r="4737" spans="1:40" x14ac:dyDescent="0.25">
      <c r="A4737" t="str">
        <f>"20190303170908847"</f>
        <v>20190303170908847</v>
      </c>
      <c r="B4737" t="str">
        <f>"1551604148838196"</f>
        <v>1551604148838196</v>
      </c>
      <c r="C4737" t="s">
        <v>40</v>
      </c>
      <c r="D4737">
        <v>5.1114759999999997</v>
      </c>
      <c r="E4737">
        <v>0.4135298</v>
      </c>
      <c r="F4737" t="s">
        <v>53</v>
      </c>
      <c r="G4737">
        <v>-157.3501</v>
      </c>
      <c r="H4737">
        <v>1.4967280000000001</v>
      </c>
      <c r="I4737">
        <v>-64.970860000000002</v>
      </c>
      <c r="J4737">
        <v>-287.39960000000002</v>
      </c>
      <c r="K4737">
        <v>1.1313139999999999</v>
      </c>
      <c r="L4737">
        <v>-64.012079999999997</v>
      </c>
      <c r="M4737">
        <v>0.94897969999999998</v>
      </c>
      <c r="N4737">
        <v>-1.5284320000000001E-2</v>
      </c>
      <c r="O4737">
        <v>-0.3149672</v>
      </c>
      <c r="P4737">
        <v>0.95289489999999999</v>
      </c>
      <c r="Q4737">
        <v>0.2039446</v>
      </c>
      <c r="R4737">
        <v>-0.22449549999999999</v>
      </c>
      <c r="S4737">
        <v>3.1488339999999999</v>
      </c>
      <c r="T4737">
        <v>8.8264940000000007E-3</v>
      </c>
      <c r="U4737">
        <v>-2.496338E-2</v>
      </c>
      <c r="V4737">
        <v>-9.2467069999999998E-2</v>
      </c>
      <c r="W4737">
        <v>0.216611</v>
      </c>
      <c r="X4737">
        <v>0.97186910000000004</v>
      </c>
      <c r="Y4737">
        <v>-0.30742380000000002</v>
      </c>
      <c r="Z4737">
        <v>-3.830969E-3</v>
      </c>
      <c r="AA4737">
        <v>0.95156499999999999</v>
      </c>
      <c r="AB4737">
        <v>27</v>
      </c>
      <c r="AC4737">
        <v>130.04949999999999</v>
      </c>
      <c r="AD4737">
        <v>0.36541400000000002</v>
      </c>
      <c r="AE4737">
        <v>-0.95877999999998997</v>
      </c>
      <c r="AF4737">
        <v>-40.055818551145101</v>
      </c>
      <c r="AG4737">
        <v>0.36541400000000002</v>
      </c>
      <c r="AH4737">
        <v>123.729770297676</v>
      </c>
      <c r="AI4737">
        <v>89.839013443317299</v>
      </c>
      <c r="AJ4737">
        <v>107.9386499612</v>
      </c>
      <c r="AK4737">
        <v>130.05252087179699</v>
      </c>
      <c r="AL4737">
        <v>77.489941891413395</v>
      </c>
      <c r="AM4737">
        <v>95.434963263900201</v>
      </c>
      <c r="AN4737">
        <v>1.0000000159450899</v>
      </c>
    </row>
    <row r="4738" spans="1:40" x14ac:dyDescent="0.25">
      <c r="A4738" t="str">
        <f>"20190303170908868"</f>
        <v>20190303170908868</v>
      </c>
      <c r="B4738" t="str">
        <f>"1551604148858693"</f>
        <v>1551604148858693</v>
      </c>
      <c r="C4738" t="s">
        <v>40</v>
      </c>
      <c r="D4738">
        <v>5.128323</v>
      </c>
      <c r="E4738">
        <v>0.42217280000000001</v>
      </c>
      <c r="F4738" t="s">
        <v>53</v>
      </c>
      <c r="G4738">
        <v>-157.3501</v>
      </c>
      <c r="H4738">
        <v>1.365189</v>
      </c>
      <c r="I4738">
        <v>-64.034779999999998</v>
      </c>
      <c r="J4738">
        <v>-287.15140000000002</v>
      </c>
      <c r="K4738">
        <v>1.131167</v>
      </c>
      <c r="L4738">
        <v>-64.080259999999996</v>
      </c>
      <c r="M4738">
        <v>0.95293030000000001</v>
      </c>
      <c r="N4738">
        <v>-1.523535E-2</v>
      </c>
      <c r="O4738">
        <v>-0.30280659999999998</v>
      </c>
      <c r="P4738">
        <v>0.95535700000000001</v>
      </c>
      <c r="Q4738">
        <v>0.20473759999999999</v>
      </c>
      <c r="R4738">
        <v>-0.21301619999999999</v>
      </c>
      <c r="S4738">
        <v>3.146973</v>
      </c>
      <c r="T4738">
        <v>5.6588649999999999E-3</v>
      </c>
      <c r="U4738">
        <v>-5.4931640000000002E-4</v>
      </c>
      <c r="V4738">
        <v>-9.1614379999999995E-2</v>
      </c>
      <c r="W4738">
        <v>0.2174083</v>
      </c>
      <c r="X4738">
        <v>0.97177179999999996</v>
      </c>
      <c r="Y4738">
        <v>-0.30263499999999999</v>
      </c>
      <c r="Z4738">
        <v>-3.1736469999999999E-3</v>
      </c>
      <c r="AA4738">
        <v>0.95310130000000004</v>
      </c>
      <c r="AB4738">
        <v>27</v>
      </c>
      <c r="AC4738">
        <v>129.8013</v>
      </c>
      <c r="AD4738">
        <v>0.23402199999999901</v>
      </c>
      <c r="AE4738">
        <v>4.5479999999997703E-2</v>
      </c>
      <c r="AF4738">
        <v>-39.352466972469998</v>
      </c>
      <c r="AG4738">
        <v>0.23402199999999901</v>
      </c>
      <c r="AH4738">
        <v>123.69176755646301</v>
      </c>
      <c r="AI4738">
        <v>89.896699793094996</v>
      </c>
      <c r="AJ4738">
        <v>107.64843978274899</v>
      </c>
      <c r="AK4738">
        <v>129.80109700752899</v>
      </c>
      <c r="AL4738">
        <v>77.443144528224394</v>
      </c>
      <c r="AM4738">
        <v>95.3856764833113</v>
      </c>
      <c r="AN4738">
        <v>0.99999999740345702</v>
      </c>
    </row>
    <row r="4739" spans="1:40" x14ac:dyDescent="0.25">
      <c r="A4739" t="str">
        <f>"20190303170908891"</f>
        <v>20190303170908891</v>
      </c>
      <c r="B4739" t="str">
        <f>"1551604148878213"</f>
        <v>1551604148878213</v>
      </c>
      <c r="C4739" t="s">
        <v>40</v>
      </c>
      <c r="D4739">
        <v>5.1318390000000003</v>
      </c>
      <c r="E4739">
        <v>0.4232089</v>
      </c>
      <c r="F4739" t="s">
        <v>53</v>
      </c>
      <c r="G4739">
        <v>-157.3501</v>
      </c>
      <c r="H4739">
        <v>0.39590069999999999</v>
      </c>
      <c r="I4739">
        <v>-65.335340000000002</v>
      </c>
      <c r="J4739">
        <v>-286.89100000000002</v>
      </c>
      <c r="K4739">
        <v>1.1310089999999999</v>
      </c>
      <c r="L4739">
        <v>-64.148219999999995</v>
      </c>
      <c r="M4739">
        <v>0.95683499999999999</v>
      </c>
      <c r="N4739">
        <v>-1.518196E-2</v>
      </c>
      <c r="O4739">
        <v>-0.29023480000000001</v>
      </c>
      <c r="P4739">
        <v>0.95820110000000003</v>
      </c>
      <c r="Q4739">
        <v>0.20502010000000001</v>
      </c>
      <c r="R4739">
        <v>-0.199543</v>
      </c>
      <c r="S4739">
        <v>3.1372070000000001</v>
      </c>
      <c r="T4739">
        <v>-1.777136E-2</v>
      </c>
      <c r="U4739">
        <v>-3.0334469999999999E-2</v>
      </c>
      <c r="V4739">
        <v>-9.2403399999999997E-2</v>
      </c>
      <c r="W4739">
        <v>0.21765399999999999</v>
      </c>
      <c r="X4739">
        <v>0.97164209999999995</v>
      </c>
      <c r="Y4739">
        <v>-0.28097270000000002</v>
      </c>
      <c r="Z4739" s="1">
        <v>9.7706679999999996E-5</v>
      </c>
      <c r="AA4739">
        <v>0.95971569999999995</v>
      </c>
      <c r="AB4739">
        <v>27</v>
      </c>
      <c r="AC4739">
        <v>129.540899999999</v>
      </c>
      <c r="AD4739">
        <v>-0.73510829999999905</v>
      </c>
      <c r="AE4739">
        <v>-1.18712</v>
      </c>
      <c r="AF4739">
        <v>-36.464428791789402</v>
      </c>
      <c r="AG4739">
        <v>-0.73510829999999905</v>
      </c>
      <c r="AH4739">
        <v>124.30413807820599</v>
      </c>
      <c r="AI4739">
        <v>90.325130817324094</v>
      </c>
      <c r="AJ4739">
        <v>106.34897013041601</v>
      </c>
      <c r="AK4739">
        <v>129.54425380807101</v>
      </c>
      <c r="AL4739">
        <v>77.428721751273997</v>
      </c>
      <c r="AM4739">
        <v>95.432504584766804</v>
      </c>
      <c r="AN4739">
        <v>1.0000000112699801</v>
      </c>
    </row>
    <row r="4740" spans="1:40" x14ac:dyDescent="0.25">
      <c r="A4740" t="str">
        <f>"20190303170908914"</f>
        <v>20190303170908914</v>
      </c>
      <c r="B4740" t="str">
        <f>"1551604148908469"</f>
        <v>1551604148908469</v>
      </c>
      <c r="C4740" t="s">
        <v>40</v>
      </c>
      <c r="D4740">
        <v>5.1461730000000001</v>
      </c>
      <c r="E4740">
        <v>0.42475689999999999</v>
      </c>
      <c r="F4740" t="s">
        <v>53</v>
      </c>
      <c r="G4740">
        <v>-157.3501</v>
      </c>
      <c r="H4740">
        <v>0.41577819999999999</v>
      </c>
      <c r="I4740">
        <v>-63.932630000000003</v>
      </c>
      <c r="J4740">
        <v>-286.62650000000002</v>
      </c>
      <c r="K4740">
        <v>1.130835</v>
      </c>
      <c r="L4740">
        <v>-64.213650000000001</v>
      </c>
      <c r="M4740">
        <v>0.96056249999999999</v>
      </c>
      <c r="N4740">
        <v>-1.5127359999999999E-2</v>
      </c>
      <c r="O4740">
        <v>-0.27765289999999998</v>
      </c>
      <c r="P4740">
        <v>0.96081760000000005</v>
      </c>
      <c r="Q4740">
        <v>0.20527090000000001</v>
      </c>
      <c r="R4740">
        <v>-0.1862625</v>
      </c>
      <c r="S4740">
        <v>3.1356510000000002</v>
      </c>
      <c r="T4740">
        <v>-1.7313240000000001E-2</v>
      </c>
      <c r="U4740">
        <v>5.2185060000000004E-3</v>
      </c>
      <c r="V4740">
        <v>-9.2998239999999996E-2</v>
      </c>
      <c r="W4740">
        <v>0.2178737</v>
      </c>
      <c r="X4740">
        <v>0.97153610000000001</v>
      </c>
      <c r="Y4740">
        <v>-0.27925470000000002</v>
      </c>
      <c r="Z4740">
        <v>1.58721299999999E-4</v>
      </c>
      <c r="AA4740">
        <v>0.96021710000000005</v>
      </c>
      <c r="AB4740">
        <v>27</v>
      </c>
      <c r="AC4740">
        <v>129.2764</v>
      </c>
      <c r="AD4740">
        <v>-0.71505679999999905</v>
      </c>
      <c r="AE4740">
        <v>0.28101999999999799</v>
      </c>
      <c r="AF4740">
        <v>-36.1669314849945</v>
      </c>
      <c r="AG4740">
        <v>-0.71505679999999905</v>
      </c>
      <c r="AH4740">
        <v>124.11042289281301</v>
      </c>
      <c r="AI4740">
        <v>90.316921538255698</v>
      </c>
      <c r="AJ4740">
        <v>106.246613844355</v>
      </c>
      <c r="AK4740">
        <v>129.27472804032601</v>
      </c>
      <c r="AL4740">
        <v>77.415824304531299</v>
      </c>
      <c r="AM4740">
        <v>95.467857596227105</v>
      </c>
      <c r="AN4740">
        <v>1.0000000076989899</v>
      </c>
    </row>
    <row r="4741" spans="1:40" x14ac:dyDescent="0.25">
      <c r="A4741" t="str">
        <f>"20190303170908935"</f>
        <v>20190303170908935</v>
      </c>
      <c r="B4741" t="str">
        <f>"1551604148928964"</f>
        <v>1551604148928964</v>
      </c>
      <c r="C4741" t="s">
        <v>40</v>
      </c>
      <c r="D4741">
        <v>5.1386659999999997</v>
      </c>
      <c r="E4741">
        <v>0.43149910000000002</v>
      </c>
      <c r="F4741" t="s">
        <v>53</v>
      </c>
      <c r="G4741">
        <v>-157.3501</v>
      </c>
      <c r="H4741">
        <v>0.25475879999999901</v>
      </c>
      <c r="I4741">
        <v>-62.736960000000003</v>
      </c>
      <c r="J4741">
        <v>-286.36599999999999</v>
      </c>
      <c r="K4741">
        <v>1.130687</v>
      </c>
      <c r="L4741">
        <v>-64.274810000000002</v>
      </c>
      <c r="M4741">
        <v>0.96401550000000003</v>
      </c>
      <c r="N4741">
        <v>-1.5075369999999999E-2</v>
      </c>
      <c r="O4741">
        <v>-0.26541809999999899</v>
      </c>
      <c r="P4741">
        <v>0.96293410000000002</v>
      </c>
      <c r="Q4741">
        <v>0.2064116</v>
      </c>
      <c r="R4741">
        <v>-0.17364370000000001</v>
      </c>
      <c r="S4741">
        <v>3.1338499999999998</v>
      </c>
      <c r="T4741">
        <v>-2.1237849999999999E-2</v>
      </c>
      <c r="U4741">
        <v>3.5797120000000002E-2</v>
      </c>
      <c r="V4741">
        <v>-9.3267180000000005E-2</v>
      </c>
      <c r="W4741">
        <v>0.21898770000000001</v>
      </c>
      <c r="X4741">
        <v>0.97125980000000001</v>
      </c>
      <c r="Y4741">
        <v>-0.27641389999999999</v>
      </c>
      <c r="Z4741">
        <v>7.6680279999999997E-4</v>
      </c>
      <c r="AA4741">
        <v>0.96103839999999996</v>
      </c>
      <c r="AB4741">
        <v>27</v>
      </c>
      <c r="AC4741">
        <v>129.01589999999999</v>
      </c>
      <c r="AD4741">
        <v>-0.87592819999999905</v>
      </c>
      <c r="AE4741">
        <v>1.5378499999999999</v>
      </c>
      <c r="AF4741">
        <v>-35.7280814160546</v>
      </c>
      <c r="AG4741">
        <v>-0.87592819999999905</v>
      </c>
      <c r="AH4741">
        <v>123.97353443140101</v>
      </c>
      <c r="AI4741">
        <v>90.388982798734602</v>
      </c>
      <c r="AJ4741">
        <v>106.076515818188</v>
      </c>
      <c r="AK4741">
        <v>129.02209226058</v>
      </c>
      <c r="AL4741">
        <v>77.350417150833493</v>
      </c>
      <c r="AM4741">
        <v>95.485124187363496</v>
      </c>
      <c r="AN4741">
        <v>0.99999998935624101</v>
      </c>
    </row>
    <row r="4742" spans="1:40" x14ac:dyDescent="0.25">
      <c r="A4742" t="str">
        <f>"20190303170908957"</f>
        <v>20190303170908957</v>
      </c>
      <c r="B4742" t="str">
        <f>"1551604148948485"</f>
        <v>1551604148948485</v>
      </c>
      <c r="C4742" t="s">
        <v>40</v>
      </c>
      <c r="D4742">
        <v>5.1334030000000004</v>
      </c>
      <c r="E4742">
        <v>0.43321939999999998</v>
      </c>
      <c r="F4742" t="s">
        <v>59</v>
      </c>
      <c r="G4742">
        <v>-206.702</v>
      </c>
      <c r="H4742" s="1">
        <v>-2.5261650000000001E-6</v>
      </c>
      <c r="I4742">
        <v>-63.67503</v>
      </c>
      <c r="J4742">
        <v>-286.11349999999999</v>
      </c>
      <c r="K4742">
        <v>1.130557</v>
      </c>
      <c r="L4742">
        <v>-64.330929999999995</v>
      </c>
      <c r="M4742">
        <v>0.96715969999999996</v>
      </c>
      <c r="N4742">
        <v>-1.5027449999999999E-2</v>
      </c>
      <c r="O4742">
        <v>-0.25372489999999998</v>
      </c>
      <c r="P4742">
        <v>0.96469709999999997</v>
      </c>
      <c r="Q4742">
        <v>0.2073815</v>
      </c>
      <c r="R4742">
        <v>-0.1623356</v>
      </c>
      <c r="S4742">
        <v>3.1292420000000001</v>
      </c>
      <c r="T4742">
        <v>-4.4414040000000002E-2</v>
      </c>
      <c r="U4742">
        <v>2.3559569999999998E-2</v>
      </c>
      <c r="V4742">
        <v>-9.2789930000000007E-2</v>
      </c>
      <c r="W4742">
        <v>0.2199498</v>
      </c>
      <c r="X4742">
        <v>0.97108810000000001</v>
      </c>
      <c r="Y4742">
        <v>-0.26097520000000002</v>
      </c>
      <c r="Z4742">
        <v>3.5411890000000001E-3</v>
      </c>
      <c r="AA4742">
        <v>0.96533899999999995</v>
      </c>
      <c r="AB4742">
        <v>27</v>
      </c>
      <c r="AC4742">
        <v>79.411499999999904</v>
      </c>
      <c r="AD4742">
        <v>-1.1305595261650001</v>
      </c>
      <c r="AE4742">
        <v>0.65590000000000204</v>
      </c>
      <c r="AF4742">
        <v>-20.781169910641001</v>
      </c>
      <c r="AG4742">
        <v>-1.1305595261650001</v>
      </c>
      <c r="AH4742">
        <v>76.630307068740393</v>
      </c>
      <c r="AI4742">
        <v>90.815786500454493</v>
      </c>
      <c r="AJ4742">
        <v>105.17296388160401</v>
      </c>
      <c r="AK4742">
        <v>79.406165687222199</v>
      </c>
      <c r="AL4742">
        <v>77.293915368933298</v>
      </c>
      <c r="AM4742">
        <v>95.458185649316903</v>
      </c>
      <c r="AN4742">
        <v>0.99999999179552701</v>
      </c>
    </row>
    <row r="4743" spans="1:40" x14ac:dyDescent="0.25">
      <c r="A4743" t="str">
        <f>"20190303170908979"</f>
        <v>20190303170908979</v>
      </c>
      <c r="B4743" t="str">
        <f>"1551604148968980"</f>
        <v>1551604148968980</v>
      </c>
      <c r="C4743" t="s">
        <v>40</v>
      </c>
      <c r="D4743">
        <v>5.1343139999999998</v>
      </c>
      <c r="E4743">
        <v>0.4349768</v>
      </c>
      <c r="F4743" t="s">
        <v>59</v>
      </c>
      <c r="G4743">
        <v>-201.9676</v>
      </c>
      <c r="H4743" s="1">
        <v>-4.8567480000000001E-6</v>
      </c>
      <c r="I4743">
        <v>-63.081679999999999</v>
      </c>
      <c r="J4743">
        <v>-285.85309999999998</v>
      </c>
      <c r="K4743">
        <v>1.130409</v>
      </c>
      <c r="L4743">
        <v>-64.385679999999994</v>
      </c>
      <c r="M4743">
        <v>0.97019679999999997</v>
      </c>
      <c r="N4743">
        <v>-1.497827E-2</v>
      </c>
      <c r="O4743">
        <v>-0.24185519999999999</v>
      </c>
      <c r="P4743">
        <v>0.96634109999999995</v>
      </c>
      <c r="Q4743">
        <v>0.20762939999999999</v>
      </c>
      <c r="R4743">
        <v>-0.15190419999999999</v>
      </c>
      <c r="S4743">
        <v>3.126617</v>
      </c>
      <c r="T4743">
        <v>-4.2008400000000001E-2</v>
      </c>
      <c r="U4743">
        <v>4.6417239999999999E-2</v>
      </c>
      <c r="V4743">
        <v>-9.1289469999999998E-2</v>
      </c>
      <c r="W4743">
        <v>0.2202163</v>
      </c>
      <c r="X4743">
        <v>0.97116990000000003</v>
      </c>
      <c r="Y4743">
        <v>-0.25621070000000001</v>
      </c>
      <c r="Z4743">
        <v>3.2180960000000002E-3</v>
      </c>
      <c r="AA4743">
        <v>0.96661560000000002</v>
      </c>
      <c r="AB4743">
        <v>27</v>
      </c>
      <c r="AC4743">
        <v>83.885499999999894</v>
      </c>
      <c r="AD4743">
        <v>-1.130413856748</v>
      </c>
      <c r="AE4743">
        <v>1.304</v>
      </c>
      <c r="AF4743">
        <v>-21.551785149290399</v>
      </c>
      <c r="AG4743">
        <v>-1.130413856748</v>
      </c>
      <c r="AH4743">
        <v>81.064437998165204</v>
      </c>
      <c r="AI4743">
        <v>90.772099533867802</v>
      </c>
      <c r="AJ4743">
        <v>104.88825419451599</v>
      </c>
      <c r="AK4743">
        <v>83.888022902957204</v>
      </c>
      <c r="AL4743">
        <v>77.278262099267593</v>
      </c>
      <c r="AM4743">
        <v>95.369994585306301</v>
      </c>
      <c r="AN4743">
        <v>0.99999998039228999</v>
      </c>
    </row>
    <row r="4744" spans="1:40" x14ac:dyDescent="0.25">
      <c r="A4744" t="str">
        <f>"20190303170909003"</f>
        <v>20190303170909003</v>
      </c>
      <c r="B4744" t="str">
        <f>"1551604148998261"</f>
        <v>1551604148998261</v>
      </c>
      <c r="C4744" t="s">
        <v>40</v>
      </c>
      <c r="D4744">
        <v>5.1379900000000003</v>
      </c>
      <c r="E4744">
        <v>0.44354379999999999</v>
      </c>
      <c r="F4744" t="s">
        <v>59</v>
      </c>
      <c r="G4744">
        <v>-208.56200000000001</v>
      </c>
      <c r="H4744" s="1">
        <v>-1.212246E-6</v>
      </c>
      <c r="I4744">
        <v>-62.729590000000002</v>
      </c>
      <c r="J4744">
        <v>-285.58819999999997</v>
      </c>
      <c r="K4744">
        <v>1.1302460000000001</v>
      </c>
      <c r="L4744">
        <v>-64.438230000000004</v>
      </c>
      <c r="M4744">
        <v>0.97307869999999996</v>
      </c>
      <c r="N4744">
        <v>-1.4926129999999999E-2</v>
      </c>
      <c r="O4744">
        <v>-0.22998959999999999</v>
      </c>
      <c r="P4744">
        <v>0.96802969999999999</v>
      </c>
      <c r="Q4744">
        <v>0.2067619</v>
      </c>
      <c r="R4744">
        <v>-0.14201449999999999</v>
      </c>
      <c r="S4744">
        <v>3.1248779999999998</v>
      </c>
      <c r="T4744">
        <v>-4.570246E-2</v>
      </c>
      <c r="U4744">
        <v>6.6955570000000006E-2</v>
      </c>
      <c r="V4744">
        <v>-8.9288790000000007E-2</v>
      </c>
      <c r="W4744">
        <v>0.2193822</v>
      </c>
      <c r="X4744">
        <v>0.97154459999999998</v>
      </c>
      <c r="Y4744">
        <v>-0.25075639999999999</v>
      </c>
      <c r="Z4744">
        <v>3.593798E-3</v>
      </c>
      <c r="AA4744">
        <v>0.9680436</v>
      </c>
      <c r="AB4744">
        <v>27</v>
      </c>
      <c r="AC4744">
        <v>77.026199999999903</v>
      </c>
      <c r="AD4744">
        <v>-1.1302472122460001</v>
      </c>
      <c r="AE4744">
        <v>1.7086399999999999</v>
      </c>
      <c r="AF4744">
        <v>-19.375853682254998</v>
      </c>
      <c r="AG4744">
        <v>-1.1302472122460001</v>
      </c>
      <c r="AH4744">
        <v>74.551841950211198</v>
      </c>
      <c r="AI4744">
        <v>90.840645838689795</v>
      </c>
      <c r="AJ4744">
        <v>104.568726870341</v>
      </c>
      <c r="AK4744">
        <v>77.0368632723725</v>
      </c>
      <c r="AL4744">
        <v>77.327250431622602</v>
      </c>
      <c r="AM4744">
        <v>95.250958036638806</v>
      </c>
      <c r="AN4744">
        <v>0.99999997374283101</v>
      </c>
    </row>
    <row r="4745" spans="1:40" x14ac:dyDescent="0.25">
      <c r="A4745" t="str">
        <f>"20190303170909025"</f>
        <v>20190303170909025</v>
      </c>
      <c r="B4745" t="str">
        <f>"1551604149018756"</f>
        <v>1551604149018756</v>
      </c>
      <c r="C4745" t="s">
        <v>40</v>
      </c>
      <c r="D4745">
        <v>5.1755079999999998</v>
      </c>
      <c r="E4745">
        <v>0.445351</v>
      </c>
      <c r="F4745" t="s">
        <v>112</v>
      </c>
      <c r="G4745">
        <v>-233.23750000000001</v>
      </c>
      <c r="H4745" s="1">
        <v>-1.30681E-6</v>
      </c>
      <c r="I4745">
        <v>-63.881779999999999</v>
      </c>
      <c r="J4745">
        <v>-285.3152</v>
      </c>
      <c r="K4745">
        <v>1.1300589999999999</v>
      </c>
      <c r="L4745">
        <v>-64.489140000000006</v>
      </c>
      <c r="M4745">
        <v>0.97583450000000005</v>
      </c>
      <c r="N4745">
        <v>-1.486987E-2</v>
      </c>
      <c r="O4745">
        <v>-0.21800430000000001</v>
      </c>
      <c r="P4745">
        <v>0.96954689999999999</v>
      </c>
      <c r="Q4745">
        <v>0.20624880000000001</v>
      </c>
      <c r="R4745">
        <v>-0.13206209999999999</v>
      </c>
      <c r="S4745">
        <v>3.1182859999999999</v>
      </c>
      <c r="T4745">
        <v>-6.7323679999999997E-2</v>
      </c>
      <c r="U4745">
        <v>3.3142089999999999E-2</v>
      </c>
      <c r="V4745">
        <v>-8.7222309999999997E-2</v>
      </c>
      <c r="W4745">
        <v>0.2189026</v>
      </c>
      <c r="X4745">
        <v>0.9718405</v>
      </c>
      <c r="Y4745">
        <v>-0.22829450000000001</v>
      </c>
      <c r="Z4745">
        <v>5.5801870000000003E-3</v>
      </c>
      <c r="AA4745">
        <v>0.97357610000000006</v>
      </c>
      <c r="AB4745">
        <v>27</v>
      </c>
      <c r="AC4745">
        <v>52.077699999999901</v>
      </c>
      <c r="AD4745">
        <v>-1.1300603068099999</v>
      </c>
      <c r="AE4745">
        <v>0.60735999999999901</v>
      </c>
      <c r="AF4745">
        <v>-11.941544397106</v>
      </c>
      <c r="AG4745">
        <v>-1.1300603068099999</v>
      </c>
      <c r="AH4745">
        <v>50.668559983969502</v>
      </c>
      <c r="AI4745">
        <v>91.243595488019693</v>
      </c>
      <c r="AJ4745">
        <v>103.261444327834</v>
      </c>
      <c r="AK4745">
        <v>52.068997395131298</v>
      </c>
      <c r="AL4745">
        <v>77.355414641071405</v>
      </c>
      <c r="AM4745">
        <v>95.128533463361293</v>
      </c>
      <c r="AN4745">
        <v>1.00000001854437</v>
      </c>
    </row>
    <row r="4746" spans="1:40" x14ac:dyDescent="0.25">
      <c r="A4746" t="str">
        <f>"20190303170909048"</f>
        <v>20190303170909048</v>
      </c>
      <c r="B4746" t="str">
        <f>"1551604149038277"</f>
        <v>1551604149038277</v>
      </c>
      <c r="C4746" t="s">
        <v>40</v>
      </c>
      <c r="D4746">
        <v>5.1567879999999997</v>
      </c>
      <c r="E4746">
        <v>0.44673040000000003</v>
      </c>
      <c r="F4746" t="s">
        <v>112</v>
      </c>
      <c r="G4746">
        <v>-239.15389999999999</v>
      </c>
      <c r="H4746" s="1">
        <v>-3.5848150000000002E-6</v>
      </c>
      <c r="I4746">
        <v>-63.741639999999997</v>
      </c>
      <c r="J4746">
        <v>-285.05419999999998</v>
      </c>
      <c r="K4746">
        <v>1.129845</v>
      </c>
      <c r="L4746">
        <v>-64.534850000000006</v>
      </c>
      <c r="M4746">
        <v>0.97827059999999999</v>
      </c>
      <c r="N4746">
        <v>-1.4814300000000001E-2</v>
      </c>
      <c r="O4746">
        <v>-0.2068024</v>
      </c>
      <c r="P4746">
        <v>0.97094210000000003</v>
      </c>
      <c r="Q4746">
        <v>0.2056142</v>
      </c>
      <c r="R4746">
        <v>-0.1224504</v>
      </c>
      <c r="S4746">
        <v>3.1173709999999999</v>
      </c>
      <c r="T4746">
        <v>-7.6315519999999998E-2</v>
      </c>
      <c r="U4746">
        <v>5.0476069999999998E-2</v>
      </c>
      <c r="V4746">
        <v>-8.5606189999999999E-2</v>
      </c>
      <c r="W4746">
        <v>0.2182935</v>
      </c>
      <c r="X4746">
        <v>0.97212120000000002</v>
      </c>
      <c r="Y4746">
        <v>-0.2225221</v>
      </c>
      <c r="Z4746">
        <v>6.3291830000000004E-3</v>
      </c>
      <c r="AA4746">
        <v>0.97490710000000003</v>
      </c>
      <c r="AB4746">
        <v>27</v>
      </c>
      <c r="AC4746">
        <v>45.900299999999902</v>
      </c>
      <c r="AD4746">
        <v>-1.1298485848149999</v>
      </c>
      <c r="AE4746">
        <v>0.79321000000000197</v>
      </c>
      <c r="AF4746">
        <v>-10.263176116816799</v>
      </c>
      <c r="AG4746">
        <v>-1.1298485848149999</v>
      </c>
      <c r="AH4746">
        <v>44.716698675324103</v>
      </c>
      <c r="AI4746">
        <v>91.410709950893306</v>
      </c>
      <c r="AJ4746">
        <v>102.92639743852</v>
      </c>
      <c r="AK4746">
        <v>45.8932727341289</v>
      </c>
      <c r="AL4746">
        <v>77.391178847712993</v>
      </c>
      <c r="AM4746">
        <v>95.032554907842893</v>
      </c>
      <c r="AN4746">
        <v>1.000000049699</v>
      </c>
    </row>
    <row r="4747" spans="1:40" x14ac:dyDescent="0.25">
      <c r="A4747" t="str">
        <f>"20190303170909070"</f>
        <v>20190303170909070</v>
      </c>
      <c r="B4747" t="str">
        <f>"1551604149058772"</f>
        <v>1551604149058772</v>
      </c>
      <c r="C4747" t="s">
        <v>40</v>
      </c>
      <c r="D4747">
        <v>5.1725050000000001</v>
      </c>
      <c r="E4747">
        <v>0.44731140000000003</v>
      </c>
      <c r="F4747" t="s">
        <v>113</v>
      </c>
      <c r="G4747">
        <v>-242.53309999999999</v>
      </c>
      <c r="H4747" s="1">
        <v>-9.2450229999999998E-7</v>
      </c>
      <c r="I4747">
        <v>-63.580759999999998</v>
      </c>
      <c r="J4747">
        <v>-284.7998</v>
      </c>
      <c r="K4747">
        <v>1.129621</v>
      </c>
      <c r="L4747">
        <v>-64.576660000000004</v>
      </c>
      <c r="M4747">
        <v>0.98046299999999997</v>
      </c>
      <c r="N4747">
        <v>-1.4758830000000001E-2</v>
      </c>
      <c r="O4747">
        <v>-0.19614889999999999</v>
      </c>
      <c r="P4747">
        <v>0.97204460000000004</v>
      </c>
      <c r="Q4747">
        <v>0.20539370000000001</v>
      </c>
      <c r="R4747">
        <v>-0.1137658</v>
      </c>
      <c r="S4747">
        <v>3.1161189999999999</v>
      </c>
      <c r="T4747">
        <v>-8.2799670000000006E-2</v>
      </c>
      <c r="U4747">
        <v>6.9915770000000002E-2</v>
      </c>
      <c r="V4747">
        <v>-8.3600590000000002E-2</v>
      </c>
      <c r="W4747">
        <v>0.21810689999999999</v>
      </c>
      <c r="X4747">
        <v>0.97233749999999997</v>
      </c>
      <c r="Y4747">
        <v>-0.21798400000000001</v>
      </c>
      <c r="Z4747">
        <v>6.7851040000000001E-3</v>
      </c>
      <c r="AA4747">
        <v>0.97592880000000004</v>
      </c>
      <c r="AB4747">
        <v>27</v>
      </c>
      <c r="AC4747">
        <v>42.2667</v>
      </c>
      <c r="AD4747">
        <v>-1.1296219245023</v>
      </c>
      <c r="AE4747">
        <v>0.995900000000006</v>
      </c>
      <c r="AF4747">
        <v>-9.2614081030337694</v>
      </c>
      <c r="AG4747">
        <v>-1.1296219245023</v>
      </c>
      <c r="AH4747">
        <v>41.220658710368099</v>
      </c>
      <c r="AI4747">
        <v>91.531592906137405</v>
      </c>
      <c r="AJ4747">
        <v>102.66286562081601</v>
      </c>
      <c r="AK4747">
        <v>42.263369840322703</v>
      </c>
      <c r="AL4747">
        <v>77.402132894562698</v>
      </c>
      <c r="AM4747">
        <v>94.914147576488602</v>
      </c>
      <c r="AN4747">
        <v>0.999999946191102</v>
      </c>
    </row>
    <row r="4748" spans="1:40" x14ac:dyDescent="0.25">
      <c r="A4748" t="str">
        <f>"20190303170909092"</f>
        <v>20190303170909092</v>
      </c>
      <c r="B4748" t="str">
        <f>"1551604149089028"</f>
        <v>1551604149089028</v>
      </c>
      <c r="C4748" t="s">
        <v>40</v>
      </c>
      <c r="D4748">
        <v>5.1777300000000004</v>
      </c>
      <c r="E4748">
        <v>0.45425339999999997</v>
      </c>
      <c r="F4748" t="s">
        <v>113</v>
      </c>
      <c r="G4748">
        <v>-243.1987</v>
      </c>
      <c r="H4748" s="1">
        <v>-1.14332E-6</v>
      </c>
      <c r="I4748">
        <v>-63.329889999999999</v>
      </c>
      <c r="J4748">
        <v>-284.53280000000001</v>
      </c>
      <c r="K4748">
        <v>1.129381</v>
      </c>
      <c r="L4748">
        <v>-64.617609999999999</v>
      </c>
      <c r="M4748">
        <v>0.98257609999999995</v>
      </c>
      <c r="N4748">
        <v>-1.469957E-2</v>
      </c>
      <c r="O4748">
        <v>-0.1852792</v>
      </c>
      <c r="P4748">
        <v>0.97305750000000002</v>
      </c>
      <c r="Q4748">
        <v>0.20512369999999999</v>
      </c>
      <c r="R4748">
        <v>-0.10527880000000001</v>
      </c>
      <c r="S4748">
        <v>3.1150509999999998</v>
      </c>
      <c r="T4748">
        <v>-8.4585190000000005E-2</v>
      </c>
      <c r="U4748">
        <v>9.3353270000000002E-2</v>
      </c>
      <c r="V4748">
        <v>-8.1183870000000005E-2</v>
      </c>
      <c r="W4748">
        <v>0.2178784</v>
      </c>
      <c r="X4748">
        <v>0.9725935</v>
      </c>
      <c r="Y4748">
        <v>-0.21451700000000001</v>
      </c>
      <c r="Z4748">
        <v>6.7664730000000003E-3</v>
      </c>
      <c r="AA4748">
        <v>0.97669680000000003</v>
      </c>
      <c r="AB4748">
        <v>27</v>
      </c>
      <c r="AC4748">
        <v>41.334099999999999</v>
      </c>
      <c r="AD4748">
        <v>-1.12938214332</v>
      </c>
      <c r="AE4748">
        <v>1.28772</v>
      </c>
      <c r="AF4748">
        <v>-8.9179436802240808</v>
      </c>
      <c r="AG4748">
        <v>-1.12938214332</v>
      </c>
      <c r="AH4748">
        <v>40.349574584992098</v>
      </c>
      <c r="AI4748">
        <v>91.565525349869105</v>
      </c>
      <c r="AJ4748">
        <v>102.46298877403601</v>
      </c>
      <c r="AK4748">
        <v>41.338763802261198</v>
      </c>
      <c r="AL4748">
        <v>77.415547866381402</v>
      </c>
      <c r="AM4748">
        <v>94.771505224491307</v>
      </c>
      <c r="AN4748">
        <v>0.99999996708849204</v>
      </c>
    </row>
    <row r="4749" spans="1:40" x14ac:dyDescent="0.25">
      <c r="A4749" t="str">
        <f>"20190303170909115"</f>
        <v>20190303170909115</v>
      </c>
      <c r="B4749" t="str">
        <f>"1551604149108549"</f>
        <v>1551604149108549</v>
      </c>
      <c r="C4749" t="s">
        <v>40</v>
      </c>
      <c r="D4749">
        <v>5.1753629999999999</v>
      </c>
      <c r="E4749">
        <v>0.45543080000000002</v>
      </c>
      <c r="F4749" t="s">
        <v>113</v>
      </c>
      <c r="G4749">
        <v>-247.60640000000001</v>
      </c>
      <c r="H4749" s="1">
        <v>-3.0744959999999998E-6</v>
      </c>
      <c r="I4749">
        <v>-63.833500000000001</v>
      </c>
      <c r="J4749">
        <v>-284.26420000000002</v>
      </c>
      <c r="K4749">
        <v>1.1291530000000001</v>
      </c>
      <c r="L4749">
        <v>-64.65616</v>
      </c>
      <c r="M4749">
        <v>0.98452899999999999</v>
      </c>
      <c r="N4749">
        <v>-1.464158E-2</v>
      </c>
      <c r="O4749">
        <v>-0.1746086</v>
      </c>
      <c r="P4749">
        <v>0.97409880000000004</v>
      </c>
      <c r="Q4749">
        <v>0.20535349999999999</v>
      </c>
      <c r="R4749">
        <v>-9.4665109999999997E-2</v>
      </c>
      <c r="S4749">
        <v>3.1102910000000001</v>
      </c>
      <c r="T4749">
        <v>-9.5127459999999997E-2</v>
      </c>
      <c r="U4749">
        <v>6.6040039999999994E-2</v>
      </c>
      <c r="V4749">
        <v>-8.1108429999999995E-2</v>
      </c>
      <c r="W4749">
        <v>0.2180957</v>
      </c>
      <c r="X4749">
        <v>0.9725511</v>
      </c>
      <c r="Y4749">
        <v>-0.19533339999999999</v>
      </c>
      <c r="Z4749">
        <v>7.1723269999999896E-3</v>
      </c>
      <c r="AA4749">
        <v>0.98071070000000005</v>
      </c>
      <c r="AB4749">
        <v>27</v>
      </c>
      <c r="AC4749">
        <v>36.657800000000002</v>
      </c>
      <c r="AD4749">
        <v>-1.1291560744959901</v>
      </c>
      <c r="AE4749">
        <v>0.82265999999999895</v>
      </c>
      <c r="AF4749">
        <v>-7.2046408521290397</v>
      </c>
      <c r="AG4749">
        <v>-1.1291560744959901</v>
      </c>
      <c r="AH4749">
        <v>35.916818572414698</v>
      </c>
      <c r="AI4749">
        <v>91.765529772169202</v>
      </c>
      <c r="AJ4749">
        <v>101.342565332308</v>
      </c>
      <c r="AK4749">
        <v>36.649688942915802</v>
      </c>
      <c r="AL4749">
        <v>77.402790830672799</v>
      </c>
      <c r="AM4749">
        <v>94.767298624890898</v>
      </c>
      <c r="AN4749">
        <v>0.99999997694338205</v>
      </c>
    </row>
    <row r="4750" spans="1:40" x14ac:dyDescent="0.25">
      <c r="A4750" t="str">
        <f>"20190303170909136"</f>
        <v>20190303170909136</v>
      </c>
      <c r="B4750" t="str">
        <f>"1551604149129045"</f>
        <v>1551604149129045</v>
      </c>
      <c r="C4750" t="s">
        <v>40</v>
      </c>
      <c r="D4750">
        <v>5.1555200000000001</v>
      </c>
      <c r="E4750">
        <v>0.45601390000000003</v>
      </c>
      <c r="F4750" t="s">
        <v>113</v>
      </c>
      <c r="G4750">
        <v>-247.68680000000001</v>
      </c>
      <c r="H4750" s="1">
        <v>-3.0599480000000002E-6</v>
      </c>
      <c r="I4750">
        <v>-63.597209999999997</v>
      </c>
      <c r="J4750">
        <v>-284.0086</v>
      </c>
      <c r="K4750">
        <v>1.128951</v>
      </c>
      <c r="L4750">
        <v>-64.690370000000001</v>
      </c>
      <c r="M4750">
        <v>0.98623510000000003</v>
      </c>
      <c r="N4750">
        <v>-1.4589629999999999E-2</v>
      </c>
      <c r="O4750">
        <v>-0.164704399999999</v>
      </c>
      <c r="P4750">
        <v>0.97500509999999996</v>
      </c>
      <c r="Q4750">
        <v>0.2048973</v>
      </c>
      <c r="R4750">
        <v>-8.5918339999999996E-2</v>
      </c>
      <c r="S4750">
        <v>3.108765</v>
      </c>
      <c r="T4750">
        <v>-9.5968479999999995E-2</v>
      </c>
      <c r="U4750">
        <v>8.9996339999999994E-2</v>
      </c>
      <c r="V4750">
        <v>-7.9957130000000001E-2</v>
      </c>
      <c r="W4750">
        <v>0.21765119999999999</v>
      </c>
      <c r="X4750">
        <v>0.972746</v>
      </c>
      <c r="Y4750">
        <v>-0.1930383</v>
      </c>
      <c r="Z4750">
        <v>7.0459059999999898E-3</v>
      </c>
      <c r="AA4750">
        <v>0.98116590000000004</v>
      </c>
      <c r="AB4750">
        <v>27</v>
      </c>
      <c r="AC4750">
        <v>36.321800000000003</v>
      </c>
      <c r="AD4750">
        <v>-1.1289540599479999</v>
      </c>
      <c r="AE4750">
        <v>1.0931599999999999</v>
      </c>
      <c r="AF4750">
        <v>-7.0544153142077199</v>
      </c>
      <c r="AG4750">
        <v>-1.1289540599479999</v>
      </c>
      <c r="AH4750">
        <v>35.611205960055599</v>
      </c>
      <c r="AI4750">
        <v>91.781205311794906</v>
      </c>
      <c r="AJ4750">
        <v>101.204964540153</v>
      </c>
      <c r="AK4750">
        <v>36.320755810201703</v>
      </c>
      <c r="AL4750">
        <v>77.428885771654706</v>
      </c>
      <c r="AM4750">
        <v>94.698996681078697</v>
      </c>
      <c r="AN4750">
        <v>0.99999998400763801</v>
      </c>
    </row>
    <row r="4751" spans="1:40" x14ac:dyDescent="0.25">
      <c r="A4751" t="str">
        <f>"20190303170909147"</f>
        <v>20190303170909147</v>
      </c>
      <c r="B4751" t="str">
        <f>"1551604149138805"</f>
        <v>1551604149138805</v>
      </c>
      <c r="C4751" t="s">
        <v>40</v>
      </c>
      <c r="D4751">
        <v>5.1622769999999996</v>
      </c>
      <c r="E4751">
        <v>0.45601390000000003</v>
      </c>
      <c r="F4751" t="s">
        <v>113</v>
      </c>
      <c r="G4751">
        <v>-247.9015</v>
      </c>
      <c r="H4751" s="1">
        <v>-3.0937929999999999E-6</v>
      </c>
      <c r="I4751">
        <v>-63.376100000000001</v>
      </c>
      <c r="J4751">
        <v>-283.8775</v>
      </c>
      <c r="K4751">
        <v>1.128851</v>
      </c>
      <c r="L4751">
        <v>-64.707210000000003</v>
      </c>
      <c r="M4751">
        <v>0.98705759999999998</v>
      </c>
      <c r="N4751">
        <v>-1.4563960000000001E-2</v>
      </c>
      <c r="O4751">
        <v>-0.1597035</v>
      </c>
      <c r="P4751">
        <v>0.97541009999999995</v>
      </c>
      <c r="Q4751">
        <v>0.20466680000000001</v>
      </c>
      <c r="R4751">
        <v>-8.1772689999999995E-2</v>
      </c>
      <c r="S4751">
        <v>3.1073</v>
      </c>
      <c r="T4751">
        <v>-9.7155329999999998E-2</v>
      </c>
      <c r="U4751">
        <v>0.11309809999999999</v>
      </c>
      <c r="V4751">
        <v>-7.9108529999999996E-2</v>
      </c>
      <c r="W4751">
        <v>0.2174316</v>
      </c>
      <c r="X4751">
        <v>0.97286450000000002</v>
      </c>
      <c r="Y4751">
        <v>-0.1953598</v>
      </c>
      <c r="Z4751">
        <v>7.1233080000000001E-3</v>
      </c>
      <c r="AA4751">
        <v>0.98070579999999996</v>
      </c>
      <c r="AB4751">
        <v>27</v>
      </c>
      <c r="AC4751">
        <v>35.975999999999999</v>
      </c>
      <c r="AD4751">
        <v>-1.1288540937930001</v>
      </c>
      <c r="AE4751">
        <v>1.33111</v>
      </c>
      <c r="AF4751">
        <v>-7.0531891587056901</v>
      </c>
      <c r="AG4751">
        <v>-1.1288540937930001</v>
      </c>
      <c r="AH4751">
        <v>35.266869485413302</v>
      </c>
      <c r="AI4751">
        <v>91.797772551983002</v>
      </c>
      <c r="AJ4751">
        <v>101.309643884906</v>
      </c>
      <c r="AK4751">
        <v>35.982966417108102</v>
      </c>
      <c r="AL4751">
        <v>77.441776823206894</v>
      </c>
      <c r="AM4751">
        <v>94.648781319225193</v>
      </c>
      <c r="AN4751">
        <v>0.99999999777878501</v>
      </c>
    </row>
    <row r="4752" spans="1:40" x14ac:dyDescent="0.25">
      <c r="A4752" t="str">
        <f>"20190303170909159"</f>
        <v>20190303170909159</v>
      </c>
      <c r="B4752" t="str">
        <f>"1551604149148565"</f>
        <v>1551604149148565</v>
      </c>
      <c r="C4752" t="s">
        <v>40</v>
      </c>
      <c r="D4752">
        <v>5.1493880000000001</v>
      </c>
      <c r="E4752">
        <v>0.4608913</v>
      </c>
      <c r="F4752" t="s">
        <v>113</v>
      </c>
      <c r="G4752">
        <v>-248.07929999999999</v>
      </c>
      <c r="H4752" s="1">
        <v>-3.1325999999999999E-6</v>
      </c>
      <c r="I4752">
        <v>-63.253790000000002</v>
      </c>
      <c r="J4752">
        <v>-283.7466</v>
      </c>
      <c r="K4752">
        <v>1.12874599999999</v>
      </c>
      <c r="L4752">
        <v>-64.723019999999906</v>
      </c>
      <c r="M4752">
        <v>0.98783489999999996</v>
      </c>
      <c r="N4752">
        <v>-1.45372E-2</v>
      </c>
      <c r="O4752">
        <v>-0.15482570000000001</v>
      </c>
      <c r="P4752">
        <v>0.97568149999999998</v>
      </c>
      <c r="Q4752">
        <v>0.2048788</v>
      </c>
      <c r="R4752">
        <v>-7.7913250000000003E-2</v>
      </c>
      <c r="S4752">
        <v>3.1067200000000001</v>
      </c>
      <c r="T4752">
        <v>-9.7966670000000006E-2</v>
      </c>
      <c r="U4752">
        <v>0.1261292</v>
      </c>
      <c r="V4752">
        <v>-7.8090400000000004E-2</v>
      </c>
      <c r="W4752">
        <v>0.21765590000000001</v>
      </c>
      <c r="X4752">
        <v>0.9728966</v>
      </c>
      <c r="Y4752">
        <v>-0.19462779999999999</v>
      </c>
      <c r="Z4752">
        <v>7.0958649999999998E-3</v>
      </c>
      <c r="AA4752">
        <v>0.98085149999999999</v>
      </c>
      <c r="AB4752">
        <v>27</v>
      </c>
      <c r="AC4752">
        <v>35.667299999999997</v>
      </c>
      <c r="AD4752">
        <v>-1.1287491326000001</v>
      </c>
      <c r="AE4752">
        <v>1.4692299999999801</v>
      </c>
      <c r="AF4752">
        <v>-6.9673419028096202</v>
      </c>
      <c r="AG4752">
        <v>-1.1287491326000001</v>
      </c>
      <c r="AH4752">
        <v>34.974658541557297</v>
      </c>
      <c r="AI4752">
        <v>91.812886890446194</v>
      </c>
      <c r="AJ4752">
        <v>101.26646641614499</v>
      </c>
      <c r="AK4752">
        <v>35.679751511095503</v>
      </c>
      <c r="AL4752">
        <v>77.428610043636994</v>
      </c>
      <c r="AM4752">
        <v>94.5890577628834</v>
      </c>
      <c r="AN4752">
        <v>0.99999999783426496</v>
      </c>
    </row>
    <row r="4753" spans="1:40" x14ac:dyDescent="0.25">
      <c r="A4753" t="str">
        <f>"20190303170909171"</f>
        <v>20190303170909171</v>
      </c>
      <c r="B4753" t="str">
        <f>"1551604149158324"</f>
        <v>1551604149158324</v>
      </c>
      <c r="C4753" t="s">
        <v>40</v>
      </c>
      <c r="D4753">
        <v>5.167033</v>
      </c>
      <c r="E4753">
        <v>0.46131280000000002</v>
      </c>
      <c r="F4753" t="s">
        <v>114</v>
      </c>
      <c r="G4753">
        <v>-251.4409</v>
      </c>
      <c r="H4753" s="1">
        <v>-4.8861070000000003E-7</v>
      </c>
      <c r="I4753">
        <v>-63.685870000000001</v>
      </c>
      <c r="J4753">
        <v>-283.61270000000002</v>
      </c>
      <c r="K4753">
        <v>1.1286480000000001</v>
      </c>
      <c r="L4753">
        <v>-64.738979999999998</v>
      </c>
      <c r="M4753">
        <v>0.98859929999999996</v>
      </c>
      <c r="N4753">
        <v>-1.4510449999999999E-2</v>
      </c>
      <c r="O4753">
        <v>-0.14986930000000001</v>
      </c>
      <c r="P4753">
        <v>0.97602149999999999</v>
      </c>
      <c r="Q4753">
        <v>0.204564</v>
      </c>
      <c r="R4753">
        <v>-7.4401239999999993E-2</v>
      </c>
      <c r="S4753">
        <v>3.1055299999999999</v>
      </c>
      <c r="T4753">
        <v>-0.10850609999999999</v>
      </c>
      <c r="U4753">
        <v>9.9700929999999993E-2</v>
      </c>
      <c r="V4753">
        <v>-7.6654079999999999E-2</v>
      </c>
      <c r="W4753">
        <v>0.21736269999999999</v>
      </c>
      <c r="X4753">
        <v>0.97307630000000001</v>
      </c>
      <c r="Y4753">
        <v>-0.18134610000000001</v>
      </c>
      <c r="Z4753">
        <v>7.5259940000000003E-3</v>
      </c>
      <c r="AA4753">
        <v>0.9833906</v>
      </c>
      <c r="AB4753">
        <v>27</v>
      </c>
      <c r="AC4753">
        <v>32.171799999999998</v>
      </c>
      <c r="AD4753">
        <v>-1.12864848861069</v>
      </c>
      <c r="AE4753">
        <v>1.05311</v>
      </c>
      <c r="AF4753">
        <v>-5.85608682883099</v>
      </c>
      <c r="AG4753">
        <v>-1.12864848861069</v>
      </c>
      <c r="AH4753">
        <v>31.611659221693401</v>
      </c>
      <c r="AI4753">
        <v>92.010614033190805</v>
      </c>
      <c r="AJ4753">
        <v>100.495114695447</v>
      </c>
      <c r="AK4753">
        <v>32.169311449052302</v>
      </c>
      <c r="AL4753">
        <v>77.445820474960399</v>
      </c>
      <c r="AM4753">
        <v>94.504173191205297</v>
      </c>
      <c r="AN4753">
        <v>0.99999993847681101</v>
      </c>
    </row>
    <row r="4754" spans="1:40" x14ac:dyDescent="0.25">
      <c r="A4754" t="str">
        <f>"20190303170909182"</f>
        <v>20190303170909182</v>
      </c>
      <c r="B4754" t="str">
        <f>"1551604149178820"</f>
        <v>1551604149178820</v>
      </c>
      <c r="C4754" t="s">
        <v>40</v>
      </c>
      <c r="D4754">
        <v>5.1529040000000004</v>
      </c>
      <c r="E4754">
        <v>0.46238410000000002</v>
      </c>
      <c r="F4754" t="s">
        <v>114</v>
      </c>
      <c r="G4754">
        <v>-252.2174</v>
      </c>
      <c r="H4754" s="1">
        <v>-8.1430549999999897E-7</v>
      </c>
      <c r="I4754">
        <v>-63.652619999999999</v>
      </c>
      <c r="J4754">
        <v>-283.46440000000001</v>
      </c>
      <c r="K4754">
        <v>1.1285160000000001</v>
      </c>
      <c r="L4754">
        <v>-64.755579999999995</v>
      </c>
      <c r="M4754">
        <v>0.9893942</v>
      </c>
      <c r="N4754">
        <v>-1.447886E-2</v>
      </c>
      <c r="O4754">
        <v>-0.14453269999999999</v>
      </c>
      <c r="P4754">
        <v>0.97634989999999999</v>
      </c>
      <c r="Q4754">
        <v>0.2045102</v>
      </c>
      <c r="R4754">
        <v>-7.0120550000000004E-2</v>
      </c>
      <c r="S4754">
        <v>3.1053160000000002</v>
      </c>
      <c r="T4754">
        <v>-0.1116349</v>
      </c>
      <c r="U4754">
        <v>0.1074524</v>
      </c>
      <c r="V4754">
        <v>-7.5598680000000001E-2</v>
      </c>
      <c r="W4754">
        <v>0.21732080000000001</v>
      </c>
      <c r="X4754">
        <v>0.97316829999999999</v>
      </c>
      <c r="Y4754">
        <v>-0.1784859</v>
      </c>
      <c r="Z4754">
        <v>7.5856630000000003E-3</v>
      </c>
      <c r="AA4754">
        <v>0.98391320000000004</v>
      </c>
      <c r="AB4754">
        <v>27</v>
      </c>
      <c r="AC4754">
        <v>31.247</v>
      </c>
      <c r="AD4754">
        <v>-1.1285168143055</v>
      </c>
      <c r="AE4754">
        <v>1.1029600000000099</v>
      </c>
      <c r="AF4754">
        <v>-5.6007663851362404</v>
      </c>
      <c r="AG4754">
        <v>-1.1285168143055</v>
      </c>
      <c r="AH4754">
        <v>30.7193882418489</v>
      </c>
      <c r="AI4754">
        <v>92.069799993709594</v>
      </c>
      <c r="AJ4754">
        <v>100.332689582702</v>
      </c>
      <c r="AK4754">
        <v>31.246166936993799</v>
      </c>
      <c r="AL4754">
        <v>77.448280941226898</v>
      </c>
      <c r="AM4754">
        <v>94.441989844422594</v>
      </c>
      <c r="AN4754">
        <v>1.0000000153276301</v>
      </c>
    </row>
    <row r="4755" spans="1:40" x14ac:dyDescent="0.25">
      <c r="A4755" t="str">
        <f>"20190303170909193"</f>
        <v>20190303170909193</v>
      </c>
      <c r="B4755" t="str">
        <f>"1551604149188581"</f>
        <v>1551604149188581</v>
      </c>
      <c r="C4755" t="s">
        <v>40</v>
      </c>
      <c r="D4755">
        <v>5.1539199999999896</v>
      </c>
      <c r="E4755">
        <v>0.46293770000000001</v>
      </c>
      <c r="F4755" t="s">
        <v>114</v>
      </c>
      <c r="G4755">
        <v>-252.8253</v>
      </c>
      <c r="H4755" s="1">
        <v>-1.074E-6</v>
      </c>
      <c r="I4755">
        <v>-63.647579999999998</v>
      </c>
      <c r="J4755">
        <v>-283.33530000000002</v>
      </c>
      <c r="K4755">
        <v>1.1283989999999999</v>
      </c>
      <c r="L4755">
        <v>-64.769619999999904</v>
      </c>
      <c r="M4755">
        <v>0.99005460000000001</v>
      </c>
      <c r="N4755">
        <v>-1.44513E-2</v>
      </c>
      <c r="O4755">
        <v>-0.1399398</v>
      </c>
      <c r="P4755">
        <v>0.97666149999999996</v>
      </c>
      <c r="Q4755">
        <v>0.20407700000000001</v>
      </c>
      <c r="R4755">
        <v>-6.6971559999999999E-2</v>
      </c>
      <c r="S4755">
        <v>3.1046749999999999</v>
      </c>
      <c r="T4755">
        <v>-0.1143532</v>
      </c>
      <c r="U4755">
        <v>0.1122742</v>
      </c>
      <c r="V4755">
        <v>-7.4159589999999997E-2</v>
      </c>
      <c r="W4755">
        <v>0.21690980000000001</v>
      </c>
      <c r="X4755">
        <v>0.97337070000000003</v>
      </c>
      <c r="Y4755">
        <v>-0.17544660000000001</v>
      </c>
      <c r="Z4755">
        <v>7.6140909999999999E-3</v>
      </c>
      <c r="AA4755">
        <v>0.98445950000000004</v>
      </c>
      <c r="AB4755">
        <v>27</v>
      </c>
      <c r="AC4755">
        <v>30.51</v>
      </c>
      <c r="AD4755">
        <v>-1.128400074</v>
      </c>
      <c r="AE4755">
        <v>1.1220399999999799</v>
      </c>
      <c r="AF4755">
        <v>-5.37366531360958</v>
      </c>
      <c r="AG4755">
        <v>-1.128400074</v>
      </c>
      <c r="AH4755">
        <v>30.011688221354898</v>
      </c>
      <c r="AI4755">
        <v>92.119555116216603</v>
      </c>
      <c r="AJ4755">
        <v>100.151376410677</v>
      </c>
      <c r="AK4755">
        <v>30.509850794874598</v>
      </c>
      <c r="AL4755">
        <v>77.472404930370004</v>
      </c>
      <c r="AM4755">
        <v>94.356858711196494</v>
      </c>
      <c r="AN4755">
        <v>1.0000000128717399</v>
      </c>
    </row>
    <row r="4756" spans="1:40" x14ac:dyDescent="0.25">
      <c r="A4756" t="str">
        <f>"20190303170909204"</f>
        <v>20190303170909204</v>
      </c>
      <c r="B4756" t="str">
        <f>"1551604149198341"</f>
        <v>1551604149198341</v>
      </c>
      <c r="C4756" t="s">
        <v>40</v>
      </c>
      <c r="D4756">
        <v>5.1680780000000004</v>
      </c>
      <c r="E4756">
        <v>0.46279009999999998</v>
      </c>
      <c r="F4756" t="s">
        <v>114</v>
      </c>
      <c r="G4756">
        <v>-253.41050000000001</v>
      </c>
      <c r="H4756" s="1">
        <v>-1.323118E-6</v>
      </c>
      <c r="I4756">
        <v>-63.639020000000002</v>
      </c>
      <c r="J4756">
        <v>-283.20569999999998</v>
      </c>
      <c r="K4756">
        <v>1.128279</v>
      </c>
      <c r="L4756">
        <v>-64.783140000000003</v>
      </c>
      <c r="M4756">
        <v>0.99068500000000004</v>
      </c>
      <c r="N4756">
        <v>-1.442305E-2</v>
      </c>
      <c r="O4756">
        <v>-0.13540739999999901</v>
      </c>
      <c r="P4756">
        <v>0.97700549999999997</v>
      </c>
      <c r="Q4756">
        <v>0.2037388</v>
      </c>
      <c r="R4756">
        <v>-6.2855389999999997E-2</v>
      </c>
      <c r="S4756">
        <v>3.1041560000000001</v>
      </c>
      <c r="T4756">
        <v>-0.1170509</v>
      </c>
      <c r="U4756">
        <v>0.1172791</v>
      </c>
      <c r="V4756">
        <v>-7.3743340000000004E-2</v>
      </c>
      <c r="W4756">
        <v>0.2165733</v>
      </c>
      <c r="X4756">
        <v>0.97347720000000004</v>
      </c>
      <c r="Y4756">
        <v>-0.17252590000000001</v>
      </c>
      <c r="Z4756">
        <v>7.6342679999999996E-3</v>
      </c>
      <c r="AA4756">
        <v>0.98497539999999995</v>
      </c>
      <c r="AB4756">
        <v>27</v>
      </c>
      <c r="AC4756">
        <v>29.795199999999902</v>
      </c>
      <c r="AD4756">
        <v>-1.1282803231180001</v>
      </c>
      <c r="AE4756">
        <v>1.14412</v>
      </c>
      <c r="AF4756">
        <v>-5.1611008202105202</v>
      </c>
      <c r="AG4756">
        <v>-1.1282803231180001</v>
      </c>
      <c r="AH4756">
        <v>29.323802906476899</v>
      </c>
      <c r="AI4756">
        <v>92.170136477086402</v>
      </c>
      <c r="AJ4756">
        <v>99.982040618214</v>
      </c>
      <c r="AK4756">
        <v>29.795895607647299</v>
      </c>
      <c r="AL4756">
        <v>77.492153837909896</v>
      </c>
      <c r="AM4756">
        <v>94.332025315126799</v>
      </c>
      <c r="AN4756">
        <v>0.99999996669354196</v>
      </c>
    </row>
    <row r="4757" spans="1:40" x14ac:dyDescent="0.25">
      <c r="A4757" t="str">
        <f>"20190303170909215"</f>
        <v>20190303170909215</v>
      </c>
      <c r="B4757" t="str">
        <f>"1551604149208101"</f>
        <v>1551604149208101</v>
      </c>
      <c r="C4757" t="s">
        <v>40</v>
      </c>
      <c r="D4757">
        <v>5.2128740000000002</v>
      </c>
      <c r="E4757">
        <v>0.46279009999999998</v>
      </c>
      <c r="F4757" t="s">
        <v>114</v>
      </c>
      <c r="G4757">
        <v>-253.87020000000001</v>
      </c>
      <c r="H4757" s="1">
        <v>-1.4994739999999999E-6</v>
      </c>
      <c r="I4757">
        <v>-63.545219999999901</v>
      </c>
      <c r="J4757">
        <v>-283.07600000000002</v>
      </c>
      <c r="K4757">
        <v>1.128158</v>
      </c>
      <c r="L4757">
        <v>-64.796109999999999</v>
      </c>
      <c r="M4757">
        <v>0.99128400000000005</v>
      </c>
      <c r="N4757">
        <v>-1.439502E-2</v>
      </c>
      <c r="O4757">
        <v>-0.13095419999999999</v>
      </c>
      <c r="P4757">
        <v>0.97728879999999996</v>
      </c>
      <c r="Q4757">
        <v>0.20355229999999999</v>
      </c>
      <c r="R4757">
        <v>-5.8933699999999999E-2</v>
      </c>
      <c r="S4757">
        <v>3.1039119999999998</v>
      </c>
      <c r="T4757">
        <v>-0.11938020000000001</v>
      </c>
      <c r="U4757">
        <v>0.1309814</v>
      </c>
      <c r="V4757">
        <v>-7.3210209999999998E-2</v>
      </c>
      <c r="W4757">
        <v>0.21639069999999999</v>
      </c>
      <c r="X4757">
        <v>0.97355809999999998</v>
      </c>
      <c r="Y4757">
        <v>-0.17243699999999901</v>
      </c>
      <c r="Z4757">
        <v>7.69419599999999E-3</v>
      </c>
      <c r="AA4757">
        <v>0.98499049999999999</v>
      </c>
      <c r="AB4757">
        <v>27</v>
      </c>
      <c r="AC4757">
        <v>29.205799999999901</v>
      </c>
      <c r="AD4757">
        <v>-1.1281594994740001</v>
      </c>
      <c r="AE4757">
        <v>1.2508900000000001</v>
      </c>
      <c r="AF4757">
        <v>-5.0576010457974903</v>
      </c>
      <c r="AG4757">
        <v>-1.1281594994740001</v>
      </c>
      <c r="AH4757">
        <v>28.747597098263601</v>
      </c>
      <c r="AI4757">
        <v>92.213381581329799</v>
      </c>
      <c r="AJ4757">
        <v>99.978009193087203</v>
      </c>
      <c r="AK4757">
        <v>29.2108954179566</v>
      </c>
      <c r="AL4757">
        <v>77.502870870314197</v>
      </c>
      <c r="AM4757">
        <v>94.300468680331903</v>
      </c>
      <c r="AN4757">
        <v>1.0000000219851699</v>
      </c>
    </row>
    <row r="4758" spans="1:40" x14ac:dyDescent="0.25">
      <c r="A4758" t="str">
        <f>"20190303170909226"</f>
        <v>20190303170909226</v>
      </c>
      <c r="B4758" t="str">
        <f>"1551604149218837"</f>
        <v>1551604149218837</v>
      </c>
      <c r="C4758" t="s">
        <v>40</v>
      </c>
      <c r="D4758">
        <v>5.190785</v>
      </c>
      <c r="E4758">
        <v>0.44691350000000002</v>
      </c>
      <c r="F4758" t="s">
        <v>114</v>
      </c>
      <c r="G4758">
        <v>-253.93549999999999</v>
      </c>
      <c r="H4758" s="1">
        <v>-1.5069440000000001E-6</v>
      </c>
      <c r="I4758">
        <v>-63.452730000000003</v>
      </c>
      <c r="J4758">
        <v>-282.94470000000001</v>
      </c>
      <c r="K4758">
        <v>1.128036</v>
      </c>
      <c r="L4758">
        <v>-64.808869999999999</v>
      </c>
      <c r="M4758">
        <v>0.99186269999999999</v>
      </c>
      <c r="N4758">
        <v>-1.436729E-2</v>
      </c>
      <c r="O4758">
        <v>-0.12650020000000001</v>
      </c>
      <c r="P4758">
        <v>0.97743760000000002</v>
      </c>
      <c r="Q4758">
        <v>0.2038219</v>
      </c>
      <c r="R4758">
        <v>-5.5429909999999999E-2</v>
      </c>
      <c r="S4758">
        <v>3.1033629999999999</v>
      </c>
      <c r="T4758">
        <v>-0.12014519999999999</v>
      </c>
      <c r="U4758">
        <v>0.14306640000000001</v>
      </c>
      <c r="V4758">
        <v>-7.2253910000000005E-2</v>
      </c>
      <c r="W4758">
        <v>0.216671</v>
      </c>
      <c r="X4758">
        <v>0.97356719999999997</v>
      </c>
      <c r="Y4758">
        <v>-0.17184720000000001</v>
      </c>
      <c r="Z4758">
        <v>7.6274769999999997E-3</v>
      </c>
      <c r="AA4758">
        <v>0.98509409999999997</v>
      </c>
      <c r="AB4758">
        <v>27</v>
      </c>
      <c r="AC4758">
        <v>29.0092</v>
      </c>
      <c r="AD4758">
        <v>-1.1280375069440001</v>
      </c>
      <c r="AE4758">
        <v>1.3561399999999899</v>
      </c>
      <c r="AF4758">
        <v>-5.0077354969440302</v>
      </c>
      <c r="AG4758">
        <v>-1.1280375069440001</v>
      </c>
      <c r="AH4758">
        <v>28.561445978444201</v>
      </c>
      <c r="AI4758">
        <v>92.227779511494603</v>
      </c>
      <c r="AJ4758">
        <v>99.944701518731605</v>
      </c>
      <c r="AK4758">
        <v>29.0190640752595</v>
      </c>
      <c r="AL4758">
        <v>77.486420585289196</v>
      </c>
      <c r="AM4758">
        <v>94.244461416611102</v>
      </c>
      <c r="AN4758">
        <v>1.00000002133356</v>
      </c>
    </row>
    <row r="4759" spans="1:40" x14ac:dyDescent="0.25">
      <c r="A4759" t="str">
        <f>"20190303170909237"</f>
        <v>20190303170909237</v>
      </c>
      <c r="B4759" t="str">
        <f>"1551604149228598"</f>
        <v>1551604149228598</v>
      </c>
      <c r="C4759" t="s">
        <v>40</v>
      </c>
      <c r="D4759">
        <v>5.1953300000000002</v>
      </c>
      <c r="E4759">
        <v>0.44637860000000001</v>
      </c>
      <c r="F4759" t="s">
        <v>112</v>
      </c>
      <c r="G4759">
        <v>-230.22739999999999</v>
      </c>
      <c r="H4759" s="1">
        <v>8.4936599999999998E-7</v>
      </c>
      <c r="I4759">
        <v>-60.060130000000001</v>
      </c>
      <c r="J4759">
        <v>-282.8186</v>
      </c>
      <c r="K4759">
        <v>1.1279170000000001</v>
      </c>
      <c r="L4759">
        <v>-64.820400000000006</v>
      </c>
      <c r="M4759">
        <v>0.99238530000000003</v>
      </c>
      <c r="N4759">
        <v>-1.434062E-2</v>
      </c>
      <c r="O4759">
        <v>-0.12233520000000001</v>
      </c>
      <c r="P4759">
        <v>0.9775836</v>
      </c>
      <c r="Q4759">
        <v>0.20405619999999999</v>
      </c>
      <c r="R4759">
        <v>-5.1880589999999997E-2</v>
      </c>
      <c r="S4759">
        <v>3.0989070000000001</v>
      </c>
      <c r="T4759">
        <v>-6.6309930000000003E-2</v>
      </c>
      <c r="U4759">
        <v>0.27914430000000001</v>
      </c>
      <c r="V4759">
        <v>-7.1631159999999999E-2</v>
      </c>
      <c r="W4759">
        <v>0.2169102</v>
      </c>
      <c r="X4759">
        <v>0.97355990000000003</v>
      </c>
      <c r="Y4759">
        <v>-0.21081230000000001</v>
      </c>
      <c r="Z4759">
        <v>4.6247249999999997E-3</v>
      </c>
      <c r="AA4759">
        <v>0.97751560000000004</v>
      </c>
      <c r="AB4759">
        <v>27</v>
      </c>
      <c r="AC4759">
        <v>52.591200000000001</v>
      </c>
      <c r="AD4759">
        <v>-1.1279161506340001</v>
      </c>
      <c r="AE4759">
        <v>4.7602699999999896</v>
      </c>
      <c r="AF4759">
        <v>-11.1538349511909</v>
      </c>
      <c r="AG4759">
        <v>-1.1279161506340001</v>
      </c>
      <c r="AH4759">
        <v>51.590152202629902</v>
      </c>
      <c r="AI4759">
        <v>91.224183586563399</v>
      </c>
      <c r="AJ4759">
        <v>102.19962783141401</v>
      </c>
      <c r="AK4759">
        <v>52.794166659317497</v>
      </c>
      <c r="AL4759">
        <v>77.472380887148802</v>
      </c>
      <c r="AM4759">
        <v>94.208042198428103</v>
      </c>
      <c r="AN4759">
        <v>0.99999996841749705</v>
      </c>
    </row>
    <row r="4760" spans="1:40" x14ac:dyDescent="0.25">
      <c r="A4760" t="str">
        <f>"20190303170909250"</f>
        <v>20190303170909250</v>
      </c>
      <c r="B4760" t="str">
        <f>"1551604149238357"</f>
        <v>1551604149238357</v>
      </c>
      <c r="C4760" t="s">
        <v>40</v>
      </c>
      <c r="D4760">
        <v>5.1985950000000001</v>
      </c>
      <c r="E4760">
        <v>0.44691629999999899</v>
      </c>
      <c r="F4760" t="s">
        <v>115</v>
      </c>
      <c r="G4760">
        <v>-223.3673</v>
      </c>
      <c r="H4760" s="1">
        <v>-8.3128040000000004E-7</v>
      </c>
      <c r="I4760">
        <v>-59.168379999999999</v>
      </c>
      <c r="J4760">
        <v>-282.67250000000001</v>
      </c>
      <c r="K4760">
        <v>1.12778</v>
      </c>
      <c r="L4760">
        <v>-64.833529999999996</v>
      </c>
      <c r="M4760">
        <v>0.99296390000000001</v>
      </c>
      <c r="N4760">
        <v>-1.431076E-2</v>
      </c>
      <c r="O4760">
        <v>-0.1175503</v>
      </c>
      <c r="P4760">
        <v>0.97772650000000005</v>
      </c>
      <c r="Q4760">
        <v>0.2043885</v>
      </c>
      <c r="R4760">
        <v>-4.7714850000000003E-2</v>
      </c>
      <c r="S4760">
        <v>3.0967099999999999</v>
      </c>
      <c r="T4760">
        <v>-5.8751110000000002E-2</v>
      </c>
      <c r="U4760">
        <v>0.29440309999999997</v>
      </c>
      <c r="V4760">
        <v>-7.100455E-2</v>
      </c>
      <c r="W4760">
        <v>0.2172473</v>
      </c>
      <c r="X4760">
        <v>0.97353069999999997</v>
      </c>
      <c r="Y4760">
        <v>-0.2109538</v>
      </c>
      <c r="Z4760">
        <v>4.0547279999999996E-3</v>
      </c>
      <c r="AA4760">
        <v>0.97748760000000001</v>
      </c>
      <c r="AB4760">
        <v>27</v>
      </c>
      <c r="AC4760">
        <v>59.305199999999999</v>
      </c>
      <c r="AD4760">
        <v>-1.1277808312803901</v>
      </c>
      <c r="AE4760">
        <v>5.6651499999999997</v>
      </c>
      <c r="AF4760">
        <v>-12.593409483405001</v>
      </c>
      <c r="AG4760">
        <v>-1.1277808312803901</v>
      </c>
      <c r="AH4760">
        <v>58.207081155705602</v>
      </c>
      <c r="AI4760">
        <v>91.084890140301397</v>
      </c>
      <c r="AJ4760">
        <v>102.208080557233</v>
      </c>
      <c r="AK4760">
        <v>59.564504100068</v>
      </c>
      <c r="AL4760">
        <v>77.452595439551104</v>
      </c>
      <c r="AM4760">
        <v>94.171486565549799</v>
      </c>
      <c r="AN4760">
        <v>1.00000002966024</v>
      </c>
    </row>
    <row r="4761" spans="1:40" x14ac:dyDescent="0.25">
      <c r="A4761" t="str">
        <f>"20190303170909262"</f>
        <v>20190303170909262</v>
      </c>
      <c r="B4761" t="str">
        <f>"1551604149258853"</f>
        <v>1551604149258853</v>
      </c>
      <c r="C4761" t="s">
        <v>40</v>
      </c>
      <c r="D4761">
        <v>5.1687120000000002</v>
      </c>
      <c r="E4761">
        <v>0.44790999999999997</v>
      </c>
      <c r="F4761" t="s">
        <v>116</v>
      </c>
      <c r="G4761">
        <v>-219.8997</v>
      </c>
      <c r="H4761" s="1">
        <v>-3.5173199999999999E-6</v>
      </c>
      <c r="I4761">
        <v>-58.684890000000003</v>
      </c>
      <c r="J4761">
        <v>-282.52010000000001</v>
      </c>
      <c r="K4761">
        <v>1.1276299999999999</v>
      </c>
      <c r="L4761">
        <v>-64.846220000000002</v>
      </c>
      <c r="M4761">
        <v>0.9935235</v>
      </c>
      <c r="N4761">
        <v>-1.427934E-2</v>
      </c>
      <c r="O4761">
        <v>-0.1127272</v>
      </c>
      <c r="P4761">
        <v>0.97776949999999996</v>
      </c>
      <c r="Q4761">
        <v>0.20504410000000001</v>
      </c>
      <c r="R4761">
        <v>-4.3866750000000003E-2</v>
      </c>
      <c r="S4761">
        <v>3.094757</v>
      </c>
      <c r="T4761">
        <v>-5.5600759999999999E-2</v>
      </c>
      <c r="U4761">
        <v>0.30313109999999999</v>
      </c>
      <c r="V4761">
        <v>-7.0018570000000002E-2</v>
      </c>
      <c r="W4761">
        <v>0.21791140000000001</v>
      </c>
      <c r="X4761">
        <v>0.97345360000000003</v>
      </c>
      <c r="Y4761">
        <v>-0.20900270000000001</v>
      </c>
      <c r="Z4761">
        <v>3.782512E-3</v>
      </c>
      <c r="AA4761">
        <v>0.97790770000000005</v>
      </c>
      <c r="AB4761">
        <v>27</v>
      </c>
      <c r="AC4761">
        <v>62.620399999999997</v>
      </c>
      <c r="AD4761">
        <v>-1.1276335173199901</v>
      </c>
      <c r="AE4761">
        <v>6.1613300000000004</v>
      </c>
      <c r="AF4761">
        <v>-13.177558603633599</v>
      </c>
      <c r="AG4761">
        <v>-1.1276335173199901</v>
      </c>
      <c r="AH4761">
        <v>61.506800783895997</v>
      </c>
      <c r="AI4761">
        <v>91.027012270969607</v>
      </c>
      <c r="AJ4761">
        <v>102.09255705967701</v>
      </c>
      <c r="AK4761">
        <v>62.912686723517403</v>
      </c>
      <c r="AL4761">
        <v>77.413610272183504</v>
      </c>
      <c r="AM4761">
        <v>94.114085630282702</v>
      </c>
      <c r="AN4761">
        <v>0.999999944873881</v>
      </c>
    </row>
    <row r="4762" spans="1:40" x14ac:dyDescent="0.25">
      <c r="A4762" t="str">
        <f>"20190303170909276"</f>
        <v>20190303170909276</v>
      </c>
      <c r="B4762" t="str">
        <f>"1551604149268615"</f>
        <v>1551604149268615</v>
      </c>
      <c r="C4762" t="s">
        <v>40</v>
      </c>
      <c r="D4762">
        <v>5.1529220000000002</v>
      </c>
      <c r="E4762">
        <v>0.44840609999999997</v>
      </c>
      <c r="F4762" t="s">
        <v>116</v>
      </c>
      <c r="G4762">
        <v>-217.02029999999999</v>
      </c>
      <c r="H4762" s="1">
        <v>-2.3433550000000001E-6</v>
      </c>
      <c r="I4762">
        <v>-58.339280000000002</v>
      </c>
      <c r="J4762">
        <v>-282.36009999999999</v>
      </c>
      <c r="K4762">
        <v>1.1274789999999999</v>
      </c>
      <c r="L4762">
        <v>-64.859069999999903</v>
      </c>
      <c r="M4762">
        <v>0.99407599999999996</v>
      </c>
      <c r="N4762">
        <v>-1.4247040000000001E-2</v>
      </c>
      <c r="O4762">
        <v>-0.107749499999999</v>
      </c>
      <c r="P4762">
        <v>0.97788750000000002</v>
      </c>
      <c r="Q4762">
        <v>0.20530329999999999</v>
      </c>
      <c r="R4762">
        <v>-3.9832619999999999E-2</v>
      </c>
      <c r="S4762">
        <v>3.0931700000000002</v>
      </c>
      <c r="T4762">
        <v>-5.3251390000000003E-2</v>
      </c>
      <c r="U4762">
        <v>0.30728149999999999</v>
      </c>
      <c r="V4762">
        <v>-6.9070640000000003E-2</v>
      </c>
      <c r="W4762">
        <v>0.2181795</v>
      </c>
      <c r="X4762">
        <v>0.97346129999999997</v>
      </c>
      <c r="Y4762">
        <v>-0.20545659999999999</v>
      </c>
      <c r="Z4762">
        <v>3.5500060000000001E-3</v>
      </c>
      <c r="AA4762">
        <v>0.97865979999999997</v>
      </c>
      <c r="AB4762">
        <v>27</v>
      </c>
      <c r="AC4762">
        <v>65.339799999999997</v>
      </c>
      <c r="AD4762">
        <v>-1.1274813433549999</v>
      </c>
      <c r="AE4762">
        <v>6.51978999999998</v>
      </c>
      <c r="AF4762">
        <v>-13.5188841876921</v>
      </c>
      <c r="AG4762">
        <v>-1.1274813433549999</v>
      </c>
      <c r="AH4762">
        <v>64.237805002583102</v>
      </c>
      <c r="AI4762">
        <v>90.983984276157997</v>
      </c>
      <c r="AJ4762">
        <v>101.884503538601</v>
      </c>
      <c r="AK4762">
        <v>65.654604068638903</v>
      </c>
      <c r="AL4762">
        <v>77.397870940044101</v>
      </c>
      <c r="AM4762">
        <v>94.058543448550907</v>
      </c>
      <c r="AN4762">
        <v>0.99999997506397398</v>
      </c>
    </row>
    <row r="4763" spans="1:40" x14ac:dyDescent="0.25">
      <c r="A4763" t="str">
        <f>"20190303170909289"</f>
        <v>20190303170909289</v>
      </c>
      <c r="B4763" t="str">
        <f>"1551604149278373"</f>
        <v>1551604149278373</v>
      </c>
      <c r="C4763" t="s">
        <v>40</v>
      </c>
      <c r="D4763">
        <v>5.1693170000000004</v>
      </c>
      <c r="E4763">
        <v>0.44882369999999999</v>
      </c>
      <c r="F4763" t="s">
        <v>116</v>
      </c>
      <c r="G4763">
        <v>-214.30590000000001</v>
      </c>
      <c r="H4763" s="1">
        <v>-1.2551559999999999E-6</v>
      </c>
      <c r="I4763">
        <v>-57.909219999999998</v>
      </c>
      <c r="J4763">
        <v>-282.2079</v>
      </c>
      <c r="K4763">
        <v>1.127337</v>
      </c>
      <c r="L4763">
        <v>-64.87079</v>
      </c>
      <c r="M4763">
        <v>0.99456979999999995</v>
      </c>
      <c r="N4763">
        <v>-1.421701E-2</v>
      </c>
      <c r="O4763">
        <v>-0.1030962</v>
      </c>
      <c r="P4763">
        <v>0.97801400000000005</v>
      </c>
      <c r="Q4763">
        <v>0.20537739999999999</v>
      </c>
      <c r="R4763">
        <v>-3.6177130000000002E-2</v>
      </c>
      <c r="S4763">
        <v>3.0914609999999998</v>
      </c>
      <c r="T4763">
        <v>-5.1217440000000003E-2</v>
      </c>
      <c r="U4763">
        <v>0.31570429999999999</v>
      </c>
      <c r="V4763">
        <v>-6.8072709999999995E-2</v>
      </c>
      <c r="W4763">
        <v>0.21826229999999999</v>
      </c>
      <c r="X4763">
        <v>0.97351310000000002</v>
      </c>
      <c r="Y4763">
        <v>-0.2035729</v>
      </c>
      <c r="Z4763">
        <v>3.3744040000000001E-3</v>
      </c>
      <c r="AA4763">
        <v>0.97905399999999998</v>
      </c>
      <c r="AB4763">
        <v>27</v>
      </c>
      <c r="AC4763">
        <v>67.901999999999902</v>
      </c>
      <c r="AD4763">
        <v>-1.1273382551560001</v>
      </c>
      <c r="AE4763">
        <v>6.96157</v>
      </c>
      <c r="AF4763">
        <v>-13.921815112113499</v>
      </c>
      <c r="AG4763">
        <v>-1.1273382551560001</v>
      </c>
      <c r="AH4763">
        <v>66.804097040410795</v>
      </c>
      <c r="AI4763">
        <v>90.946460958227505</v>
      </c>
      <c r="AJ4763">
        <v>101.77181925595799</v>
      </c>
      <c r="AK4763">
        <v>68.248627890544697</v>
      </c>
      <c r="AL4763">
        <v>77.393010530915205</v>
      </c>
      <c r="AM4763">
        <v>93.999885354450996</v>
      </c>
      <c r="AN4763">
        <v>1.00000004065982</v>
      </c>
    </row>
    <row r="4764" spans="1:40" x14ac:dyDescent="0.25">
      <c r="A4764" t="str">
        <f>"20190303170909305"</f>
        <v>20190303170909305</v>
      </c>
      <c r="B4764" t="str">
        <f>"1551604149298869"</f>
        <v>1551604149298869</v>
      </c>
      <c r="C4764" t="s">
        <v>40</v>
      </c>
      <c r="D4764">
        <v>5.1381300000000003</v>
      </c>
      <c r="E4764">
        <v>0.4496734</v>
      </c>
      <c r="F4764" t="s">
        <v>116</v>
      </c>
      <c r="G4764">
        <v>-214.75540000000001</v>
      </c>
      <c r="H4764" s="1">
        <v>-1.4677609999999999E-6</v>
      </c>
      <c r="I4764">
        <v>-57.797879999999999</v>
      </c>
      <c r="J4764">
        <v>-282.01429999999999</v>
      </c>
      <c r="K4764">
        <v>1.1271580000000001</v>
      </c>
      <c r="L4764">
        <v>-64.88449</v>
      </c>
      <c r="M4764">
        <v>0.99514570000000002</v>
      </c>
      <c r="N4764">
        <v>-1.4179280000000001E-2</v>
      </c>
      <c r="O4764">
        <v>-9.7385719999999995E-2</v>
      </c>
      <c r="P4764">
        <v>0.97830130000000004</v>
      </c>
      <c r="Q4764">
        <v>0.20459759999999999</v>
      </c>
      <c r="R4764">
        <v>-3.2658E-2</v>
      </c>
      <c r="S4764">
        <v>3.090271</v>
      </c>
      <c r="T4764">
        <v>-5.1647899999999997E-2</v>
      </c>
      <c r="U4764">
        <v>0.32403559999999998</v>
      </c>
      <c r="V4764">
        <v>-6.5890509999999999E-2</v>
      </c>
      <c r="W4764">
        <v>0.2175098</v>
      </c>
      <c r="X4764">
        <v>0.97383160000000002</v>
      </c>
      <c r="Y4764">
        <v>-0.200602</v>
      </c>
      <c r="Z4764">
        <v>3.3441439999999998E-3</v>
      </c>
      <c r="AA4764">
        <v>0.97966710000000001</v>
      </c>
      <c r="AB4764">
        <v>27</v>
      </c>
      <c r="AC4764">
        <v>67.258899999999898</v>
      </c>
      <c r="AD4764">
        <v>-1.127159467761</v>
      </c>
      <c r="AE4764">
        <v>7.0866099999999896</v>
      </c>
      <c r="AF4764">
        <v>-13.599855940647201</v>
      </c>
      <c r="AG4764">
        <v>-1.127159467761</v>
      </c>
      <c r="AH4764">
        <v>66.230534274316696</v>
      </c>
      <c r="AI4764">
        <v>90.9550833355365</v>
      </c>
      <c r="AJ4764">
        <v>101.60388465980699</v>
      </c>
      <c r="AK4764">
        <v>67.621817783416304</v>
      </c>
      <c r="AL4764">
        <v>77.437186826524993</v>
      </c>
      <c r="AM4764">
        <v>93.8707953693485</v>
      </c>
      <c r="AN4764">
        <v>1.00000002878132</v>
      </c>
    </row>
    <row r="4765" spans="1:40" x14ac:dyDescent="0.25">
      <c r="A4765" t="str">
        <f>"20190303170909316"</f>
        <v>20190303170909316</v>
      </c>
      <c r="B4765" t="str">
        <f>"1551604149308629"</f>
        <v>1551604149308629</v>
      </c>
      <c r="C4765" t="s">
        <v>40</v>
      </c>
      <c r="D4765">
        <v>5.1250540000000004</v>
      </c>
      <c r="E4765">
        <v>0.45001140000000001</v>
      </c>
      <c r="F4765" t="s">
        <v>116</v>
      </c>
      <c r="G4765">
        <v>-218.2852</v>
      </c>
      <c r="H4765" s="1">
        <v>-2.9270500000000002E-6</v>
      </c>
      <c r="I4765">
        <v>-58.107819999999997</v>
      </c>
      <c r="J4765">
        <v>-281.88260000000002</v>
      </c>
      <c r="K4765">
        <v>1.127035</v>
      </c>
      <c r="L4765">
        <v>-64.89331</v>
      </c>
      <c r="M4765">
        <v>0.99550859999999997</v>
      </c>
      <c r="N4765">
        <v>-1.415392E-2</v>
      </c>
      <c r="O4765">
        <v>-9.3607029999999994E-2</v>
      </c>
      <c r="P4765">
        <v>0.97844100000000001</v>
      </c>
      <c r="Q4765">
        <v>0.20434479999999999</v>
      </c>
      <c r="R4765">
        <v>-2.9938949999999999E-2</v>
      </c>
      <c r="S4765">
        <v>3.0889280000000001</v>
      </c>
      <c r="T4765">
        <v>-5.4633139999999997E-2</v>
      </c>
      <c r="U4765">
        <v>0.32846069999999999</v>
      </c>
      <c r="V4765">
        <v>-6.4833450000000001E-2</v>
      </c>
      <c r="W4765">
        <v>0.2172673</v>
      </c>
      <c r="X4765">
        <v>0.97395659999999895</v>
      </c>
      <c r="Y4765">
        <v>-0.19830999999999999</v>
      </c>
      <c r="Z4765">
        <v>3.486332E-3</v>
      </c>
      <c r="AA4765">
        <v>0.98013320000000004</v>
      </c>
      <c r="AB4765">
        <v>27</v>
      </c>
      <c r="AC4765">
        <v>63.5974</v>
      </c>
      <c r="AD4765">
        <v>-1.1270379270499999</v>
      </c>
      <c r="AE4765">
        <v>6.7854900000000002</v>
      </c>
      <c r="AF4765">
        <v>-12.7055053727317</v>
      </c>
      <c r="AG4765">
        <v>-1.1270379270499999</v>
      </c>
      <c r="AH4765">
        <v>62.663410761921298</v>
      </c>
      <c r="AI4765">
        <v>91.009842597775005</v>
      </c>
      <c r="AJ4765">
        <v>101.461793406056</v>
      </c>
      <c r="AK4765">
        <v>63.948441181805201</v>
      </c>
      <c r="AL4765">
        <v>77.451420560312798</v>
      </c>
      <c r="AM4765">
        <v>93.808394329442095</v>
      </c>
      <c r="AN4765">
        <v>0.99999995728587499</v>
      </c>
    </row>
    <row r="4766" spans="1:40" x14ac:dyDescent="0.25">
      <c r="A4766" t="str">
        <f>"20190303170909327"</f>
        <v>20190303170909327</v>
      </c>
      <c r="B4766" t="str">
        <f>"1551604149318389"</f>
        <v>1551604149318389</v>
      </c>
      <c r="C4766" t="s">
        <v>40</v>
      </c>
      <c r="D4766">
        <v>5.1390549999999999</v>
      </c>
      <c r="E4766">
        <v>0.45033000000000001</v>
      </c>
      <c r="F4766" t="s">
        <v>116</v>
      </c>
      <c r="G4766">
        <v>-219.37360000000001</v>
      </c>
      <c r="H4766" s="1">
        <v>-3.390247E-6</v>
      </c>
      <c r="I4766">
        <v>-58.128680000000003</v>
      </c>
      <c r="J4766">
        <v>-281.7473</v>
      </c>
      <c r="K4766">
        <v>1.126908</v>
      </c>
      <c r="L4766">
        <v>-64.902100000000004</v>
      </c>
      <c r="M4766">
        <v>0.99586160000000001</v>
      </c>
      <c r="N4766">
        <v>-1.4128470000000001E-2</v>
      </c>
      <c r="O4766">
        <v>-8.9778579999999997E-2</v>
      </c>
      <c r="P4766">
        <v>0.97858179999999995</v>
      </c>
      <c r="Q4766">
        <v>0.20404849999999999</v>
      </c>
      <c r="R4766">
        <v>-2.723824E-2</v>
      </c>
      <c r="S4766">
        <v>3.0879210000000001</v>
      </c>
      <c r="T4766">
        <v>-5.5675269999999999E-2</v>
      </c>
      <c r="U4766">
        <v>0.33416750000000001</v>
      </c>
      <c r="V4766">
        <v>-6.3707630000000001E-2</v>
      </c>
      <c r="W4766">
        <v>0.21698239999999999</v>
      </c>
      <c r="X4766">
        <v>0.97409449999999997</v>
      </c>
      <c r="Y4766">
        <v>-0.19636410000000001</v>
      </c>
      <c r="Z4766">
        <v>3.506066E-3</v>
      </c>
      <c r="AA4766">
        <v>0.98052479999999997</v>
      </c>
      <c r="AB4766">
        <v>27</v>
      </c>
      <c r="AC4766">
        <v>62.3736999999999</v>
      </c>
      <c r="AD4766">
        <v>-1.126911390247</v>
      </c>
      <c r="AE4766">
        <v>6.7734199999999998</v>
      </c>
      <c r="AF4766">
        <v>-12.3424607240783</v>
      </c>
      <c r="AG4766">
        <v>-1.126911390247</v>
      </c>
      <c r="AH4766">
        <v>61.493761500378803</v>
      </c>
      <c r="AI4766">
        <v>91.029339135495206</v>
      </c>
      <c r="AJ4766">
        <v>101.349085375801</v>
      </c>
      <c r="AK4766">
        <v>62.730287497128202</v>
      </c>
      <c r="AL4766">
        <v>77.468144364880501</v>
      </c>
      <c r="AM4766">
        <v>93.741923605519005</v>
      </c>
      <c r="AN4766">
        <v>1.0000000594801099</v>
      </c>
    </row>
    <row r="4767" spans="1:40" x14ac:dyDescent="0.25">
      <c r="A4767" t="str">
        <f>"20190303170909338"</f>
        <v>20190303170909338</v>
      </c>
      <c r="B4767" t="str">
        <f>"1551604149328149"</f>
        <v>1551604149328149</v>
      </c>
      <c r="C4767" t="s">
        <v>40</v>
      </c>
      <c r="D4767">
        <v>5.1313969999999998</v>
      </c>
      <c r="E4767">
        <v>0.45065509999999998</v>
      </c>
      <c r="F4767" t="s">
        <v>115</v>
      </c>
      <c r="G4767">
        <v>-220.50489999999999</v>
      </c>
      <c r="H4767" s="1">
        <v>1.712493E-8</v>
      </c>
      <c r="I4767">
        <v>-58.158740000000002</v>
      </c>
      <c r="J4767">
        <v>-281.62279999999998</v>
      </c>
      <c r="K4767">
        <v>1.1267910000000001</v>
      </c>
      <c r="L4767">
        <v>-64.909549999999996</v>
      </c>
      <c r="M4767">
        <v>0.99616289999999996</v>
      </c>
      <c r="N4767">
        <v>-1.410228E-2</v>
      </c>
      <c r="O4767">
        <v>-8.6375049999999995E-2</v>
      </c>
      <c r="P4767">
        <v>0.9787496</v>
      </c>
      <c r="Q4767">
        <v>0.2035313</v>
      </c>
      <c r="R4767">
        <v>-2.4988759999999999E-2</v>
      </c>
      <c r="S4767">
        <v>3.0869749999999998</v>
      </c>
      <c r="T4767">
        <v>-5.6802749999999999E-2</v>
      </c>
      <c r="U4767">
        <v>0.33990479999999901</v>
      </c>
      <c r="V4767">
        <v>-6.2554979999999996E-2</v>
      </c>
      <c r="W4767">
        <v>0.216475</v>
      </c>
      <c r="X4767">
        <v>0.97428199999999998</v>
      </c>
      <c r="Y4767">
        <v>-0.19484480000000001</v>
      </c>
      <c r="Z4767">
        <v>3.5360890000000001E-3</v>
      </c>
      <c r="AA4767">
        <v>0.98082769999999997</v>
      </c>
      <c r="AB4767">
        <v>27</v>
      </c>
      <c r="AC4767">
        <v>61.117899999999899</v>
      </c>
      <c r="AD4767">
        <v>-1.12679098287507</v>
      </c>
      <c r="AE4767">
        <v>6.7508099999999898</v>
      </c>
      <c r="AF4767">
        <v>-12.0011316674127</v>
      </c>
      <c r="AG4767">
        <v>-1.12679098287507</v>
      </c>
      <c r="AH4767">
        <v>60.286034348082303</v>
      </c>
      <c r="AI4767">
        <v>91.050174548945193</v>
      </c>
      <c r="AJ4767">
        <v>101.258679272286</v>
      </c>
      <c r="AK4767">
        <v>61.479287216393601</v>
      </c>
      <c r="AL4767">
        <v>77.497923081913697</v>
      </c>
      <c r="AM4767">
        <v>93.673703668971996</v>
      </c>
      <c r="AN4767">
        <v>0.99999998333590001</v>
      </c>
    </row>
    <row r="4768" spans="1:40" x14ac:dyDescent="0.25">
      <c r="A4768" t="str">
        <f>"20190303170909350"</f>
        <v>20190303170909350</v>
      </c>
      <c r="B4768" t="str">
        <f>"1551604149338885"</f>
        <v>1551604149338885</v>
      </c>
      <c r="C4768" t="s">
        <v>40</v>
      </c>
      <c r="D4768">
        <v>5.1233329999999997</v>
      </c>
      <c r="E4768">
        <v>0.45065509999999998</v>
      </c>
      <c r="F4768" t="s">
        <v>115</v>
      </c>
      <c r="G4768">
        <v>-223.12350000000001</v>
      </c>
      <c r="H4768" s="1">
        <v>-8.9999259999999895E-7</v>
      </c>
      <c r="I4768">
        <v>-58.384610000000002</v>
      </c>
      <c r="J4768">
        <v>-281.48509999999999</v>
      </c>
      <c r="K4768">
        <v>1.1266620000000001</v>
      </c>
      <c r="L4768">
        <v>-64.917659999999998</v>
      </c>
      <c r="M4768">
        <v>0.99647969999999997</v>
      </c>
      <c r="N4768">
        <v>-1.40734E-2</v>
      </c>
      <c r="O4768">
        <v>-8.264494E-2</v>
      </c>
      <c r="P4768">
        <v>0.97890569999999999</v>
      </c>
      <c r="Q4768">
        <v>0.2030662</v>
      </c>
      <c r="R4768">
        <v>-2.2532179999999999E-2</v>
      </c>
      <c r="S4768">
        <v>3.0862729999999998</v>
      </c>
      <c r="T4768">
        <v>-5.9446690000000003E-2</v>
      </c>
      <c r="U4768">
        <v>0.3442383</v>
      </c>
      <c r="V4768">
        <v>-6.1282280000000001E-2</v>
      </c>
      <c r="W4768">
        <v>0.21601970000000001</v>
      </c>
      <c r="X4768">
        <v>0.97446390000000005</v>
      </c>
      <c r="Y4768">
        <v>-0.1925531</v>
      </c>
      <c r="Z4768">
        <v>3.6360450000000001E-3</v>
      </c>
      <c r="AA4768">
        <v>0.98127980000000004</v>
      </c>
      <c r="AB4768">
        <v>27</v>
      </c>
      <c r="AC4768">
        <v>58.361599999999903</v>
      </c>
      <c r="AD4768">
        <v>-1.1266628999926001</v>
      </c>
      <c r="AE4768">
        <v>6.5330500000000002</v>
      </c>
      <c r="AF4768">
        <v>-11.330294630008501</v>
      </c>
      <c r="AG4768">
        <v>-1.1266628999926001</v>
      </c>
      <c r="AH4768">
        <v>57.600730749059998</v>
      </c>
      <c r="AI4768">
        <v>91.099491378494207</v>
      </c>
      <c r="AJ4768">
        <v>101.12823483475201</v>
      </c>
      <c r="AK4768">
        <v>58.715322774542599</v>
      </c>
      <c r="AL4768">
        <v>77.524641769899503</v>
      </c>
      <c r="AM4768">
        <v>93.598489477196694</v>
      </c>
      <c r="AN4768">
        <v>0.99999996051664797</v>
      </c>
    </row>
    <row r="4769" spans="1:40" x14ac:dyDescent="0.25">
      <c r="A4769" t="str">
        <f>"20190303170909361"</f>
        <v>20190303170909361</v>
      </c>
      <c r="B4769" t="str">
        <f>"1551604149348645"</f>
        <v>1551604149348645</v>
      </c>
      <c r="C4769" t="s">
        <v>40</v>
      </c>
      <c r="D4769">
        <v>5.0797270000000001</v>
      </c>
      <c r="E4769">
        <v>0.45737749999999999</v>
      </c>
      <c r="F4769" t="s">
        <v>115</v>
      </c>
      <c r="G4769">
        <v>-224.43109999999999</v>
      </c>
      <c r="H4769" s="1">
        <v>-1.455644E-6</v>
      </c>
      <c r="I4769">
        <v>-58.408700000000003</v>
      </c>
      <c r="J4769">
        <v>-281.35410000000002</v>
      </c>
      <c r="K4769">
        <v>1.1265320000000001</v>
      </c>
      <c r="L4769">
        <v>-64.924710000000005</v>
      </c>
      <c r="M4769">
        <v>0.99675800000000003</v>
      </c>
      <c r="N4769">
        <v>-1.404128E-2</v>
      </c>
      <c r="O4769">
        <v>-7.9226030000000003E-2</v>
      </c>
      <c r="P4769">
        <v>0.97901360000000004</v>
      </c>
      <c r="Q4769">
        <v>0.20281750000000001</v>
      </c>
      <c r="R4769">
        <v>-1.993901E-2</v>
      </c>
      <c r="S4769">
        <v>3.0853579999999998</v>
      </c>
      <c r="T4769">
        <v>-6.0927509999999997E-2</v>
      </c>
      <c r="U4769">
        <v>0.35198970000000002</v>
      </c>
      <c r="V4769">
        <v>-6.0453010000000001E-2</v>
      </c>
      <c r="W4769">
        <v>0.21576919999999999</v>
      </c>
      <c r="X4769">
        <v>0.97457119999999997</v>
      </c>
      <c r="Y4769">
        <v>-0.19165090000000001</v>
      </c>
      <c r="Z4769">
        <v>3.687489E-3</v>
      </c>
      <c r="AA4769">
        <v>0.9814562</v>
      </c>
      <c r="AB4769">
        <v>27</v>
      </c>
      <c r="AC4769">
        <v>56.923000000000002</v>
      </c>
      <c r="AD4769">
        <v>-1.1265334556440001</v>
      </c>
      <c r="AE4769">
        <v>6.5160099999999996</v>
      </c>
      <c r="AF4769">
        <v>-11.0014978618011</v>
      </c>
      <c r="AG4769">
        <v>-1.1265334556440001</v>
      </c>
      <c r="AH4769">
        <v>56.206019926437499</v>
      </c>
      <c r="AI4769">
        <v>91.1268442656514</v>
      </c>
      <c r="AJ4769">
        <v>101.07478545215</v>
      </c>
      <c r="AK4769">
        <v>57.283668779164202</v>
      </c>
      <c r="AL4769">
        <v>77.539341127153193</v>
      </c>
      <c r="AM4769">
        <v>93.549530351424494</v>
      </c>
      <c r="AN4769">
        <v>0.99999996897806898</v>
      </c>
    </row>
    <row r="4770" spans="1:40" x14ac:dyDescent="0.25">
      <c r="A4770" t="str">
        <f>"20190303170909373"</f>
        <v>20190303170909373</v>
      </c>
      <c r="B4770" t="str">
        <f>"1551604149368166"</f>
        <v>1551604149368166</v>
      </c>
      <c r="C4770" t="s">
        <v>40</v>
      </c>
      <c r="D4770">
        <v>5.0962620000000003</v>
      </c>
      <c r="E4770">
        <v>0.45831729999999998</v>
      </c>
      <c r="F4770" t="s">
        <v>112</v>
      </c>
      <c r="G4770">
        <v>-237.73179999999999</v>
      </c>
      <c r="H4770" s="1">
        <v>-2.3572500000000002E-6</v>
      </c>
      <c r="I4770">
        <v>-60.583469999999998</v>
      </c>
      <c r="J4770">
        <v>-281.22649999999999</v>
      </c>
      <c r="K4770">
        <v>1.126403</v>
      </c>
      <c r="L4770">
        <v>-64.931460000000001</v>
      </c>
      <c r="M4770">
        <v>0.99701459999999997</v>
      </c>
      <c r="N4770">
        <v>-1.40102E-2</v>
      </c>
      <c r="O4770">
        <v>-7.5932700000000006E-2</v>
      </c>
      <c r="P4770">
        <v>0.97911610000000004</v>
      </c>
      <c r="Q4770">
        <v>0.2025122</v>
      </c>
      <c r="R4770">
        <v>-1.7903700000000002E-2</v>
      </c>
      <c r="S4770">
        <v>3.087097</v>
      </c>
      <c r="T4770">
        <v>-7.9723600000000006E-2</v>
      </c>
      <c r="U4770">
        <v>0.30722050000000001</v>
      </c>
      <c r="V4770">
        <v>-5.9192969999999998E-2</v>
      </c>
      <c r="W4770">
        <v>0.21546799999999999</v>
      </c>
      <c r="X4770">
        <v>0.9747152</v>
      </c>
      <c r="Y4770">
        <v>-0.17421510000000001</v>
      </c>
      <c r="Z4770">
        <v>4.3626669999999998E-3</v>
      </c>
      <c r="AA4770">
        <v>0.98469790000000001</v>
      </c>
      <c r="AB4770">
        <v>27</v>
      </c>
      <c r="AC4770">
        <v>43.494700000000002</v>
      </c>
      <c r="AD4770">
        <v>-1.1264053572499999</v>
      </c>
      <c r="AE4770">
        <v>4.3479900000000002</v>
      </c>
      <c r="AF4770">
        <v>-7.6333596461994997</v>
      </c>
      <c r="AG4770">
        <v>-1.1264053572499999</v>
      </c>
      <c r="AH4770">
        <v>43.010355880318698</v>
      </c>
      <c r="AI4770">
        <v>91.477113411769196</v>
      </c>
      <c r="AJ4770">
        <v>100.06390563446</v>
      </c>
      <c r="AK4770">
        <v>43.696998540731997</v>
      </c>
      <c r="AL4770">
        <v>77.557014646996805</v>
      </c>
      <c r="AM4770">
        <v>93.475217504497706</v>
      </c>
      <c r="AN4770">
        <v>0.99999999391622996</v>
      </c>
    </row>
    <row r="4771" spans="1:40" x14ac:dyDescent="0.25">
      <c r="A4771" t="str">
        <f>"20190303170909382"</f>
        <v>20190303170909382</v>
      </c>
      <c r="B4771" t="str">
        <f>"1551604149378901"</f>
        <v>1551604149378901</v>
      </c>
      <c r="C4771" t="s">
        <v>40</v>
      </c>
      <c r="D4771">
        <v>5.0757399999999997</v>
      </c>
      <c r="E4771">
        <v>0.45873239999999998</v>
      </c>
      <c r="F4771" t="s">
        <v>112</v>
      </c>
      <c r="G4771">
        <v>-238.2603</v>
      </c>
      <c r="H4771" s="1">
        <v>-2.6075999999999998E-6</v>
      </c>
      <c r="I4771">
        <v>-60.672289999999997</v>
      </c>
      <c r="J4771">
        <v>-281.0951</v>
      </c>
      <c r="K4771">
        <v>1.1262810000000001</v>
      </c>
      <c r="L4771">
        <v>-64.937899999999999</v>
      </c>
      <c r="M4771">
        <v>0.99726040000000005</v>
      </c>
      <c r="N4771">
        <v>-1.3976840000000001E-2</v>
      </c>
      <c r="O4771">
        <v>-7.2639170000000003E-2</v>
      </c>
      <c r="P4771">
        <v>0.97916570000000003</v>
      </c>
      <c r="Q4771">
        <v>0.20241780000000001</v>
      </c>
      <c r="R4771">
        <v>-1.6180050000000001E-2</v>
      </c>
      <c r="S4771">
        <v>3.0863339999999999</v>
      </c>
      <c r="T4771">
        <v>-8.0911640000000007E-2</v>
      </c>
      <c r="U4771">
        <v>0.30593870000000001</v>
      </c>
      <c r="V4771">
        <v>-5.7621239999999997E-2</v>
      </c>
      <c r="W4771">
        <v>0.2153786</v>
      </c>
      <c r="X4771">
        <v>0.9748291</v>
      </c>
      <c r="Y4771">
        <v>-0.17058010000000001</v>
      </c>
      <c r="Z4771">
        <v>4.3127729999999998E-3</v>
      </c>
      <c r="AA4771">
        <v>0.98533440000000005</v>
      </c>
      <c r="AB4771">
        <v>27</v>
      </c>
      <c r="AC4771">
        <v>42.834800000000001</v>
      </c>
      <c r="AD4771">
        <v>-1.12628360759999</v>
      </c>
      <c r="AE4771">
        <v>4.2656099999999899</v>
      </c>
      <c r="AF4771">
        <v>-7.3610882269462898</v>
      </c>
      <c r="AG4771">
        <v>-1.12628360759999</v>
      </c>
      <c r="AH4771">
        <v>42.382726116602903</v>
      </c>
      <c r="AI4771">
        <v>91.499784503714395</v>
      </c>
      <c r="AJ4771">
        <v>99.852919976610494</v>
      </c>
      <c r="AK4771">
        <v>43.031960305389397</v>
      </c>
      <c r="AL4771">
        <v>77.562259637097696</v>
      </c>
      <c r="AM4771">
        <v>93.382764157512298</v>
      </c>
      <c r="AN4771">
        <v>0.99999996142195302</v>
      </c>
    </row>
    <row r="4772" spans="1:40" x14ac:dyDescent="0.25">
      <c r="A4772" t="str">
        <f>"20190303170909394"</f>
        <v>20190303170909394</v>
      </c>
      <c r="B4772" t="str">
        <f>"1551604149388661"</f>
        <v>1551604149388661</v>
      </c>
      <c r="C4772" t="s">
        <v>40</v>
      </c>
      <c r="D4772">
        <v>5.0610929999999996</v>
      </c>
      <c r="E4772">
        <v>0.45918530000000002</v>
      </c>
      <c r="F4772" t="s">
        <v>112</v>
      </c>
      <c r="G4772">
        <v>-237.7364</v>
      </c>
      <c r="H4772" s="1">
        <v>-2.366227E-6</v>
      </c>
      <c r="I4772">
        <v>-60.609900000000003</v>
      </c>
      <c r="J4772">
        <v>-280.96449999999999</v>
      </c>
      <c r="K4772">
        <v>1.126161</v>
      </c>
      <c r="L4772">
        <v>-64.944000000000003</v>
      </c>
      <c r="M4772">
        <v>0.99748959999999998</v>
      </c>
      <c r="N4772">
        <v>-1.3943270000000001E-2</v>
      </c>
      <c r="O4772">
        <v>-6.9427589999999997E-2</v>
      </c>
      <c r="P4772">
        <v>0.9792109</v>
      </c>
      <c r="Q4772">
        <v>0.20232249999999999</v>
      </c>
      <c r="R4772">
        <v>-1.4560750000000001E-2</v>
      </c>
      <c r="S4772">
        <v>3.08548</v>
      </c>
      <c r="T4772">
        <v>-8.0148220000000006E-2</v>
      </c>
      <c r="U4772">
        <v>0.30798340000000002</v>
      </c>
      <c r="V4772">
        <v>-5.6027010000000002E-2</v>
      </c>
      <c r="W4772">
        <v>0.21528729999999999</v>
      </c>
      <c r="X4772">
        <v>0.97494219999999998</v>
      </c>
      <c r="Y4772">
        <v>-0.16808319999999999</v>
      </c>
      <c r="Z4772">
        <v>4.1861399999999997E-3</v>
      </c>
      <c r="AA4772">
        <v>0.98576390000000003</v>
      </c>
      <c r="AB4772">
        <v>27</v>
      </c>
      <c r="AC4772">
        <v>43.228099999999898</v>
      </c>
      <c r="AD4772">
        <v>-1.1261633662270001</v>
      </c>
      <c r="AE4772">
        <v>4.3340999999999896</v>
      </c>
      <c r="AF4772">
        <v>-7.3202354646353101</v>
      </c>
      <c r="AG4772">
        <v>-1.1261633662270001</v>
      </c>
      <c r="AH4772">
        <v>42.794079865650403</v>
      </c>
      <c r="AI4772">
        <v>91.485868218556107</v>
      </c>
      <c r="AJ4772">
        <v>99.706906701625797</v>
      </c>
      <c r="AK4772">
        <v>43.430258607712702</v>
      </c>
      <c r="AL4772">
        <v>77.567616521101797</v>
      </c>
      <c r="AM4772">
        <v>93.288999538668307</v>
      </c>
      <c r="AN4772">
        <v>0.99999997036583399</v>
      </c>
    </row>
    <row r="4773" spans="1:40" x14ac:dyDescent="0.25">
      <c r="A4773" t="str">
        <f>"20190303170909405"</f>
        <v>20190303170909405</v>
      </c>
      <c r="B4773" t="str">
        <f>"1551604149398421"</f>
        <v>1551604149398421</v>
      </c>
      <c r="C4773" t="s">
        <v>40</v>
      </c>
      <c r="D4773">
        <v>5.030119</v>
      </c>
      <c r="E4773">
        <v>0.45956249999999998</v>
      </c>
      <c r="F4773" t="s">
        <v>112</v>
      </c>
      <c r="G4773">
        <v>-236.81639999999999</v>
      </c>
      <c r="H4773" s="1">
        <v>-1.9456079999999999E-6</v>
      </c>
      <c r="I4773">
        <v>-60.512349999999998</v>
      </c>
      <c r="J4773">
        <v>-280.8252</v>
      </c>
      <c r="K4773">
        <v>1.126036</v>
      </c>
      <c r="L4773">
        <v>-64.950159999999997</v>
      </c>
      <c r="M4773">
        <v>0.99771759999999998</v>
      </c>
      <c r="N4773">
        <v>-1.390665E-2</v>
      </c>
      <c r="O4773">
        <v>-6.6077549999999999E-2</v>
      </c>
      <c r="P4773">
        <v>0.97925859999999998</v>
      </c>
      <c r="Q4773">
        <v>0.2021973</v>
      </c>
      <c r="R4773">
        <v>-1.2993350000000001E-2</v>
      </c>
      <c r="S4773">
        <v>3.0845950000000002</v>
      </c>
      <c r="T4773">
        <v>-7.8684089999999998E-2</v>
      </c>
      <c r="U4773">
        <v>0.3096313</v>
      </c>
      <c r="V4773">
        <v>-5.424325E-2</v>
      </c>
      <c r="W4773">
        <v>0.21516440000000001</v>
      </c>
      <c r="X4773">
        <v>0.9750702</v>
      </c>
      <c r="Y4773">
        <v>-0.16532620000000001</v>
      </c>
      <c r="Z4773">
        <v>4.0209950000000003E-3</v>
      </c>
      <c r="AA4773">
        <v>0.98623070000000002</v>
      </c>
      <c r="AB4773">
        <v>27</v>
      </c>
      <c r="AC4773">
        <v>44.008800000000001</v>
      </c>
      <c r="AD4773">
        <v>-1.1260379456080001</v>
      </c>
      <c r="AE4773">
        <v>4.43780999999999</v>
      </c>
      <c r="AF4773">
        <v>-7.3316325627819703</v>
      </c>
      <c r="AG4773">
        <v>-1.1260379456080001</v>
      </c>
      <c r="AH4773">
        <v>43.591080959402497</v>
      </c>
      <c r="AI4773">
        <v>91.459239802821699</v>
      </c>
      <c r="AJ4773">
        <v>99.547285003584605</v>
      </c>
      <c r="AK4773">
        <v>44.217679006250201</v>
      </c>
      <c r="AL4773">
        <v>77.574827180392802</v>
      </c>
      <c r="AM4773">
        <v>93.184087882440295</v>
      </c>
      <c r="AN4773">
        <v>0.99999997206297997</v>
      </c>
    </row>
    <row r="4774" spans="1:40" x14ac:dyDescent="0.25">
      <c r="A4774" t="str">
        <f>"20190303170909416"</f>
        <v>20190303170909416</v>
      </c>
      <c r="B4774" t="str">
        <f>"1551604149408182"</f>
        <v>1551604149408182</v>
      </c>
      <c r="C4774" t="s">
        <v>40</v>
      </c>
      <c r="D4774">
        <v>5.0446900000000001</v>
      </c>
      <c r="E4774">
        <v>0.45956249999999998</v>
      </c>
      <c r="F4774" t="s">
        <v>112</v>
      </c>
      <c r="G4774">
        <v>-237.2064</v>
      </c>
      <c r="H4774" s="1">
        <v>-2.1217290000000001E-6</v>
      </c>
      <c r="I4774">
        <v>-60.545459999999999</v>
      </c>
      <c r="J4774">
        <v>-280.6952</v>
      </c>
      <c r="K4774">
        <v>1.1259209999999999</v>
      </c>
      <c r="L4774">
        <v>-64.955439999999996</v>
      </c>
      <c r="M4774">
        <v>0.99791399999999997</v>
      </c>
      <c r="N4774">
        <v>-1.3869960000000001E-2</v>
      </c>
      <c r="O4774">
        <v>-6.3051659999999995E-2</v>
      </c>
      <c r="P4774">
        <v>0.97930340000000005</v>
      </c>
      <c r="Q4774">
        <v>0.20213449999999999</v>
      </c>
      <c r="R4774">
        <v>-1.034067E-2</v>
      </c>
      <c r="S4774">
        <v>3.084076</v>
      </c>
      <c r="T4774">
        <v>-7.9616790000000007E-2</v>
      </c>
      <c r="U4774">
        <v>0.31143189999999998</v>
      </c>
      <c r="V4774">
        <v>-5.3865740000000002E-2</v>
      </c>
      <c r="W4774">
        <v>0.2150852</v>
      </c>
      <c r="X4774">
        <v>0.97510859999999999</v>
      </c>
      <c r="Y4774">
        <v>-0.16292110000000001</v>
      </c>
      <c r="Z4774">
        <v>3.9820910000000001E-3</v>
      </c>
      <c r="AA4774">
        <v>0.98663109999999998</v>
      </c>
      <c r="AB4774">
        <v>27</v>
      </c>
      <c r="AC4774">
        <v>43.488799999999998</v>
      </c>
      <c r="AD4774">
        <v>-1.125923121729</v>
      </c>
      <c r="AE4774">
        <v>4.4099799999999902</v>
      </c>
      <c r="AF4774">
        <v>-7.1387717689653201</v>
      </c>
      <c r="AG4774">
        <v>-1.125923121729</v>
      </c>
      <c r="AH4774">
        <v>43.095576361470201</v>
      </c>
      <c r="AI4774">
        <v>91.476468986280693</v>
      </c>
      <c r="AJ4774">
        <v>99.405622986207504</v>
      </c>
      <c r="AK4774">
        <v>43.697350802682898</v>
      </c>
      <c r="AL4774">
        <v>77.579473792465194</v>
      </c>
      <c r="AM4774">
        <v>93.1618488384172</v>
      </c>
      <c r="AN4774">
        <v>0.99999997149937303</v>
      </c>
    </row>
    <row r="4775" spans="1:40" x14ac:dyDescent="0.25">
      <c r="A4775" t="str">
        <f>"20190303170909427"</f>
        <v>20190303170909427</v>
      </c>
      <c r="B4775" t="str">
        <f>"1551604149418917"</f>
        <v>1551604149418917</v>
      </c>
      <c r="C4775" t="s">
        <v>40</v>
      </c>
      <c r="D4775">
        <v>5.0113219999999998</v>
      </c>
      <c r="E4775">
        <v>0.45990969999999998</v>
      </c>
      <c r="F4775" t="s">
        <v>112</v>
      </c>
      <c r="G4775">
        <v>-237.154</v>
      </c>
      <c r="H4775" s="1">
        <v>-2.0704199999999998E-6</v>
      </c>
      <c r="I4775">
        <v>-60.437069999999999</v>
      </c>
      <c r="J4775">
        <v>-280.56509999999997</v>
      </c>
      <c r="K4775">
        <v>1.1258010000000001</v>
      </c>
      <c r="L4775">
        <v>-64.960569999999905</v>
      </c>
      <c r="M4775">
        <v>0.99809870000000001</v>
      </c>
      <c r="N4775">
        <v>-1.383264E-2</v>
      </c>
      <c r="O4775">
        <v>-6.006396E-2</v>
      </c>
      <c r="P4775">
        <v>0.97934969999999999</v>
      </c>
      <c r="Q4775">
        <v>0.20198060000000001</v>
      </c>
      <c r="R4775">
        <v>-8.8398079999999993E-3</v>
      </c>
      <c r="S4775">
        <v>3.0831909999999998</v>
      </c>
      <c r="T4775">
        <v>-7.9727649999999997E-2</v>
      </c>
      <c r="U4775">
        <v>0.31994630000000002</v>
      </c>
      <c r="V4775">
        <v>-5.2374990000000003E-2</v>
      </c>
      <c r="W4775">
        <v>0.2149278</v>
      </c>
      <c r="X4775">
        <v>0.9752246</v>
      </c>
      <c r="Y4775">
        <v>-0.16269220000000001</v>
      </c>
      <c r="Z4775">
        <v>3.9470679999999998E-3</v>
      </c>
      <c r="AA4775">
        <v>0.98666900000000002</v>
      </c>
      <c r="AB4775">
        <v>27</v>
      </c>
      <c r="AC4775">
        <v>43.411099999999898</v>
      </c>
      <c r="AD4775">
        <v>-1.1258030704199999</v>
      </c>
      <c r="AE4775">
        <v>4.5234999999999896</v>
      </c>
      <c r="AF4775">
        <v>-7.1182874467072601</v>
      </c>
      <c r="AG4775">
        <v>-1.1258030704199999</v>
      </c>
      <c r="AH4775">
        <v>43.032351802994299</v>
      </c>
      <c r="AI4775">
        <v>91.478535106281299</v>
      </c>
      <c r="AJ4775">
        <v>99.392649009564096</v>
      </c>
      <c r="AK4775">
        <v>43.631648495375302</v>
      </c>
      <c r="AL4775">
        <v>77.588709226171005</v>
      </c>
      <c r="AM4775">
        <v>93.074149012739696</v>
      </c>
      <c r="AN4775">
        <v>1.0000000596177401</v>
      </c>
    </row>
    <row r="4776" spans="1:40" x14ac:dyDescent="0.25">
      <c r="A4776" t="str">
        <f>"20190303170909438"</f>
        <v>20190303170909438</v>
      </c>
      <c r="B4776" t="str">
        <f>"1551604149428677"</f>
        <v>1551604149428677</v>
      </c>
      <c r="C4776" t="s">
        <v>40</v>
      </c>
      <c r="D4776">
        <v>5.0632919999999997</v>
      </c>
      <c r="E4776">
        <v>0.46032909999999999</v>
      </c>
      <c r="F4776" t="s">
        <v>112</v>
      </c>
      <c r="G4776">
        <v>-236.44149999999999</v>
      </c>
      <c r="H4776" s="1">
        <v>-1.75652899999999E-6</v>
      </c>
      <c r="I4776">
        <v>-60.349960000000003</v>
      </c>
      <c r="J4776">
        <v>-280.4393</v>
      </c>
      <c r="K4776">
        <v>1.125678</v>
      </c>
      <c r="L4776">
        <v>-64.965090000000004</v>
      </c>
      <c r="M4776">
        <v>0.99826150000000002</v>
      </c>
      <c r="N4776">
        <v>-1.379236E-2</v>
      </c>
      <c r="O4776">
        <v>-5.7305300000000003E-2</v>
      </c>
      <c r="P4776">
        <v>0.97940369999999999</v>
      </c>
      <c r="Q4776">
        <v>0.20175899999999999</v>
      </c>
      <c r="R4776">
        <v>-7.8712079999999993E-3</v>
      </c>
      <c r="S4776">
        <v>3.0823670000000001</v>
      </c>
      <c r="T4776">
        <v>-7.8645939999999998E-2</v>
      </c>
      <c r="U4776">
        <v>0.32208249999999999</v>
      </c>
      <c r="V4776">
        <v>-5.057876E-2</v>
      </c>
      <c r="W4776">
        <v>0.2147019</v>
      </c>
      <c r="X4776">
        <v>0.97536909999999999</v>
      </c>
      <c r="Y4776">
        <v>-0.16067190000000001</v>
      </c>
      <c r="Z4776">
        <v>3.8256940000000001E-3</v>
      </c>
      <c r="AA4776">
        <v>0.98700049999999995</v>
      </c>
      <c r="AB4776">
        <v>27</v>
      </c>
      <c r="AC4776">
        <v>43.997799999999998</v>
      </c>
      <c r="AD4776">
        <v>-1.125679756529</v>
      </c>
      <c r="AE4776">
        <v>4.6151299999999997</v>
      </c>
      <c r="AF4776">
        <v>-7.1244784656783802</v>
      </c>
      <c r="AG4776">
        <v>-1.125679756529</v>
      </c>
      <c r="AH4776">
        <v>43.632737545421897</v>
      </c>
      <c r="AI4776">
        <v>91.458537525116</v>
      </c>
      <c r="AJ4776">
        <v>99.273581794894895</v>
      </c>
      <c r="AK4776">
        <v>44.224892696645902</v>
      </c>
      <c r="AL4776">
        <v>77.6019609612229</v>
      </c>
      <c r="AM4776">
        <v>92.968472232705906</v>
      </c>
      <c r="AN4776">
        <v>0.99999999903077796</v>
      </c>
    </row>
    <row r="4777" spans="1:40" x14ac:dyDescent="0.25">
      <c r="A4777" t="str">
        <f>"20190303170909451"</f>
        <v>20190303170909451</v>
      </c>
      <c r="B4777" t="str">
        <f>"1551604149438437"</f>
        <v>1551604149438437</v>
      </c>
      <c r="C4777" t="s">
        <v>40</v>
      </c>
      <c r="D4777">
        <v>5.0545249999999999</v>
      </c>
      <c r="E4777">
        <v>0.46032909999999999</v>
      </c>
      <c r="F4777" t="s">
        <v>112</v>
      </c>
      <c r="G4777">
        <v>-236.791</v>
      </c>
      <c r="H4777" s="1">
        <v>-1.9059269999999999E-6</v>
      </c>
      <c r="I4777">
        <v>-60.404110000000003</v>
      </c>
      <c r="J4777">
        <v>-280.29450000000003</v>
      </c>
      <c r="K4777">
        <v>1.1255389999999901</v>
      </c>
      <c r="L4777">
        <v>-64.970119999999994</v>
      </c>
      <c r="M4777">
        <v>0.99843720000000002</v>
      </c>
      <c r="N4777">
        <v>-1.374533E-2</v>
      </c>
      <c r="O4777">
        <v>-5.4169799999999997E-2</v>
      </c>
      <c r="P4777">
        <v>0.97946480000000002</v>
      </c>
      <c r="Q4777">
        <v>0.2015245</v>
      </c>
      <c r="R4777">
        <v>-6.0628890000000001E-3</v>
      </c>
      <c r="S4777">
        <v>3.0820620000000001</v>
      </c>
      <c r="T4777">
        <v>-7.9485650000000005E-2</v>
      </c>
      <c r="U4777">
        <v>0.322052</v>
      </c>
      <c r="V4777">
        <v>-4.924154E-2</v>
      </c>
      <c r="W4777">
        <v>0.2144528</v>
      </c>
      <c r="X4777">
        <v>0.97549229999999998</v>
      </c>
      <c r="Y4777">
        <v>-0.15757189999999999</v>
      </c>
      <c r="Z4777">
        <v>3.7634159999999999E-3</v>
      </c>
      <c r="AA4777">
        <v>0.98750039999999994</v>
      </c>
      <c r="AB4777">
        <v>27</v>
      </c>
      <c r="AC4777">
        <v>43.503500000000003</v>
      </c>
      <c r="AD4777">
        <v>-1.1255409059269901</v>
      </c>
      <c r="AE4777">
        <v>4.5660099999999897</v>
      </c>
      <c r="AF4777">
        <v>-6.9115269683242397</v>
      </c>
      <c r="AG4777">
        <v>-1.1255409059269901</v>
      </c>
      <c r="AH4777">
        <v>43.163672039581797</v>
      </c>
      <c r="AI4777">
        <v>91.474932667901001</v>
      </c>
      <c r="AJ4777">
        <v>99.097187488516695</v>
      </c>
      <c r="AK4777">
        <v>43.728007401496903</v>
      </c>
      <c r="AL4777">
        <v>77.616573475751593</v>
      </c>
      <c r="AM4777">
        <v>92.889761133959198</v>
      </c>
      <c r="AN4777">
        <v>0.99999998002434998</v>
      </c>
    </row>
    <row r="4778" spans="1:40" x14ac:dyDescent="0.25">
      <c r="A4778" t="str">
        <f>"20190303170909464"</f>
        <v>20190303170909464</v>
      </c>
      <c r="B4778" t="str">
        <f>"1551604149458934"</f>
        <v>1551604149458934</v>
      </c>
      <c r="C4778" t="s">
        <v>40</v>
      </c>
      <c r="D4778">
        <v>5.0309019999999904</v>
      </c>
      <c r="E4778">
        <v>0.46624559999999998</v>
      </c>
      <c r="F4778" t="s">
        <v>112</v>
      </c>
      <c r="G4778">
        <v>-237.07980000000001</v>
      </c>
      <c r="H4778" s="1">
        <v>-2.0258429999999999E-6</v>
      </c>
      <c r="I4778">
        <v>-60.375230000000002</v>
      </c>
      <c r="J4778">
        <v>-280.12990000000002</v>
      </c>
      <c r="K4778">
        <v>1.1253759999999999</v>
      </c>
      <c r="L4778">
        <v>-64.975250000000003</v>
      </c>
      <c r="M4778">
        <v>0.99861630000000001</v>
      </c>
      <c r="N4778">
        <v>-1.368695E-2</v>
      </c>
      <c r="O4778">
        <v>-5.077574E-2</v>
      </c>
      <c r="P4778">
        <v>0.97955219999999998</v>
      </c>
      <c r="Q4778">
        <v>0.2011395</v>
      </c>
      <c r="R4778">
        <v>-4.5149630000000003E-3</v>
      </c>
      <c r="S4778">
        <v>3.0814509999999999</v>
      </c>
      <c r="T4778">
        <v>-8.0257300000000004E-2</v>
      </c>
      <c r="U4778">
        <v>0.3276367</v>
      </c>
      <c r="V4778">
        <v>-4.7378150000000001E-2</v>
      </c>
      <c r="W4778">
        <v>0.2140503</v>
      </c>
      <c r="X4778">
        <v>0.97567300000000001</v>
      </c>
      <c r="Y4778">
        <v>-0.156005</v>
      </c>
      <c r="Z4778">
        <v>3.7227369999999998E-3</v>
      </c>
      <c r="AA4778">
        <v>0.98774930000000005</v>
      </c>
      <c r="AB4778">
        <v>27</v>
      </c>
      <c r="AC4778">
        <v>43.0501</v>
      </c>
      <c r="AD4778">
        <v>-1.125378025843</v>
      </c>
      <c r="AE4778">
        <v>4.6000199999999998</v>
      </c>
      <c r="AF4778">
        <v>-6.7756127604255099</v>
      </c>
      <c r="AG4778">
        <v>-1.125378025843</v>
      </c>
      <c r="AH4778">
        <v>42.732095421116703</v>
      </c>
      <c r="AI4778">
        <v>91.489968485648504</v>
      </c>
      <c r="AJ4778">
        <v>99.009827721601695</v>
      </c>
      <c r="AK4778">
        <v>43.280565881925703</v>
      </c>
      <c r="AL4778">
        <v>77.640183677282806</v>
      </c>
      <c r="AM4778">
        <v>92.780068097146398</v>
      </c>
      <c r="AN4778">
        <v>1.0000000114782499</v>
      </c>
    </row>
    <row r="4779" spans="1:40" x14ac:dyDescent="0.25">
      <c r="A4779" t="str">
        <f>"20190303170909479"</f>
        <v>20190303170909479</v>
      </c>
      <c r="B4779" t="str">
        <f>"1551604149468693"</f>
        <v>1551604149468693</v>
      </c>
      <c r="C4779" t="s">
        <v>40</v>
      </c>
      <c r="D4779">
        <v>5.0037839999999996</v>
      </c>
      <c r="E4779">
        <v>0.46641129999999997</v>
      </c>
      <c r="F4779" t="s">
        <v>112</v>
      </c>
      <c r="G4779">
        <v>-237.86500000000001</v>
      </c>
      <c r="H4779" s="1">
        <v>-2.5414330000000002E-6</v>
      </c>
      <c r="I4779">
        <v>-61.061070000000001</v>
      </c>
      <c r="J4779">
        <v>-279.96699999999998</v>
      </c>
      <c r="K4779">
        <v>1.125216</v>
      </c>
      <c r="L4779">
        <v>-64.979979999999998</v>
      </c>
      <c r="M4779">
        <v>0.99877669999999996</v>
      </c>
      <c r="N4779">
        <v>-1.36268E-2</v>
      </c>
      <c r="O4779">
        <v>-4.7533619999999999E-2</v>
      </c>
      <c r="P4779">
        <v>0.9795722</v>
      </c>
      <c r="Q4779">
        <v>0.201072</v>
      </c>
      <c r="R4779">
        <v>-2.892234E-3</v>
      </c>
      <c r="S4779">
        <v>3.0807799999999999</v>
      </c>
      <c r="T4779">
        <v>-8.203125E-2</v>
      </c>
      <c r="U4779">
        <v>0.28530879999999997</v>
      </c>
      <c r="V4779">
        <v>-4.5740000000000003E-2</v>
      </c>
      <c r="W4779">
        <v>0.21395810000000001</v>
      </c>
      <c r="X4779">
        <v>0.97577139999999996</v>
      </c>
      <c r="Y4779">
        <v>-0.13936770000000001</v>
      </c>
      <c r="Z4779">
        <v>3.4199909999999998E-3</v>
      </c>
      <c r="AA4779">
        <v>0.99023479999999997</v>
      </c>
      <c r="AB4779">
        <v>27</v>
      </c>
      <c r="AC4779">
        <v>42.101999999999897</v>
      </c>
      <c r="AD4779">
        <v>-1.125218541433</v>
      </c>
      <c r="AE4779">
        <v>3.9189099999999999</v>
      </c>
      <c r="AF4779">
        <v>-5.9117392989509803</v>
      </c>
      <c r="AG4779">
        <v>-1.125218541433</v>
      </c>
      <c r="AH4779">
        <v>41.838475734183099</v>
      </c>
      <c r="AI4779">
        <v>91.525416018017296</v>
      </c>
      <c r="AJ4779">
        <v>98.042599887309805</v>
      </c>
      <c r="AK4779">
        <v>42.269052864531702</v>
      </c>
      <c r="AL4779">
        <v>77.645591750227894</v>
      </c>
      <c r="AM4779">
        <v>92.683817087727405</v>
      </c>
      <c r="AN4779">
        <v>1.0000000206067801</v>
      </c>
    </row>
    <row r="4780" spans="1:40" x14ac:dyDescent="0.25">
      <c r="A4780" t="str">
        <f>"20190303170909506"</f>
        <v>20190303170909506</v>
      </c>
      <c r="B4780" t="str">
        <f>"1551604149498949"</f>
        <v>1551604149498949</v>
      </c>
      <c r="C4780" t="s">
        <v>40</v>
      </c>
      <c r="D4780">
        <v>4.9938250000000002</v>
      </c>
      <c r="E4780">
        <v>0.46737810000000002</v>
      </c>
      <c r="F4780" t="s">
        <v>112</v>
      </c>
      <c r="G4780">
        <v>-238.1464</v>
      </c>
      <c r="H4780" s="1">
        <v>-2.6606789999999998E-6</v>
      </c>
      <c r="I4780">
        <v>-61.055529999999997</v>
      </c>
      <c r="J4780">
        <v>-279.63029999999998</v>
      </c>
      <c r="K4780">
        <v>1.1248819999999999</v>
      </c>
      <c r="L4780">
        <v>-64.988559999999893</v>
      </c>
      <c r="M4780">
        <v>0.99906079999999997</v>
      </c>
      <c r="N4780">
        <v>-1.349682E-2</v>
      </c>
      <c r="O4780">
        <v>-4.1176999999999998E-2</v>
      </c>
      <c r="P4780">
        <v>0.97976810000000003</v>
      </c>
      <c r="Q4780">
        <v>0.2001271</v>
      </c>
      <c r="R4780">
        <v>-1.946311E-3</v>
      </c>
      <c r="S4780">
        <v>3.0804140000000002</v>
      </c>
      <c r="T4780">
        <v>-8.2881090000000004E-2</v>
      </c>
      <c r="U4780">
        <v>0.2890625</v>
      </c>
      <c r="V4780">
        <v>-4.0289470000000001E-2</v>
      </c>
      <c r="W4780">
        <v>0.21297430000000001</v>
      </c>
      <c r="X4780">
        <v>0.97622679999999995</v>
      </c>
      <c r="Y4780">
        <v>-0.13427359999999999</v>
      </c>
      <c r="Z4780">
        <v>3.2617000000000002E-3</v>
      </c>
      <c r="AA4780">
        <v>0.99093900000000001</v>
      </c>
      <c r="AB4780">
        <v>27</v>
      </c>
      <c r="AC4780">
        <v>41.483899999999899</v>
      </c>
      <c r="AD4780">
        <v>-1.1248846606789999</v>
      </c>
      <c r="AE4780">
        <v>3.93302999999998</v>
      </c>
      <c r="AF4780">
        <v>-5.6339260077162203</v>
      </c>
      <c r="AG4780">
        <v>-1.1248846606789999</v>
      </c>
      <c r="AH4780">
        <v>41.2566793937605</v>
      </c>
      <c r="AI4780">
        <v>91.547457246487696</v>
      </c>
      <c r="AJ4780">
        <v>97.776093720700004</v>
      </c>
      <c r="AK4780">
        <v>41.6547726240318</v>
      </c>
      <c r="AL4780">
        <v>77.703289351212803</v>
      </c>
      <c r="AM4780">
        <v>92.363290286876804</v>
      </c>
      <c r="AN4780">
        <v>1.0000000294458</v>
      </c>
    </row>
    <row r="4781" spans="1:40" x14ac:dyDescent="0.25">
      <c r="A4781" t="str">
        <f>"20190303170909520"</f>
        <v>20190303170909520</v>
      </c>
      <c r="B4781" t="str">
        <f>"1551604149509685"</f>
        <v>1551604149509685</v>
      </c>
      <c r="C4781" t="s">
        <v>40</v>
      </c>
      <c r="D4781">
        <v>5.0152269999999897</v>
      </c>
      <c r="E4781">
        <v>0.4675395</v>
      </c>
      <c r="F4781" t="s">
        <v>112</v>
      </c>
      <c r="G4781">
        <v>-239.8297</v>
      </c>
      <c r="H4781" s="1">
        <v>-3.3852849999999998E-6</v>
      </c>
      <c r="I4781">
        <v>-61.320149999999998</v>
      </c>
      <c r="J4781">
        <v>-279.4742</v>
      </c>
      <c r="K4781">
        <v>1.124735</v>
      </c>
      <c r="L4781">
        <v>-64.99194</v>
      </c>
      <c r="M4781">
        <v>0.99917109999999998</v>
      </c>
      <c r="N4781">
        <v>-1.3433240000000001E-2</v>
      </c>
      <c r="O4781">
        <v>-3.8430279999999997E-2</v>
      </c>
      <c r="P4781">
        <v>0.9798424</v>
      </c>
      <c r="Q4781">
        <v>0.19977030000000001</v>
      </c>
      <c r="R4781">
        <v>-1.0194819999999999E-3</v>
      </c>
      <c r="S4781">
        <v>3.080292</v>
      </c>
      <c r="T4781">
        <v>-8.7058419999999997E-2</v>
      </c>
      <c r="U4781">
        <v>0.28390500000000002</v>
      </c>
      <c r="V4781">
        <v>-3.8450270000000002E-2</v>
      </c>
      <c r="W4781">
        <v>0.2125861</v>
      </c>
      <c r="X4781">
        <v>0.97638550000000002</v>
      </c>
      <c r="Y4781">
        <v>-0.12990260000000001</v>
      </c>
      <c r="Z4781">
        <v>3.2750589999999999E-3</v>
      </c>
      <c r="AA4781">
        <v>0.9915214</v>
      </c>
      <c r="AB4781">
        <v>27</v>
      </c>
      <c r="AC4781">
        <v>39.644500000000001</v>
      </c>
      <c r="AD4781">
        <v>-1.1247383852849999</v>
      </c>
      <c r="AE4781">
        <v>3.6717900000000001</v>
      </c>
      <c r="AF4781">
        <v>-5.1886228897816498</v>
      </c>
      <c r="AG4781">
        <v>-1.1247383852849999</v>
      </c>
      <c r="AH4781">
        <v>39.442611058869701</v>
      </c>
      <c r="AI4781">
        <v>91.619448787049393</v>
      </c>
      <c r="AJ4781">
        <v>97.494152195840698</v>
      </c>
      <c r="AK4781">
        <v>39.798321711712603</v>
      </c>
      <c r="AL4781">
        <v>77.726051975017299</v>
      </c>
      <c r="AM4781">
        <v>92.255154778332297</v>
      </c>
      <c r="AN4781">
        <v>0.99999995889326498</v>
      </c>
    </row>
    <row r="4782" spans="1:40" x14ac:dyDescent="0.25">
      <c r="A4782" t="str">
        <f>"20190303170909535"</f>
        <v>20190303170909535</v>
      </c>
      <c r="B4782" t="str">
        <f>"1551604149528229"</f>
        <v>1551604149528229</v>
      </c>
      <c r="C4782" t="s">
        <v>40</v>
      </c>
      <c r="D4782">
        <v>5.0226160000000002</v>
      </c>
      <c r="E4782">
        <v>0.46791880000000002</v>
      </c>
      <c r="F4782" t="s">
        <v>112</v>
      </c>
      <c r="G4782">
        <v>-239.13980000000001</v>
      </c>
      <c r="H4782" s="1">
        <v>-3.1386139999999999E-6</v>
      </c>
      <c r="I4782">
        <v>-61.253039999999999</v>
      </c>
      <c r="J4782">
        <v>-279.30619999999999</v>
      </c>
      <c r="K4782">
        <v>1.1245830000000001</v>
      </c>
      <c r="L4782">
        <v>-64.9953</v>
      </c>
      <c r="M4782">
        <v>0.99927790000000005</v>
      </c>
      <c r="N4782">
        <v>-1.336243E-2</v>
      </c>
      <c r="O4782">
        <v>-3.5572409999999999E-2</v>
      </c>
      <c r="P4782">
        <v>0.97991170000000005</v>
      </c>
      <c r="Q4782">
        <v>0.1994321</v>
      </c>
      <c r="R4782" s="1">
        <v>-9.639189E-5</v>
      </c>
      <c r="S4782">
        <v>3.079529</v>
      </c>
      <c r="T4782">
        <v>-8.5873840000000007E-2</v>
      </c>
      <c r="U4782">
        <v>0.28546139999999998</v>
      </c>
      <c r="V4782">
        <v>-3.6495029999999998E-2</v>
      </c>
      <c r="W4782">
        <v>0.21221010000000001</v>
      </c>
      <c r="X4782">
        <v>0.97654240000000003</v>
      </c>
      <c r="Y4782">
        <v>-0.12758939999999999</v>
      </c>
      <c r="Z4782">
        <v>3.1450670000000001E-3</v>
      </c>
      <c r="AA4782">
        <v>0.99182210000000004</v>
      </c>
      <c r="AB4782">
        <v>27</v>
      </c>
      <c r="AC4782">
        <v>40.166399999999904</v>
      </c>
      <c r="AD4782">
        <v>-1.1245861386139999</v>
      </c>
      <c r="AE4782">
        <v>3.7422599999999901</v>
      </c>
      <c r="AF4782">
        <v>-5.1648202882227103</v>
      </c>
      <c r="AG4782">
        <v>-1.1245861386139999</v>
      </c>
      <c r="AH4782">
        <v>39.976773104117299</v>
      </c>
      <c r="AI4782">
        <v>91.598086891303197</v>
      </c>
      <c r="AJ4782">
        <v>97.361580619772198</v>
      </c>
      <c r="AK4782">
        <v>40.324712651311899</v>
      </c>
      <c r="AL4782">
        <v>77.748099177409401</v>
      </c>
      <c r="AM4782">
        <v>92.140243518494202</v>
      </c>
      <c r="AN4782">
        <v>1.0000000363772299</v>
      </c>
    </row>
    <row r="4783" spans="1:40" x14ac:dyDescent="0.25">
      <c r="A4783" t="str">
        <f>"20190303170909550"</f>
        <v>20190303170909550</v>
      </c>
      <c r="B4783" t="str">
        <f>"1551604149538966"</f>
        <v>1551604149538966</v>
      </c>
      <c r="C4783" t="s">
        <v>40</v>
      </c>
      <c r="D4783">
        <v>5.0215949999999996</v>
      </c>
      <c r="E4783">
        <v>0.46816370000000002</v>
      </c>
      <c r="F4783" t="s">
        <v>112</v>
      </c>
      <c r="G4783">
        <v>-237.78729999999999</v>
      </c>
      <c r="H4783" s="1">
        <v>-2.5317299999999998E-6</v>
      </c>
      <c r="I4783">
        <v>-61.149850000000001</v>
      </c>
      <c r="J4783">
        <v>-279.11270000000002</v>
      </c>
      <c r="K4783">
        <v>1.124411</v>
      </c>
      <c r="L4783">
        <v>-64.998750000000001</v>
      </c>
      <c r="M4783">
        <v>0.999386</v>
      </c>
      <c r="N4783">
        <v>-1.327536E-2</v>
      </c>
      <c r="O4783">
        <v>-3.242892E-2</v>
      </c>
      <c r="P4783">
        <v>0.9799329</v>
      </c>
      <c r="Q4783">
        <v>0.19932849999999999</v>
      </c>
      <c r="R4783">
        <v>1.2871249999999999E-4</v>
      </c>
      <c r="S4783">
        <v>3.078522</v>
      </c>
      <c r="T4783">
        <v>-8.3384990000000006E-2</v>
      </c>
      <c r="U4783">
        <v>0.28512569999999998</v>
      </c>
      <c r="V4783">
        <v>-3.3552140000000001E-2</v>
      </c>
      <c r="W4783">
        <v>0.21205959999999999</v>
      </c>
      <c r="X4783">
        <v>0.97668060000000001</v>
      </c>
      <c r="Y4783">
        <v>-0.12439740000000001</v>
      </c>
      <c r="Z4783">
        <v>2.9556370000000001E-3</v>
      </c>
      <c r="AA4783">
        <v>0.99222809999999995</v>
      </c>
      <c r="AB4783">
        <v>27</v>
      </c>
      <c r="AC4783">
        <v>41.325400000000002</v>
      </c>
      <c r="AD4783">
        <v>-1.1244135317299999</v>
      </c>
      <c r="AE4783">
        <v>3.8489</v>
      </c>
      <c r="AF4783">
        <v>-5.1833270154218303</v>
      </c>
      <c r="AG4783">
        <v>-1.1244135317299999</v>
      </c>
      <c r="AH4783">
        <v>41.148633111366401</v>
      </c>
      <c r="AI4783">
        <v>91.552989049800004</v>
      </c>
      <c r="AJ4783">
        <v>97.179503739289402</v>
      </c>
      <c r="AK4783">
        <v>41.4890490572269</v>
      </c>
      <c r="AL4783">
        <v>77.756922656644903</v>
      </c>
      <c r="AM4783">
        <v>91.967521741895297</v>
      </c>
      <c r="AN4783">
        <v>1.00000000723354</v>
      </c>
    </row>
    <row r="4784" spans="1:40" x14ac:dyDescent="0.25">
      <c r="A4784" t="str">
        <f>"20190303170909563"</f>
        <v>20190303170909563</v>
      </c>
      <c r="B4784" t="str">
        <f>"1551604149548725"</f>
        <v>1551604149548725</v>
      </c>
      <c r="C4784" t="s">
        <v>40</v>
      </c>
      <c r="D4784">
        <v>4.9920749999999998</v>
      </c>
      <c r="E4784">
        <v>0.4683022</v>
      </c>
      <c r="F4784" t="s">
        <v>112</v>
      </c>
      <c r="G4784">
        <v>-237.42920000000001</v>
      </c>
      <c r="H4784" s="1">
        <v>-2.3760030000000001E-6</v>
      </c>
      <c r="I4784">
        <v>-61.141889999999997</v>
      </c>
      <c r="J4784">
        <v>-278.95859999999999</v>
      </c>
      <c r="K4784">
        <v>1.124277</v>
      </c>
      <c r="L4784">
        <v>-65.001099999999994</v>
      </c>
      <c r="M4784">
        <v>0.99946080000000004</v>
      </c>
      <c r="N4784">
        <v>-1.3198649999999999E-2</v>
      </c>
      <c r="O4784">
        <v>-3.006843E-2</v>
      </c>
      <c r="P4784">
        <v>0.97999289999999994</v>
      </c>
      <c r="Q4784">
        <v>0.19902909999999999</v>
      </c>
      <c r="R4784">
        <v>1.237527E-3</v>
      </c>
      <c r="S4784">
        <v>3.0782780000000001</v>
      </c>
      <c r="T4784">
        <v>-8.3036659999999998E-2</v>
      </c>
      <c r="U4784">
        <v>0.28482059999999998</v>
      </c>
      <c r="V4784">
        <v>-3.2281839999999999E-2</v>
      </c>
      <c r="W4784">
        <v>0.21170539999999999</v>
      </c>
      <c r="X4784">
        <v>0.97680020000000001</v>
      </c>
      <c r="Y4784">
        <v>-0.1219654</v>
      </c>
      <c r="Z4784">
        <v>2.8615720000000002E-3</v>
      </c>
      <c r="AA4784">
        <v>0.99253020000000003</v>
      </c>
      <c r="AB4784">
        <v>27</v>
      </c>
      <c r="AC4784">
        <v>41.529399999999903</v>
      </c>
      <c r="AD4784">
        <v>-1.1242793760030001</v>
      </c>
      <c r="AE4784">
        <v>3.8592099999999898</v>
      </c>
      <c r="AF4784">
        <v>-5.1025896288167498</v>
      </c>
      <c r="AG4784">
        <v>-1.1242793760030001</v>
      </c>
      <c r="AH4784">
        <v>41.364512443523999</v>
      </c>
      <c r="AI4784">
        <v>91.545198383059301</v>
      </c>
      <c r="AJ4784">
        <v>97.032291878847701</v>
      </c>
      <c r="AK4784">
        <v>41.693204658863401</v>
      </c>
      <c r="AL4784">
        <v>77.777687743121803</v>
      </c>
      <c r="AM4784">
        <v>91.892854076852998</v>
      </c>
      <c r="AN4784">
        <v>0.99999996215149201</v>
      </c>
    </row>
    <row r="4785" spans="1:40" x14ac:dyDescent="0.25">
      <c r="A4785" t="str">
        <f>"20190303170909575"</f>
        <v>20190303170909575</v>
      </c>
      <c r="B4785" t="str">
        <f>"1551604149568245"</f>
        <v>1551604149568245</v>
      </c>
      <c r="C4785" t="s">
        <v>40</v>
      </c>
      <c r="D4785">
        <v>4.9904409999999997</v>
      </c>
      <c r="E4785">
        <v>0.46900350000000002</v>
      </c>
      <c r="F4785" t="s">
        <v>112</v>
      </c>
      <c r="G4785">
        <v>-238.0343</v>
      </c>
      <c r="H4785" s="1">
        <v>-2.6446800000000001E-6</v>
      </c>
      <c r="I4785">
        <v>-61.176110000000001</v>
      </c>
      <c r="J4785">
        <v>-278.81990000000002</v>
      </c>
      <c r="K4785">
        <v>1.1241570000000001</v>
      </c>
      <c r="L4785">
        <v>-65.003019999999907</v>
      </c>
      <c r="M4785">
        <v>0.99952169999999896</v>
      </c>
      <c r="N4785">
        <v>-1.312787E-2</v>
      </c>
      <c r="O4785">
        <v>-2.800385E-2</v>
      </c>
      <c r="P4785">
        <v>0.9799253</v>
      </c>
      <c r="Q4785">
        <v>0.199353</v>
      </c>
      <c r="R4785">
        <v>2.268511E-3</v>
      </c>
      <c r="S4785">
        <v>3.0780940000000001</v>
      </c>
      <c r="T4785">
        <v>-8.4561819999999996E-2</v>
      </c>
      <c r="U4785">
        <v>0.28768919999999998</v>
      </c>
      <c r="V4785">
        <v>-3.1234290000000001E-2</v>
      </c>
      <c r="W4785">
        <v>0.21197569999999999</v>
      </c>
      <c r="X4785">
        <v>0.97677559999999997</v>
      </c>
      <c r="Y4785">
        <v>-0.1208362</v>
      </c>
      <c r="Z4785">
        <v>2.8519919999999998E-3</v>
      </c>
      <c r="AA4785">
        <v>0.99266829999999995</v>
      </c>
      <c r="AB4785">
        <v>27</v>
      </c>
      <c r="AC4785">
        <v>40.785600000000002</v>
      </c>
      <c r="AD4785">
        <v>-1.12415964468</v>
      </c>
      <c r="AE4785">
        <v>3.82690999999999</v>
      </c>
      <c r="AF4785">
        <v>-4.9639228550027896</v>
      </c>
      <c r="AG4785">
        <v>-1.12415964468</v>
      </c>
      <c r="AH4785">
        <v>40.631825700593502</v>
      </c>
      <c r="AI4785">
        <v>91.573106560656399</v>
      </c>
      <c r="AJ4785">
        <v>96.965215156240703</v>
      </c>
      <c r="AK4785">
        <v>40.9493531668152</v>
      </c>
      <c r="AL4785">
        <v>77.761840584931605</v>
      </c>
      <c r="AM4785">
        <v>91.831519337245595</v>
      </c>
      <c r="AN4785">
        <v>0.99999992550882399</v>
      </c>
    </row>
    <row r="4786" spans="1:40" x14ac:dyDescent="0.25">
      <c r="A4786" t="str">
        <f>"20190303170909586"</f>
        <v>20190303170909586</v>
      </c>
      <c r="B4786" t="str">
        <f>"1551604149578981"</f>
        <v>1551604149578981</v>
      </c>
      <c r="C4786" t="s">
        <v>40</v>
      </c>
      <c r="D4786">
        <v>5.0178789999999998</v>
      </c>
      <c r="E4786">
        <v>0.46928310000000001</v>
      </c>
      <c r="F4786" t="s">
        <v>112</v>
      </c>
      <c r="G4786">
        <v>-239.01060000000001</v>
      </c>
      <c r="H4786" s="1">
        <v>-3.1000700000000002E-6</v>
      </c>
      <c r="I4786">
        <v>-61.313540000000003</v>
      </c>
      <c r="J4786">
        <v>-278.67169999999999</v>
      </c>
      <c r="K4786">
        <v>1.1240410000000001</v>
      </c>
      <c r="L4786">
        <v>-65.004909999999995</v>
      </c>
      <c r="M4786">
        <v>0.99958060000000004</v>
      </c>
      <c r="N4786">
        <v>-1.3050300000000001E-2</v>
      </c>
      <c r="O4786">
        <v>-2.585809E-2</v>
      </c>
      <c r="P4786">
        <v>0.97992460000000003</v>
      </c>
      <c r="Q4786">
        <v>0.19934350000000001</v>
      </c>
      <c r="R4786">
        <v>3.192687E-3</v>
      </c>
      <c r="S4786">
        <v>3.078522</v>
      </c>
      <c r="T4786">
        <v>-8.693302E-2</v>
      </c>
      <c r="U4786">
        <v>0.28530879999999997</v>
      </c>
      <c r="V4786">
        <v>-2.9999049999999999E-2</v>
      </c>
      <c r="W4786">
        <v>0.21190719999999999</v>
      </c>
      <c r="X4786">
        <v>0.97682919999999995</v>
      </c>
      <c r="Y4786">
        <v>-0.11792950000000001</v>
      </c>
      <c r="Z4786">
        <v>2.8246069999999998E-3</v>
      </c>
      <c r="AA4786">
        <v>0.99301799999999996</v>
      </c>
      <c r="AB4786">
        <v>27</v>
      </c>
      <c r="AC4786">
        <v>39.661099999999898</v>
      </c>
      <c r="AD4786">
        <v>-1.1240441000700001</v>
      </c>
      <c r="AE4786">
        <v>3.6913699999999898</v>
      </c>
      <c r="AF4786">
        <v>-4.71203063593628</v>
      </c>
      <c r="AG4786">
        <v>-1.1240441000700001</v>
      </c>
      <c r="AH4786">
        <v>39.520904568474897</v>
      </c>
      <c r="AI4786">
        <v>91.617702134950903</v>
      </c>
      <c r="AJ4786">
        <v>96.7992110657963</v>
      </c>
      <c r="AK4786">
        <v>39.816687528766202</v>
      </c>
      <c r="AL4786">
        <v>77.7658568245879</v>
      </c>
      <c r="AM4786">
        <v>91.759037194753205</v>
      </c>
      <c r="AN4786">
        <v>0.99999994519268898</v>
      </c>
    </row>
    <row r="4787" spans="1:40" x14ac:dyDescent="0.25">
      <c r="A4787" t="str">
        <f>"20190303170909597"</f>
        <v>20190303170909597</v>
      </c>
      <c r="B4787" t="str">
        <f>"1551604149588741"</f>
        <v>1551604149588741</v>
      </c>
      <c r="C4787" t="s">
        <v>40</v>
      </c>
      <c r="D4787">
        <v>5.2204030000000001</v>
      </c>
      <c r="E4787">
        <v>0.46951739999999997</v>
      </c>
      <c r="F4787" t="s">
        <v>112</v>
      </c>
      <c r="G4787">
        <v>-239.1353</v>
      </c>
      <c r="H4787" s="1">
        <v>-3.1516079999999998E-6</v>
      </c>
      <c r="I4787">
        <v>-61.335070000000002</v>
      </c>
      <c r="J4787">
        <v>-278.54590000000002</v>
      </c>
      <c r="K4787">
        <v>1.12395</v>
      </c>
      <c r="L4787">
        <v>-65.006230000000002</v>
      </c>
      <c r="M4787">
        <v>0.99962479999999998</v>
      </c>
      <c r="N4787">
        <v>-1.2981660000000001E-2</v>
      </c>
      <c r="O4787">
        <v>-2.412311E-2</v>
      </c>
      <c r="P4787">
        <v>0.97989689999999996</v>
      </c>
      <c r="Q4787">
        <v>0.19947380000000001</v>
      </c>
      <c r="R4787">
        <v>3.5098830000000001E-3</v>
      </c>
      <c r="S4787">
        <v>3.0783689999999999</v>
      </c>
      <c r="T4787">
        <v>-8.7519879999999994E-2</v>
      </c>
      <c r="U4787">
        <v>0.28573609999999999</v>
      </c>
      <c r="V4787">
        <v>-2.857227E-2</v>
      </c>
      <c r="W4787">
        <v>0.21198600000000001</v>
      </c>
      <c r="X4787">
        <v>0.97685489999999997</v>
      </c>
      <c r="Y4787">
        <v>-0.1163474</v>
      </c>
      <c r="Z4787">
        <v>2.7790649999999998E-3</v>
      </c>
      <c r="AA4787">
        <v>0.99320469999999905</v>
      </c>
      <c r="AB4787">
        <v>27</v>
      </c>
      <c r="AC4787">
        <v>39.410600000000002</v>
      </c>
      <c r="AD4787">
        <v>-1.1239531516079999</v>
      </c>
      <c r="AE4787">
        <v>3.67116</v>
      </c>
      <c r="AF4787">
        <v>-4.6171547675502103</v>
      </c>
      <c r="AG4787">
        <v>-1.1239531516079999</v>
      </c>
      <c r="AH4787">
        <v>39.278890019683097</v>
      </c>
      <c r="AI4787">
        <v>91.627851783803493</v>
      </c>
      <c r="AJ4787">
        <v>96.704238291520099</v>
      </c>
      <c r="AK4787">
        <v>39.565295272661402</v>
      </c>
      <c r="AL4787">
        <v>77.761237233237395</v>
      </c>
      <c r="AM4787">
        <v>91.675380728097807</v>
      </c>
      <c r="AN4787">
        <v>0.99999996723147999</v>
      </c>
    </row>
    <row r="4788" spans="1:40" x14ac:dyDescent="0.25">
      <c r="A4788" t="str">
        <f>"20190303170909607"</f>
        <v>20190303170909607</v>
      </c>
      <c r="B4788" t="str">
        <f>"1551604149598501"</f>
        <v>1551604149598501</v>
      </c>
      <c r="C4788" t="s">
        <v>40</v>
      </c>
      <c r="D4788">
        <v>4.9883449999999998</v>
      </c>
      <c r="E4788">
        <v>0.46984730000000002</v>
      </c>
      <c r="F4788" t="s">
        <v>112</v>
      </c>
      <c r="G4788">
        <v>-239.21729999999999</v>
      </c>
      <c r="H4788" s="1">
        <v>-3.1841309999999999E-6</v>
      </c>
      <c r="I4788">
        <v>-61.361150000000002</v>
      </c>
      <c r="J4788">
        <v>-278.42509999999999</v>
      </c>
      <c r="K4788">
        <v>1.123864</v>
      </c>
      <c r="L4788">
        <v>-65.007450000000006</v>
      </c>
      <c r="M4788">
        <v>0.99966410000000006</v>
      </c>
      <c r="N4788">
        <v>-1.291553E-2</v>
      </c>
      <c r="O4788">
        <v>-2.24718E-2</v>
      </c>
      <c r="P4788">
        <v>0.9799061</v>
      </c>
      <c r="Q4788">
        <v>0.19943130000000001</v>
      </c>
      <c r="R4788">
        <v>3.3762219999999999E-3</v>
      </c>
      <c r="S4788">
        <v>3.0783999999999998</v>
      </c>
      <c r="T4788">
        <v>-8.7975860000000003E-2</v>
      </c>
      <c r="U4788">
        <v>0.28530879999999997</v>
      </c>
      <c r="V4788">
        <v>-2.6778960000000001E-2</v>
      </c>
      <c r="W4788">
        <v>0.21189649999999999</v>
      </c>
      <c r="X4788">
        <v>0.97692509999999999</v>
      </c>
      <c r="Y4788">
        <v>-0.11456959999999999</v>
      </c>
      <c r="Z4788">
        <v>2.726268E-3</v>
      </c>
      <c r="AA4788">
        <v>0.9934115</v>
      </c>
      <c r="AB4788">
        <v>27</v>
      </c>
      <c r="AC4788">
        <v>39.207799999999899</v>
      </c>
      <c r="AD4788">
        <v>-1.123867184131</v>
      </c>
      <c r="AE4788">
        <v>3.6463000000000001</v>
      </c>
      <c r="AF4788">
        <v>-4.5228380522956799</v>
      </c>
      <c r="AG4788">
        <v>-1.123867184131</v>
      </c>
      <c r="AH4788">
        <v>39.084113766995401</v>
      </c>
      <c r="AI4788">
        <v>91.636178570058902</v>
      </c>
      <c r="AJ4788">
        <v>96.600942885825603</v>
      </c>
      <c r="AK4788">
        <v>39.360984368360299</v>
      </c>
      <c r="AL4788">
        <v>77.766484135308602</v>
      </c>
      <c r="AM4788">
        <v>91.570168757186195</v>
      </c>
      <c r="AN4788">
        <v>0.99999994521046898</v>
      </c>
    </row>
    <row r="4789" spans="1:40" x14ac:dyDescent="0.25">
      <c r="A4789" t="str">
        <f>"20190303170909618"</f>
        <v>20190303170909618</v>
      </c>
      <c r="B4789" t="str">
        <f>"1551604149608262"</f>
        <v>1551604149608262</v>
      </c>
      <c r="C4789" t="s">
        <v>40</v>
      </c>
      <c r="D4789">
        <v>4.9713329999999996</v>
      </c>
      <c r="E4789">
        <v>0.46984730000000002</v>
      </c>
      <c r="F4789" t="s">
        <v>112</v>
      </c>
      <c r="G4789">
        <v>-239.2534</v>
      </c>
      <c r="H4789" s="1">
        <v>-3.204886E-6</v>
      </c>
      <c r="I4789">
        <v>-61.408900000000003</v>
      </c>
      <c r="J4789">
        <v>-278.29610000000002</v>
      </c>
      <c r="K4789">
        <v>1.1237760000000001</v>
      </c>
      <c r="L4789">
        <v>-65.008449999999996</v>
      </c>
      <c r="M4789">
        <v>0.99970130000000001</v>
      </c>
      <c r="N4789">
        <v>-1.2840259999999999E-2</v>
      </c>
      <c r="O4789">
        <v>-2.0797449999999999E-2</v>
      </c>
      <c r="P4789">
        <v>0.97993249999999998</v>
      </c>
      <c r="Q4789">
        <v>0.19929620000000001</v>
      </c>
      <c r="R4789">
        <v>3.6409659999999998E-3</v>
      </c>
      <c r="S4789">
        <v>3.078522</v>
      </c>
      <c r="T4789">
        <v>-8.8325020000000004E-2</v>
      </c>
      <c r="U4789">
        <v>0.28280640000000001</v>
      </c>
      <c r="V4789">
        <v>-2.5361559999999998E-2</v>
      </c>
      <c r="W4789">
        <v>0.21170269999999999</v>
      </c>
      <c r="X4789">
        <v>0.97700500000000001</v>
      </c>
      <c r="Y4789">
        <v>-0.1121024</v>
      </c>
      <c r="Z4789">
        <v>2.6549220000000001E-3</v>
      </c>
      <c r="AA4789">
        <v>0.9936931</v>
      </c>
      <c r="AB4789">
        <v>27</v>
      </c>
      <c r="AC4789">
        <v>39.042700000000004</v>
      </c>
      <c r="AD4789">
        <v>-1.123779204886</v>
      </c>
      <c r="AE4789">
        <v>3.59954999999999</v>
      </c>
      <c r="AF4789">
        <v>-4.4072063212289496</v>
      </c>
      <c r="AG4789">
        <v>-1.123779204886</v>
      </c>
      <c r="AH4789">
        <v>38.927407638900398</v>
      </c>
      <c r="AI4789">
        <v>91.643097695561195</v>
      </c>
      <c r="AJ4789">
        <v>96.459295924501006</v>
      </c>
      <c r="AK4789">
        <v>39.192211123440501</v>
      </c>
      <c r="AL4789">
        <v>77.777846573297396</v>
      </c>
      <c r="AM4789">
        <v>91.486977131773301</v>
      </c>
      <c r="AN4789">
        <v>1.00000000596896</v>
      </c>
    </row>
    <row r="4790" spans="1:40" x14ac:dyDescent="0.25">
      <c r="A4790" t="str">
        <f>"20190303170909630"</f>
        <v>20190303170909630</v>
      </c>
      <c r="B4790" t="str">
        <f>"1551604149618998"</f>
        <v>1551604149618998</v>
      </c>
      <c r="C4790" t="s">
        <v>40</v>
      </c>
      <c r="D4790">
        <v>5.0204469999999999</v>
      </c>
      <c r="E4790">
        <v>0.47012290000000001</v>
      </c>
      <c r="F4790" t="s">
        <v>112</v>
      </c>
      <c r="G4790">
        <v>-239.18639999999999</v>
      </c>
      <c r="H4790" s="1">
        <v>-3.179759E-6</v>
      </c>
      <c r="I4790">
        <v>-61.395659999999999</v>
      </c>
      <c r="J4790">
        <v>-278.15989999999999</v>
      </c>
      <c r="K4790">
        <v>1.123686</v>
      </c>
      <c r="L4790">
        <v>-65.009460000000004</v>
      </c>
      <c r="M4790">
        <v>0.99973730000000005</v>
      </c>
      <c r="N4790">
        <v>-1.275955E-2</v>
      </c>
      <c r="O4790">
        <v>-1.9048010000000001E-2</v>
      </c>
      <c r="P4790">
        <v>0.98001450000000001</v>
      </c>
      <c r="Q4790">
        <v>0.1988885</v>
      </c>
      <c r="R4790">
        <v>3.8737099999999998E-3</v>
      </c>
      <c r="S4790">
        <v>3.0783689999999999</v>
      </c>
      <c r="T4790">
        <v>-8.8453889999999993E-2</v>
      </c>
      <c r="U4790">
        <v>0.28436280000000003</v>
      </c>
      <c r="V4790">
        <v>-2.3835950000000002E-2</v>
      </c>
      <c r="W4790">
        <v>0.2112319</v>
      </c>
      <c r="X4790">
        <v>0.97714529999999999</v>
      </c>
      <c r="Y4790">
        <v>-0.1108669</v>
      </c>
      <c r="Z4790">
        <v>2.6018410000000001E-3</v>
      </c>
      <c r="AA4790">
        <v>0.99383189999999999</v>
      </c>
      <c r="AB4790">
        <v>27</v>
      </c>
      <c r="AC4790">
        <v>38.973500000000001</v>
      </c>
      <c r="AD4790">
        <v>-1.1236891797589901</v>
      </c>
      <c r="AE4790">
        <v>3.6137999999999999</v>
      </c>
      <c r="AF4790">
        <v>-4.35198525597617</v>
      </c>
      <c r="AG4790">
        <v>-1.1236891797589901</v>
      </c>
      <c r="AH4790">
        <v>38.8655533984276</v>
      </c>
      <c r="AI4790">
        <v>91.645806357475195</v>
      </c>
      <c r="AJ4790">
        <v>96.389102375906702</v>
      </c>
      <c r="AK4790">
        <v>39.124591934063297</v>
      </c>
      <c r="AL4790">
        <v>77.805445535383896</v>
      </c>
      <c r="AM4790">
        <v>91.397364905861707</v>
      </c>
      <c r="AN4790">
        <v>1.0000000027010501</v>
      </c>
    </row>
    <row r="4791" spans="1:40" x14ac:dyDescent="0.25">
      <c r="A4791" t="str">
        <f>"20190303170909643"</f>
        <v>20190303170909643</v>
      </c>
      <c r="B4791" t="str">
        <f>"1551604149628757"</f>
        <v>1551604149628757</v>
      </c>
      <c r="C4791" t="s">
        <v>40</v>
      </c>
      <c r="D4791">
        <v>4.9864829999999998</v>
      </c>
      <c r="E4791">
        <v>0.4703097</v>
      </c>
      <c r="F4791" t="s">
        <v>112</v>
      </c>
      <c r="G4791">
        <v>-239.9633</v>
      </c>
      <c r="H4791" s="1">
        <v>-3.4623849999999999E-6</v>
      </c>
      <c r="I4791">
        <v>-61.498539999999998</v>
      </c>
      <c r="J4791">
        <v>-278.00630000000001</v>
      </c>
      <c r="K4791">
        <v>1.1235900000000001</v>
      </c>
      <c r="L4791">
        <v>-65.010279999999995</v>
      </c>
      <c r="M4791">
        <v>0.99977269999999896</v>
      </c>
      <c r="N4791">
        <v>-1.266027E-2</v>
      </c>
      <c r="O4791">
        <v>-1.715991E-2</v>
      </c>
      <c r="P4791">
        <v>0.98003640000000003</v>
      </c>
      <c r="Q4791">
        <v>0.19876969999999999</v>
      </c>
      <c r="R4791">
        <v>4.4062009999999898E-3</v>
      </c>
      <c r="S4791">
        <v>3.0784609999999999</v>
      </c>
      <c r="T4791">
        <v>-9.0563770000000002E-2</v>
      </c>
      <c r="U4791">
        <v>0.28295900000000002</v>
      </c>
      <c r="V4791">
        <v>-2.2474520000000001E-2</v>
      </c>
      <c r="W4791">
        <v>0.2110292</v>
      </c>
      <c r="X4791">
        <v>0.97722140000000002</v>
      </c>
      <c r="Y4791">
        <v>-0.10853649999999999</v>
      </c>
      <c r="Z4791">
        <v>2.5685170000000002E-3</v>
      </c>
      <c r="AA4791">
        <v>0.99408909999999995</v>
      </c>
      <c r="AB4791">
        <v>27</v>
      </c>
      <c r="AC4791">
        <v>38.042999999999999</v>
      </c>
      <c r="AD4791">
        <v>-1.1235934623849999</v>
      </c>
      <c r="AE4791">
        <v>3.5117400000000001</v>
      </c>
      <c r="AF4791">
        <v>-4.1604909989233096</v>
      </c>
      <c r="AG4791">
        <v>-1.1235934623849999</v>
      </c>
      <c r="AH4791">
        <v>37.944312208959097</v>
      </c>
      <c r="AI4791">
        <v>91.686027596978093</v>
      </c>
      <c r="AJ4791">
        <v>96.257330525063594</v>
      </c>
      <c r="AK4791">
        <v>38.188257051504699</v>
      </c>
      <c r="AL4791">
        <v>77.817327763630999</v>
      </c>
      <c r="AM4791">
        <v>91.317478498519506</v>
      </c>
      <c r="AN4791">
        <v>1.0000000459599101</v>
      </c>
    </row>
    <row r="4792" spans="1:40" x14ac:dyDescent="0.25">
      <c r="A4792" t="str">
        <f>"20190303170909659"</f>
        <v>20190303170909659</v>
      </c>
      <c r="B4792" t="str">
        <f>"1551604149648277"</f>
        <v>1551604149648277</v>
      </c>
      <c r="C4792" t="s">
        <v>40</v>
      </c>
      <c r="D4792">
        <v>5.0008249999999999</v>
      </c>
      <c r="E4792">
        <v>0.47071659999999999</v>
      </c>
      <c r="F4792" t="s">
        <v>112</v>
      </c>
      <c r="G4792">
        <v>-239.8887</v>
      </c>
      <c r="H4792" s="1">
        <v>-3.4375900000000001E-6</v>
      </c>
      <c r="I4792">
        <v>-61.50188</v>
      </c>
      <c r="J4792">
        <v>-277.82389999999998</v>
      </c>
      <c r="K4792">
        <v>1.1234869999999999</v>
      </c>
      <c r="L4792">
        <v>-65.010990000000007</v>
      </c>
      <c r="M4792">
        <v>0.99980930000000001</v>
      </c>
      <c r="N4792">
        <v>-1.2539109999999999E-2</v>
      </c>
      <c r="O4792">
        <v>-1.4975550000000001E-2</v>
      </c>
      <c r="P4792">
        <v>0.98010459999999999</v>
      </c>
      <c r="Q4792">
        <v>0.19841200000000001</v>
      </c>
      <c r="R4792">
        <v>5.3025850000000003E-3</v>
      </c>
      <c r="S4792">
        <v>3.0782780000000001</v>
      </c>
      <c r="T4792">
        <v>-9.0738529999999998E-2</v>
      </c>
      <c r="U4792">
        <v>0.2833252</v>
      </c>
      <c r="V4792">
        <v>-2.1182650000000001E-2</v>
      </c>
      <c r="W4792">
        <v>0.21056630000000001</v>
      </c>
      <c r="X4792">
        <v>0.9773501</v>
      </c>
      <c r="Y4792">
        <v>-0.1064885</v>
      </c>
      <c r="Z4792">
        <v>2.4882419999999999E-3</v>
      </c>
      <c r="AA4792">
        <v>0.99431080000000005</v>
      </c>
      <c r="AB4792">
        <v>27</v>
      </c>
      <c r="AC4792">
        <v>37.935199999999902</v>
      </c>
      <c r="AD4792">
        <v>-1.1234904375899999</v>
      </c>
      <c r="AE4792">
        <v>3.5091100000000002</v>
      </c>
      <c r="AF4792">
        <v>-4.0733191034011504</v>
      </c>
      <c r="AG4792">
        <v>-1.1234904375899999</v>
      </c>
      <c r="AH4792">
        <v>37.845477290413299</v>
      </c>
      <c r="AI4792">
        <v>91.690639151668407</v>
      </c>
      <c r="AJ4792">
        <v>96.143112135625401</v>
      </c>
      <c r="AK4792">
        <v>38.0806290733317</v>
      </c>
      <c r="AL4792">
        <v>77.8444596244656</v>
      </c>
      <c r="AM4792">
        <v>91.241608773356901</v>
      </c>
      <c r="AN4792">
        <v>1.0000000446633599</v>
      </c>
    </row>
    <row r="4793" spans="1:40" x14ac:dyDescent="0.25">
      <c r="A4793" t="str">
        <f>"20190303170909674"</f>
        <v>20190303170909674</v>
      </c>
      <c r="B4793" t="str">
        <f>"1551604149668774"</f>
        <v>1551604149668774</v>
      </c>
      <c r="C4793" t="s">
        <v>40</v>
      </c>
      <c r="D4793">
        <v>5.1539270000000004</v>
      </c>
      <c r="E4793">
        <v>0.47094059999999999</v>
      </c>
      <c r="F4793" t="s">
        <v>113</v>
      </c>
      <c r="G4793">
        <v>-240.53290000000001</v>
      </c>
      <c r="H4793" s="1">
        <v>4.6552419999999999E-7</v>
      </c>
      <c r="I4793">
        <v>-61.581479999999999</v>
      </c>
      <c r="J4793">
        <v>-277.63659999999999</v>
      </c>
      <c r="K4793">
        <v>1.1233919999999999</v>
      </c>
      <c r="L4793">
        <v>-65.011439999999993</v>
      </c>
      <c r="M4793">
        <v>0.99984130000000004</v>
      </c>
      <c r="N4793">
        <v>-1.2411709999999999E-2</v>
      </c>
      <c r="O4793">
        <v>-1.2789180000000001E-2</v>
      </c>
      <c r="P4793">
        <v>0.98014460000000003</v>
      </c>
      <c r="Q4793">
        <v>0.1982294</v>
      </c>
      <c r="R4793">
        <v>4.6631260000000001E-3</v>
      </c>
      <c r="S4793">
        <v>3.0781559999999999</v>
      </c>
      <c r="T4793">
        <v>-9.2737319999999998E-2</v>
      </c>
      <c r="U4793">
        <v>0.28308109999999997</v>
      </c>
      <c r="V4793">
        <v>-1.835908E-2</v>
      </c>
      <c r="W4793">
        <v>0.21027960000000001</v>
      </c>
      <c r="X4793">
        <v>0.97746889999999997</v>
      </c>
      <c r="Y4793">
        <v>-0.1042386</v>
      </c>
      <c r="Z4793">
        <v>2.4411429999999998E-3</v>
      </c>
      <c r="AA4793">
        <v>0.99454929999999997</v>
      </c>
      <c r="AB4793">
        <v>27</v>
      </c>
      <c r="AC4793">
        <v>37.103699999999897</v>
      </c>
      <c r="AD4793">
        <v>-1.1233915344758001</v>
      </c>
      <c r="AE4793">
        <v>3.4299599999999999</v>
      </c>
      <c r="AF4793">
        <v>-3.9006963586881298</v>
      </c>
      <c r="AG4793">
        <v>-1.1233915344758001</v>
      </c>
      <c r="AH4793">
        <v>37.023143670017497</v>
      </c>
      <c r="AI4793">
        <v>91.728429149284196</v>
      </c>
      <c r="AJ4793">
        <v>96.014398753908097</v>
      </c>
      <c r="AK4793">
        <v>37.245007824313497</v>
      </c>
      <c r="AL4793">
        <v>77.861262084424098</v>
      </c>
      <c r="AM4793">
        <v>91.076018001222096</v>
      </c>
      <c r="AN4793">
        <v>1.0000000082309</v>
      </c>
    </row>
    <row r="4794" spans="1:40" x14ac:dyDescent="0.25">
      <c r="A4794" t="str">
        <f>"20190303170909700"</f>
        <v>20190303170909700</v>
      </c>
      <c r="B4794" t="str">
        <f>"1551604149688293"</f>
        <v>1551604149688293</v>
      </c>
      <c r="C4794" t="s">
        <v>40</v>
      </c>
      <c r="D4794">
        <v>4.7192379999999998</v>
      </c>
      <c r="E4794">
        <v>0.47115119999999999</v>
      </c>
      <c r="F4794" t="s">
        <v>113</v>
      </c>
      <c r="G4794">
        <v>-240.6474</v>
      </c>
      <c r="H4794" s="1">
        <v>3.9995809999999998E-7</v>
      </c>
      <c r="I4794">
        <v>-61.643270000000001</v>
      </c>
      <c r="J4794">
        <v>-277.3383</v>
      </c>
      <c r="K4794">
        <v>1.1232740000000001</v>
      </c>
      <c r="L4794">
        <v>-65.011380000000003</v>
      </c>
      <c r="M4794">
        <v>0.99988140000000003</v>
      </c>
      <c r="N4794">
        <v>-1.220122E-2</v>
      </c>
      <c r="O4794">
        <v>-9.4118970000000007E-3</v>
      </c>
      <c r="P4794">
        <v>0.9801472</v>
      </c>
      <c r="Q4794">
        <v>0.1982013</v>
      </c>
      <c r="R4794">
        <v>5.2839209999999996E-3</v>
      </c>
      <c r="S4794">
        <v>3.0783390000000002</v>
      </c>
      <c r="T4794">
        <v>-9.3491669999999999E-2</v>
      </c>
      <c r="U4794">
        <v>0.280304</v>
      </c>
      <c r="V4794">
        <v>-1.562145E-2</v>
      </c>
      <c r="W4794">
        <v>0.21006469999999999</v>
      </c>
      <c r="X4794">
        <v>0.97756270000000001</v>
      </c>
      <c r="Y4794">
        <v>-9.9985760000000007E-2</v>
      </c>
      <c r="Z4794">
        <v>2.2969370000000002E-3</v>
      </c>
      <c r="AA4794">
        <v>0.99498620000000004</v>
      </c>
      <c r="AB4794">
        <v>27</v>
      </c>
      <c r="AC4794">
        <v>36.690899999999999</v>
      </c>
      <c r="AD4794">
        <v>-1.1232736000418999</v>
      </c>
      <c r="AE4794">
        <v>3.3681100000000002</v>
      </c>
      <c r="AF4794">
        <v>-3.7098694162157302</v>
      </c>
      <c r="AG4794">
        <v>-1.1232736000418999</v>
      </c>
      <c r="AH4794">
        <v>36.623533461891803</v>
      </c>
      <c r="AI4794">
        <v>91.747818649003705</v>
      </c>
      <c r="AJ4794">
        <v>95.784184273289</v>
      </c>
      <c r="AK4794">
        <v>36.828088165152302</v>
      </c>
      <c r="AL4794">
        <v>77.873856392422397</v>
      </c>
      <c r="AM4794">
        <v>90.915508519680301</v>
      </c>
      <c r="AN4794">
        <v>1.00000002015874</v>
      </c>
    </row>
    <row r="4795" spans="1:40" x14ac:dyDescent="0.25">
      <c r="A4795" t="str">
        <f>"20190303170909711"</f>
        <v>20190303170909711</v>
      </c>
      <c r="B4795" t="str">
        <f>"1551604149699029"</f>
        <v>1551604149699029</v>
      </c>
      <c r="C4795" t="s">
        <v>40</v>
      </c>
      <c r="D4795">
        <v>4.9888750000000002</v>
      </c>
      <c r="E4795">
        <v>0.47115119999999999</v>
      </c>
      <c r="F4795" t="s">
        <v>113</v>
      </c>
      <c r="G4795">
        <v>-240.34520000000001</v>
      </c>
      <c r="H4795" s="1">
        <v>5.3405240000000002E-7</v>
      </c>
      <c r="I4795">
        <v>-61.6265199999999</v>
      </c>
      <c r="J4795">
        <v>-277.19819999999999</v>
      </c>
      <c r="K4795">
        <v>1.1232260000000001</v>
      </c>
      <c r="L4795">
        <v>-65.011080000000007</v>
      </c>
      <c r="M4795">
        <v>0.99989600000000001</v>
      </c>
      <c r="N4795">
        <v>-1.209784E-2</v>
      </c>
      <c r="O4795">
        <v>-7.8526029999999997E-3</v>
      </c>
      <c r="P4795">
        <v>0.98008729999999999</v>
      </c>
      <c r="Q4795">
        <v>0.19849559999999999</v>
      </c>
      <c r="R4795">
        <v>5.3162849999999996E-3</v>
      </c>
      <c r="S4795">
        <v>3.0781559999999999</v>
      </c>
      <c r="T4795">
        <v>-9.3466519999999997E-2</v>
      </c>
      <c r="U4795">
        <v>0.28164670000000003</v>
      </c>
      <c r="V4795">
        <v>-1.410959E-2</v>
      </c>
      <c r="W4795">
        <v>0.2102666</v>
      </c>
      <c r="X4795">
        <v>0.97754229999999998</v>
      </c>
      <c r="Y4795">
        <v>-9.8870979999999997E-2</v>
      </c>
      <c r="Z4795">
        <v>2.2402569999999998E-3</v>
      </c>
      <c r="AA4795">
        <v>0.99509780000000003</v>
      </c>
      <c r="AB4795">
        <v>27</v>
      </c>
      <c r="AC4795">
        <v>36.852999999999902</v>
      </c>
      <c r="AD4795">
        <v>-1.1232254659476</v>
      </c>
      <c r="AE4795">
        <v>3.3845600000000098</v>
      </c>
      <c r="AF4795">
        <v>-3.67048763622293</v>
      </c>
      <c r="AG4795">
        <v>-1.1232254659476</v>
      </c>
      <c r="AH4795">
        <v>36.791392842372296</v>
      </c>
      <c r="AI4795">
        <v>91.740039917795201</v>
      </c>
      <c r="AJ4795">
        <v>95.697252887298802</v>
      </c>
      <c r="AK4795">
        <v>36.991089497563898</v>
      </c>
      <c r="AL4795">
        <v>77.862024304658703</v>
      </c>
      <c r="AM4795">
        <v>90.826934879997296</v>
      </c>
      <c r="AN4795">
        <v>1.0000000359473999</v>
      </c>
    </row>
    <row r="4796" spans="1:40" x14ac:dyDescent="0.25">
      <c r="A4796" t="str">
        <f>"20190303170909722"</f>
        <v>20190303170909722</v>
      </c>
      <c r="B4796" t="str">
        <f>"1551604149708789"</f>
        <v>1551604149708789</v>
      </c>
      <c r="C4796" t="s">
        <v>40</v>
      </c>
      <c r="D4796">
        <v>5.001563</v>
      </c>
      <c r="E4796">
        <v>0.47140110000000002</v>
      </c>
      <c r="F4796" t="s">
        <v>112</v>
      </c>
      <c r="G4796">
        <v>-239.7587</v>
      </c>
      <c r="H4796" s="1">
        <v>-3.406833E-6</v>
      </c>
      <c r="I4796">
        <v>-61.5779</v>
      </c>
      <c r="J4796">
        <v>-277.06990000000002</v>
      </c>
      <c r="K4796">
        <v>1.123194</v>
      </c>
      <c r="L4796">
        <v>-65.010589999999993</v>
      </c>
      <c r="M4796">
        <v>0.99990730000000005</v>
      </c>
      <c r="N4796">
        <v>-1.199683E-2</v>
      </c>
      <c r="O4796">
        <v>-6.4417429999999998E-3</v>
      </c>
      <c r="P4796">
        <v>0.98003600000000002</v>
      </c>
      <c r="Q4796">
        <v>0.1987419</v>
      </c>
      <c r="R4796">
        <v>5.5812300000000004E-3</v>
      </c>
      <c r="S4796">
        <v>3.078125</v>
      </c>
      <c r="T4796">
        <v>-9.2347380000000007E-2</v>
      </c>
      <c r="U4796">
        <v>0.28225709999999998</v>
      </c>
      <c r="V4796">
        <v>-1.298204E-2</v>
      </c>
      <c r="W4796">
        <v>0.21041989999999999</v>
      </c>
      <c r="X4796">
        <v>0.97752490000000003</v>
      </c>
      <c r="Y4796">
        <v>-9.7665849999999998E-2</v>
      </c>
      <c r="Z4796">
        <v>2.1646429999999999E-3</v>
      </c>
      <c r="AA4796">
        <v>0.99521689999999996</v>
      </c>
      <c r="AB4796">
        <v>27</v>
      </c>
      <c r="AC4796">
        <v>37.311199999999999</v>
      </c>
      <c r="AD4796">
        <v>-1.123197406833</v>
      </c>
      <c r="AE4796">
        <v>3.43269</v>
      </c>
      <c r="AF4796">
        <v>-3.6696875903433801</v>
      </c>
      <c r="AG4796">
        <v>-1.123197406833</v>
      </c>
      <c r="AH4796">
        <v>37.254833930187402</v>
      </c>
      <c r="AI4796">
        <v>91.718577262494406</v>
      </c>
      <c r="AJ4796">
        <v>95.625619493614906</v>
      </c>
      <c r="AK4796">
        <v>37.451980329366897</v>
      </c>
      <c r="AL4796">
        <v>77.8530394014319</v>
      </c>
      <c r="AM4796">
        <v>90.760873075042099</v>
      </c>
      <c r="AN4796">
        <v>0.99999999889929003</v>
      </c>
    </row>
    <row r="4797" spans="1:40" x14ac:dyDescent="0.25">
      <c r="A4797" t="str">
        <f>"20190303170909734"</f>
        <v>20190303170909734</v>
      </c>
      <c r="B4797" t="str">
        <f>"1551604149718549"</f>
        <v>1551604149718549</v>
      </c>
      <c r="C4797" t="s">
        <v>40</v>
      </c>
      <c r="D4797">
        <v>4.9783739999999996</v>
      </c>
      <c r="E4797">
        <v>0.47156609999999999</v>
      </c>
      <c r="F4797" t="s">
        <v>112</v>
      </c>
      <c r="G4797">
        <v>-239.39519999999999</v>
      </c>
      <c r="H4797" s="1">
        <v>-3.2802360000000001E-6</v>
      </c>
      <c r="I4797">
        <v>-61.561450000000001</v>
      </c>
      <c r="J4797">
        <v>-276.92919999999998</v>
      </c>
      <c r="K4797">
        <v>1.123165</v>
      </c>
      <c r="L4797">
        <v>-65.009889999999999</v>
      </c>
      <c r="M4797">
        <v>0.99991750000000001</v>
      </c>
      <c r="N4797">
        <v>-1.188498E-2</v>
      </c>
      <c r="O4797">
        <v>-4.899703E-3</v>
      </c>
      <c r="P4797">
        <v>0.98003790000000002</v>
      </c>
      <c r="Q4797">
        <v>0.19873209999999999</v>
      </c>
      <c r="R4797">
        <v>5.6017659999999898E-3</v>
      </c>
      <c r="S4797">
        <v>3.078125</v>
      </c>
      <c r="T4797">
        <v>-9.1768379999999997E-2</v>
      </c>
      <c r="U4797">
        <v>0.28179929999999997</v>
      </c>
      <c r="V4797">
        <v>-1.148186E-2</v>
      </c>
      <c r="W4797">
        <v>0.21030950000000001</v>
      </c>
      <c r="X4797">
        <v>0.97756739999999998</v>
      </c>
      <c r="Y4797">
        <v>-9.5986249999999995E-2</v>
      </c>
      <c r="Z4797">
        <v>2.0869500000000002E-3</v>
      </c>
      <c r="AA4797">
        <v>0.9953805</v>
      </c>
      <c r="AB4797">
        <v>27</v>
      </c>
      <c r="AC4797">
        <v>37.533999999999899</v>
      </c>
      <c r="AD4797">
        <v>-1.1231682802359999</v>
      </c>
      <c r="AE4797">
        <v>3.44843999999999</v>
      </c>
      <c r="AF4797">
        <v>-3.62909455675491</v>
      </c>
      <c r="AG4797">
        <v>-1.1231682802359999</v>
      </c>
      <c r="AH4797">
        <v>37.483368440666503</v>
      </c>
      <c r="AI4797">
        <v>91.708339161577697</v>
      </c>
      <c r="AJ4797">
        <v>95.530071892738306</v>
      </c>
      <c r="AK4797">
        <v>37.675386447206499</v>
      </c>
      <c r="AL4797">
        <v>77.859509286681899</v>
      </c>
      <c r="AM4797">
        <v>90.672927380882399</v>
      </c>
      <c r="AN4797">
        <v>0.99999997022103404</v>
      </c>
    </row>
    <row r="4798" spans="1:40" x14ac:dyDescent="0.25">
      <c r="A4798" t="str">
        <f>"20190303170909745"</f>
        <v>20190303170909745</v>
      </c>
      <c r="B4798" t="str">
        <f>"1551604149738070"</f>
        <v>1551604149738070</v>
      </c>
      <c r="C4798" t="s">
        <v>40</v>
      </c>
      <c r="D4798">
        <v>4.8576350000000001</v>
      </c>
      <c r="E4798">
        <v>0.47189550000000002</v>
      </c>
      <c r="F4798" t="s">
        <v>112</v>
      </c>
      <c r="G4798">
        <v>-238.83269999999999</v>
      </c>
      <c r="H4798" s="1">
        <v>-3.081498E-6</v>
      </c>
      <c r="I4798">
        <v>-61.53058</v>
      </c>
      <c r="J4798">
        <v>-276.77409999999998</v>
      </c>
      <c r="K4798">
        <v>1.12314</v>
      </c>
      <c r="L4798">
        <v>-65.00891</v>
      </c>
      <c r="M4798">
        <v>0.99992570000000003</v>
      </c>
      <c r="N4798">
        <v>-1.1759810000000001E-2</v>
      </c>
      <c r="O4798">
        <v>-3.209164E-3</v>
      </c>
      <c r="P4798">
        <v>0.97999599999999998</v>
      </c>
      <c r="Q4798">
        <v>0.19893259999999999</v>
      </c>
      <c r="R4798">
        <v>5.7982540000000001E-3</v>
      </c>
      <c r="S4798">
        <v>3.0779109999999998</v>
      </c>
      <c r="T4798">
        <v>-9.0743539999999998E-2</v>
      </c>
      <c r="U4798">
        <v>0.2810974</v>
      </c>
      <c r="V4798">
        <v>-1.001518E-2</v>
      </c>
      <c r="W4798">
        <v>0.2103952</v>
      </c>
      <c r="X4798">
        <v>0.97756509999999996</v>
      </c>
      <c r="Y4798">
        <v>-9.4087110000000002E-2</v>
      </c>
      <c r="Z4798">
        <v>1.9950699999999998E-3</v>
      </c>
      <c r="AA4798">
        <v>0.99556199999999995</v>
      </c>
      <c r="AB4798">
        <v>27</v>
      </c>
      <c r="AC4798">
        <v>37.941399999999902</v>
      </c>
      <c r="AD4798">
        <v>-1.1231430814979999</v>
      </c>
      <c r="AE4798">
        <v>3.4783299999999899</v>
      </c>
      <c r="AF4798">
        <v>-3.5969550076421699</v>
      </c>
      <c r="AG4798">
        <v>-1.1231430814979999</v>
      </c>
      <c r="AH4798">
        <v>37.8971095490122</v>
      </c>
      <c r="AI4798">
        <v>91.689967009048701</v>
      </c>
      <c r="AJ4798">
        <v>95.421912240466696</v>
      </c>
      <c r="AK4798">
        <v>38.083992016047297</v>
      </c>
      <c r="AL4798">
        <v>77.854486834699301</v>
      </c>
      <c r="AM4798">
        <v>90.586976222768001</v>
      </c>
      <c r="AN4798">
        <v>0.999999984375741</v>
      </c>
    </row>
    <row r="4799" spans="1:40" x14ac:dyDescent="0.25">
      <c r="A4799" t="str">
        <f>"20190303170909763"</f>
        <v>20190303170909763</v>
      </c>
      <c r="B4799" t="str">
        <f>"1551604149758565"</f>
        <v>1551604149758565</v>
      </c>
      <c r="C4799" t="s">
        <v>40</v>
      </c>
      <c r="D4799">
        <v>4.9870099999999997</v>
      </c>
      <c r="E4799">
        <v>0.47205209999999997</v>
      </c>
      <c r="F4799" t="s">
        <v>112</v>
      </c>
      <c r="G4799">
        <v>-238.38839999999999</v>
      </c>
      <c r="H4799" s="1">
        <v>-2.8898170000000001E-6</v>
      </c>
      <c r="I4799">
        <v>-61.526409999999998</v>
      </c>
      <c r="J4799">
        <v>-276.57499999999999</v>
      </c>
      <c r="K4799">
        <v>1.1231100000000001</v>
      </c>
      <c r="L4799">
        <v>-65.007199999999997</v>
      </c>
      <c r="M4799">
        <v>0.99993220000000005</v>
      </c>
      <c r="N4799">
        <v>-1.159906E-2</v>
      </c>
      <c r="O4799">
        <v>-1.042598E-3</v>
      </c>
      <c r="P4799">
        <v>0.97997990000000001</v>
      </c>
      <c r="Q4799">
        <v>0.1990122</v>
      </c>
      <c r="R4799">
        <v>5.7926509999999898E-3</v>
      </c>
      <c r="S4799">
        <v>3.0779109999999998</v>
      </c>
      <c r="T4799">
        <v>-9.0057970000000001E-2</v>
      </c>
      <c r="U4799">
        <v>0.27923579999999998</v>
      </c>
      <c r="V4799">
        <v>-7.8826920000000002E-3</v>
      </c>
      <c r="W4799">
        <v>0.2103286</v>
      </c>
      <c r="X4799">
        <v>0.977599</v>
      </c>
      <c r="Y4799">
        <v>-9.1335399999999997E-2</v>
      </c>
      <c r="Z4799">
        <v>1.8825230000000001E-3</v>
      </c>
      <c r="AA4799">
        <v>0.99581839999999999</v>
      </c>
      <c r="AB4799">
        <v>27</v>
      </c>
      <c r="AC4799">
        <v>38.186599999999999</v>
      </c>
      <c r="AD4799">
        <v>-1.123112889817</v>
      </c>
      <c r="AE4799">
        <v>3.4807899999999901</v>
      </c>
      <c r="AF4799">
        <v>-3.5175863584072999</v>
      </c>
      <c r="AG4799">
        <v>-1.123112889817</v>
      </c>
      <c r="AH4799">
        <v>38.150221262000798</v>
      </c>
      <c r="AI4799">
        <v>91.679137845667299</v>
      </c>
      <c r="AJ4799">
        <v>95.267980180547696</v>
      </c>
      <c r="AK4799">
        <v>38.328503475765203</v>
      </c>
      <c r="AL4799">
        <v>77.858390646522295</v>
      </c>
      <c r="AM4799">
        <v>90.461984100809303</v>
      </c>
      <c r="AN4799">
        <v>1.0000000308060599</v>
      </c>
    </row>
    <row r="4800" spans="1:40" x14ac:dyDescent="0.25">
      <c r="A4800" t="str">
        <f>"20190303170909774"</f>
        <v>20190303170909774</v>
      </c>
      <c r="B4800" t="str">
        <f>"1551604149768325"</f>
        <v>1551604149768325</v>
      </c>
      <c r="C4800" t="s">
        <v>40</v>
      </c>
      <c r="D4800">
        <v>5.0830380000000002</v>
      </c>
      <c r="E4800">
        <v>0.47291060000000001</v>
      </c>
      <c r="F4800" t="s">
        <v>112</v>
      </c>
      <c r="G4800">
        <v>-238.0128</v>
      </c>
      <c r="H4800" s="1">
        <v>-2.7244480000000002E-6</v>
      </c>
      <c r="I4800">
        <v>-61.510530000000003</v>
      </c>
      <c r="J4800">
        <v>-276.44080000000002</v>
      </c>
      <c r="K4800">
        <v>1.1230910000000001</v>
      </c>
      <c r="L4800">
        <v>-65.005859999999998</v>
      </c>
      <c r="M4800">
        <v>0.99993390000000004</v>
      </c>
      <c r="N4800">
        <v>-1.149028E-2</v>
      </c>
      <c r="O4800">
        <v>4.1891150000000001E-4</v>
      </c>
      <c r="P4800">
        <v>0.98005560000000003</v>
      </c>
      <c r="Q4800">
        <v>0.19862740000000001</v>
      </c>
      <c r="R4800">
        <v>6.1902270000000004E-3</v>
      </c>
      <c r="S4800">
        <v>3.0778500000000002</v>
      </c>
      <c r="T4800">
        <v>-8.9641570000000004E-2</v>
      </c>
      <c r="U4800">
        <v>0.27908329999999998</v>
      </c>
      <c r="V4800">
        <v>-6.8448199999999997E-3</v>
      </c>
      <c r="W4800">
        <v>0.20984369999999999</v>
      </c>
      <c r="X4800">
        <v>0.977711</v>
      </c>
      <c r="Y4800">
        <v>-8.9834300000000006E-2</v>
      </c>
      <c r="Z4800">
        <v>1.815213E-3</v>
      </c>
      <c r="AA4800">
        <v>0.99595500000000003</v>
      </c>
      <c r="AB4800">
        <v>27</v>
      </c>
      <c r="AC4800">
        <v>38.427999999999997</v>
      </c>
      <c r="AD4800">
        <v>-1.1230937244479999</v>
      </c>
      <c r="AE4800">
        <v>3.4953299999999898</v>
      </c>
      <c r="AF4800">
        <v>-3.4762857785753698</v>
      </c>
      <c r="AG4800">
        <v>-1.1230937244479999</v>
      </c>
      <c r="AH4800">
        <v>38.396933158328402</v>
      </c>
      <c r="AI4800">
        <v>91.6685785814837</v>
      </c>
      <c r="AJ4800">
        <v>95.173198813742403</v>
      </c>
      <c r="AK4800">
        <v>38.570330284991797</v>
      </c>
      <c r="AL4800">
        <v>77.886807355641395</v>
      </c>
      <c r="AM4800">
        <v>90.401113304996898</v>
      </c>
      <c r="AN4800">
        <v>1.0000000147557599</v>
      </c>
    </row>
    <row r="4801" spans="1:40" x14ac:dyDescent="0.25">
      <c r="A4801" t="str">
        <f>"20190303170909784"</f>
        <v>20190303170909784</v>
      </c>
      <c r="B4801" t="str">
        <f>"1551604149778085"</f>
        <v>1551604149778085</v>
      </c>
      <c r="C4801" t="s">
        <v>40</v>
      </c>
      <c r="D4801">
        <v>5.1324540000000001</v>
      </c>
      <c r="E4801">
        <v>0.47291060000000001</v>
      </c>
      <c r="F4801" t="s">
        <v>112</v>
      </c>
      <c r="G4801">
        <v>-238.38159999999999</v>
      </c>
      <c r="H4801" s="1">
        <v>-2.912075E-6</v>
      </c>
      <c r="I4801">
        <v>-61.621079999999999</v>
      </c>
      <c r="J4801">
        <v>-276.3091</v>
      </c>
      <c r="K4801">
        <v>1.123078</v>
      </c>
      <c r="L4801">
        <v>-65.004329999999996</v>
      </c>
      <c r="M4801">
        <v>0.99993350000000003</v>
      </c>
      <c r="N4801">
        <v>-1.138309E-2</v>
      </c>
      <c r="O4801">
        <v>1.8547430000000001E-3</v>
      </c>
      <c r="P4801">
        <v>0.9800837</v>
      </c>
      <c r="Q4801">
        <v>0.19848109999999999</v>
      </c>
      <c r="R4801">
        <v>6.4181890000000004E-3</v>
      </c>
      <c r="S4801">
        <v>3.077728</v>
      </c>
      <c r="T4801">
        <v>-9.0821150000000003E-2</v>
      </c>
      <c r="U4801">
        <v>0.27371220000000002</v>
      </c>
      <c r="V4801">
        <v>-5.6646800000000001E-3</v>
      </c>
      <c r="W4801">
        <v>0.20959900000000001</v>
      </c>
      <c r="X4801">
        <v>0.97777099999999995</v>
      </c>
      <c r="Y4801">
        <v>-8.6684170000000005E-2</v>
      </c>
      <c r="Z4801">
        <v>1.7371540000000001E-3</v>
      </c>
      <c r="AA4801">
        <v>0.99623439999999996</v>
      </c>
      <c r="AB4801">
        <v>27</v>
      </c>
      <c r="AC4801">
        <v>37.927500000000002</v>
      </c>
      <c r="AD4801">
        <v>-1.123080912075</v>
      </c>
      <c r="AE4801">
        <v>3.3832499999999999</v>
      </c>
      <c r="AF4801">
        <v>-3.3100144610837599</v>
      </c>
      <c r="AG4801">
        <v>-1.123080912075</v>
      </c>
      <c r="AH4801">
        <v>37.900740196671897</v>
      </c>
      <c r="AI4801">
        <v>91.690868934400598</v>
      </c>
      <c r="AJ4801">
        <v>94.991192450832102</v>
      </c>
      <c r="AK4801">
        <v>38.061576608481097</v>
      </c>
      <c r="AL4801">
        <v>77.901146078430898</v>
      </c>
      <c r="AM4801">
        <v>90.331937258457998</v>
      </c>
      <c r="AN4801">
        <v>0.99999997892075099</v>
      </c>
    </row>
    <row r="4802" spans="1:40" x14ac:dyDescent="0.25">
      <c r="A4802" t="str">
        <f>"20190303170909796"</f>
        <v>20190303170909796</v>
      </c>
      <c r="B4802" t="str">
        <f>"1551604149788821"</f>
        <v>1551604149788821</v>
      </c>
      <c r="C4802" t="s">
        <v>40</v>
      </c>
      <c r="D4802">
        <v>5.1332940000000002</v>
      </c>
      <c r="E4802">
        <v>0.49971019999999999</v>
      </c>
      <c r="F4802" t="s">
        <v>112</v>
      </c>
      <c r="G4802">
        <v>-238.398</v>
      </c>
      <c r="H4802" s="1">
        <v>-2.918696E-6</v>
      </c>
      <c r="I4802">
        <v>-61.6194699999999</v>
      </c>
      <c r="J4802">
        <v>-276.17290000000003</v>
      </c>
      <c r="K4802">
        <v>1.123065</v>
      </c>
      <c r="L4802">
        <v>-65.002560000000003</v>
      </c>
      <c r="M4802">
        <v>0.99993089999999996</v>
      </c>
      <c r="N4802">
        <v>-1.1272870000000001E-2</v>
      </c>
      <c r="O4802">
        <v>3.3426269999999999E-3</v>
      </c>
      <c r="P4802">
        <v>0.98003700000000005</v>
      </c>
      <c r="Q4802">
        <v>0.19868830000000001</v>
      </c>
      <c r="R4802">
        <v>7.108886E-3</v>
      </c>
      <c r="S4802">
        <v>3.0776370000000002</v>
      </c>
      <c r="T4802">
        <v>-9.1172219999999998E-2</v>
      </c>
      <c r="U4802">
        <v>0.27478029999999998</v>
      </c>
      <c r="V4802">
        <v>-4.8990049999999997E-3</v>
      </c>
      <c r="W4802">
        <v>0.20970150000000001</v>
      </c>
      <c r="X4802">
        <v>0.97775319999999999</v>
      </c>
      <c r="Y4802">
        <v>-8.554813E-2</v>
      </c>
      <c r="Z4802">
        <v>1.686459E-3</v>
      </c>
      <c r="AA4802">
        <v>0.99633260000000001</v>
      </c>
      <c r="AB4802">
        <v>27</v>
      </c>
      <c r="AC4802">
        <v>37.774900000000002</v>
      </c>
      <c r="AD4802">
        <v>-1.123067918696</v>
      </c>
      <c r="AE4802">
        <v>3.3830900000000002</v>
      </c>
      <c r="AF4802">
        <v>-3.2539423879971001</v>
      </c>
      <c r="AG4802">
        <v>-1.123067918696</v>
      </c>
      <c r="AH4802">
        <v>37.752893635636497</v>
      </c>
      <c r="AI4802">
        <v>91.697634184198904</v>
      </c>
      <c r="AJ4802">
        <v>94.926179847332904</v>
      </c>
      <c r="AK4802">
        <v>37.9095027727626</v>
      </c>
      <c r="AL4802">
        <v>77.895140281062595</v>
      </c>
      <c r="AM4802">
        <v>90.287076494802506</v>
      </c>
      <c r="AN4802">
        <v>1.00000001973123</v>
      </c>
    </row>
    <row r="4803" spans="1:40" x14ac:dyDescent="0.25">
      <c r="A4803" t="str">
        <f>"20190303170909807"</f>
        <v>20190303170909807</v>
      </c>
      <c r="B4803" t="str">
        <f>"1551604149798582"</f>
        <v>1551604149798582</v>
      </c>
      <c r="C4803" t="s">
        <v>40</v>
      </c>
      <c r="D4803">
        <v>5.1366560000000003</v>
      </c>
      <c r="E4803">
        <v>0.50064430000000004</v>
      </c>
      <c r="F4803" t="s">
        <v>116</v>
      </c>
      <c r="G4803">
        <v>-215.30099999999999</v>
      </c>
      <c r="H4803" s="1">
        <v>-2.1483810000000002E-6</v>
      </c>
      <c r="I4803">
        <v>-63.785890000000002</v>
      </c>
      <c r="J4803">
        <v>-276.03820000000002</v>
      </c>
      <c r="K4803">
        <v>1.1230500000000001</v>
      </c>
      <c r="L4803">
        <v>-65.000640000000004</v>
      </c>
      <c r="M4803">
        <v>0.99992610000000004</v>
      </c>
      <c r="N4803">
        <v>-1.116403E-2</v>
      </c>
      <c r="O4803">
        <v>4.8173959999999998E-3</v>
      </c>
      <c r="P4803">
        <v>0.98005710000000001</v>
      </c>
      <c r="Q4803">
        <v>0.19856489999999999</v>
      </c>
      <c r="R4803">
        <v>7.7612740000000003E-3</v>
      </c>
      <c r="S4803">
        <v>3.0721440000000002</v>
      </c>
      <c r="T4803">
        <v>-5.6679960000000001E-2</v>
      </c>
      <c r="U4803">
        <v>6.1401369999999997E-2</v>
      </c>
      <c r="V4803">
        <v>-4.1070849999999999E-3</v>
      </c>
      <c r="W4803">
        <v>0.20947589999999999</v>
      </c>
      <c r="X4803">
        <v>0.97780520000000004</v>
      </c>
      <c r="Y4803">
        <v>-1.516152E-2</v>
      </c>
      <c r="Z4803">
        <v>1.894063E-4</v>
      </c>
      <c r="AA4803">
        <v>0.99988500000000002</v>
      </c>
      <c r="AB4803">
        <v>27</v>
      </c>
      <c r="AC4803">
        <v>60.737200000000001</v>
      </c>
      <c r="AD4803">
        <v>-1.1230521483810001</v>
      </c>
      <c r="AE4803">
        <v>1.21475</v>
      </c>
      <c r="AF4803">
        <v>-0.92180749619065305</v>
      </c>
      <c r="AG4803">
        <v>-1.1230521483810001</v>
      </c>
      <c r="AH4803">
        <v>60.721595438643</v>
      </c>
      <c r="AI4803">
        <v>91.059448481430493</v>
      </c>
      <c r="AJ4803">
        <v>90.869733773422894</v>
      </c>
      <c r="AK4803">
        <v>60.738975360161</v>
      </c>
      <c r="AL4803">
        <v>77.908359761188194</v>
      </c>
      <c r="AM4803">
        <v>90.240658622738195</v>
      </c>
      <c r="AN4803">
        <v>1.0000000149875199</v>
      </c>
    </row>
    <row r="4804" spans="1:40" x14ac:dyDescent="0.25">
      <c r="A4804" t="str">
        <f>"20190303170909820"</f>
        <v>20190303170909820</v>
      </c>
      <c r="B4804" t="str">
        <f>"1551604149808342"</f>
        <v>1551604149808342</v>
      </c>
      <c r="C4804" t="s">
        <v>40</v>
      </c>
      <c r="D4804">
        <v>5.0768069999999996</v>
      </c>
      <c r="E4804">
        <v>0.50098450000000005</v>
      </c>
      <c r="F4804" t="s">
        <v>59</v>
      </c>
      <c r="G4804">
        <v>-209.8785</v>
      </c>
      <c r="H4804" s="1">
        <v>-9.3793079999999997E-7</v>
      </c>
      <c r="I4804">
        <v>-63.800879999999999</v>
      </c>
      <c r="J4804">
        <v>-275.89409999999998</v>
      </c>
      <c r="K4804">
        <v>1.1230420000000001</v>
      </c>
      <c r="L4804">
        <v>-64.998260000000002</v>
      </c>
      <c r="M4804">
        <v>0.99991859999999999</v>
      </c>
      <c r="N4804">
        <v>-1.104811E-2</v>
      </c>
      <c r="O4804">
        <v>6.4007309999999998E-3</v>
      </c>
      <c r="P4804">
        <v>0.98000469999999895</v>
      </c>
      <c r="Q4804">
        <v>0.1987797</v>
      </c>
      <c r="R4804">
        <v>8.8284609999999993E-3</v>
      </c>
      <c r="S4804">
        <v>3.071167</v>
      </c>
      <c r="T4804">
        <v>-5.2132610000000003E-2</v>
      </c>
      <c r="U4804">
        <v>5.569458E-2</v>
      </c>
      <c r="V4804">
        <v>-3.6262930000000001E-3</v>
      </c>
      <c r="W4804">
        <v>0.20957990000000001</v>
      </c>
      <c r="X4804">
        <v>0.97778480000000001</v>
      </c>
      <c r="Y4804">
        <v>-1.1728570000000001E-2</v>
      </c>
      <c r="Z4804">
        <v>1.2641360000000001E-4</v>
      </c>
      <c r="AA4804">
        <v>0.99993120000000002</v>
      </c>
      <c r="AB4804">
        <v>27</v>
      </c>
      <c r="AC4804">
        <v>66.015599999999907</v>
      </c>
      <c r="AD4804">
        <v>-1.1230429379308</v>
      </c>
      <c r="AE4804">
        <v>1.1973799999999899</v>
      </c>
      <c r="AF4804">
        <v>-0.77455754703231505</v>
      </c>
      <c r="AG4804">
        <v>-1.1230429379308</v>
      </c>
      <c r="AH4804">
        <v>66.002817107803807</v>
      </c>
      <c r="AI4804">
        <v>90.974730865665194</v>
      </c>
      <c r="AJ4804">
        <v>90.672347686505603</v>
      </c>
      <c r="AK4804">
        <v>66.016914734030905</v>
      </c>
      <c r="AL4804">
        <v>77.902265542417894</v>
      </c>
      <c r="AM4804">
        <v>90.212490858521406</v>
      </c>
      <c r="AN4804">
        <v>0.99999999979798504</v>
      </c>
    </row>
    <row r="4805" spans="1:40" x14ac:dyDescent="0.25">
      <c r="A4805" t="str">
        <f>"20190303170909832"</f>
        <v>20190303170909832</v>
      </c>
      <c r="B4805" t="str">
        <f>"1551604149819078"</f>
        <v>1551604149819078</v>
      </c>
      <c r="C4805" t="s">
        <v>40</v>
      </c>
      <c r="D4805">
        <v>5.1347170000000002</v>
      </c>
      <c r="E4805">
        <v>0.50120259999999905</v>
      </c>
      <c r="F4805" t="s">
        <v>59</v>
      </c>
      <c r="G4805">
        <v>-208.42750000000001</v>
      </c>
      <c r="H4805" s="1">
        <v>-1.480903E-6</v>
      </c>
      <c r="I4805">
        <v>-63.758670000000002</v>
      </c>
      <c r="J4805">
        <v>-275.74759999999998</v>
      </c>
      <c r="K4805">
        <v>1.1230359999999999</v>
      </c>
      <c r="L4805">
        <v>-64.995760000000004</v>
      </c>
      <c r="M4805">
        <v>0.99990820000000002</v>
      </c>
      <c r="N4805">
        <v>-1.093014E-2</v>
      </c>
      <c r="O4805">
        <v>8.0130359999999994E-3</v>
      </c>
      <c r="P4805">
        <v>0.97997639999999997</v>
      </c>
      <c r="Q4805">
        <v>0.198851</v>
      </c>
      <c r="R4805">
        <v>1.024011E-2</v>
      </c>
      <c r="S4805">
        <v>3.071075</v>
      </c>
      <c r="T4805">
        <v>-5.112088E-2</v>
      </c>
      <c r="U4805">
        <v>5.6426999999999998E-2</v>
      </c>
      <c r="V4805">
        <v>-3.4603429999999998E-3</v>
      </c>
      <c r="W4805">
        <v>0.209536</v>
      </c>
      <c r="X4805">
        <v>0.97779479999999996</v>
      </c>
      <c r="Y4805">
        <v>-1.03556E-2</v>
      </c>
      <c r="Z4805" s="1">
        <v>9.7001760000000001E-5</v>
      </c>
      <c r="AA4805">
        <v>0.99994640000000001</v>
      </c>
      <c r="AB4805">
        <v>27</v>
      </c>
      <c r="AC4805">
        <v>67.320099999999897</v>
      </c>
      <c r="AD4805">
        <v>-1.1230374809029999</v>
      </c>
      <c r="AE4805">
        <v>1.23709</v>
      </c>
      <c r="AF4805">
        <v>-0.69738568050469096</v>
      </c>
      <c r="AG4805">
        <v>-1.1230374809029999</v>
      </c>
      <c r="AH4805">
        <v>67.3091266822737</v>
      </c>
      <c r="AI4805">
        <v>90.955827073444595</v>
      </c>
      <c r="AJ4805">
        <v>90.593616771697498</v>
      </c>
      <c r="AK4805">
        <v>67.322107028087402</v>
      </c>
      <c r="AL4805">
        <v>77.904837824942604</v>
      </c>
      <c r="AM4805">
        <v>90.202764651532306</v>
      </c>
      <c r="AN4805">
        <v>0.99999999008835805</v>
      </c>
    </row>
    <row r="4806" spans="1:40" x14ac:dyDescent="0.25">
      <c r="A4806" t="str">
        <f>"20190303170909841"</f>
        <v>20190303170909841</v>
      </c>
      <c r="B4806" t="str">
        <f>"1551604149828837"</f>
        <v>1551604149828837</v>
      </c>
      <c r="C4806" t="s">
        <v>40</v>
      </c>
      <c r="D4806">
        <v>5.0761690000000002</v>
      </c>
      <c r="E4806">
        <v>0.50151279999999998</v>
      </c>
      <c r="F4806" t="s">
        <v>59</v>
      </c>
      <c r="G4806">
        <v>-209.91040000000001</v>
      </c>
      <c r="H4806" s="1">
        <v>-9.0650210000000002E-7</v>
      </c>
      <c r="I4806">
        <v>-63.728630000000003</v>
      </c>
      <c r="J4806">
        <v>-275.62139999999999</v>
      </c>
      <c r="K4806">
        <v>1.1230370000000001</v>
      </c>
      <c r="L4806">
        <v>-64.993350000000007</v>
      </c>
      <c r="M4806">
        <v>0.99989720000000004</v>
      </c>
      <c r="N4806">
        <v>-1.082817E-2</v>
      </c>
      <c r="O4806">
        <v>9.4044560000000003E-3</v>
      </c>
      <c r="P4806">
        <v>0.97990069999999996</v>
      </c>
      <c r="Q4806">
        <v>0.19915289999999999</v>
      </c>
      <c r="R4806">
        <v>1.1533750000000001E-2</v>
      </c>
      <c r="S4806">
        <v>3.0713200000000001</v>
      </c>
      <c r="T4806">
        <v>-5.2389980000000003E-2</v>
      </c>
      <c r="U4806">
        <v>5.911255E-2</v>
      </c>
      <c r="V4806">
        <v>-3.3949169999999999E-3</v>
      </c>
      <c r="W4806">
        <v>0.2097379</v>
      </c>
      <c r="X4806">
        <v>0.9777517</v>
      </c>
      <c r="Y4806">
        <v>-9.8367909999999992E-3</v>
      </c>
      <c r="Z4806" s="1">
        <v>7.8593050000000001E-5</v>
      </c>
      <c r="AA4806">
        <v>0.99995160000000005</v>
      </c>
      <c r="AB4806">
        <v>27</v>
      </c>
      <c r="AC4806">
        <v>65.710999999999899</v>
      </c>
      <c r="AD4806">
        <v>-1.1230379065020999</v>
      </c>
      <c r="AE4806">
        <v>1.2647200000000001</v>
      </c>
      <c r="AF4806">
        <v>-0.64646290220389602</v>
      </c>
      <c r="AG4806">
        <v>-1.1230379065020999</v>
      </c>
      <c r="AH4806">
        <v>65.700805165768998</v>
      </c>
      <c r="AI4806">
        <v>90.979226247922398</v>
      </c>
      <c r="AJ4806">
        <v>90.563743481465593</v>
      </c>
      <c r="AK4806">
        <v>65.713582521832606</v>
      </c>
      <c r="AL4806">
        <v>77.893006416985898</v>
      </c>
      <c r="AM4806">
        <v>90.198939704444399</v>
      </c>
      <c r="AN4806">
        <v>0.99999994950536697</v>
      </c>
    </row>
    <row r="4807" spans="1:40" x14ac:dyDescent="0.25">
      <c r="A4807" t="str">
        <f>"20190303170909853"</f>
        <v>20190303170909853</v>
      </c>
      <c r="B4807" t="str">
        <f>"1551604149848357"</f>
        <v>1551604149848357</v>
      </c>
      <c r="C4807" t="s">
        <v>40</v>
      </c>
      <c r="D4807">
        <v>5.0758020000000004</v>
      </c>
      <c r="E4807">
        <v>0.50176719999999997</v>
      </c>
      <c r="F4807" t="s">
        <v>59</v>
      </c>
      <c r="G4807">
        <v>-207.91419999999999</v>
      </c>
      <c r="H4807" s="1">
        <v>-1.7521839999999999E-6</v>
      </c>
      <c r="I4807">
        <v>-63.650449999999999</v>
      </c>
      <c r="J4807">
        <v>-275.50240000000002</v>
      </c>
      <c r="K4807">
        <v>1.1230340000000001</v>
      </c>
      <c r="L4807">
        <v>-64.990939999999995</v>
      </c>
      <c r="M4807">
        <v>0.99988509999999997</v>
      </c>
      <c r="N4807">
        <v>-1.073239E-2</v>
      </c>
      <c r="O4807">
        <v>1.071831E-2</v>
      </c>
      <c r="P4807">
        <v>0.97985829999999996</v>
      </c>
      <c r="Q4807">
        <v>0.1992911</v>
      </c>
      <c r="R4807">
        <v>1.2692709999999999E-2</v>
      </c>
      <c r="S4807">
        <v>3.0711360000000001</v>
      </c>
      <c r="T4807">
        <v>-5.0940039999999999E-2</v>
      </c>
      <c r="U4807">
        <v>6.0913090000000003E-2</v>
      </c>
      <c r="V4807">
        <v>-3.2699370000000001E-3</v>
      </c>
      <c r="W4807">
        <v>0.20978269999999999</v>
      </c>
      <c r="X4807">
        <v>0.97774260000000002</v>
      </c>
      <c r="Y4807">
        <v>-9.1103169999999997E-3</v>
      </c>
      <c r="Z4807" s="1">
        <v>6.1724389999999994E-5</v>
      </c>
      <c r="AA4807">
        <v>0.99995849999999997</v>
      </c>
      <c r="AB4807">
        <v>27</v>
      </c>
      <c r="AC4807">
        <v>67.588200000000001</v>
      </c>
      <c r="AD4807">
        <v>-1.123035752184</v>
      </c>
      <c r="AE4807">
        <v>1.34049</v>
      </c>
      <c r="AF4807">
        <v>-0.61577014688785303</v>
      </c>
      <c r="AG4807">
        <v>-1.123035752184</v>
      </c>
      <c r="AH4807">
        <v>67.580035106673606</v>
      </c>
      <c r="AI4807">
        <v>90.952006261888002</v>
      </c>
      <c r="AJ4807">
        <v>90.522048474467994</v>
      </c>
      <c r="AK4807">
        <v>67.592170605727105</v>
      </c>
      <c r="AL4807">
        <v>77.890382185173607</v>
      </c>
      <c r="AM4807">
        <v>90.191617805004896</v>
      </c>
      <c r="AN4807">
        <v>1.0000000327810099</v>
      </c>
    </row>
    <row r="4808" spans="1:40" x14ac:dyDescent="0.25">
      <c r="A4808" t="str">
        <f>"20190303170909865"</f>
        <v>20190303170909865</v>
      </c>
      <c r="B4808" t="str">
        <f>"1551604149859094"</f>
        <v>1551604149859094</v>
      </c>
      <c r="C4808" t="s">
        <v>40</v>
      </c>
      <c r="D4808">
        <v>5.0774860000000004</v>
      </c>
      <c r="E4808">
        <v>0.50187230000000005</v>
      </c>
      <c r="F4808" t="s">
        <v>59</v>
      </c>
      <c r="G4808">
        <v>-207.59800000000001</v>
      </c>
      <c r="H4808" s="1">
        <v>-1.9468580000000001E-6</v>
      </c>
      <c r="I4808">
        <v>-63.60501</v>
      </c>
      <c r="J4808">
        <v>-275.33890000000002</v>
      </c>
      <c r="K4808">
        <v>1.1230290000000001</v>
      </c>
      <c r="L4808">
        <v>-64.987340000000003</v>
      </c>
      <c r="M4808">
        <v>0.99986549999999996</v>
      </c>
      <c r="N4808">
        <v>-1.060207E-2</v>
      </c>
      <c r="O4808">
        <v>1.252662E-2</v>
      </c>
      <c r="P4808">
        <v>0.97976479999999999</v>
      </c>
      <c r="Q4808">
        <v>0.19964299999999999</v>
      </c>
      <c r="R4808">
        <v>1.427841E-2</v>
      </c>
      <c r="S4808">
        <v>3.071167</v>
      </c>
      <c r="T4808">
        <v>-5.0792459999999998E-2</v>
      </c>
      <c r="U4808">
        <v>6.268311E-2</v>
      </c>
      <c r="V4808">
        <v>-3.089821E-3</v>
      </c>
      <c r="W4808">
        <v>0.21000740000000001</v>
      </c>
      <c r="X4808">
        <v>0.97769490000000003</v>
      </c>
      <c r="Y4808">
        <v>-7.8780829999999993E-3</v>
      </c>
      <c r="Z4808" s="1">
        <v>3.2583480000000003E-5</v>
      </c>
      <c r="AA4808">
        <v>0.99996890000000005</v>
      </c>
      <c r="AB4808">
        <v>27</v>
      </c>
      <c r="AC4808">
        <v>67.740899999999996</v>
      </c>
      <c r="AD4808">
        <v>-1.123030946858</v>
      </c>
      <c r="AE4808">
        <v>1.3823300000000001</v>
      </c>
      <c r="AF4808">
        <v>-0.53346290790150297</v>
      </c>
      <c r="AG4808">
        <v>-1.123030946858</v>
      </c>
      <c r="AH4808">
        <v>67.734292853940005</v>
      </c>
      <c r="AI4808">
        <v>90.949844469988193</v>
      </c>
      <c r="AJ4808">
        <v>90.451241755315607</v>
      </c>
      <c r="AK4808">
        <v>67.745702517613793</v>
      </c>
      <c r="AL4808">
        <v>77.877213927092399</v>
      </c>
      <c r="AM4808">
        <v>90.181071941129503</v>
      </c>
      <c r="AN4808">
        <v>0.99999998626729103</v>
      </c>
    </row>
    <row r="4809" spans="1:40" x14ac:dyDescent="0.25">
      <c r="A4809" t="str">
        <f>"20190303170909886"</f>
        <v>20190303170909886</v>
      </c>
      <c r="B4809" t="str">
        <f>"1551604149878613"</f>
        <v>1551604149878613</v>
      </c>
      <c r="C4809" t="s">
        <v>40</v>
      </c>
      <c r="D4809">
        <v>5.1287469999999997</v>
      </c>
      <c r="E4809">
        <v>0.50211240000000001</v>
      </c>
      <c r="F4809" t="s">
        <v>59</v>
      </c>
      <c r="G4809">
        <v>-205.68209999999999</v>
      </c>
      <c r="H4809" s="1">
        <v>-3.1452229999999898E-6</v>
      </c>
      <c r="I4809">
        <v>-63.465209999999999</v>
      </c>
      <c r="J4809">
        <v>-275.09059999999999</v>
      </c>
      <c r="K4809">
        <v>1.1230169999999999</v>
      </c>
      <c r="L4809">
        <v>-64.981319999999997</v>
      </c>
      <c r="M4809">
        <v>0.99982919999999997</v>
      </c>
      <c r="N4809">
        <v>-1.0409720000000001E-2</v>
      </c>
      <c r="O4809">
        <v>1.527571E-2</v>
      </c>
      <c r="P4809">
        <v>0.9795874</v>
      </c>
      <c r="Q4809">
        <v>0.20033039999999999</v>
      </c>
      <c r="R4809">
        <v>1.6639620000000001E-2</v>
      </c>
      <c r="S4809">
        <v>3.071075</v>
      </c>
      <c r="T4809">
        <v>-4.9512979999999998E-2</v>
      </c>
      <c r="U4809">
        <v>6.7108150000000005E-2</v>
      </c>
      <c r="V4809">
        <v>-2.7678389999999998E-3</v>
      </c>
      <c r="W4809">
        <v>0.21050669999999999</v>
      </c>
      <c r="X4809">
        <v>0.97758849999999997</v>
      </c>
      <c r="Y4809">
        <v>-6.5698650000000003E-3</v>
      </c>
      <c r="Z4809" s="1">
        <v>-5.3945769999999998E-8</v>
      </c>
      <c r="AA4809">
        <v>0.99997840000000005</v>
      </c>
      <c r="AB4809">
        <v>27</v>
      </c>
      <c r="AC4809">
        <v>69.408500000000004</v>
      </c>
      <c r="AD4809">
        <v>-1.123020145223</v>
      </c>
      <c r="AE4809">
        <v>1.5161099999999901</v>
      </c>
      <c r="AF4809">
        <v>-0.45549239989821499</v>
      </c>
      <c r="AG4809">
        <v>-1.123020145223</v>
      </c>
      <c r="AH4809">
        <v>69.405400579680204</v>
      </c>
      <c r="AI4809">
        <v>90.926978511259406</v>
      </c>
      <c r="AJ4809">
        <v>90.376014218319</v>
      </c>
      <c r="AK4809">
        <v>69.415979984430194</v>
      </c>
      <c r="AL4809">
        <v>77.847952239841504</v>
      </c>
      <c r="AM4809">
        <v>90.162220678047902</v>
      </c>
      <c r="AN4809">
        <v>1.0000000035049299</v>
      </c>
    </row>
    <row r="4810" spans="1:40" x14ac:dyDescent="0.25">
      <c r="A4810" t="str">
        <f>"20190303170909900"</f>
        <v>20190303170909900</v>
      </c>
      <c r="B4810" t="str">
        <f>"1551604149888373"</f>
        <v>1551604149888373</v>
      </c>
      <c r="C4810" t="s">
        <v>40</v>
      </c>
      <c r="D4810">
        <v>5.128533</v>
      </c>
      <c r="E4810">
        <v>0.50224760000000002</v>
      </c>
      <c r="F4810" t="s">
        <v>59</v>
      </c>
      <c r="G4810">
        <v>-201.76920000000001</v>
      </c>
      <c r="H4810" s="1">
        <v>-4.9675040000000004E-6</v>
      </c>
      <c r="I4810">
        <v>-63.248600000000003</v>
      </c>
      <c r="J4810">
        <v>-274.92970000000003</v>
      </c>
      <c r="K4810">
        <v>1.12301299999999</v>
      </c>
      <c r="L4810">
        <v>-64.977019999999996</v>
      </c>
      <c r="M4810">
        <v>0.99980159999999996</v>
      </c>
      <c r="N4810">
        <v>-1.028738E-2</v>
      </c>
      <c r="O4810">
        <v>1.705978E-2</v>
      </c>
      <c r="P4810">
        <v>0.97951540000000004</v>
      </c>
      <c r="Q4810">
        <v>0.20051240000000001</v>
      </c>
      <c r="R4810">
        <v>1.855623E-2</v>
      </c>
      <c r="S4810">
        <v>3.0708920000000002</v>
      </c>
      <c r="T4810">
        <v>-4.7035100000000003E-2</v>
      </c>
      <c r="U4810">
        <v>7.2570800000000005E-2</v>
      </c>
      <c r="V4810">
        <v>-2.9412090000000002E-3</v>
      </c>
      <c r="W4810">
        <v>0.21056820000000001</v>
      </c>
      <c r="X4810">
        <v>0.97757479999999997</v>
      </c>
      <c r="Y4810">
        <v>-6.5648030000000001E-3</v>
      </c>
      <c r="Z4810" s="1">
        <v>-1.687036E-6</v>
      </c>
      <c r="AA4810">
        <v>0.99997840000000005</v>
      </c>
      <c r="AB4810">
        <v>27</v>
      </c>
      <c r="AC4810">
        <v>73.160499999999999</v>
      </c>
      <c r="AD4810">
        <v>-1.12301796750399</v>
      </c>
      <c r="AE4810">
        <v>1.7284199999999901</v>
      </c>
      <c r="AF4810">
        <v>-0.47988741130524498</v>
      </c>
      <c r="AG4810">
        <v>-1.12301796750399</v>
      </c>
      <c r="AH4810">
        <v>73.1621107952583</v>
      </c>
      <c r="AI4810">
        <v>90.879386237231003</v>
      </c>
      <c r="AJ4810">
        <v>90.375811040745006</v>
      </c>
      <c r="AK4810">
        <v>73.172302938342199</v>
      </c>
      <c r="AL4810">
        <v>77.844348375780697</v>
      </c>
      <c r="AM4810">
        <v>90.172384101843207</v>
      </c>
      <c r="AN4810">
        <v>1.00000005357832</v>
      </c>
    </row>
    <row r="4811" spans="1:40" x14ac:dyDescent="0.25">
      <c r="A4811" t="str">
        <f>"20190303170909911"</f>
        <v>20190303170909911</v>
      </c>
      <c r="B4811" t="str">
        <f>"1551604149899110"</f>
        <v>1551604149899110</v>
      </c>
      <c r="C4811" t="s">
        <v>40</v>
      </c>
      <c r="D4811">
        <v>5.1308879999999997</v>
      </c>
      <c r="E4811">
        <v>0.50223640000000003</v>
      </c>
      <c r="F4811" t="s">
        <v>59</v>
      </c>
      <c r="G4811">
        <v>-199.92410000000001</v>
      </c>
      <c r="H4811" s="1">
        <v>-5.8945369999999996E-6</v>
      </c>
      <c r="I4811">
        <v>-63.081339999999997</v>
      </c>
      <c r="J4811">
        <v>-274.77589999999998</v>
      </c>
      <c r="K4811">
        <v>1.123011</v>
      </c>
      <c r="L4811">
        <v>-64.972719999999995</v>
      </c>
      <c r="M4811">
        <v>0.99977210000000005</v>
      </c>
      <c r="N4811">
        <v>-1.0170759999999999E-2</v>
      </c>
      <c r="O4811">
        <v>1.8765029999999999E-2</v>
      </c>
      <c r="P4811">
        <v>0.97932730000000001</v>
      </c>
      <c r="Q4811">
        <v>0.20124010000000001</v>
      </c>
      <c r="R4811">
        <v>2.0507460000000002E-2</v>
      </c>
      <c r="S4811">
        <v>3.0706180000000001</v>
      </c>
      <c r="T4811">
        <v>-4.5974729999999998E-2</v>
      </c>
      <c r="U4811">
        <v>7.76062E-2</v>
      </c>
      <c r="V4811">
        <v>-3.2321110000000002E-3</v>
      </c>
      <c r="W4811">
        <v>0.21117830000000001</v>
      </c>
      <c r="X4811">
        <v>0.97744219999999904</v>
      </c>
      <c r="Y4811">
        <v>-6.5002740000000003E-3</v>
      </c>
      <c r="Z4811" s="1">
        <v>-8.3062149999999996E-6</v>
      </c>
      <c r="AA4811">
        <v>0.9999789</v>
      </c>
      <c r="AB4811">
        <v>27</v>
      </c>
      <c r="AC4811">
        <v>74.851799999999898</v>
      </c>
      <c r="AD4811">
        <v>-1.123016894537</v>
      </c>
      <c r="AE4811">
        <v>1.8913799999999901</v>
      </c>
      <c r="AF4811">
        <v>-0.48626849492348501</v>
      </c>
      <c r="AG4811">
        <v>-1.123016894537</v>
      </c>
      <c r="AH4811">
        <v>74.8572731366651</v>
      </c>
      <c r="AI4811">
        <v>90.859474863885197</v>
      </c>
      <c r="AJ4811">
        <v>90.372184818174205</v>
      </c>
      <c r="AK4811">
        <v>74.867275664684399</v>
      </c>
      <c r="AL4811">
        <v>77.808587279074303</v>
      </c>
      <c r="AM4811">
        <v>90.189459432242899</v>
      </c>
      <c r="AN4811">
        <v>0.99999998763662201</v>
      </c>
    </row>
    <row r="4812" spans="1:40" x14ac:dyDescent="0.25">
      <c r="A4812" t="str">
        <f>"20190303170909922"</f>
        <v>20190303170909922</v>
      </c>
      <c r="B4812" t="str">
        <f>"1551604149908869"</f>
        <v>1551604149908869</v>
      </c>
      <c r="C4812" t="s">
        <v>40</v>
      </c>
      <c r="D4812">
        <v>5.0706350000000002</v>
      </c>
      <c r="E4812">
        <v>0.50225229999999998</v>
      </c>
      <c r="F4812" t="s">
        <v>59</v>
      </c>
      <c r="G4812">
        <v>-195.99680000000001</v>
      </c>
      <c r="H4812" s="1">
        <v>-7.4788350000000002E-6</v>
      </c>
      <c r="I4812">
        <v>-62.817990000000002</v>
      </c>
      <c r="J4812">
        <v>-274.64479999999998</v>
      </c>
      <c r="K4812">
        <v>1.1230070000000001</v>
      </c>
      <c r="L4812">
        <v>-64.968809999999905</v>
      </c>
      <c r="M4812">
        <v>0.99974479999999999</v>
      </c>
      <c r="N4812">
        <v>-1.0070930000000001E-2</v>
      </c>
      <c r="O4812">
        <v>2.0219170000000002E-2</v>
      </c>
      <c r="P4812">
        <v>0.97919210000000001</v>
      </c>
      <c r="Q4812">
        <v>0.20173930000000001</v>
      </c>
      <c r="R4812">
        <v>2.2003129999999999E-2</v>
      </c>
      <c r="S4812">
        <v>3.070557</v>
      </c>
      <c r="T4812">
        <v>-4.3771619999999997E-2</v>
      </c>
      <c r="U4812">
        <v>8.3984379999999997E-2</v>
      </c>
      <c r="V4812">
        <v>-3.3115169999999999E-3</v>
      </c>
      <c r="W4812">
        <v>0.21157870000000001</v>
      </c>
      <c r="X4812">
        <v>0.97735539999999999</v>
      </c>
      <c r="Y4812">
        <v>-7.1220069999999996E-3</v>
      </c>
      <c r="Z4812" s="1">
        <v>2.1120630000000001E-6</v>
      </c>
      <c r="AA4812">
        <v>0.99997460000000005</v>
      </c>
      <c r="AB4812">
        <v>27</v>
      </c>
      <c r="AC4812">
        <v>78.647999999999897</v>
      </c>
      <c r="AD4812">
        <v>-1.1230144788349901</v>
      </c>
      <c r="AE4812">
        <v>2.15081999999998</v>
      </c>
      <c r="AF4812">
        <v>-0.55998816958981101</v>
      </c>
      <c r="AG4812">
        <v>-1.1230144788349901</v>
      </c>
      <c r="AH4812">
        <v>78.659384637249502</v>
      </c>
      <c r="AI4812">
        <v>90.817931501531504</v>
      </c>
      <c r="AJ4812">
        <v>90.407890511886393</v>
      </c>
      <c r="AK4812">
        <v>78.669393920256695</v>
      </c>
      <c r="AL4812">
        <v>77.785116404740705</v>
      </c>
      <c r="AM4812">
        <v>90.194131246241398</v>
      </c>
      <c r="AN4812">
        <v>1.00000004517384</v>
      </c>
    </row>
    <row r="4813" spans="1:40" x14ac:dyDescent="0.25">
      <c r="A4813" t="str">
        <f>"20190303170909934"</f>
        <v>20190303170909934</v>
      </c>
      <c r="B4813" t="str">
        <f>"1551604149928390"</f>
        <v>1551604149928390</v>
      </c>
      <c r="C4813" t="s">
        <v>40</v>
      </c>
      <c r="D4813">
        <v>5.1281619999999997</v>
      </c>
      <c r="E4813">
        <v>0.50250819999999996</v>
      </c>
      <c r="F4813" t="s">
        <v>59</v>
      </c>
      <c r="G4813">
        <v>-192.79390000000001</v>
      </c>
      <c r="H4813" s="1">
        <v>-8.7708650000000003E-6</v>
      </c>
      <c r="I4813">
        <v>-62.602249999999998</v>
      </c>
      <c r="J4813">
        <v>-274.50839999999999</v>
      </c>
      <c r="K4813">
        <v>1.1230039999999999</v>
      </c>
      <c r="L4813">
        <v>-64.964569999999995</v>
      </c>
      <c r="M4813">
        <v>0.99971429999999994</v>
      </c>
      <c r="N4813">
        <v>-9.9676580000000008E-3</v>
      </c>
      <c r="O4813">
        <v>2.1732379999999999E-2</v>
      </c>
      <c r="P4813">
        <v>0.9790835</v>
      </c>
      <c r="Q4813">
        <v>0.20208780000000001</v>
      </c>
      <c r="R4813">
        <v>2.3584089999999999E-2</v>
      </c>
      <c r="S4813">
        <v>3.0704349999999998</v>
      </c>
      <c r="T4813">
        <v>-4.2127129999999999E-2</v>
      </c>
      <c r="U4813">
        <v>8.8775629999999994E-2</v>
      </c>
      <c r="V4813">
        <v>-3.4161899999999999E-3</v>
      </c>
      <c r="W4813">
        <v>0.21182480000000001</v>
      </c>
      <c r="X4813">
        <v>0.97730170000000005</v>
      </c>
      <c r="Y4813">
        <v>-7.1687579999999999E-3</v>
      </c>
      <c r="Z4813" s="1">
        <v>3.456759E-6</v>
      </c>
      <c r="AA4813">
        <v>0.99997429999999998</v>
      </c>
      <c r="AB4813">
        <v>27</v>
      </c>
      <c r="AC4813">
        <v>81.714499999999902</v>
      </c>
      <c r="AD4813">
        <v>-1.123012770865</v>
      </c>
      <c r="AE4813">
        <v>2.3623199999999902</v>
      </c>
      <c r="AF4813">
        <v>-0.58571299179179204</v>
      </c>
      <c r="AG4813">
        <v>-1.123012770865</v>
      </c>
      <c r="AH4813">
        <v>81.731116502701795</v>
      </c>
      <c r="AI4813">
        <v>90.787193350031401</v>
      </c>
      <c r="AJ4813">
        <v>90.410594023441206</v>
      </c>
      <c r="AK4813">
        <v>81.740929907669198</v>
      </c>
      <c r="AL4813">
        <v>77.770688524427896</v>
      </c>
      <c r="AM4813">
        <v>90.200278452207101</v>
      </c>
      <c r="AN4813">
        <v>1.0000000145360199</v>
      </c>
    </row>
    <row r="4814" spans="1:40" x14ac:dyDescent="0.25">
      <c r="A4814" t="str">
        <f>"20190303170909944"</f>
        <v>20190303170909944</v>
      </c>
      <c r="B4814" t="str">
        <f>"1551604149928390"</f>
        <v>1551604149928390</v>
      </c>
      <c r="C4814" t="s">
        <v>40</v>
      </c>
      <c r="D4814">
        <v>5.1281619999999997</v>
      </c>
      <c r="E4814">
        <v>0.50250819999999996</v>
      </c>
      <c r="F4814" t="s">
        <v>59</v>
      </c>
      <c r="G4814">
        <v>-191.0506</v>
      </c>
      <c r="H4814" s="1">
        <v>-9.502588E-6</v>
      </c>
      <c r="I4814">
        <v>-62.466920000000002</v>
      </c>
      <c r="J4814">
        <v>-274.38569999999999</v>
      </c>
      <c r="K4814">
        <v>1.123003</v>
      </c>
      <c r="L4814">
        <v>-64.960569999999905</v>
      </c>
      <c r="M4814">
        <v>0.99968460000000003</v>
      </c>
      <c r="N4814">
        <v>-9.8754689999999996E-3</v>
      </c>
      <c r="O4814">
        <v>2.3093269999999999E-2</v>
      </c>
      <c r="P4814">
        <v>0.97905520000000001</v>
      </c>
      <c r="Q4814">
        <v>0.2020516</v>
      </c>
      <c r="R4814">
        <v>2.5017669999999999E-2</v>
      </c>
      <c r="S4814">
        <v>3.0704039999999999</v>
      </c>
      <c r="T4814">
        <v>-4.1315560000000001E-2</v>
      </c>
      <c r="U4814">
        <v>9.1888429999999993E-2</v>
      </c>
      <c r="V4814">
        <v>-3.518813E-3</v>
      </c>
      <c r="W4814">
        <v>0.211698</v>
      </c>
      <c r="X4814">
        <v>0.9773288</v>
      </c>
      <c r="Y4814">
        <v>-6.8207930000000003E-3</v>
      </c>
      <c r="Z4814" s="1">
        <v>-3.0014179999999998E-6</v>
      </c>
      <c r="AA4814">
        <v>0.9999768</v>
      </c>
      <c r="AB4814">
        <v>27</v>
      </c>
      <c r="AC4814">
        <v>83.335099999999898</v>
      </c>
      <c r="AD4814">
        <v>-1.123012502588</v>
      </c>
      <c r="AE4814">
        <v>2.4936499999999899</v>
      </c>
      <c r="AF4814">
        <v>-0.568308108899648</v>
      </c>
      <c r="AG4814">
        <v>-1.123012502588</v>
      </c>
      <c r="AH4814">
        <v>83.355339243251393</v>
      </c>
      <c r="AI4814">
        <v>90.771858042495694</v>
      </c>
      <c r="AJ4814">
        <v>90.390630664858904</v>
      </c>
      <c r="AK4814">
        <v>83.364840979546798</v>
      </c>
      <c r="AL4814">
        <v>77.778122087599499</v>
      </c>
      <c r="AM4814">
        <v>90.206289083695495</v>
      </c>
      <c r="AN4814">
        <v>1.0000000042791799</v>
      </c>
    </row>
    <row r="4815" spans="1:40" x14ac:dyDescent="0.25">
      <c r="A4815" t="str">
        <f>"20190303170909956"</f>
        <v>20190303170909956</v>
      </c>
      <c r="B4815" t="str">
        <f>"1551604149948885"</f>
        <v>1551604149948885</v>
      </c>
      <c r="C4815" t="s">
        <v>40</v>
      </c>
      <c r="D4815">
        <v>4.7298549999999997</v>
      </c>
      <c r="E4815">
        <v>0.50271899999999903</v>
      </c>
      <c r="F4815" t="s">
        <v>59</v>
      </c>
      <c r="G4815">
        <v>-191.12809999999999</v>
      </c>
      <c r="H4815" s="1">
        <v>-9.4575750000000007E-6</v>
      </c>
      <c r="I4815">
        <v>-62.340519999999998</v>
      </c>
      <c r="J4815">
        <v>-274.2346</v>
      </c>
      <c r="K4815">
        <v>1.1229960000000001</v>
      </c>
      <c r="L4815">
        <v>-64.955380000000005</v>
      </c>
      <c r="M4815">
        <v>0.99964569999999997</v>
      </c>
      <c r="N4815">
        <v>-9.7626429999999997E-3</v>
      </c>
      <c r="O4815">
        <v>2.4767959999999999E-2</v>
      </c>
      <c r="P4815">
        <v>0.97895600000000005</v>
      </c>
      <c r="Q4815">
        <v>0.20230319999999999</v>
      </c>
      <c r="R4815">
        <v>2.6808530000000001E-2</v>
      </c>
      <c r="S4815">
        <v>3.0702509999999998</v>
      </c>
      <c r="T4815">
        <v>-4.1412829999999998E-2</v>
      </c>
      <c r="U4815">
        <v>9.661865E-2</v>
      </c>
      <c r="V4815">
        <v>-3.676215E-3</v>
      </c>
      <c r="W4815">
        <v>0.21183779999999999</v>
      </c>
      <c r="X4815">
        <v>0.97729790000000005</v>
      </c>
      <c r="Y4815">
        <v>-6.6863130000000002E-3</v>
      </c>
      <c r="Z4815" s="1">
        <v>-1.4408690000000001E-5</v>
      </c>
      <c r="AA4815">
        <v>0.99997760000000002</v>
      </c>
      <c r="AB4815">
        <v>27</v>
      </c>
      <c r="AC4815">
        <v>83.106499999999997</v>
      </c>
      <c r="AD4815">
        <v>-1.1230054575749999</v>
      </c>
      <c r="AE4815">
        <v>2.6148600000000002</v>
      </c>
      <c r="AF4815">
        <v>-0.55548015567341302</v>
      </c>
      <c r="AG4815">
        <v>-1.1230054575749999</v>
      </c>
      <c r="AH4815">
        <v>83.1306061829318</v>
      </c>
      <c r="AI4815">
        <v>90.773940264558803</v>
      </c>
      <c r="AJ4815">
        <v>90.382845696877496</v>
      </c>
      <c r="AK4815">
        <v>83.140046811406094</v>
      </c>
      <c r="AL4815">
        <v>77.769925913633003</v>
      </c>
      <c r="AM4815">
        <v>90.2155234454424</v>
      </c>
      <c r="AN4815">
        <v>0.99999997670498797</v>
      </c>
    </row>
    <row r="4816" spans="1:40" x14ac:dyDescent="0.25">
      <c r="A4816" t="str">
        <f>"20190303170909967"</f>
        <v>20190303170909967</v>
      </c>
      <c r="B4816" t="str">
        <f>"1551604149958645"</f>
        <v>1551604149958645</v>
      </c>
      <c r="C4816" t="s">
        <v>40</v>
      </c>
      <c r="D4816">
        <v>5.0122159999999996</v>
      </c>
      <c r="E4816">
        <v>0.50286730000000002</v>
      </c>
      <c r="F4816" t="s">
        <v>59</v>
      </c>
      <c r="G4816">
        <v>-190.2337</v>
      </c>
      <c r="H4816" s="1">
        <v>-9.8358830000000003E-6</v>
      </c>
      <c r="I4816">
        <v>-62.196710000000003</v>
      </c>
      <c r="J4816">
        <v>-274.0951</v>
      </c>
      <c r="K4816">
        <v>1.122989</v>
      </c>
      <c r="L4816">
        <v>-64.950469999999996</v>
      </c>
      <c r="M4816">
        <v>0.99960709999999997</v>
      </c>
      <c r="N4816">
        <v>-9.6588119999999993E-3</v>
      </c>
      <c r="O4816">
        <v>2.6314239999999999E-2</v>
      </c>
      <c r="P4816">
        <v>0.97887729999999995</v>
      </c>
      <c r="Q4816">
        <v>0.20246059999999999</v>
      </c>
      <c r="R4816">
        <v>2.8444959999999998E-2</v>
      </c>
      <c r="S4816">
        <v>3.0702509999999998</v>
      </c>
      <c r="T4816">
        <v>-4.1046140000000002E-2</v>
      </c>
      <c r="U4816">
        <v>0.10083010000000001</v>
      </c>
      <c r="V4816">
        <v>-3.802457E-3</v>
      </c>
      <c r="W4816">
        <v>0.2118932</v>
      </c>
      <c r="X4816">
        <v>0.97728539999999997</v>
      </c>
      <c r="Y4816">
        <v>-6.5098140000000001E-3</v>
      </c>
      <c r="Z4816" s="1">
        <v>-2.2516379999999999E-5</v>
      </c>
      <c r="AA4816">
        <v>0.99997879999999995</v>
      </c>
      <c r="AB4816">
        <v>27</v>
      </c>
      <c r="AC4816">
        <v>83.861400000000003</v>
      </c>
      <c r="AD4816">
        <v>-1.1229988358830001</v>
      </c>
      <c r="AE4816">
        <v>2.7537600000000002</v>
      </c>
      <c r="AF4816">
        <v>-0.54585670631040895</v>
      </c>
      <c r="AG4816">
        <v>-1.1229988358830001</v>
      </c>
      <c r="AH4816">
        <v>83.889797170661893</v>
      </c>
      <c r="AI4816">
        <v>90.766933417536606</v>
      </c>
      <c r="AJ4816">
        <v>90.372808674833095</v>
      </c>
      <c r="AK4816">
        <v>83.899089120585899</v>
      </c>
      <c r="AL4816">
        <v>77.766677912172597</v>
      </c>
      <c r="AM4816">
        <v>90.222927343947504</v>
      </c>
      <c r="AN4816">
        <v>0.99999996996931795</v>
      </c>
    </row>
    <row r="4817" spans="1:40" x14ac:dyDescent="0.25">
      <c r="A4817" t="str">
        <f>"20190303170909977"</f>
        <v>20190303170909977</v>
      </c>
      <c r="B4817" t="str">
        <f>"1551604149968405"</f>
        <v>1551604149968405</v>
      </c>
      <c r="C4817" t="s">
        <v>40</v>
      </c>
      <c r="D4817">
        <v>5.1292410000000004</v>
      </c>
      <c r="E4817">
        <v>0.50303109999999995</v>
      </c>
      <c r="F4817" t="s">
        <v>59</v>
      </c>
      <c r="G4817">
        <v>-188.97120000000001</v>
      </c>
      <c r="H4817" s="1">
        <v>-1.054214E-5</v>
      </c>
      <c r="I4817">
        <v>-62.038820000000001</v>
      </c>
      <c r="J4817">
        <v>-273.976</v>
      </c>
      <c r="K4817">
        <v>1.1229830000000001</v>
      </c>
      <c r="L4817">
        <v>-64.945949999999996</v>
      </c>
      <c r="M4817">
        <v>0.99957229999999997</v>
      </c>
      <c r="N4817">
        <v>-9.5701220000000004E-3</v>
      </c>
      <c r="O4817">
        <v>2.763386E-2</v>
      </c>
      <c r="P4817">
        <v>0.9788734</v>
      </c>
      <c r="Q4817">
        <v>0.20228679999999999</v>
      </c>
      <c r="R4817">
        <v>2.978049E-2</v>
      </c>
      <c r="S4817">
        <v>3.070068</v>
      </c>
      <c r="T4817">
        <v>-4.0501950000000002E-2</v>
      </c>
      <c r="U4817">
        <v>0.10501099999999999</v>
      </c>
      <c r="V4817">
        <v>-3.8464850000000002E-3</v>
      </c>
      <c r="W4817">
        <v>0.2116323</v>
      </c>
      <c r="X4817">
        <v>0.97734180000000004</v>
      </c>
      <c r="Y4817">
        <v>-6.5519519999999998E-3</v>
      </c>
      <c r="Z4817" s="1">
        <v>-2.535102E-5</v>
      </c>
      <c r="AA4817">
        <v>0.99997849999999999</v>
      </c>
      <c r="AB4817">
        <v>27</v>
      </c>
      <c r="AC4817">
        <v>85.004799999999904</v>
      </c>
      <c r="AD4817">
        <v>-1.1229935421399999</v>
      </c>
      <c r="AE4817">
        <v>2.90713</v>
      </c>
      <c r="AF4817">
        <v>-0.55680431600175795</v>
      </c>
      <c r="AG4817">
        <v>-1.1229935421399999</v>
      </c>
      <c r="AH4817">
        <v>85.037849380247806</v>
      </c>
      <c r="AI4817">
        <v>90.756576888260298</v>
      </c>
      <c r="AJ4817">
        <v>90.375151554866605</v>
      </c>
      <c r="AK4817">
        <v>85.047086797607093</v>
      </c>
      <c r="AL4817">
        <v>77.781973759151597</v>
      </c>
      <c r="AM4817">
        <v>90.225495541662298</v>
      </c>
      <c r="AN4817">
        <v>1.0000000099386901</v>
      </c>
    </row>
    <row r="4818" spans="1:40" x14ac:dyDescent="0.25">
      <c r="A4818" t="str">
        <f>"20190303170909986"</f>
        <v>20190303170909986</v>
      </c>
      <c r="B4818" t="str">
        <f>"1551604149979142"</f>
        <v>1551604149979142</v>
      </c>
      <c r="C4818" t="s">
        <v>40</v>
      </c>
      <c r="D4818">
        <v>5.0667350000000004</v>
      </c>
      <c r="E4818">
        <v>0.50320039999999999</v>
      </c>
      <c r="F4818" t="s">
        <v>59</v>
      </c>
      <c r="G4818">
        <v>-191.47499999999999</v>
      </c>
      <c r="H4818" s="1">
        <v>-9.2794389999999996E-6</v>
      </c>
      <c r="I4818">
        <v>-62.0387699999999</v>
      </c>
      <c r="J4818">
        <v>-273.85509999999999</v>
      </c>
      <c r="K4818">
        <v>1.122976</v>
      </c>
      <c r="L4818">
        <v>-64.941379999999995</v>
      </c>
      <c r="M4818">
        <v>0.99953530000000002</v>
      </c>
      <c r="N4818">
        <v>-9.4800769999999999E-3</v>
      </c>
      <c r="O4818">
        <v>2.8973019999999999E-2</v>
      </c>
      <c r="P4818">
        <v>0.97879899999999997</v>
      </c>
      <c r="Q4818">
        <v>0.20247889999999999</v>
      </c>
      <c r="R4818">
        <v>3.0899380000000001E-2</v>
      </c>
      <c r="S4818">
        <v>3.0700989999999999</v>
      </c>
      <c r="T4818">
        <v>-4.1789769999999997E-2</v>
      </c>
      <c r="U4818">
        <v>0.1081848</v>
      </c>
      <c r="V4818">
        <v>-3.6585879999999999E-3</v>
      </c>
      <c r="W4818">
        <v>0.2117366</v>
      </c>
      <c r="X4818">
        <v>0.97731990000000002</v>
      </c>
      <c r="Y4818">
        <v>-6.2444889999999998E-3</v>
      </c>
      <c r="Z4818" s="1">
        <v>-4.7401429999999999E-5</v>
      </c>
      <c r="AA4818">
        <v>0.99998050000000005</v>
      </c>
      <c r="AB4818">
        <v>28</v>
      </c>
      <c r="AC4818">
        <v>82.380099999999999</v>
      </c>
      <c r="AD4818">
        <v>-1.1229852794390001</v>
      </c>
      <c r="AE4818">
        <v>2.9026100000000099</v>
      </c>
      <c r="AF4818">
        <v>-0.51438849216439297</v>
      </c>
      <c r="AG4818">
        <v>-1.1229852794390001</v>
      </c>
      <c r="AH4818">
        <v>82.4143187523172</v>
      </c>
      <c r="AI4818">
        <v>90.780654177948094</v>
      </c>
      <c r="AJ4818">
        <v>90.3576066316664</v>
      </c>
      <c r="AK4818">
        <v>82.4235744606314</v>
      </c>
      <c r="AL4818">
        <v>77.7758588708883</v>
      </c>
      <c r="AM4818">
        <v>90.214485218393804</v>
      </c>
      <c r="AN4818">
        <v>0.99999997999086099</v>
      </c>
    </row>
    <row r="4819" spans="1:40" x14ac:dyDescent="0.25">
      <c r="A4819" t="str">
        <f>"20190303170909997"</f>
        <v>20190303170909997</v>
      </c>
      <c r="B4819" t="str">
        <f>"1551604149988901"</f>
        <v>1551604149988901</v>
      </c>
      <c r="C4819" t="s">
        <v>40</v>
      </c>
      <c r="D4819">
        <v>5.0648730000000004</v>
      </c>
      <c r="E4819">
        <v>0.50334690000000004</v>
      </c>
      <c r="F4819" t="s">
        <v>59</v>
      </c>
      <c r="G4819">
        <v>-190.35679999999999</v>
      </c>
      <c r="H4819" s="1">
        <v>-9.7598960000000002E-6</v>
      </c>
      <c r="I4819">
        <v>-61.944209999999998</v>
      </c>
      <c r="J4819">
        <v>-273.7278</v>
      </c>
      <c r="K4819">
        <v>1.1229709999999999</v>
      </c>
      <c r="L4819">
        <v>-64.936279999999996</v>
      </c>
      <c r="M4819">
        <v>0.99949429999999995</v>
      </c>
      <c r="N4819">
        <v>-9.3825000000000002E-3</v>
      </c>
      <c r="O4819">
        <v>3.038283E-2</v>
      </c>
      <c r="P4819">
        <v>0.97873279999999996</v>
      </c>
      <c r="Q4819">
        <v>0.20263919999999999</v>
      </c>
      <c r="R4819">
        <v>3.1933620000000003E-2</v>
      </c>
      <c r="S4819">
        <v>3.0700379999999998</v>
      </c>
      <c r="T4819">
        <v>-4.1289569999999998E-2</v>
      </c>
      <c r="U4819">
        <v>0.11019900000000001</v>
      </c>
      <c r="V4819">
        <v>-3.3164790000000002E-3</v>
      </c>
      <c r="W4819">
        <v>0.2118033</v>
      </c>
      <c r="X4819">
        <v>0.97730669999999997</v>
      </c>
      <c r="Y4819">
        <v>-5.4901159999999997E-3</v>
      </c>
      <c r="Z4819" s="1">
        <v>-6.0651189999999999E-5</v>
      </c>
      <c r="AA4819">
        <v>0.99998489999999995</v>
      </c>
      <c r="AB4819">
        <v>28</v>
      </c>
      <c r="AC4819">
        <v>83.370999999999995</v>
      </c>
      <c r="AD4819">
        <v>-1.122980759896</v>
      </c>
      <c r="AE4819">
        <v>2.9920700000000102</v>
      </c>
      <c r="AF4819">
        <v>-0.45744723947929999</v>
      </c>
      <c r="AG4819">
        <v>-1.122980759896</v>
      </c>
      <c r="AH4819">
        <v>83.408305220106001</v>
      </c>
      <c r="AI4819">
        <v>90.771352481406296</v>
      </c>
      <c r="AJ4819">
        <v>90.314231698144098</v>
      </c>
      <c r="AK4819">
        <v>83.417118887278505</v>
      </c>
      <c r="AL4819">
        <v>77.771948944492706</v>
      </c>
      <c r="AM4819">
        <v>90.194431819754598</v>
      </c>
      <c r="AN4819">
        <v>1.0000000113943599</v>
      </c>
    </row>
    <row r="4820" spans="1:40" x14ac:dyDescent="0.25">
      <c r="A4820" t="str">
        <f>"20190303170910010"</f>
        <v>20190303170910010</v>
      </c>
      <c r="B4820" t="str">
        <f>"1551604149998662"</f>
        <v>1551604149998662</v>
      </c>
      <c r="C4820" t="s">
        <v>40</v>
      </c>
      <c r="D4820">
        <v>5.0597820000000002</v>
      </c>
      <c r="E4820">
        <v>0.5034845</v>
      </c>
      <c r="F4820" t="s">
        <v>59</v>
      </c>
      <c r="G4820">
        <v>-190.47669999999999</v>
      </c>
      <c r="H4820" s="1">
        <v>-9.7020370000000008E-6</v>
      </c>
      <c r="I4820">
        <v>-61.881810000000002</v>
      </c>
      <c r="J4820">
        <v>-273.57459999999998</v>
      </c>
      <c r="K4820">
        <v>1.1229629999999999</v>
      </c>
      <c r="L4820">
        <v>-64.929990000000004</v>
      </c>
      <c r="M4820">
        <v>0.99944230000000001</v>
      </c>
      <c r="N4820">
        <v>-9.2642920000000004E-3</v>
      </c>
      <c r="O4820">
        <v>3.2080749999999998E-2</v>
      </c>
      <c r="P4820">
        <v>0.97860349999999996</v>
      </c>
      <c r="Q4820">
        <v>0.20296159999999999</v>
      </c>
      <c r="R4820">
        <v>3.3792889999999999E-2</v>
      </c>
      <c r="S4820">
        <v>3.070068</v>
      </c>
      <c r="T4820">
        <v>-4.1412350000000001E-2</v>
      </c>
      <c r="U4820">
        <v>0.1126404</v>
      </c>
      <c r="V4820">
        <v>-3.5199680000000001E-3</v>
      </c>
      <c r="W4820">
        <v>0.21200830000000001</v>
      </c>
      <c r="X4820">
        <v>0.97726150000000001</v>
      </c>
      <c r="Y4820">
        <v>-4.5853420000000001E-3</v>
      </c>
      <c r="Z4820" s="1">
        <v>-8.3101879999999997E-5</v>
      </c>
      <c r="AA4820">
        <v>0.99998949999999998</v>
      </c>
      <c r="AB4820">
        <v>28</v>
      </c>
      <c r="AC4820">
        <v>83.097899999999896</v>
      </c>
      <c r="AD4820">
        <v>-1.1229727020369999</v>
      </c>
      <c r="AE4820">
        <v>3.0481799999999999</v>
      </c>
      <c r="AF4820">
        <v>-0.38058401630321897</v>
      </c>
      <c r="AG4820">
        <v>-1.1229727020369999</v>
      </c>
      <c r="AH4820">
        <v>83.137753734137704</v>
      </c>
      <c r="AI4820">
        <v>90.773860332027695</v>
      </c>
      <c r="AJ4820">
        <v>90.262284035675606</v>
      </c>
      <c r="AK4820">
        <v>83.146208619762803</v>
      </c>
      <c r="AL4820">
        <v>77.759929909446697</v>
      </c>
      <c r="AM4820">
        <v>90.206371005373995</v>
      </c>
      <c r="AN4820">
        <v>0.99999997441292998</v>
      </c>
    </row>
    <row r="4821" spans="1:40" x14ac:dyDescent="0.25">
      <c r="A4821" t="str">
        <f>"20190303170910024"</f>
        <v>20190303170910024</v>
      </c>
      <c r="B4821" t="str">
        <f>"1551604150008422"</f>
        <v>1551604150008422</v>
      </c>
      <c r="C4821" t="s">
        <v>40</v>
      </c>
      <c r="D4821">
        <v>5.1170200000000001</v>
      </c>
      <c r="E4821">
        <v>0.50366449999999996</v>
      </c>
      <c r="F4821" t="s">
        <v>59</v>
      </c>
      <c r="G4821">
        <v>-188.15090000000001</v>
      </c>
      <c r="H4821" s="1">
        <v>-1.059176E-5</v>
      </c>
      <c r="I4821">
        <v>-61.653829999999999</v>
      </c>
      <c r="J4821">
        <v>-273.40899999999999</v>
      </c>
      <c r="K4821">
        <v>1.1229530000000001</v>
      </c>
      <c r="L4821">
        <v>-64.922790000000006</v>
      </c>
      <c r="M4821">
        <v>0.99938300000000002</v>
      </c>
      <c r="N4821">
        <v>-9.1360069999999998E-3</v>
      </c>
      <c r="O4821">
        <v>3.3914229999999997E-2</v>
      </c>
      <c r="P4821">
        <v>0.97836140000000005</v>
      </c>
      <c r="Q4821">
        <v>0.20387910000000001</v>
      </c>
      <c r="R4821">
        <v>3.5246699999999999E-2</v>
      </c>
      <c r="S4821">
        <v>3.0699160000000001</v>
      </c>
      <c r="T4821">
        <v>-4.0356870000000003E-2</v>
      </c>
      <c r="U4821">
        <v>0.1177368</v>
      </c>
      <c r="V4821">
        <v>-3.1927420000000001E-3</v>
      </c>
      <c r="W4821">
        <v>0.21280089999999999</v>
      </c>
      <c r="X4821">
        <v>0.97709040000000003</v>
      </c>
      <c r="Y4821">
        <v>-4.4104840000000001E-3</v>
      </c>
      <c r="Z4821" s="1">
        <v>-8.6555689999999995E-5</v>
      </c>
      <c r="AA4821">
        <v>0.9999903</v>
      </c>
      <c r="AB4821">
        <v>28</v>
      </c>
      <c r="AC4821">
        <v>85.258099999999899</v>
      </c>
      <c r="AD4821">
        <v>-1.12296359176</v>
      </c>
      <c r="AE4821">
        <v>3.2689599999999999</v>
      </c>
      <c r="AF4821">
        <v>-0.37543087000956699</v>
      </c>
      <c r="AG4821">
        <v>-1.12296359176</v>
      </c>
      <c r="AH4821">
        <v>85.305142444622405</v>
      </c>
      <c r="AI4821">
        <v>90.754195272188994</v>
      </c>
      <c r="AJ4821">
        <v>90.252159071015797</v>
      </c>
      <c r="AK4821">
        <v>85.313359581392007</v>
      </c>
      <c r="AL4821">
        <v>77.713457574217003</v>
      </c>
      <c r="AM4821">
        <v>90.187219105432604</v>
      </c>
      <c r="AN4821">
        <v>1.0000000332072201</v>
      </c>
    </row>
    <row r="4822" spans="1:40" x14ac:dyDescent="0.25">
      <c r="A4822" t="str">
        <f>"20190303170910036"</f>
        <v>20190303170910036</v>
      </c>
      <c r="B4822" t="str">
        <f>"1551604150027941"</f>
        <v>1551604150027941</v>
      </c>
      <c r="C4822" t="s">
        <v>40</v>
      </c>
      <c r="D4822">
        <v>5.0680529999999999</v>
      </c>
      <c r="E4822">
        <v>0.50398869999999996</v>
      </c>
      <c r="F4822" t="s">
        <v>59</v>
      </c>
      <c r="G4822">
        <v>-182.20179999999999</v>
      </c>
      <c r="H4822" s="1">
        <v>-1.011766E-5</v>
      </c>
      <c r="I4822">
        <v>-61.323230000000002</v>
      </c>
      <c r="J4822">
        <v>-273.26159999999999</v>
      </c>
      <c r="K4822">
        <v>1.1229480000000001</v>
      </c>
      <c r="L4822">
        <v>-64.916200000000003</v>
      </c>
      <c r="M4822">
        <v>0.99932750000000004</v>
      </c>
      <c r="N4822">
        <v>-9.0235920000000004E-3</v>
      </c>
      <c r="O4822">
        <v>3.5544760000000002E-2</v>
      </c>
      <c r="P4822">
        <v>0.97821659999999999</v>
      </c>
      <c r="Q4822">
        <v>0.20429040000000001</v>
      </c>
      <c r="R4822">
        <v>3.6848499999999999E-2</v>
      </c>
      <c r="S4822">
        <v>3.0698850000000002</v>
      </c>
      <c r="T4822">
        <v>-3.7797089999999998E-2</v>
      </c>
      <c r="U4822">
        <v>0.12115480000000001</v>
      </c>
      <c r="V4822">
        <v>-3.2060399999999998E-3</v>
      </c>
      <c r="W4822">
        <v>0.21310100000000001</v>
      </c>
      <c r="X4822">
        <v>0.97702489999999997</v>
      </c>
      <c r="Y4822">
        <v>-3.8910770000000002E-3</v>
      </c>
      <c r="Z4822" s="1">
        <v>-7.5067619999999994E-5</v>
      </c>
      <c r="AA4822">
        <v>0.9999924</v>
      </c>
      <c r="AB4822">
        <v>28</v>
      </c>
      <c r="AC4822">
        <v>91.059799999999996</v>
      </c>
      <c r="AD4822">
        <v>-1.1229581176600001</v>
      </c>
      <c r="AE4822">
        <v>3.5929700000000002</v>
      </c>
      <c r="AF4822">
        <v>-0.35381561902751701</v>
      </c>
      <c r="AG4822">
        <v>-1.1229581176600001</v>
      </c>
      <c r="AH4822">
        <v>91.116134292597707</v>
      </c>
      <c r="AI4822">
        <v>90.706099077539207</v>
      </c>
      <c r="AJ4822">
        <v>90.222485731665302</v>
      </c>
      <c r="AK4822">
        <v>91.123740862922205</v>
      </c>
      <c r="AL4822">
        <v>77.695858859746494</v>
      </c>
      <c r="AM4822">
        <v>90.188011484285994</v>
      </c>
      <c r="AN4822">
        <v>0.99999998505674503</v>
      </c>
    </row>
    <row r="4823" spans="1:40" x14ac:dyDescent="0.25">
      <c r="A4823" t="str">
        <f>"20190303170910046"</f>
        <v>20190303170910046</v>
      </c>
      <c r="B4823" t="str">
        <f>"1551604150038991"</f>
        <v>1551604150038991</v>
      </c>
      <c r="C4823" t="s">
        <v>40</v>
      </c>
      <c r="D4823">
        <v>5.0666830000000003</v>
      </c>
      <c r="E4823">
        <v>0.50398869999999996</v>
      </c>
      <c r="F4823" t="s">
        <v>59</v>
      </c>
      <c r="G4823">
        <v>-179.95769999999999</v>
      </c>
      <c r="H4823">
        <v>5.4489359999999997E-3</v>
      </c>
      <c r="I4823">
        <v>-61.162410000000001</v>
      </c>
      <c r="J4823">
        <v>-273.11919999999998</v>
      </c>
      <c r="K4823">
        <v>1.122941</v>
      </c>
      <c r="L4823">
        <v>-64.909639999999996</v>
      </c>
      <c r="M4823">
        <v>0.99927109999999997</v>
      </c>
      <c r="N4823">
        <v>-8.9163530000000001E-3</v>
      </c>
      <c r="O4823">
        <v>3.7119850000000003E-2</v>
      </c>
      <c r="P4823">
        <v>0.97802960000000005</v>
      </c>
      <c r="Q4823">
        <v>0.20491400000000001</v>
      </c>
      <c r="R4823">
        <v>3.83229E-2</v>
      </c>
      <c r="S4823">
        <v>3.0698240000000001</v>
      </c>
      <c r="T4823">
        <v>-3.676724E-2</v>
      </c>
      <c r="U4823">
        <v>0.12350460000000001</v>
      </c>
      <c r="V4823">
        <v>-3.150234E-3</v>
      </c>
      <c r="W4823">
        <v>0.21361949999999999</v>
      </c>
      <c r="X4823">
        <v>0.9769118</v>
      </c>
      <c r="Y4823">
        <v>-3.0800670000000001E-3</v>
      </c>
      <c r="Z4823" s="1">
        <v>-8.1091549999999998E-5</v>
      </c>
      <c r="AA4823">
        <v>0.99999519999999997</v>
      </c>
      <c r="AB4823">
        <v>28</v>
      </c>
      <c r="AC4823">
        <v>93.161500000000004</v>
      </c>
      <c r="AD4823">
        <v>-1.1174920639999999</v>
      </c>
      <c r="AE4823">
        <v>3.7472300000000001</v>
      </c>
      <c r="AF4823">
        <v>-0.28632797347778499</v>
      </c>
      <c r="AG4823">
        <v>-1.1174920639999999</v>
      </c>
      <c r="AH4823">
        <v>93.223000339298494</v>
      </c>
      <c r="AI4823">
        <v>90.686785558858205</v>
      </c>
      <c r="AJ4823">
        <v>90.175979455602601</v>
      </c>
      <c r="AK4823">
        <v>93.230137640584601</v>
      </c>
      <c r="AL4823">
        <v>77.665450242920301</v>
      </c>
      <c r="AM4823">
        <v>90.184760269095193</v>
      </c>
      <c r="AN4823">
        <v>0.99999993986686997</v>
      </c>
    </row>
    <row r="4824" spans="1:40" x14ac:dyDescent="0.25">
      <c r="A4824" t="str">
        <f>"20190303170910059"</f>
        <v>20190303170910059</v>
      </c>
      <c r="B4824" t="str">
        <f>"1551604150048751"</f>
        <v>1551604150048751</v>
      </c>
      <c r="C4824" t="s">
        <v>40</v>
      </c>
      <c r="D4824">
        <v>5.1852999999999998</v>
      </c>
      <c r="E4824">
        <v>0.50973270000000004</v>
      </c>
      <c r="F4824" t="s">
        <v>59</v>
      </c>
      <c r="G4824">
        <v>-179.94110000000001</v>
      </c>
      <c r="H4824">
        <v>6.6631190000000007E-2</v>
      </c>
      <c r="I4824">
        <v>-61.012509999999999</v>
      </c>
      <c r="J4824">
        <v>-272.97480000000002</v>
      </c>
      <c r="K4824">
        <v>1.1229340000000001</v>
      </c>
      <c r="L4824">
        <v>-64.902649999999994</v>
      </c>
      <c r="M4824">
        <v>0.99921139999999997</v>
      </c>
      <c r="N4824">
        <v>-8.8091980000000007E-3</v>
      </c>
      <c r="O4824">
        <v>3.8715979999999997E-2</v>
      </c>
      <c r="P4824">
        <v>0.9778365</v>
      </c>
      <c r="Q4824">
        <v>0.20551230000000001</v>
      </c>
      <c r="R4824">
        <v>4.0007389999999997E-2</v>
      </c>
      <c r="S4824">
        <v>3.0696720000000002</v>
      </c>
      <c r="T4824">
        <v>-3.4799219999999999E-2</v>
      </c>
      <c r="U4824">
        <v>0.12838749999999999</v>
      </c>
      <c r="V4824">
        <v>-3.283565E-3</v>
      </c>
      <c r="W4824">
        <v>0.21411089999999999</v>
      </c>
      <c r="X4824">
        <v>0.9768038</v>
      </c>
      <c r="Y4824">
        <v>-3.0727380000000002E-3</v>
      </c>
      <c r="Z4824" s="1">
        <v>-6.6530590000000002E-5</v>
      </c>
      <c r="AA4824">
        <v>0.99999530000000003</v>
      </c>
      <c r="AB4824">
        <v>28</v>
      </c>
      <c r="AC4824">
        <v>93.033699999999996</v>
      </c>
      <c r="AD4824">
        <v>-1.05630281</v>
      </c>
      <c r="AE4824">
        <v>3.8901399999999899</v>
      </c>
      <c r="AF4824">
        <v>-0.28515574393932802</v>
      </c>
      <c r="AG4824">
        <v>-1.05630281</v>
      </c>
      <c r="AH4824">
        <v>93.102578323830201</v>
      </c>
      <c r="AI4824">
        <v>90.6500229481221</v>
      </c>
      <c r="AJ4824">
        <v>90.1754856829685</v>
      </c>
      <c r="AK4824">
        <v>93.109006975531898</v>
      </c>
      <c r="AL4824">
        <v>77.6366285170824</v>
      </c>
      <c r="AM4824">
        <v>90.192601326515202</v>
      </c>
      <c r="AN4824">
        <v>0.99999996149617798</v>
      </c>
    </row>
    <row r="4825" spans="1:40" x14ac:dyDescent="0.25">
      <c r="A4825" t="str">
        <f>"20190303170910078"</f>
        <v>20190303170910078</v>
      </c>
      <c r="B4825" t="str">
        <f>"1551604150068271"</f>
        <v>1551604150068271</v>
      </c>
      <c r="C4825" t="s">
        <v>40</v>
      </c>
      <c r="D4825">
        <v>4.6970210000000003</v>
      </c>
      <c r="E4825">
        <v>0.50995369999999995</v>
      </c>
      <c r="F4825" t="s">
        <v>59</v>
      </c>
      <c r="G4825">
        <v>-178.33670000000001</v>
      </c>
      <c r="H4825">
        <v>7.9986390000000004E-2</v>
      </c>
      <c r="I4825">
        <v>-62.190800000000003</v>
      </c>
      <c r="J4825">
        <v>-272.74959999999999</v>
      </c>
      <c r="K4825">
        <v>1.122927</v>
      </c>
      <c r="L4825">
        <v>-64.891419999999997</v>
      </c>
      <c r="M4825">
        <v>0.99911340000000004</v>
      </c>
      <c r="N4825">
        <v>-8.6440419999999994E-3</v>
      </c>
      <c r="O4825">
        <v>4.1204959999999999E-2</v>
      </c>
      <c r="P4825">
        <v>0.97763960000000005</v>
      </c>
      <c r="Q4825">
        <v>0.20597499999999999</v>
      </c>
      <c r="R4825">
        <v>4.2372989999999999E-2</v>
      </c>
      <c r="S4825">
        <v>3.071472</v>
      </c>
      <c r="T4825">
        <v>-3.3848759999999999E-2</v>
      </c>
      <c r="U4825">
        <v>8.8012699999999999E-2</v>
      </c>
      <c r="V4825">
        <v>-3.2241940000000001E-3</v>
      </c>
      <c r="W4825">
        <v>0.21441180000000001</v>
      </c>
      <c r="X4825">
        <v>0.976738</v>
      </c>
      <c r="Y4825">
        <v>1.256931E-2</v>
      </c>
      <c r="Z4825">
        <v>-2.211696E-4</v>
      </c>
      <c r="AA4825">
        <v>0.99992099999999995</v>
      </c>
      <c r="AB4825">
        <v>28</v>
      </c>
      <c r="AC4825">
        <v>94.412899999999894</v>
      </c>
      <c r="AD4825">
        <v>-1.04294061</v>
      </c>
      <c r="AE4825">
        <v>2.70061999999999</v>
      </c>
      <c r="AF4825">
        <v>1.1919532512954201</v>
      </c>
      <c r="AG4825">
        <v>-1.04294061</v>
      </c>
      <c r="AH4825">
        <v>94.432479739838001</v>
      </c>
      <c r="AI4825">
        <v>90.632715638558395</v>
      </c>
      <c r="AJ4825">
        <v>89.276835000994495</v>
      </c>
      <c r="AK4825">
        <v>94.445760664437401</v>
      </c>
      <c r="AL4825">
        <v>77.618978396566604</v>
      </c>
      <c r="AM4825">
        <v>90.189131617237294</v>
      </c>
      <c r="AN4825">
        <v>0.99999996802509405</v>
      </c>
    </row>
    <row r="4826" spans="1:40" x14ac:dyDescent="0.25">
      <c r="A4826" t="str">
        <f>"20190303170910089"</f>
        <v>20190303170910089</v>
      </c>
      <c r="B4826" t="str">
        <f>"1551604150079007"</f>
        <v>1551604150079007</v>
      </c>
      <c r="C4826" t="s">
        <v>40</v>
      </c>
      <c r="D4826">
        <v>5.1247579999999999</v>
      </c>
      <c r="E4826">
        <v>0.51064339999999997</v>
      </c>
      <c r="F4826" t="s">
        <v>59</v>
      </c>
      <c r="G4826">
        <v>-183.15440000000001</v>
      </c>
      <c r="H4826" s="1">
        <v>-9.9148970000000007E-6</v>
      </c>
      <c r="I4826">
        <v>-62.142650000000003</v>
      </c>
      <c r="J4826">
        <v>-272.59649999999999</v>
      </c>
      <c r="K4826">
        <v>1.122916</v>
      </c>
      <c r="L4826">
        <v>-64.883510000000001</v>
      </c>
      <c r="M4826">
        <v>0.99904300000000001</v>
      </c>
      <c r="N4826">
        <v>-8.5331820000000003E-3</v>
      </c>
      <c r="O4826">
        <v>4.2896620000000003E-2</v>
      </c>
      <c r="P4826">
        <v>0.97752570000000005</v>
      </c>
      <c r="Q4826">
        <v>0.2062051</v>
      </c>
      <c r="R4826">
        <v>4.3851460000000002E-2</v>
      </c>
      <c r="S4826">
        <v>3.0726619999999998</v>
      </c>
      <c r="T4826">
        <v>-3.8511040000000003E-2</v>
      </c>
      <c r="U4826">
        <v>9.42688E-2</v>
      </c>
      <c r="V4826">
        <v>-3.053648E-3</v>
      </c>
      <c r="W4826">
        <v>0.2145338</v>
      </c>
      <c r="X4826">
        <v>0.97671180000000002</v>
      </c>
      <c r="Y4826">
        <v>1.2238870000000001E-2</v>
      </c>
      <c r="Z4826">
        <v>-3.0008900000000002E-4</v>
      </c>
      <c r="AA4826">
        <v>0.99992510000000001</v>
      </c>
      <c r="AB4826">
        <v>28</v>
      </c>
      <c r="AC4826">
        <v>89.442099999999897</v>
      </c>
      <c r="AD4826">
        <v>-1.1229259148970001</v>
      </c>
      <c r="AE4826">
        <v>2.7408599999999899</v>
      </c>
      <c r="AF4826">
        <v>1.0983938882753199</v>
      </c>
      <c r="AG4826">
        <v>-1.1229259148970001</v>
      </c>
      <c r="AH4826">
        <v>89.463253725643696</v>
      </c>
      <c r="AI4826">
        <v>90.719073882899394</v>
      </c>
      <c r="AJ4826">
        <v>89.296580780059401</v>
      </c>
      <c r="AK4826">
        <v>89.477042859736102</v>
      </c>
      <c r="AL4826">
        <v>77.611822281795597</v>
      </c>
      <c r="AM4826">
        <v>90.179132239884396</v>
      </c>
      <c r="AN4826">
        <v>1.00000000818389</v>
      </c>
    </row>
    <row r="4827" spans="1:40" x14ac:dyDescent="0.25">
      <c r="A4827" t="str">
        <f>"20190303170910109"</f>
        <v>20190303170910109</v>
      </c>
      <c r="B4827" t="str">
        <f>"1551604150098527"</f>
        <v>1551604150098527</v>
      </c>
      <c r="C4827" t="s">
        <v>40</v>
      </c>
      <c r="D4827">
        <v>5.1180159999999999</v>
      </c>
      <c r="E4827">
        <v>0.51092070000000001</v>
      </c>
      <c r="F4827" t="s">
        <v>59</v>
      </c>
      <c r="G4827">
        <v>-187.4563</v>
      </c>
      <c r="H4827" s="1">
        <v>-1.029393E-5</v>
      </c>
      <c r="I4827">
        <v>-62.282130000000002</v>
      </c>
      <c r="J4827">
        <v>-272.34249999999997</v>
      </c>
      <c r="K4827">
        <v>1.1229070000000001</v>
      </c>
      <c r="L4827">
        <v>-64.869720000000001</v>
      </c>
      <c r="M4827">
        <v>0.99892029999999998</v>
      </c>
      <c r="N4827">
        <v>-8.3593909999999903E-3</v>
      </c>
      <c r="O4827">
        <v>4.5700379999999999E-2</v>
      </c>
      <c r="P4827">
        <v>0.97733590000000004</v>
      </c>
      <c r="Q4827">
        <v>0.20670040000000001</v>
      </c>
      <c r="R4827">
        <v>4.5710859999999999E-2</v>
      </c>
      <c r="S4827">
        <v>3.073334</v>
      </c>
      <c r="T4827">
        <v>-4.053462E-2</v>
      </c>
      <c r="U4827">
        <v>9.3902589999999994E-2</v>
      </c>
      <c r="V4827">
        <v>-2.1821000000000002E-3</v>
      </c>
      <c r="W4827">
        <v>0.214863</v>
      </c>
      <c r="X4827">
        <v>0.9766418</v>
      </c>
      <c r="Y4827">
        <v>1.517016E-2</v>
      </c>
      <c r="Z4827">
        <v>-3.8365369999999999E-4</v>
      </c>
      <c r="AA4827">
        <v>0.99988480000000002</v>
      </c>
      <c r="AB4827">
        <v>28</v>
      </c>
      <c r="AC4827">
        <v>84.886199999999903</v>
      </c>
      <c r="AD4827">
        <v>-1.1229172939299901</v>
      </c>
      <c r="AE4827">
        <v>2.5875899999999898</v>
      </c>
      <c r="AF4827">
        <v>1.2943542477446399</v>
      </c>
      <c r="AG4827">
        <v>-1.1229172939299901</v>
      </c>
      <c r="AH4827">
        <v>84.900918688978294</v>
      </c>
      <c r="AI4827">
        <v>90.757673734825005</v>
      </c>
      <c r="AJ4827">
        <v>89.126566685874096</v>
      </c>
      <c r="AK4827">
        <v>84.9182094158854</v>
      </c>
      <c r="AL4827">
        <v>77.592510535029803</v>
      </c>
      <c r="AM4827">
        <v>90.128015115093703</v>
      </c>
      <c r="AN4827">
        <v>1.00000003791832</v>
      </c>
    </row>
    <row r="4828" spans="1:40" x14ac:dyDescent="0.25">
      <c r="A4828" t="str">
        <f>"20190303170910119"</f>
        <v>20190303170910119</v>
      </c>
      <c r="B4828" t="str">
        <f>"1551604150108288"</f>
        <v>1551604150108288</v>
      </c>
      <c r="C4828" t="s">
        <v>40</v>
      </c>
      <c r="D4828">
        <v>4.8566260000000003</v>
      </c>
      <c r="E4828">
        <v>0.51107630000000004</v>
      </c>
      <c r="F4828" t="s">
        <v>59</v>
      </c>
      <c r="G4828">
        <v>-186.83519999999999</v>
      </c>
      <c r="H4828" s="1">
        <v>-1.028879E-5</v>
      </c>
      <c r="I4828">
        <v>-62.125619999999998</v>
      </c>
      <c r="J4828">
        <v>-272.21719999999999</v>
      </c>
      <c r="K4828">
        <v>1.1229039999999999</v>
      </c>
      <c r="L4828">
        <v>-64.862610000000004</v>
      </c>
      <c r="M4828">
        <v>0.99885670000000004</v>
      </c>
      <c r="N4828">
        <v>-8.2787309999999992E-3</v>
      </c>
      <c r="O4828">
        <v>4.7082569999999997E-2</v>
      </c>
      <c r="P4828">
        <v>0.97726760000000001</v>
      </c>
      <c r="Q4828">
        <v>0.2068284</v>
      </c>
      <c r="R4828">
        <v>4.658607E-2</v>
      </c>
      <c r="S4828">
        <v>3.0734560000000002</v>
      </c>
      <c r="T4828">
        <v>-4.0361880000000003E-2</v>
      </c>
      <c r="U4828">
        <v>9.8632810000000001E-2</v>
      </c>
      <c r="V4828">
        <v>-1.7093939999999999E-3</v>
      </c>
      <c r="W4828">
        <v>0.21491479999999999</v>
      </c>
      <c r="X4828">
        <v>0.97663129999999998</v>
      </c>
      <c r="Y4828">
        <v>1.5017559999999999E-2</v>
      </c>
      <c r="Z4828">
        <v>-3.8873119999999998E-4</v>
      </c>
      <c r="AA4828">
        <v>0.99988719999999998</v>
      </c>
      <c r="AB4828">
        <v>28</v>
      </c>
      <c r="AC4828">
        <v>85.382000000000005</v>
      </c>
      <c r="AD4828">
        <v>-1.1229142887899899</v>
      </c>
      <c r="AE4828">
        <v>2.73699</v>
      </c>
      <c r="AF4828">
        <v>1.2859650609933</v>
      </c>
      <c r="AG4828">
        <v>-1.1229142887899899</v>
      </c>
      <c r="AH4828">
        <v>85.401417509295598</v>
      </c>
      <c r="AI4828">
        <v>90.753233991668594</v>
      </c>
      <c r="AJ4828">
        <v>89.137311712855706</v>
      </c>
      <c r="AK4828">
        <v>85.418480173994496</v>
      </c>
      <c r="AL4828">
        <v>77.589471075416995</v>
      </c>
      <c r="AM4828">
        <v>90.100284479628897</v>
      </c>
      <c r="AN4828">
        <v>0.99999999471328804</v>
      </c>
    </row>
    <row r="4829" spans="1:40" x14ac:dyDescent="0.25">
      <c r="A4829" t="str">
        <f>"20190303170910130"</f>
        <v>20190303170910130</v>
      </c>
      <c r="B4829" t="str">
        <f>"1551604150119024"</f>
        <v>1551604150119024</v>
      </c>
      <c r="C4829" t="s">
        <v>40</v>
      </c>
      <c r="D4829">
        <v>4.92164</v>
      </c>
      <c r="E4829">
        <v>0.51143739999999904</v>
      </c>
      <c r="F4829" t="s">
        <v>59</v>
      </c>
      <c r="G4829">
        <v>-184.48840000000001</v>
      </c>
      <c r="H4829" s="1">
        <v>-1.010317E-5</v>
      </c>
      <c r="I4829">
        <v>-61.991340000000001</v>
      </c>
      <c r="J4829">
        <v>-272.08120000000002</v>
      </c>
      <c r="K4829">
        <v>1.1229</v>
      </c>
      <c r="L4829">
        <v>-64.854830000000007</v>
      </c>
      <c r="M4829">
        <v>0.9987857</v>
      </c>
      <c r="N4829">
        <v>-8.1919990000000002E-3</v>
      </c>
      <c r="O4829">
        <v>4.8582359999999998E-2</v>
      </c>
      <c r="P4829">
        <v>0.97725359999999994</v>
      </c>
      <c r="Q4829">
        <v>0.20663280000000001</v>
      </c>
      <c r="R4829">
        <v>4.7729899999999999E-2</v>
      </c>
      <c r="S4829">
        <v>3.0733030000000001</v>
      </c>
      <c r="T4829">
        <v>-3.9337749999999998E-2</v>
      </c>
      <c r="U4829">
        <v>0.10058590000000001</v>
      </c>
      <c r="V4829">
        <v>-1.385357E-3</v>
      </c>
      <c r="W4829">
        <v>0.21463670000000001</v>
      </c>
      <c r="X4829">
        <v>0.97669300000000003</v>
      </c>
      <c r="Y4829">
        <v>1.588256E-2</v>
      </c>
      <c r="Z4829">
        <v>-3.8996279999999999E-4</v>
      </c>
      <c r="AA4829">
        <v>0.99987380000000003</v>
      </c>
      <c r="AB4829">
        <v>28</v>
      </c>
      <c r="AC4829">
        <v>87.592799999999997</v>
      </c>
      <c r="AD4829">
        <v>-1.12291010317</v>
      </c>
      <c r="AE4829">
        <v>2.8634900000000001</v>
      </c>
      <c r="AF4829">
        <v>1.3952696859737399</v>
      </c>
      <c r="AG4829">
        <v>-1.12291010317</v>
      </c>
      <c r="AH4829">
        <v>87.614098043640993</v>
      </c>
      <c r="AI4829">
        <v>90.734200695295499</v>
      </c>
      <c r="AJ4829">
        <v>89.087631911400706</v>
      </c>
      <c r="AK4829">
        <v>87.632402001754699</v>
      </c>
      <c r="AL4829">
        <v>77.605786132901002</v>
      </c>
      <c r="AM4829">
        <v>90.081269197165597</v>
      </c>
      <c r="AN4829">
        <v>1.00000002422495</v>
      </c>
    </row>
    <row r="4830" spans="1:40" x14ac:dyDescent="0.25">
      <c r="A4830" t="str">
        <f>"20190303170910141"</f>
        <v>20190303170910141</v>
      </c>
      <c r="B4830" t="str">
        <f>"1551604150128783"</f>
        <v>1551604150128783</v>
      </c>
      <c r="C4830" t="s">
        <v>40</v>
      </c>
      <c r="D4830">
        <v>4.8941540000000003</v>
      </c>
      <c r="E4830">
        <v>0.51154630000000001</v>
      </c>
      <c r="F4830" t="s">
        <v>59</v>
      </c>
      <c r="G4830">
        <v>-187.2081</v>
      </c>
      <c r="H4830" s="1">
        <v>-1.0355909999999999E-5</v>
      </c>
      <c r="I4830">
        <v>-62.043460000000003</v>
      </c>
      <c r="J4830">
        <v>-271.9341</v>
      </c>
      <c r="K4830">
        <v>1.1228940000000001</v>
      </c>
      <c r="L4830">
        <v>-64.846009999999893</v>
      </c>
      <c r="M4830">
        <v>0.99870619999999999</v>
      </c>
      <c r="N4830">
        <v>-8.1043820000000003E-3</v>
      </c>
      <c r="O4830">
        <v>5.0203699999999997E-2</v>
      </c>
      <c r="P4830">
        <v>0.97725740000000005</v>
      </c>
      <c r="Q4830">
        <v>0.20626359999999999</v>
      </c>
      <c r="R4830">
        <v>4.9229920000000003E-2</v>
      </c>
      <c r="S4830">
        <v>3.0734560000000002</v>
      </c>
      <c r="T4830">
        <v>-4.0663240000000003E-2</v>
      </c>
      <c r="U4830">
        <v>0.1018066</v>
      </c>
      <c r="V4830">
        <v>-1.2970029999999999E-3</v>
      </c>
      <c r="W4830">
        <v>0.21418309999999999</v>
      </c>
      <c r="X4830">
        <v>0.97679269999999996</v>
      </c>
      <c r="Y4830">
        <v>1.7110170000000001E-2</v>
      </c>
      <c r="Z4830">
        <v>-4.3919899999999998E-4</v>
      </c>
      <c r="AA4830">
        <v>0.99985349999999995</v>
      </c>
      <c r="AB4830">
        <v>28</v>
      </c>
      <c r="AC4830">
        <v>84.725999999999999</v>
      </c>
      <c r="AD4830">
        <v>-1.12290435591</v>
      </c>
      <c r="AE4830">
        <v>2.8025499999999899</v>
      </c>
      <c r="AF4830">
        <v>1.45442708438891</v>
      </c>
      <c r="AG4830">
        <v>-1.12290435591</v>
      </c>
      <c r="AH4830">
        <v>84.744987105651305</v>
      </c>
      <c r="AI4830">
        <v>90.759035385555293</v>
      </c>
      <c r="AJ4830">
        <v>89.016763633696399</v>
      </c>
      <c r="AK4830">
        <v>84.764904954074794</v>
      </c>
      <c r="AL4830">
        <v>77.632394384621705</v>
      </c>
      <c r="AM4830">
        <v>90.076078326795596</v>
      </c>
      <c r="AN4830">
        <v>1.00000003065784</v>
      </c>
    </row>
    <row r="4831" spans="1:40" x14ac:dyDescent="0.25">
      <c r="A4831" t="str">
        <f>"20190303170910154"</f>
        <v>20190303170910154</v>
      </c>
      <c r="B4831" t="str">
        <f>"1551604150148345"</f>
        <v>1551604150148345</v>
      </c>
      <c r="C4831" t="s">
        <v>40</v>
      </c>
      <c r="D4831">
        <v>5.0676139999999998</v>
      </c>
      <c r="E4831">
        <v>0.51155779999999995</v>
      </c>
      <c r="F4831" t="s">
        <v>59</v>
      </c>
      <c r="G4831">
        <v>-188.64080000000001</v>
      </c>
      <c r="H4831" s="1">
        <v>-1.052706E-5</v>
      </c>
      <c r="I4831">
        <v>-61.975909999999999</v>
      </c>
      <c r="J4831">
        <v>-271.78919999999999</v>
      </c>
      <c r="K4831">
        <v>1.1228899999999999</v>
      </c>
      <c r="L4831">
        <v>-64.837220000000002</v>
      </c>
      <c r="M4831">
        <v>0.99862530000000005</v>
      </c>
      <c r="N4831">
        <v>-8.0202880000000004E-3</v>
      </c>
      <c r="O4831">
        <v>5.1799980000000002E-2</v>
      </c>
      <c r="P4831">
        <v>0.97721930000000001</v>
      </c>
      <c r="Q4831">
        <v>0.2059811</v>
      </c>
      <c r="R4831">
        <v>5.113123E-2</v>
      </c>
      <c r="S4831">
        <v>3.0732119999999998</v>
      </c>
      <c r="T4831">
        <v>-4.1430950000000001E-2</v>
      </c>
      <c r="U4831">
        <v>0.105896</v>
      </c>
      <c r="V4831">
        <v>-1.6352879999999999E-3</v>
      </c>
      <c r="W4831">
        <v>0.21381700000000001</v>
      </c>
      <c r="X4831">
        <v>0.97687239999999997</v>
      </c>
      <c r="Y4831">
        <v>1.7376550000000001E-2</v>
      </c>
      <c r="Z4831">
        <v>-4.6894299999999999E-4</v>
      </c>
      <c r="AA4831">
        <v>0.99984890000000004</v>
      </c>
      <c r="AB4831">
        <v>28</v>
      </c>
      <c r="AC4831">
        <v>83.148399999999896</v>
      </c>
      <c r="AD4831">
        <v>-1.1229005270600001</v>
      </c>
      <c r="AE4831">
        <v>2.86131</v>
      </c>
      <c r="AF4831">
        <v>1.4494914460871999</v>
      </c>
      <c r="AG4831">
        <v>-1.1229005270600001</v>
      </c>
      <c r="AH4831">
        <v>83.169834493890605</v>
      </c>
      <c r="AI4831">
        <v>90.773402829396801</v>
      </c>
      <c r="AJ4831">
        <v>89.0015450208071</v>
      </c>
      <c r="AK4831">
        <v>83.190043279151595</v>
      </c>
      <c r="AL4831">
        <v>77.653867881894897</v>
      </c>
      <c r="AM4831">
        <v>90.095913256601705</v>
      </c>
      <c r="AN4831">
        <v>1.0000000347688001</v>
      </c>
    </row>
    <row r="4832" spans="1:40" x14ac:dyDescent="0.25">
      <c r="A4832" t="str">
        <f>"20190303170910164"</f>
        <v>20190303170910164</v>
      </c>
      <c r="B4832" t="str">
        <f>"1551604150159082"</f>
        <v>1551604150159082</v>
      </c>
      <c r="C4832" t="s">
        <v>40</v>
      </c>
      <c r="D4832">
        <v>5.1871980000000004</v>
      </c>
      <c r="E4832">
        <v>0.51627630000000002</v>
      </c>
      <c r="F4832" t="s">
        <v>59</v>
      </c>
      <c r="G4832">
        <v>-189.93180000000001</v>
      </c>
      <c r="H4832" s="1">
        <v>-1.071456E-5</v>
      </c>
      <c r="I4832">
        <v>-61.855449999999998</v>
      </c>
      <c r="J4832">
        <v>-271.64879999999999</v>
      </c>
      <c r="K4832">
        <v>1.1228880000000001</v>
      </c>
      <c r="L4832">
        <v>-64.828429999999997</v>
      </c>
      <c r="M4832">
        <v>0.9985446</v>
      </c>
      <c r="N4832">
        <v>-7.9420250000000001E-3</v>
      </c>
      <c r="O4832">
        <v>5.3345530000000002E-2</v>
      </c>
      <c r="P4832">
        <v>0.97717949999999998</v>
      </c>
      <c r="Q4832">
        <v>0.2057909</v>
      </c>
      <c r="R4832">
        <v>5.2636500000000003E-2</v>
      </c>
      <c r="S4832">
        <v>3.0729980000000001</v>
      </c>
      <c r="T4832">
        <v>-4.2154669999999998E-2</v>
      </c>
      <c r="U4832">
        <v>0.1119385</v>
      </c>
      <c r="V4832">
        <v>-1.628864E-3</v>
      </c>
      <c r="W4832">
        <v>0.2135505</v>
      </c>
      <c r="X4832">
        <v>0.97693070000000004</v>
      </c>
      <c r="Y4832">
        <v>1.6957960000000001E-2</v>
      </c>
      <c r="Z4832">
        <v>-4.9092059999999895E-4</v>
      </c>
      <c r="AA4832">
        <v>0.99985610000000003</v>
      </c>
      <c r="AB4832">
        <v>28</v>
      </c>
      <c r="AC4832">
        <v>81.716999999999899</v>
      </c>
      <c r="AD4832">
        <v>-1.12289871455999</v>
      </c>
      <c r="AE4832">
        <v>2.9729800000000099</v>
      </c>
      <c r="AF4832">
        <v>1.3903651244611199</v>
      </c>
      <c r="AG4832">
        <v>-1.12289871455999</v>
      </c>
      <c r="AH4832">
        <v>81.743822359829096</v>
      </c>
      <c r="AI4832">
        <v>90.786897484602804</v>
      </c>
      <c r="AJ4832">
        <v>89.025560946620004</v>
      </c>
      <c r="AK4832">
        <v>81.763356772442805</v>
      </c>
      <c r="AL4832">
        <v>77.6694981742002</v>
      </c>
      <c r="AM4832">
        <v>90.095530774207802</v>
      </c>
      <c r="AN4832">
        <v>1.0000000309253301</v>
      </c>
    </row>
    <row r="4833" spans="1:40" x14ac:dyDescent="0.25">
      <c r="A4833" t="str">
        <f>"20190303170910178"</f>
        <v>20190303170910178</v>
      </c>
      <c r="B4833" t="str">
        <f>"1551604150168841"</f>
        <v>1551604150168841</v>
      </c>
      <c r="C4833" t="s">
        <v>40</v>
      </c>
      <c r="D4833">
        <v>4.9074249999999999</v>
      </c>
      <c r="E4833">
        <v>0.51705469999999998</v>
      </c>
      <c r="F4833" t="s">
        <v>115</v>
      </c>
      <c r="G4833">
        <v>-224.428</v>
      </c>
      <c r="H4833" s="1">
        <v>-1.72895E-6</v>
      </c>
      <c r="I4833">
        <v>-63.582459999999998</v>
      </c>
      <c r="J4833">
        <v>-271.46890000000002</v>
      </c>
      <c r="K4833">
        <v>1.1228860000000001</v>
      </c>
      <c r="L4833">
        <v>-64.816859999999906</v>
      </c>
      <c r="M4833">
        <v>0.99843780000000004</v>
      </c>
      <c r="N4833">
        <v>-7.8449929999999998E-3</v>
      </c>
      <c r="O4833">
        <v>5.5322339999999998E-2</v>
      </c>
      <c r="P4833">
        <v>0.97703499999999999</v>
      </c>
      <c r="Q4833">
        <v>0.20584549999999999</v>
      </c>
      <c r="R4833">
        <v>5.505152E-2</v>
      </c>
      <c r="S4833">
        <v>3.0811160000000002</v>
      </c>
      <c r="T4833">
        <v>-7.3267579999999999E-2</v>
      </c>
      <c r="U4833">
        <v>8.1298830000000002E-2</v>
      </c>
      <c r="V4833">
        <v>-2.1147499999999999E-3</v>
      </c>
      <c r="W4833">
        <v>0.21350720000000001</v>
      </c>
      <c r="X4833">
        <v>0.97693920000000001</v>
      </c>
      <c r="Y4833">
        <v>2.895033E-2</v>
      </c>
      <c r="Z4833">
        <v>-1.3379479999999901E-3</v>
      </c>
      <c r="AA4833">
        <v>0.99958000000000002</v>
      </c>
      <c r="AB4833">
        <v>28</v>
      </c>
      <c r="AC4833">
        <v>47.040900000000001</v>
      </c>
      <c r="AD4833">
        <v>-1.1228877289499899</v>
      </c>
      <c r="AE4833">
        <v>1.2343999999999899</v>
      </c>
      <c r="AF4833">
        <v>1.3692034678387699</v>
      </c>
      <c r="AG4833">
        <v>-1.1228877289499899</v>
      </c>
      <c r="AH4833">
        <v>47.010378604629999</v>
      </c>
      <c r="AI4833">
        <v>91.367724379807001</v>
      </c>
      <c r="AJ4833">
        <v>88.331700132236193</v>
      </c>
      <c r="AK4833">
        <v>47.043716812543899</v>
      </c>
      <c r="AL4833">
        <v>77.672037244617698</v>
      </c>
      <c r="AM4833">
        <v>90.124026203956703</v>
      </c>
      <c r="AN4833">
        <v>0.99999999855802102</v>
      </c>
    </row>
    <row r="4834" spans="1:40" x14ac:dyDescent="0.25">
      <c r="A4834" t="str">
        <f>"20190303170910190"</f>
        <v>20190303170910190</v>
      </c>
      <c r="B4834" t="str">
        <f>"1551604150178601"</f>
        <v>1551604150178601</v>
      </c>
      <c r="C4834" t="s">
        <v>40</v>
      </c>
      <c r="D4834">
        <v>5.1307410000000004</v>
      </c>
      <c r="E4834">
        <v>0.51719570000000004</v>
      </c>
      <c r="F4834" t="s">
        <v>115</v>
      </c>
      <c r="G4834">
        <v>-225.6764</v>
      </c>
      <c r="H4834" s="1">
        <v>-2.2654259999999998E-6</v>
      </c>
      <c r="I4834">
        <v>-63.586599999999997</v>
      </c>
      <c r="J4834">
        <v>-271.33249999999998</v>
      </c>
      <c r="K4834">
        <v>1.122884</v>
      </c>
      <c r="L4834">
        <v>-64.807919999999996</v>
      </c>
      <c r="M4834">
        <v>0.99835430000000003</v>
      </c>
      <c r="N4834">
        <v>-7.7727759999999899E-3</v>
      </c>
      <c r="O4834">
        <v>5.6819830000000002E-2</v>
      </c>
      <c r="P4834">
        <v>0.97686030000000001</v>
      </c>
      <c r="Q4834">
        <v>0.2062811</v>
      </c>
      <c r="R4834">
        <v>5.6498380000000001E-2</v>
      </c>
      <c r="S4834">
        <v>3.0817260000000002</v>
      </c>
      <c r="T4834">
        <v>-7.5567720000000005E-2</v>
      </c>
      <c r="U4834">
        <v>8.2794190000000004E-2</v>
      </c>
      <c r="V4834">
        <v>-2.1061930000000001E-3</v>
      </c>
      <c r="W4834">
        <v>0.2138719</v>
      </c>
      <c r="X4834">
        <v>0.97685949999999999</v>
      </c>
      <c r="Y4834">
        <v>2.9968160000000001E-2</v>
      </c>
      <c r="Z4834">
        <v>-1.4340310000000001E-3</v>
      </c>
      <c r="AA4834">
        <v>0.99954980000000004</v>
      </c>
      <c r="AB4834">
        <v>28</v>
      </c>
      <c r="AC4834">
        <v>45.656099999999903</v>
      </c>
      <c r="AD4834">
        <v>-1.1228862654259999</v>
      </c>
      <c r="AE4834">
        <v>1.22131999999999</v>
      </c>
      <c r="AF4834">
        <v>1.3740725873564701</v>
      </c>
      <c r="AG4834">
        <v>-1.1228862654259999</v>
      </c>
      <c r="AH4834">
        <v>45.624155353560099</v>
      </c>
      <c r="AI4834">
        <v>91.409220995191404</v>
      </c>
      <c r="AJ4834">
        <v>88.274932021397703</v>
      </c>
      <c r="AK4834">
        <v>45.658651981483096</v>
      </c>
      <c r="AL4834">
        <v>77.650648100957298</v>
      </c>
      <c r="AM4834">
        <v>90.123534431251102</v>
      </c>
      <c r="AN4834">
        <v>1.0000000541994001</v>
      </c>
    </row>
    <row r="4835" spans="1:40" x14ac:dyDescent="0.25">
      <c r="A4835" t="str">
        <f>"20190303170910200"</f>
        <v>20190303170910200</v>
      </c>
      <c r="B4835" t="str">
        <f>"1551604150188361"</f>
        <v>1551604150188361</v>
      </c>
      <c r="C4835" t="s">
        <v>40</v>
      </c>
      <c r="D4835">
        <v>4.9050190000000002</v>
      </c>
      <c r="E4835">
        <v>0.51716269999999998</v>
      </c>
      <c r="F4835" t="s">
        <v>115</v>
      </c>
      <c r="G4835">
        <v>-225.38460000000001</v>
      </c>
      <c r="H4835" s="1">
        <v>-2.1260000000000001E-6</v>
      </c>
      <c r="I4835">
        <v>-63.52261</v>
      </c>
      <c r="J4835">
        <v>-271.19729999999998</v>
      </c>
      <c r="K4835">
        <v>1.1228800000000001</v>
      </c>
      <c r="L4835">
        <v>-64.798769999999905</v>
      </c>
      <c r="M4835">
        <v>0.99826959999999998</v>
      </c>
      <c r="N4835">
        <v>-7.7056190000000004E-3</v>
      </c>
      <c r="O4835">
        <v>5.829554E-2</v>
      </c>
      <c r="P4835">
        <v>0.97657939999999999</v>
      </c>
      <c r="Q4835">
        <v>0.20724210000000001</v>
      </c>
      <c r="R4835">
        <v>5.7821030000000002E-2</v>
      </c>
      <c r="S4835">
        <v>3.0819399999999999</v>
      </c>
      <c r="T4835">
        <v>-7.5317140000000005E-2</v>
      </c>
      <c r="U4835">
        <v>8.6212159999999996E-2</v>
      </c>
      <c r="V4835">
        <v>-2.003314E-3</v>
      </c>
      <c r="W4835">
        <v>0.2147667</v>
      </c>
      <c r="X4835">
        <v>0.97666339999999996</v>
      </c>
      <c r="Y4835">
        <v>3.033959E-2</v>
      </c>
      <c r="Z4835">
        <v>-1.461429E-3</v>
      </c>
      <c r="AA4835">
        <v>0.99953860000000005</v>
      </c>
      <c r="AB4835">
        <v>28</v>
      </c>
      <c r="AC4835">
        <v>45.8126999999999</v>
      </c>
      <c r="AD4835">
        <v>-1.1228821259999999</v>
      </c>
      <c r="AE4835">
        <v>1.27615999999999</v>
      </c>
      <c r="AF4835">
        <v>1.3959279033004399</v>
      </c>
      <c r="AG4835">
        <v>-1.1228821259999999</v>
      </c>
      <c r="AH4835">
        <v>45.781699304589303</v>
      </c>
      <c r="AI4835">
        <v>91.404352470608401</v>
      </c>
      <c r="AJ4835">
        <v>88.253537846115293</v>
      </c>
      <c r="AK4835">
        <v>45.816737882524301</v>
      </c>
      <c r="AL4835">
        <v>77.598160445926496</v>
      </c>
      <c r="AM4835">
        <v>90.117523884139402</v>
      </c>
      <c r="AN4835">
        <v>1.0000000727977101</v>
      </c>
    </row>
    <row r="4836" spans="1:40" x14ac:dyDescent="0.25">
      <c r="A4836" t="str">
        <f>"20190303170910211"</f>
        <v>20190303170910211</v>
      </c>
      <c r="B4836" t="str">
        <f>"1551604150199097"</f>
        <v>1551604150199097</v>
      </c>
      <c r="C4836" t="s">
        <v>40</v>
      </c>
      <c r="D4836">
        <v>5.0718230000000002</v>
      </c>
      <c r="E4836">
        <v>0.51697700000000002</v>
      </c>
      <c r="F4836" t="s">
        <v>115</v>
      </c>
      <c r="G4836">
        <v>-221.01400000000001</v>
      </c>
      <c r="H4836" s="1">
        <v>-2.075666E-7</v>
      </c>
      <c r="I4836">
        <v>-63.32705</v>
      </c>
      <c r="J4836">
        <v>-271.05549999999999</v>
      </c>
      <c r="K4836">
        <v>1.122879</v>
      </c>
      <c r="L4836">
        <v>-64.789029999999997</v>
      </c>
      <c r="M4836">
        <v>0.99817880000000003</v>
      </c>
      <c r="N4836">
        <v>-7.6361550000000004E-3</v>
      </c>
      <c r="O4836">
        <v>5.9840989999999997E-2</v>
      </c>
      <c r="P4836">
        <v>0.97635119999999997</v>
      </c>
      <c r="Q4836">
        <v>0.20800270000000001</v>
      </c>
      <c r="R4836">
        <v>5.8935109999999999E-2</v>
      </c>
      <c r="S4836">
        <v>3.0812379999999999</v>
      </c>
      <c r="T4836">
        <v>-6.8944450000000004E-2</v>
      </c>
      <c r="U4836">
        <v>9.036255E-2</v>
      </c>
      <c r="V4836">
        <v>-1.6197819999999999E-3</v>
      </c>
      <c r="W4836">
        <v>0.21546000000000001</v>
      </c>
      <c r="X4836">
        <v>0.97651129999999997</v>
      </c>
      <c r="Y4836">
        <v>3.053873E-2</v>
      </c>
      <c r="Z4836">
        <v>-1.3386870000000001E-3</v>
      </c>
      <c r="AA4836">
        <v>0.99953270000000005</v>
      </c>
      <c r="AB4836">
        <v>28</v>
      </c>
      <c r="AC4836">
        <v>50.0414999999999</v>
      </c>
      <c r="AD4836">
        <v>-1.1228792075666001</v>
      </c>
      <c r="AE4836">
        <v>1.46198000000001</v>
      </c>
      <c r="AF4836">
        <v>1.5344881225823299</v>
      </c>
      <c r="AG4836">
        <v>-1.1228792075666001</v>
      </c>
      <c r="AH4836">
        <v>50.0141444013029</v>
      </c>
      <c r="AI4836">
        <v>91.285540113194202</v>
      </c>
      <c r="AJ4836">
        <v>88.242654700089702</v>
      </c>
      <c r="AK4836">
        <v>50.050276240072002</v>
      </c>
      <c r="AL4836">
        <v>77.557483826581304</v>
      </c>
      <c r="AM4836">
        <v>90.095038928084406</v>
      </c>
      <c r="AN4836">
        <v>0.99999997716070799</v>
      </c>
    </row>
    <row r="4837" spans="1:40" x14ac:dyDescent="0.25">
      <c r="A4837" t="str">
        <f>"20190303170910221"</f>
        <v>20190303170910221</v>
      </c>
      <c r="B4837" t="str">
        <f>"1551604150208857"</f>
        <v>1551604150208857</v>
      </c>
      <c r="C4837" t="s">
        <v>40</v>
      </c>
      <c r="D4837">
        <v>4.9106730000000001</v>
      </c>
      <c r="E4837">
        <v>0.51727380000000001</v>
      </c>
      <c r="F4837" t="s">
        <v>116</v>
      </c>
      <c r="G4837">
        <v>-217.20480000000001</v>
      </c>
      <c r="H4837" s="1">
        <v>-2.7894470000000002E-6</v>
      </c>
      <c r="I4837">
        <v>-63.125630000000001</v>
      </c>
      <c r="J4837">
        <v>-270.92340000000002</v>
      </c>
      <c r="K4837">
        <v>1.1228750000000001</v>
      </c>
      <c r="L4837">
        <v>-64.779690000000002</v>
      </c>
      <c r="M4837">
        <v>0.99809250000000005</v>
      </c>
      <c r="N4837">
        <v>-7.5745480000000004E-3</v>
      </c>
      <c r="O4837">
        <v>6.1271150000000003E-2</v>
      </c>
      <c r="P4837">
        <v>0.976132</v>
      </c>
      <c r="Q4837">
        <v>0.20872740000000001</v>
      </c>
      <c r="R4837">
        <v>5.9996019999999997E-2</v>
      </c>
      <c r="S4837">
        <v>3.080597</v>
      </c>
      <c r="T4837">
        <v>-6.4235929999999997E-2</v>
      </c>
      <c r="U4837">
        <v>9.5153810000000005E-2</v>
      </c>
      <c r="V4837">
        <v>-1.2941070000000001E-3</v>
      </c>
      <c r="W4837">
        <v>0.2161254</v>
      </c>
      <c r="X4837">
        <v>0.97636469999999997</v>
      </c>
      <c r="Y4837">
        <v>3.041394E-2</v>
      </c>
      <c r="Z4837">
        <v>-1.244188E-3</v>
      </c>
      <c r="AA4837">
        <v>0.9995366</v>
      </c>
      <c r="AB4837">
        <v>29</v>
      </c>
      <c r="AC4837">
        <v>53.718600000000002</v>
      </c>
      <c r="AD4837">
        <v>-1.1228777894469999</v>
      </c>
      <c r="AE4837">
        <v>1.6540599999999901</v>
      </c>
      <c r="AF4837">
        <v>1.6398266273111901</v>
      </c>
      <c r="AG4837">
        <v>-1.1228777894469999</v>
      </c>
      <c r="AH4837">
        <v>53.695575331862301</v>
      </c>
      <c r="AI4837">
        <v>91.1974322754387</v>
      </c>
      <c r="AJ4837">
        <v>88.250769238777195</v>
      </c>
      <c r="AK4837">
        <v>53.732343110247598</v>
      </c>
      <c r="AL4837">
        <v>77.518438888862505</v>
      </c>
      <c r="AM4837">
        <v>90.075941731525702</v>
      </c>
      <c r="AN4837">
        <v>0.99999994532208702</v>
      </c>
    </row>
    <row r="4838" spans="1:40" x14ac:dyDescent="0.25">
      <c r="A4838" t="str">
        <f>"20190303170910232"</f>
        <v>20190303170910232</v>
      </c>
      <c r="B4838" t="str">
        <f>"1551604150218617"</f>
        <v>1551604150218617</v>
      </c>
      <c r="C4838" t="s">
        <v>40</v>
      </c>
      <c r="D4838">
        <v>5.1215710000000003</v>
      </c>
      <c r="E4838">
        <v>0.51755680000000004</v>
      </c>
      <c r="F4838" t="s">
        <v>116</v>
      </c>
      <c r="G4838">
        <v>-216.20679999999999</v>
      </c>
      <c r="H4838" s="1">
        <v>-2.3472670000000001E-6</v>
      </c>
      <c r="I4838">
        <v>-63.072949999999999</v>
      </c>
      <c r="J4838">
        <v>-270.80500000000001</v>
      </c>
      <c r="K4838">
        <v>1.12287</v>
      </c>
      <c r="L4838">
        <v>-64.771270000000001</v>
      </c>
      <c r="M4838">
        <v>0.9980137</v>
      </c>
      <c r="N4838">
        <v>-7.5199179999999996E-3</v>
      </c>
      <c r="O4838">
        <v>6.2548110000000004E-2</v>
      </c>
      <c r="P4838">
        <v>0.97599959999999997</v>
      </c>
      <c r="Q4838">
        <v>0.20903340000000001</v>
      </c>
      <c r="R4838">
        <v>6.1073240000000001E-2</v>
      </c>
      <c r="S4838">
        <v>3.0809630000000001</v>
      </c>
      <c r="T4838">
        <v>-6.3226580000000004E-2</v>
      </c>
      <c r="U4838">
        <v>9.6099850000000001E-2</v>
      </c>
      <c r="V4838">
        <v>-1.126904E-3</v>
      </c>
      <c r="W4838">
        <v>0.21637819999999999</v>
      </c>
      <c r="X4838">
        <v>0.97630899999999998</v>
      </c>
      <c r="Y4838">
        <v>3.1389899999999998E-2</v>
      </c>
      <c r="Z4838">
        <v>-1.2516889999999901E-3</v>
      </c>
      <c r="AA4838">
        <v>0.99950640000000002</v>
      </c>
      <c r="AB4838">
        <v>29</v>
      </c>
      <c r="AC4838">
        <v>54.598199999999999</v>
      </c>
      <c r="AD4838">
        <v>-1.1228723472669999</v>
      </c>
      <c r="AE4838">
        <v>1.6983200000000001</v>
      </c>
      <c r="AF4838">
        <v>1.7193895524162199</v>
      </c>
      <c r="AG4838">
        <v>-1.1228723472669999</v>
      </c>
      <c r="AH4838">
        <v>54.574456904689001</v>
      </c>
      <c r="AI4838">
        <v>91.178113014566904</v>
      </c>
      <c r="AJ4838">
        <v>88.195471011596695</v>
      </c>
      <c r="AK4838">
        <v>54.613079836088502</v>
      </c>
      <c r="AL4838">
        <v>77.503604541614195</v>
      </c>
      <c r="AM4838">
        <v>90.066133585209599</v>
      </c>
      <c r="AN4838">
        <v>1.00000002941443</v>
      </c>
    </row>
    <row r="4839" spans="1:40" x14ac:dyDescent="0.25">
      <c r="A4839" t="str">
        <f>"20190303170910242"</f>
        <v>20190303170910242</v>
      </c>
      <c r="B4839" t="str">
        <f>"1551604150228377"</f>
        <v>1551604150228377</v>
      </c>
      <c r="C4839" t="s">
        <v>40</v>
      </c>
      <c r="D4839">
        <v>4.9466979999999996</v>
      </c>
      <c r="E4839">
        <v>0.51749460000000003</v>
      </c>
      <c r="F4839" t="s">
        <v>116</v>
      </c>
      <c r="G4839">
        <v>-214.3023</v>
      </c>
      <c r="H4839" s="1">
        <v>-1.50916E-6</v>
      </c>
      <c r="I4839">
        <v>-62.993600000000001</v>
      </c>
      <c r="J4839">
        <v>-270.66050000000001</v>
      </c>
      <c r="K4839">
        <v>1.122857</v>
      </c>
      <c r="L4839">
        <v>-64.760679999999994</v>
      </c>
      <c r="M4839">
        <v>0.99791600000000003</v>
      </c>
      <c r="N4839">
        <v>-7.4552100000000003E-3</v>
      </c>
      <c r="O4839">
        <v>6.409281E-2</v>
      </c>
      <c r="P4839">
        <v>0.97592080000000003</v>
      </c>
      <c r="Q4839">
        <v>0.20900650000000001</v>
      </c>
      <c r="R4839">
        <v>6.2407860000000002E-2</v>
      </c>
      <c r="S4839">
        <v>3.0807799999999999</v>
      </c>
      <c r="T4839">
        <v>-6.1223979999999997E-2</v>
      </c>
      <c r="U4839">
        <v>9.6923830000000002E-2</v>
      </c>
      <c r="V4839">
        <v>-9.4582749999999995E-4</v>
      </c>
      <c r="W4839">
        <v>0.21628919999999999</v>
      </c>
      <c r="X4839">
        <v>0.9763288</v>
      </c>
      <c r="Y4839">
        <v>3.2668540000000003E-2</v>
      </c>
      <c r="Z4839">
        <v>-1.240562E-3</v>
      </c>
      <c r="AA4839">
        <v>0.99946550000000001</v>
      </c>
      <c r="AB4839">
        <v>29</v>
      </c>
      <c r="AC4839">
        <v>56.358199999999997</v>
      </c>
      <c r="AD4839">
        <v>-1.1228585091600001</v>
      </c>
      <c r="AE4839">
        <v>1.76708</v>
      </c>
      <c r="AF4839">
        <v>1.8480766791797001</v>
      </c>
      <c r="AG4839">
        <v>-1.1228585091600001</v>
      </c>
      <c r="AH4839">
        <v>56.333238574228403</v>
      </c>
      <c r="AI4839">
        <v>91.141279263115393</v>
      </c>
      <c r="AJ4839">
        <v>88.1210199449839</v>
      </c>
      <c r="AK4839">
        <v>56.374728087190398</v>
      </c>
      <c r="AL4839">
        <v>77.508826150016901</v>
      </c>
      <c r="AM4839">
        <v>90.055505795736494</v>
      </c>
      <c r="AN4839">
        <v>0.99999991916786601</v>
      </c>
    </row>
    <row r="4840" spans="1:40" x14ac:dyDescent="0.25">
      <c r="A4840" t="str">
        <f>"20190303170910257"</f>
        <v>20190303170910257</v>
      </c>
      <c r="B4840" t="str">
        <f>"1551604150248583"</f>
        <v>1551604150248583</v>
      </c>
      <c r="C4840" t="s">
        <v>40</v>
      </c>
      <c r="D4840">
        <v>4.9588749999999999</v>
      </c>
      <c r="E4840">
        <v>0.51826609999999995</v>
      </c>
      <c r="F4840" t="s">
        <v>116</v>
      </c>
      <c r="G4840">
        <v>-213.64699999999999</v>
      </c>
      <c r="H4840" s="1">
        <v>-1.1997219999999999E-6</v>
      </c>
      <c r="I4840">
        <v>-62.887169999999998</v>
      </c>
      <c r="J4840">
        <v>-270.47739999999999</v>
      </c>
      <c r="K4840">
        <v>1.122833</v>
      </c>
      <c r="L4840">
        <v>-64.747010000000003</v>
      </c>
      <c r="M4840">
        <v>0.99779059999999997</v>
      </c>
      <c r="N4840">
        <v>-7.3726319999999996E-3</v>
      </c>
      <c r="O4840">
        <v>6.6027619999999995E-2</v>
      </c>
      <c r="P4840">
        <v>0.97583370000000003</v>
      </c>
      <c r="Q4840">
        <v>0.2089348</v>
      </c>
      <c r="R4840">
        <v>6.3994019999999999E-2</v>
      </c>
      <c r="S4840">
        <v>3.0805359999999999</v>
      </c>
      <c r="T4840">
        <v>-6.0670019999999998E-2</v>
      </c>
      <c r="U4840">
        <v>0.10122680000000001</v>
      </c>
      <c r="V4840">
        <v>-6.30205E-4</v>
      </c>
      <c r="W4840">
        <v>0.21613889999999999</v>
      </c>
      <c r="X4840">
        <v>0.97636239999999996</v>
      </c>
      <c r="Y4840">
        <v>3.3209240000000001E-2</v>
      </c>
      <c r="Z4840">
        <v>-1.261182E-3</v>
      </c>
      <c r="AA4840">
        <v>0.99944759999999999</v>
      </c>
      <c r="AB4840">
        <v>29</v>
      </c>
      <c r="AC4840">
        <v>56.830399999999898</v>
      </c>
      <c r="AD4840">
        <v>-1.1228341997219999</v>
      </c>
      <c r="AE4840">
        <v>1.8598399999999999</v>
      </c>
      <c r="AF4840">
        <v>1.8959573337451201</v>
      </c>
      <c r="AG4840">
        <v>-1.1228341997219999</v>
      </c>
      <c r="AH4840">
        <v>56.807030160098201</v>
      </c>
      <c r="AI4840">
        <v>91.131717274056001</v>
      </c>
      <c r="AJ4840">
        <v>88.088440023808701</v>
      </c>
      <c r="AK4840">
        <v>56.849750100257701</v>
      </c>
      <c r="AL4840">
        <v>77.517647094289401</v>
      </c>
      <c r="AM4840">
        <v>90.036982253427198</v>
      </c>
      <c r="AN4840">
        <v>0.999999978692655</v>
      </c>
    </row>
    <row r="4841" spans="1:40" x14ac:dyDescent="0.25">
      <c r="A4841" t="str">
        <f>"20190303170910270"</f>
        <v>20190303170910270</v>
      </c>
      <c r="B4841" t="str">
        <f>"1551604150258343"</f>
        <v>1551604150258343</v>
      </c>
      <c r="C4841" t="s">
        <v>40</v>
      </c>
      <c r="D4841">
        <v>5.127046</v>
      </c>
      <c r="E4841">
        <v>0.51850269999999998</v>
      </c>
      <c r="F4841" t="s">
        <v>116</v>
      </c>
      <c r="G4841">
        <v>-214.09229999999999</v>
      </c>
      <c r="H4841" s="1">
        <v>-1.398613E-6</v>
      </c>
      <c r="I4841">
        <v>-62.916690000000003</v>
      </c>
      <c r="J4841">
        <v>-270.32100000000003</v>
      </c>
      <c r="K4841">
        <v>1.1228089999999999</v>
      </c>
      <c r="L4841">
        <v>-64.735169999999997</v>
      </c>
      <c r="M4841">
        <v>0.99768140000000005</v>
      </c>
      <c r="N4841">
        <v>-7.3017280000000004E-3</v>
      </c>
      <c r="O4841">
        <v>6.7664329999999995E-2</v>
      </c>
      <c r="P4841">
        <v>0.97584499999999996</v>
      </c>
      <c r="Q4841">
        <v>0.20847830000000001</v>
      </c>
      <c r="R4841">
        <v>6.5294969999999994E-2</v>
      </c>
      <c r="S4841">
        <v>3.080902</v>
      </c>
      <c r="T4841">
        <v>-6.1352129999999998E-2</v>
      </c>
      <c r="U4841">
        <v>0.1000061</v>
      </c>
      <c r="V4841">
        <v>-3.1272649999999999E-4</v>
      </c>
      <c r="W4841">
        <v>0.215616</v>
      </c>
      <c r="X4841">
        <v>0.97647819999999996</v>
      </c>
      <c r="Y4841">
        <v>3.5247059999999997E-2</v>
      </c>
      <c r="Z4841">
        <v>-1.3310430000000001E-3</v>
      </c>
      <c r="AA4841">
        <v>0.99937770000000004</v>
      </c>
      <c r="AB4841">
        <v>29</v>
      </c>
      <c r="AC4841">
        <v>56.228699999999897</v>
      </c>
      <c r="AD4841">
        <v>-1.122810398613</v>
      </c>
      <c r="AE4841">
        <v>1.8184799999999901</v>
      </c>
      <c r="AF4841">
        <v>1.9896742024231999</v>
      </c>
      <c r="AG4841">
        <v>-1.122810398613</v>
      </c>
      <c r="AH4841">
        <v>56.200488157250398</v>
      </c>
      <c r="AI4841">
        <v>91.143824177811496</v>
      </c>
      <c r="AJ4841">
        <v>87.972395874042405</v>
      </c>
      <c r="AK4841">
        <v>56.246905476979499</v>
      </c>
      <c r="AL4841">
        <v>77.548331034379203</v>
      </c>
      <c r="AM4841">
        <v>90.0183495217602</v>
      </c>
      <c r="AN4841">
        <v>1.0000000161645499</v>
      </c>
    </row>
    <row r="4842" spans="1:40" x14ac:dyDescent="0.25">
      <c r="A4842" t="str">
        <f>"20190303170910282"</f>
        <v>20190303170910282</v>
      </c>
      <c r="B4842" t="str">
        <f>"1551604150269079"</f>
        <v>1551604150269079</v>
      </c>
      <c r="C4842" t="s">
        <v>40</v>
      </c>
      <c r="D4842">
        <v>4.9838110000000002</v>
      </c>
      <c r="E4842">
        <v>0.51860430000000002</v>
      </c>
      <c r="F4842" t="s">
        <v>116</v>
      </c>
      <c r="G4842">
        <v>-216.20099999999999</v>
      </c>
      <c r="H4842" s="1">
        <v>-2.3081110000000001E-6</v>
      </c>
      <c r="I4842">
        <v>-62.935029999999998</v>
      </c>
      <c r="J4842">
        <v>-270.15320000000003</v>
      </c>
      <c r="K4842">
        <v>1.122771</v>
      </c>
      <c r="L4842">
        <v>-64.722049999999996</v>
      </c>
      <c r="M4842">
        <v>0.99756440000000002</v>
      </c>
      <c r="N4842">
        <v>-7.2248479999999999E-3</v>
      </c>
      <c r="O4842">
        <v>6.9377030000000006E-2</v>
      </c>
      <c r="P4842">
        <v>0.97581759999999995</v>
      </c>
      <c r="Q4842">
        <v>0.2083006</v>
      </c>
      <c r="R4842">
        <v>6.6266450000000005E-2</v>
      </c>
      <c r="S4842">
        <v>3.0810240000000002</v>
      </c>
      <c r="T4842">
        <v>-6.392109E-2</v>
      </c>
      <c r="U4842">
        <v>0.102478</v>
      </c>
      <c r="V4842">
        <v>4.0947550000000003E-4</v>
      </c>
      <c r="W4842">
        <v>0.21536739999999999</v>
      </c>
      <c r="X4842">
        <v>0.97653299999999998</v>
      </c>
      <c r="Y4842">
        <v>3.6161159999999998E-2</v>
      </c>
      <c r="Z4842">
        <v>-1.441646E-3</v>
      </c>
      <c r="AA4842">
        <v>0.99934489999999998</v>
      </c>
      <c r="AB4842">
        <v>29</v>
      </c>
      <c r="AC4842">
        <v>53.952199999999998</v>
      </c>
      <c r="AD4842">
        <v>-1.1227733081110001</v>
      </c>
      <c r="AE4842">
        <v>1.7870199999999901</v>
      </c>
      <c r="AF4842">
        <v>1.95957920923829</v>
      </c>
      <c r="AG4842">
        <v>-1.1227733081110001</v>
      </c>
      <c r="AH4842">
        <v>53.922850165226201</v>
      </c>
      <c r="AI4842">
        <v>91.192044925344604</v>
      </c>
      <c r="AJ4842">
        <v>87.918762966372299</v>
      </c>
      <c r="AK4842">
        <v>53.970124518293701</v>
      </c>
      <c r="AL4842">
        <v>77.562917162656404</v>
      </c>
      <c r="AM4842">
        <v>89.975974988465296</v>
      </c>
      <c r="AN4842">
        <v>0.99999999237097204</v>
      </c>
    </row>
    <row r="4843" spans="1:40" x14ac:dyDescent="0.25">
      <c r="A4843" t="str">
        <f>"20190303170910295"</f>
        <v>20190303170910295</v>
      </c>
      <c r="B4843" t="str">
        <f>"1551604150288599"</f>
        <v>1551604150288599</v>
      </c>
      <c r="C4843" t="s">
        <v>40</v>
      </c>
      <c r="D4843">
        <v>5.236294</v>
      </c>
      <c r="E4843">
        <v>0.50905129999999998</v>
      </c>
      <c r="F4843" t="s">
        <v>116</v>
      </c>
      <c r="G4843">
        <v>-217.5566</v>
      </c>
      <c r="H4843" s="1">
        <v>-2.8836420000000001E-6</v>
      </c>
      <c r="I4843">
        <v>-62.934159999999999</v>
      </c>
      <c r="J4843">
        <v>-269.99520000000001</v>
      </c>
      <c r="K4843">
        <v>1.122733</v>
      </c>
      <c r="L4843">
        <v>-64.709530000000001</v>
      </c>
      <c r="M4843">
        <v>0.99745289999999998</v>
      </c>
      <c r="N4843">
        <v>-7.1539239999999999E-3</v>
      </c>
      <c r="O4843">
        <v>7.0968710000000004E-2</v>
      </c>
      <c r="P4843">
        <v>0.97568310000000003</v>
      </c>
      <c r="Q4843">
        <v>0.2086083</v>
      </c>
      <c r="R4843">
        <v>6.7269410000000002E-2</v>
      </c>
      <c r="S4843">
        <v>3.0812680000000001</v>
      </c>
      <c r="T4843">
        <v>-6.5775390000000003E-2</v>
      </c>
      <c r="U4843">
        <v>0.1047363</v>
      </c>
      <c r="V4843">
        <v>9.7225610000000004E-4</v>
      </c>
      <c r="W4843">
        <v>0.2156081</v>
      </c>
      <c r="X4843">
        <v>0.97647949999999994</v>
      </c>
      <c r="Y4843">
        <v>3.7025189999999999E-2</v>
      </c>
      <c r="Z4843">
        <v>-1.5324620000000001E-3</v>
      </c>
      <c r="AA4843">
        <v>0.99931320000000001</v>
      </c>
      <c r="AB4843">
        <v>29</v>
      </c>
      <c r="AC4843">
        <v>52.438600000000001</v>
      </c>
      <c r="AD4843">
        <v>-1.1227358836420001</v>
      </c>
      <c r="AE4843">
        <v>1.7753699999999999</v>
      </c>
      <c r="AF4843">
        <v>1.94980894893487</v>
      </c>
      <c r="AG4843">
        <v>-1.1227358836420001</v>
      </c>
      <c r="AH4843">
        <v>52.408373495196102</v>
      </c>
      <c r="AI4843">
        <v>91.226402041887496</v>
      </c>
      <c r="AJ4843">
        <v>87.869341954795402</v>
      </c>
      <c r="AK4843">
        <v>52.456647845756699</v>
      </c>
      <c r="AL4843">
        <v>77.548794445224701</v>
      </c>
      <c r="AM4843">
        <v>89.942952050987799</v>
      </c>
      <c r="AN4843">
        <v>1.0000000059938901</v>
      </c>
    </row>
    <row r="4844" spans="1:40" x14ac:dyDescent="0.25">
      <c r="A4844" t="str">
        <f>"20190303170910311"</f>
        <v>20190303170910311</v>
      </c>
      <c r="B4844" t="str">
        <f>"1551604150298359"</f>
        <v>1551604150298359</v>
      </c>
      <c r="C4844" t="s">
        <v>40</v>
      </c>
      <c r="D4844">
        <v>5.178553</v>
      </c>
      <c r="E4844">
        <v>0.50775369999999997</v>
      </c>
      <c r="F4844" t="s">
        <v>116</v>
      </c>
      <c r="G4844">
        <v>-219.9145</v>
      </c>
      <c r="H4844" s="1">
        <v>-3.4677120000000002E-6</v>
      </c>
      <c r="I4844">
        <v>-61.703249999999997</v>
      </c>
      <c r="J4844">
        <v>-269.79390000000001</v>
      </c>
      <c r="K4844">
        <v>1.1226830000000001</v>
      </c>
      <c r="L4844">
        <v>-64.693299999999994</v>
      </c>
      <c r="M4844">
        <v>0.99730989999999997</v>
      </c>
      <c r="N4844">
        <v>-7.0658099999999996E-3</v>
      </c>
      <c r="O4844">
        <v>7.2959620000000003E-2</v>
      </c>
      <c r="P4844">
        <v>0.97540680000000002</v>
      </c>
      <c r="Q4844">
        <v>0.2097176</v>
      </c>
      <c r="R4844">
        <v>6.7826029999999995E-2</v>
      </c>
      <c r="S4844">
        <v>3.0767820000000001</v>
      </c>
      <c r="T4844">
        <v>-6.8976880000000004E-2</v>
      </c>
      <c r="U4844">
        <v>0.18469240000000001</v>
      </c>
      <c r="V4844">
        <v>2.3629549999999999E-3</v>
      </c>
      <c r="W4844">
        <v>0.21663660000000001</v>
      </c>
      <c r="X4844">
        <v>0.97624949999999999</v>
      </c>
      <c r="Y4844">
        <v>1.30572999999999E-2</v>
      </c>
      <c r="Z4844">
        <v>-1.3087369999999999E-3</v>
      </c>
      <c r="AA4844">
        <v>0.99991390000000002</v>
      </c>
      <c r="AB4844">
        <v>29</v>
      </c>
      <c r="AC4844">
        <v>49.879399999999997</v>
      </c>
      <c r="AD4844">
        <v>-1.1226864677120001</v>
      </c>
      <c r="AE4844">
        <v>2.9900499999999899</v>
      </c>
      <c r="AF4844">
        <v>0.65686040530034095</v>
      </c>
      <c r="AG4844">
        <v>-1.1226864677120001</v>
      </c>
      <c r="AH4844">
        <v>49.939408641400902</v>
      </c>
      <c r="AI4844">
        <v>91.287736560320695</v>
      </c>
      <c r="AJ4844">
        <v>89.246423619507496</v>
      </c>
      <c r="AK4844">
        <v>49.9563452020829</v>
      </c>
      <c r="AL4844">
        <v>77.488439789781097</v>
      </c>
      <c r="AM4844">
        <v>89.861319176819407</v>
      </c>
      <c r="AN4844">
        <v>1.00000004313307</v>
      </c>
    </row>
    <row r="4845" spans="1:40" x14ac:dyDescent="0.25">
      <c r="A4845" t="str">
        <f>"20190303170910321"</f>
        <v>20190303170910321</v>
      </c>
      <c r="B4845" t="str">
        <f>"1551604150309094"</f>
        <v>1551604150309094</v>
      </c>
      <c r="C4845" t="s">
        <v>40</v>
      </c>
      <c r="D4845">
        <v>5.1763450000000004</v>
      </c>
      <c r="E4845">
        <v>0.50690630000000003</v>
      </c>
      <c r="F4845" t="s">
        <v>116</v>
      </c>
      <c r="G4845">
        <v>-218.34989999999999</v>
      </c>
      <c r="H4845" s="1">
        <v>-2.820872E-6</v>
      </c>
      <c r="I4845">
        <v>-61.397550000000003</v>
      </c>
      <c r="J4845">
        <v>-269.6463</v>
      </c>
      <c r="K4845">
        <v>1.122641</v>
      </c>
      <c r="L4845">
        <v>-64.681060000000002</v>
      </c>
      <c r="M4845">
        <v>0.99720609999999998</v>
      </c>
      <c r="N4845">
        <v>-7.0017079999999997E-3</v>
      </c>
      <c r="O4845">
        <v>7.4370969999999995E-2</v>
      </c>
      <c r="P4845">
        <v>0.97522819999999999</v>
      </c>
      <c r="Q4845">
        <v>0.210255</v>
      </c>
      <c r="R4845">
        <v>6.8725480000000005E-2</v>
      </c>
      <c r="S4845">
        <v>3.076355</v>
      </c>
      <c r="T4845">
        <v>-6.7136650000000006E-2</v>
      </c>
      <c r="U4845">
        <v>0.19708249999999999</v>
      </c>
      <c r="V4845">
        <v>2.8508909999999999E-3</v>
      </c>
      <c r="W4845">
        <v>0.21711320000000001</v>
      </c>
      <c r="X4845">
        <v>0.97614230000000002</v>
      </c>
      <c r="Y4845">
        <v>1.045375E-2</v>
      </c>
      <c r="Z4845">
        <v>-1.248842E-3</v>
      </c>
      <c r="AA4845">
        <v>0.99994459999999996</v>
      </c>
      <c r="AB4845">
        <v>29</v>
      </c>
      <c r="AC4845">
        <v>51.296399999999998</v>
      </c>
      <c r="AD4845">
        <v>-1.122643820872</v>
      </c>
      <c r="AE4845">
        <v>3.2835100000000002</v>
      </c>
      <c r="AF4845">
        <v>0.54038228536952504</v>
      </c>
      <c r="AG4845">
        <v>-1.122643820872</v>
      </c>
      <c r="AH4845">
        <v>51.374032565292303</v>
      </c>
      <c r="AI4845">
        <v>91.251779500320893</v>
      </c>
      <c r="AJ4845">
        <v>89.397351523069901</v>
      </c>
      <c r="AK4845">
        <v>51.389138581830601</v>
      </c>
      <c r="AL4845">
        <v>77.4604666760995</v>
      </c>
      <c r="AM4845">
        <v>89.832664194833299</v>
      </c>
      <c r="AN4845">
        <v>1.0000000295215099</v>
      </c>
    </row>
    <row r="4846" spans="1:40" x14ac:dyDescent="0.25">
      <c r="A4846" t="str">
        <f>"20190303170910331"</f>
        <v>20190303170910331</v>
      </c>
      <c r="B4846" t="str">
        <f>"1551604150318855"</f>
        <v>1551604150318855</v>
      </c>
      <c r="C4846" t="s">
        <v>40</v>
      </c>
      <c r="D4846">
        <v>5.1194959999999998</v>
      </c>
      <c r="E4846">
        <v>0.50660059999999996</v>
      </c>
      <c r="F4846" t="s">
        <v>116</v>
      </c>
      <c r="G4846">
        <v>-217.11799999999999</v>
      </c>
      <c r="H4846" s="1">
        <v>-2.225963E-6</v>
      </c>
      <c r="I4846">
        <v>-61.147950000000002</v>
      </c>
      <c r="J4846">
        <v>-269.51839999999999</v>
      </c>
      <c r="K4846">
        <v>1.1226020000000001</v>
      </c>
      <c r="L4846">
        <v>-64.670439999999999</v>
      </c>
      <c r="M4846">
        <v>0.99711539999999999</v>
      </c>
      <c r="N4846">
        <v>-6.9467019999999999E-3</v>
      </c>
      <c r="O4846">
        <v>7.5581350000000005E-2</v>
      </c>
      <c r="P4846">
        <v>0.9751919</v>
      </c>
      <c r="Q4846">
        <v>0.21023990000000001</v>
      </c>
      <c r="R4846">
        <v>6.9280949999999994E-2</v>
      </c>
      <c r="S4846">
        <v>3.075806</v>
      </c>
      <c r="T4846">
        <v>-6.5736530000000001E-2</v>
      </c>
      <c r="U4846">
        <v>0.2068787</v>
      </c>
      <c r="V4846">
        <v>3.4967930000000002E-3</v>
      </c>
      <c r="W4846">
        <v>0.21704760000000001</v>
      </c>
      <c r="X4846">
        <v>0.97615469999999904</v>
      </c>
      <c r="Y4846">
        <v>8.4860479999999995E-3</v>
      </c>
      <c r="Z4846">
        <v>-1.2061089999999999E-3</v>
      </c>
      <c r="AA4846">
        <v>0.9999633</v>
      </c>
      <c r="AB4846">
        <v>29</v>
      </c>
      <c r="AC4846">
        <v>52.400399999999898</v>
      </c>
      <c r="AD4846">
        <v>-1.122604225963</v>
      </c>
      <c r="AE4846">
        <v>3.5224899999999901</v>
      </c>
      <c r="AF4846">
        <v>0.44797009955990003</v>
      </c>
      <c r="AG4846">
        <v>-1.122604225963</v>
      </c>
      <c r="AH4846">
        <v>52.492765450418602</v>
      </c>
      <c r="AI4846">
        <v>91.225089583105699</v>
      </c>
      <c r="AJ4846">
        <v>89.511053137101896</v>
      </c>
      <c r="AK4846">
        <v>52.506679023633801</v>
      </c>
      <c r="AL4846">
        <v>77.464315998624102</v>
      </c>
      <c r="AM4846">
        <v>89.794755253699805</v>
      </c>
      <c r="AN4846">
        <v>0.99999994327956498</v>
      </c>
    </row>
    <row r="4847" spans="1:40" x14ac:dyDescent="0.25">
      <c r="A4847" t="str">
        <f>"20190303170910342"</f>
        <v>20190303170910342</v>
      </c>
      <c r="B4847" t="str">
        <f>"1551604150328615"</f>
        <v>1551604150328615</v>
      </c>
      <c r="C4847" t="s">
        <v>40</v>
      </c>
      <c r="D4847">
        <v>5.1781540000000001</v>
      </c>
      <c r="E4847">
        <v>0.50649049999999995</v>
      </c>
      <c r="F4847" t="s">
        <v>116</v>
      </c>
      <c r="G4847">
        <v>-217.0128</v>
      </c>
      <c r="H4847" s="1">
        <v>-2.1614249999999998E-6</v>
      </c>
      <c r="I4847">
        <v>-61.074979999999996</v>
      </c>
      <c r="J4847">
        <v>-269.37130000000002</v>
      </c>
      <c r="K4847">
        <v>1.1225540000000001</v>
      </c>
      <c r="L4847">
        <v>-64.657960000000003</v>
      </c>
      <c r="M4847">
        <v>0.99701260000000003</v>
      </c>
      <c r="N4847">
        <v>-6.8849509999999899E-3</v>
      </c>
      <c r="O4847">
        <v>7.6932680000000003E-2</v>
      </c>
      <c r="P4847">
        <v>0.97523930000000003</v>
      </c>
      <c r="Q4847">
        <v>0.2096402</v>
      </c>
      <c r="R4847">
        <v>7.0425109999999999E-2</v>
      </c>
      <c r="S4847">
        <v>3.0755309999999998</v>
      </c>
      <c r="T4847">
        <v>-6.5756800000000004E-2</v>
      </c>
      <c r="U4847">
        <v>0.21060180000000001</v>
      </c>
      <c r="V4847">
        <v>3.7065840000000002E-3</v>
      </c>
      <c r="W4847">
        <v>0.2163889</v>
      </c>
      <c r="X4847">
        <v>0.97630019999999995</v>
      </c>
      <c r="Y4847">
        <v>8.6300539999999999E-3</v>
      </c>
      <c r="Z4847">
        <v>-1.232583E-3</v>
      </c>
      <c r="AA4847">
        <v>0.99996200000000002</v>
      </c>
      <c r="AB4847">
        <v>29</v>
      </c>
      <c r="AC4847">
        <v>52.358499999999999</v>
      </c>
      <c r="AD4847">
        <v>-1.1225561614249999</v>
      </c>
      <c r="AE4847">
        <v>3.5829799999999898</v>
      </c>
      <c r="AF4847">
        <v>0.45560583621523199</v>
      </c>
      <c r="AG4847">
        <v>-1.1225561614249999</v>
      </c>
      <c r="AH4847">
        <v>52.454972644589802</v>
      </c>
      <c r="AI4847">
        <v>91.225917892487999</v>
      </c>
      <c r="AJ4847">
        <v>89.502361095449203</v>
      </c>
      <c r="AK4847">
        <v>52.468960959392099</v>
      </c>
      <c r="AL4847">
        <v>77.502976069679903</v>
      </c>
      <c r="AM4847">
        <v>89.782474079946795</v>
      </c>
      <c r="AN4847">
        <v>0.99999998766409903</v>
      </c>
    </row>
    <row r="4848" spans="1:40" x14ac:dyDescent="0.25">
      <c r="A4848" t="str">
        <f>"20190303170910355"</f>
        <v>20190303170910355</v>
      </c>
      <c r="B4848" t="str">
        <f>"1551604150348855"</f>
        <v>1551604150348855</v>
      </c>
      <c r="C4848" t="s">
        <v>40</v>
      </c>
      <c r="D4848">
        <v>5.0003539999999997</v>
      </c>
      <c r="E4848">
        <v>0.50653760000000003</v>
      </c>
      <c r="F4848" t="s">
        <v>116</v>
      </c>
      <c r="G4848">
        <v>-217.97710000000001</v>
      </c>
      <c r="H4848" s="1">
        <v>-2.57307E-6</v>
      </c>
      <c r="I4848">
        <v>-61.067219999999899</v>
      </c>
      <c r="J4848">
        <v>-269.2056</v>
      </c>
      <c r="K4848">
        <v>1.122498</v>
      </c>
      <c r="L4848">
        <v>-64.643709999999999</v>
      </c>
      <c r="M4848">
        <v>0.99689729999999999</v>
      </c>
      <c r="N4848">
        <v>-6.8151899999999996E-3</v>
      </c>
      <c r="O4848">
        <v>7.8417440000000005E-2</v>
      </c>
      <c r="P4848">
        <v>0.97537010000000002</v>
      </c>
      <c r="Q4848">
        <v>0.20868249999999999</v>
      </c>
      <c r="R4848">
        <v>7.1447979999999994E-2</v>
      </c>
      <c r="S4848">
        <v>3.0751040000000001</v>
      </c>
      <c r="T4848">
        <v>-6.7166690000000001E-2</v>
      </c>
      <c r="U4848">
        <v>0.2148438</v>
      </c>
      <c r="V4848">
        <v>4.181171E-3</v>
      </c>
      <c r="W4848">
        <v>0.21536649999999999</v>
      </c>
      <c r="X4848">
        <v>0.97652439999999996</v>
      </c>
      <c r="Y4848">
        <v>8.7360809999999997E-3</v>
      </c>
      <c r="Z4848">
        <v>-1.298595E-3</v>
      </c>
      <c r="AA4848">
        <v>0.99996099999999999</v>
      </c>
      <c r="AB4848">
        <v>29</v>
      </c>
      <c r="AC4848">
        <v>51.228499999999997</v>
      </c>
      <c r="AD4848">
        <v>-1.12250057307</v>
      </c>
      <c r="AE4848">
        <v>3.5764900000000002</v>
      </c>
      <c r="AF4848">
        <v>0.45160932572665402</v>
      </c>
      <c r="AG4848">
        <v>-1.12250057307</v>
      </c>
      <c r="AH4848">
        <v>51.326682454897998</v>
      </c>
      <c r="AI4848">
        <v>91.252794909794204</v>
      </c>
      <c r="AJ4848">
        <v>89.495883244113301</v>
      </c>
      <c r="AK4848">
        <v>51.340941658150001</v>
      </c>
      <c r="AL4848">
        <v>77.562970792959405</v>
      </c>
      <c r="AM4848">
        <v>89.754678953460399</v>
      </c>
      <c r="AN4848">
        <v>1.00000005765426</v>
      </c>
    </row>
    <row r="4849" spans="1:40" x14ac:dyDescent="0.25">
      <c r="A4849" t="str">
        <f>"20190303170910366"</f>
        <v>20190303170910366</v>
      </c>
      <c r="B4849" t="str">
        <f>"1551604150358615"</f>
        <v>1551604150358615</v>
      </c>
      <c r="C4849" t="s">
        <v>40</v>
      </c>
      <c r="D4849">
        <v>5.0708690000000001</v>
      </c>
      <c r="E4849">
        <v>0.50667709999999999</v>
      </c>
      <c r="F4849" t="s">
        <v>115</v>
      </c>
      <c r="G4849">
        <v>-221.85599999999999</v>
      </c>
      <c r="H4849" s="1">
        <v>-1.171037E-7</v>
      </c>
      <c r="I4849">
        <v>-61.295949999999998</v>
      </c>
      <c r="J4849">
        <v>-269.05849999999998</v>
      </c>
      <c r="K4849">
        <v>1.122444</v>
      </c>
      <c r="L4849">
        <v>-64.630949999999999</v>
      </c>
      <c r="M4849">
        <v>0.99679580000000001</v>
      </c>
      <c r="N4849">
        <v>-6.7531639999999999E-3</v>
      </c>
      <c r="O4849">
        <v>7.9703609999999994E-2</v>
      </c>
      <c r="P4849">
        <v>0.97543630000000003</v>
      </c>
      <c r="Q4849">
        <v>0.20795930000000001</v>
      </c>
      <c r="R4849">
        <v>7.2642860000000004E-2</v>
      </c>
      <c r="S4849">
        <v>3.0753780000000002</v>
      </c>
      <c r="T4849">
        <v>-7.2906730000000003E-2</v>
      </c>
      <c r="U4849">
        <v>0.21743770000000001</v>
      </c>
      <c r="V4849">
        <v>4.2824159999999998E-3</v>
      </c>
      <c r="W4849">
        <v>0.2145841</v>
      </c>
      <c r="X4849">
        <v>0.97669609999999996</v>
      </c>
      <c r="Y4849">
        <v>9.1899979999999996E-3</v>
      </c>
      <c r="Z4849">
        <v>-1.4855679999999901E-3</v>
      </c>
      <c r="AA4849">
        <v>0.99995670000000003</v>
      </c>
      <c r="AB4849">
        <v>29</v>
      </c>
      <c r="AC4849">
        <v>47.202499999999901</v>
      </c>
      <c r="AD4849">
        <v>-1.1224441171036901</v>
      </c>
      <c r="AE4849">
        <v>3.335</v>
      </c>
      <c r="AF4849">
        <v>0.43765936516626702</v>
      </c>
      <c r="AG4849">
        <v>-1.1224441171036901</v>
      </c>
      <c r="AH4849">
        <v>47.291532529118399</v>
      </c>
      <c r="AI4849">
        <v>91.359577134971502</v>
      </c>
      <c r="AJ4849">
        <v>89.469771493983203</v>
      </c>
      <c r="AK4849">
        <v>47.3068755623176</v>
      </c>
      <c r="AL4849">
        <v>77.6088711476974</v>
      </c>
      <c r="AM4849">
        <v>89.748782870548794</v>
      </c>
      <c r="AN4849">
        <v>0.99999997340740798</v>
      </c>
    </row>
    <row r="4850" spans="1:40" x14ac:dyDescent="0.25">
      <c r="A4850" t="str">
        <f>"20190303170910379"</f>
        <v>20190303170910379</v>
      </c>
      <c r="B4850" t="str">
        <f>"1551604150368376"</f>
        <v>1551604150368376</v>
      </c>
      <c r="C4850" t="s">
        <v>40</v>
      </c>
      <c r="D4850">
        <v>4.9986739999999896</v>
      </c>
      <c r="E4850">
        <v>0.50671040000000001</v>
      </c>
      <c r="F4850" t="s">
        <v>115</v>
      </c>
      <c r="G4850">
        <v>-223.6764</v>
      </c>
      <c r="H4850" s="1">
        <v>-9.1857419999999999E-7</v>
      </c>
      <c r="I4850">
        <v>-61.388109999999998</v>
      </c>
      <c r="J4850">
        <v>-268.90460000000002</v>
      </c>
      <c r="K4850">
        <v>1.1223749999999999</v>
      </c>
      <c r="L4850">
        <v>-64.617369999999994</v>
      </c>
      <c r="M4850">
        <v>0.99669269999999999</v>
      </c>
      <c r="N4850">
        <v>-6.6876519999999997E-3</v>
      </c>
      <c r="O4850">
        <v>8.0987909999999996E-2</v>
      </c>
      <c r="P4850">
        <v>0.97546049999999995</v>
      </c>
      <c r="Q4850">
        <v>0.20747350000000001</v>
      </c>
      <c r="R4850">
        <v>7.3699039999999993E-2</v>
      </c>
      <c r="S4850">
        <v>3.0754090000000001</v>
      </c>
      <c r="T4850">
        <v>-7.6064709999999994E-2</v>
      </c>
      <c r="U4850">
        <v>0.21975710000000001</v>
      </c>
      <c r="V4850">
        <v>4.5196639999999996E-3</v>
      </c>
      <c r="W4850">
        <v>0.214035</v>
      </c>
      <c r="X4850">
        <v>0.97681549999999995</v>
      </c>
      <c r="Y4850">
        <v>9.7265890000000008E-3</v>
      </c>
      <c r="Z4850">
        <v>-1.60812E-3</v>
      </c>
      <c r="AA4850">
        <v>0.99995140000000005</v>
      </c>
      <c r="AB4850">
        <v>29</v>
      </c>
      <c r="AC4850">
        <v>45.228200000000001</v>
      </c>
      <c r="AD4850">
        <v>-1.1223759185741999</v>
      </c>
      <c r="AE4850">
        <v>3.2292599999999898</v>
      </c>
      <c r="AF4850">
        <v>0.44409533828238801</v>
      </c>
      <c r="AG4850">
        <v>-1.1223759185741999</v>
      </c>
      <c r="AH4850">
        <v>45.313395733911499</v>
      </c>
      <c r="AI4850">
        <v>91.418811580227995</v>
      </c>
      <c r="AJ4850">
        <v>89.4384889157148</v>
      </c>
      <c r="AK4850">
        <v>45.329469237022302</v>
      </c>
      <c r="AL4850">
        <v>77.641080515275505</v>
      </c>
      <c r="AM4850">
        <v>89.734897916677497</v>
      </c>
      <c r="AN4850">
        <v>0.99999996481396003</v>
      </c>
    </row>
    <row r="4851" spans="1:40" x14ac:dyDescent="0.25">
      <c r="A4851" t="str">
        <f>"20190303170910389"</f>
        <v>20190303170910389</v>
      </c>
      <c r="B4851" t="str">
        <f>"1551604150379112"</f>
        <v>1551604150379112</v>
      </c>
      <c r="C4851" t="s">
        <v>40</v>
      </c>
      <c r="D4851">
        <v>4.9690399999999997</v>
      </c>
      <c r="E4851">
        <v>0.50687649999999995</v>
      </c>
      <c r="F4851" t="s">
        <v>115</v>
      </c>
      <c r="G4851">
        <v>-224.54730000000001</v>
      </c>
      <c r="H4851" s="1">
        <v>-1.2956989999999999E-6</v>
      </c>
      <c r="I4851">
        <v>-61.403970000000001</v>
      </c>
      <c r="J4851">
        <v>-268.76150000000001</v>
      </c>
      <c r="K4851">
        <v>1.122315</v>
      </c>
      <c r="L4851">
        <v>-64.604680000000002</v>
      </c>
      <c r="M4851">
        <v>0.99659690000000001</v>
      </c>
      <c r="N4851">
        <v>-6.6267260000000003E-3</v>
      </c>
      <c r="O4851">
        <v>8.2164680000000004E-2</v>
      </c>
      <c r="P4851">
        <v>0.97543869999999999</v>
      </c>
      <c r="Q4851">
        <v>0.2072483</v>
      </c>
      <c r="R4851">
        <v>7.4615780000000007E-2</v>
      </c>
      <c r="S4851">
        <v>3.0751949999999999</v>
      </c>
      <c r="T4851">
        <v>-7.7811959999999999E-2</v>
      </c>
      <c r="U4851">
        <v>0.22277830000000001</v>
      </c>
      <c r="V4851">
        <v>4.7847740000000003E-3</v>
      </c>
      <c r="W4851">
        <v>0.21375130000000001</v>
      </c>
      <c r="X4851">
        <v>0.97687639999999998</v>
      </c>
      <c r="Y4851">
        <v>9.9235899999999995E-3</v>
      </c>
      <c r="Z4851">
        <v>-1.6863869999999999E-3</v>
      </c>
      <c r="AA4851">
        <v>0.99994930000000004</v>
      </c>
      <c r="AB4851">
        <v>29</v>
      </c>
      <c r="AC4851">
        <v>44.214199999999998</v>
      </c>
      <c r="AD4851">
        <v>-1.122316295699</v>
      </c>
      <c r="AE4851">
        <v>3.2007099999999999</v>
      </c>
      <c r="AF4851">
        <v>0.44275379403385701</v>
      </c>
      <c r="AG4851">
        <v>-1.122316295699</v>
      </c>
      <c r="AH4851">
        <v>44.299291501110801</v>
      </c>
      <c r="AI4851">
        <v>91.4511975872378</v>
      </c>
      <c r="AJ4851">
        <v>89.427370545492593</v>
      </c>
      <c r="AK4851">
        <v>44.315717892076499</v>
      </c>
      <c r="AL4851">
        <v>77.657720948785794</v>
      </c>
      <c r="AM4851">
        <v>89.719365557584396</v>
      </c>
      <c r="AN4851">
        <v>1.00000000659544</v>
      </c>
    </row>
    <row r="4852" spans="1:40" x14ac:dyDescent="0.25">
      <c r="A4852" t="str">
        <f>"20190303170910400"</f>
        <v>20190303170910400</v>
      </c>
      <c r="B4852" t="str">
        <f>"1551604150388872"</f>
        <v>1551604150388872</v>
      </c>
      <c r="C4852" t="s">
        <v>40</v>
      </c>
      <c r="D4852">
        <v>4.9721640000000003</v>
      </c>
      <c r="E4852">
        <v>0.50702449999999999</v>
      </c>
      <c r="F4852" t="s">
        <v>115</v>
      </c>
      <c r="G4852">
        <v>-225.07560000000001</v>
      </c>
      <c r="H4852" s="1">
        <v>-1.526072E-6</v>
      </c>
      <c r="I4852">
        <v>-61.420830000000002</v>
      </c>
      <c r="J4852">
        <v>-268.6155</v>
      </c>
      <c r="K4852">
        <v>1.12225</v>
      </c>
      <c r="L4852">
        <v>-64.591489999999993</v>
      </c>
      <c r="M4852">
        <v>0.99650349999999999</v>
      </c>
      <c r="N4852">
        <v>-6.5644859999999996E-3</v>
      </c>
      <c r="O4852">
        <v>8.3292379999999999E-2</v>
      </c>
      <c r="P4852">
        <v>0.97538999999999998</v>
      </c>
      <c r="Q4852">
        <v>0.2071511</v>
      </c>
      <c r="R4852">
        <v>7.5517699999999993E-2</v>
      </c>
      <c r="S4852">
        <v>3.0751949999999999</v>
      </c>
      <c r="T4852">
        <v>-7.9003450000000003E-2</v>
      </c>
      <c r="U4852">
        <v>0.22412109999999999</v>
      </c>
      <c r="V4852">
        <v>5.0173600000000002E-3</v>
      </c>
      <c r="W4852">
        <v>0.2135939</v>
      </c>
      <c r="X4852">
        <v>0.97690960000000004</v>
      </c>
      <c r="Y4852">
        <v>1.06195E-2</v>
      </c>
      <c r="Z4852">
        <v>-1.757406E-3</v>
      </c>
      <c r="AA4852">
        <v>0.99994209999999994</v>
      </c>
      <c r="AB4852">
        <v>29</v>
      </c>
      <c r="AC4852">
        <v>43.539899999999903</v>
      </c>
      <c r="AD4852">
        <v>-1.1222515260720001</v>
      </c>
      <c r="AE4852">
        <v>3.1706599999999998</v>
      </c>
      <c r="AF4852">
        <v>0.46666978198120002</v>
      </c>
      <c r="AG4852">
        <v>-1.1222515260720001</v>
      </c>
      <c r="AH4852">
        <v>43.623867251063999</v>
      </c>
      <c r="AI4852">
        <v>91.473560791527404</v>
      </c>
      <c r="AJ4852">
        <v>89.387097230687303</v>
      </c>
      <c r="AK4852">
        <v>43.640795399621702</v>
      </c>
      <c r="AL4852">
        <v>77.666951761313697</v>
      </c>
      <c r="AM4852">
        <v>89.705734261717495</v>
      </c>
      <c r="AN4852">
        <v>0.99999994729536801</v>
      </c>
    </row>
    <row r="4853" spans="1:40" x14ac:dyDescent="0.25">
      <c r="A4853" t="str">
        <f>"20190303170910412"</f>
        <v>20190303170910412</v>
      </c>
      <c r="B4853" t="str">
        <f>"1551604150398632"</f>
        <v>1551604150398632</v>
      </c>
      <c r="C4853" t="s">
        <v>40</v>
      </c>
      <c r="D4853">
        <v>4.9493260000000001</v>
      </c>
      <c r="E4853">
        <v>0.50721139999999998</v>
      </c>
      <c r="F4853" t="s">
        <v>115</v>
      </c>
      <c r="G4853">
        <v>-224.5376</v>
      </c>
      <c r="H4853" s="1">
        <v>-1.2807540000000001E-6</v>
      </c>
      <c r="I4853">
        <v>-61.35548</v>
      </c>
      <c r="J4853">
        <v>-268.47370000000001</v>
      </c>
      <c r="K4853">
        <v>1.1221829999999999</v>
      </c>
      <c r="L4853">
        <v>-64.578639999999993</v>
      </c>
      <c r="M4853">
        <v>0.9964132</v>
      </c>
      <c r="N4853">
        <v>-6.5047949999999998E-3</v>
      </c>
      <c r="O4853">
        <v>8.4370249999999994E-2</v>
      </c>
      <c r="P4853">
        <v>0.97525240000000002</v>
      </c>
      <c r="Q4853">
        <v>0.20742930000000001</v>
      </c>
      <c r="R4853">
        <v>7.6524439999999999E-2</v>
      </c>
      <c r="S4853">
        <v>3.0747990000000001</v>
      </c>
      <c r="T4853">
        <v>-7.8286289999999994E-2</v>
      </c>
      <c r="U4853">
        <v>0.22573850000000001</v>
      </c>
      <c r="V4853">
        <v>5.0871140000000002E-3</v>
      </c>
      <c r="W4853">
        <v>0.2138128</v>
      </c>
      <c r="X4853">
        <v>0.97686139999999999</v>
      </c>
      <c r="Y4853">
        <v>1.116849E-2</v>
      </c>
      <c r="Z4853">
        <v>-1.7707319999999999E-3</v>
      </c>
      <c r="AA4853">
        <v>0.99993600000000005</v>
      </c>
      <c r="AB4853">
        <v>29</v>
      </c>
      <c r="AC4853">
        <v>43.936100000000003</v>
      </c>
      <c r="AD4853">
        <v>-1.1221842807539999</v>
      </c>
      <c r="AE4853">
        <v>3.22316</v>
      </c>
      <c r="AF4853">
        <v>0.49498988934288501</v>
      </c>
      <c r="AG4853">
        <v>-1.1221842807539999</v>
      </c>
      <c r="AH4853">
        <v>44.022817750667599</v>
      </c>
      <c r="AI4853">
        <v>91.460116460126201</v>
      </c>
      <c r="AJ4853">
        <v>89.355796881778502</v>
      </c>
      <c r="AK4853">
        <v>44.039900036887197</v>
      </c>
      <c r="AL4853">
        <v>77.654113703306194</v>
      </c>
      <c r="AM4853">
        <v>89.701628575628803</v>
      </c>
      <c r="AN4853">
        <v>0.99999999349132396</v>
      </c>
    </row>
    <row r="4854" spans="1:40" x14ac:dyDescent="0.25">
      <c r="A4854" t="str">
        <f>"20190303170910423"</f>
        <v>20190303170910423</v>
      </c>
      <c r="B4854" t="str">
        <f>"1551604150408391"</f>
        <v>1551604150408391</v>
      </c>
      <c r="C4854" t="s">
        <v>40</v>
      </c>
      <c r="D4854">
        <v>4.9674579999999997</v>
      </c>
      <c r="E4854">
        <v>0.50727079999999902</v>
      </c>
      <c r="F4854" t="s">
        <v>115</v>
      </c>
      <c r="G4854">
        <v>-223.79409999999999</v>
      </c>
      <c r="H4854" s="1">
        <v>-9.4318430000000004E-7</v>
      </c>
      <c r="I4854">
        <v>-61.271720000000002</v>
      </c>
      <c r="J4854">
        <v>-268.32310000000001</v>
      </c>
      <c r="K4854">
        <v>1.1221159999999999</v>
      </c>
      <c r="L4854">
        <v>-64.564790000000002</v>
      </c>
      <c r="M4854">
        <v>0.99632120000000002</v>
      </c>
      <c r="N4854">
        <v>-6.4436700000000003E-3</v>
      </c>
      <c r="O4854">
        <v>8.545519E-2</v>
      </c>
      <c r="P4854">
        <v>0.97517849999999995</v>
      </c>
      <c r="Q4854">
        <v>0.20735700000000001</v>
      </c>
      <c r="R4854">
        <v>7.7654139999999997E-2</v>
      </c>
      <c r="S4854">
        <v>3.0746769999999999</v>
      </c>
      <c r="T4854">
        <v>-7.7224370000000001E-2</v>
      </c>
      <c r="U4854">
        <v>0.22756960000000001</v>
      </c>
      <c r="V4854">
        <v>5.0510770000000002E-3</v>
      </c>
      <c r="W4854">
        <v>0.2136796</v>
      </c>
      <c r="X4854">
        <v>0.9768907</v>
      </c>
      <c r="Y4854">
        <v>1.1662290000000001E-2</v>
      </c>
      <c r="Z4854">
        <v>-1.772486E-3</v>
      </c>
      <c r="AA4854">
        <v>0.9999304</v>
      </c>
      <c r="AB4854">
        <v>30</v>
      </c>
      <c r="AC4854">
        <v>44.529000000000003</v>
      </c>
      <c r="AD4854">
        <v>-1.1221169431843001</v>
      </c>
      <c r="AE4854">
        <v>3.2930700000000002</v>
      </c>
      <c r="AF4854">
        <v>0.52395865782905904</v>
      </c>
      <c r="AG4854">
        <v>-1.1221169431843001</v>
      </c>
      <c r="AH4854">
        <v>44.619342321375399</v>
      </c>
      <c r="AI4854">
        <v>91.440509500092404</v>
      </c>
      <c r="AJ4854">
        <v>89.327214647502799</v>
      </c>
      <c r="AK4854">
        <v>44.636525271366899</v>
      </c>
      <c r="AL4854">
        <v>77.6619256595623</v>
      </c>
      <c r="AM4854">
        <v>89.703751079750006</v>
      </c>
      <c r="AN4854">
        <v>0.99999996229075405</v>
      </c>
    </row>
    <row r="4855" spans="1:40" x14ac:dyDescent="0.25">
      <c r="A4855" t="str">
        <f>"20190303170910433"</f>
        <v>20190303170910433</v>
      </c>
      <c r="B4855" t="str">
        <f>"1551604150419128"</f>
        <v>1551604150419128</v>
      </c>
      <c r="C4855" t="s">
        <v>40</v>
      </c>
      <c r="D4855">
        <v>4.9702219999999997</v>
      </c>
      <c r="E4855">
        <v>0.50754619999999995</v>
      </c>
      <c r="F4855" t="s">
        <v>115</v>
      </c>
      <c r="G4855">
        <v>-223.589</v>
      </c>
      <c r="H4855" s="1">
        <v>-8.41469E-7</v>
      </c>
      <c r="I4855">
        <v>-61.210050000000003</v>
      </c>
      <c r="J4855">
        <v>-268.18979999999999</v>
      </c>
      <c r="K4855">
        <v>1.1220559999999999</v>
      </c>
      <c r="L4855">
        <v>-64.552459999999996</v>
      </c>
      <c r="M4855">
        <v>0.99624120000000005</v>
      </c>
      <c r="N4855">
        <v>-6.3913119999999997E-3</v>
      </c>
      <c r="O4855">
        <v>8.6387370000000005E-2</v>
      </c>
      <c r="P4855">
        <v>0.97511789999999998</v>
      </c>
      <c r="Q4855">
        <v>0.20724500000000001</v>
      </c>
      <c r="R4855">
        <v>7.8706029999999996E-2</v>
      </c>
      <c r="S4855">
        <v>3.0744319999999998</v>
      </c>
      <c r="T4855">
        <v>-7.7119469999999996E-2</v>
      </c>
      <c r="U4855">
        <v>0.2305603</v>
      </c>
      <c r="V4855">
        <v>4.941005E-3</v>
      </c>
      <c r="W4855">
        <v>0.2135156</v>
      </c>
      <c r="X4855">
        <v>0.9769272</v>
      </c>
      <c r="Y4855">
        <v>1.1624519999999999E-2</v>
      </c>
      <c r="Z4855">
        <v>-1.7903190000000001E-3</v>
      </c>
      <c r="AA4855">
        <v>0.99993089999999996</v>
      </c>
      <c r="AB4855">
        <v>30</v>
      </c>
      <c r="AC4855">
        <v>44.6007999999999</v>
      </c>
      <c r="AD4855">
        <v>-1.122056841469</v>
      </c>
      <c r="AE4855">
        <v>3.3424099999999899</v>
      </c>
      <c r="AF4855">
        <v>0.52278087908401305</v>
      </c>
      <c r="AG4855">
        <v>-1.122056841469</v>
      </c>
      <c r="AH4855">
        <v>44.694676612347799</v>
      </c>
      <c r="AI4855">
        <v>91.438006280671701</v>
      </c>
      <c r="AJ4855">
        <v>89.329858176190996</v>
      </c>
      <c r="AK4855">
        <v>44.711815316372103</v>
      </c>
      <c r="AL4855">
        <v>77.671545113114405</v>
      </c>
      <c r="AM4855">
        <v>89.710217589222395</v>
      </c>
      <c r="AN4855">
        <v>1.0000000395368001</v>
      </c>
    </row>
    <row r="4856" spans="1:40" x14ac:dyDescent="0.25">
      <c r="A4856" t="str">
        <f>"20190303170910444"</f>
        <v>20190303170910444</v>
      </c>
      <c r="B4856" t="str">
        <f>"1551604150438647"</f>
        <v>1551604150438647</v>
      </c>
      <c r="C4856" t="s">
        <v>40</v>
      </c>
      <c r="D4856">
        <v>5.1180000000000003</v>
      </c>
      <c r="E4856">
        <v>0.50768599999999997</v>
      </c>
      <c r="F4856" t="s">
        <v>115</v>
      </c>
      <c r="G4856">
        <v>-223.35589999999999</v>
      </c>
      <c r="H4856" s="1">
        <v>-7.3443569999999896E-7</v>
      </c>
      <c r="I4856">
        <v>-61.178440000000002</v>
      </c>
      <c r="J4856">
        <v>-268.0421</v>
      </c>
      <c r="K4856">
        <v>1.12199</v>
      </c>
      <c r="L4856">
        <v>-64.538700000000006</v>
      </c>
      <c r="M4856">
        <v>0.99615569999999998</v>
      </c>
      <c r="N4856">
        <v>-6.3361900000000002E-3</v>
      </c>
      <c r="O4856">
        <v>8.7371859999999996E-2</v>
      </c>
      <c r="P4856">
        <v>0.9750202</v>
      </c>
      <c r="Q4856">
        <v>0.20708360000000001</v>
      </c>
      <c r="R4856">
        <v>8.0325469999999996E-2</v>
      </c>
      <c r="S4856">
        <v>3.0742189999999998</v>
      </c>
      <c r="T4856">
        <v>-7.6938389999999995E-2</v>
      </c>
      <c r="U4856">
        <v>0.2313538</v>
      </c>
      <c r="V4856">
        <v>4.3173609999999996E-3</v>
      </c>
      <c r="W4856">
        <v>0.21329709999999999</v>
      </c>
      <c r="X4856">
        <v>0.97697780000000001</v>
      </c>
      <c r="Y4856">
        <v>1.2350430000000001E-2</v>
      </c>
      <c r="Z4856">
        <v>-1.8190909999999999E-3</v>
      </c>
      <c r="AA4856">
        <v>0.99992210000000004</v>
      </c>
      <c r="AB4856">
        <v>30</v>
      </c>
      <c r="AC4856">
        <v>44.686199999999999</v>
      </c>
      <c r="AD4856">
        <v>-1.1219907344356901</v>
      </c>
      <c r="AE4856">
        <v>3.3602599999999998</v>
      </c>
      <c r="AF4856">
        <v>0.55663644893173803</v>
      </c>
      <c r="AG4856">
        <v>-1.1219907344356901</v>
      </c>
      <c r="AH4856">
        <v>44.780828628306899</v>
      </c>
      <c r="AI4856">
        <v>91.435143701618799</v>
      </c>
      <c r="AJ4856">
        <v>89.287836385006699</v>
      </c>
      <c r="AK4856">
        <v>44.798340594069202</v>
      </c>
      <c r="AL4856">
        <v>77.684358405906806</v>
      </c>
      <c r="AM4856">
        <v>89.746805962503601</v>
      </c>
      <c r="AN4856">
        <v>0.99999995708362599</v>
      </c>
    </row>
    <row r="4857" spans="1:40" x14ac:dyDescent="0.25">
      <c r="A4857" t="str">
        <f>"20190303170910456"</f>
        <v>20190303170910456</v>
      </c>
      <c r="B4857" t="str">
        <f>"1551604150448407"</f>
        <v>1551604150448407</v>
      </c>
      <c r="C4857" t="s">
        <v>40</v>
      </c>
      <c r="D4857">
        <v>5.1738799999999996</v>
      </c>
      <c r="E4857">
        <v>0.50776319999999997</v>
      </c>
      <c r="F4857" t="s">
        <v>115</v>
      </c>
      <c r="G4857">
        <v>-221.97300000000001</v>
      </c>
      <c r="H4857" s="1">
        <v>-1.0567270000000001E-7</v>
      </c>
      <c r="I4857">
        <v>-61.018700000000003</v>
      </c>
      <c r="J4857">
        <v>-267.89449999999999</v>
      </c>
      <c r="K4857">
        <v>1.1219209999999999</v>
      </c>
      <c r="L4857">
        <v>-64.524869999999893</v>
      </c>
      <c r="M4857">
        <v>0.99607349999999995</v>
      </c>
      <c r="N4857">
        <v>-6.284085E-3</v>
      </c>
      <c r="O4857">
        <v>8.8307410000000003E-2</v>
      </c>
      <c r="P4857">
        <v>0.97497679999999998</v>
      </c>
      <c r="Q4857">
        <v>0.20675689999999999</v>
      </c>
      <c r="R4857">
        <v>8.1682989999999997E-2</v>
      </c>
      <c r="S4857">
        <v>3.0734560000000002</v>
      </c>
      <c r="T4857">
        <v>-7.4852470000000004E-2</v>
      </c>
      <c r="U4857">
        <v>0.23483280000000001</v>
      </c>
      <c r="V4857">
        <v>3.9133199999999996E-3</v>
      </c>
      <c r="W4857">
        <v>0.21291789999999999</v>
      </c>
      <c r="X4857">
        <v>0.97706230000000005</v>
      </c>
      <c r="Y4857">
        <v>1.214671E-2</v>
      </c>
      <c r="Z4857">
        <v>-1.774154E-3</v>
      </c>
      <c r="AA4857">
        <v>0.9999247</v>
      </c>
      <c r="AB4857">
        <v>30</v>
      </c>
      <c r="AC4857">
        <v>45.921500000000002</v>
      </c>
      <c r="AD4857">
        <v>-1.1219211056727001</v>
      </c>
      <c r="AE4857">
        <v>3.5061699999999898</v>
      </c>
      <c r="AF4857">
        <v>0.56248299467368801</v>
      </c>
      <c r="AG4857">
        <v>-1.1219211056727001</v>
      </c>
      <c r="AH4857">
        <v>46.024404703912097</v>
      </c>
      <c r="AI4857">
        <v>91.396298758678199</v>
      </c>
      <c r="AJ4857">
        <v>89.299799803083701</v>
      </c>
      <c r="AK4857">
        <v>46.041513033740898</v>
      </c>
      <c r="AL4857">
        <v>77.706596848970193</v>
      </c>
      <c r="AM4857">
        <v>89.770520752905796</v>
      </c>
      <c r="AN4857">
        <v>1.0000000421475601</v>
      </c>
    </row>
    <row r="4858" spans="1:40" x14ac:dyDescent="0.25">
      <c r="A4858" t="str">
        <f>"20190303170910467"</f>
        <v>20190303170910467</v>
      </c>
      <c r="B4858" t="str">
        <f>"1551604150459144"</f>
        <v>1551604150459144</v>
      </c>
      <c r="C4858" t="s">
        <v>40</v>
      </c>
      <c r="D4858">
        <v>5.1163919999999896</v>
      </c>
      <c r="E4858">
        <v>0.50790879999999905</v>
      </c>
      <c r="F4858" t="s">
        <v>115</v>
      </c>
      <c r="G4858">
        <v>-222.18129999999999</v>
      </c>
      <c r="H4858" s="1">
        <v>-1.877899E-7</v>
      </c>
      <c r="I4858">
        <v>-60.986229999999999</v>
      </c>
      <c r="J4858">
        <v>-267.72519999999997</v>
      </c>
      <c r="K4858">
        <v>1.1218379999999999</v>
      </c>
      <c r="L4858">
        <v>-64.508880000000005</v>
      </c>
      <c r="M4858">
        <v>0.99598180000000003</v>
      </c>
      <c r="N4858">
        <v>-6.2269400000000003E-3</v>
      </c>
      <c r="O4858">
        <v>8.9338760000000003E-2</v>
      </c>
      <c r="P4858">
        <v>0.97487639999999998</v>
      </c>
      <c r="Q4858">
        <v>0.2066664</v>
      </c>
      <c r="R4858">
        <v>8.3096660000000003E-2</v>
      </c>
      <c r="S4858">
        <v>3.0730590000000002</v>
      </c>
      <c r="T4858">
        <v>-7.5420860000000006E-2</v>
      </c>
      <c r="U4858">
        <v>0.2378845</v>
      </c>
      <c r="V4858">
        <v>3.5468330000000001E-3</v>
      </c>
      <c r="W4858">
        <v>0.21276970000000001</v>
      </c>
      <c r="X4858">
        <v>0.97709599999999996</v>
      </c>
      <c r="Y4858">
        <v>1.2184499999999999E-2</v>
      </c>
      <c r="Z4858">
        <v>-1.8157399999999999E-3</v>
      </c>
      <c r="AA4858">
        <v>0.99992409999999998</v>
      </c>
      <c r="AB4858">
        <v>30</v>
      </c>
      <c r="AC4858">
        <v>45.543899999999901</v>
      </c>
      <c r="AD4858">
        <v>-1.1218381877899</v>
      </c>
      <c r="AE4858">
        <v>3.5226499999999898</v>
      </c>
      <c r="AF4858">
        <v>0.56001338608647599</v>
      </c>
      <c r="AG4858">
        <v>-1.1218381877899</v>
      </c>
      <c r="AH4858">
        <v>45.648959557903403</v>
      </c>
      <c r="AI4858">
        <v>91.407673374221403</v>
      </c>
      <c r="AJ4858">
        <v>89.297140739085293</v>
      </c>
      <c r="AK4858">
        <v>45.666176155129101</v>
      </c>
      <c r="AL4858">
        <v>77.7152874252819</v>
      </c>
      <c r="AM4858">
        <v>89.792018727984996</v>
      </c>
      <c r="AN4858">
        <v>1.0000000592392</v>
      </c>
    </row>
    <row r="4859" spans="1:40" x14ac:dyDescent="0.25">
      <c r="A4859" t="str">
        <f>"20190303170910481"</f>
        <v>20190303170910481</v>
      </c>
      <c r="B4859" t="str">
        <f>"1551604150468904"</f>
        <v>1551604150468904</v>
      </c>
      <c r="C4859" t="s">
        <v>40</v>
      </c>
      <c r="D4859">
        <v>4.961462</v>
      </c>
      <c r="E4859">
        <v>0.50807209999999903</v>
      </c>
      <c r="F4859" t="s">
        <v>115</v>
      </c>
      <c r="G4859">
        <v>-221.82990000000001</v>
      </c>
      <c r="H4859" s="1">
        <v>-2.0762290000000001E-8</v>
      </c>
      <c r="I4859">
        <v>-60.912939999999999</v>
      </c>
      <c r="J4859">
        <v>-267.55200000000002</v>
      </c>
      <c r="K4859">
        <v>1.1217469999999901</v>
      </c>
      <c r="L4859">
        <v>-64.492339999999999</v>
      </c>
      <c r="M4859">
        <v>0.995896</v>
      </c>
      <c r="N4859">
        <v>-6.1740400000000004E-3</v>
      </c>
      <c r="O4859">
        <v>9.0294929999999995E-2</v>
      </c>
      <c r="P4859">
        <v>0.97485010000000005</v>
      </c>
      <c r="Q4859">
        <v>0.20630090000000001</v>
      </c>
      <c r="R4859">
        <v>8.4304740000000003E-2</v>
      </c>
      <c r="S4859">
        <v>3.0727540000000002</v>
      </c>
      <c r="T4859">
        <v>-7.5108649999999999E-2</v>
      </c>
      <c r="U4859">
        <v>0.2407532</v>
      </c>
      <c r="V4859">
        <v>3.322158E-3</v>
      </c>
      <c r="W4859">
        <v>0.21235080000000001</v>
      </c>
      <c r="X4859">
        <v>0.9771879</v>
      </c>
      <c r="Y4859">
        <v>1.220888E-2</v>
      </c>
      <c r="Z4859">
        <v>-1.828295E-3</v>
      </c>
      <c r="AA4859">
        <v>0.99992380000000003</v>
      </c>
      <c r="AB4859">
        <v>30</v>
      </c>
      <c r="AC4859">
        <v>45.722099999999998</v>
      </c>
      <c r="AD4859">
        <v>-1.1217470207622899</v>
      </c>
      <c r="AE4859">
        <v>3.5794000000000001</v>
      </c>
      <c r="AF4859">
        <v>0.56343730616714804</v>
      </c>
      <c r="AG4859">
        <v>-1.1217470207622899</v>
      </c>
      <c r="AH4859">
        <v>45.831110558055101</v>
      </c>
      <c r="AI4859">
        <v>91.401966617682604</v>
      </c>
      <c r="AJ4859">
        <v>89.295654129797995</v>
      </c>
      <c r="AK4859">
        <v>45.848298474002704</v>
      </c>
      <c r="AL4859">
        <v>77.739849757629102</v>
      </c>
      <c r="AM4859">
        <v>89.805211567867801</v>
      </c>
      <c r="AN4859">
        <v>1.0000000454504101</v>
      </c>
    </row>
    <row r="4860" spans="1:40" x14ac:dyDescent="0.25">
      <c r="A4860" t="str">
        <f>"20190303170910501"</f>
        <v>20190303170910501</v>
      </c>
      <c r="B4860" t="str">
        <f>"1551604150488424"</f>
        <v>1551604150488424</v>
      </c>
      <c r="C4860" t="s">
        <v>40</v>
      </c>
      <c r="D4860">
        <v>5.0616839999999996</v>
      </c>
      <c r="E4860">
        <v>0.50833919999999999</v>
      </c>
      <c r="F4860" t="s">
        <v>115</v>
      </c>
      <c r="G4860">
        <v>-221.90610000000001</v>
      </c>
      <c r="H4860" s="1">
        <v>-4.5829670000000001E-8</v>
      </c>
      <c r="I4860">
        <v>-60.87876</v>
      </c>
      <c r="J4860">
        <v>-267.2953</v>
      </c>
      <c r="K4860">
        <v>1.121615</v>
      </c>
      <c r="L4860">
        <v>-64.467680000000001</v>
      </c>
      <c r="M4860">
        <v>0.99577680000000002</v>
      </c>
      <c r="N4860">
        <v>-6.1012619999999997E-3</v>
      </c>
      <c r="O4860">
        <v>9.1605720000000002E-2</v>
      </c>
      <c r="P4860">
        <v>0.97481510000000005</v>
      </c>
      <c r="Q4860">
        <v>0.2058247</v>
      </c>
      <c r="R4860">
        <v>8.586038E-2</v>
      </c>
      <c r="S4860">
        <v>3.0723569999999998</v>
      </c>
      <c r="T4860">
        <v>-7.5503109999999998E-2</v>
      </c>
      <c r="U4860">
        <v>0.2432251</v>
      </c>
      <c r="V4860">
        <v>3.1216030000000001E-3</v>
      </c>
      <c r="W4860">
        <v>0.2118024</v>
      </c>
      <c r="X4860">
        <v>0.97730760000000005</v>
      </c>
      <c r="Y4860">
        <v>1.2714619999999999E-2</v>
      </c>
      <c r="Z4860">
        <v>-1.878701E-3</v>
      </c>
      <c r="AA4860">
        <v>0.99991739999999996</v>
      </c>
      <c r="AB4860">
        <v>30</v>
      </c>
      <c r="AC4860">
        <v>45.389199999999903</v>
      </c>
      <c r="AD4860">
        <v>-1.1216150458296701</v>
      </c>
      <c r="AE4860">
        <v>3.5889199999999999</v>
      </c>
      <c r="AF4860">
        <v>0.58380359083399502</v>
      </c>
      <c r="AG4860">
        <v>-1.1216150458296701</v>
      </c>
      <c r="AH4860">
        <v>45.499508179315903</v>
      </c>
      <c r="AI4860">
        <v>91.412004487019104</v>
      </c>
      <c r="AJ4860">
        <v>89.264878947137106</v>
      </c>
      <c r="AK4860">
        <v>45.5170747248034</v>
      </c>
      <c r="AL4860">
        <v>77.772002473155197</v>
      </c>
      <c r="AM4860">
        <v>89.816993064431799</v>
      </c>
      <c r="AN4860">
        <v>1.0000000730344001</v>
      </c>
    </row>
    <row r="4861" spans="1:40" x14ac:dyDescent="0.25">
      <c r="A4861" t="str">
        <f>"20190303170910514"</f>
        <v>20190303170910514</v>
      </c>
      <c r="B4861" t="str">
        <f>"1551604150508920"</f>
        <v>1551604150508920</v>
      </c>
      <c r="C4861" t="s">
        <v>40</v>
      </c>
      <c r="D4861">
        <v>5.0576169999999996</v>
      </c>
      <c r="E4861">
        <v>0.50864569999999998</v>
      </c>
      <c r="F4861" t="s">
        <v>115</v>
      </c>
      <c r="G4861">
        <v>-221.8107</v>
      </c>
      <c r="H4861" s="1">
        <v>8.4060619999999992E-9</v>
      </c>
      <c r="I4861">
        <v>-60.818820000000002</v>
      </c>
      <c r="J4861">
        <v>-267.11450000000002</v>
      </c>
      <c r="K4861">
        <v>1.1215170000000001</v>
      </c>
      <c r="L4861">
        <v>-64.450230000000005</v>
      </c>
      <c r="M4861">
        <v>0.99569949999999996</v>
      </c>
      <c r="N4861">
        <v>-6.054622E-3</v>
      </c>
      <c r="O4861">
        <v>9.2444499999999999E-2</v>
      </c>
      <c r="P4861">
        <v>0.9747922</v>
      </c>
      <c r="Q4861">
        <v>0.20556199999999999</v>
      </c>
      <c r="R4861">
        <v>8.6744630000000003E-2</v>
      </c>
      <c r="S4861">
        <v>3.0718380000000001</v>
      </c>
      <c r="T4861">
        <v>-7.5749159999999996E-2</v>
      </c>
      <c r="U4861">
        <v>0.24642939999999999</v>
      </c>
      <c r="V4861">
        <v>3.1088769999999999E-3</v>
      </c>
      <c r="W4861">
        <v>0.21149380000000001</v>
      </c>
      <c r="X4861">
        <v>0.97737439999999998</v>
      </c>
      <c r="Y4861">
        <v>1.250686E-2</v>
      </c>
      <c r="Z4861">
        <v>-1.903051E-3</v>
      </c>
      <c r="AA4861">
        <v>0.99992000000000003</v>
      </c>
      <c r="AB4861">
        <v>30</v>
      </c>
      <c r="AC4861">
        <v>45.303800000000003</v>
      </c>
      <c r="AD4861">
        <v>-1.12151699159393</v>
      </c>
      <c r="AE4861">
        <v>3.6314099999999998</v>
      </c>
      <c r="AF4861">
        <v>0.57195619205179404</v>
      </c>
      <c r="AG4861">
        <v>-1.12151699159393</v>
      </c>
      <c r="AH4861">
        <v>45.417848851050401</v>
      </c>
      <c r="AI4861">
        <v>91.414422840085706</v>
      </c>
      <c r="AJ4861">
        <v>89.278500754415205</v>
      </c>
      <c r="AK4861">
        <v>45.435293863965697</v>
      </c>
      <c r="AL4861">
        <v>77.790092949839206</v>
      </c>
      <c r="AM4861">
        <v>89.817751589990394</v>
      </c>
      <c r="AN4861">
        <v>1.000000005165</v>
      </c>
    </row>
    <row r="4862" spans="1:40" x14ac:dyDescent="0.25">
      <c r="A4862" t="str">
        <f>"20190303170910528"</f>
        <v>20190303170910528</v>
      </c>
      <c r="B4862" t="str">
        <f>"1551604150518679"</f>
        <v>1551604150518679</v>
      </c>
      <c r="C4862" t="s">
        <v>40</v>
      </c>
      <c r="D4862">
        <v>5.0566979999999999</v>
      </c>
      <c r="E4862">
        <v>0.50876949999999999</v>
      </c>
      <c r="F4862" t="s">
        <v>115</v>
      </c>
      <c r="G4862">
        <v>-221.8486</v>
      </c>
      <c r="H4862" s="1">
        <v>-7.3645769999999902E-9</v>
      </c>
      <c r="I4862">
        <v>-60.816519999999997</v>
      </c>
      <c r="J4862">
        <v>-266.92149999999998</v>
      </c>
      <c r="K4862">
        <v>1.1214150000000001</v>
      </c>
      <c r="L4862">
        <v>-64.431489999999997</v>
      </c>
      <c r="M4862">
        <v>0.99562280000000003</v>
      </c>
      <c r="N4862">
        <v>-6.0089289999999997E-3</v>
      </c>
      <c r="O4862">
        <v>9.3268710000000005E-2</v>
      </c>
      <c r="P4862">
        <v>0.97469079999999997</v>
      </c>
      <c r="Q4862">
        <v>0.20557349999999999</v>
      </c>
      <c r="R4862">
        <v>8.7848480000000007E-2</v>
      </c>
      <c r="S4862">
        <v>3.0717159999999999</v>
      </c>
      <c r="T4862">
        <v>-7.6105590000000001E-2</v>
      </c>
      <c r="U4862">
        <v>0.246582</v>
      </c>
      <c r="V4862">
        <v>2.8584470000000001E-3</v>
      </c>
      <c r="W4862">
        <v>0.21145939999999999</v>
      </c>
      <c r="X4862">
        <v>0.97738259999999999</v>
      </c>
      <c r="Y4862">
        <v>1.3281299999999999E-2</v>
      </c>
      <c r="Z4862">
        <v>-1.9457089999999999E-3</v>
      </c>
      <c r="AA4862">
        <v>0.99990990000000002</v>
      </c>
      <c r="AB4862">
        <v>30</v>
      </c>
      <c r="AC4862">
        <v>45.072899999999898</v>
      </c>
      <c r="AD4862">
        <v>-1.1214150073645699</v>
      </c>
      <c r="AE4862">
        <v>3.61497</v>
      </c>
      <c r="AF4862">
        <v>0.60438389613251498</v>
      </c>
      <c r="AG4862">
        <v>-1.1214150073645699</v>
      </c>
      <c r="AH4862">
        <v>45.185796639230198</v>
      </c>
      <c r="AI4862">
        <v>91.421539994092299</v>
      </c>
      <c r="AJ4862">
        <v>89.233684383708393</v>
      </c>
      <c r="AK4862">
        <v>45.203750612471403</v>
      </c>
      <c r="AL4862">
        <v>77.792109440751901</v>
      </c>
      <c r="AM4862">
        <v>89.832433601618604</v>
      </c>
      <c r="AN4862">
        <v>0.99999999767518599</v>
      </c>
    </row>
    <row r="4863" spans="1:40" x14ac:dyDescent="0.25">
      <c r="A4863" t="str">
        <f>"20190303170910540"</f>
        <v>20190303170910540</v>
      </c>
      <c r="B4863" t="str">
        <f>"1551604150528439"</f>
        <v>1551604150528439</v>
      </c>
      <c r="C4863" t="s">
        <v>40</v>
      </c>
      <c r="D4863">
        <v>4.8683439999999996</v>
      </c>
      <c r="E4863">
        <v>0.50891690000000001</v>
      </c>
      <c r="F4863" t="s">
        <v>115</v>
      </c>
      <c r="G4863">
        <v>-221.22909999999999</v>
      </c>
      <c r="H4863" s="1">
        <v>2.7774289999999998E-7</v>
      </c>
      <c r="I4863">
        <v>-60.729550000000003</v>
      </c>
      <c r="J4863">
        <v>-266.76990000000001</v>
      </c>
      <c r="K4863">
        <v>1.12134</v>
      </c>
      <c r="L4863">
        <v>-64.416719999999998</v>
      </c>
      <c r="M4863">
        <v>0.99556999999999995</v>
      </c>
      <c r="N4863">
        <v>-5.9773209999999998E-3</v>
      </c>
      <c r="O4863">
        <v>9.3833920000000001E-2</v>
      </c>
      <c r="P4863">
        <v>0.97466030000000003</v>
      </c>
      <c r="Q4863">
        <v>0.2052274</v>
      </c>
      <c r="R4863">
        <v>8.8989550000000001E-2</v>
      </c>
      <c r="S4863">
        <v>3.0713810000000001</v>
      </c>
      <c r="T4863">
        <v>-7.5380089999999997E-2</v>
      </c>
      <c r="U4863">
        <v>0.24884029999999999</v>
      </c>
      <c r="V4863">
        <v>2.3130329999999999E-3</v>
      </c>
      <c r="W4863">
        <v>0.2110804</v>
      </c>
      <c r="X4863">
        <v>0.9774659</v>
      </c>
      <c r="Y4863">
        <v>1.3110170000000001E-2</v>
      </c>
      <c r="Z4863">
        <v>-1.9329060000000001E-3</v>
      </c>
      <c r="AA4863">
        <v>0.99991220000000003</v>
      </c>
      <c r="AB4863">
        <v>30</v>
      </c>
      <c r="AC4863">
        <v>45.540799999999997</v>
      </c>
      <c r="AD4863">
        <v>-1.1213397222571</v>
      </c>
      <c r="AE4863">
        <v>3.6871699999999898</v>
      </c>
      <c r="AF4863">
        <v>0.60208400770296899</v>
      </c>
      <c r="AG4863">
        <v>-1.1213397222571</v>
      </c>
      <c r="AH4863">
        <v>45.658346957016697</v>
      </c>
      <c r="AI4863">
        <v>91.4067425382799</v>
      </c>
      <c r="AJ4863">
        <v>89.2445001733266</v>
      </c>
      <c r="AK4863">
        <v>45.6760829622283</v>
      </c>
      <c r="AL4863">
        <v>77.814325250320607</v>
      </c>
      <c r="AM4863">
        <v>89.864418000252201</v>
      </c>
      <c r="AN4863">
        <v>0.99999993552431199</v>
      </c>
    </row>
    <row r="4864" spans="1:40" x14ac:dyDescent="0.25">
      <c r="A4864" t="str">
        <f>"20190303170910556"</f>
        <v>20190303170910556</v>
      </c>
      <c r="B4864" t="str">
        <f>"1551604150548935"</f>
        <v>1551604150548935</v>
      </c>
      <c r="C4864" t="s">
        <v>40</v>
      </c>
      <c r="D4864">
        <v>4.8004239999999996</v>
      </c>
      <c r="E4864">
        <v>0.5141464</v>
      </c>
      <c r="F4864" t="s">
        <v>115</v>
      </c>
      <c r="G4864">
        <v>-221.60140000000001</v>
      </c>
      <c r="H4864" s="1">
        <v>1.1762029999999999E-7</v>
      </c>
      <c r="I4864">
        <v>-60.731380000000001</v>
      </c>
      <c r="J4864">
        <v>-266.54329999999999</v>
      </c>
      <c r="K4864">
        <v>1.121227</v>
      </c>
      <c r="L4864">
        <v>-64.394530000000003</v>
      </c>
      <c r="M4864">
        <v>0.99549730000000003</v>
      </c>
      <c r="N4864">
        <v>-5.9333340000000002E-3</v>
      </c>
      <c r="O4864">
        <v>9.460557E-2</v>
      </c>
      <c r="P4864">
        <v>0.97438619999999998</v>
      </c>
      <c r="Q4864">
        <v>0.20566970000000001</v>
      </c>
      <c r="R4864">
        <v>9.0949650000000007E-2</v>
      </c>
      <c r="S4864">
        <v>3.071167</v>
      </c>
      <c r="T4864">
        <v>-7.624388E-2</v>
      </c>
      <c r="U4864">
        <v>0.25057980000000002</v>
      </c>
      <c r="V4864">
        <v>1.1505E-3</v>
      </c>
      <c r="W4864">
        <v>0.2114761</v>
      </c>
      <c r="X4864">
        <v>0.97738250000000004</v>
      </c>
      <c r="Y4864">
        <v>1.3316069999999999E-2</v>
      </c>
      <c r="Z4864">
        <v>-1.9825670000000002E-3</v>
      </c>
      <c r="AA4864">
        <v>0.99990939999999995</v>
      </c>
      <c r="AB4864">
        <v>30</v>
      </c>
      <c r="AC4864">
        <v>44.941899999999897</v>
      </c>
      <c r="AD4864">
        <v>-1.1212268823797</v>
      </c>
      <c r="AE4864">
        <v>3.6631499999999999</v>
      </c>
      <c r="AF4864">
        <v>0.60473477931744701</v>
      </c>
      <c r="AG4864">
        <v>-1.1212268823797</v>
      </c>
      <c r="AH4864">
        <v>45.059020960854603</v>
      </c>
      <c r="AI4864">
        <v>91.425298003925803</v>
      </c>
      <c r="AJ4864">
        <v>89.231082483965693</v>
      </c>
      <c r="AK4864">
        <v>45.077025454502099</v>
      </c>
      <c r="AL4864">
        <v>77.791130588523799</v>
      </c>
      <c r="AM4864">
        <v>89.932555817314395</v>
      </c>
      <c r="AN4864">
        <v>1.00000000791385</v>
      </c>
    </row>
    <row r="4865" spans="1:40" x14ac:dyDescent="0.25">
      <c r="A4865" t="str">
        <f>"20190303170910567"</f>
        <v>20190303170910567</v>
      </c>
      <c r="B4865" t="str">
        <f>"1551604150558695"</f>
        <v>1551604150558695</v>
      </c>
      <c r="C4865" t="s">
        <v>40</v>
      </c>
      <c r="D4865">
        <v>4.8856760000000001</v>
      </c>
      <c r="E4865">
        <v>0.51498999999999995</v>
      </c>
      <c r="F4865" t="s">
        <v>59</v>
      </c>
      <c r="G4865">
        <v>-207.82849999999999</v>
      </c>
      <c r="H4865" s="1">
        <v>-1.3677010000000001E-6</v>
      </c>
      <c r="I4865">
        <v>-60.324159999999999</v>
      </c>
      <c r="J4865">
        <v>-266.38729999999998</v>
      </c>
      <c r="K4865">
        <v>1.1211439999999999</v>
      </c>
      <c r="L4865">
        <v>-64.379239999999996</v>
      </c>
      <c r="M4865">
        <v>0.99545229999999996</v>
      </c>
      <c r="N4865">
        <v>-5.9055419999999997E-3</v>
      </c>
      <c r="O4865">
        <v>9.5079230000000001E-2</v>
      </c>
      <c r="P4865">
        <v>0.97423309999999996</v>
      </c>
      <c r="Q4865">
        <v>0.2059385</v>
      </c>
      <c r="R4865">
        <v>9.1975929999999997E-2</v>
      </c>
      <c r="S4865">
        <v>3.0713810000000001</v>
      </c>
      <c r="T4865">
        <v>-5.865157E-2</v>
      </c>
      <c r="U4865">
        <v>0.2129211</v>
      </c>
      <c r="V4865">
        <v>6.2018769999999895E-4</v>
      </c>
      <c r="W4865">
        <v>0.21171570000000001</v>
      </c>
      <c r="X4865">
        <v>0.97733110000000001</v>
      </c>
      <c r="Y4865">
        <v>2.599394E-2</v>
      </c>
      <c r="Z4865">
        <v>-1.5725960000000001E-3</v>
      </c>
      <c r="AA4865">
        <v>0.99966080000000002</v>
      </c>
      <c r="AB4865">
        <v>30</v>
      </c>
      <c r="AC4865">
        <v>58.558799999999898</v>
      </c>
      <c r="AD4865">
        <v>-1.1211453677009999</v>
      </c>
      <c r="AE4865">
        <v>4.0550799999999896</v>
      </c>
      <c r="AF4865">
        <v>1.53055507865855</v>
      </c>
      <c r="AG4865">
        <v>-1.1211453677009999</v>
      </c>
      <c r="AH4865">
        <v>58.657664234990001</v>
      </c>
      <c r="AI4865">
        <v>91.094609364881606</v>
      </c>
      <c r="AJ4865">
        <v>88.505319748121295</v>
      </c>
      <c r="AK4865">
        <v>58.6883390401292</v>
      </c>
      <c r="AL4865">
        <v>77.777084386859599</v>
      </c>
      <c r="AM4865">
        <v>89.963641663560793</v>
      </c>
      <c r="AN4865">
        <v>1.0000000006432399</v>
      </c>
    </row>
    <row r="4866" spans="1:40" x14ac:dyDescent="0.25">
      <c r="A4866" t="str">
        <f>"20190303170910578"</f>
        <v>20190303170910578</v>
      </c>
      <c r="B4866" t="str">
        <f>"1551604150568456"</f>
        <v>1551604150568456</v>
      </c>
      <c r="C4866" t="s">
        <v>40</v>
      </c>
      <c r="D4866">
        <v>5.0538420000000004</v>
      </c>
      <c r="E4866">
        <v>0.51570680000000002</v>
      </c>
      <c r="F4866" t="s">
        <v>59</v>
      </c>
      <c r="G4866">
        <v>-208.9812</v>
      </c>
      <c r="H4866" s="1">
        <v>-6.3145979999999998E-7</v>
      </c>
      <c r="I4866">
        <v>-60.472029999999997</v>
      </c>
      <c r="J4866">
        <v>-266.24340000000001</v>
      </c>
      <c r="K4866">
        <v>1.1210719999999901</v>
      </c>
      <c r="L4866">
        <v>-64.365080000000006</v>
      </c>
      <c r="M4866">
        <v>0.99541809999999997</v>
      </c>
      <c r="N4866">
        <v>-5.8831559999999996E-3</v>
      </c>
      <c r="O4866">
        <v>9.543683E-2</v>
      </c>
      <c r="P4866">
        <v>0.97409500000000004</v>
      </c>
      <c r="Q4866">
        <v>0.2062737</v>
      </c>
      <c r="R4866">
        <v>9.2683630000000003E-2</v>
      </c>
      <c r="S4866">
        <v>3.0722659999999999</v>
      </c>
      <c r="T4866">
        <v>-6.0001489999999998E-2</v>
      </c>
      <c r="U4866">
        <v>0.2091064</v>
      </c>
      <c r="V4866">
        <v>2.9150120000000001E-4</v>
      </c>
      <c r="W4866">
        <v>0.21202789999999999</v>
      </c>
      <c r="X4866">
        <v>0.97726360000000001</v>
      </c>
      <c r="Y4866">
        <v>2.7607039999999999E-2</v>
      </c>
      <c r="Z4866">
        <v>-1.646591E-3</v>
      </c>
      <c r="AA4866">
        <v>0.99961750000000005</v>
      </c>
      <c r="AB4866">
        <v>30</v>
      </c>
      <c r="AC4866">
        <v>57.2622</v>
      </c>
      <c r="AD4866">
        <v>-1.1210726314598001</v>
      </c>
      <c r="AE4866">
        <v>3.8930500000000001</v>
      </c>
      <c r="AF4866">
        <v>1.58913162798152</v>
      </c>
      <c r="AG4866">
        <v>-1.1210726314598001</v>
      </c>
      <c r="AH4866">
        <v>57.350482804551099</v>
      </c>
      <c r="AI4866">
        <v>91.119431126444795</v>
      </c>
      <c r="AJ4866">
        <v>88.412790286670102</v>
      </c>
      <c r="AK4866">
        <v>57.383447274376699</v>
      </c>
      <c r="AL4866">
        <v>77.758781473957796</v>
      </c>
      <c r="AM4866">
        <v>89.982909638722106</v>
      </c>
      <c r="AN4866">
        <v>1.0000000296181499</v>
      </c>
    </row>
    <row r="4867" spans="1:40" x14ac:dyDescent="0.25">
      <c r="A4867" t="str">
        <f>"20190303170910588"</f>
        <v>20190303170910588</v>
      </c>
      <c r="B4867" t="str">
        <f>"1551604150579191"</f>
        <v>1551604150579191</v>
      </c>
      <c r="C4867" t="s">
        <v>40</v>
      </c>
      <c r="D4867">
        <v>5.0040979999999999</v>
      </c>
      <c r="E4867">
        <v>0.5158007</v>
      </c>
      <c r="F4867" t="s">
        <v>59</v>
      </c>
      <c r="G4867">
        <v>-207.93379999999999</v>
      </c>
      <c r="H4867" s="1">
        <v>-1.2955619999999999E-6</v>
      </c>
      <c r="I4867">
        <v>-60.460039999999999</v>
      </c>
      <c r="J4867">
        <v>-266.10059999999999</v>
      </c>
      <c r="K4867">
        <v>1.120992</v>
      </c>
      <c r="L4867">
        <v>-64.351039999999998</v>
      </c>
      <c r="M4867">
        <v>0.99538510000000002</v>
      </c>
      <c r="N4867">
        <v>-5.8613650000000003E-3</v>
      </c>
      <c r="O4867">
        <v>9.5782640000000002E-2</v>
      </c>
      <c r="P4867">
        <v>0.97397259999999997</v>
      </c>
      <c r="Q4867">
        <v>0.20674120000000001</v>
      </c>
      <c r="R4867">
        <v>9.2929360000000003E-2</v>
      </c>
      <c r="S4867">
        <v>3.0726930000000001</v>
      </c>
      <c r="T4867">
        <v>-5.9076190000000001E-2</v>
      </c>
      <c r="U4867">
        <v>0.20577999999999999</v>
      </c>
      <c r="V4867">
        <v>4.1221550000000002E-4</v>
      </c>
      <c r="W4867">
        <v>0.21247340000000001</v>
      </c>
      <c r="X4867">
        <v>0.9771668</v>
      </c>
      <c r="Y4867">
        <v>2.9041109999999998E-2</v>
      </c>
      <c r="Z4867">
        <v>-1.637915E-3</v>
      </c>
      <c r="AA4867">
        <v>0.99957689999999999</v>
      </c>
      <c r="AB4867">
        <v>30</v>
      </c>
      <c r="AC4867">
        <v>58.166800000000002</v>
      </c>
      <c r="AD4867">
        <v>-1.1209932955619999</v>
      </c>
      <c r="AE4867">
        <v>3.8909999999999898</v>
      </c>
      <c r="AF4867">
        <v>1.6977275256840301</v>
      </c>
      <c r="AG4867">
        <v>-1.1209932955619999</v>
      </c>
      <c r="AH4867">
        <v>58.250513867293499</v>
      </c>
      <c r="AI4867">
        <v>91.102016129300395</v>
      </c>
      <c r="AJ4867">
        <v>88.330571064505406</v>
      </c>
      <c r="AK4867">
        <v>58.286029805811197</v>
      </c>
      <c r="AL4867">
        <v>77.732661128901995</v>
      </c>
      <c r="AM4867">
        <v>89.975829912560599</v>
      </c>
      <c r="AN4867">
        <v>1.0000000353256999</v>
      </c>
    </row>
    <row r="4868" spans="1:40" x14ac:dyDescent="0.25">
      <c r="A4868" t="str">
        <f>"20190303170910599"</f>
        <v>20190303170910599</v>
      </c>
      <c r="B4868" t="str">
        <f>"1551604150588952"</f>
        <v>1551604150588952</v>
      </c>
      <c r="C4868" t="s">
        <v>40</v>
      </c>
      <c r="D4868">
        <v>5.0057280000000004</v>
      </c>
      <c r="E4868">
        <v>0.51629629999999904</v>
      </c>
      <c r="F4868" t="s">
        <v>59</v>
      </c>
      <c r="G4868">
        <v>-206.2465</v>
      </c>
      <c r="H4868" s="1">
        <v>-2.369893E-6</v>
      </c>
      <c r="I4868">
        <v>-60.336649999999999</v>
      </c>
      <c r="J4868">
        <v>-265.95370000000003</v>
      </c>
      <c r="K4868">
        <v>1.1209070000000001</v>
      </c>
      <c r="L4868">
        <v>-64.336609999999993</v>
      </c>
      <c r="M4868">
        <v>0.99536080000000005</v>
      </c>
      <c r="N4868">
        <v>-5.8465560000000001E-3</v>
      </c>
      <c r="O4868">
        <v>9.6035969999999998E-2</v>
      </c>
      <c r="P4868">
        <v>0.97399000000000002</v>
      </c>
      <c r="Q4868">
        <v>0.20642830000000001</v>
      </c>
      <c r="R4868">
        <v>9.3441369999999996E-2</v>
      </c>
      <c r="S4868">
        <v>3.0727229999999999</v>
      </c>
      <c r="T4868">
        <v>-5.75484E-2</v>
      </c>
      <c r="U4868">
        <v>0.2060852</v>
      </c>
      <c r="V4868">
        <v>1.964434E-4</v>
      </c>
      <c r="W4868">
        <v>0.2121458</v>
      </c>
      <c r="X4868">
        <v>0.97723800000000005</v>
      </c>
      <c r="Y4868">
        <v>2.9198200000000001E-2</v>
      </c>
      <c r="Z4868">
        <v>-1.58957E-3</v>
      </c>
      <c r="AA4868">
        <v>0.99957240000000003</v>
      </c>
      <c r="AB4868">
        <v>30</v>
      </c>
      <c r="AC4868">
        <v>59.7072</v>
      </c>
      <c r="AD4868">
        <v>-1.1209093698929999</v>
      </c>
      <c r="AE4868">
        <v>3.99995999999999</v>
      </c>
      <c r="AF4868">
        <v>1.75205051482374</v>
      </c>
      <c r="AG4868">
        <v>-1.1209093698929999</v>
      </c>
      <c r="AH4868">
        <v>59.794382487941299</v>
      </c>
      <c r="AI4868">
        <v>91.073483987903501</v>
      </c>
      <c r="AJ4868">
        <v>88.321641906649404</v>
      </c>
      <c r="AK4868">
        <v>59.8305465120972</v>
      </c>
      <c r="AL4868">
        <v>77.751868604843807</v>
      </c>
      <c r="AM4868">
        <v>89.988482460176897</v>
      </c>
      <c r="AN4868">
        <v>0.99999999384582405</v>
      </c>
    </row>
    <row r="4869" spans="1:40" x14ac:dyDescent="0.25">
      <c r="A4869" t="str">
        <f>"20190303170910611"</f>
        <v>20190303170910611</v>
      </c>
      <c r="B4869" t="str">
        <f>"1551604150598712"</f>
        <v>1551604150598712</v>
      </c>
      <c r="C4869" t="s">
        <v>40</v>
      </c>
      <c r="D4869">
        <v>5.0118029999999996</v>
      </c>
      <c r="E4869">
        <v>0.51635929999999997</v>
      </c>
      <c r="F4869" t="s">
        <v>59</v>
      </c>
      <c r="G4869">
        <v>-209.10740000000001</v>
      </c>
      <c r="H4869" s="1">
        <v>-5.6401709999999895E-7</v>
      </c>
      <c r="I4869">
        <v>-60.563740000000003</v>
      </c>
      <c r="J4869">
        <v>-265.80250000000001</v>
      </c>
      <c r="K4869">
        <v>1.120819</v>
      </c>
      <c r="L4869">
        <v>-64.321749999999994</v>
      </c>
      <c r="M4869">
        <v>0.99533709999999997</v>
      </c>
      <c r="N4869">
        <v>-5.8328520000000003E-3</v>
      </c>
      <c r="O4869">
        <v>9.6281110000000003E-2</v>
      </c>
      <c r="P4869">
        <v>0.97401400000000005</v>
      </c>
      <c r="Q4869">
        <v>0.2061346</v>
      </c>
      <c r="R4869">
        <v>9.3836130000000004E-2</v>
      </c>
      <c r="S4869">
        <v>3.0733950000000001</v>
      </c>
      <c r="T4869">
        <v>-6.0601830000000002E-2</v>
      </c>
      <c r="U4869">
        <v>0.20397950000000001</v>
      </c>
      <c r="V4869" s="1">
        <v>9.1134100000000006E-5</v>
      </c>
      <c r="W4869">
        <v>0.21183869999999999</v>
      </c>
      <c r="X4869">
        <v>0.97730459999999997</v>
      </c>
      <c r="Y4869">
        <v>3.0138600000000001E-2</v>
      </c>
      <c r="Z4869">
        <v>-1.7152479999999999E-3</v>
      </c>
      <c r="AA4869">
        <v>0.99954430000000005</v>
      </c>
      <c r="AB4869">
        <v>31</v>
      </c>
      <c r="AC4869">
        <v>56.695099999999996</v>
      </c>
      <c r="AD4869">
        <v>-1.1208195640170999</v>
      </c>
      <c r="AE4869">
        <v>3.7580099999999899</v>
      </c>
      <c r="AF4869">
        <v>1.7175412800330501</v>
      </c>
      <c r="AG4869">
        <v>-1.1208195640170999</v>
      </c>
      <c r="AH4869">
        <v>56.771436901199998</v>
      </c>
      <c r="AI4869">
        <v>91.130507439700096</v>
      </c>
      <c r="AJ4869">
        <v>88.267124020361805</v>
      </c>
      <c r="AK4869">
        <v>56.808469723894497</v>
      </c>
      <c r="AL4869">
        <v>77.769872969207995</v>
      </c>
      <c r="AM4869">
        <v>89.994657142425595</v>
      </c>
      <c r="AN4869">
        <v>0.99999996215213605</v>
      </c>
    </row>
    <row r="4870" spans="1:40" x14ac:dyDescent="0.25">
      <c r="A4870" t="str">
        <f>"20190303170910623"</f>
        <v>20190303170910623</v>
      </c>
      <c r="B4870" t="str">
        <f>"1551604150608472"</f>
        <v>1551604150608472</v>
      </c>
      <c r="C4870" t="s">
        <v>40</v>
      </c>
      <c r="D4870">
        <v>5.0708120000000001</v>
      </c>
      <c r="E4870">
        <v>0.51634869999999999</v>
      </c>
      <c r="F4870" t="s">
        <v>116</v>
      </c>
      <c r="G4870">
        <v>-210.7783</v>
      </c>
      <c r="H4870" s="1">
        <v>6.2424919999999995E-7</v>
      </c>
      <c r="I4870">
        <v>-60.657409999999999</v>
      </c>
      <c r="J4870">
        <v>-265.64569999999998</v>
      </c>
      <c r="K4870">
        <v>1.12073</v>
      </c>
      <c r="L4870">
        <v>-64.306370000000001</v>
      </c>
      <c r="M4870">
        <v>0.99532050000000005</v>
      </c>
      <c r="N4870">
        <v>-5.8263219999999897E-3</v>
      </c>
      <c r="O4870">
        <v>9.6452880000000005E-2</v>
      </c>
      <c r="P4870">
        <v>0.97420700000000005</v>
      </c>
      <c r="Q4870">
        <v>0.20511560000000001</v>
      </c>
      <c r="R4870">
        <v>9.4066780000000003E-2</v>
      </c>
      <c r="S4870">
        <v>3.0735779999999999</v>
      </c>
      <c r="T4870">
        <v>-6.2607410000000002E-2</v>
      </c>
      <c r="U4870">
        <v>0.20468140000000001</v>
      </c>
      <c r="V4870" s="1">
        <v>9.5831700000000006E-5</v>
      </c>
      <c r="W4870">
        <v>0.2108148</v>
      </c>
      <c r="X4870">
        <v>0.97752600000000001</v>
      </c>
      <c r="Y4870">
        <v>3.0086419999999999E-2</v>
      </c>
      <c r="Z4870">
        <v>-1.789856E-3</v>
      </c>
      <c r="AA4870">
        <v>0.99954569999999998</v>
      </c>
      <c r="AB4870">
        <v>31</v>
      </c>
      <c r="AC4870">
        <v>54.867399999999897</v>
      </c>
      <c r="AD4870">
        <v>-1.1207293757507999</v>
      </c>
      <c r="AE4870">
        <v>3.6489600000000002</v>
      </c>
      <c r="AF4870">
        <v>1.6595728646988599</v>
      </c>
      <c r="AG4870">
        <v>-1.1207293757507999</v>
      </c>
      <c r="AH4870">
        <v>54.940711730438998</v>
      </c>
      <c r="AI4870">
        <v>91.168075434039096</v>
      </c>
      <c r="AJ4870">
        <v>88.269814614027496</v>
      </c>
      <c r="AK4870">
        <v>54.977195471159803</v>
      </c>
      <c r="AL4870">
        <v>77.829893943091406</v>
      </c>
      <c r="AM4870">
        <v>89.994383011872799</v>
      </c>
      <c r="AN4870">
        <v>0.99999998487937702</v>
      </c>
    </row>
    <row r="4871" spans="1:40" x14ac:dyDescent="0.25">
      <c r="A4871" t="str">
        <f>"20190303170910634"</f>
        <v>20190303170910634</v>
      </c>
      <c r="B4871" t="str">
        <f>"1551604150628968"</f>
        <v>1551604150628968</v>
      </c>
      <c r="C4871" t="s">
        <v>40</v>
      </c>
      <c r="D4871">
        <v>5.0080859999999996</v>
      </c>
      <c r="E4871">
        <v>0.51661509999999999</v>
      </c>
      <c r="F4871" t="s">
        <v>116</v>
      </c>
      <c r="G4871">
        <v>-214.31819999999999</v>
      </c>
      <c r="H4871" s="1">
        <v>-9.5394010000000008E-7</v>
      </c>
      <c r="I4871">
        <v>-60.88129</v>
      </c>
      <c r="J4871">
        <v>-265.47789999999998</v>
      </c>
      <c r="K4871">
        <v>1.120635</v>
      </c>
      <c r="L4871">
        <v>-64.289919999999995</v>
      </c>
      <c r="M4871">
        <v>0.99530700000000005</v>
      </c>
      <c r="N4871">
        <v>-5.8233729999999997E-3</v>
      </c>
      <c r="O4871">
        <v>9.6594139999999995E-2</v>
      </c>
      <c r="P4871">
        <v>0.97434810000000005</v>
      </c>
      <c r="Q4871">
        <v>0.20421639999999999</v>
      </c>
      <c r="R4871">
        <v>9.4560790000000006E-2</v>
      </c>
      <c r="S4871">
        <v>3.0737610000000002</v>
      </c>
      <c r="T4871">
        <v>-6.7115309999999997E-2</v>
      </c>
      <c r="U4871">
        <v>0.2051086</v>
      </c>
      <c r="V4871">
        <v>-1.9470509999999999E-4</v>
      </c>
      <c r="W4871">
        <v>0.20991370000000001</v>
      </c>
      <c r="X4871">
        <v>0.97771989999999998</v>
      </c>
      <c r="Y4871">
        <v>3.0090680000000002E-2</v>
      </c>
      <c r="Z4871">
        <v>-1.9552599999999999E-3</v>
      </c>
      <c r="AA4871">
        <v>0.99954529999999997</v>
      </c>
      <c r="AB4871">
        <v>31</v>
      </c>
      <c r="AC4871">
        <v>51.159700000000001</v>
      </c>
      <c r="AD4871">
        <v>-1.1206359539401001</v>
      </c>
      <c r="AE4871">
        <v>3.4086299999999898</v>
      </c>
      <c r="AF4871">
        <v>1.5483802583699999</v>
      </c>
      <c r="AG4871">
        <v>-1.1206359539401001</v>
      </c>
      <c r="AH4871">
        <v>51.225250900440699</v>
      </c>
      <c r="AI4871">
        <v>91.252666825000503</v>
      </c>
      <c r="AJ4871">
        <v>88.268653675121897</v>
      </c>
      <c r="AK4871">
        <v>51.2608977309106</v>
      </c>
      <c r="AL4871">
        <v>77.882705119647696</v>
      </c>
      <c r="AM4871">
        <v>90.011409996188206</v>
      </c>
      <c r="AN4871">
        <v>1.0000000011068799</v>
      </c>
    </row>
    <row r="4872" spans="1:40" x14ac:dyDescent="0.25">
      <c r="A4872" t="str">
        <f>"20190303170910646"</f>
        <v>20190303170910646</v>
      </c>
      <c r="B4872" t="str">
        <f>"1551604150638728"</f>
        <v>1551604150638728</v>
      </c>
      <c r="C4872" t="s">
        <v>40</v>
      </c>
      <c r="D4872">
        <v>5.4200460000000001</v>
      </c>
      <c r="E4872">
        <v>0.51661509999999999</v>
      </c>
      <c r="F4872" t="s">
        <v>116</v>
      </c>
      <c r="G4872">
        <v>-217.322</v>
      </c>
      <c r="H4872" s="1">
        <v>-2.2986650000000002E-6</v>
      </c>
      <c r="I4872">
        <v>-61.092179999999999</v>
      </c>
      <c r="J4872">
        <v>-265.30709999999999</v>
      </c>
      <c r="K4872">
        <v>1.1205430000000001</v>
      </c>
      <c r="L4872">
        <v>-64.27319</v>
      </c>
      <c r="M4872">
        <v>0.99529780000000001</v>
      </c>
      <c r="N4872">
        <v>-5.8252360000000001E-3</v>
      </c>
      <c r="O4872">
        <v>9.66862E-2</v>
      </c>
      <c r="P4872">
        <v>0.97447159999999999</v>
      </c>
      <c r="Q4872">
        <v>0.2035332</v>
      </c>
      <c r="R4872">
        <v>9.4758709999999996E-2</v>
      </c>
      <c r="S4872">
        <v>3.0741580000000002</v>
      </c>
      <c r="T4872">
        <v>-7.1538809999999994E-2</v>
      </c>
      <c r="U4872">
        <v>0.20413210000000001</v>
      </c>
      <c r="V4872">
        <v>-2.4276230000000001E-4</v>
      </c>
      <c r="W4872">
        <v>0.2092329</v>
      </c>
      <c r="X4872">
        <v>0.97786580000000001</v>
      </c>
      <c r="Y4872">
        <v>3.050431E-2</v>
      </c>
      <c r="Z4872">
        <v>-2.1225670000000001E-3</v>
      </c>
      <c r="AA4872">
        <v>0.99953239999999999</v>
      </c>
      <c r="AB4872">
        <v>31</v>
      </c>
      <c r="AC4872">
        <v>47.985099999999903</v>
      </c>
      <c r="AD4872">
        <v>-1.120545298665</v>
      </c>
      <c r="AE4872">
        <v>3.1810099999999899</v>
      </c>
      <c r="AF4872">
        <v>1.4726702673047301</v>
      </c>
      <c r="AG4872">
        <v>-1.120545298665</v>
      </c>
      <c r="AH4872">
        <v>48.041759845322503</v>
      </c>
      <c r="AI4872">
        <v>91.335520407789602</v>
      </c>
      <c r="AJ4872">
        <v>88.244207182865594</v>
      </c>
      <c r="AK4872">
        <v>48.077386248819799</v>
      </c>
      <c r="AL4872">
        <v>77.922597904613397</v>
      </c>
      <c r="AM4872">
        <v>90.014224093867597</v>
      </c>
      <c r="AN4872">
        <v>0.99999999409279205</v>
      </c>
    </row>
    <row r="4873" spans="1:40" x14ac:dyDescent="0.25">
      <c r="A4873" t="str">
        <f>"20190303170910657"</f>
        <v>20190303170910657</v>
      </c>
      <c r="B4873" t="str">
        <f>"1551604150648487"</f>
        <v>1551604150648487</v>
      </c>
      <c r="C4873" t="s">
        <v>40</v>
      </c>
      <c r="D4873">
        <v>4.9225370000000002</v>
      </c>
      <c r="E4873">
        <v>0.51688559999999995</v>
      </c>
      <c r="F4873" t="s">
        <v>116</v>
      </c>
      <c r="G4873">
        <v>-218.4999</v>
      </c>
      <c r="H4873" s="1">
        <v>-2.8241100000000001E-6</v>
      </c>
      <c r="I4873">
        <v>-61.167839999999998</v>
      </c>
      <c r="J4873">
        <v>-265.15949999999998</v>
      </c>
      <c r="K4873">
        <v>1.120468</v>
      </c>
      <c r="L4873">
        <v>-64.258790000000005</v>
      </c>
      <c r="M4873">
        <v>0.99529690000000004</v>
      </c>
      <c r="N4873">
        <v>-5.8339749999999999E-3</v>
      </c>
      <c r="O4873">
        <v>9.6696599999999994E-2</v>
      </c>
      <c r="P4873">
        <v>0.97457470000000002</v>
      </c>
      <c r="Q4873">
        <v>0.20293549999999999</v>
      </c>
      <c r="R4873">
        <v>9.4980460000000003E-2</v>
      </c>
      <c r="S4873">
        <v>3.0741879999999999</v>
      </c>
      <c r="T4873">
        <v>-7.3594809999999997E-2</v>
      </c>
      <c r="U4873">
        <v>0.20394899999999999</v>
      </c>
      <c r="V4873">
        <v>-4.0414839999999998E-4</v>
      </c>
      <c r="W4873">
        <v>0.208644</v>
      </c>
      <c r="X4873">
        <v>0.97799159999999996</v>
      </c>
      <c r="Y4873">
        <v>3.0572970000000001E-2</v>
      </c>
      <c r="Z4873">
        <v>-2.1976700000000001E-3</v>
      </c>
      <c r="AA4873">
        <v>0.99953009999999998</v>
      </c>
      <c r="AB4873">
        <v>31</v>
      </c>
      <c r="AC4873">
        <v>46.659599999999898</v>
      </c>
      <c r="AD4873">
        <v>-1.1204708241099901</v>
      </c>
      <c r="AE4873">
        <v>3.0909499999999901</v>
      </c>
      <c r="AF4873">
        <v>1.43461235052539</v>
      </c>
      <c r="AG4873">
        <v>-1.1204708241099901</v>
      </c>
      <c r="AH4873">
        <v>46.713010848106201</v>
      </c>
      <c r="AI4873">
        <v>91.373401200779796</v>
      </c>
      <c r="AJ4873">
        <v>88.240931084236806</v>
      </c>
      <c r="AK4873">
        <v>46.748464680235699</v>
      </c>
      <c r="AL4873">
        <v>77.957101301440005</v>
      </c>
      <c r="AM4873">
        <v>90.023677091192596</v>
      </c>
      <c r="AN4873">
        <v>1.00000002587124</v>
      </c>
    </row>
    <row r="4874" spans="1:40" x14ac:dyDescent="0.25">
      <c r="A4874" t="str">
        <f>"20190303170910667"</f>
        <v>20190303170910667</v>
      </c>
      <c r="B4874" t="str">
        <f>"1551604150658248"</f>
        <v>1551604150658248</v>
      </c>
      <c r="C4874" t="s">
        <v>40</v>
      </c>
      <c r="D4874">
        <v>4.9734809999999996</v>
      </c>
      <c r="E4874">
        <v>0.51879049999999904</v>
      </c>
      <c r="F4874" t="s">
        <v>115</v>
      </c>
      <c r="G4874">
        <v>-223.0676</v>
      </c>
      <c r="H4874" s="1">
        <v>-6.793507E-7</v>
      </c>
      <c r="I4874">
        <v>-61.486780000000003</v>
      </c>
      <c r="J4874">
        <v>-265.02190000000002</v>
      </c>
      <c r="K4874">
        <v>1.120398</v>
      </c>
      <c r="L4874">
        <v>-64.24539</v>
      </c>
      <c r="M4874">
        <v>0.99529719999999999</v>
      </c>
      <c r="N4874">
        <v>-5.8436089999999996E-3</v>
      </c>
      <c r="O4874">
        <v>9.6691940000000004E-2</v>
      </c>
      <c r="P4874">
        <v>0.97459490000000004</v>
      </c>
      <c r="Q4874">
        <v>0.2029581</v>
      </c>
      <c r="R4874">
        <v>9.4725989999999996E-2</v>
      </c>
      <c r="S4874">
        <v>3.0755620000000001</v>
      </c>
      <c r="T4874">
        <v>-8.1870200000000004E-2</v>
      </c>
      <c r="U4874">
        <v>0.20254520000000001</v>
      </c>
      <c r="V4874">
        <v>-1.178128E-4</v>
      </c>
      <c r="W4874">
        <v>0.20867659999999999</v>
      </c>
      <c r="X4874">
        <v>0.97798470000000004</v>
      </c>
      <c r="Y4874">
        <v>3.1044559999999999E-2</v>
      </c>
      <c r="Z4874">
        <v>-2.5036450000000001E-3</v>
      </c>
      <c r="AA4874">
        <v>0.99951489999999998</v>
      </c>
      <c r="AB4874">
        <v>31</v>
      </c>
      <c r="AC4874">
        <v>41.954300000000003</v>
      </c>
      <c r="AD4874">
        <v>-1.1203986793506999</v>
      </c>
      <c r="AE4874">
        <v>2.7586099999999898</v>
      </c>
      <c r="AF4874">
        <v>1.3100979383808899</v>
      </c>
      <c r="AG4874">
        <v>-1.1203986793506999</v>
      </c>
      <c r="AH4874">
        <v>41.9946299689447</v>
      </c>
      <c r="AI4874">
        <v>91.5275214465819</v>
      </c>
      <c r="AJ4874">
        <v>88.2131347409086</v>
      </c>
      <c r="AK4874">
        <v>42.029996383980603</v>
      </c>
      <c r="AL4874">
        <v>77.955191168218903</v>
      </c>
      <c r="AM4874">
        <v>90.006902128611998</v>
      </c>
      <c r="AN4874">
        <v>1.0000000053507501</v>
      </c>
    </row>
    <row r="4875" spans="1:40" x14ac:dyDescent="0.25">
      <c r="A4875" t="str">
        <f>"20190303170910680"</f>
        <v>20190303170910680</v>
      </c>
      <c r="B4875" t="str">
        <f>"1551604150668985"</f>
        <v>1551604150668985</v>
      </c>
      <c r="C4875" t="s">
        <v>40</v>
      </c>
      <c r="D4875">
        <v>4.9250239999999996</v>
      </c>
      <c r="E4875">
        <v>0.52089249999999998</v>
      </c>
      <c r="F4875" t="s">
        <v>112</v>
      </c>
      <c r="G4875">
        <v>-231.13489999999999</v>
      </c>
      <c r="H4875" s="1">
        <v>4.8040309999999998E-8</v>
      </c>
      <c r="I4875">
        <v>-62.179850000000002</v>
      </c>
      <c r="J4875">
        <v>-264.84989999999999</v>
      </c>
      <c r="K4875">
        <v>1.1203099999999999</v>
      </c>
      <c r="L4875">
        <v>-64.228729999999999</v>
      </c>
      <c r="M4875">
        <v>0.99530700000000005</v>
      </c>
      <c r="N4875">
        <v>-5.8660939999999996E-3</v>
      </c>
      <c r="O4875">
        <v>9.6590819999999994E-2</v>
      </c>
      <c r="P4875">
        <v>0.97456319999999996</v>
      </c>
      <c r="Q4875">
        <v>0.20321210000000001</v>
      </c>
      <c r="R4875">
        <v>9.4508709999999996E-2</v>
      </c>
      <c r="S4875">
        <v>3.0811769999999998</v>
      </c>
      <c r="T4875">
        <v>-0.1018723</v>
      </c>
      <c r="U4875">
        <v>0.18780520000000001</v>
      </c>
      <c r="V4875" s="1">
        <v>4.1046649999999998E-5</v>
      </c>
      <c r="W4875">
        <v>0.20895269999999999</v>
      </c>
      <c r="X4875">
        <v>0.97792579999999996</v>
      </c>
      <c r="Y4875">
        <v>3.5800209999999999E-2</v>
      </c>
      <c r="Z4875">
        <v>-3.3128630000000001E-3</v>
      </c>
      <c r="AA4875">
        <v>0.99935350000000001</v>
      </c>
      <c r="AB4875">
        <v>31</v>
      </c>
      <c r="AC4875">
        <v>33.715000000000003</v>
      </c>
      <c r="AD4875">
        <v>-1.12030995195969</v>
      </c>
      <c r="AE4875">
        <v>2.0488799999999898</v>
      </c>
      <c r="AF4875">
        <v>1.2159780117829599</v>
      </c>
      <c r="AG4875">
        <v>-1.12030995195969</v>
      </c>
      <c r="AH4875">
        <v>33.718162450586497</v>
      </c>
      <c r="AI4875">
        <v>91.901757656541704</v>
      </c>
      <c r="AJ4875">
        <v>87.934637492238394</v>
      </c>
      <c r="AK4875">
        <v>33.758675565811799</v>
      </c>
      <c r="AL4875">
        <v>77.939015772211903</v>
      </c>
      <c r="AM4875">
        <v>89.997595114264499</v>
      </c>
      <c r="AN4875">
        <v>1.0000000514138701</v>
      </c>
    </row>
    <row r="4876" spans="1:40" x14ac:dyDescent="0.25">
      <c r="A4876" t="str">
        <f>"20190303170910694"</f>
        <v>20190303170910694</v>
      </c>
      <c r="B4876" t="str">
        <f>"1551604150688503"</f>
        <v>1551604150688503</v>
      </c>
      <c r="C4876" t="s">
        <v>40</v>
      </c>
      <c r="D4876">
        <v>4.9800089999999999</v>
      </c>
      <c r="E4876">
        <v>0.55314770000000002</v>
      </c>
      <c r="F4876" t="s">
        <v>112</v>
      </c>
      <c r="G4876">
        <v>-237.9006</v>
      </c>
      <c r="H4876" s="1">
        <v>-2.977727E-6</v>
      </c>
      <c r="I4876">
        <v>-62.723550000000003</v>
      </c>
      <c r="J4876">
        <v>-264.6728</v>
      </c>
      <c r="K4876">
        <v>1.1202240000000001</v>
      </c>
      <c r="L4876">
        <v>-64.211640000000003</v>
      </c>
      <c r="M4876">
        <v>0.99532129999999996</v>
      </c>
      <c r="N4876">
        <v>-5.8950979999999997E-3</v>
      </c>
      <c r="O4876">
        <v>9.6441180000000001E-2</v>
      </c>
      <c r="P4876">
        <v>0.97458279999999997</v>
      </c>
      <c r="Q4876">
        <v>0.20325750000000001</v>
      </c>
      <c r="R4876">
        <v>9.4208159999999999E-2</v>
      </c>
      <c r="S4876">
        <v>3.0883479999999999</v>
      </c>
      <c r="T4876">
        <v>-0.12838630000000001</v>
      </c>
      <c r="U4876">
        <v>0.17248540000000001</v>
      </c>
      <c r="V4876">
        <v>2.4229150000000001E-4</v>
      </c>
      <c r="W4876">
        <v>0.20902589999999999</v>
      </c>
      <c r="X4876">
        <v>0.9779101</v>
      </c>
      <c r="Y4876">
        <v>4.0688460000000003E-2</v>
      </c>
      <c r="Z4876">
        <v>-4.3928250000000004E-3</v>
      </c>
      <c r="AA4876">
        <v>0.9991622</v>
      </c>
      <c r="AB4876">
        <v>31</v>
      </c>
      <c r="AC4876">
        <v>26.772200000000002</v>
      </c>
      <c r="AD4876">
        <v>-1.120226977727</v>
      </c>
      <c r="AE4876">
        <v>1.4880899999999899</v>
      </c>
      <c r="AF4876">
        <v>1.09891584652305</v>
      </c>
      <c r="AG4876">
        <v>-1.120226977727</v>
      </c>
      <c r="AH4876">
        <v>26.744237276839399</v>
      </c>
      <c r="AI4876">
        <v>92.396507310198501</v>
      </c>
      <c r="AJ4876">
        <v>87.647050461759804</v>
      </c>
      <c r="AK4876">
        <v>26.790236132577402</v>
      </c>
      <c r="AL4876">
        <v>77.934726688736404</v>
      </c>
      <c r="AM4876">
        <v>89.985804134676698</v>
      </c>
      <c r="AN4876">
        <v>1.00000002462899</v>
      </c>
    </row>
    <row r="4877" spans="1:40" x14ac:dyDescent="0.25">
      <c r="A4877" t="str">
        <f>"20190303170910707"</f>
        <v>20190303170910707</v>
      </c>
      <c r="B4877" t="str">
        <f>"1551604150698263"</f>
        <v>1551604150698263</v>
      </c>
      <c r="C4877" t="s">
        <v>40</v>
      </c>
      <c r="D4877">
        <v>5.0027439999999999</v>
      </c>
      <c r="E4877">
        <v>0.55458180000000001</v>
      </c>
      <c r="F4877" t="s">
        <v>47</v>
      </c>
      <c r="G4877">
        <v>-263.7647</v>
      </c>
      <c r="H4877">
        <v>0.94541050000000004</v>
      </c>
      <c r="I4877">
        <v>-64.225380000000001</v>
      </c>
      <c r="J4877">
        <v>-264.48379999999997</v>
      </c>
      <c r="K4877">
        <v>1.120128</v>
      </c>
      <c r="L4877">
        <v>-64.193449999999999</v>
      </c>
      <c r="M4877">
        <v>0.99534440000000002</v>
      </c>
      <c r="N4877">
        <v>-5.9370059999999999E-3</v>
      </c>
      <c r="O4877">
        <v>9.6200069999999999E-2</v>
      </c>
      <c r="P4877">
        <v>0.9745722</v>
      </c>
      <c r="Q4877">
        <v>0.2035042</v>
      </c>
      <c r="R4877">
        <v>9.3782969999999993E-2</v>
      </c>
      <c r="S4877">
        <v>3.211792</v>
      </c>
      <c r="T4877">
        <v>-0.61820830000000004</v>
      </c>
      <c r="U4877">
        <v>-4.8156740000000003E-2</v>
      </c>
      <c r="V4877">
        <v>4.7954680000000002E-4</v>
      </c>
      <c r="W4877">
        <v>0.2093131</v>
      </c>
      <c r="X4877">
        <v>0.97784850000000001</v>
      </c>
      <c r="Y4877">
        <v>0.1074248</v>
      </c>
      <c r="Z4877">
        <v>-2.8328309999999999E-2</v>
      </c>
      <c r="AA4877">
        <v>0.99380950000000001</v>
      </c>
      <c r="AB4877">
        <v>31</v>
      </c>
      <c r="AC4877">
        <v>0.71909999999996899</v>
      </c>
      <c r="AD4877">
        <v>-0.1747175</v>
      </c>
      <c r="AE4877">
        <v>-3.1930000000002602E-2</v>
      </c>
      <c r="AF4877">
        <v>9.5343271274246896E-2</v>
      </c>
      <c r="AG4877">
        <v>-0.1747175</v>
      </c>
      <c r="AH4877">
        <v>0.67303967370983397</v>
      </c>
      <c r="AI4877">
        <v>104.41462556972699</v>
      </c>
      <c r="AJ4877">
        <v>81.937088975958005</v>
      </c>
      <c r="AK4877">
        <v>0.70185393535333596</v>
      </c>
      <c r="AL4877">
        <v>77.917898145214394</v>
      </c>
      <c r="AM4877">
        <v>89.971901572159297</v>
      </c>
      <c r="AN4877">
        <v>0.99999994637449496</v>
      </c>
    </row>
    <row r="4878" spans="1:40" x14ac:dyDescent="0.25">
      <c r="A4878" t="str">
        <f>"20190303170910719"</f>
        <v>20190303170910719</v>
      </c>
      <c r="B4878" t="str">
        <f>"1551604150709000"</f>
        <v>1551604150709000</v>
      </c>
      <c r="C4878" t="s">
        <v>40</v>
      </c>
      <c r="D4878">
        <v>4.988181</v>
      </c>
      <c r="E4878">
        <v>0.55511259999999996</v>
      </c>
      <c r="F4878" t="s">
        <v>47</v>
      </c>
      <c r="G4878">
        <v>-263.75170000000003</v>
      </c>
      <c r="H4878">
        <v>0.97668390000000005</v>
      </c>
      <c r="I4878">
        <v>-64.207080000000005</v>
      </c>
      <c r="J4878">
        <v>-264.3109</v>
      </c>
      <c r="K4878">
        <v>1.120044</v>
      </c>
      <c r="L4878">
        <v>-64.176969999999997</v>
      </c>
      <c r="M4878">
        <v>0.99537299999999995</v>
      </c>
      <c r="N4878">
        <v>-5.9839610000000003E-3</v>
      </c>
      <c r="O4878">
        <v>9.5901710000000001E-2</v>
      </c>
      <c r="P4878">
        <v>0.97463759999999999</v>
      </c>
      <c r="Q4878">
        <v>0.2033856</v>
      </c>
      <c r="R4878">
        <v>9.3361089999999994E-2</v>
      </c>
      <c r="S4878">
        <v>3.215576</v>
      </c>
      <c r="T4878">
        <v>-0.62997380000000003</v>
      </c>
      <c r="U4878">
        <v>-5.9295649999999998E-2</v>
      </c>
      <c r="V4878">
        <v>6.5961250000000002E-4</v>
      </c>
      <c r="W4878">
        <v>0.20924039999999999</v>
      </c>
      <c r="X4878">
        <v>0.97786399999999996</v>
      </c>
      <c r="Y4878">
        <v>0.1103662</v>
      </c>
      <c r="Z4878">
        <v>-2.906508E-2</v>
      </c>
      <c r="AA4878">
        <v>0.99346590000000001</v>
      </c>
      <c r="AB4878">
        <v>31</v>
      </c>
      <c r="AC4878">
        <v>0.55919999999997505</v>
      </c>
      <c r="AD4878">
        <v>-0.14336009999999999</v>
      </c>
      <c r="AE4878">
        <v>-3.0110000000007599E-2</v>
      </c>
      <c r="AF4878">
        <v>7.8458706722008803E-2</v>
      </c>
      <c r="AG4878">
        <v>-0.14336009999999999</v>
      </c>
      <c r="AH4878">
        <v>0.51967833221509296</v>
      </c>
      <c r="AI4878">
        <v>105.25750043356</v>
      </c>
      <c r="AJ4878">
        <v>81.414578942166301</v>
      </c>
      <c r="AK4878">
        <v>0.54476917672199598</v>
      </c>
      <c r="AL4878">
        <v>77.922158424772206</v>
      </c>
      <c r="AM4878">
        <v>89.961351469496705</v>
      </c>
      <c r="AN4878">
        <v>0.999999991288405</v>
      </c>
    </row>
    <row r="4879" spans="1:40" x14ac:dyDescent="0.25">
      <c r="A4879" t="str">
        <f>"20190303170910736"</f>
        <v>20190303170910736</v>
      </c>
      <c r="B4879" t="str">
        <f>"1551604150728521"</f>
        <v>1551604150728521</v>
      </c>
      <c r="C4879" t="s">
        <v>40</v>
      </c>
      <c r="D4879">
        <v>4.9881159999999998</v>
      </c>
      <c r="E4879">
        <v>0.55553779999999997</v>
      </c>
      <c r="F4879" t="s">
        <v>47</v>
      </c>
      <c r="G4879">
        <v>-263.4821</v>
      </c>
      <c r="H4879">
        <v>0.95640270000000005</v>
      </c>
      <c r="I4879">
        <v>-64.193820000000002</v>
      </c>
      <c r="J4879">
        <v>-264.07760000000002</v>
      </c>
      <c r="K4879">
        <v>1.119929</v>
      </c>
      <c r="L4879">
        <v>-64.154880000000006</v>
      </c>
      <c r="M4879">
        <v>0.99541840000000004</v>
      </c>
      <c r="N4879">
        <v>-6.0534689999999997E-3</v>
      </c>
      <c r="O4879">
        <v>9.5423010000000003E-2</v>
      </c>
      <c r="P4879">
        <v>0.97489630000000005</v>
      </c>
      <c r="Q4879">
        <v>0.2022031</v>
      </c>
      <c r="R4879">
        <v>9.322772E-2</v>
      </c>
      <c r="S4879">
        <v>3.2167970000000001</v>
      </c>
      <c r="T4879">
        <v>-0.63506779999999996</v>
      </c>
      <c r="U4879">
        <v>-6.4758300000000005E-2</v>
      </c>
      <c r="V4879">
        <v>4.0882409999999999E-4</v>
      </c>
      <c r="W4879">
        <v>0.20812720000000001</v>
      </c>
      <c r="X4879">
        <v>0.97810169999999996</v>
      </c>
      <c r="Y4879">
        <v>0.111495</v>
      </c>
      <c r="Z4879">
        <v>-2.9307239999999998E-2</v>
      </c>
      <c r="AA4879">
        <v>0.99333269999999996</v>
      </c>
      <c r="AB4879">
        <v>31</v>
      </c>
      <c r="AC4879">
        <v>0.59550000000001502</v>
      </c>
      <c r="AD4879">
        <v>-0.16352630000000001</v>
      </c>
      <c r="AE4879">
        <v>-3.8939999999996602E-2</v>
      </c>
      <c r="AF4879">
        <v>8.89117261190117E-2</v>
      </c>
      <c r="AG4879">
        <v>-0.16352630000000001</v>
      </c>
      <c r="AH4879">
        <v>0.547925201382372</v>
      </c>
      <c r="AI4879">
        <v>106.414607344698</v>
      </c>
      <c r="AJ4879">
        <v>80.782963035596595</v>
      </c>
      <c r="AK4879">
        <v>0.57867795201049799</v>
      </c>
      <c r="AL4879">
        <v>77.987376288879702</v>
      </c>
      <c r="AM4879">
        <v>89.976051678338607</v>
      </c>
      <c r="AN4879">
        <v>1.0000000170299299</v>
      </c>
    </row>
    <row r="4880" spans="1:40" x14ac:dyDescent="0.25">
      <c r="A4880" t="str">
        <f>"20190303170910746"</f>
        <v>20190303170910746</v>
      </c>
      <c r="B4880" t="str">
        <f>"1551604150738280"</f>
        <v>1551604150738280</v>
      </c>
      <c r="C4880" t="s">
        <v>40</v>
      </c>
      <c r="D4880">
        <v>4.9746769999999998</v>
      </c>
      <c r="E4880">
        <v>0.55573809999999901</v>
      </c>
      <c r="F4880" t="s">
        <v>47</v>
      </c>
      <c r="G4880">
        <v>-263.20749999999998</v>
      </c>
      <c r="H4880">
        <v>0.94586979999999998</v>
      </c>
      <c r="I4880">
        <v>-64.173810000000003</v>
      </c>
      <c r="J4880">
        <v>-263.92270000000002</v>
      </c>
      <c r="K4880">
        <v>1.1198520000000001</v>
      </c>
      <c r="L4880">
        <v>-64.140289999999993</v>
      </c>
      <c r="M4880">
        <v>0.99545329999999999</v>
      </c>
      <c r="N4880">
        <v>-6.1028999999999996E-3</v>
      </c>
      <c r="O4880">
        <v>9.5055390000000003E-2</v>
      </c>
      <c r="P4880">
        <v>0.97491620000000001</v>
      </c>
      <c r="Q4880">
        <v>0.20218849999999999</v>
      </c>
      <c r="R4880">
        <v>9.3049690000000004E-2</v>
      </c>
      <c r="S4880">
        <v>3.2173769999999999</v>
      </c>
      <c r="T4880">
        <v>-0.64346550000000002</v>
      </c>
      <c r="U4880">
        <v>-6.9244379999999994E-2</v>
      </c>
      <c r="V4880">
        <v>2.6795550000000001E-4</v>
      </c>
      <c r="W4880">
        <v>0.20816129999999999</v>
      </c>
      <c r="X4880">
        <v>0.97809449999999998</v>
      </c>
      <c r="Y4880">
        <v>0.1123946</v>
      </c>
      <c r="Z4880">
        <v>-2.9704749999999999E-2</v>
      </c>
      <c r="AA4880">
        <v>0.99321959999999998</v>
      </c>
      <c r="AB4880">
        <v>31</v>
      </c>
      <c r="AC4880">
        <v>0.71520000000003803</v>
      </c>
      <c r="AD4880">
        <v>-0.1739822</v>
      </c>
      <c r="AE4880">
        <v>-3.3519999999995699E-2</v>
      </c>
      <c r="AF4880">
        <v>9.5702121386135694E-2</v>
      </c>
      <c r="AG4880">
        <v>-0.1739822</v>
      </c>
      <c r="AH4880">
        <v>0.66925714902338895</v>
      </c>
      <c r="AI4880">
        <v>104.43165410976</v>
      </c>
      <c r="AJ4880">
        <v>81.862014902235302</v>
      </c>
      <c r="AK4880">
        <v>0.69809299772563305</v>
      </c>
      <c r="AL4880">
        <v>77.985378847513999</v>
      </c>
      <c r="AM4880">
        <v>89.984303440144799</v>
      </c>
      <c r="AN4880">
        <v>1.0000000247740399</v>
      </c>
    </row>
    <row r="4881" spans="1:40" x14ac:dyDescent="0.25">
      <c r="A4881" t="str">
        <f>"20190303170910757"</f>
        <v>20190303170910757</v>
      </c>
      <c r="B4881" t="str">
        <f>"1551604150749016"</f>
        <v>1551604150749016</v>
      </c>
      <c r="C4881" t="s">
        <v>40</v>
      </c>
      <c r="D4881">
        <v>4.9976050000000001</v>
      </c>
      <c r="E4881">
        <v>0.55602169999999995</v>
      </c>
      <c r="F4881" t="s">
        <v>47</v>
      </c>
      <c r="G4881">
        <v>-263.19580000000002</v>
      </c>
      <c r="H4881">
        <v>0.97417370000000003</v>
      </c>
      <c r="I4881">
        <v>-64.156649999999999</v>
      </c>
      <c r="J4881">
        <v>-263.7765</v>
      </c>
      <c r="K4881">
        <v>1.119785</v>
      </c>
      <c r="L4881">
        <v>-64.126679999999993</v>
      </c>
      <c r="M4881">
        <v>0.99549140000000003</v>
      </c>
      <c r="N4881">
        <v>-6.1506030000000001E-3</v>
      </c>
      <c r="O4881">
        <v>9.4652479999999997E-2</v>
      </c>
      <c r="P4881">
        <v>0.97492389999999995</v>
      </c>
      <c r="Q4881">
        <v>0.20233129999999999</v>
      </c>
      <c r="R4881">
        <v>9.2658199999999996E-2</v>
      </c>
      <c r="S4881">
        <v>3.217743</v>
      </c>
      <c r="T4881">
        <v>-0.64471789999999995</v>
      </c>
      <c r="U4881">
        <v>-7.1441649999999995E-2</v>
      </c>
      <c r="V4881">
        <v>2.9917149999999999E-4</v>
      </c>
      <c r="W4881">
        <v>0.20835020000000001</v>
      </c>
      <c r="X4881">
        <v>0.97805419999999998</v>
      </c>
      <c r="Y4881">
        <v>0.1126558</v>
      </c>
      <c r="Z4881">
        <v>-2.9706199999999999E-2</v>
      </c>
      <c r="AA4881">
        <v>0.99318989999999996</v>
      </c>
      <c r="AB4881">
        <v>31</v>
      </c>
      <c r="AC4881">
        <v>0.58069999999997801</v>
      </c>
      <c r="AD4881">
        <v>-0.1456113</v>
      </c>
      <c r="AE4881">
        <v>-2.9969999999991601E-2</v>
      </c>
      <c r="AF4881">
        <v>7.97971584191592E-2</v>
      </c>
      <c r="AG4881">
        <v>-0.1456113</v>
      </c>
      <c r="AH4881">
        <v>0.54131081993354402</v>
      </c>
      <c r="AI4881">
        <v>104.902254657329</v>
      </c>
      <c r="AJ4881">
        <v>81.6141577298323</v>
      </c>
      <c r="AK4881">
        <v>0.56620459284307101</v>
      </c>
      <c r="AL4881">
        <v>77.974312220476193</v>
      </c>
      <c r="AM4881">
        <v>89.982474116704296</v>
      </c>
      <c r="AN4881">
        <v>0.99999995674063202</v>
      </c>
    </row>
    <row r="4882" spans="1:40" x14ac:dyDescent="0.25">
      <c r="A4882" t="str">
        <f>"20190303170910767"</f>
        <v>20190303170910767</v>
      </c>
      <c r="B4882" t="str">
        <f>"1551604150758775"</f>
        <v>1551604150758775</v>
      </c>
      <c r="C4882" t="s">
        <v>40</v>
      </c>
      <c r="D4882">
        <v>4.9907849999999998</v>
      </c>
      <c r="E4882">
        <v>0.55622759999999905</v>
      </c>
      <c r="F4882" t="s">
        <v>47</v>
      </c>
      <c r="G4882">
        <v>-262.9264</v>
      </c>
      <c r="H4882">
        <v>0.94943940000000004</v>
      </c>
      <c r="I4882">
        <v>-64.146600000000007</v>
      </c>
      <c r="J4882">
        <v>-263.63060000000002</v>
      </c>
      <c r="K4882">
        <v>1.119721</v>
      </c>
      <c r="L4882">
        <v>-64.113100000000003</v>
      </c>
      <c r="M4882">
        <v>0.99553069999999999</v>
      </c>
      <c r="N4882">
        <v>-6.1984129999999998E-3</v>
      </c>
      <c r="O4882">
        <v>9.4236739999999999E-2</v>
      </c>
      <c r="P4882">
        <v>0.97489899999999996</v>
      </c>
      <c r="Q4882">
        <v>0.202737</v>
      </c>
      <c r="R4882">
        <v>9.2032260000000005E-2</v>
      </c>
      <c r="S4882">
        <v>3.2181700000000002</v>
      </c>
      <c r="T4882">
        <v>-0.64485740000000003</v>
      </c>
      <c r="U4882">
        <v>-7.5408939999999994E-2</v>
      </c>
      <c r="V4882">
        <v>5.4804379999999996E-4</v>
      </c>
      <c r="W4882">
        <v>0.2088025</v>
      </c>
      <c r="X4882">
        <v>0.97795770000000004</v>
      </c>
      <c r="Y4882">
        <v>0.1134529</v>
      </c>
      <c r="Z4882">
        <v>-2.970865E-2</v>
      </c>
      <c r="AA4882">
        <v>0.99309910000000001</v>
      </c>
      <c r="AB4882">
        <v>31</v>
      </c>
      <c r="AC4882">
        <v>0.70420000000001404</v>
      </c>
      <c r="AD4882">
        <v>-0.17028159999999901</v>
      </c>
      <c r="AE4882">
        <v>-3.3500000000003603E-2</v>
      </c>
      <c r="AF4882">
        <v>9.4217121666544501E-2</v>
      </c>
      <c r="AG4882">
        <v>-0.17028159999999901</v>
      </c>
      <c r="AH4882">
        <v>0.65943788475607101</v>
      </c>
      <c r="AI4882">
        <v>104.339248219422</v>
      </c>
      <c r="AJ4882">
        <v>81.868900601999599</v>
      </c>
      <c r="AK4882">
        <v>0.68755437106111805</v>
      </c>
      <c r="AL4882">
        <v>77.947815369323294</v>
      </c>
      <c r="AM4882">
        <v>89.967891665006306</v>
      </c>
      <c r="AN4882">
        <v>1.0000000236737701</v>
      </c>
    </row>
    <row r="4883" spans="1:40" x14ac:dyDescent="0.25">
      <c r="A4883" t="str">
        <f>"20190303170910779"</f>
        <v>20190303170910779</v>
      </c>
      <c r="B4883" t="str">
        <f>"1551604150768536"</f>
        <v>1551604150768536</v>
      </c>
      <c r="C4883" t="s">
        <v>40</v>
      </c>
      <c r="D4883">
        <v>4.9908440000000001</v>
      </c>
      <c r="E4883">
        <v>0.55627689999999996</v>
      </c>
      <c r="F4883" t="s">
        <v>47</v>
      </c>
      <c r="G4883">
        <v>-262.91500000000002</v>
      </c>
      <c r="H4883">
        <v>0.97658299999999998</v>
      </c>
      <c r="I4883">
        <v>-64.130700000000004</v>
      </c>
      <c r="J4883">
        <v>-263.47930000000002</v>
      </c>
      <c r="K4883">
        <v>1.119659</v>
      </c>
      <c r="L4883">
        <v>-64.099239999999995</v>
      </c>
      <c r="M4883">
        <v>0.99557660000000003</v>
      </c>
      <c r="N4883">
        <v>-6.2469589999999998E-3</v>
      </c>
      <c r="O4883">
        <v>9.3745250000000002E-2</v>
      </c>
      <c r="P4883">
        <v>0.97487900000000005</v>
      </c>
      <c r="Q4883">
        <v>0.20316190000000001</v>
      </c>
      <c r="R4883">
        <v>9.1304280000000002E-2</v>
      </c>
      <c r="S4883">
        <v>3.2185969999999999</v>
      </c>
      <c r="T4883">
        <v>-0.64386060000000001</v>
      </c>
      <c r="U4883">
        <v>-7.91626E-2</v>
      </c>
      <c r="V4883">
        <v>8.2305309999999995E-4</v>
      </c>
      <c r="W4883">
        <v>0.2092735</v>
      </c>
      <c r="X4883">
        <v>0.97785679999999997</v>
      </c>
      <c r="Y4883">
        <v>0.1141264</v>
      </c>
      <c r="Z4883">
        <v>-2.963228E-2</v>
      </c>
      <c r="AA4883">
        <v>0.99302420000000002</v>
      </c>
      <c r="AB4883">
        <v>31</v>
      </c>
      <c r="AC4883">
        <v>0.56430000000000202</v>
      </c>
      <c r="AD4883">
        <v>-0.14307599999999901</v>
      </c>
      <c r="AE4883">
        <v>-3.1459999999995603E-2</v>
      </c>
      <c r="AF4883">
        <v>7.9150462800571697E-2</v>
      </c>
      <c r="AG4883">
        <v>-0.14307599999999901</v>
      </c>
      <c r="AH4883">
        <v>0.52520695309336596</v>
      </c>
      <c r="AI4883">
        <v>105.076274815931</v>
      </c>
      <c r="AJ4883">
        <v>81.429824594521605</v>
      </c>
      <c r="AK4883">
        <v>0.55007079645729395</v>
      </c>
      <c r="AL4883">
        <v>77.920219082372697</v>
      </c>
      <c r="AM4883">
        <v>89.951774679268894</v>
      </c>
      <c r="AN4883">
        <v>0.99999999826244701</v>
      </c>
    </row>
    <row r="4884" spans="1:40" x14ac:dyDescent="0.25">
      <c r="A4884" t="str">
        <f>"20190303170910790"</f>
        <v>20190303170910790</v>
      </c>
      <c r="B4884" t="str">
        <f>"1551604150778296"</f>
        <v>1551604150778296</v>
      </c>
      <c r="C4884" t="s">
        <v>40</v>
      </c>
      <c r="D4884">
        <v>5.0137619999999998</v>
      </c>
      <c r="E4884">
        <v>0.55635380000000001</v>
      </c>
      <c r="F4884" t="s">
        <v>47</v>
      </c>
      <c r="G4884">
        <v>-262.64429999999999</v>
      </c>
      <c r="H4884">
        <v>0.95287900000000003</v>
      </c>
      <c r="I4884">
        <v>-64.120530000000002</v>
      </c>
      <c r="J4884">
        <v>-263.32709999999997</v>
      </c>
      <c r="K4884">
        <v>1.1195949999999999</v>
      </c>
      <c r="L4884">
        <v>-64.085300000000004</v>
      </c>
      <c r="M4884">
        <v>0.99562390000000001</v>
      </c>
      <c r="N4884">
        <v>-6.295648E-3</v>
      </c>
      <c r="O4884">
        <v>9.3240199999999995E-2</v>
      </c>
      <c r="P4884">
        <v>0.97485820000000001</v>
      </c>
      <c r="Q4884">
        <v>0.20366020000000001</v>
      </c>
      <c r="R4884">
        <v>9.0412519999999996E-2</v>
      </c>
      <c r="S4884">
        <v>3.2189030000000001</v>
      </c>
      <c r="T4884">
        <v>-0.64289359999999995</v>
      </c>
      <c r="U4884">
        <v>-8.1665039999999994E-2</v>
      </c>
      <c r="V4884">
        <v>1.248114E-3</v>
      </c>
      <c r="W4884">
        <v>0.20981810000000001</v>
      </c>
      <c r="X4884">
        <v>0.97773960000000004</v>
      </c>
      <c r="Y4884">
        <v>0.1144088</v>
      </c>
      <c r="Z4884">
        <v>-2.951608E-2</v>
      </c>
      <c r="AA4884">
        <v>0.99299519999999997</v>
      </c>
      <c r="AB4884">
        <v>31</v>
      </c>
      <c r="AC4884">
        <v>0.68279999999998597</v>
      </c>
      <c r="AD4884">
        <v>-0.166715999999999</v>
      </c>
      <c r="AE4884">
        <v>-3.5229999999998499E-2</v>
      </c>
      <c r="AF4884">
        <v>9.3200623660879806E-2</v>
      </c>
      <c r="AG4884">
        <v>-0.166715999999999</v>
      </c>
      <c r="AH4884">
        <v>0.63857200382531099</v>
      </c>
      <c r="AI4884">
        <v>104.485049683703</v>
      </c>
      <c r="AJ4884">
        <v>81.696218491574101</v>
      </c>
      <c r="AK4884">
        <v>0.66652440688713699</v>
      </c>
      <c r="AL4884">
        <v>77.888306841012593</v>
      </c>
      <c r="AM4884">
        <v>89.926860254296898</v>
      </c>
      <c r="AN4884">
        <v>0.999999959142162</v>
      </c>
    </row>
    <row r="4885" spans="1:40" x14ac:dyDescent="0.25">
      <c r="A4885" t="str">
        <f>"20190303170910800"</f>
        <v>20190303170910800</v>
      </c>
      <c r="B4885" t="str">
        <f>"1551604150789032"</f>
        <v>1551604150789032</v>
      </c>
      <c r="C4885" t="s">
        <v>40</v>
      </c>
      <c r="D4885">
        <v>5.0433440000000003</v>
      </c>
      <c r="E4885">
        <v>0.55642939999999996</v>
      </c>
      <c r="F4885" t="s">
        <v>47</v>
      </c>
      <c r="G4885">
        <v>-262.37220000000002</v>
      </c>
      <c r="H4885">
        <v>0.92933209999999999</v>
      </c>
      <c r="I4885">
        <v>-64.110619999999997</v>
      </c>
      <c r="J4885">
        <v>-263.166</v>
      </c>
      <c r="K4885">
        <v>1.1195329999999999</v>
      </c>
      <c r="L4885">
        <v>-64.070709999999906</v>
      </c>
      <c r="M4885">
        <v>0.99567910000000004</v>
      </c>
      <c r="N4885">
        <v>-6.3473150000000001E-3</v>
      </c>
      <c r="O4885">
        <v>9.2644009999999999E-2</v>
      </c>
      <c r="P4885">
        <v>0.97491150000000004</v>
      </c>
      <c r="Q4885">
        <v>0.203815</v>
      </c>
      <c r="R4885">
        <v>8.9483869999999993E-2</v>
      </c>
      <c r="S4885">
        <v>3.2192080000000001</v>
      </c>
      <c r="T4885">
        <v>-0.64140759999999997</v>
      </c>
      <c r="U4885">
        <v>-8.4930420000000006E-2</v>
      </c>
      <c r="V4885">
        <v>1.6253870000000001E-3</v>
      </c>
      <c r="W4885">
        <v>0.2100223</v>
      </c>
      <c r="X4885">
        <v>0.97769519999999999</v>
      </c>
      <c r="Y4885">
        <v>0.1148404</v>
      </c>
      <c r="Z4885">
        <v>-2.937437E-2</v>
      </c>
      <c r="AA4885">
        <v>0.99294950000000004</v>
      </c>
      <c r="AB4885">
        <v>31</v>
      </c>
      <c r="AC4885">
        <v>0.79379999999997597</v>
      </c>
      <c r="AD4885">
        <v>-0.19020089999999901</v>
      </c>
      <c r="AE4885">
        <v>-3.99100000000061E-2</v>
      </c>
      <c r="AF4885">
        <v>0.107144757561973</v>
      </c>
      <c r="AG4885">
        <v>-0.19020089999999901</v>
      </c>
      <c r="AH4885">
        <v>0.74407719260577898</v>
      </c>
      <c r="AI4885">
        <v>104.19845522468501</v>
      </c>
      <c r="AJ4885">
        <v>81.805914561750299</v>
      </c>
      <c r="AK4885">
        <v>0.77544003635994996</v>
      </c>
      <c r="AL4885">
        <v>77.876340376909198</v>
      </c>
      <c r="AM4885">
        <v>89.904747686825004</v>
      </c>
      <c r="AN4885">
        <v>0.99999995624161298</v>
      </c>
    </row>
    <row r="4886" spans="1:40" x14ac:dyDescent="0.25">
      <c r="A4886" t="str">
        <f>"20190303170910815"</f>
        <v>20190303170910815</v>
      </c>
      <c r="B4886" t="str">
        <f>"1551604150808552"</f>
        <v>1551604150808552</v>
      </c>
      <c r="C4886" t="s">
        <v>40</v>
      </c>
      <c r="D4886">
        <v>5.0045210000000004</v>
      </c>
      <c r="E4886">
        <v>0.55655540000000003</v>
      </c>
      <c r="F4886" t="s">
        <v>47</v>
      </c>
      <c r="G4886">
        <v>-262.36040000000003</v>
      </c>
      <c r="H4886">
        <v>0.95905180000000001</v>
      </c>
      <c r="I4886">
        <v>-64.093000000000004</v>
      </c>
      <c r="J4886">
        <v>-262.96339999999998</v>
      </c>
      <c r="K4886">
        <v>1.1194599999999999</v>
      </c>
      <c r="L4886">
        <v>-64.052549999999997</v>
      </c>
      <c r="M4886">
        <v>0.99575080000000005</v>
      </c>
      <c r="N4886">
        <v>-6.4115020000000003E-3</v>
      </c>
      <c r="O4886">
        <v>9.1865829999999996E-2</v>
      </c>
      <c r="P4886">
        <v>0.97502659999999997</v>
      </c>
      <c r="Q4886">
        <v>0.2037728</v>
      </c>
      <c r="R4886">
        <v>8.8317839999999995E-2</v>
      </c>
      <c r="S4886">
        <v>3.2193909999999999</v>
      </c>
      <c r="T4886">
        <v>-0.64128600000000002</v>
      </c>
      <c r="U4886">
        <v>-8.8562009999999997E-2</v>
      </c>
      <c r="V4886">
        <v>2.0718669999999998E-3</v>
      </c>
      <c r="W4886">
        <v>0.21004139999999999</v>
      </c>
      <c r="X4886">
        <v>0.97769030000000001</v>
      </c>
      <c r="Y4886">
        <v>0.11519169999999999</v>
      </c>
      <c r="Z4886">
        <v>-2.9252529999999999E-2</v>
      </c>
      <c r="AA4886">
        <v>0.99291249999999998</v>
      </c>
      <c r="AB4886">
        <v>31</v>
      </c>
      <c r="AC4886">
        <v>0.60299999999995102</v>
      </c>
      <c r="AD4886">
        <v>-0.1604082</v>
      </c>
      <c r="AE4886">
        <v>-4.0450000000006897E-2</v>
      </c>
      <c r="AF4886">
        <v>8.9378632303876396E-2</v>
      </c>
      <c r="AG4886">
        <v>-0.1604082</v>
      </c>
      <c r="AH4886">
        <v>0.55746192434102604</v>
      </c>
      <c r="AI4886">
        <v>105.860841649043</v>
      </c>
      <c r="AJ4886">
        <v>80.891212021603195</v>
      </c>
      <c r="AK4886">
        <v>0.58692685032272196</v>
      </c>
      <c r="AL4886">
        <v>77.875221630382995</v>
      </c>
      <c r="AM4886">
        <v>89.878582147011002</v>
      </c>
      <c r="AN4886">
        <v>1.0000000025304501</v>
      </c>
    </row>
    <row r="4887" spans="1:40" x14ac:dyDescent="0.25">
      <c r="A4887" t="str">
        <f>"20190303170910828"</f>
        <v>20190303170910828</v>
      </c>
      <c r="B4887" t="str">
        <f>"1551604150818312"</f>
        <v>1551604150818312</v>
      </c>
      <c r="C4887" t="s">
        <v>40</v>
      </c>
      <c r="D4887">
        <v>5.0297239999999999</v>
      </c>
      <c r="E4887">
        <v>0.55655619999999995</v>
      </c>
      <c r="F4887" t="s">
        <v>47</v>
      </c>
      <c r="G4887">
        <v>-262.08440000000002</v>
      </c>
      <c r="H4887">
        <v>0.94387299999999996</v>
      </c>
      <c r="I4887">
        <v>-64.078220000000002</v>
      </c>
      <c r="J4887">
        <v>-262.78030000000001</v>
      </c>
      <c r="K4887">
        <v>1.119397</v>
      </c>
      <c r="L4887">
        <v>-64.036289999999994</v>
      </c>
      <c r="M4887">
        <v>0.99581799999999998</v>
      </c>
      <c r="N4887">
        <v>-6.4687140000000004E-3</v>
      </c>
      <c r="O4887">
        <v>9.1129619999999995E-2</v>
      </c>
      <c r="P4887">
        <v>0.97521080000000004</v>
      </c>
      <c r="Q4887">
        <v>0.20333989999999999</v>
      </c>
      <c r="R4887">
        <v>8.72753E-2</v>
      </c>
      <c r="S4887">
        <v>3.2196349999999998</v>
      </c>
      <c r="T4887">
        <v>-0.64303829999999995</v>
      </c>
      <c r="U4887">
        <v>-9.32312E-2</v>
      </c>
      <c r="V4887">
        <v>2.4354060000000002E-3</v>
      </c>
      <c r="W4887">
        <v>0.2096642</v>
      </c>
      <c r="X4887">
        <v>0.97777040000000004</v>
      </c>
      <c r="Y4887">
        <v>0.1158732</v>
      </c>
      <c r="Z4887">
        <v>-2.9256330000000001E-2</v>
      </c>
      <c r="AA4887">
        <v>0.99283299999999997</v>
      </c>
      <c r="AB4887">
        <v>32</v>
      </c>
      <c r="AC4887">
        <v>0.69589999999999397</v>
      </c>
      <c r="AD4887">
        <v>-0.17552400000000001</v>
      </c>
      <c r="AE4887">
        <v>-4.19299999999935E-2</v>
      </c>
      <c r="AF4887">
        <v>9.8904611334542106E-2</v>
      </c>
      <c r="AG4887">
        <v>-0.17552400000000001</v>
      </c>
      <c r="AH4887">
        <v>0.64810141240491603</v>
      </c>
      <c r="AI4887">
        <v>104.988195840207</v>
      </c>
      <c r="AJ4887">
        <v>81.323224686222602</v>
      </c>
      <c r="AK4887">
        <v>0.67869450968788902</v>
      </c>
      <c r="AL4887">
        <v>77.897325534184105</v>
      </c>
      <c r="AM4887">
        <v>89.857289403894598</v>
      </c>
      <c r="AN4887">
        <v>0.99999998154009195</v>
      </c>
    </row>
    <row r="4888" spans="1:40" x14ac:dyDescent="0.25">
      <c r="A4888" t="str">
        <f>"20190303170910838"</f>
        <v>20190303170910838</v>
      </c>
      <c r="B4888" t="str">
        <f>"1551604150829048"</f>
        <v>1551604150829048</v>
      </c>
      <c r="C4888" t="s">
        <v>40</v>
      </c>
      <c r="D4888">
        <v>5.0339239999999998</v>
      </c>
      <c r="E4888">
        <v>0.55648169999999897</v>
      </c>
      <c r="F4888" t="s">
        <v>47</v>
      </c>
      <c r="G4888">
        <v>-262.07060000000001</v>
      </c>
      <c r="H4888">
        <v>0.97721460000000004</v>
      </c>
      <c r="I4888">
        <v>-64.057859999999906</v>
      </c>
      <c r="J4888">
        <v>-262.6277</v>
      </c>
      <c r="K4888">
        <v>1.1193500000000001</v>
      </c>
      <c r="L4888">
        <v>-64.022890000000004</v>
      </c>
      <c r="M4888">
        <v>0.99587709999999996</v>
      </c>
      <c r="N4888">
        <v>-6.5140509999999999E-3</v>
      </c>
      <c r="O4888">
        <v>9.0479180000000006E-2</v>
      </c>
      <c r="P4888">
        <v>0.97545490000000001</v>
      </c>
      <c r="Q4888">
        <v>0.20267260000000001</v>
      </c>
      <c r="R4888">
        <v>8.6091589999999996E-2</v>
      </c>
      <c r="S4888">
        <v>3.21936</v>
      </c>
      <c r="T4888">
        <v>-0.64486519999999903</v>
      </c>
      <c r="U4888">
        <v>-9.6862790000000004E-2</v>
      </c>
      <c r="V4888">
        <v>3.0193519999999999E-3</v>
      </c>
      <c r="W4888">
        <v>0.2090408</v>
      </c>
      <c r="X4888">
        <v>0.97790220000000005</v>
      </c>
      <c r="Y4888">
        <v>0.11632579999999999</v>
      </c>
      <c r="Z4888">
        <v>-2.926115E-2</v>
      </c>
      <c r="AA4888">
        <v>0.99278</v>
      </c>
      <c r="AB4888">
        <v>32</v>
      </c>
      <c r="AC4888">
        <v>0.55709999999999105</v>
      </c>
      <c r="AD4888">
        <v>-0.1421354</v>
      </c>
      <c r="AE4888">
        <v>-3.4969999999986998E-2</v>
      </c>
      <c r="AF4888">
        <v>8.0043695265144404E-2</v>
      </c>
      <c r="AG4888">
        <v>-0.1421354</v>
      </c>
      <c r="AH4888">
        <v>0.51806067515941101</v>
      </c>
      <c r="AI4888">
        <v>105.17060851202299</v>
      </c>
      <c r="AJ4888">
        <v>81.216886177905096</v>
      </c>
      <c r="AK4888">
        <v>0.54313564441259499</v>
      </c>
      <c r="AL4888">
        <v>77.933852691973797</v>
      </c>
      <c r="AM4888">
        <v>89.823095216745998</v>
      </c>
      <c r="AN4888">
        <v>0.99999994265798797</v>
      </c>
    </row>
    <row r="4889" spans="1:40" x14ac:dyDescent="0.25">
      <c r="A4889" t="str">
        <f>"20190303170910849"</f>
        <v>20190303170910849</v>
      </c>
      <c r="B4889" t="str">
        <f>"1551604150838808"</f>
        <v>1551604150838808</v>
      </c>
      <c r="C4889" t="s">
        <v>40</v>
      </c>
      <c r="D4889">
        <v>5.0439339999999904</v>
      </c>
      <c r="E4889">
        <v>0.55639269999999996</v>
      </c>
      <c r="F4889" t="s">
        <v>47</v>
      </c>
      <c r="G4889">
        <v>-261.798</v>
      </c>
      <c r="H4889">
        <v>0.9524956</v>
      </c>
      <c r="I4889">
        <v>-64.048829999999995</v>
      </c>
      <c r="J4889">
        <v>-262.47879999999998</v>
      </c>
      <c r="K4889">
        <v>1.119302</v>
      </c>
      <c r="L4889">
        <v>-64.009860000000003</v>
      </c>
      <c r="M4889">
        <v>0.99593480000000001</v>
      </c>
      <c r="N4889">
        <v>-6.5580509999999996E-3</v>
      </c>
      <c r="O4889">
        <v>8.9839420000000003E-2</v>
      </c>
      <c r="P4889">
        <v>0.97563900000000003</v>
      </c>
      <c r="Q4889">
        <v>0.20208899999999999</v>
      </c>
      <c r="R4889">
        <v>8.5375259999999994E-2</v>
      </c>
      <c r="S4889">
        <v>3.2188110000000001</v>
      </c>
      <c r="T4889">
        <v>-0.64728050000000004</v>
      </c>
      <c r="U4889">
        <v>-0.1002502</v>
      </c>
      <c r="V4889">
        <v>3.1417989999999998E-3</v>
      </c>
      <c r="W4889">
        <v>0.20849989999999999</v>
      </c>
      <c r="X4889">
        <v>0.97801729999999998</v>
      </c>
      <c r="Y4889">
        <v>0.11670949999999999</v>
      </c>
      <c r="Z4889">
        <v>-2.928936E-2</v>
      </c>
      <c r="AA4889">
        <v>0.99273409999999995</v>
      </c>
      <c r="AB4889">
        <v>32</v>
      </c>
      <c r="AC4889">
        <v>0.68079999999997598</v>
      </c>
      <c r="AD4889">
        <v>-0.16680639999999999</v>
      </c>
      <c r="AE4889">
        <v>-3.8970000000006097E-2</v>
      </c>
      <c r="AF4889">
        <v>9.4331909122134502E-2</v>
      </c>
      <c r="AG4889">
        <v>-0.16680639999999999</v>
      </c>
      <c r="AH4889">
        <v>0.63646216757344898</v>
      </c>
      <c r="AI4889">
        <v>104.534050939021</v>
      </c>
      <c r="AJ4889">
        <v>81.569400196043304</v>
      </c>
      <c r="AK4889">
        <v>0.66468562111112295</v>
      </c>
      <c r="AL4889">
        <v>77.965542472464307</v>
      </c>
      <c r="AM4889">
        <v>89.815942720476997</v>
      </c>
      <c r="AN4889">
        <v>0.99999995915012696</v>
      </c>
    </row>
    <row r="4890" spans="1:40" x14ac:dyDescent="0.25">
      <c r="A4890" t="str">
        <f>"20190303170910860"</f>
        <v>20190303170910860</v>
      </c>
      <c r="B4890" t="str">
        <f>"1551604150848567"</f>
        <v>1551604150848567</v>
      </c>
      <c r="C4890" t="s">
        <v>40</v>
      </c>
      <c r="D4890">
        <v>5.0418839999999996</v>
      </c>
      <c r="E4890">
        <v>0.55633909999999998</v>
      </c>
      <c r="F4890" t="s">
        <v>47</v>
      </c>
      <c r="G4890">
        <v>-261.5247</v>
      </c>
      <c r="H4890">
        <v>0.92681119999999995</v>
      </c>
      <c r="I4890">
        <v>-64.040369999999996</v>
      </c>
      <c r="J4890">
        <v>-262.32420000000002</v>
      </c>
      <c r="K4890">
        <v>1.119264</v>
      </c>
      <c r="L4890">
        <v>-63.996580000000002</v>
      </c>
      <c r="M4890">
        <v>0.99599700000000002</v>
      </c>
      <c r="N4890">
        <v>-6.6027189999999999E-3</v>
      </c>
      <c r="O4890">
        <v>8.9144680000000004E-2</v>
      </c>
      <c r="P4890">
        <v>0.97590829999999995</v>
      </c>
      <c r="Q4890">
        <v>0.20124210000000001</v>
      </c>
      <c r="R4890">
        <v>8.4290589999999999E-2</v>
      </c>
      <c r="S4890">
        <v>3.2183229999999998</v>
      </c>
      <c r="T4890">
        <v>-0.6491576</v>
      </c>
      <c r="U4890">
        <v>-0.1021118</v>
      </c>
      <c r="V4890">
        <v>3.5814280000000002E-3</v>
      </c>
      <c r="W4890">
        <v>0.20769679999999999</v>
      </c>
      <c r="X4890">
        <v>0.97818669999999996</v>
      </c>
      <c r="Y4890">
        <v>0.1165865</v>
      </c>
      <c r="Z4890">
        <v>-2.9229640000000001E-2</v>
      </c>
      <c r="AA4890">
        <v>0.99275029999999997</v>
      </c>
      <c r="AB4890">
        <v>32</v>
      </c>
      <c r="AC4890">
        <v>0.79950000000002297</v>
      </c>
      <c r="AD4890">
        <v>-0.19245280000000001</v>
      </c>
      <c r="AE4890">
        <v>-4.3789999999994202E-2</v>
      </c>
      <c r="AF4890">
        <v>0.108613633149475</v>
      </c>
      <c r="AG4890">
        <v>-0.19245280000000001</v>
      </c>
      <c r="AH4890">
        <v>0.74913473659972596</v>
      </c>
      <c r="AI4890">
        <v>104.264756806855</v>
      </c>
      <c r="AJ4890">
        <v>81.750429540420498</v>
      </c>
      <c r="AK4890">
        <v>0.78104920146819801</v>
      </c>
      <c r="AL4890">
        <v>78.012587153158407</v>
      </c>
      <c r="AM4890">
        <v>89.790224307764802</v>
      </c>
      <c r="AN4890">
        <v>1.00000000370682</v>
      </c>
    </row>
    <row r="4891" spans="1:40" x14ac:dyDescent="0.25">
      <c r="A4891" t="str">
        <f>"20190303170910871"</f>
        <v>20190303170910871</v>
      </c>
      <c r="B4891" t="str">
        <f>"1551604150858328"</f>
        <v>1551604150858328</v>
      </c>
      <c r="C4891" t="s">
        <v>40</v>
      </c>
      <c r="D4891">
        <v>5.039148</v>
      </c>
      <c r="E4891">
        <v>0.55623089999999997</v>
      </c>
      <c r="F4891" t="s">
        <v>47</v>
      </c>
      <c r="G4891">
        <v>-261.51350000000002</v>
      </c>
      <c r="H4891">
        <v>0.95499670000000003</v>
      </c>
      <c r="I4891">
        <v>-64.023480000000006</v>
      </c>
      <c r="J4891">
        <v>-262.18619999999999</v>
      </c>
      <c r="K4891">
        <v>1.1192279999999999</v>
      </c>
      <c r="L4891">
        <v>-63.98471</v>
      </c>
      <c r="M4891">
        <v>0.9960521</v>
      </c>
      <c r="N4891">
        <v>-6.6423719999999997E-3</v>
      </c>
      <c r="O4891">
        <v>8.8521639999999999E-2</v>
      </c>
      <c r="P4891">
        <v>0.97599080000000005</v>
      </c>
      <c r="Q4891">
        <v>0.20114219999999999</v>
      </c>
      <c r="R4891">
        <v>8.3569729999999995E-2</v>
      </c>
      <c r="S4891">
        <v>3.21759</v>
      </c>
      <c r="T4891">
        <v>-0.65174940000000003</v>
      </c>
      <c r="U4891">
        <v>-0.10580440000000001</v>
      </c>
      <c r="V4891">
        <v>3.7118720000000002E-3</v>
      </c>
      <c r="W4891">
        <v>0.20763519999999999</v>
      </c>
      <c r="X4891">
        <v>0.97819929999999999</v>
      </c>
      <c r="Y4891">
        <v>0.1170781</v>
      </c>
      <c r="Z4891">
        <v>-2.9280440000000001E-2</v>
      </c>
      <c r="AA4891">
        <v>0.99269099999999999</v>
      </c>
      <c r="AB4891">
        <v>32</v>
      </c>
      <c r="AC4891">
        <v>0.67269999999996299</v>
      </c>
      <c r="AD4891">
        <v>-0.1642313</v>
      </c>
      <c r="AE4891">
        <v>-3.8770000000006598E-2</v>
      </c>
      <c r="AF4891">
        <v>9.2662899828380996E-2</v>
      </c>
      <c r="AG4891">
        <v>-0.1642313</v>
      </c>
      <c r="AH4891">
        <v>0.62924610655693403</v>
      </c>
      <c r="AI4891">
        <v>104.47822737615201</v>
      </c>
      <c r="AJ4891">
        <v>81.622821108033506</v>
      </c>
      <c r="AK4891">
        <v>0.65689344304944497</v>
      </c>
      <c r="AL4891">
        <v>78.016195335672506</v>
      </c>
      <c r="AM4891">
        <v>89.782586658018502</v>
      </c>
      <c r="AN4891">
        <v>1.0000000123966299</v>
      </c>
    </row>
    <row r="4892" spans="1:40" x14ac:dyDescent="0.25">
      <c r="A4892" t="str">
        <f>"20190303170910891"</f>
        <v>20190303170910891</v>
      </c>
      <c r="B4892" t="str">
        <f>"1551604150878824"</f>
        <v>1551604150878824</v>
      </c>
      <c r="C4892" t="s">
        <v>40</v>
      </c>
      <c r="D4892">
        <v>5.0555750000000002</v>
      </c>
      <c r="E4892">
        <v>0.55612469999999903</v>
      </c>
      <c r="F4892" t="s">
        <v>47</v>
      </c>
      <c r="G4892">
        <v>-261.24009999999998</v>
      </c>
      <c r="H4892">
        <v>0.92740020000000001</v>
      </c>
      <c r="I4892">
        <v>-64.016559999999998</v>
      </c>
      <c r="J4892">
        <v>-261.8879</v>
      </c>
      <c r="K4892">
        <v>1.119162</v>
      </c>
      <c r="L4892">
        <v>-63.959470000000003</v>
      </c>
      <c r="M4892">
        <v>0.99617440000000002</v>
      </c>
      <c r="N4892">
        <v>-6.7247660000000001E-3</v>
      </c>
      <c r="O4892">
        <v>8.712839E-2</v>
      </c>
      <c r="P4892">
        <v>0.97609069999999998</v>
      </c>
      <c r="Q4892">
        <v>0.2011857</v>
      </c>
      <c r="R4892">
        <v>8.2288699999999895E-2</v>
      </c>
      <c r="S4892">
        <v>3.2174680000000002</v>
      </c>
      <c r="T4892">
        <v>-0.65229230000000005</v>
      </c>
      <c r="U4892">
        <v>-0.1078186</v>
      </c>
      <c r="V4892">
        <v>3.6597589999999998E-3</v>
      </c>
      <c r="W4892">
        <v>0.20775930000000001</v>
      </c>
      <c r="X4892">
        <v>0.97817310000000002</v>
      </c>
      <c r="Y4892">
        <v>0.1163468</v>
      </c>
      <c r="Z4892">
        <v>-2.8957610000000002E-2</v>
      </c>
      <c r="AA4892">
        <v>0.99278639999999996</v>
      </c>
      <c r="AB4892">
        <v>32</v>
      </c>
      <c r="AC4892">
        <v>0.64780000000001703</v>
      </c>
      <c r="AD4892">
        <v>-0.19176180000000001</v>
      </c>
      <c r="AE4892">
        <v>-5.7090000000002299E-2</v>
      </c>
      <c r="AF4892">
        <v>0.10425103620417001</v>
      </c>
      <c r="AG4892">
        <v>-0.19176180000000001</v>
      </c>
      <c r="AH4892">
        <v>0.58913528037410501</v>
      </c>
      <c r="AI4892">
        <v>107.771563279353</v>
      </c>
      <c r="AJ4892">
        <v>79.965049080777206</v>
      </c>
      <c r="AK4892">
        <v>0.62826844984477603</v>
      </c>
      <c r="AL4892">
        <v>78.008925865745098</v>
      </c>
      <c r="AM4892">
        <v>89.785633272558201</v>
      </c>
      <c r="AN4892">
        <v>0.99999996706801797</v>
      </c>
    </row>
    <row r="4893" spans="1:40" x14ac:dyDescent="0.25">
      <c r="A4893" t="str">
        <f>"20190303170910903"</f>
        <v>20190303170910903</v>
      </c>
      <c r="B4893" t="str">
        <f>"1551604150898344"</f>
        <v>1551604150898344</v>
      </c>
      <c r="C4893" t="s">
        <v>40</v>
      </c>
      <c r="D4893">
        <v>5.05288</v>
      </c>
      <c r="E4893">
        <v>0.55600319999999903</v>
      </c>
      <c r="F4893" t="s">
        <v>47</v>
      </c>
      <c r="G4893">
        <v>-260.95409999999998</v>
      </c>
      <c r="H4893">
        <v>0.9297919</v>
      </c>
      <c r="I4893">
        <v>-63.99221</v>
      </c>
      <c r="J4893">
        <v>-261.7149</v>
      </c>
      <c r="K4893">
        <v>1.1191310000000001</v>
      </c>
      <c r="L4893">
        <v>-63.945099999999996</v>
      </c>
      <c r="M4893">
        <v>0.99624599999999996</v>
      </c>
      <c r="N4893">
        <v>-6.7699750000000001E-3</v>
      </c>
      <c r="O4893">
        <v>8.6302279999999995E-2</v>
      </c>
      <c r="P4893">
        <v>0.9759487</v>
      </c>
      <c r="Q4893">
        <v>0.20210739999999999</v>
      </c>
      <c r="R4893">
        <v>8.1713250000000001E-2</v>
      </c>
      <c r="S4893">
        <v>3.2173769999999999</v>
      </c>
      <c r="T4893">
        <v>-0.65237579999999995</v>
      </c>
      <c r="U4893">
        <v>-0.11203</v>
      </c>
      <c r="V4893">
        <v>3.4276469999999998E-3</v>
      </c>
      <c r="W4893">
        <v>0.20872370000000001</v>
      </c>
      <c r="X4893">
        <v>0.97796859999999997</v>
      </c>
      <c r="Y4893">
        <v>0.11682720000000001</v>
      </c>
      <c r="Z4893">
        <v>-2.8850460000000001E-2</v>
      </c>
      <c r="AA4893">
        <v>0.99273310000000003</v>
      </c>
      <c r="AB4893">
        <v>32</v>
      </c>
      <c r="AC4893">
        <v>0.76080000000001702</v>
      </c>
      <c r="AD4893">
        <v>-0.18933909999999901</v>
      </c>
      <c r="AE4893">
        <v>-4.7110000000003503E-2</v>
      </c>
      <c r="AF4893">
        <v>0.10605125527010199</v>
      </c>
      <c r="AG4893">
        <v>-0.18933909999999901</v>
      </c>
      <c r="AH4893">
        <v>0.71008410545764999</v>
      </c>
      <c r="AI4893">
        <v>104.773584703208</v>
      </c>
      <c r="AJ4893">
        <v>81.505645281930597</v>
      </c>
      <c r="AK4893">
        <v>0.74250629650984501</v>
      </c>
      <c r="AL4893">
        <v>77.952431184805206</v>
      </c>
      <c r="AM4893">
        <v>89.799186903739496</v>
      </c>
      <c r="AN4893">
        <v>0.99999995714580203</v>
      </c>
    </row>
    <row r="4894" spans="1:40" x14ac:dyDescent="0.25">
      <c r="A4894" t="str">
        <f>"20190303170910914"</f>
        <v>20190303170910914</v>
      </c>
      <c r="B4894" t="str">
        <f>"1551604150909081"</f>
        <v>1551604150909081</v>
      </c>
      <c r="C4894" t="s">
        <v>40</v>
      </c>
      <c r="D4894">
        <v>5.0479050000000001</v>
      </c>
      <c r="E4894">
        <v>0.55600319999999903</v>
      </c>
      <c r="F4894" t="s">
        <v>47</v>
      </c>
      <c r="G4894">
        <v>-260.94080000000002</v>
      </c>
      <c r="H4894">
        <v>0.96269490000000002</v>
      </c>
      <c r="I4894">
        <v>-63.972430000000003</v>
      </c>
      <c r="J4894">
        <v>-261.55220000000003</v>
      </c>
      <c r="K4894">
        <v>1.11911</v>
      </c>
      <c r="L4894">
        <v>-63.931699999999999</v>
      </c>
      <c r="M4894">
        <v>0.99631340000000002</v>
      </c>
      <c r="N4894">
        <v>-6.8108209999999999E-3</v>
      </c>
      <c r="O4894">
        <v>8.5517289999999996E-2</v>
      </c>
      <c r="P4894">
        <v>0.97589239999999999</v>
      </c>
      <c r="Q4894">
        <v>0.2027235</v>
      </c>
      <c r="R4894">
        <v>8.0853540000000002E-2</v>
      </c>
      <c r="S4894">
        <v>3.218048</v>
      </c>
      <c r="T4894">
        <v>-0.65020489999999997</v>
      </c>
      <c r="U4894">
        <v>-0.11270139999999999</v>
      </c>
      <c r="V4894">
        <v>3.5240129999999999E-3</v>
      </c>
      <c r="W4894">
        <v>0.20937839999999999</v>
      </c>
      <c r="X4894">
        <v>0.97782829999999998</v>
      </c>
      <c r="Y4894">
        <v>0.1162994</v>
      </c>
      <c r="Z4894">
        <v>-2.8542720000000001E-2</v>
      </c>
      <c r="AA4894">
        <v>0.99280400000000002</v>
      </c>
      <c r="AB4894">
        <v>32</v>
      </c>
      <c r="AC4894">
        <v>0.61140000000000305</v>
      </c>
      <c r="AD4894">
        <v>-0.1564151</v>
      </c>
      <c r="AE4894">
        <v>-4.0730000000003402E-2</v>
      </c>
      <c r="AF4894">
        <v>8.7186188216114902E-2</v>
      </c>
      <c r="AG4894">
        <v>-0.1564151</v>
      </c>
      <c r="AH4894">
        <v>0.56862513470861398</v>
      </c>
      <c r="AI4894">
        <v>105.210907477822</v>
      </c>
      <c r="AJ4894">
        <v>81.282838289650797</v>
      </c>
      <c r="AK4894">
        <v>0.59615573363514296</v>
      </c>
      <c r="AL4894">
        <v>77.914072099338597</v>
      </c>
      <c r="AM4894">
        <v>89.793511603519093</v>
      </c>
      <c r="AN4894">
        <v>0.99999995866753599</v>
      </c>
    </row>
    <row r="4895" spans="1:40" x14ac:dyDescent="0.25">
      <c r="A4895" t="str">
        <f>"20190303170910925"</f>
        <v>20190303170910925</v>
      </c>
      <c r="B4895" t="str">
        <f>"1551604150918840"</f>
        <v>1551604150918840</v>
      </c>
      <c r="C4895" t="s">
        <v>40</v>
      </c>
      <c r="D4895">
        <v>5.0612149999999998</v>
      </c>
      <c r="E4895">
        <v>0.55501869999999998</v>
      </c>
      <c r="F4895" t="s">
        <v>47</v>
      </c>
      <c r="G4895">
        <v>-260.66430000000003</v>
      </c>
      <c r="H4895">
        <v>0.940191</v>
      </c>
      <c r="I4895">
        <v>-63.963180000000001</v>
      </c>
      <c r="J4895">
        <v>-261.38420000000002</v>
      </c>
      <c r="K4895">
        <v>1.1190850000000001</v>
      </c>
      <c r="L4895">
        <v>-63.917969999999997</v>
      </c>
      <c r="M4895">
        <v>0.99638309999999997</v>
      </c>
      <c r="N4895">
        <v>-6.8513089999999999E-3</v>
      </c>
      <c r="O4895">
        <v>8.4699250000000004E-2</v>
      </c>
      <c r="P4895">
        <v>0.97586139999999999</v>
      </c>
      <c r="Q4895">
        <v>0.2030382</v>
      </c>
      <c r="R4895">
        <v>8.0436590000000002E-2</v>
      </c>
      <c r="S4895">
        <v>3.2182919999999999</v>
      </c>
      <c r="T4895">
        <v>-0.64851899999999996</v>
      </c>
      <c r="U4895">
        <v>-0.1143188</v>
      </c>
      <c r="V4895">
        <v>3.1475890000000001E-3</v>
      </c>
      <c r="W4895">
        <v>0.20973330000000001</v>
      </c>
      <c r="X4895">
        <v>0.9777536</v>
      </c>
      <c r="Y4895">
        <v>0.11602270000000001</v>
      </c>
      <c r="Z4895">
        <v>-2.828054E-2</v>
      </c>
      <c r="AA4895">
        <v>0.9928439</v>
      </c>
      <c r="AB4895">
        <v>32</v>
      </c>
      <c r="AC4895">
        <v>0.71989999999999499</v>
      </c>
      <c r="AD4895">
        <v>-0.178894</v>
      </c>
      <c r="AE4895">
        <v>-4.5210000000004399E-2</v>
      </c>
      <c r="AF4895">
        <v>9.9880416866084995E-2</v>
      </c>
      <c r="AG4895">
        <v>-0.178894</v>
      </c>
      <c r="AH4895">
        <v>0.67214098643953601</v>
      </c>
      <c r="AI4895">
        <v>104.749281904445</v>
      </c>
      <c r="AJ4895">
        <v>81.5476772367618</v>
      </c>
      <c r="AK4895">
        <v>0.70267536356503602</v>
      </c>
      <c r="AL4895">
        <v>77.893277003837895</v>
      </c>
      <c r="AM4895">
        <v>89.815553793550706</v>
      </c>
      <c r="AN4895">
        <v>1.0000000333791801</v>
      </c>
    </row>
    <row r="4896" spans="1:40" x14ac:dyDescent="0.25">
      <c r="A4896" t="str">
        <f>"20190303170910936"</f>
        <v>20190303170910936</v>
      </c>
      <c r="B4896" t="str">
        <f>"1551604150928600"</f>
        <v>1551604150928600</v>
      </c>
      <c r="C4896" t="s">
        <v>40</v>
      </c>
      <c r="D4896">
        <v>4.9784030000000001</v>
      </c>
      <c r="E4896">
        <v>0.55501869999999998</v>
      </c>
      <c r="F4896" t="s">
        <v>47</v>
      </c>
      <c r="G4896">
        <v>-260.65100000000001</v>
      </c>
      <c r="H4896">
        <v>0.97227909999999995</v>
      </c>
      <c r="I4896">
        <v>-63.942329999999998</v>
      </c>
      <c r="J4896">
        <v>-261.24029999999999</v>
      </c>
      <c r="K4896">
        <v>1.119067</v>
      </c>
      <c r="L4896">
        <v>-63.906370000000003</v>
      </c>
      <c r="M4896">
        <v>0.99644290000000002</v>
      </c>
      <c r="N4896">
        <v>-6.8838090000000003E-3</v>
      </c>
      <c r="O4896">
        <v>8.3990319999999993E-2</v>
      </c>
      <c r="P4896">
        <v>0.97597889999999998</v>
      </c>
      <c r="Q4896">
        <v>0.20273740000000001</v>
      </c>
      <c r="R4896">
        <v>7.9768530000000004E-2</v>
      </c>
      <c r="S4896">
        <v>3.2170719999999999</v>
      </c>
      <c r="T4896">
        <v>-0.64424999999999999</v>
      </c>
      <c r="U4896">
        <v>-0.1071167</v>
      </c>
      <c r="V4896">
        <v>3.1360200000000002E-3</v>
      </c>
      <c r="W4896">
        <v>0.2094646</v>
      </c>
      <c r="X4896">
        <v>0.97781119999999999</v>
      </c>
      <c r="Y4896">
        <v>0.1132288</v>
      </c>
      <c r="Z4896">
        <v>-2.7685020000000001E-2</v>
      </c>
      <c r="AA4896">
        <v>0.99318309999999999</v>
      </c>
      <c r="AB4896">
        <v>32</v>
      </c>
      <c r="AC4896">
        <v>0.58929999999997995</v>
      </c>
      <c r="AD4896">
        <v>-0.1467879</v>
      </c>
      <c r="AE4896">
        <v>-3.5960000000009901E-2</v>
      </c>
      <c r="AF4896">
        <v>8.0362021042694506E-2</v>
      </c>
      <c r="AG4896">
        <v>-0.1467879</v>
      </c>
      <c r="AH4896">
        <v>0.55018747988247096</v>
      </c>
      <c r="AI4896">
        <v>104.788405700056</v>
      </c>
      <c r="AJ4896">
        <v>81.689971858450505</v>
      </c>
      <c r="AK4896">
        <v>0.575074782121335</v>
      </c>
      <c r="AL4896">
        <v>77.909021685100797</v>
      </c>
      <c r="AM4896">
        <v>89.816242548248994</v>
      </c>
      <c r="AN4896">
        <v>0.99999999806002005</v>
      </c>
    </row>
    <row r="4897" spans="1:40" x14ac:dyDescent="0.25">
      <c r="A4897" t="str">
        <f>"20190303170910947"</f>
        <v>20190303170910947</v>
      </c>
      <c r="B4897" t="str">
        <f>"1551604150938360"</f>
        <v>1551604150938360</v>
      </c>
      <c r="C4897" t="s">
        <v>40</v>
      </c>
      <c r="D4897">
        <v>5.0228989999999998</v>
      </c>
      <c r="E4897">
        <v>0.52717159999999996</v>
      </c>
      <c r="F4897" t="s">
        <v>47</v>
      </c>
      <c r="G4897">
        <v>-260.37580000000003</v>
      </c>
      <c r="H4897">
        <v>0.94556499999999999</v>
      </c>
      <c r="I4897">
        <v>-63.935760000000002</v>
      </c>
      <c r="J4897">
        <v>-261.08390000000003</v>
      </c>
      <c r="K4897">
        <v>1.119041</v>
      </c>
      <c r="L4897">
        <v>-63.893830000000001</v>
      </c>
      <c r="M4897">
        <v>0.99650740000000004</v>
      </c>
      <c r="N4897">
        <v>-6.918329E-3</v>
      </c>
      <c r="O4897">
        <v>8.3216999999999999E-2</v>
      </c>
      <c r="P4897">
        <v>0.97613349999999999</v>
      </c>
      <c r="Q4897">
        <v>0.20228070000000001</v>
      </c>
      <c r="R4897">
        <v>7.9032259999999993E-2</v>
      </c>
      <c r="S4897">
        <v>3.2167970000000001</v>
      </c>
      <c r="T4897">
        <v>-0.64546700000000001</v>
      </c>
      <c r="U4897">
        <v>-0.10864260000000001</v>
      </c>
      <c r="V4897">
        <v>3.1321970000000002E-3</v>
      </c>
      <c r="W4897">
        <v>0.20904220000000001</v>
      </c>
      <c r="X4897">
        <v>0.97790160000000004</v>
      </c>
      <c r="Y4897">
        <v>0.1129367</v>
      </c>
      <c r="Z4897">
        <v>-2.755997E-2</v>
      </c>
      <c r="AA4897">
        <v>0.99321990000000004</v>
      </c>
      <c r="AB4897">
        <v>32</v>
      </c>
      <c r="AC4897">
        <v>0.70810000000000095</v>
      </c>
      <c r="AD4897">
        <v>-0.17347599999999899</v>
      </c>
      <c r="AE4897">
        <v>-4.19299999999935E-2</v>
      </c>
      <c r="AF4897">
        <v>9.5028338515038099E-2</v>
      </c>
      <c r="AG4897">
        <v>-0.17347599999999899</v>
      </c>
      <c r="AH4897">
        <v>0.66252896740994405</v>
      </c>
      <c r="AI4897">
        <v>104.53055277308199</v>
      </c>
      <c r="AJ4897">
        <v>81.837581112360695</v>
      </c>
      <c r="AK4897">
        <v>0.691425296293255</v>
      </c>
      <c r="AL4897">
        <v>77.933771314819893</v>
      </c>
      <c r="AM4897">
        <v>89.816483524513799</v>
      </c>
      <c r="AN4897">
        <v>0.99999999566072295</v>
      </c>
    </row>
    <row r="4898" spans="1:40" x14ac:dyDescent="0.25">
      <c r="A4898" t="str">
        <f>"20190303170910958"</f>
        <v>20190303170910958</v>
      </c>
      <c r="B4898" t="str">
        <f>"1551604150949096"</f>
        <v>1551604150949096</v>
      </c>
      <c r="C4898" t="s">
        <v>40</v>
      </c>
      <c r="D4898">
        <v>5.029039</v>
      </c>
      <c r="E4898">
        <v>0.52407870000000001</v>
      </c>
      <c r="F4898" t="s">
        <v>47</v>
      </c>
      <c r="G4898">
        <v>-260.34210000000002</v>
      </c>
      <c r="H4898">
        <v>1.026149</v>
      </c>
      <c r="I4898">
        <v>-63.872250000000001</v>
      </c>
      <c r="J4898">
        <v>-260.92290000000003</v>
      </c>
      <c r="K4898">
        <v>1.1190230000000001</v>
      </c>
      <c r="L4898">
        <v>-63.881129999999999</v>
      </c>
      <c r="M4898">
        <v>0.99657430000000002</v>
      </c>
      <c r="N4898">
        <v>-6.9511599999999996E-3</v>
      </c>
      <c r="O4898">
        <v>8.2411100000000001E-2</v>
      </c>
      <c r="P4898">
        <v>0.97637370000000001</v>
      </c>
      <c r="Q4898">
        <v>0.2012139</v>
      </c>
      <c r="R4898">
        <v>7.8786949999999994E-2</v>
      </c>
      <c r="S4898">
        <v>3.1475219999999999</v>
      </c>
      <c r="T4898">
        <v>-0.39400020000000002</v>
      </c>
      <c r="U4898">
        <v>9.2407230000000007E-2</v>
      </c>
      <c r="V4898">
        <v>2.6114480000000002E-3</v>
      </c>
      <c r="W4898">
        <v>0.20801059999999999</v>
      </c>
      <c r="X4898">
        <v>0.97812310000000002</v>
      </c>
      <c r="Y4898">
        <v>5.2130639999999999E-2</v>
      </c>
      <c r="Z4898">
        <v>-1.312198E-2</v>
      </c>
      <c r="AA4898">
        <v>0.9985541</v>
      </c>
      <c r="AB4898">
        <v>32</v>
      </c>
      <c r="AC4898">
        <v>0.58080000000000997</v>
      </c>
      <c r="AD4898">
        <v>-9.2873999999999901E-2</v>
      </c>
      <c r="AE4898">
        <v>8.8800000000048805E-3</v>
      </c>
      <c r="AF4898">
        <v>3.8043178460688401E-2</v>
      </c>
      <c r="AG4898">
        <v>-9.2873999999999901E-2</v>
      </c>
      <c r="AH4898">
        <v>0.56510947801924705</v>
      </c>
      <c r="AI4898">
        <v>99.312246897628896</v>
      </c>
      <c r="AJ4898">
        <v>86.148658330257803</v>
      </c>
      <c r="AK4898">
        <v>0.573952598609482</v>
      </c>
      <c r="AL4898">
        <v>77.994206424475394</v>
      </c>
      <c r="AM4898">
        <v>89.847028872639896</v>
      </c>
      <c r="AN4898">
        <v>1.0000000140633101</v>
      </c>
    </row>
    <row r="4899" spans="1:40" x14ac:dyDescent="0.25">
      <c r="A4899" t="str">
        <f>"20190303170910970"</f>
        <v>20190303170910970</v>
      </c>
      <c r="B4899" t="str">
        <f>"1551604150958856"</f>
        <v>1551604150958856</v>
      </c>
      <c r="C4899" t="s">
        <v>40</v>
      </c>
      <c r="D4899">
        <v>5.0909219999999999</v>
      </c>
      <c r="E4899">
        <v>0.51943790000000001</v>
      </c>
      <c r="F4899" t="s">
        <v>47</v>
      </c>
      <c r="G4899">
        <v>-260.05489999999998</v>
      </c>
      <c r="H4899">
        <v>1.0258860000000001</v>
      </c>
      <c r="I4899">
        <v>-63.850529999999999</v>
      </c>
      <c r="J4899">
        <v>-260.75389999999999</v>
      </c>
      <c r="K4899">
        <v>1.119</v>
      </c>
      <c r="L4899">
        <v>-63.867829999999998</v>
      </c>
      <c r="M4899">
        <v>0.99664399999999997</v>
      </c>
      <c r="N4899">
        <v>-6.9845150000000002E-3</v>
      </c>
      <c r="O4899">
        <v>8.1562380000000004E-2</v>
      </c>
      <c r="P4899">
        <v>0.97654620000000003</v>
      </c>
      <c r="Q4899">
        <v>0.2005053</v>
      </c>
      <c r="R4899">
        <v>7.8455319999999995E-2</v>
      </c>
      <c r="S4899">
        <v>3.1328740000000002</v>
      </c>
      <c r="T4899">
        <v>-0.33601690000000001</v>
      </c>
      <c r="U4899">
        <v>0.11126709999999999</v>
      </c>
      <c r="V4899">
        <v>2.1299729999999998E-3</v>
      </c>
      <c r="W4899">
        <v>0.2073371</v>
      </c>
      <c r="X4899">
        <v>0.97826729999999995</v>
      </c>
      <c r="Y4899">
        <v>4.5453189999999997E-2</v>
      </c>
      <c r="Z4899">
        <v>-1.073023E-2</v>
      </c>
      <c r="AA4899">
        <v>0.99890880000000004</v>
      </c>
      <c r="AB4899">
        <v>32</v>
      </c>
      <c r="AC4899">
        <v>0.69900000000001195</v>
      </c>
      <c r="AD4899">
        <v>-9.3113999999999905E-2</v>
      </c>
      <c r="AE4899">
        <v>1.7299999999998698E-2</v>
      </c>
      <c r="AF4899">
        <v>3.9078107319772203E-2</v>
      </c>
      <c r="AG4899">
        <v>-9.3113999999999905E-2</v>
      </c>
      <c r="AH4899">
        <v>0.68591789830626504</v>
      </c>
      <c r="AI4899">
        <v>97.718334448696993</v>
      </c>
      <c r="AJ4899">
        <v>86.739270301562101</v>
      </c>
      <c r="AK4899">
        <v>0.69331138652453905</v>
      </c>
      <c r="AL4899">
        <v>78.033655747567593</v>
      </c>
      <c r="AM4899">
        <v>89.875250587919794</v>
      </c>
      <c r="AN4899">
        <v>1.00000006003533</v>
      </c>
    </row>
    <row r="4900" spans="1:40" x14ac:dyDescent="0.25">
      <c r="A4900" t="str">
        <f>"20190303170910982"</f>
        <v>20190303170910982</v>
      </c>
      <c r="B4900" t="str">
        <f>"1551604150978376"</f>
        <v>1551604150978376</v>
      </c>
      <c r="C4900" t="s">
        <v>40</v>
      </c>
      <c r="D4900">
        <v>5.0870240000000004</v>
      </c>
      <c r="E4900">
        <v>0.51522990000000002</v>
      </c>
      <c r="F4900" t="s">
        <v>47</v>
      </c>
      <c r="G4900">
        <v>-259.76490000000001</v>
      </c>
      <c r="H4900">
        <v>1.030538</v>
      </c>
      <c r="I4900">
        <v>-63.823039999999999</v>
      </c>
      <c r="J4900">
        <v>-260.58519999999999</v>
      </c>
      <c r="K4900">
        <v>1.118978</v>
      </c>
      <c r="L4900">
        <v>-63.85483</v>
      </c>
      <c r="M4900">
        <v>0.99671330000000002</v>
      </c>
      <c r="N4900">
        <v>-7.0133590000000003E-3</v>
      </c>
      <c r="O4900">
        <v>8.0706630000000001E-2</v>
      </c>
      <c r="P4900">
        <v>0.97668540000000004</v>
      </c>
      <c r="Q4900">
        <v>0.20003679999999999</v>
      </c>
      <c r="R4900">
        <v>7.7916830000000006E-2</v>
      </c>
      <c r="S4900">
        <v>3.1178889999999999</v>
      </c>
      <c r="T4900">
        <v>-0.27880280000000002</v>
      </c>
      <c r="U4900">
        <v>0.14178470000000001</v>
      </c>
      <c r="V4900">
        <v>1.844842E-3</v>
      </c>
      <c r="W4900">
        <v>0.20689859999999999</v>
      </c>
      <c r="X4900">
        <v>0.97836069999999997</v>
      </c>
      <c r="Y4900">
        <v>3.4923870000000003E-2</v>
      </c>
      <c r="Z4900">
        <v>-8.3044780000000006E-3</v>
      </c>
      <c r="AA4900">
        <v>0.99935549999999995</v>
      </c>
      <c r="AB4900">
        <v>32</v>
      </c>
      <c r="AC4900">
        <v>0.82029999999997405</v>
      </c>
      <c r="AD4900">
        <v>-8.8440000000000005E-2</v>
      </c>
      <c r="AE4900">
        <v>3.1790000000007902E-2</v>
      </c>
      <c r="AF4900">
        <v>3.4122932253385203E-2</v>
      </c>
      <c r="AG4900">
        <v>-8.8440000000000005E-2</v>
      </c>
      <c r="AH4900">
        <v>0.81077940454103603</v>
      </c>
      <c r="AI4900">
        <v>96.219761297076303</v>
      </c>
      <c r="AJ4900">
        <v>87.590038827185097</v>
      </c>
      <c r="AK4900">
        <v>0.81630218113973296</v>
      </c>
      <c r="AL4900">
        <v>78.059336652375407</v>
      </c>
      <c r="AM4900">
        <v>89.8919605671109</v>
      </c>
      <c r="AN4900">
        <v>1.00000004671422</v>
      </c>
    </row>
    <row r="4901" spans="1:40" x14ac:dyDescent="0.25">
      <c r="A4901" t="str">
        <f>"20190303170910992"</f>
        <v>20190303170910992</v>
      </c>
      <c r="B4901" t="str">
        <f>"1551604150978376"</f>
        <v>1551604150978376</v>
      </c>
      <c r="C4901" t="s">
        <v>40</v>
      </c>
      <c r="D4901">
        <v>5.0870240000000004</v>
      </c>
      <c r="E4901">
        <v>0.51522990000000002</v>
      </c>
      <c r="F4901" t="s">
        <v>113</v>
      </c>
      <c r="G4901">
        <v>-244.19</v>
      </c>
      <c r="H4901" s="1">
        <v>-1.4716739999999999E-6</v>
      </c>
      <c r="I4901">
        <v>-62.965739999999997</v>
      </c>
      <c r="J4901">
        <v>-260.45010000000002</v>
      </c>
      <c r="K4901">
        <v>1.1189579999999999</v>
      </c>
      <c r="L4901">
        <v>-63.844450000000002</v>
      </c>
      <c r="M4901">
        <v>0.9967686</v>
      </c>
      <c r="N4901">
        <v>-7.0349509999999898E-3</v>
      </c>
      <c r="O4901">
        <v>8.0019389999999996E-2</v>
      </c>
      <c r="P4901">
        <v>0.97674680000000003</v>
      </c>
      <c r="Q4901">
        <v>0.19995599999999999</v>
      </c>
      <c r="R4901">
        <v>7.7353699999999997E-2</v>
      </c>
      <c r="S4901">
        <v>3.1015630000000001</v>
      </c>
      <c r="T4901">
        <v>-0.21168300000000001</v>
      </c>
      <c r="U4901">
        <v>0.16818239999999901</v>
      </c>
      <c r="V4901">
        <v>1.742712E-3</v>
      </c>
      <c r="W4901">
        <v>0.2068393</v>
      </c>
      <c r="X4901">
        <v>0.9783733</v>
      </c>
      <c r="Y4901">
        <v>2.5717549999999999E-2</v>
      </c>
      <c r="Z4901">
        <v>-5.8475970000000004E-3</v>
      </c>
      <c r="AA4901">
        <v>0.99965210000000004</v>
      </c>
      <c r="AB4901">
        <v>32</v>
      </c>
      <c r="AC4901">
        <v>16.260100000000001</v>
      </c>
      <c r="AD4901">
        <v>-1.1189594716739999</v>
      </c>
      <c r="AE4901">
        <v>0.87870999999999799</v>
      </c>
      <c r="AF4901">
        <v>0.423264611477985</v>
      </c>
      <c r="AG4901">
        <v>-1.1189594716739999</v>
      </c>
      <c r="AH4901">
        <v>16.201768889430099</v>
      </c>
      <c r="AI4901">
        <v>93.949460658655596</v>
      </c>
      <c r="AJ4901">
        <v>88.503511489451895</v>
      </c>
      <c r="AK4901">
        <v>16.245877581007498</v>
      </c>
      <c r="AL4901">
        <v>78.062807921241102</v>
      </c>
      <c r="AM4901">
        <v>89.897942904915993</v>
      </c>
      <c r="AN4901">
        <v>0.99999992361124401</v>
      </c>
    </row>
    <row r="4902" spans="1:40" x14ac:dyDescent="0.25">
      <c r="A4902" t="str">
        <f>"20190303170911001"</f>
        <v>20190303170911001</v>
      </c>
      <c r="B4902" t="str">
        <f>"1551604150989112"</f>
        <v>1551604150989112</v>
      </c>
      <c r="C4902" t="s">
        <v>40</v>
      </c>
      <c r="D4902">
        <v>5.1478039999999998</v>
      </c>
      <c r="E4902">
        <v>0.51396830000000004</v>
      </c>
      <c r="F4902" t="s">
        <v>47</v>
      </c>
      <c r="G4902">
        <v>-259.46080000000001</v>
      </c>
      <c r="H4902">
        <v>1.051399</v>
      </c>
      <c r="I4902">
        <v>-63.791670000000003</v>
      </c>
      <c r="J4902">
        <v>-260.29480000000001</v>
      </c>
      <c r="K4902">
        <v>1.11894</v>
      </c>
      <c r="L4902">
        <v>-63.832700000000003</v>
      </c>
      <c r="M4902">
        <v>0.99683180000000005</v>
      </c>
      <c r="N4902">
        <v>-7.0551800000000003E-3</v>
      </c>
      <c r="O4902">
        <v>7.9223849999999998E-2</v>
      </c>
      <c r="P4902">
        <v>0.97676260000000004</v>
      </c>
      <c r="Q4902">
        <v>0.2002777</v>
      </c>
      <c r="R4902">
        <v>7.6314270000000003E-2</v>
      </c>
      <c r="S4902">
        <v>3.1016849999999998</v>
      </c>
      <c r="T4902">
        <v>-0.21185480000000001</v>
      </c>
      <c r="U4902">
        <v>0.16555790000000001</v>
      </c>
      <c r="V4902">
        <v>2.0070729999999998E-3</v>
      </c>
      <c r="W4902">
        <v>0.207179</v>
      </c>
      <c r="X4902">
        <v>0.97830099999999998</v>
      </c>
      <c r="Y4902">
        <v>2.576635E-2</v>
      </c>
      <c r="Z4902">
        <v>-5.8046979999999996E-3</v>
      </c>
      <c r="AA4902">
        <v>0.99965110000000001</v>
      </c>
      <c r="AB4902">
        <v>32</v>
      </c>
      <c r="AC4902">
        <v>0.83400000000000296</v>
      </c>
      <c r="AD4902">
        <v>-6.7541000000000004E-2</v>
      </c>
      <c r="AE4902">
        <v>4.1030000000006298E-2</v>
      </c>
      <c r="AF4902">
        <v>2.5009681444594201E-2</v>
      </c>
      <c r="AG4902">
        <v>-6.7541000000000004E-2</v>
      </c>
      <c r="AH4902">
        <v>0.829203935713267</v>
      </c>
      <c r="AI4902">
        <v>94.654515532519198</v>
      </c>
      <c r="AJ4902">
        <v>88.272421468736496</v>
      </c>
      <c r="AK4902">
        <v>0.83232592044783305</v>
      </c>
      <c r="AL4902">
        <v>78.042914618446503</v>
      </c>
      <c r="AM4902">
        <v>89.882452690190803</v>
      </c>
      <c r="AN4902">
        <v>1.00000000649201</v>
      </c>
    </row>
    <row r="4903" spans="1:40" x14ac:dyDescent="0.25">
      <c r="A4903" t="str">
        <f>"20190303170911014"</f>
        <v>20190303170911014</v>
      </c>
      <c r="B4903" t="str">
        <f>"1551604151008632"</f>
        <v>1551604151008632</v>
      </c>
      <c r="C4903" t="s">
        <v>40</v>
      </c>
      <c r="D4903">
        <v>5.0737059999999996</v>
      </c>
      <c r="E4903">
        <v>0.51220329999999903</v>
      </c>
      <c r="F4903" t="s">
        <v>113</v>
      </c>
      <c r="G4903">
        <v>-242.14769999999999</v>
      </c>
      <c r="H4903" s="1">
        <v>-5.5970380000000004E-7</v>
      </c>
      <c r="I4903">
        <v>-62.831130000000002</v>
      </c>
      <c r="J4903">
        <v>-260.13630000000001</v>
      </c>
      <c r="K4903">
        <v>1.118924</v>
      </c>
      <c r="L4903">
        <v>-63.820799999999998</v>
      </c>
      <c r="M4903">
        <v>0.99689629999999996</v>
      </c>
      <c r="N4903">
        <v>-7.0740839999999996E-3</v>
      </c>
      <c r="O4903">
        <v>7.8408889999999995E-2</v>
      </c>
      <c r="P4903">
        <v>0.97676560000000001</v>
      </c>
      <c r="Q4903">
        <v>0.20066580000000001</v>
      </c>
      <c r="R4903">
        <v>7.5250800000000007E-2</v>
      </c>
      <c r="S4903">
        <v>3.0971679999999999</v>
      </c>
      <c r="T4903">
        <v>-0.19096949999999999</v>
      </c>
      <c r="U4903">
        <v>0.170929</v>
      </c>
      <c r="V4903">
        <v>2.2755610000000002E-3</v>
      </c>
      <c r="W4903">
        <v>0.2075843</v>
      </c>
      <c r="X4903">
        <v>0.97821449999999999</v>
      </c>
      <c r="Y4903">
        <v>2.3191549999999998E-2</v>
      </c>
      <c r="Z4903">
        <v>-5.0614969999999999E-3</v>
      </c>
      <c r="AA4903">
        <v>0.9997182</v>
      </c>
      <c r="AB4903">
        <v>32</v>
      </c>
      <c r="AC4903">
        <v>17.988600000000002</v>
      </c>
      <c r="AD4903">
        <v>-1.1189245597038</v>
      </c>
      <c r="AE4903">
        <v>0.98966999999999605</v>
      </c>
      <c r="AF4903">
        <v>0.42224957066431801</v>
      </c>
      <c r="AG4903">
        <v>-1.1189245597038</v>
      </c>
      <c r="AH4903">
        <v>17.941608393965598</v>
      </c>
      <c r="AI4903">
        <v>93.567631906243193</v>
      </c>
      <c r="AJ4903">
        <v>88.651812448575598</v>
      </c>
      <c r="AK4903">
        <v>17.981423709836001</v>
      </c>
      <c r="AL4903">
        <v>78.019176666701597</v>
      </c>
      <c r="AM4903">
        <v>89.866716547192496</v>
      </c>
      <c r="AN4903">
        <v>1.0000000138973</v>
      </c>
    </row>
    <row r="4904" spans="1:40" x14ac:dyDescent="0.25">
      <c r="A4904" t="str">
        <f>"20190303170911026"</f>
        <v>20190303170911026</v>
      </c>
      <c r="B4904" t="str">
        <f>"1551604151018392"</f>
        <v>1551604151018392</v>
      </c>
      <c r="C4904" t="s">
        <v>40</v>
      </c>
      <c r="D4904">
        <v>5.0754210000000004</v>
      </c>
      <c r="E4904">
        <v>0.51163270000000005</v>
      </c>
      <c r="F4904" t="s">
        <v>112</v>
      </c>
      <c r="G4904">
        <v>-239.38079999999999</v>
      </c>
      <c r="H4904" s="1">
        <v>-3.4614730000000001E-6</v>
      </c>
      <c r="I4904">
        <v>-62.610970000000002</v>
      </c>
      <c r="J4904">
        <v>-259.94470000000001</v>
      </c>
      <c r="K4904">
        <v>1.118906</v>
      </c>
      <c r="L4904">
        <v>-63.806640000000002</v>
      </c>
      <c r="M4904">
        <v>0.99697340000000001</v>
      </c>
      <c r="N4904">
        <v>-7.0936250000000001E-3</v>
      </c>
      <c r="O4904">
        <v>7.7419310000000005E-2</v>
      </c>
      <c r="P4904">
        <v>0.97663940000000005</v>
      </c>
      <c r="Q4904">
        <v>0.2015991</v>
      </c>
      <c r="R4904">
        <v>7.4387380000000003E-2</v>
      </c>
      <c r="S4904">
        <v>3.091736</v>
      </c>
      <c r="T4904">
        <v>-0.16667499999999999</v>
      </c>
      <c r="U4904">
        <v>0.18020630000000001</v>
      </c>
      <c r="V4904">
        <v>2.166318E-3</v>
      </c>
      <c r="W4904">
        <v>0.20853579999999999</v>
      </c>
      <c r="X4904">
        <v>0.97801229999999995</v>
      </c>
      <c r="Y4904">
        <v>1.9161480000000002E-2</v>
      </c>
      <c r="Z4904">
        <v>-4.1962869999999999E-3</v>
      </c>
      <c r="AA4904">
        <v>0.99980760000000002</v>
      </c>
      <c r="AB4904">
        <v>32</v>
      </c>
      <c r="AC4904">
        <v>20.5639</v>
      </c>
      <c r="AD4904">
        <v>-1.118909461473</v>
      </c>
      <c r="AE4904">
        <v>1.19567</v>
      </c>
      <c r="AF4904">
        <v>0.39882504110135197</v>
      </c>
      <c r="AG4904">
        <v>-1.118909461473</v>
      </c>
      <c r="AH4904">
        <v>20.534158626498002</v>
      </c>
      <c r="AI4904">
        <v>93.1183843875842</v>
      </c>
      <c r="AJ4904">
        <v>88.887311659879302</v>
      </c>
      <c r="AK4904">
        <v>20.568487797953502</v>
      </c>
      <c r="AL4904">
        <v>77.963439405913107</v>
      </c>
      <c r="AM4904">
        <v>89.873088839995503</v>
      </c>
      <c r="AN4904">
        <v>0.99999996588330198</v>
      </c>
    </row>
    <row r="4905" spans="1:40" x14ac:dyDescent="0.25">
      <c r="A4905" t="str">
        <f>"20190303170911036"</f>
        <v>20190303170911036</v>
      </c>
      <c r="B4905" t="str">
        <f>"1551604151029128"</f>
        <v>1551604151029128</v>
      </c>
      <c r="C4905" t="s">
        <v>40</v>
      </c>
      <c r="D4905">
        <v>5.0786870000000004</v>
      </c>
      <c r="E4905">
        <v>0.51107760000000002</v>
      </c>
      <c r="F4905" t="s">
        <v>112</v>
      </c>
      <c r="G4905">
        <v>-237.76679999999999</v>
      </c>
      <c r="H4905" s="1">
        <v>-2.8825419999999998E-6</v>
      </c>
      <c r="I4905">
        <v>-62.501399999999997</v>
      </c>
      <c r="J4905">
        <v>-259.78660000000002</v>
      </c>
      <c r="K4905">
        <v>1.1188940000000001</v>
      </c>
      <c r="L4905">
        <v>-63.795070000000003</v>
      </c>
      <c r="M4905">
        <v>0.99703679999999995</v>
      </c>
      <c r="N4905">
        <v>-7.1060409999999996E-3</v>
      </c>
      <c r="O4905">
        <v>7.6598100000000002E-2</v>
      </c>
      <c r="P4905">
        <v>0.97657400000000005</v>
      </c>
      <c r="Q4905">
        <v>0.20227919999999999</v>
      </c>
      <c r="R4905">
        <v>7.3391849999999995E-2</v>
      </c>
      <c r="S4905">
        <v>3.0901179999999999</v>
      </c>
      <c r="T4905">
        <v>-0.1559007</v>
      </c>
      <c r="U4905">
        <v>0.18185419999999999</v>
      </c>
      <c r="V4905">
        <v>2.3561089999999999E-3</v>
      </c>
      <c r="W4905">
        <v>0.20922640000000001</v>
      </c>
      <c r="X4905">
        <v>0.97786439999999997</v>
      </c>
      <c r="Y4905">
        <v>1.7794600000000001E-2</v>
      </c>
      <c r="Z4905">
        <v>-3.8209609999999999E-3</v>
      </c>
      <c r="AA4905">
        <v>0.99983440000000001</v>
      </c>
      <c r="AB4905">
        <v>32</v>
      </c>
      <c r="AC4905">
        <v>22.0198</v>
      </c>
      <c r="AD4905">
        <v>-1.118896882542</v>
      </c>
      <c r="AE4905">
        <v>1.2936699999999901</v>
      </c>
      <c r="AF4905">
        <v>0.39582972605113997</v>
      </c>
      <c r="AG4905">
        <v>-1.118896882542</v>
      </c>
      <c r="AH4905">
        <v>21.9975967653711</v>
      </c>
      <c r="AI4905">
        <v>92.911341594244902</v>
      </c>
      <c r="AJ4905">
        <v>88.969118052995199</v>
      </c>
      <c r="AK4905">
        <v>22.029590891744999</v>
      </c>
      <c r="AL4905">
        <v>77.922978967056594</v>
      </c>
      <c r="AM4905">
        <v>89.861949324937697</v>
      </c>
      <c r="AN4905">
        <v>1.00000001124696</v>
      </c>
    </row>
    <row r="4906" spans="1:40" x14ac:dyDescent="0.25">
      <c r="A4906" t="str">
        <f>"20190303170911047"</f>
        <v>20190303170911047</v>
      </c>
      <c r="B4906" t="str">
        <f>"1551604151038888"</f>
        <v>1551604151038888</v>
      </c>
      <c r="C4906" t="s">
        <v>40</v>
      </c>
      <c r="D4906">
        <v>5.0165230000000003</v>
      </c>
      <c r="E4906">
        <v>0.51069699999999996</v>
      </c>
      <c r="F4906" t="s">
        <v>112</v>
      </c>
      <c r="G4906">
        <v>-236.1883</v>
      </c>
      <c r="H4906" s="1">
        <v>-2.178341E-6</v>
      </c>
      <c r="I4906">
        <v>-62.399720000000002</v>
      </c>
      <c r="J4906">
        <v>-259.63060000000002</v>
      </c>
      <c r="K4906">
        <v>1.1188899999999999</v>
      </c>
      <c r="L4906">
        <v>-63.783749999999998</v>
      </c>
      <c r="M4906">
        <v>0.9970987</v>
      </c>
      <c r="N4906">
        <v>-7.1171749999999999E-3</v>
      </c>
      <c r="O4906">
        <v>7.5787090000000001E-2</v>
      </c>
      <c r="P4906">
        <v>0.97656069999999995</v>
      </c>
      <c r="Q4906">
        <v>0.20259269999999999</v>
      </c>
      <c r="R4906">
        <v>7.2702429999999998E-2</v>
      </c>
      <c r="S4906">
        <v>3.088562</v>
      </c>
      <c r="T4906">
        <v>-0.14644190000000001</v>
      </c>
      <c r="U4906">
        <v>0.18261720000000001</v>
      </c>
      <c r="V4906">
        <v>2.2531180000000001E-3</v>
      </c>
      <c r="W4906">
        <v>0.2095505</v>
      </c>
      <c r="X4906">
        <v>0.97779519999999998</v>
      </c>
      <c r="Y4906">
        <v>1.6720200000000001E-2</v>
      </c>
      <c r="Z4906">
        <v>-3.499706E-3</v>
      </c>
      <c r="AA4906">
        <v>0.99985409999999997</v>
      </c>
      <c r="AB4906">
        <v>32</v>
      </c>
      <c r="AC4906">
        <v>23.442299999999999</v>
      </c>
      <c r="AD4906">
        <v>-1.118892178341</v>
      </c>
      <c r="AE4906">
        <v>1.3840300000000001</v>
      </c>
      <c r="AF4906">
        <v>0.39572083385572898</v>
      </c>
      <c r="AG4906">
        <v>-1.118892178341</v>
      </c>
      <c r="AH4906">
        <v>23.426588196790899</v>
      </c>
      <c r="AI4906">
        <v>92.734072720190198</v>
      </c>
      <c r="AJ4906">
        <v>89.032254405927304</v>
      </c>
      <c r="AK4906">
        <v>23.4566312420842</v>
      </c>
      <c r="AL4906">
        <v>77.903987937319499</v>
      </c>
      <c r="AM4906">
        <v>89.867974475983402</v>
      </c>
      <c r="AN4906">
        <v>0.99999997086700498</v>
      </c>
    </row>
    <row r="4907" spans="1:40" x14ac:dyDescent="0.25">
      <c r="A4907" t="str">
        <f>"20190303170911059"</f>
        <v>20190303170911059</v>
      </c>
      <c r="B4907" t="str">
        <f>"1551604151048649"</f>
        <v>1551604151048649</v>
      </c>
      <c r="C4907" t="s">
        <v>40</v>
      </c>
      <c r="D4907">
        <v>5.0177870000000002</v>
      </c>
      <c r="E4907">
        <v>0.51030559999999903</v>
      </c>
      <c r="F4907" t="s">
        <v>112</v>
      </c>
      <c r="G4907">
        <v>-234.88579999999999</v>
      </c>
      <c r="H4907" s="1">
        <v>-1.5982260000000001E-6</v>
      </c>
      <c r="I4907">
        <v>-62.31955</v>
      </c>
      <c r="J4907">
        <v>-259.46910000000003</v>
      </c>
      <c r="K4907">
        <v>1.1188769999999999</v>
      </c>
      <c r="L4907">
        <v>-63.77225</v>
      </c>
      <c r="M4907">
        <v>0.9971624</v>
      </c>
      <c r="N4907">
        <v>-7.125536E-3</v>
      </c>
      <c r="O4907">
        <v>7.4943629999999997E-2</v>
      </c>
      <c r="P4907">
        <v>0.97656659999999995</v>
      </c>
      <c r="Q4907">
        <v>0.20260400000000001</v>
      </c>
      <c r="R4907">
        <v>7.2591329999999996E-2</v>
      </c>
      <c r="S4907">
        <v>3.0873719999999998</v>
      </c>
      <c r="T4907">
        <v>-0.13960210000000001</v>
      </c>
      <c r="U4907">
        <v>0.18267820000000001</v>
      </c>
      <c r="V4907">
        <v>1.541426E-3</v>
      </c>
      <c r="W4907">
        <v>0.20957239999999999</v>
      </c>
      <c r="X4907">
        <v>0.97779190000000005</v>
      </c>
      <c r="Y4907">
        <v>1.584199E-2</v>
      </c>
      <c r="Z4907">
        <v>-3.2599920000000002E-3</v>
      </c>
      <c r="AA4907">
        <v>0.99986920000000001</v>
      </c>
      <c r="AB4907">
        <v>32</v>
      </c>
      <c r="AC4907">
        <v>24.583300000000001</v>
      </c>
      <c r="AD4907">
        <v>-1.1188785982260001</v>
      </c>
      <c r="AE4907">
        <v>1.4527000000000001</v>
      </c>
      <c r="AF4907">
        <v>0.39298265213114902</v>
      </c>
      <c r="AG4907">
        <v>-1.1188785982260001</v>
      </c>
      <c r="AH4907">
        <v>24.5723115253946</v>
      </c>
      <c r="AI4907">
        <v>92.606779218932601</v>
      </c>
      <c r="AJ4907">
        <v>89.083752133885298</v>
      </c>
      <c r="AK4907">
        <v>24.600910925888201</v>
      </c>
      <c r="AL4907">
        <v>77.902704817590603</v>
      </c>
      <c r="AM4907">
        <v>89.909676965956294</v>
      </c>
      <c r="AN4907">
        <v>0.99999998327074102</v>
      </c>
    </row>
    <row r="4908" spans="1:40" x14ac:dyDescent="0.25">
      <c r="A4908" t="str">
        <f>"20190303170911071"</f>
        <v>20190303170911071</v>
      </c>
      <c r="B4908" t="str">
        <f>"1551604151058409"</f>
        <v>1551604151058409</v>
      </c>
      <c r="C4908" t="s">
        <v>40</v>
      </c>
      <c r="D4908">
        <v>4.9562660000000003</v>
      </c>
      <c r="E4908">
        <v>0.50994830000000002</v>
      </c>
      <c r="F4908" t="s">
        <v>112</v>
      </c>
      <c r="G4908">
        <v>-233.82480000000001</v>
      </c>
      <c r="H4908" s="1">
        <v>-1.1213110000000001E-6</v>
      </c>
      <c r="I4908">
        <v>-62.237760000000002</v>
      </c>
      <c r="J4908">
        <v>-259.30950000000001</v>
      </c>
      <c r="K4908">
        <v>1.1188640000000001</v>
      </c>
      <c r="L4908">
        <v>-63.760959999999997</v>
      </c>
      <c r="M4908">
        <v>0.99722469999999996</v>
      </c>
      <c r="N4908">
        <v>-7.1330669999999999E-3</v>
      </c>
      <c r="O4908">
        <v>7.4109540000000002E-2</v>
      </c>
      <c r="P4908">
        <v>0.97667879999999996</v>
      </c>
      <c r="Q4908">
        <v>0.20216780000000001</v>
      </c>
      <c r="R4908">
        <v>7.2297260000000002E-2</v>
      </c>
      <c r="S4908">
        <v>3.086182</v>
      </c>
      <c r="T4908">
        <v>-0.1346521</v>
      </c>
      <c r="U4908">
        <v>0.18466189999999999</v>
      </c>
      <c r="V4908">
        <v>1.0276529999999999E-3</v>
      </c>
      <c r="W4908">
        <v>0.2091462</v>
      </c>
      <c r="X4908">
        <v>0.97788379999999997</v>
      </c>
      <c r="Y4908">
        <v>1.435032E-2</v>
      </c>
      <c r="Z4908">
        <v>-3.060292E-3</v>
      </c>
      <c r="AA4908">
        <v>0.99989240000000001</v>
      </c>
      <c r="AB4908">
        <v>32</v>
      </c>
      <c r="AC4908">
        <v>25.4847</v>
      </c>
      <c r="AD4908">
        <v>-1.1188651213109999</v>
      </c>
      <c r="AE4908">
        <v>1.5232000000000001</v>
      </c>
      <c r="AF4908">
        <v>0.36898740322878998</v>
      </c>
      <c r="AG4908">
        <v>-1.1188651213109999</v>
      </c>
      <c r="AH4908">
        <v>25.4785674051904</v>
      </c>
      <c r="AI4908">
        <v>92.514206505462198</v>
      </c>
      <c r="AJ4908">
        <v>89.170285255487101</v>
      </c>
      <c r="AK4908">
        <v>25.505791653745199</v>
      </c>
      <c r="AL4908">
        <v>77.927677395491003</v>
      </c>
      <c r="AM4908">
        <v>89.939788185438104</v>
      </c>
      <c r="AN4908">
        <v>0.99999995767378302</v>
      </c>
    </row>
    <row r="4909" spans="1:40" x14ac:dyDescent="0.25">
      <c r="A4909" t="str">
        <f>"20190303170911082"</f>
        <v>20190303170911082</v>
      </c>
      <c r="B4909" t="str">
        <f>"1551604151069144"</f>
        <v>1551604151069144</v>
      </c>
      <c r="C4909" t="s">
        <v>40</v>
      </c>
      <c r="D4909">
        <v>4.7870990000000004</v>
      </c>
      <c r="E4909">
        <v>0.50973559999999996</v>
      </c>
      <c r="F4909" t="s">
        <v>112</v>
      </c>
      <c r="G4909">
        <v>-233.2131</v>
      </c>
      <c r="H4909" s="1">
        <v>-8.4602729999999996E-7</v>
      </c>
      <c r="I4909">
        <v>-62.189390000000003</v>
      </c>
      <c r="J4909">
        <v>-259.12970000000001</v>
      </c>
      <c r="K4909">
        <v>1.1188439999999999</v>
      </c>
      <c r="L4909">
        <v>-63.748440000000002</v>
      </c>
      <c r="M4909">
        <v>0.99729420000000002</v>
      </c>
      <c r="N4909">
        <v>-7.1374539999999997E-3</v>
      </c>
      <c r="O4909">
        <v>7.3167949999999995E-2</v>
      </c>
      <c r="P4909">
        <v>0.97679930000000004</v>
      </c>
      <c r="Q4909">
        <v>0.20160929999999999</v>
      </c>
      <c r="R4909">
        <v>7.2229349999999998E-2</v>
      </c>
      <c r="S4909">
        <v>3.0852360000000001</v>
      </c>
      <c r="T4909">
        <v>-0.13227739999999999</v>
      </c>
      <c r="U4909">
        <v>0.18579100000000001</v>
      </c>
      <c r="V4909">
        <v>1.823115E-4</v>
      </c>
      <c r="W4909">
        <v>0.2085959</v>
      </c>
      <c r="X4909">
        <v>0.97800189999999998</v>
      </c>
      <c r="Y4909">
        <v>1.3027850000000001E-2</v>
      </c>
      <c r="Z4909">
        <v>-2.9321820000000002E-3</v>
      </c>
      <c r="AA4909">
        <v>0.99991079999999999</v>
      </c>
      <c r="AB4909">
        <v>33</v>
      </c>
      <c r="AC4909">
        <v>25.916599999999999</v>
      </c>
      <c r="AD4909">
        <v>-1.1188448460272999</v>
      </c>
      <c r="AE4909">
        <v>1.5590499999999901</v>
      </c>
      <c r="AF4909">
        <v>0.34080874499584102</v>
      </c>
      <c r="AG4909">
        <v>-1.1188448460272999</v>
      </c>
      <c r="AH4909">
        <v>25.913084937112199</v>
      </c>
      <c r="AI4909">
        <v>92.472100997690404</v>
      </c>
      <c r="AJ4909">
        <v>89.246489679431406</v>
      </c>
      <c r="AK4909">
        <v>25.939466751422199</v>
      </c>
      <c r="AL4909">
        <v>77.959918910455599</v>
      </c>
      <c r="AM4909">
        <v>89.989319366980993</v>
      </c>
      <c r="AN4909">
        <v>0.99999999956895103</v>
      </c>
    </row>
    <row r="4910" spans="1:40" x14ac:dyDescent="0.25">
      <c r="A4910" t="str">
        <f>"20190303170911095"</f>
        <v>20190303170911095</v>
      </c>
      <c r="B4910" t="str">
        <f>"1551604151088664"</f>
        <v>1551604151088664</v>
      </c>
      <c r="C4910" t="s">
        <v>40</v>
      </c>
      <c r="D4910">
        <v>4.9501429999999997</v>
      </c>
      <c r="E4910">
        <v>0.50920849999999995</v>
      </c>
      <c r="F4910" t="s">
        <v>112</v>
      </c>
      <c r="G4910">
        <v>-232.8503</v>
      </c>
      <c r="H4910" s="1">
        <v>-6.8250119999999898E-7</v>
      </c>
      <c r="I4910">
        <v>-62.159790000000001</v>
      </c>
      <c r="J4910">
        <v>-258.95119999999997</v>
      </c>
      <c r="K4910">
        <v>1.118833</v>
      </c>
      <c r="L4910">
        <v>-63.736179999999997</v>
      </c>
      <c r="M4910">
        <v>0.99736230000000003</v>
      </c>
      <c r="N4910">
        <v>-7.1403730000000002E-3</v>
      </c>
      <c r="O4910">
        <v>7.2231920000000005E-2</v>
      </c>
      <c r="P4910">
        <v>0.97689970000000004</v>
      </c>
      <c r="Q4910">
        <v>0.2013104</v>
      </c>
      <c r="R4910">
        <v>7.1702150000000006E-2</v>
      </c>
      <c r="S4910">
        <v>3.0845639999999999</v>
      </c>
      <c r="T4910">
        <v>-0.131325</v>
      </c>
      <c r="U4910">
        <v>0.1864624</v>
      </c>
      <c r="V4910">
        <v>-2.0083739999999999E-4</v>
      </c>
      <c r="W4910">
        <v>0.20830119999999999</v>
      </c>
      <c r="X4910">
        <v>0.97806470000000001</v>
      </c>
      <c r="Y4910">
        <v>1.186225E-2</v>
      </c>
      <c r="Z4910">
        <v>-2.8462549999999998E-3</v>
      </c>
      <c r="AA4910">
        <v>0.99992559999999997</v>
      </c>
      <c r="AB4910">
        <v>33</v>
      </c>
      <c r="AC4910">
        <v>26.1008999999999</v>
      </c>
      <c r="AD4910">
        <v>-1.1188336825012</v>
      </c>
      <c r="AE4910">
        <v>1.57639</v>
      </c>
      <c r="AF4910">
        <v>0.31252198492497901</v>
      </c>
      <c r="AG4910">
        <v>-1.1188336825012</v>
      </c>
      <c r="AH4910">
        <v>26.098804516299001</v>
      </c>
      <c r="AI4910">
        <v>92.4545428702815</v>
      </c>
      <c r="AJ4910">
        <v>89.313940416489601</v>
      </c>
      <c r="AK4910">
        <v>26.124644609642999</v>
      </c>
      <c r="AL4910">
        <v>77.977183145863606</v>
      </c>
      <c r="AM4910">
        <v>90.011765208607002</v>
      </c>
      <c r="AN4910">
        <v>0.99999999382159499</v>
      </c>
    </row>
    <row r="4911" spans="1:40" x14ac:dyDescent="0.25">
      <c r="A4911" t="str">
        <f>"20190303170911109"</f>
        <v>20190303170911109</v>
      </c>
      <c r="B4911" t="str">
        <f>"1551604151098424"</f>
        <v>1551604151098424</v>
      </c>
      <c r="C4911" t="s">
        <v>40</v>
      </c>
      <c r="D4911">
        <v>4.9480360000000001</v>
      </c>
      <c r="E4911">
        <v>0.50897539999999997</v>
      </c>
      <c r="F4911" t="s">
        <v>112</v>
      </c>
      <c r="G4911">
        <v>-231.7457</v>
      </c>
      <c r="H4911" s="1">
        <v>-1.8533759999999999E-7</v>
      </c>
      <c r="I4911">
        <v>-62.072240000000001</v>
      </c>
      <c r="J4911">
        <v>-258.74439999999998</v>
      </c>
      <c r="K4911">
        <v>1.1188209999999901</v>
      </c>
      <c r="L4911">
        <v>-63.722140000000003</v>
      </c>
      <c r="M4911">
        <v>0.99744029999999995</v>
      </c>
      <c r="N4911">
        <v>-7.1418710000000002E-3</v>
      </c>
      <c r="O4911">
        <v>7.1147299999999997E-2</v>
      </c>
      <c r="P4911">
        <v>0.97692020000000002</v>
      </c>
      <c r="Q4911">
        <v>0.2014447</v>
      </c>
      <c r="R4911">
        <v>7.1042739999999993E-2</v>
      </c>
      <c r="S4911">
        <v>3.083221</v>
      </c>
      <c r="T4911">
        <v>-0.1267983</v>
      </c>
      <c r="U4911">
        <v>0.18856809999999999</v>
      </c>
      <c r="V4911">
        <v>-6.0190349999999896E-4</v>
      </c>
      <c r="W4911">
        <v>0.20843829999999999</v>
      </c>
      <c r="X4911">
        <v>0.97803530000000005</v>
      </c>
      <c r="Y4911">
        <v>1.0075020000000001E-2</v>
      </c>
      <c r="Z4911">
        <v>-2.653388E-3</v>
      </c>
      <c r="AA4911">
        <v>0.99994570000000005</v>
      </c>
      <c r="AB4911">
        <v>33</v>
      </c>
      <c r="AC4911">
        <v>26.9986999999999</v>
      </c>
      <c r="AD4911">
        <v>-1.11882118533759</v>
      </c>
      <c r="AE4911">
        <v>1.6498999999999999</v>
      </c>
      <c r="AF4911">
        <v>0.27474481073125201</v>
      </c>
      <c r="AG4911">
        <v>-1.11882118533759</v>
      </c>
      <c r="AH4911">
        <v>27.001469876139701</v>
      </c>
      <c r="AI4911">
        <v>92.372603075715105</v>
      </c>
      <c r="AJ4911">
        <v>89.417025260668893</v>
      </c>
      <c r="AK4911">
        <v>27.026035984359002</v>
      </c>
      <c r="AL4911">
        <v>77.969151283136597</v>
      </c>
      <c r="AM4911">
        <v>90.035261023676995</v>
      </c>
      <c r="AN4911">
        <v>0.999999967620401</v>
      </c>
    </row>
    <row r="4912" spans="1:40" x14ac:dyDescent="0.25">
      <c r="A4912" t="str">
        <f>"20190303170911120"</f>
        <v>20190303170911120</v>
      </c>
      <c r="B4912" t="str">
        <f>"1551604151109161"</f>
        <v>1551604151109161</v>
      </c>
      <c r="C4912" t="s">
        <v>40</v>
      </c>
      <c r="D4912">
        <v>4.9450419999999999</v>
      </c>
      <c r="E4912">
        <v>0.50876169999999998</v>
      </c>
      <c r="F4912" t="s">
        <v>112</v>
      </c>
      <c r="G4912">
        <v>-231.05240000000001</v>
      </c>
      <c r="H4912" s="1">
        <v>1.225405E-7</v>
      </c>
      <c r="I4912">
        <v>-62.03293</v>
      </c>
      <c r="J4912">
        <v>-258.57810000000001</v>
      </c>
      <c r="K4912">
        <v>1.118817</v>
      </c>
      <c r="L4912">
        <v>-63.711060000000003</v>
      </c>
      <c r="M4912">
        <v>0.99750209999999995</v>
      </c>
      <c r="N4912">
        <v>-7.1418009999999997E-3</v>
      </c>
      <c r="O4912">
        <v>7.0274199999999995E-2</v>
      </c>
      <c r="P4912">
        <v>0.97686090000000003</v>
      </c>
      <c r="Q4912">
        <v>0.20208209999999999</v>
      </c>
      <c r="R4912">
        <v>7.0041530000000005E-2</v>
      </c>
      <c r="S4912">
        <v>3.0828859999999998</v>
      </c>
      <c r="T4912">
        <v>-0.1245555</v>
      </c>
      <c r="U4912">
        <v>0.1880493</v>
      </c>
      <c r="V4912">
        <v>-4.5913360000000001E-4</v>
      </c>
      <c r="W4912">
        <v>0.20907439999999999</v>
      </c>
      <c r="X4912">
        <v>0.97789959999999998</v>
      </c>
      <c r="Y4912">
        <v>9.3639540000000007E-3</v>
      </c>
      <c r="Z4912">
        <v>-2.5527319999999998E-3</v>
      </c>
      <c r="AA4912">
        <v>0.99995290000000003</v>
      </c>
      <c r="AB4912">
        <v>33</v>
      </c>
      <c r="AC4912">
        <v>27.525700000000001</v>
      </c>
      <c r="AD4912">
        <v>-1.1188168774595</v>
      </c>
      <c r="AE4912">
        <v>1.6781299999999799</v>
      </c>
      <c r="AF4912">
        <v>0.25998706227381801</v>
      </c>
      <c r="AG4912">
        <v>-1.1188168774595</v>
      </c>
      <c r="AH4912">
        <v>27.530262489064299</v>
      </c>
      <c r="AI4912">
        <v>92.327089181197906</v>
      </c>
      <c r="AJ4912">
        <v>89.458932925282497</v>
      </c>
      <c r="AK4912">
        <v>27.554213782915699</v>
      </c>
      <c r="AL4912">
        <v>77.931884407956105</v>
      </c>
      <c r="AM4912">
        <v>90.026900937048794</v>
      </c>
      <c r="AN4912">
        <v>0.99999997160959098</v>
      </c>
    </row>
    <row r="4913" spans="1:40" x14ac:dyDescent="0.25">
      <c r="A4913" t="str">
        <f>"20190303170911136"</f>
        <v>20190303170911136</v>
      </c>
      <c r="B4913" t="str">
        <f>"1551604151128680"</f>
        <v>1551604151128680</v>
      </c>
      <c r="C4913" t="s">
        <v>40</v>
      </c>
      <c r="D4913">
        <v>4.8945619999999996</v>
      </c>
      <c r="E4913">
        <v>0.50831599999999999</v>
      </c>
      <c r="F4913" t="s">
        <v>112</v>
      </c>
      <c r="G4913">
        <v>-230.05240000000001</v>
      </c>
      <c r="H4913" s="1">
        <v>5.6459739999999995E-7</v>
      </c>
      <c r="I4913">
        <v>-61.983879999999999</v>
      </c>
      <c r="J4913">
        <v>-258.33969999999999</v>
      </c>
      <c r="K4913">
        <v>1.1188199999999999</v>
      </c>
      <c r="L4913">
        <v>-63.695430000000002</v>
      </c>
      <c r="M4913">
        <v>0.99758950000000002</v>
      </c>
      <c r="N4913">
        <v>-7.1414260000000002E-3</v>
      </c>
      <c r="O4913">
        <v>6.9023299999999996E-2</v>
      </c>
      <c r="P4913">
        <v>0.97653000000000001</v>
      </c>
      <c r="Q4913">
        <v>0.203925</v>
      </c>
      <c r="R4913">
        <v>6.9310869999999997E-2</v>
      </c>
      <c r="S4913">
        <v>3.082687</v>
      </c>
      <c r="T4913">
        <v>-0.12090720000000001</v>
      </c>
      <c r="U4913">
        <v>0.18664549999999999</v>
      </c>
      <c r="V4913">
        <v>-9.6980479999999995E-4</v>
      </c>
      <c r="W4913">
        <v>0.21091589999999999</v>
      </c>
      <c r="X4913">
        <v>0.97750369999999998</v>
      </c>
      <c r="Y4913">
        <v>8.5643239999999999E-3</v>
      </c>
      <c r="Z4913">
        <v>-2.4061310000000002E-3</v>
      </c>
      <c r="AA4913">
        <v>0.99996039999999997</v>
      </c>
      <c r="AB4913">
        <v>33</v>
      </c>
      <c r="AC4913">
        <v>28.287299999999899</v>
      </c>
      <c r="AD4913">
        <v>-1.1188194354026</v>
      </c>
      <c r="AE4913">
        <v>1.7115499999999899</v>
      </c>
      <c r="AF4913">
        <v>0.24468335443901601</v>
      </c>
      <c r="AG4913">
        <v>-1.1188194354026</v>
      </c>
      <c r="AH4913">
        <v>28.293872162030802</v>
      </c>
      <c r="AI4913">
        <v>92.264372225528405</v>
      </c>
      <c r="AJ4913">
        <v>89.504522605609395</v>
      </c>
      <c r="AK4913">
        <v>28.317041314274299</v>
      </c>
      <c r="AL4913">
        <v>77.823967919411899</v>
      </c>
      <c r="AM4913">
        <v>90.056844494563293</v>
      </c>
      <c r="AN4913">
        <v>0.99999997045392397</v>
      </c>
    </row>
    <row r="4914" spans="1:40" x14ac:dyDescent="0.25">
      <c r="A4914" t="str">
        <f>"20190303170911147"</f>
        <v>20190303170911147</v>
      </c>
      <c r="B4914" t="str">
        <f>"1551604151138440"</f>
        <v>1551604151138440</v>
      </c>
      <c r="C4914" t="s">
        <v>40</v>
      </c>
      <c r="D4914">
        <v>4.9498300000000004</v>
      </c>
      <c r="E4914">
        <v>0.50819389999999998</v>
      </c>
      <c r="F4914" t="s">
        <v>115</v>
      </c>
      <c r="G4914">
        <v>-227.79730000000001</v>
      </c>
      <c r="H4914" s="1">
        <v>-2.7851429999999999E-6</v>
      </c>
      <c r="I4914">
        <v>-61.83211</v>
      </c>
      <c r="J4914">
        <v>-258.1739</v>
      </c>
      <c r="K4914">
        <v>1.118817</v>
      </c>
      <c r="L4914">
        <v>-63.684660000000001</v>
      </c>
      <c r="M4914">
        <v>0.99764940000000002</v>
      </c>
      <c r="N4914">
        <v>-7.1409610000000004E-3</v>
      </c>
      <c r="O4914">
        <v>6.8153430000000001E-2</v>
      </c>
      <c r="P4914">
        <v>0.97644050000000004</v>
      </c>
      <c r="Q4914">
        <v>0.20457320000000001</v>
      </c>
      <c r="R4914">
        <v>6.8656220000000004E-2</v>
      </c>
      <c r="S4914">
        <v>3.0823670000000001</v>
      </c>
      <c r="T4914">
        <v>-0.11291279999999999</v>
      </c>
      <c r="U4914">
        <v>0.1880493</v>
      </c>
      <c r="V4914">
        <v>-1.170995E-3</v>
      </c>
      <c r="W4914">
        <v>0.21156330000000001</v>
      </c>
      <c r="X4914">
        <v>0.9773636</v>
      </c>
      <c r="Y4914">
        <v>7.2402009999999999E-3</v>
      </c>
      <c r="Z4914">
        <v>-2.162377E-3</v>
      </c>
      <c r="AA4914">
        <v>0.99997139999999995</v>
      </c>
      <c r="AB4914">
        <v>33</v>
      </c>
      <c r="AC4914">
        <v>30.3766</v>
      </c>
      <c r="AD4914">
        <v>-1.118819785143</v>
      </c>
      <c r="AE4914">
        <v>1.8525499999999999</v>
      </c>
      <c r="AF4914">
        <v>0.221779979915013</v>
      </c>
      <c r="AG4914">
        <v>-1.118819785143</v>
      </c>
      <c r="AH4914">
        <v>30.391152224946399</v>
      </c>
      <c r="AI4914">
        <v>92.108278455969</v>
      </c>
      <c r="AJ4914">
        <v>89.581890440462402</v>
      </c>
      <c r="AK4914">
        <v>30.412548029242501</v>
      </c>
      <c r="AL4914">
        <v>77.786018684274097</v>
      </c>
      <c r="AM4914">
        <v>90.068646959255801</v>
      </c>
      <c r="AN4914">
        <v>1.0000000038705601</v>
      </c>
    </row>
    <row r="4915" spans="1:40" x14ac:dyDescent="0.25">
      <c r="A4915" t="str">
        <f>"20190303170911158"</f>
        <v>20190303170911158</v>
      </c>
      <c r="B4915" t="str">
        <f>"1551604151149176"</f>
        <v>1551604151149176</v>
      </c>
      <c r="C4915" t="s">
        <v>40</v>
      </c>
      <c r="D4915">
        <v>4.9508809999999999</v>
      </c>
      <c r="E4915">
        <v>0.50801839999999998</v>
      </c>
      <c r="F4915" t="s">
        <v>115</v>
      </c>
      <c r="G4915">
        <v>-226.5943</v>
      </c>
      <c r="H4915" s="1">
        <v>-2.2549249999999998E-6</v>
      </c>
      <c r="I4915">
        <v>-61.768520000000002</v>
      </c>
      <c r="J4915">
        <v>-258.01580000000001</v>
      </c>
      <c r="K4915">
        <v>1.1188129999999901</v>
      </c>
      <c r="L4915">
        <v>-63.674619999999997</v>
      </c>
      <c r="M4915">
        <v>0.99770579999999998</v>
      </c>
      <c r="N4915">
        <v>-7.1405039999999998E-3</v>
      </c>
      <c r="O4915">
        <v>6.7324030000000007E-2</v>
      </c>
      <c r="P4915">
        <v>0.976379</v>
      </c>
      <c r="Q4915">
        <v>0.20495360000000001</v>
      </c>
      <c r="R4915">
        <v>6.8397979999999997E-2</v>
      </c>
      <c r="S4915">
        <v>3.0821079999999998</v>
      </c>
      <c r="T4915">
        <v>-0.1091945</v>
      </c>
      <c r="U4915">
        <v>0.1870117</v>
      </c>
      <c r="V4915">
        <v>-1.727307E-3</v>
      </c>
      <c r="W4915">
        <v>0.21194499999999999</v>
      </c>
      <c r="X4915">
        <v>0.97728009999999998</v>
      </c>
      <c r="Y4915">
        <v>6.7425710000000002E-3</v>
      </c>
      <c r="Z4915">
        <v>-2.0423939999999999E-3</v>
      </c>
      <c r="AA4915">
        <v>0.99997519999999995</v>
      </c>
      <c r="AB4915">
        <v>33</v>
      </c>
      <c r="AC4915">
        <v>31.421500000000002</v>
      </c>
      <c r="AD4915">
        <v>-1.1188152549249999</v>
      </c>
      <c r="AE4915">
        <v>1.9060999999999999</v>
      </c>
      <c r="AF4915">
        <v>0.213430788167116</v>
      </c>
      <c r="AG4915">
        <v>-1.1188152549249999</v>
      </c>
      <c r="AH4915">
        <v>31.438822611652299</v>
      </c>
      <c r="AI4915">
        <v>92.038081299410194</v>
      </c>
      <c r="AJ4915">
        <v>89.611038375262893</v>
      </c>
      <c r="AK4915">
        <v>31.459447984396199</v>
      </c>
      <c r="AL4915">
        <v>77.763641763137898</v>
      </c>
      <c r="AM4915">
        <v>90.101268099051495</v>
      </c>
      <c r="AN4915">
        <v>1.0000000302352401</v>
      </c>
    </row>
    <row r="4916" spans="1:40" x14ac:dyDescent="0.25">
      <c r="A4916" t="str">
        <f>"20190303170911169"</f>
        <v>20190303170911169</v>
      </c>
      <c r="B4916" t="str">
        <f>"1551604151158936"</f>
        <v>1551604151158936</v>
      </c>
      <c r="C4916" t="s">
        <v>40</v>
      </c>
      <c r="D4916">
        <v>4.9504710000000003</v>
      </c>
      <c r="E4916">
        <v>0.50785689999999994</v>
      </c>
      <c r="F4916" t="s">
        <v>115</v>
      </c>
      <c r="G4916">
        <v>-225.79259999999999</v>
      </c>
      <c r="H4916" s="1">
        <v>-1.8991050000000001E-6</v>
      </c>
      <c r="I4916">
        <v>-61.715150000000001</v>
      </c>
      <c r="J4916">
        <v>-257.85079999999999</v>
      </c>
      <c r="K4916">
        <v>1.1188049999999901</v>
      </c>
      <c r="L4916">
        <v>-63.664180000000002</v>
      </c>
      <c r="M4916">
        <v>0.99776359999999997</v>
      </c>
      <c r="N4916">
        <v>-7.140029E-3</v>
      </c>
      <c r="O4916">
        <v>6.6459110000000002E-2</v>
      </c>
      <c r="P4916">
        <v>0.97643020000000003</v>
      </c>
      <c r="Q4916">
        <v>0.20485390000000001</v>
      </c>
      <c r="R4916">
        <v>6.7961649999999998E-2</v>
      </c>
      <c r="S4916">
        <v>3.081909</v>
      </c>
      <c r="T4916">
        <v>-0.1070062</v>
      </c>
      <c r="U4916">
        <v>0.1874084</v>
      </c>
      <c r="V4916">
        <v>-2.1346389999999998E-3</v>
      </c>
      <c r="W4916">
        <v>0.2118466</v>
      </c>
      <c r="X4916">
        <v>0.97730059999999996</v>
      </c>
      <c r="Y4916">
        <v>5.746134E-3</v>
      </c>
      <c r="Z4916">
        <v>-1.947947E-3</v>
      </c>
      <c r="AA4916">
        <v>0.99998160000000003</v>
      </c>
      <c r="AB4916">
        <v>33</v>
      </c>
      <c r="AC4916">
        <v>32.058199999999999</v>
      </c>
      <c r="AD4916">
        <v>-1.11880689910499</v>
      </c>
      <c r="AE4916">
        <v>1.94903</v>
      </c>
      <c r="AF4916">
        <v>0.185667687336417</v>
      </c>
      <c r="AG4916">
        <v>-1.11880689910499</v>
      </c>
      <c r="AH4916">
        <v>32.077928929211502</v>
      </c>
      <c r="AI4916">
        <v>91.997506360554695</v>
      </c>
      <c r="AJ4916">
        <v>89.668374597770395</v>
      </c>
      <c r="AK4916">
        <v>32.097970742013501</v>
      </c>
      <c r="AL4916">
        <v>77.769410299422802</v>
      </c>
      <c r="AM4916">
        <v>90.125146358229102</v>
      </c>
      <c r="AN4916">
        <v>1.00000000068779</v>
      </c>
    </row>
    <row r="4917" spans="1:40" x14ac:dyDescent="0.25">
      <c r="A4917" t="str">
        <f>"20190303170911181"</f>
        <v>20190303170911181</v>
      </c>
      <c r="B4917" t="str">
        <f>"1551604151168697"</f>
        <v>1551604151168697</v>
      </c>
      <c r="C4917" t="s">
        <v>40</v>
      </c>
      <c r="D4917">
        <v>4.9494259999999999</v>
      </c>
      <c r="E4917">
        <v>0.50768579999999996</v>
      </c>
      <c r="F4917" t="s">
        <v>115</v>
      </c>
      <c r="G4917">
        <v>-225.38579999999999</v>
      </c>
      <c r="H4917" s="1">
        <v>-1.7199269999999999E-6</v>
      </c>
      <c r="I4917">
        <v>-61.694049999999997</v>
      </c>
      <c r="J4917">
        <v>-257.67270000000002</v>
      </c>
      <c r="K4917">
        <v>1.1188</v>
      </c>
      <c r="L4917">
        <v>-63.653199999999998</v>
      </c>
      <c r="M4917">
        <v>0.99782530000000003</v>
      </c>
      <c r="N4917">
        <v>-7.1397020000000004E-3</v>
      </c>
      <c r="O4917">
        <v>6.5526769999999998E-2</v>
      </c>
      <c r="P4917">
        <v>0.97643550000000001</v>
      </c>
      <c r="Q4917">
        <v>0.20501320000000001</v>
      </c>
      <c r="R4917">
        <v>6.7404839999999994E-2</v>
      </c>
      <c r="S4917">
        <v>3.08168</v>
      </c>
      <c r="T4917">
        <v>-0.1062008</v>
      </c>
      <c r="U4917">
        <v>0.1870117</v>
      </c>
      <c r="V4917">
        <v>-2.4896520000000002E-3</v>
      </c>
      <c r="W4917">
        <v>0.21200649999999999</v>
      </c>
      <c r="X4917">
        <v>0.9772651</v>
      </c>
      <c r="Y4917">
        <v>4.9369490000000004E-3</v>
      </c>
      <c r="Z4917">
        <v>-1.8879280000000001E-3</v>
      </c>
      <c r="AA4917">
        <v>0.99998609999999999</v>
      </c>
      <c r="AB4917">
        <v>33</v>
      </c>
      <c r="AC4917">
        <v>32.286900000000003</v>
      </c>
      <c r="AD4917">
        <v>-1.1188017199269999</v>
      </c>
      <c r="AE4917">
        <v>1.9591499999999999</v>
      </c>
      <c r="AF4917">
        <v>0.16057881844126601</v>
      </c>
      <c r="AG4917">
        <v>-1.1188017199269999</v>
      </c>
      <c r="AH4917">
        <v>32.307235188274802</v>
      </c>
      <c r="AI4917">
        <v>91.983339614872705</v>
      </c>
      <c r="AJ4917">
        <v>89.715221288397203</v>
      </c>
      <c r="AK4917">
        <v>32.327000299377403</v>
      </c>
      <c r="AL4917">
        <v>77.760035945809506</v>
      </c>
      <c r="AM4917">
        <v>90.145964737162799</v>
      </c>
      <c r="AN4917">
        <v>1.0000000150436701</v>
      </c>
    </row>
    <row r="4918" spans="1:40" x14ac:dyDescent="0.25">
      <c r="A4918" t="str">
        <f>"20190303170911192"</f>
        <v>20190303170911192</v>
      </c>
      <c r="B4918" t="str">
        <f>"1551604151178457"</f>
        <v>1551604151178457</v>
      </c>
      <c r="C4918" t="s">
        <v>40</v>
      </c>
      <c r="D4918">
        <v>5.0104629999999997</v>
      </c>
      <c r="E4918">
        <v>0.50753990000000004</v>
      </c>
      <c r="F4918" t="s">
        <v>115</v>
      </c>
      <c r="G4918">
        <v>-224.85480000000001</v>
      </c>
      <c r="H4918" s="1">
        <v>-1.4869440000000001E-6</v>
      </c>
      <c r="I4918">
        <v>-61.670699999999997</v>
      </c>
      <c r="J4918">
        <v>-257.52249999999998</v>
      </c>
      <c r="K4918">
        <v>1.118795</v>
      </c>
      <c r="L4918">
        <v>-63.643949999999997</v>
      </c>
      <c r="M4918">
        <v>0.99787680000000001</v>
      </c>
      <c r="N4918">
        <v>-7.1394980000000002E-3</v>
      </c>
      <c r="O4918">
        <v>6.4739759999999993E-2</v>
      </c>
      <c r="P4918">
        <v>0.97642309999999999</v>
      </c>
      <c r="Q4918">
        <v>0.2051626</v>
      </c>
      <c r="R4918">
        <v>6.7131750000000004E-2</v>
      </c>
      <c r="S4918">
        <v>3.081604</v>
      </c>
      <c r="T4918">
        <v>-0.1050556</v>
      </c>
      <c r="U4918">
        <v>0.18615719999999999</v>
      </c>
      <c r="V4918">
        <v>-2.987235E-3</v>
      </c>
      <c r="W4918">
        <v>0.2121574</v>
      </c>
      <c r="X4918">
        <v>0.97723090000000001</v>
      </c>
      <c r="Y4918">
        <v>4.4243800000000003E-3</v>
      </c>
      <c r="Z4918">
        <v>-1.8311569999999999E-3</v>
      </c>
      <c r="AA4918">
        <v>0.99998860000000001</v>
      </c>
      <c r="AB4918">
        <v>33</v>
      </c>
      <c r="AC4918">
        <v>32.667699999999897</v>
      </c>
      <c r="AD4918">
        <v>-1.1187964869439999</v>
      </c>
      <c r="AE4918">
        <v>1.9732499999999999</v>
      </c>
      <c r="AF4918">
        <v>0.14567211676095601</v>
      </c>
      <c r="AG4918">
        <v>-1.1187964869439999</v>
      </c>
      <c r="AH4918">
        <v>32.688715008497198</v>
      </c>
      <c r="AI4918">
        <v>91.960207636059906</v>
      </c>
      <c r="AJ4918">
        <v>89.744672060945604</v>
      </c>
      <c r="AK4918">
        <v>32.708179632189101</v>
      </c>
      <c r="AL4918">
        <v>77.751188057936901</v>
      </c>
      <c r="AM4918">
        <v>90.175143279657604</v>
      </c>
      <c r="AN4918">
        <v>0.99999995893125604</v>
      </c>
    </row>
    <row r="4919" spans="1:40" x14ac:dyDescent="0.25">
      <c r="A4919" t="str">
        <f>"20190303170911204"</f>
        <v>20190303170911204</v>
      </c>
      <c r="B4919" t="str">
        <f>"1551604151189192"</f>
        <v>1551604151189192</v>
      </c>
      <c r="C4919" t="s">
        <v>40</v>
      </c>
      <c r="D4919">
        <v>4.8900230000000002</v>
      </c>
      <c r="E4919">
        <v>0.50734789999999996</v>
      </c>
      <c r="F4919" t="s">
        <v>115</v>
      </c>
      <c r="G4919">
        <v>-224.4273</v>
      </c>
      <c r="H4919" s="1">
        <v>-1.297367E-6</v>
      </c>
      <c r="I4919">
        <v>-61.643000000000001</v>
      </c>
      <c r="J4919">
        <v>-257.33980000000003</v>
      </c>
      <c r="K4919">
        <v>1.1187910000000001</v>
      </c>
      <c r="L4919">
        <v>-63.632969999999901</v>
      </c>
      <c r="M4919">
        <v>0.99793829999999994</v>
      </c>
      <c r="N4919">
        <v>-7.1394830000000003E-3</v>
      </c>
      <c r="O4919">
        <v>6.3783880000000001E-2</v>
      </c>
      <c r="P4919">
        <v>0.97637870000000004</v>
      </c>
      <c r="Q4919">
        <v>0.20567659999999999</v>
      </c>
      <c r="R4919">
        <v>6.6197110000000003E-2</v>
      </c>
      <c r="S4919">
        <v>3.081512</v>
      </c>
      <c r="T4919">
        <v>-0.1041719</v>
      </c>
      <c r="U4919">
        <v>0.1863098</v>
      </c>
      <c r="V4919">
        <v>-2.9901580000000001E-3</v>
      </c>
      <c r="W4919">
        <v>0.21267050000000001</v>
      </c>
      <c r="X4919">
        <v>0.97711939999999997</v>
      </c>
      <c r="Y4919">
        <v>3.4169479999999999E-3</v>
      </c>
      <c r="Z4919">
        <v>-1.7661039999999999E-3</v>
      </c>
      <c r="AA4919">
        <v>0.99999260000000001</v>
      </c>
      <c r="AB4919">
        <v>33</v>
      </c>
      <c r="AC4919">
        <v>32.912500000000001</v>
      </c>
      <c r="AD4919">
        <v>-1.1187922973669999</v>
      </c>
      <c r="AE4919">
        <v>1.98996999999999</v>
      </c>
      <c r="AF4919">
        <v>0.113292116299419</v>
      </c>
      <c r="AG4919">
        <v>-1.1187922973669999</v>
      </c>
      <c r="AH4919">
        <v>32.934491433504498</v>
      </c>
      <c r="AI4919">
        <v>91.945591226881206</v>
      </c>
      <c r="AJ4919">
        <v>89.802907704650593</v>
      </c>
      <c r="AK4919">
        <v>32.953683516290603</v>
      </c>
      <c r="AL4919">
        <v>77.721103585098206</v>
      </c>
      <c r="AM4919">
        <v>90.175334660926595</v>
      </c>
      <c r="AN4919">
        <v>1.00000000223573</v>
      </c>
    </row>
    <row r="4920" spans="1:40" x14ac:dyDescent="0.25">
      <c r="A4920" t="str">
        <f>"20190303170911215"</f>
        <v>20190303170911215</v>
      </c>
      <c r="B4920" t="str">
        <f>"1551604151208711"</f>
        <v>1551604151208711</v>
      </c>
      <c r="C4920" t="s">
        <v>40</v>
      </c>
      <c r="D4920">
        <v>4.8901139999999996</v>
      </c>
      <c r="E4920">
        <v>0.5071213</v>
      </c>
      <c r="F4920" t="s">
        <v>115</v>
      </c>
      <c r="G4920">
        <v>-223.5847</v>
      </c>
      <c r="H4920" s="1">
        <v>-9.2920949999999998E-7</v>
      </c>
      <c r="I4920">
        <v>-61.612879999999997</v>
      </c>
      <c r="J4920">
        <v>-257.1671</v>
      </c>
      <c r="K4920">
        <v>1.1187940000000001</v>
      </c>
      <c r="L4920">
        <v>-63.622709999999998</v>
      </c>
      <c r="M4920">
        <v>0.99799550000000004</v>
      </c>
      <c r="N4920">
        <v>-7.1397140000000001E-3</v>
      </c>
      <c r="O4920">
        <v>6.2880930000000002E-2</v>
      </c>
      <c r="P4920">
        <v>0.97630989999999995</v>
      </c>
      <c r="Q4920">
        <v>0.20630960000000001</v>
      </c>
      <c r="R4920">
        <v>6.5233280000000005E-2</v>
      </c>
      <c r="S4920">
        <v>3.0815890000000001</v>
      </c>
      <c r="T4920">
        <v>-0.1021373</v>
      </c>
      <c r="U4920">
        <v>0.18441769999999999</v>
      </c>
      <c r="V4920">
        <v>-2.9128689999999998E-3</v>
      </c>
      <c r="W4920">
        <v>0.21330270000000001</v>
      </c>
      <c r="X4920">
        <v>0.97698180000000001</v>
      </c>
      <c r="Y4920">
        <v>3.1271269999999999E-3</v>
      </c>
      <c r="Z4920">
        <v>-1.6937549999999999E-3</v>
      </c>
      <c r="AA4920">
        <v>0.99999369999999999</v>
      </c>
      <c r="AB4920">
        <v>33</v>
      </c>
      <c r="AC4920">
        <v>33.5824</v>
      </c>
      <c r="AD4920">
        <v>-1.1187949292094901</v>
      </c>
      <c r="AE4920">
        <v>2.0098299999999898</v>
      </c>
      <c r="AF4920">
        <v>0.10577696549671201</v>
      </c>
      <c r="AG4920">
        <v>-1.1187949292094901</v>
      </c>
      <c r="AH4920">
        <v>33.605156749778899</v>
      </c>
      <c r="AI4920">
        <v>91.906797917015695</v>
      </c>
      <c r="AJ4920">
        <v>89.819654057186099</v>
      </c>
      <c r="AK4920">
        <v>33.623941634455399</v>
      </c>
      <c r="AL4920">
        <v>77.684030304367596</v>
      </c>
      <c r="AM4920">
        <v>90.170826729268299</v>
      </c>
      <c r="AN4920">
        <v>0.99999998208217</v>
      </c>
    </row>
    <row r="4921" spans="1:40" x14ac:dyDescent="0.25">
      <c r="A4921" t="str">
        <f>"20190303170911227"</f>
        <v>20190303170911227</v>
      </c>
      <c r="B4921" t="str">
        <f>"1551604151218472"</f>
        <v>1551604151218472</v>
      </c>
      <c r="C4921" t="s">
        <v>40</v>
      </c>
      <c r="D4921">
        <v>4.9443049999999999</v>
      </c>
      <c r="E4921">
        <v>0.5070114</v>
      </c>
      <c r="F4921" t="s">
        <v>115</v>
      </c>
      <c r="G4921">
        <v>-222.65190000000001</v>
      </c>
      <c r="H4921" s="1">
        <v>-5.1960049999999998E-7</v>
      </c>
      <c r="I4921">
        <v>-61.570529999999998</v>
      </c>
      <c r="J4921">
        <v>-256.9973</v>
      </c>
      <c r="K4921">
        <v>1.11879</v>
      </c>
      <c r="L4921">
        <v>-63.612789999999997</v>
      </c>
      <c r="M4921">
        <v>0.99805100000000002</v>
      </c>
      <c r="N4921">
        <v>-7.1401199999999998E-3</v>
      </c>
      <c r="O4921">
        <v>6.1994800000000003E-2</v>
      </c>
      <c r="P4921">
        <v>0.9761592</v>
      </c>
      <c r="Q4921">
        <v>0.2073921</v>
      </c>
      <c r="R4921">
        <v>6.4046790000000006E-2</v>
      </c>
      <c r="S4921">
        <v>3.0816650000000001</v>
      </c>
      <c r="T4921">
        <v>-9.989083E-2</v>
      </c>
      <c r="U4921">
        <v>0.18322749999999999</v>
      </c>
      <c r="V4921">
        <v>-2.6005770000000002E-3</v>
      </c>
      <c r="W4921">
        <v>0.21438289999999999</v>
      </c>
      <c r="X4921">
        <v>0.97674629999999996</v>
      </c>
      <c r="Y4921">
        <v>2.6274039999999999E-3</v>
      </c>
      <c r="Z4921">
        <v>-1.6146800000000001E-3</v>
      </c>
      <c r="AA4921">
        <v>0.99999519999999997</v>
      </c>
      <c r="AB4921">
        <v>33</v>
      </c>
      <c r="AC4921">
        <v>34.345399999999898</v>
      </c>
      <c r="AD4921">
        <v>-1.1187905196004999</v>
      </c>
      <c r="AE4921">
        <v>2.0422600000000002</v>
      </c>
      <c r="AF4921">
        <v>9.0862805417903397E-2</v>
      </c>
      <c r="AG4921">
        <v>-1.1187905196004999</v>
      </c>
      <c r="AH4921">
        <v>34.3696035980171</v>
      </c>
      <c r="AI4921">
        <v>91.864412669279105</v>
      </c>
      <c r="AJ4921">
        <v>89.8485276933216</v>
      </c>
      <c r="AK4921">
        <v>34.387928110908099</v>
      </c>
      <c r="AL4921">
        <v>77.620674855993101</v>
      </c>
      <c r="AM4921">
        <v>90.152549064496796</v>
      </c>
      <c r="AN4921">
        <v>1.00000006268841</v>
      </c>
    </row>
    <row r="4922" spans="1:40" x14ac:dyDescent="0.25">
      <c r="A4922" t="str">
        <f>"20190303170911237"</f>
        <v>20190303170911237</v>
      </c>
      <c r="B4922" t="str">
        <f>"1551604151229209"</f>
        <v>1551604151229209</v>
      </c>
      <c r="C4922" t="s">
        <v>40</v>
      </c>
      <c r="D4922">
        <v>4.9448109999999996</v>
      </c>
      <c r="E4922">
        <v>0.5068473</v>
      </c>
      <c r="F4922" t="s">
        <v>115</v>
      </c>
      <c r="G4922">
        <v>-221.25129999999999</v>
      </c>
      <c r="H4922" s="1">
        <v>9.3639699999999994E-8</v>
      </c>
      <c r="I4922">
        <v>-61.51484</v>
      </c>
      <c r="J4922">
        <v>-256.8381</v>
      </c>
      <c r="K4922">
        <v>1.1187910000000001</v>
      </c>
      <c r="L4922">
        <v>-63.603639999999999</v>
      </c>
      <c r="M4922">
        <v>0.99810189999999999</v>
      </c>
      <c r="N4922">
        <v>-7.1408299999999999E-3</v>
      </c>
      <c r="O4922">
        <v>6.116709E-2</v>
      </c>
      <c r="P4922">
        <v>0.97612639999999995</v>
      </c>
      <c r="Q4922">
        <v>0.2078894</v>
      </c>
      <c r="R4922">
        <v>6.292172E-2</v>
      </c>
      <c r="S4922">
        <v>3.0818940000000001</v>
      </c>
      <c r="T4922">
        <v>-9.6457959999999995E-2</v>
      </c>
      <c r="U4922">
        <v>0.1808777</v>
      </c>
      <c r="V4922">
        <v>-2.2878040000000001E-3</v>
      </c>
      <c r="W4922">
        <v>0.21487890000000001</v>
      </c>
      <c r="X4922">
        <v>0.97663800000000001</v>
      </c>
      <c r="Y4922">
        <v>2.5644159999999999E-3</v>
      </c>
      <c r="Z4922">
        <v>-1.52308E-3</v>
      </c>
      <c r="AA4922">
        <v>0.99999550000000004</v>
      </c>
      <c r="AB4922">
        <v>33</v>
      </c>
      <c r="AC4922">
        <v>35.586799999999997</v>
      </c>
      <c r="AD4922">
        <v>-1.1187909063603001</v>
      </c>
      <c r="AE4922">
        <v>2.0888</v>
      </c>
      <c r="AF4922">
        <v>9.1817663514968506E-2</v>
      </c>
      <c r="AG4922">
        <v>-1.1187909063603001</v>
      </c>
      <c r="AH4922">
        <v>35.612852972339901</v>
      </c>
      <c r="AI4922">
        <v>91.799370267222798</v>
      </c>
      <c r="AJ4922">
        <v>89.852279373634104</v>
      </c>
      <c r="AK4922">
        <v>35.630540557294196</v>
      </c>
      <c r="AL4922">
        <v>77.591577006505105</v>
      </c>
      <c r="AM4922">
        <v>90.134216847784202</v>
      </c>
      <c r="AN4922">
        <v>0.99999997937817597</v>
      </c>
    </row>
    <row r="4923" spans="1:40" x14ac:dyDescent="0.25">
      <c r="A4923" t="str">
        <f>"20190303170911247"</f>
        <v>20190303170911247</v>
      </c>
      <c r="B4923" t="str">
        <f>"1551604151238970"</f>
        <v>1551604151238970</v>
      </c>
      <c r="C4923" t="s">
        <v>40</v>
      </c>
      <c r="D4923">
        <v>4.778359</v>
      </c>
      <c r="E4923">
        <v>0.50673599999999996</v>
      </c>
      <c r="F4923" t="s">
        <v>115</v>
      </c>
      <c r="G4923">
        <v>-220.51349999999999</v>
      </c>
      <c r="H4923" s="1">
        <v>4.1447550000000002E-7</v>
      </c>
      <c r="I4923">
        <v>-61.49521</v>
      </c>
      <c r="J4923">
        <v>-256.68</v>
      </c>
      <c r="K4923">
        <v>1.1187879999999999</v>
      </c>
      <c r="L4923">
        <v>-63.5946</v>
      </c>
      <c r="M4923">
        <v>0.99815200000000004</v>
      </c>
      <c r="N4923">
        <v>-7.1416079999999998E-3</v>
      </c>
      <c r="O4923">
        <v>6.0345419999999997E-2</v>
      </c>
      <c r="P4923">
        <v>0.97608600000000001</v>
      </c>
      <c r="Q4923">
        <v>0.20845459999999999</v>
      </c>
      <c r="R4923">
        <v>6.1667609999999998E-2</v>
      </c>
      <c r="S4923">
        <v>3.0820310000000002</v>
      </c>
      <c r="T4923">
        <v>-9.4925999999999996E-2</v>
      </c>
      <c r="U4923">
        <v>0.178894</v>
      </c>
      <c r="V4923">
        <v>-1.8400350000000001E-3</v>
      </c>
      <c r="W4923">
        <v>0.21544279999999999</v>
      </c>
      <c r="X4923">
        <v>0.97651469999999996</v>
      </c>
      <c r="Y4923">
        <v>2.3863370000000001E-3</v>
      </c>
      <c r="Z4923">
        <v>-1.469295E-3</v>
      </c>
      <c r="AA4923">
        <v>0.99999610000000005</v>
      </c>
      <c r="AB4923">
        <v>33</v>
      </c>
      <c r="AC4923">
        <v>36.166499999999999</v>
      </c>
      <c r="AD4923">
        <v>-1.1187875855245</v>
      </c>
      <c r="AE4923">
        <v>2.0993900000000001</v>
      </c>
      <c r="AF4923">
        <v>8.6891653285604706E-2</v>
      </c>
      <c r="AG4923">
        <v>-1.1187875855245</v>
      </c>
      <c r="AH4923">
        <v>36.1927591635135</v>
      </c>
      <c r="AI4923">
        <v>91.770553503505297</v>
      </c>
      <c r="AJ4923">
        <v>89.862444434795293</v>
      </c>
      <c r="AK4923">
        <v>36.2101512243324</v>
      </c>
      <c r="AL4923">
        <v>77.558492957070698</v>
      </c>
      <c r="AM4923">
        <v>90.107961626059705</v>
      </c>
      <c r="AN4923">
        <v>0.99999997255836504</v>
      </c>
    </row>
    <row r="4924" spans="1:40" x14ac:dyDescent="0.25">
      <c r="A4924" t="str">
        <f>"20190303170911258"</f>
        <v>20190303170911258</v>
      </c>
      <c r="B4924" t="str">
        <f>"1551604151248728"</f>
        <v>1551604151248728</v>
      </c>
      <c r="C4924" t="s">
        <v>40</v>
      </c>
      <c r="D4924">
        <v>4.9449839999999998</v>
      </c>
      <c r="E4924">
        <v>0.50664750000000003</v>
      </c>
      <c r="F4924" t="s">
        <v>116</v>
      </c>
      <c r="G4924">
        <v>-219.68639999999999</v>
      </c>
      <c r="H4924" s="1">
        <v>-3.3508219999999999E-6</v>
      </c>
      <c r="I4924">
        <v>-61.48189</v>
      </c>
      <c r="J4924">
        <v>-256.52589999999998</v>
      </c>
      <c r="K4924">
        <v>1.118789</v>
      </c>
      <c r="L4924">
        <v>-63.586030000000001</v>
      </c>
      <c r="M4924">
        <v>0.99819959999999996</v>
      </c>
      <c r="N4924">
        <v>-7.142715E-3</v>
      </c>
      <c r="O4924">
        <v>5.9552199999999902E-2</v>
      </c>
      <c r="P4924">
        <v>0.9761301</v>
      </c>
      <c r="Q4924">
        <v>0.2085323</v>
      </c>
      <c r="R4924">
        <v>6.069923E-2</v>
      </c>
      <c r="S4924">
        <v>3.0822910000000001</v>
      </c>
      <c r="T4924">
        <v>-9.3217250000000001E-2</v>
      </c>
      <c r="U4924">
        <v>0.1760254</v>
      </c>
      <c r="V4924">
        <v>-1.64816299999999E-3</v>
      </c>
      <c r="W4924">
        <v>0.21552009999999999</v>
      </c>
      <c r="X4924">
        <v>0.97649799999999998</v>
      </c>
      <c r="Y4924">
        <v>2.5251039999999998E-3</v>
      </c>
      <c r="Z4924">
        <v>-1.4194419999999999E-3</v>
      </c>
      <c r="AA4924">
        <v>0.99999579999999999</v>
      </c>
      <c r="AB4924">
        <v>33</v>
      </c>
      <c r="AC4924">
        <v>36.839500000000001</v>
      </c>
      <c r="AD4924">
        <v>-1.1187923508219999</v>
      </c>
      <c r="AE4924">
        <v>2.1041400000000001</v>
      </c>
      <c r="AF4924">
        <v>9.3438057282796194E-2</v>
      </c>
      <c r="AG4924">
        <v>-1.1187923508219999</v>
      </c>
      <c r="AH4924">
        <v>36.865532545938002</v>
      </c>
      <c r="AI4924">
        <v>91.738268819876396</v>
      </c>
      <c r="AJ4924">
        <v>89.8547804820751</v>
      </c>
      <c r="AK4924">
        <v>36.8826235087801</v>
      </c>
      <c r="AL4924">
        <v>77.553957626928906</v>
      </c>
      <c r="AM4924">
        <v>90.096705466040106</v>
      </c>
      <c r="AN4924">
        <v>0.99999998697464199</v>
      </c>
    </row>
    <row r="4925" spans="1:40" x14ac:dyDescent="0.25">
      <c r="A4925" t="str">
        <f>"20190303170911271"</f>
        <v>20190303170911271</v>
      </c>
      <c r="B4925" t="str">
        <f>"1551604151258488"</f>
        <v>1551604151258488</v>
      </c>
      <c r="C4925" t="s">
        <v>40</v>
      </c>
      <c r="D4925">
        <v>5.0065210000000002</v>
      </c>
      <c r="E4925">
        <v>0.50652299999999995</v>
      </c>
      <c r="F4925" t="s">
        <v>116</v>
      </c>
      <c r="G4925">
        <v>-219.43090000000001</v>
      </c>
      <c r="H4925" s="1">
        <v>-3.2666319999999998E-6</v>
      </c>
      <c r="I4925">
        <v>-61.497369999999997</v>
      </c>
      <c r="J4925">
        <v>-256.35050000000001</v>
      </c>
      <c r="K4925">
        <v>1.11879</v>
      </c>
      <c r="L4925">
        <v>-63.576320000000003</v>
      </c>
      <c r="M4925">
        <v>0.99825299999999995</v>
      </c>
      <c r="N4925">
        <v>-7.1440649999999998E-3</v>
      </c>
      <c r="O4925">
        <v>5.8651000000000002E-2</v>
      </c>
      <c r="P4925">
        <v>0.97625709999999999</v>
      </c>
      <c r="Q4925">
        <v>0.20824680000000001</v>
      </c>
      <c r="R4925">
        <v>5.9628059999999997E-2</v>
      </c>
      <c r="S4925">
        <v>3.0824280000000002</v>
      </c>
      <c r="T4925">
        <v>-9.2966679999999996E-2</v>
      </c>
      <c r="U4925">
        <v>0.1735535</v>
      </c>
      <c r="V4925">
        <v>-1.455951E-3</v>
      </c>
      <c r="W4925">
        <v>0.21523610000000001</v>
      </c>
      <c r="X4925">
        <v>0.97656100000000001</v>
      </c>
      <c r="Y4925">
        <v>2.4246099999999998E-3</v>
      </c>
      <c r="Z4925">
        <v>-1.391871E-3</v>
      </c>
      <c r="AA4925">
        <v>0.99999610000000005</v>
      </c>
      <c r="AB4925">
        <v>33</v>
      </c>
      <c r="AC4925">
        <v>36.919600000000003</v>
      </c>
      <c r="AD4925">
        <v>-1.118793266632</v>
      </c>
      <c r="AE4925">
        <v>2.0789499999999901</v>
      </c>
      <c r="AF4925">
        <v>8.99733205080748E-2</v>
      </c>
      <c r="AG4925">
        <v>-1.118793266632</v>
      </c>
      <c r="AH4925">
        <v>36.944158381804101</v>
      </c>
      <c r="AI4925">
        <v>91.734573484659293</v>
      </c>
      <c r="AJ4925">
        <v>89.860462883229104</v>
      </c>
      <c r="AK4925">
        <v>36.9612044191161</v>
      </c>
      <c r="AL4925">
        <v>77.570621401470603</v>
      </c>
      <c r="AM4925">
        <v>90.085421991734407</v>
      </c>
      <c r="AN4925">
        <v>1.0000000426287601</v>
      </c>
    </row>
    <row r="4926" spans="1:40" x14ac:dyDescent="0.25">
      <c r="A4926" t="str">
        <f>"20190303170911286"</f>
        <v>20190303170911286</v>
      </c>
      <c r="B4926" t="str">
        <f>"1551604151278984"</f>
        <v>1551604151278984</v>
      </c>
      <c r="C4926" t="s">
        <v>40</v>
      </c>
      <c r="D4926">
        <v>4.9145969999999997</v>
      </c>
      <c r="E4926">
        <v>0.50629990000000002</v>
      </c>
      <c r="F4926" t="s">
        <v>116</v>
      </c>
      <c r="G4926">
        <v>-219.74590000000001</v>
      </c>
      <c r="H4926" s="1">
        <v>-3.3821639999999998E-6</v>
      </c>
      <c r="I4926">
        <v>-61.544379999999997</v>
      </c>
      <c r="J4926">
        <v>-256.11380000000003</v>
      </c>
      <c r="K4926">
        <v>1.1187959999999999</v>
      </c>
      <c r="L4926">
        <v>-63.563479999999998</v>
      </c>
      <c r="M4926">
        <v>0.99832279999999995</v>
      </c>
      <c r="N4926">
        <v>-7.1464669999999897E-3</v>
      </c>
      <c r="O4926">
        <v>5.7449500000000001E-2</v>
      </c>
      <c r="P4926">
        <v>0.97636820000000002</v>
      </c>
      <c r="Q4926">
        <v>0.2079733</v>
      </c>
      <c r="R4926">
        <v>5.8756740000000002E-2</v>
      </c>
      <c r="S4926">
        <v>3.082611</v>
      </c>
      <c r="T4926">
        <v>-9.4217899999999993E-2</v>
      </c>
      <c r="U4926">
        <v>0.17111209999999999</v>
      </c>
      <c r="V4926">
        <v>-1.7610659999999999E-3</v>
      </c>
      <c r="W4926">
        <v>0.2149665</v>
      </c>
      <c r="X4926">
        <v>0.97661980000000004</v>
      </c>
      <c r="Y4926">
        <v>2.0138980000000001E-3</v>
      </c>
      <c r="Z4926">
        <v>-1.3801620000000001E-3</v>
      </c>
      <c r="AA4926">
        <v>0.99999700000000002</v>
      </c>
      <c r="AB4926">
        <v>33</v>
      </c>
      <c r="AC4926">
        <v>36.367899999999999</v>
      </c>
      <c r="AD4926">
        <v>-1.1187993821640001</v>
      </c>
      <c r="AE4926">
        <v>2.0190999999999999</v>
      </c>
      <c r="AF4926">
        <v>7.3536607658643199E-2</v>
      </c>
      <c r="AG4926">
        <v>-1.1187993821640001</v>
      </c>
      <c r="AH4926">
        <v>36.389498786133601</v>
      </c>
      <c r="AI4926">
        <v>91.761007094261799</v>
      </c>
      <c r="AJ4926">
        <v>89.884215730807995</v>
      </c>
      <c r="AK4926">
        <v>36.406767799355897</v>
      </c>
      <c r="AL4926">
        <v>77.586437624686795</v>
      </c>
      <c r="AM4926">
        <v>90.103317114684202</v>
      </c>
      <c r="AN4926">
        <v>0.99999996561387205</v>
      </c>
    </row>
    <row r="4927" spans="1:40" x14ac:dyDescent="0.25">
      <c r="A4927" t="str">
        <f>"20190303170911300"</f>
        <v>20190303170911300</v>
      </c>
      <c r="B4927" t="str">
        <f>"1551604151288744"</f>
        <v>1551604151288744</v>
      </c>
      <c r="C4927" t="s">
        <v>40</v>
      </c>
      <c r="D4927">
        <v>5.0041529999999996</v>
      </c>
      <c r="E4927">
        <v>0.50617939999999995</v>
      </c>
      <c r="F4927" t="s">
        <v>115</v>
      </c>
      <c r="G4927">
        <v>-220.08670000000001</v>
      </c>
      <c r="H4927" s="1">
        <v>5.7915900000000003E-7</v>
      </c>
      <c r="I4927">
        <v>-61.578009999999999</v>
      </c>
      <c r="J4927">
        <v>-255.90110000000001</v>
      </c>
      <c r="K4927">
        <v>1.1188</v>
      </c>
      <c r="L4927">
        <v>-63.552219999999998</v>
      </c>
      <c r="M4927">
        <v>0.99838380000000004</v>
      </c>
      <c r="N4927">
        <v>-7.1489919999999998E-3</v>
      </c>
      <c r="O4927">
        <v>5.6381830000000001E-2</v>
      </c>
      <c r="P4927">
        <v>0.97648959999999996</v>
      </c>
      <c r="Q4927">
        <v>0.20764750000000001</v>
      </c>
      <c r="R4927">
        <v>5.788542E-2</v>
      </c>
      <c r="S4927">
        <v>3.082748</v>
      </c>
      <c r="T4927">
        <v>-9.5732570000000003E-2</v>
      </c>
      <c r="U4927">
        <v>0.1698914</v>
      </c>
      <c r="V4927">
        <v>-1.9353739999999999E-3</v>
      </c>
      <c r="W4927">
        <v>0.21464420000000001</v>
      </c>
      <c r="X4927">
        <v>0.97669039999999996</v>
      </c>
      <c r="Y4927">
        <v>1.34171299999999E-3</v>
      </c>
      <c r="Z4927">
        <v>-1.3703739999999999E-3</v>
      </c>
      <c r="AA4927">
        <v>0.99999819999999995</v>
      </c>
      <c r="AB4927">
        <v>33</v>
      </c>
      <c r="AC4927">
        <v>35.814399999999999</v>
      </c>
      <c r="AD4927">
        <v>-1.1187994208409999</v>
      </c>
      <c r="AE4927">
        <v>1.97420999999999</v>
      </c>
      <c r="AF4927">
        <v>4.8216448185617898E-2</v>
      </c>
      <c r="AG4927">
        <v>-1.1187994208409999</v>
      </c>
      <c r="AH4927">
        <v>35.833875760741897</v>
      </c>
      <c r="AI4927">
        <v>91.788296930671393</v>
      </c>
      <c r="AJ4927">
        <v>89.922905427943405</v>
      </c>
      <c r="AK4927">
        <v>35.851369416052101</v>
      </c>
      <c r="AL4927">
        <v>77.605345954107094</v>
      </c>
      <c r="AM4927">
        <v>90.113535074002201</v>
      </c>
      <c r="AN4927">
        <v>1.00000000785915</v>
      </c>
    </row>
    <row r="4928" spans="1:40" x14ac:dyDescent="0.25">
      <c r="A4928" t="str">
        <f>"20190303170911316"</f>
        <v>20190303170911316</v>
      </c>
      <c r="B4928" t="str">
        <f>"1551604151308264"</f>
        <v>1551604151308264</v>
      </c>
      <c r="C4928" t="s">
        <v>40</v>
      </c>
      <c r="D4928">
        <v>4.944655</v>
      </c>
      <c r="E4928">
        <v>0.50594419999999996</v>
      </c>
      <c r="F4928" t="s">
        <v>115</v>
      </c>
      <c r="G4928">
        <v>-220.3272</v>
      </c>
      <c r="H4928" s="1">
        <v>4.6862929999999998E-7</v>
      </c>
      <c r="I4928">
        <v>-61.611170000000001</v>
      </c>
      <c r="J4928">
        <v>-255.66970000000001</v>
      </c>
      <c r="K4928">
        <v>1.1188039999999999</v>
      </c>
      <c r="L4928">
        <v>-63.540190000000003</v>
      </c>
      <c r="M4928">
        <v>0.998448</v>
      </c>
      <c r="N4928">
        <v>-7.1520990000000003E-3</v>
      </c>
      <c r="O4928">
        <v>5.5232120000000003E-2</v>
      </c>
      <c r="P4928">
        <v>0.97655670000000006</v>
      </c>
      <c r="Q4928">
        <v>0.20767640000000001</v>
      </c>
      <c r="R4928">
        <v>5.6637859999999998E-2</v>
      </c>
      <c r="S4928">
        <v>3.0828700000000002</v>
      </c>
      <c r="T4928">
        <v>-9.695637E-2</v>
      </c>
      <c r="U4928">
        <v>0.1682129</v>
      </c>
      <c r="V4928">
        <v>-1.817068E-3</v>
      </c>
      <c r="W4928">
        <v>0.21467539999999999</v>
      </c>
      <c r="X4928">
        <v>0.97668379999999999</v>
      </c>
      <c r="Y4928">
        <v>7.3532130000000004E-4</v>
      </c>
      <c r="Z4928">
        <v>-1.3532399999999999E-3</v>
      </c>
      <c r="AA4928">
        <v>0.99999879999999997</v>
      </c>
      <c r="AB4928">
        <v>33</v>
      </c>
      <c r="AC4928">
        <v>35.342500000000001</v>
      </c>
      <c r="AD4928">
        <v>-1.1188035313707001</v>
      </c>
      <c r="AE4928">
        <v>1.92902</v>
      </c>
      <c r="AF4928">
        <v>2.5989736522575999E-2</v>
      </c>
      <c r="AG4928">
        <v>-1.1188035313707001</v>
      </c>
      <c r="AH4928">
        <v>35.359766022403001</v>
      </c>
      <c r="AI4928">
        <v>91.812266639792696</v>
      </c>
      <c r="AJ4928">
        <v>89.957887109764798</v>
      </c>
      <c r="AK4928">
        <v>35.377470937975403</v>
      </c>
      <c r="AL4928">
        <v>77.603516028362407</v>
      </c>
      <c r="AM4928">
        <v>90.106595611978804</v>
      </c>
      <c r="AN4928">
        <v>1.00000003714185</v>
      </c>
    </row>
    <row r="4929" spans="1:40" x14ac:dyDescent="0.25">
      <c r="A4929" t="str">
        <f>"20190303170911328"</f>
        <v>20190303170911328</v>
      </c>
      <c r="B4929" t="str">
        <f>"1551604151318999"</f>
        <v>1551604151318999</v>
      </c>
      <c r="C4929" t="s">
        <v>40</v>
      </c>
      <c r="D4929">
        <v>5.0038780000000003</v>
      </c>
      <c r="E4929">
        <v>0.50580979999999998</v>
      </c>
      <c r="F4929" t="s">
        <v>115</v>
      </c>
      <c r="G4929">
        <v>-220.352</v>
      </c>
      <c r="H4929" s="1">
        <v>4.5408699999999998E-7</v>
      </c>
      <c r="I4929">
        <v>-61.628660000000004</v>
      </c>
      <c r="J4929">
        <v>-255.47329999999999</v>
      </c>
      <c r="K4929">
        <v>1.1188100000000001</v>
      </c>
      <c r="L4929">
        <v>-63.530119999999997</v>
      </c>
      <c r="M4929">
        <v>0.99850090000000002</v>
      </c>
      <c r="N4929">
        <v>-7.1550210000000001E-3</v>
      </c>
      <c r="O4929">
        <v>5.4265380000000002E-2</v>
      </c>
      <c r="P4929">
        <v>0.97666090000000005</v>
      </c>
      <c r="Q4929">
        <v>0.20748539999999999</v>
      </c>
      <c r="R4929">
        <v>5.5528599999999997E-2</v>
      </c>
      <c r="S4929">
        <v>3.0831149999999998</v>
      </c>
      <c r="T4929">
        <v>-9.7667809999999994E-2</v>
      </c>
      <c r="U4929">
        <v>0.16687009999999999</v>
      </c>
      <c r="V4929">
        <v>-1.6564640000000001E-3</v>
      </c>
      <c r="W4929">
        <v>0.21448719999999999</v>
      </c>
      <c r="X4929">
        <v>0.97672539999999997</v>
      </c>
      <c r="Y4929">
        <v>2.0596570000000001E-4</v>
      </c>
      <c r="Z4929">
        <v>-1.331881E-3</v>
      </c>
      <c r="AA4929">
        <v>0.99999910000000003</v>
      </c>
      <c r="AB4929">
        <v>34</v>
      </c>
      <c r="AC4929">
        <v>35.121299999999898</v>
      </c>
      <c r="AD4929">
        <v>-1.1188095459129901</v>
      </c>
      <c r="AE4929">
        <v>1.9014599999999999</v>
      </c>
      <c r="AF4929">
        <v>7.2540155463172102E-3</v>
      </c>
      <c r="AG4929">
        <v>-1.1188095459129901</v>
      </c>
      <c r="AH4929">
        <v>35.137181674747701</v>
      </c>
      <c r="AI4929">
        <v>91.8237493714865</v>
      </c>
      <c r="AJ4929">
        <v>89.988171377167603</v>
      </c>
      <c r="AK4929">
        <v>35.154990022257103</v>
      </c>
      <c r="AL4929">
        <v>77.614555858055695</v>
      </c>
      <c r="AM4929">
        <v>90.097169895575206</v>
      </c>
      <c r="AN4929">
        <v>1.0000000049209901</v>
      </c>
    </row>
    <row r="4930" spans="1:40" x14ac:dyDescent="0.25">
      <c r="A4930" t="str">
        <f>"20190303170911339"</f>
        <v>20190303170911339</v>
      </c>
      <c r="B4930" t="str">
        <f>"1551604151328760"</f>
        <v>1551604151328760</v>
      </c>
      <c r="C4930" t="s">
        <v>40</v>
      </c>
      <c r="D4930">
        <v>5.0039040000000004</v>
      </c>
      <c r="E4930">
        <v>0.50570749999999998</v>
      </c>
      <c r="F4930" t="s">
        <v>115</v>
      </c>
      <c r="G4930">
        <v>-220.49029999999999</v>
      </c>
      <c r="H4930" s="1">
        <v>3.8925610000000002E-7</v>
      </c>
      <c r="I4930">
        <v>-61.653410000000001</v>
      </c>
      <c r="J4930">
        <v>-255.32499999999999</v>
      </c>
      <c r="K4930">
        <v>1.1188119999999999</v>
      </c>
      <c r="L4930">
        <v>-63.522739999999999</v>
      </c>
      <c r="M4930">
        <v>0.99853979999999998</v>
      </c>
      <c r="N4930">
        <v>-7.1575809999999997E-3</v>
      </c>
      <c r="O4930">
        <v>5.3547530000000003E-2</v>
      </c>
      <c r="P4930">
        <v>0.97678200000000004</v>
      </c>
      <c r="Q4930">
        <v>0.20716699999999999</v>
      </c>
      <c r="R4930">
        <v>5.458056E-2</v>
      </c>
      <c r="S4930">
        <v>3.0832519999999999</v>
      </c>
      <c r="T4930">
        <v>-9.8607180000000003E-2</v>
      </c>
      <c r="U4930">
        <v>0.16540529999999901</v>
      </c>
      <c r="V4930">
        <v>-1.411587E-3</v>
      </c>
      <c r="W4930">
        <v>0.214171</v>
      </c>
      <c r="X4930">
        <v>0.97679519999999997</v>
      </c>
      <c r="Y4930" s="1">
        <v>-3.6871739999999997E-5</v>
      </c>
      <c r="Z4930">
        <v>-1.3257179999999901E-3</v>
      </c>
      <c r="AA4930">
        <v>0.99999910000000003</v>
      </c>
      <c r="AB4930">
        <v>34</v>
      </c>
      <c r="AC4930">
        <v>34.834699999999998</v>
      </c>
      <c r="AD4930">
        <v>-1.1188116107438999</v>
      </c>
      <c r="AE4930">
        <v>1.8693299999999899</v>
      </c>
      <c r="AF4930">
        <v>-1.28697008930078E-3</v>
      </c>
      <c r="AG4930">
        <v>-1.1188116107438999</v>
      </c>
      <c r="AH4930">
        <v>34.848975530412297</v>
      </c>
      <c r="AI4930">
        <v>91.838825163653695</v>
      </c>
      <c r="AJ4930">
        <v>90.002115928899499</v>
      </c>
      <c r="AK4930">
        <v>34.866930415451101</v>
      </c>
      <c r="AL4930">
        <v>77.633104203993597</v>
      </c>
      <c r="AM4930">
        <v>90.082799261518105</v>
      </c>
      <c r="AN4930">
        <v>1.00000003628094</v>
      </c>
    </row>
    <row r="4931" spans="1:40" x14ac:dyDescent="0.25">
      <c r="A4931" t="str">
        <f>"20190303170911350"</f>
        <v>20190303170911350</v>
      </c>
      <c r="B4931" t="str">
        <f>"1551604151338520"</f>
        <v>1551604151338520</v>
      </c>
      <c r="C4931" t="s">
        <v>40</v>
      </c>
      <c r="D4931">
        <v>5.0024499999999996</v>
      </c>
      <c r="E4931">
        <v>0.50560369999999999</v>
      </c>
      <c r="F4931" t="s">
        <v>115</v>
      </c>
      <c r="G4931">
        <v>-220.82210000000001</v>
      </c>
      <c r="H4931" s="1">
        <v>2.3874300000000001E-7</v>
      </c>
      <c r="I4931">
        <v>-61.690289999999997</v>
      </c>
      <c r="J4931">
        <v>-255.15559999999999</v>
      </c>
      <c r="K4931">
        <v>1.118819</v>
      </c>
      <c r="L4931">
        <v>-63.514310000000002</v>
      </c>
      <c r="M4931">
        <v>0.99858309999999995</v>
      </c>
      <c r="N4931">
        <v>-7.1605549999999999E-3</v>
      </c>
      <c r="O4931">
        <v>5.27286E-2</v>
      </c>
      <c r="P4931">
        <v>0.97689879999999996</v>
      </c>
      <c r="Q4931">
        <v>0.20684739999999999</v>
      </c>
      <c r="R4931">
        <v>5.3691419999999997E-2</v>
      </c>
      <c r="S4931">
        <v>3.0833740000000001</v>
      </c>
      <c r="T4931">
        <v>-9.9983100000000005E-2</v>
      </c>
      <c r="U4931">
        <v>0.16375729999999999</v>
      </c>
      <c r="V4931">
        <v>-1.3250460000000001E-3</v>
      </c>
      <c r="W4931">
        <v>0.21385380000000001</v>
      </c>
      <c r="X4931">
        <v>0.97686479999999998</v>
      </c>
      <c r="Y4931">
        <v>-3.2204659999999997E-4</v>
      </c>
      <c r="Z4931">
        <v>-1.3231E-3</v>
      </c>
      <c r="AA4931">
        <v>0.99999899999999997</v>
      </c>
      <c r="AB4931">
        <v>34</v>
      </c>
      <c r="AC4931">
        <v>34.333499999999901</v>
      </c>
      <c r="AD4931">
        <v>-1.118818761257</v>
      </c>
      <c r="AE4931">
        <v>1.82401999999999</v>
      </c>
      <c r="AF4931">
        <v>-1.1066724492722699E-2</v>
      </c>
      <c r="AG4931">
        <v>-1.118818761257</v>
      </c>
      <c r="AH4931">
        <v>34.345547146335797</v>
      </c>
      <c r="AI4931">
        <v>91.865771108091195</v>
      </c>
      <c r="AJ4931">
        <v>90.018461682436396</v>
      </c>
      <c r="AK4931">
        <v>34.363767061748398</v>
      </c>
      <c r="AL4931">
        <v>77.651709293671502</v>
      </c>
      <c r="AM4931">
        <v>90.077717506966593</v>
      </c>
      <c r="AN4931">
        <v>1.00000002050019</v>
      </c>
    </row>
    <row r="4932" spans="1:40" x14ac:dyDescent="0.25">
      <c r="A4932" t="str">
        <f>"20190303170911360"</f>
        <v>20190303170911360</v>
      </c>
      <c r="B4932" t="str">
        <f>"1551604151348280"</f>
        <v>1551604151348280</v>
      </c>
      <c r="C4932" t="s">
        <v>40</v>
      </c>
      <c r="D4932">
        <v>5.0036690000000004</v>
      </c>
      <c r="E4932">
        <v>0.50548400000000004</v>
      </c>
      <c r="F4932" t="s">
        <v>115</v>
      </c>
      <c r="G4932">
        <v>-221.12870000000001</v>
      </c>
      <c r="H4932" s="1">
        <v>9.9250879999999995E-8</v>
      </c>
      <c r="I4932">
        <v>-61.726069999999901</v>
      </c>
      <c r="J4932">
        <v>-254.9847</v>
      </c>
      <c r="K4932">
        <v>1.118825</v>
      </c>
      <c r="L4932">
        <v>-63.506010000000003</v>
      </c>
      <c r="M4932">
        <v>0.99862580000000001</v>
      </c>
      <c r="N4932">
        <v>-7.1639E-3</v>
      </c>
      <c r="O4932">
        <v>5.1914479999999999E-2</v>
      </c>
      <c r="P4932">
        <v>0.97697129999999999</v>
      </c>
      <c r="Q4932">
        <v>0.20664850000000001</v>
      </c>
      <c r="R4932">
        <v>5.3139459999999999E-2</v>
      </c>
      <c r="S4932">
        <v>3.0834809999999999</v>
      </c>
      <c r="T4932">
        <v>-0.10138610000000001</v>
      </c>
      <c r="U4932">
        <v>0.16204830000000001</v>
      </c>
      <c r="V4932">
        <v>-1.5724580000000001E-3</v>
      </c>
      <c r="W4932">
        <v>0.21365960000000001</v>
      </c>
      <c r="X4932">
        <v>0.97690690000000002</v>
      </c>
      <c r="Y4932">
        <v>-5.8293139999999999E-4</v>
      </c>
      <c r="Z4932">
        <v>-1.320679E-3</v>
      </c>
      <c r="AA4932">
        <v>0.99999899999999997</v>
      </c>
      <c r="AB4932">
        <v>34</v>
      </c>
      <c r="AC4932">
        <v>33.855999999999902</v>
      </c>
      <c r="AD4932">
        <v>-1.11882490074912</v>
      </c>
      <c r="AE4932">
        <v>1.7799400000000001</v>
      </c>
      <c r="AF4932">
        <v>-1.9856257647702099E-2</v>
      </c>
      <c r="AG4932">
        <v>-1.11882490074912</v>
      </c>
      <c r="AH4932">
        <v>33.865868860295997</v>
      </c>
      <c r="AI4932">
        <v>91.892189079193201</v>
      </c>
      <c r="AJ4932">
        <v>90.033593693829701</v>
      </c>
      <c r="AK4932">
        <v>33.884350917381802</v>
      </c>
      <c r="AL4932">
        <v>77.663099065481603</v>
      </c>
      <c r="AM4932">
        <v>90.092224887604203</v>
      </c>
      <c r="AN4932">
        <v>0.99999999428196495</v>
      </c>
    </row>
    <row r="4933" spans="1:40" x14ac:dyDescent="0.25">
      <c r="A4933" t="str">
        <f>"20190303170911371"</f>
        <v>20190303170911371</v>
      </c>
      <c r="B4933" t="str">
        <f>"1551604151359017"</f>
        <v>1551604151359017</v>
      </c>
      <c r="C4933" t="s">
        <v>40</v>
      </c>
      <c r="D4933">
        <v>5.0616070000000004</v>
      </c>
      <c r="E4933">
        <v>0.50538149999999904</v>
      </c>
      <c r="F4933" t="s">
        <v>115</v>
      </c>
      <c r="G4933">
        <v>-221.2636</v>
      </c>
      <c r="H4933" s="1">
        <v>3.760681E-8</v>
      </c>
      <c r="I4933">
        <v>-61.742899999999999</v>
      </c>
      <c r="J4933">
        <v>-254.83150000000001</v>
      </c>
      <c r="K4933">
        <v>1.11883</v>
      </c>
      <c r="L4933">
        <v>-63.498629999999999</v>
      </c>
      <c r="M4933">
        <v>0.99866350000000004</v>
      </c>
      <c r="N4933">
        <v>-7.1669809999999898E-3</v>
      </c>
      <c r="O4933">
        <v>5.1187200000000002E-2</v>
      </c>
      <c r="P4933">
        <v>0.97711049999999999</v>
      </c>
      <c r="Q4933">
        <v>0.20615149999999999</v>
      </c>
      <c r="R4933">
        <v>5.2507140000000001E-2</v>
      </c>
      <c r="S4933">
        <v>3.0835720000000002</v>
      </c>
      <c r="T4933">
        <v>-0.1023092</v>
      </c>
      <c r="U4933">
        <v>0.16122439999999999</v>
      </c>
      <c r="V4933">
        <v>-1.6518310000000001E-3</v>
      </c>
      <c r="W4933">
        <v>0.21316669999999999</v>
      </c>
      <c r="X4933">
        <v>0.97701450000000001</v>
      </c>
      <c r="Y4933">
        <v>-1.043008E-3</v>
      </c>
      <c r="Z4933">
        <v>-1.307777E-3</v>
      </c>
      <c r="AA4933">
        <v>0.99999859999999896</v>
      </c>
      <c r="AB4933">
        <v>34</v>
      </c>
      <c r="AC4933">
        <v>33.567900000000002</v>
      </c>
      <c r="AD4933">
        <v>-1.1188299623931901</v>
      </c>
      <c r="AE4933">
        <v>1.75573</v>
      </c>
      <c r="AF4933">
        <v>-3.5098668306027203E-2</v>
      </c>
      <c r="AG4933">
        <v>-1.1188299623931901</v>
      </c>
      <c r="AH4933">
        <v>33.576567121929102</v>
      </c>
      <c r="AI4933">
        <v>91.908488428944906</v>
      </c>
      <c r="AJ4933">
        <v>90.059893104041095</v>
      </c>
      <c r="AK4933">
        <v>33.595220971064798</v>
      </c>
      <c r="AL4933">
        <v>77.6920068351032</v>
      </c>
      <c r="AM4933">
        <v>90.096869447272198</v>
      </c>
      <c r="AN4933">
        <v>1.0000000518723899</v>
      </c>
    </row>
    <row r="4934" spans="1:40" x14ac:dyDescent="0.25">
      <c r="A4934" t="str">
        <f>"20190303170911382"</f>
        <v>20190303170911382</v>
      </c>
      <c r="B4934" t="str">
        <f>"1551604151368776"</f>
        <v>1551604151368776</v>
      </c>
      <c r="C4934" t="s">
        <v>40</v>
      </c>
      <c r="D4934">
        <v>5.0025009999999996</v>
      </c>
      <c r="E4934">
        <v>0.50528139999999999</v>
      </c>
      <c r="F4934" t="s">
        <v>115</v>
      </c>
      <c r="G4934">
        <v>-221.70060000000001</v>
      </c>
      <c r="H4934" s="1">
        <v>-1.5806619999999999E-7</v>
      </c>
      <c r="I4934">
        <v>-61.779859999999999</v>
      </c>
      <c r="J4934">
        <v>-254.6592</v>
      </c>
      <c r="K4934">
        <v>1.118835</v>
      </c>
      <c r="L4934">
        <v>-63.49051</v>
      </c>
      <c r="M4934">
        <v>0.99870460000000005</v>
      </c>
      <c r="N4934">
        <v>-7.1707269999999896E-3</v>
      </c>
      <c r="O4934">
        <v>5.0378010000000001E-2</v>
      </c>
      <c r="P4934">
        <v>0.97712049999999995</v>
      </c>
      <c r="Q4934">
        <v>0.2062155</v>
      </c>
      <c r="R4934">
        <v>5.2067330000000002E-2</v>
      </c>
      <c r="S4934">
        <v>3.0836489999999999</v>
      </c>
      <c r="T4934">
        <v>-0.1041347</v>
      </c>
      <c r="U4934">
        <v>0.15997310000000001</v>
      </c>
      <c r="V4934">
        <v>-2.0077279999999999E-3</v>
      </c>
      <c r="W4934">
        <v>0.21323510000000001</v>
      </c>
      <c r="X4934">
        <v>0.9769989</v>
      </c>
      <c r="Y4934">
        <v>-1.447505E-3</v>
      </c>
      <c r="Z4934">
        <v>-1.3077690000000001E-3</v>
      </c>
      <c r="AA4934">
        <v>0.9999981</v>
      </c>
      <c r="AB4934">
        <v>34</v>
      </c>
      <c r="AC4934">
        <v>32.958599999999898</v>
      </c>
      <c r="AD4934">
        <v>-1.1188351580661999</v>
      </c>
      <c r="AE4934">
        <v>1.71065</v>
      </c>
      <c r="AF4934">
        <v>-4.7991417448951697E-2</v>
      </c>
      <c r="AG4934">
        <v>-1.1188351580661999</v>
      </c>
      <c r="AH4934">
        <v>32.9650429904747</v>
      </c>
      <c r="AI4934">
        <v>91.943873305804203</v>
      </c>
      <c r="AJ4934">
        <v>90.083412714822302</v>
      </c>
      <c r="AK4934">
        <v>32.984059099069597</v>
      </c>
      <c r="AL4934">
        <v>77.687995489307099</v>
      </c>
      <c r="AM4934">
        <v>90.117742383210896</v>
      </c>
      <c r="AN4934">
        <v>1.0000000447224699</v>
      </c>
    </row>
    <row r="4935" spans="1:40" x14ac:dyDescent="0.25">
      <c r="A4935" t="str">
        <f>"20190303170911393"</f>
        <v>20190303170911393</v>
      </c>
      <c r="B4935" t="str">
        <f>"1551604151388295"</f>
        <v>1551604151388295</v>
      </c>
      <c r="C4935" t="s">
        <v>40</v>
      </c>
      <c r="D4935">
        <v>4.9475759999999998</v>
      </c>
      <c r="E4935">
        <v>0.50508199999999903</v>
      </c>
      <c r="F4935" t="s">
        <v>115</v>
      </c>
      <c r="G4935">
        <v>-221.48679999999999</v>
      </c>
      <c r="H4935" s="1">
        <v>-6.6251690000000004E-8</v>
      </c>
      <c r="I4935">
        <v>-61.77948</v>
      </c>
      <c r="J4935">
        <v>-254.4992</v>
      </c>
      <c r="K4935">
        <v>1.1188400000000001</v>
      </c>
      <c r="L4935">
        <v>-63.483060000000002</v>
      </c>
      <c r="M4935">
        <v>0.99874189999999996</v>
      </c>
      <c r="N4935">
        <v>-7.1743190000000002E-3</v>
      </c>
      <c r="O4935">
        <v>4.962979E-2</v>
      </c>
      <c r="P4935">
        <v>0.97717010000000004</v>
      </c>
      <c r="Q4935">
        <v>0.20614950000000001</v>
      </c>
      <c r="R4935">
        <v>5.1393250000000001E-2</v>
      </c>
      <c r="S4935">
        <v>3.0837249999999998</v>
      </c>
      <c r="T4935">
        <v>-0.1040074</v>
      </c>
      <c r="U4935">
        <v>0.15905759999999999</v>
      </c>
      <c r="V4935">
        <v>-2.067855E-3</v>
      </c>
      <c r="W4935">
        <v>0.21317320000000001</v>
      </c>
      <c r="X4935">
        <v>0.9770122</v>
      </c>
      <c r="Y4935">
        <v>-1.8986750000000001E-3</v>
      </c>
      <c r="Z4935">
        <v>-1.2764899999999999E-3</v>
      </c>
      <c r="AA4935">
        <v>0.99999740000000004</v>
      </c>
      <c r="AB4935">
        <v>34</v>
      </c>
      <c r="AC4935">
        <v>33.0124</v>
      </c>
      <c r="AD4935">
        <v>-1.11884006625169</v>
      </c>
      <c r="AE4935">
        <v>1.7035799999999801</v>
      </c>
      <c r="AF4935">
        <v>-6.2967735126576205E-2</v>
      </c>
      <c r="AG4935">
        <v>-1.11884006625169</v>
      </c>
      <c r="AH4935">
        <v>33.018441256772</v>
      </c>
      <c r="AI4935">
        <v>91.940739066123399</v>
      </c>
      <c r="AJ4935">
        <v>90.109265639360999</v>
      </c>
      <c r="AK4935">
        <v>33.037451945578702</v>
      </c>
      <c r="AL4935">
        <v>77.691624553647699</v>
      </c>
      <c r="AM4935">
        <v>90.121266845216098</v>
      </c>
      <c r="AN4935">
        <v>0.99999996408568903</v>
      </c>
    </row>
    <row r="4936" spans="1:40" x14ac:dyDescent="0.25">
      <c r="A4936" t="str">
        <f>"20190303170911403"</f>
        <v>20190303170911403</v>
      </c>
      <c r="B4936" t="str">
        <f>"1551604151399032"</f>
        <v>1551604151399032</v>
      </c>
      <c r="C4936" t="s">
        <v>40</v>
      </c>
      <c r="D4936">
        <v>5.0030929999999998</v>
      </c>
      <c r="E4936">
        <v>0.50496059999999998</v>
      </c>
      <c r="F4936" t="s">
        <v>115</v>
      </c>
      <c r="G4936">
        <v>-221.39940000000001</v>
      </c>
      <c r="H4936" s="1">
        <v>-3.0070740000000002E-8</v>
      </c>
      <c r="I4936">
        <v>-61.785299999999999</v>
      </c>
      <c r="J4936">
        <v>-254.32730000000001</v>
      </c>
      <c r="K4936">
        <v>1.118843</v>
      </c>
      <c r="L4936">
        <v>-63.475219999999901</v>
      </c>
      <c r="M4936">
        <v>0.99878129999999998</v>
      </c>
      <c r="N4936">
        <v>-7.1783539999999996E-3</v>
      </c>
      <c r="O4936">
        <v>4.883179E-2</v>
      </c>
      <c r="P4936">
        <v>0.97717339999999997</v>
      </c>
      <c r="Q4936">
        <v>0.20626939999999999</v>
      </c>
      <c r="R4936">
        <v>5.0844189999999997E-2</v>
      </c>
      <c r="S4936">
        <v>3.083755</v>
      </c>
      <c r="T4936">
        <v>-0.1042373</v>
      </c>
      <c r="U4936">
        <v>0.1581726</v>
      </c>
      <c r="V4936">
        <v>-2.3030580000000002E-3</v>
      </c>
      <c r="W4936">
        <v>0.2132976</v>
      </c>
      <c r="X4936">
        <v>0.97698459999999998</v>
      </c>
      <c r="Y4936">
        <v>-2.4103750000000002E-3</v>
      </c>
      <c r="Z4936">
        <v>-1.248252E-3</v>
      </c>
      <c r="AA4936">
        <v>0.99999629999999995</v>
      </c>
      <c r="AB4936">
        <v>34</v>
      </c>
      <c r="AC4936">
        <v>32.927899999999902</v>
      </c>
      <c r="AD4936">
        <v>-1.1188430300707399</v>
      </c>
      <c r="AE4936">
        <v>1.6899199999999901</v>
      </c>
      <c r="AF4936">
        <v>-7.9842310485770104E-2</v>
      </c>
      <c r="AG4936">
        <v>-1.1188430300707399</v>
      </c>
      <c r="AH4936">
        <v>32.933216538256701</v>
      </c>
      <c r="AI4936">
        <v>91.945760435569596</v>
      </c>
      <c r="AJ4936">
        <v>90.138905911287395</v>
      </c>
      <c r="AK4936">
        <v>32.952313061091601</v>
      </c>
      <c r="AL4936">
        <v>77.684330113405593</v>
      </c>
      <c r="AM4936">
        <v>90.135063806484197</v>
      </c>
      <c r="AN4936">
        <v>1.0000000394395301</v>
      </c>
    </row>
    <row r="4937" spans="1:40" x14ac:dyDescent="0.25">
      <c r="A4937" t="str">
        <f>"20190303170911416"</f>
        <v>20190303170911416</v>
      </c>
      <c r="B4937" t="str">
        <f>"1551604151408792"</f>
        <v>1551604151408792</v>
      </c>
      <c r="C4937" t="s">
        <v>40</v>
      </c>
      <c r="D4937">
        <v>5.0047750000000004</v>
      </c>
      <c r="E4937">
        <v>0.50483480000000003</v>
      </c>
      <c r="F4937" t="s">
        <v>115</v>
      </c>
      <c r="G4937">
        <v>-221.14609999999999</v>
      </c>
      <c r="H4937" s="1">
        <v>7.9319020000000003E-8</v>
      </c>
      <c r="I4937">
        <v>-61.78219</v>
      </c>
      <c r="J4937">
        <v>-254.1429</v>
      </c>
      <c r="K4937">
        <v>1.1188450000000001</v>
      </c>
      <c r="L4937">
        <v>-63.466920000000002</v>
      </c>
      <c r="M4937">
        <v>0.9988226</v>
      </c>
      <c r="N4937">
        <v>-7.1829600000000004E-3</v>
      </c>
      <c r="O4937">
        <v>4.7979290000000001E-2</v>
      </c>
      <c r="P4937">
        <v>0.9771434</v>
      </c>
      <c r="Q4937">
        <v>0.20664179999999999</v>
      </c>
      <c r="R4937">
        <v>4.990323E-2</v>
      </c>
      <c r="S4937">
        <v>3.0838320000000001</v>
      </c>
      <c r="T4937">
        <v>-0.10398399999999999</v>
      </c>
      <c r="U4937">
        <v>0.15734860000000001</v>
      </c>
      <c r="V4937">
        <v>-2.2003840000000001E-3</v>
      </c>
      <c r="W4937">
        <v>0.21367349999999999</v>
      </c>
      <c r="X4937">
        <v>0.97690270000000001</v>
      </c>
      <c r="Y4937">
        <v>-2.9953319999999999E-3</v>
      </c>
      <c r="Z4937">
        <v>-1.209585E-3</v>
      </c>
      <c r="AA4937">
        <v>0.99999479999999996</v>
      </c>
      <c r="AB4937">
        <v>34</v>
      </c>
      <c r="AC4937">
        <v>32.9968</v>
      </c>
      <c r="AD4937">
        <v>-1.1188449206809701</v>
      </c>
      <c r="AE4937">
        <v>1.6847299999999901</v>
      </c>
      <c r="AF4937">
        <v>-9.9471853602743604E-2</v>
      </c>
      <c r="AG4937">
        <v>-1.1188449206809701</v>
      </c>
      <c r="AH4937">
        <v>33.001786357641798</v>
      </c>
      <c r="AI4937">
        <v>91.941720875689796</v>
      </c>
      <c r="AJ4937">
        <v>90.172696716191496</v>
      </c>
      <c r="AK4937">
        <v>33.020896586883097</v>
      </c>
      <c r="AL4937">
        <v>77.662284472937799</v>
      </c>
      <c r="AM4937">
        <v>90.129053285762495</v>
      </c>
      <c r="AN4937">
        <v>1.0000000457796401</v>
      </c>
    </row>
    <row r="4938" spans="1:40" x14ac:dyDescent="0.25">
      <c r="A4938" t="str">
        <f>"20190303170911427"</f>
        <v>20190303170911427</v>
      </c>
      <c r="B4938" t="str">
        <f>"1551604151418554"</f>
        <v>1551604151418554</v>
      </c>
      <c r="C4938" t="s">
        <v>40</v>
      </c>
      <c r="D4938">
        <v>5.0103439999999999</v>
      </c>
      <c r="E4938">
        <v>0.50471089999999996</v>
      </c>
      <c r="F4938" t="s">
        <v>115</v>
      </c>
      <c r="G4938">
        <v>-220.61600000000001</v>
      </c>
      <c r="H4938" s="1">
        <v>3.0768029999999999E-7</v>
      </c>
      <c r="I4938">
        <v>-61.777909999999999</v>
      </c>
      <c r="J4938">
        <v>-253.97120000000001</v>
      </c>
      <c r="K4938">
        <v>1.118849</v>
      </c>
      <c r="L4938">
        <v>-63.459319999999998</v>
      </c>
      <c r="M4938">
        <v>0.99886019999999998</v>
      </c>
      <c r="N4938">
        <v>-7.1873930000000003E-3</v>
      </c>
      <c r="O4938">
        <v>4.7188710000000002E-2</v>
      </c>
      <c r="P4938">
        <v>0.97720059999999997</v>
      </c>
      <c r="Q4938">
        <v>0.20657780000000001</v>
      </c>
      <c r="R4938">
        <v>4.9037450000000003E-2</v>
      </c>
      <c r="S4938">
        <v>3.0840000000000001</v>
      </c>
      <c r="T4938">
        <v>-0.10291790000000001</v>
      </c>
      <c r="U4938">
        <v>0.155365</v>
      </c>
      <c r="V4938">
        <v>-2.10911E-3</v>
      </c>
      <c r="W4938">
        <v>0.21361340000000001</v>
      </c>
      <c r="X4938">
        <v>0.97691600000000001</v>
      </c>
      <c r="Y4938">
        <v>-3.1417279999999999E-3</v>
      </c>
      <c r="Z4938">
        <v>-1.16967E-3</v>
      </c>
      <c r="AA4938">
        <v>0.99999439999999995</v>
      </c>
      <c r="AB4938">
        <v>34</v>
      </c>
      <c r="AC4938">
        <v>33.355200000000004</v>
      </c>
      <c r="AD4938">
        <v>-1.1188486923197001</v>
      </c>
      <c r="AE4938">
        <v>1.6814099999999901</v>
      </c>
      <c r="AF4938">
        <v>-0.105389107924049</v>
      </c>
      <c r="AG4938">
        <v>-1.1188486923197001</v>
      </c>
      <c r="AH4938">
        <v>33.359945495719998</v>
      </c>
      <c r="AI4938">
        <v>91.920895480067003</v>
      </c>
      <c r="AJ4938">
        <v>90.181005421712499</v>
      </c>
      <c r="AK4938">
        <v>33.378868955340302</v>
      </c>
      <c r="AL4938">
        <v>77.665808784009997</v>
      </c>
      <c r="AM4938">
        <v>90.123698366878301</v>
      </c>
      <c r="AN4938">
        <v>1.00000000203027</v>
      </c>
    </row>
    <row r="4939" spans="1:40" x14ac:dyDescent="0.25">
      <c r="A4939" t="str">
        <f>"20190303170911438"</f>
        <v>20190303170911438</v>
      </c>
      <c r="B4939" t="str">
        <f>"1551604151428312"</f>
        <v>1551604151428312</v>
      </c>
      <c r="C4939" t="s">
        <v>40</v>
      </c>
      <c r="D4939">
        <v>5.0677979999999998</v>
      </c>
      <c r="E4939">
        <v>0.50461199999999995</v>
      </c>
      <c r="F4939" t="s">
        <v>115</v>
      </c>
      <c r="G4939">
        <v>-220.52070000000001</v>
      </c>
      <c r="H4939" s="1">
        <v>3.4582029999999999E-7</v>
      </c>
      <c r="I4939">
        <v>-61.790100000000002</v>
      </c>
      <c r="J4939">
        <v>-253.8159</v>
      </c>
      <c r="K4939">
        <v>1.118851</v>
      </c>
      <c r="L4939">
        <v>-63.452640000000002</v>
      </c>
      <c r="M4939">
        <v>0.99889360000000005</v>
      </c>
      <c r="N4939">
        <v>-7.191589E-3</v>
      </c>
      <c r="O4939">
        <v>4.6476549999999998E-2</v>
      </c>
      <c r="P4939">
        <v>0.97713760000000005</v>
      </c>
      <c r="Q4939">
        <v>0.207006</v>
      </c>
      <c r="R4939">
        <v>4.8484430000000002E-2</v>
      </c>
      <c r="S4939">
        <v>3.0840909999999999</v>
      </c>
      <c r="T4939">
        <v>-0.10315630000000001</v>
      </c>
      <c r="U4939">
        <v>0.15390009999999901</v>
      </c>
      <c r="V4939">
        <v>-2.2560940000000002E-3</v>
      </c>
      <c r="W4939">
        <v>0.21404619999999999</v>
      </c>
      <c r="X4939">
        <v>0.97682089999999999</v>
      </c>
      <c r="Y4939">
        <v>-3.37909E-3</v>
      </c>
      <c r="Z4939">
        <v>-1.149499E-3</v>
      </c>
      <c r="AA4939">
        <v>0.99999360000000004</v>
      </c>
      <c r="AB4939">
        <v>34</v>
      </c>
      <c r="AC4939">
        <v>33.295199999999902</v>
      </c>
      <c r="AD4939">
        <v>-1.1188506541797001</v>
      </c>
      <c r="AE4939">
        <v>1.6625399999999999</v>
      </c>
      <c r="AF4939">
        <v>-0.11313002328343801</v>
      </c>
      <c r="AG4939">
        <v>-1.1188506541797001</v>
      </c>
      <c r="AH4939">
        <v>33.298981278893002</v>
      </c>
      <c r="AI4939">
        <v>91.924411509055801</v>
      </c>
      <c r="AJ4939">
        <v>90.194656043005693</v>
      </c>
      <c r="AK4939">
        <v>33.317964814805102</v>
      </c>
      <c r="AL4939">
        <v>77.640423620173806</v>
      </c>
      <c r="AM4939">
        <v>90.1323317657682</v>
      </c>
      <c r="AN4939">
        <v>0.99999996818569203</v>
      </c>
    </row>
    <row r="4940" spans="1:40" x14ac:dyDescent="0.25">
      <c r="A4940" t="str">
        <f>"20190303170911450"</f>
        <v>20190303170911450</v>
      </c>
      <c r="B4940" t="str">
        <f>"1551604151439049"</f>
        <v>1551604151439049</v>
      </c>
      <c r="C4940" t="s">
        <v>40</v>
      </c>
      <c r="D4940">
        <v>5.0110539999999997</v>
      </c>
      <c r="E4940">
        <v>0.50448789999999999</v>
      </c>
      <c r="F4940" t="s">
        <v>116</v>
      </c>
      <c r="G4940">
        <v>-220.01249999999999</v>
      </c>
      <c r="H4940" s="1">
        <v>-3.5130960000000002E-6</v>
      </c>
      <c r="I4940">
        <v>-61.771129999999999</v>
      </c>
      <c r="J4940">
        <v>-253.6294</v>
      </c>
      <c r="K4940">
        <v>1.118854</v>
      </c>
      <c r="L4940">
        <v>-63.444670000000002</v>
      </c>
      <c r="M4940">
        <v>0.99893299999999996</v>
      </c>
      <c r="N4940">
        <v>-7.1966799999999996E-3</v>
      </c>
      <c r="O4940">
        <v>4.562277E-2</v>
      </c>
      <c r="P4940">
        <v>0.97714190000000001</v>
      </c>
      <c r="Q4940">
        <v>0.20718429999999999</v>
      </c>
      <c r="R4940">
        <v>4.7629810000000002E-2</v>
      </c>
      <c r="S4940">
        <v>3.0841669999999999</v>
      </c>
      <c r="T4940">
        <v>-0.10208250000000001</v>
      </c>
      <c r="U4940">
        <v>0.15341189999999999</v>
      </c>
      <c r="V4940">
        <v>-2.2383020000000002E-3</v>
      </c>
      <c r="W4940">
        <v>0.21422869999999999</v>
      </c>
      <c r="X4940">
        <v>0.97678100000000001</v>
      </c>
      <c r="Y4940">
        <v>-4.0735049999999998E-3</v>
      </c>
      <c r="Z4940">
        <v>-1.097628E-3</v>
      </c>
      <c r="AA4940">
        <v>0.99999110000000002</v>
      </c>
      <c r="AB4940">
        <v>34</v>
      </c>
      <c r="AC4940">
        <v>33.616900000000001</v>
      </c>
      <c r="AD4940">
        <v>-1.1188575130959999</v>
      </c>
      <c r="AE4940">
        <v>1.67353999999998</v>
      </c>
      <c r="AF4940">
        <v>-0.13790939710050801</v>
      </c>
      <c r="AG4940">
        <v>-1.1188575130959999</v>
      </c>
      <c r="AH4940">
        <v>33.621096683373203</v>
      </c>
      <c r="AI4940">
        <v>91.905994508204898</v>
      </c>
      <c r="AJ4940">
        <v>90.235018570870807</v>
      </c>
      <c r="AK4940">
        <v>33.639991131526003</v>
      </c>
      <c r="AL4940">
        <v>77.629719652871103</v>
      </c>
      <c r="AM4940">
        <v>90.131293538064199</v>
      </c>
      <c r="AN4940">
        <v>1.0000000339302599</v>
      </c>
    </row>
    <row r="4941" spans="1:40" x14ac:dyDescent="0.25">
      <c r="A4941" t="str">
        <f>"20190303170911462"</f>
        <v>20190303170911462</v>
      </c>
      <c r="B4941" t="str">
        <f>"1551604151448808"</f>
        <v>1551604151448808</v>
      </c>
      <c r="C4941" t="s">
        <v>40</v>
      </c>
      <c r="D4941">
        <v>5.0658899999999996</v>
      </c>
      <c r="E4941">
        <v>0.50436629999999905</v>
      </c>
      <c r="F4941" t="s">
        <v>116</v>
      </c>
      <c r="G4941">
        <v>-219.7175</v>
      </c>
      <c r="H4941" s="1">
        <v>-3.4133430000000001E-6</v>
      </c>
      <c r="I4941">
        <v>-61.774639999999998</v>
      </c>
      <c r="J4941">
        <v>-253.4385</v>
      </c>
      <c r="K4941">
        <v>1.1188560000000001</v>
      </c>
      <c r="L4941">
        <v>-63.43674</v>
      </c>
      <c r="M4941">
        <v>0.99897219999999998</v>
      </c>
      <c r="N4941">
        <v>-7.2021769999999997E-3</v>
      </c>
      <c r="O4941">
        <v>4.475121E-2</v>
      </c>
      <c r="P4941">
        <v>0.97714900000000005</v>
      </c>
      <c r="Q4941">
        <v>0.20726240000000001</v>
      </c>
      <c r="R4941">
        <v>4.7141189999999999E-2</v>
      </c>
      <c r="S4941">
        <v>3.0843509999999998</v>
      </c>
      <c r="T4941">
        <v>-0.10176209999999999</v>
      </c>
      <c r="U4941">
        <v>0.15188599999999999</v>
      </c>
      <c r="V4941">
        <v>-2.602947E-3</v>
      </c>
      <c r="W4941">
        <v>0.21431349999999999</v>
      </c>
      <c r="X4941">
        <v>0.97676149999999995</v>
      </c>
      <c r="Y4941">
        <v>-4.4488690000000003E-3</v>
      </c>
      <c r="Z4941">
        <v>-1.0628289999999999E-3</v>
      </c>
      <c r="AA4941">
        <v>0.99998949999999998</v>
      </c>
      <c r="AB4941">
        <v>34</v>
      </c>
      <c r="AC4941">
        <v>33.720999999999997</v>
      </c>
      <c r="AD4941">
        <v>-1.1188594133430001</v>
      </c>
      <c r="AE4941">
        <v>1.6620999999999899</v>
      </c>
      <c r="AF4941">
        <v>-0.15117404145903299</v>
      </c>
      <c r="AG4941">
        <v>-1.1188594133430001</v>
      </c>
      <c r="AH4941">
        <v>33.724560627066701</v>
      </c>
      <c r="AI4941">
        <v>91.900151502096307</v>
      </c>
      <c r="AJ4941">
        <v>90.256832894844706</v>
      </c>
      <c r="AK4941">
        <v>33.743454023948601</v>
      </c>
      <c r="AL4941">
        <v>77.624745514184497</v>
      </c>
      <c r="AM4941">
        <v>90.152685711261796</v>
      </c>
      <c r="AN4941">
        <v>1.00000003974879</v>
      </c>
    </row>
    <row r="4942" spans="1:40" x14ac:dyDescent="0.25">
      <c r="A4942" t="str">
        <f>"20190303170911476"</f>
        <v>20190303170911476</v>
      </c>
      <c r="B4942" t="str">
        <f>"1551604151468329"</f>
        <v>1551604151468329</v>
      </c>
      <c r="C4942" t="s">
        <v>40</v>
      </c>
      <c r="D4942">
        <v>5.0659130000000001</v>
      </c>
      <c r="E4942">
        <v>0.50414740000000002</v>
      </c>
      <c r="F4942" t="s">
        <v>116</v>
      </c>
      <c r="G4942">
        <v>-219.53870000000001</v>
      </c>
      <c r="H4942" s="1">
        <v>-3.352144E-6</v>
      </c>
      <c r="I4942">
        <v>-61.772709999999996</v>
      </c>
      <c r="J4942">
        <v>-253.24690000000001</v>
      </c>
      <c r="K4942">
        <v>1.1188549999999999</v>
      </c>
      <c r="L4942">
        <v>-63.428890000000003</v>
      </c>
      <c r="M4942">
        <v>0.99901090000000003</v>
      </c>
      <c r="N4942">
        <v>-7.2077840000000001E-3</v>
      </c>
      <c r="O4942">
        <v>4.3877199999999998E-2</v>
      </c>
      <c r="P4942">
        <v>0.97715209999999997</v>
      </c>
      <c r="Q4942">
        <v>0.20733389999999999</v>
      </c>
      <c r="R4942">
        <v>4.6760400000000001E-2</v>
      </c>
      <c r="S4942">
        <v>3.0844119999999999</v>
      </c>
      <c r="T4942">
        <v>-0.1018004</v>
      </c>
      <c r="U4942">
        <v>0.1513977</v>
      </c>
      <c r="V4942">
        <v>-3.0779639999999999E-3</v>
      </c>
      <c r="W4942">
        <v>0.21439169999999999</v>
      </c>
      <c r="X4942">
        <v>0.97674289999999997</v>
      </c>
      <c r="Y4942">
        <v>-5.1641020000000003E-3</v>
      </c>
      <c r="Z4942">
        <v>-1.0262170000000001E-3</v>
      </c>
      <c r="AA4942">
        <v>0.99998609999999999</v>
      </c>
      <c r="AB4942">
        <v>34</v>
      </c>
      <c r="AC4942">
        <v>33.708199999999998</v>
      </c>
      <c r="AD4942">
        <v>-1.1188583521440001</v>
      </c>
      <c r="AE4942">
        <v>1.65618</v>
      </c>
      <c r="AF4942">
        <v>-0.17533229877477699</v>
      </c>
      <c r="AG4942">
        <v>-1.1188583521440001</v>
      </c>
      <c r="AH4942">
        <v>33.7113537492612</v>
      </c>
      <c r="AI4942">
        <v>91.900886957719607</v>
      </c>
      <c r="AJ4942">
        <v>90.297991894001001</v>
      </c>
      <c r="AK4942">
        <v>33.730371433397799</v>
      </c>
      <c r="AL4942">
        <v>77.620157658574001</v>
      </c>
      <c r="AM4942">
        <v>90.180552899786093</v>
      </c>
      <c r="AN4942">
        <v>0.99999998379584198</v>
      </c>
    </row>
    <row r="4943" spans="1:40" x14ac:dyDescent="0.25">
      <c r="A4943" t="str">
        <f>"20190303170911490"</f>
        <v>20190303170911490</v>
      </c>
      <c r="B4943" t="str">
        <f>"1551604151479064"</f>
        <v>1551604151479064</v>
      </c>
      <c r="C4943" t="s">
        <v>40</v>
      </c>
      <c r="D4943">
        <v>5.008032</v>
      </c>
      <c r="E4943">
        <v>0.50404409999999999</v>
      </c>
      <c r="F4943" t="s">
        <v>116</v>
      </c>
      <c r="G4943">
        <v>-219.37389999999999</v>
      </c>
      <c r="H4943" s="1">
        <v>-3.2935529999999999E-6</v>
      </c>
      <c r="I4943">
        <v>-61.758519999999997</v>
      </c>
      <c r="J4943">
        <v>-253.00649999999999</v>
      </c>
      <c r="K4943">
        <v>1.1188530000000001</v>
      </c>
      <c r="L4943">
        <v>-63.419249999999998</v>
      </c>
      <c r="M4943">
        <v>0.99905849999999996</v>
      </c>
      <c r="N4943">
        <v>-7.2149739999999999E-3</v>
      </c>
      <c r="O4943">
        <v>4.2780899999999997E-2</v>
      </c>
      <c r="P4943">
        <v>0.97717489999999996</v>
      </c>
      <c r="Q4943">
        <v>0.2073691</v>
      </c>
      <c r="R4943">
        <v>4.6126479999999997E-2</v>
      </c>
      <c r="S4943">
        <v>3.0845030000000002</v>
      </c>
      <c r="T4943">
        <v>-0.101884</v>
      </c>
      <c r="U4943">
        <v>0.1520996</v>
      </c>
      <c r="V4943">
        <v>-3.516197E-3</v>
      </c>
      <c r="W4943">
        <v>0.2144355</v>
      </c>
      <c r="X4943">
        <v>0.97673180000000004</v>
      </c>
      <c r="Y4943">
        <v>-6.4857600000000001E-3</v>
      </c>
      <c r="Z4943">
        <v>-9.7214869999999996E-4</v>
      </c>
      <c r="AA4943">
        <v>0.99997849999999999</v>
      </c>
      <c r="AB4943">
        <v>34</v>
      </c>
      <c r="AC4943">
        <v>33.632599999999996</v>
      </c>
      <c r="AD4943">
        <v>-1.118856293553</v>
      </c>
      <c r="AE4943">
        <v>1.66073</v>
      </c>
      <c r="AF4943">
        <v>-0.220096257296755</v>
      </c>
      <c r="AG4943">
        <v>-1.118856293553</v>
      </c>
      <c r="AH4943">
        <v>33.635722464761898</v>
      </c>
      <c r="AI4943">
        <v>91.905139521932497</v>
      </c>
      <c r="AJ4943">
        <v>90.374911127951407</v>
      </c>
      <c r="AK4943">
        <v>33.655045795461099</v>
      </c>
      <c r="AL4943">
        <v>77.617588278664201</v>
      </c>
      <c r="AM4943">
        <v>90.206261716615202</v>
      </c>
      <c r="AN4943">
        <v>0.99999997821641595</v>
      </c>
    </row>
    <row r="4944" spans="1:40" x14ac:dyDescent="0.25">
      <c r="A4944" t="str">
        <f>"20190303170911505"</f>
        <v>20190303170911505</v>
      </c>
      <c r="B4944" t="str">
        <f>"1551604151498584"</f>
        <v>1551604151498584</v>
      </c>
      <c r="C4944" t="s">
        <v>40</v>
      </c>
      <c r="D4944">
        <v>5.0098419999999999</v>
      </c>
      <c r="E4944">
        <v>0.50385079999999904</v>
      </c>
      <c r="F4944" t="s">
        <v>116</v>
      </c>
      <c r="G4944">
        <v>-219.2115</v>
      </c>
      <c r="H4944" s="1">
        <v>-3.2397699999999999E-6</v>
      </c>
      <c r="I4944">
        <v>-61.766849999999998</v>
      </c>
      <c r="J4944">
        <v>-252.78100000000001</v>
      </c>
      <c r="K4944">
        <v>1.1188560000000001</v>
      </c>
      <c r="L4944">
        <v>-63.410519999999998</v>
      </c>
      <c r="M4944">
        <v>0.99910189999999999</v>
      </c>
      <c r="N4944">
        <v>-7.221926E-3</v>
      </c>
      <c r="O4944">
        <v>4.1754039999999999E-2</v>
      </c>
      <c r="P4944">
        <v>0.97710379999999997</v>
      </c>
      <c r="Q4944">
        <v>0.20782970000000001</v>
      </c>
      <c r="R4944">
        <v>4.5552830000000002E-2</v>
      </c>
      <c r="S4944">
        <v>3.084641</v>
      </c>
      <c r="T4944">
        <v>-0.1021237</v>
      </c>
      <c r="U4944">
        <v>0.15081789999999901</v>
      </c>
      <c r="V4944">
        <v>-3.9489199999999999E-3</v>
      </c>
      <c r="W4944">
        <v>0.21490409999999999</v>
      </c>
      <c r="X4944">
        <v>0.97662720000000003</v>
      </c>
      <c r="Y4944">
        <v>-7.0961430000000001E-3</v>
      </c>
      <c r="Z4944">
        <v>-9.3604310000000004E-4</v>
      </c>
      <c r="AA4944">
        <v>0.99997440000000004</v>
      </c>
      <c r="AB4944">
        <v>34</v>
      </c>
      <c r="AC4944">
        <v>33.569499999999898</v>
      </c>
      <c r="AD4944">
        <v>-1.1188592397699999</v>
      </c>
      <c r="AE4944">
        <v>1.64367</v>
      </c>
      <c r="AF4944">
        <v>-0.24027155665273101</v>
      </c>
      <c r="AG4944">
        <v>-1.1188592397699999</v>
      </c>
      <c r="AH4944">
        <v>33.5716504610171</v>
      </c>
      <c r="AI4944">
        <v>91.908769830103495</v>
      </c>
      <c r="AJ4944">
        <v>90.410057620042195</v>
      </c>
      <c r="AK4944">
        <v>33.591148999342998</v>
      </c>
      <c r="AL4944">
        <v>77.590099214589898</v>
      </c>
      <c r="AM4944">
        <v>90.231669993015103</v>
      </c>
      <c r="AN4944">
        <v>1.0000000269728999</v>
      </c>
    </row>
    <row r="4945" spans="1:40" x14ac:dyDescent="0.25">
      <c r="A4945" t="str">
        <f>"20190303170911519"</f>
        <v>20190303170911519</v>
      </c>
      <c r="B4945" t="str">
        <f>"1551604151508344"</f>
        <v>1551604151508344</v>
      </c>
      <c r="C4945" t="s">
        <v>40</v>
      </c>
      <c r="D4945">
        <v>5.0079840000000004</v>
      </c>
      <c r="E4945">
        <v>0.50385079999999904</v>
      </c>
      <c r="F4945" t="s">
        <v>116</v>
      </c>
      <c r="G4945">
        <v>-218.55680000000001</v>
      </c>
      <c r="H4945" s="1">
        <v>-3.0003680000000001E-6</v>
      </c>
      <c r="I4945">
        <v>-61.738509999999998</v>
      </c>
      <c r="J4945">
        <v>-252.57320000000001</v>
      </c>
      <c r="K4945">
        <v>1.1188549999999999</v>
      </c>
      <c r="L4945">
        <v>-63.402679999999997</v>
      </c>
      <c r="M4945">
        <v>0.9991409</v>
      </c>
      <c r="N4945">
        <v>-7.2284709999999898E-3</v>
      </c>
      <c r="O4945">
        <v>4.0807469999999998E-2</v>
      </c>
      <c r="P4945">
        <v>0.97707180000000005</v>
      </c>
      <c r="Q4945">
        <v>0.20818529999999999</v>
      </c>
      <c r="R4945">
        <v>4.460534E-2</v>
      </c>
      <c r="S4945">
        <v>3.0847020000000001</v>
      </c>
      <c r="T4945">
        <v>-0.10084509999999999</v>
      </c>
      <c r="U4945">
        <v>0.15069579999999999</v>
      </c>
      <c r="V4945">
        <v>-3.9281100000000003E-3</v>
      </c>
      <c r="W4945">
        <v>0.2152654</v>
      </c>
      <c r="X4945">
        <v>0.97654770000000002</v>
      </c>
      <c r="Y4945">
        <v>-8.0018380000000007E-3</v>
      </c>
      <c r="Z4945">
        <v>-8.7780810000000003E-4</v>
      </c>
      <c r="AA4945">
        <v>0.99996759999999996</v>
      </c>
      <c r="AB4945">
        <v>34</v>
      </c>
      <c r="AC4945">
        <v>34.016399999999997</v>
      </c>
      <c r="AD4945">
        <v>-1.118858000368</v>
      </c>
      <c r="AE4945">
        <v>1.6641699999999999</v>
      </c>
      <c r="AF4945">
        <v>-0.27432818098797102</v>
      </c>
      <c r="AG4945">
        <v>-1.118858000368</v>
      </c>
      <c r="AH4945">
        <v>34.019259777361398</v>
      </c>
      <c r="AI4945">
        <v>91.883658277322496</v>
      </c>
      <c r="AJ4945">
        <v>90.462017880326798</v>
      </c>
      <c r="AK4945">
        <v>34.038759304291197</v>
      </c>
      <c r="AL4945">
        <v>77.568902007440798</v>
      </c>
      <c r="AM4945">
        <v>90.230467913266196</v>
      </c>
      <c r="AN4945">
        <v>1.00000001643031</v>
      </c>
    </row>
    <row r="4946" spans="1:40" x14ac:dyDescent="0.25">
      <c r="A4946" t="str">
        <f>"20190303170911533"</f>
        <v>20190303170911533</v>
      </c>
      <c r="B4946" t="str">
        <f>"1551604151519080"</f>
        <v>1551604151519080</v>
      </c>
      <c r="C4946" t="s">
        <v>40</v>
      </c>
      <c r="D4946">
        <v>5.0062790000000001</v>
      </c>
      <c r="E4946">
        <v>0.49736659999999999</v>
      </c>
      <c r="F4946" t="s">
        <v>116</v>
      </c>
      <c r="G4946">
        <v>-217.95869999999999</v>
      </c>
      <c r="H4946" s="1">
        <v>-2.7440369999999999E-6</v>
      </c>
      <c r="I4946">
        <v>-61.739449999999998</v>
      </c>
      <c r="J4946">
        <v>-252.36019999999999</v>
      </c>
      <c r="K4946">
        <v>1.118854</v>
      </c>
      <c r="L4946">
        <v>-63.39481</v>
      </c>
      <c r="M4946">
        <v>0.99918010000000002</v>
      </c>
      <c r="N4946">
        <v>-7.2352639999999999E-3</v>
      </c>
      <c r="O4946">
        <v>3.9837829999999998E-2</v>
      </c>
      <c r="P4946">
        <v>0.97706570000000004</v>
      </c>
      <c r="Q4946">
        <v>0.2083989</v>
      </c>
      <c r="R4946">
        <v>4.3736190000000001E-2</v>
      </c>
      <c r="S4946">
        <v>3.0848849999999999</v>
      </c>
      <c r="T4946">
        <v>-9.9714040000000004E-2</v>
      </c>
      <c r="U4946">
        <v>0.14822389999999999</v>
      </c>
      <c r="V4946">
        <v>-4.0070729999999999E-3</v>
      </c>
      <c r="W4946">
        <v>0.21548519999999999</v>
      </c>
      <c r="X4946">
        <v>0.97649889999999995</v>
      </c>
      <c r="Y4946">
        <v>-8.1692840000000006E-3</v>
      </c>
      <c r="Z4946">
        <v>-8.3641229999999905E-4</v>
      </c>
      <c r="AA4946">
        <v>0.99996629999999997</v>
      </c>
      <c r="AB4946">
        <v>34</v>
      </c>
      <c r="AC4946">
        <v>34.401499999999999</v>
      </c>
      <c r="AD4946">
        <v>-1.1188567440369901</v>
      </c>
      <c r="AE4946">
        <v>1.6553599999999999</v>
      </c>
      <c r="AF4946">
        <v>-0.28323014177734901</v>
      </c>
      <c r="AG4946">
        <v>-1.1188567440369901</v>
      </c>
      <c r="AH4946">
        <v>34.403829388566102</v>
      </c>
      <c r="AI4946">
        <v>91.862612816011193</v>
      </c>
      <c r="AJ4946">
        <v>90.471677875586195</v>
      </c>
      <c r="AK4946">
        <v>34.423183123070601</v>
      </c>
      <c r="AL4946">
        <v>77.556005717619001</v>
      </c>
      <c r="AM4946">
        <v>90.235112484458497</v>
      </c>
      <c r="AN4946">
        <v>1.00000001487713</v>
      </c>
    </row>
    <row r="4947" spans="1:40" x14ac:dyDescent="0.25">
      <c r="A4947" t="str">
        <f>"20190303170911549"</f>
        <v>20190303170911549</v>
      </c>
      <c r="B4947" t="str">
        <f>"1551604151538600"</f>
        <v>1551604151538600</v>
      </c>
      <c r="C4947" t="s">
        <v>40</v>
      </c>
      <c r="D4947">
        <v>5.0058179999999997</v>
      </c>
      <c r="E4947">
        <v>0.49712070000000003</v>
      </c>
      <c r="F4947" t="s">
        <v>115</v>
      </c>
      <c r="G4947">
        <v>-222.35749999999999</v>
      </c>
      <c r="H4947" s="1">
        <v>-3.7026469999999998E-7</v>
      </c>
      <c r="I4947">
        <v>-61.466900000000003</v>
      </c>
      <c r="J4947">
        <v>-252.1061</v>
      </c>
      <c r="K4947">
        <v>1.1188480000000001</v>
      </c>
      <c r="L4947">
        <v>-63.385649999999998</v>
      </c>
      <c r="M4947">
        <v>0.99922529999999998</v>
      </c>
      <c r="N4947">
        <v>-7.2435019999999998E-3</v>
      </c>
      <c r="O4947">
        <v>3.868071E-2</v>
      </c>
      <c r="P4947">
        <v>0.97694999999999999</v>
      </c>
      <c r="Q4947">
        <v>0.2092726</v>
      </c>
      <c r="R4947">
        <v>4.2114560000000002E-2</v>
      </c>
      <c r="S4947">
        <v>3.0860750000000001</v>
      </c>
      <c r="T4947">
        <v>-0.11508500000000001</v>
      </c>
      <c r="U4947">
        <v>0.19830320000000001</v>
      </c>
      <c r="V4947">
        <v>-3.5188559999999999E-3</v>
      </c>
      <c r="W4947">
        <v>0.21636420000000001</v>
      </c>
      <c r="X4947">
        <v>0.97630640000000002</v>
      </c>
      <c r="Y4947">
        <v>-2.547137E-2</v>
      </c>
      <c r="Z4947">
        <v>-5.9314120000000001E-4</v>
      </c>
      <c r="AA4947">
        <v>0.99967539999999999</v>
      </c>
      <c r="AB4947">
        <v>34</v>
      </c>
      <c r="AC4947">
        <v>29.7486</v>
      </c>
      <c r="AD4947">
        <v>-1.1188483702646901</v>
      </c>
      <c r="AE4947">
        <v>1.91874999999999</v>
      </c>
      <c r="AF4947">
        <v>-0.76550839562780604</v>
      </c>
      <c r="AG4947">
        <v>-1.1188483702646901</v>
      </c>
      <c r="AH4947">
        <v>29.758636348551601</v>
      </c>
      <c r="AI4947">
        <v>92.152448762896199</v>
      </c>
      <c r="AJ4947">
        <v>91.473546339660999</v>
      </c>
      <c r="AK4947">
        <v>29.789499191909201</v>
      </c>
      <c r="AL4947">
        <v>77.5044260008424</v>
      </c>
      <c r="AM4947">
        <v>90.206507633753304</v>
      </c>
      <c r="AN4947">
        <v>1.0000000180350701</v>
      </c>
    </row>
    <row r="4948" spans="1:40" x14ac:dyDescent="0.25">
      <c r="A4948" t="str">
        <f>"20190303170911562"</f>
        <v>20190303170911562</v>
      </c>
      <c r="B4948" t="str">
        <f>"1551604151549337"</f>
        <v>1551604151549337</v>
      </c>
      <c r="C4948" t="s">
        <v>40</v>
      </c>
      <c r="D4948">
        <v>5.0059699999999996</v>
      </c>
      <c r="E4948">
        <v>0.49707180000000001</v>
      </c>
      <c r="F4948" t="s">
        <v>115</v>
      </c>
      <c r="G4948">
        <v>-221.6662</v>
      </c>
      <c r="H4948" s="1">
        <v>-7.0417059999999994E-8</v>
      </c>
      <c r="I4948">
        <v>-61.451979999999999</v>
      </c>
      <c r="J4948">
        <v>-251.90860000000001</v>
      </c>
      <c r="K4948">
        <v>1.1188450000000001</v>
      </c>
      <c r="L4948">
        <v>-63.378810000000001</v>
      </c>
      <c r="M4948">
        <v>0.99925980000000003</v>
      </c>
      <c r="N4948">
        <v>-7.2499979999999997E-3</v>
      </c>
      <c r="O4948">
        <v>3.778128E-2</v>
      </c>
      <c r="P4948">
        <v>0.97695670000000001</v>
      </c>
      <c r="Q4948">
        <v>0.20936160000000001</v>
      </c>
      <c r="R4948">
        <v>4.1516600000000001E-2</v>
      </c>
      <c r="S4948">
        <v>3.086624</v>
      </c>
      <c r="T4948">
        <v>-0.113452</v>
      </c>
      <c r="U4948">
        <v>0.19607540000000001</v>
      </c>
      <c r="V4948">
        <v>-3.8004240000000002E-3</v>
      </c>
      <c r="W4948">
        <v>0.2164606</v>
      </c>
      <c r="X4948">
        <v>0.97628400000000004</v>
      </c>
      <c r="Y4948">
        <v>-2.5640619999999999E-2</v>
      </c>
      <c r="Z4948">
        <v>-5.4879169999999999E-4</v>
      </c>
      <c r="AA4948">
        <v>0.99967110000000003</v>
      </c>
      <c r="AB4948">
        <v>35</v>
      </c>
      <c r="AC4948">
        <v>30.2424</v>
      </c>
      <c r="AD4948">
        <v>-1.1188450704170601</v>
      </c>
      <c r="AE4948">
        <v>1.9268299999999801</v>
      </c>
      <c r="AF4948">
        <v>-0.78176202943300999</v>
      </c>
      <c r="AG4948">
        <v>-1.1188450704170601</v>
      </c>
      <c r="AH4948">
        <v>30.252367860216101</v>
      </c>
      <c r="AI4948">
        <v>92.117339481967605</v>
      </c>
      <c r="AJ4948">
        <v>91.480270860545602</v>
      </c>
      <c r="AK4948">
        <v>30.283142626089798</v>
      </c>
      <c r="AL4948">
        <v>77.498768918952194</v>
      </c>
      <c r="AM4948">
        <v>90.223036693923603</v>
      </c>
      <c r="AN4948">
        <v>1.00000004161546</v>
      </c>
    </row>
    <row r="4949" spans="1:40" x14ac:dyDescent="0.25">
      <c r="A4949" t="str">
        <f>"20190303170911572"</f>
        <v>20190303170911572</v>
      </c>
      <c r="B4949" t="str">
        <f>"1551604151559097"</f>
        <v>1551604151559097</v>
      </c>
      <c r="C4949" t="s">
        <v>40</v>
      </c>
      <c r="D4949">
        <v>4.9122339999999998</v>
      </c>
      <c r="E4949">
        <v>0.49704399999999999</v>
      </c>
      <c r="F4949" t="s">
        <v>115</v>
      </c>
      <c r="G4949">
        <v>-221.0849</v>
      </c>
      <c r="H4949" s="1">
        <v>1.837908E-7</v>
      </c>
      <c r="I4949">
        <v>-61.430399999999999</v>
      </c>
      <c r="J4949">
        <v>-251.74799999999999</v>
      </c>
      <c r="K4949">
        <v>1.118849</v>
      </c>
      <c r="L4949">
        <v>-63.373350000000002</v>
      </c>
      <c r="M4949">
        <v>0.99928709999999998</v>
      </c>
      <c r="N4949">
        <v>-7.2553119999999999E-3</v>
      </c>
      <c r="O4949">
        <v>3.7049640000000002E-2</v>
      </c>
      <c r="P4949">
        <v>0.9770413</v>
      </c>
      <c r="Q4949">
        <v>0.20914820000000001</v>
      </c>
      <c r="R4949">
        <v>4.0589590000000002E-2</v>
      </c>
      <c r="S4949">
        <v>3.0864560000000001</v>
      </c>
      <c r="T4949">
        <v>-0.11203249999999999</v>
      </c>
      <c r="U4949">
        <v>0.19509889999999999</v>
      </c>
      <c r="V4949">
        <v>-3.585984E-3</v>
      </c>
      <c r="W4949">
        <v>0.216252</v>
      </c>
      <c r="X4949">
        <v>0.97633099999999995</v>
      </c>
      <c r="Y4949">
        <v>-2.606027E-2</v>
      </c>
      <c r="Z4949">
        <v>-5.068176E-4</v>
      </c>
      <c r="AA4949">
        <v>0.99966029999999995</v>
      </c>
      <c r="AB4949">
        <v>35</v>
      </c>
      <c r="AC4949">
        <v>30.663099999999901</v>
      </c>
      <c r="AD4949">
        <v>-1.1188488162092001</v>
      </c>
      <c r="AE4949">
        <v>1.94295</v>
      </c>
      <c r="AF4949">
        <v>-0.80446246336670701</v>
      </c>
      <c r="AG4949">
        <v>-1.1188488162092001</v>
      </c>
      <c r="AH4949">
        <v>30.673358511570498</v>
      </c>
      <c r="AI4949">
        <v>92.088291053708701</v>
      </c>
      <c r="AJ4949">
        <v>91.502337612952701</v>
      </c>
      <c r="AK4949">
        <v>30.704297824699299</v>
      </c>
      <c r="AL4949">
        <v>77.511010297648795</v>
      </c>
      <c r="AM4949">
        <v>90.210441770970405</v>
      </c>
      <c r="AN4949">
        <v>1.0000000041731201</v>
      </c>
    </row>
    <row r="4950" spans="1:40" x14ac:dyDescent="0.25">
      <c r="A4950" t="str">
        <f>"20190303170911583"</f>
        <v>20190303170911583</v>
      </c>
      <c r="B4950" t="str">
        <f>"1551604151578618"</f>
        <v>1551604151578618</v>
      </c>
      <c r="C4950" t="s">
        <v>40</v>
      </c>
      <c r="D4950">
        <v>4.9826040000000003</v>
      </c>
      <c r="E4950">
        <v>0.49697980000000003</v>
      </c>
      <c r="F4950" t="s">
        <v>115</v>
      </c>
      <c r="G4950">
        <v>-221.0549</v>
      </c>
      <c r="H4950" s="1">
        <v>1.9011819999999999E-7</v>
      </c>
      <c r="I4950">
        <v>-61.459690000000002</v>
      </c>
      <c r="J4950">
        <v>-251.57140000000001</v>
      </c>
      <c r="K4950">
        <v>1.118846</v>
      </c>
      <c r="L4950">
        <v>-63.367489999999997</v>
      </c>
      <c r="M4950">
        <v>0.99931650000000005</v>
      </c>
      <c r="N4950">
        <v>-7.2612140000000002E-3</v>
      </c>
      <c r="O4950">
        <v>3.6246059999999997E-2</v>
      </c>
      <c r="P4950">
        <v>0.97718070000000001</v>
      </c>
      <c r="Q4950">
        <v>0.2086472</v>
      </c>
      <c r="R4950">
        <v>3.979941E-2</v>
      </c>
      <c r="S4950">
        <v>3.0865779999999998</v>
      </c>
      <c r="T4950">
        <v>-0.11251460000000001</v>
      </c>
      <c r="U4950">
        <v>0.1924438</v>
      </c>
      <c r="V4950">
        <v>-3.5784710000000002E-3</v>
      </c>
      <c r="W4950">
        <v>0.21575759999999999</v>
      </c>
      <c r="X4950">
        <v>0.97644039999999999</v>
      </c>
      <c r="Y4950">
        <v>-2.600483E-2</v>
      </c>
      <c r="Z4950">
        <v>-4.8807629999999999E-4</v>
      </c>
      <c r="AA4950">
        <v>0.99966169999999999</v>
      </c>
      <c r="AB4950">
        <v>35</v>
      </c>
      <c r="AC4950">
        <v>30.516500000000001</v>
      </c>
      <c r="AD4950">
        <v>-1.1188458098817999</v>
      </c>
      <c r="AE4950">
        <v>1.9077999999999999</v>
      </c>
      <c r="AF4950">
        <v>-0.79934392969711299</v>
      </c>
      <c r="AG4950">
        <v>-1.1188458098817999</v>
      </c>
      <c r="AH4950">
        <v>30.524726207121802</v>
      </c>
      <c r="AI4950">
        <v>92.098446942998393</v>
      </c>
      <c r="AJ4950">
        <v>91.500048475399495</v>
      </c>
      <c r="AK4950">
        <v>30.555681577801298</v>
      </c>
      <c r="AL4950">
        <v>77.5400221972357</v>
      </c>
      <c r="AM4950">
        <v>90.209977349874606</v>
      </c>
      <c r="AN4950">
        <v>1.0000000010823</v>
      </c>
    </row>
    <row r="4951" spans="1:40" x14ac:dyDescent="0.25">
      <c r="A4951" t="str">
        <f>"20190303170911605"</f>
        <v>20190303170911605</v>
      </c>
      <c r="B4951" t="str">
        <f>"1551604151599112"</f>
        <v>1551604151599112</v>
      </c>
      <c r="C4951" t="s">
        <v>40</v>
      </c>
      <c r="D4951">
        <v>5.1141030000000001</v>
      </c>
      <c r="E4951">
        <v>0.48311290000000001</v>
      </c>
      <c r="F4951" t="s">
        <v>115</v>
      </c>
      <c r="G4951">
        <v>-220.9205</v>
      </c>
      <c r="H4951" s="1">
        <v>2.439386E-7</v>
      </c>
      <c r="I4951">
        <v>-61.4769199999999</v>
      </c>
      <c r="J4951">
        <v>-251.22720000000001</v>
      </c>
      <c r="K4951">
        <v>1.1188419999999999</v>
      </c>
      <c r="L4951">
        <v>-63.356409999999997</v>
      </c>
      <c r="M4951">
        <v>0.99937209999999999</v>
      </c>
      <c r="N4951">
        <v>-7.2728599999999999E-3</v>
      </c>
      <c r="O4951">
        <v>3.4679179999999997E-2</v>
      </c>
      <c r="P4951">
        <v>0.97728360000000003</v>
      </c>
      <c r="Q4951">
        <v>0.20838190000000001</v>
      </c>
      <c r="R4951">
        <v>3.8652430000000002E-2</v>
      </c>
      <c r="S4951">
        <v>3.0863489999999998</v>
      </c>
      <c r="T4951">
        <v>-0.11266080000000001</v>
      </c>
      <c r="U4951">
        <v>0.1903687</v>
      </c>
      <c r="V4951">
        <v>-3.9600249999999998E-3</v>
      </c>
      <c r="W4951">
        <v>0.21550520000000001</v>
      </c>
      <c r="X4951">
        <v>0.97649470000000005</v>
      </c>
      <c r="Y4951">
        <v>-2.6905829999999999E-2</v>
      </c>
      <c r="Z4951">
        <v>-4.2330690000000001E-4</v>
      </c>
      <c r="AA4951">
        <v>0.99963789999999997</v>
      </c>
      <c r="AB4951">
        <v>35</v>
      </c>
      <c r="AC4951">
        <v>30.306699999999999</v>
      </c>
      <c r="AD4951">
        <v>-1.1188417560613999</v>
      </c>
      <c r="AE4951">
        <v>1.8794900000000001</v>
      </c>
      <c r="AF4951">
        <v>-0.82619848715329602</v>
      </c>
      <c r="AG4951">
        <v>-1.1188417560613999</v>
      </c>
      <c r="AH4951">
        <v>30.312496090769301</v>
      </c>
      <c r="AI4951">
        <v>92.113057823258998</v>
      </c>
      <c r="AJ4951">
        <v>91.561269292357906</v>
      </c>
      <c r="AK4951">
        <v>30.344387126257601</v>
      </c>
      <c r="AL4951">
        <v>77.554832498916596</v>
      </c>
      <c r="AM4951">
        <v>90.232353002494193</v>
      </c>
      <c r="AN4951">
        <v>1.00000003607656</v>
      </c>
    </row>
    <row r="4952" spans="1:40" x14ac:dyDescent="0.25">
      <c r="A4952" t="str">
        <f>"20190303170911616"</f>
        <v>20190303170911616</v>
      </c>
      <c r="B4952" t="str">
        <f>"1551604151608872"</f>
        <v>1551604151608872</v>
      </c>
      <c r="C4952" t="s">
        <v>40</v>
      </c>
      <c r="D4952">
        <v>5.1490989999999996</v>
      </c>
      <c r="E4952">
        <v>0.47365099999999999</v>
      </c>
      <c r="F4952" t="s">
        <v>116</v>
      </c>
      <c r="G4952">
        <v>-219.8306</v>
      </c>
      <c r="H4952" s="1">
        <v>-3.1966279999999999E-6</v>
      </c>
      <c r="I4952">
        <v>-60.325580000000002</v>
      </c>
      <c r="J4952">
        <v>-251.0583</v>
      </c>
      <c r="K4952">
        <v>1.118838</v>
      </c>
      <c r="L4952">
        <v>-63.351230000000001</v>
      </c>
      <c r="M4952">
        <v>0.99939849999999997</v>
      </c>
      <c r="N4952">
        <v>-7.2785760000000001E-3</v>
      </c>
      <c r="O4952">
        <v>3.3911110000000001E-2</v>
      </c>
      <c r="P4952">
        <v>0.97735260000000002</v>
      </c>
      <c r="Q4952">
        <v>0.2082225</v>
      </c>
      <c r="R4952">
        <v>3.7759800000000003E-2</v>
      </c>
      <c r="S4952">
        <v>3.0814059999999999</v>
      </c>
      <c r="T4952">
        <v>-0.1098087</v>
      </c>
      <c r="U4952">
        <v>0.29745480000000002</v>
      </c>
      <c r="V4952">
        <v>-3.816744E-3</v>
      </c>
      <c r="W4952">
        <v>0.21535109999999999</v>
      </c>
      <c r="X4952">
        <v>0.97652919999999999</v>
      </c>
      <c r="Y4952">
        <v>-6.224151E-2</v>
      </c>
      <c r="Z4952">
        <v>3.749488E-4</v>
      </c>
      <c r="AA4952">
        <v>0.99806110000000003</v>
      </c>
      <c r="AB4952">
        <v>35</v>
      </c>
      <c r="AC4952">
        <v>31.227699999999999</v>
      </c>
      <c r="AD4952">
        <v>-1.1188411966280001</v>
      </c>
      <c r="AE4952">
        <v>3.0256500000000002</v>
      </c>
      <c r="AF4952">
        <v>-1.9624201617099699</v>
      </c>
      <c r="AG4952">
        <v>-1.1188411966280001</v>
      </c>
      <c r="AH4952">
        <v>31.2725737493673</v>
      </c>
      <c r="AI4952">
        <v>92.044982409548993</v>
      </c>
      <c r="AJ4952">
        <v>93.590723099423698</v>
      </c>
      <c r="AK4952">
        <v>31.354055039563399</v>
      </c>
      <c r="AL4952">
        <v>77.563873256624802</v>
      </c>
      <c r="AM4952">
        <v>90.223938218274796</v>
      </c>
      <c r="AN4952">
        <v>0.99999997112930505</v>
      </c>
    </row>
    <row r="4953" spans="1:40" x14ac:dyDescent="0.25">
      <c r="A4953" t="str">
        <f>"20190303170911627"</f>
        <v>20190303170911627</v>
      </c>
      <c r="B4953" t="str">
        <f>"1551604151618632"</f>
        <v>1551604151618632</v>
      </c>
      <c r="C4953" t="s">
        <v>40</v>
      </c>
      <c r="D4953">
        <v>5.1098600000000003</v>
      </c>
      <c r="E4953">
        <v>0.46416629999999998</v>
      </c>
      <c r="F4953" t="s">
        <v>116</v>
      </c>
      <c r="G4953">
        <v>-217.18049999999999</v>
      </c>
      <c r="H4953" s="1">
        <v>-2.2449049999999998E-6</v>
      </c>
      <c r="I4953">
        <v>-59.281730000000003</v>
      </c>
      <c r="J4953">
        <v>-250.88679999999999</v>
      </c>
      <c r="K4953">
        <v>1.118835</v>
      </c>
      <c r="L4953">
        <v>-63.346040000000002</v>
      </c>
      <c r="M4953">
        <v>0.9994246</v>
      </c>
      <c r="N4953">
        <v>-7.2843700000000001E-3</v>
      </c>
      <c r="O4953">
        <v>3.3130949999999999E-2</v>
      </c>
      <c r="P4953">
        <v>0.97735159999999999</v>
      </c>
      <c r="Q4953">
        <v>0.20832059999999999</v>
      </c>
      <c r="R4953">
        <v>3.7236320000000003E-2</v>
      </c>
      <c r="S4953">
        <v>3.076889</v>
      </c>
      <c r="T4953">
        <v>-0.1016165</v>
      </c>
      <c r="U4953">
        <v>0.36959839999999999</v>
      </c>
      <c r="V4953">
        <v>-4.0550589999999997E-3</v>
      </c>
      <c r="W4953">
        <v>0.21545590000000001</v>
      </c>
      <c r="X4953">
        <v>0.97650519999999996</v>
      </c>
      <c r="Y4953">
        <v>-8.6256780000000005E-2</v>
      </c>
      <c r="Z4953">
        <v>8.8556629999999995E-4</v>
      </c>
      <c r="AA4953">
        <v>0.99627259999999995</v>
      </c>
      <c r="AB4953">
        <v>35</v>
      </c>
      <c r="AC4953">
        <v>33.706299999999999</v>
      </c>
      <c r="AD4953">
        <v>-1.1188372449049999</v>
      </c>
      <c r="AE4953">
        <v>4.0643099999999901</v>
      </c>
      <c r="AF4953">
        <v>-2.9421321769656998</v>
      </c>
      <c r="AG4953">
        <v>-1.1188372449049999</v>
      </c>
      <c r="AH4953">
        <v>33.785760502540001</v>
      </c>
      <c r="AI4953">
        <v>91.889547814775</v>
      </c>
      <c r="AJ4953">
        <v>94.976877049219993</v>
      </c>
      <c r="AK4953">
        <v>33.932072604872097</v>
      </c>
      <c r="AL4953">
        <v>77.557725272078002</v>
      </c>
      <c r="AM4953">
        <v>90.237926465614905</v>
      </c>
      <c r="AN4953">
        <v>1.00000004698767</v>
      </c>
    </row>
    <row r="4954" spans="1:40" x14ac:dyDescent="0.25">
      <c r="A4954" t="str">
        <f>"20190303170911639"</f>
        <v>20190303170911639</v>
      </c>
      <c r="B4954" t="str">
        <f>"1551604151628392"</f>
        <v>1551604151628392</v>
      </c>
      <c r="C4954" t="s">
        <v>40</v>
      </c>
      <c r="D4954">
        <v>5.0267099999999996</v>
      </c>
      <c r="E4954">
        <v>0.45560899999999999</v>
      </c>
      <c r="F4954" t="s">
        <v>116</v>
      </c>
      <c r="G4954">
        <v>-212.61619999999999</v>
      </c>
      <c r="H4954" s="1">
        <v>-5.4587530000000001E-7</v>
      </c>
      <c r="I4954">
        <v>-57.8215</v>
      </c>
      <c r="J4954">
        <v>-250.71449999999999</v>
      </c>
      <c r="K4954">
        <v>1.1188290000000001</v>
      </c>
      <c r="L4954">
        <v>-63.341000000000001</v>
      </c>
      <c r="M4954">
        <v>0.99945010000000001</v>
      </c>
      <c r="N4954">
        <v>-7.2902799999999997E-3</v>
      </c>
      <c r="O4954">
        <v>3.234708E-2</v>
      </c>
      <c r="P4954">
        <v>0.97732730000000001</v>
      </c>
      <c r="Q4954">
        <v>0.20861479999999999</v>
      </c>
      <c r="R4954">
        <v>3.6210480000000003E-2</v>
      </c>
      <c r="S4954">
        <v>3.071777</v>
      </c>
      <c r="T4954">
        <v>-8.9802980000000004E-2</v>
      </c>
      <c r="U4954">
        <v>0.44342039999999999</v>
      </c>
      <c r="V4954">
        <v>-3.794979E-3</v>
      </c>
      <c r="W4954">
        <v>0.21575429999999901</v>
      </c>
      <c r="X4954">
        <v>0.97644030000000004</v>
      </c>
      <c r="Y4954">
        <v>-0.1107308</v>
      </c>
      <c r="Z4954">
        <v>1.310556E-3</v>
      </c>
      <c r="AA4954">
        <v>0.9938496</v>
      </c>
      <c r="AB4954">
        <v>35</v>
      </c>
      <c r="AC4954">
        <v>38.098300000000002</v>
      </c>
      <c r="AD4954">
        <v>-1.1188295458752999</v>
      </c>
      <c r="AE4954">
        <v>5.5194999999999999</v>
      </c>
      <c r="AF4954">
        <v>-4.2805941923505504</v>
      </c>
      <c r="AG4954">
        <v>-1.1188295458752999</v>
      </c>
      <c r="AH4954">
        <v>38.224618584243203</v>
      </c>
      <c r="AI4954">
        <v>91.666152354180099</v>
      </c>
      <c r="AJ4954">
        <v>96.389661742137207</v>
      </c>
      <c r="AK4954">
        <v>38.4798224021783</v>
      </c>
      <c r="AL4954">
        <v>77.540215689227495</v>
      </c>
      <c r="AM4954">
        <v>90.222681494447002</v>
      </c>
      <c r="AN4954">
        <v>0.99999998964909498</v>
      </c>
    </row>
    <row r="4955" spans="1:40" x14ac:dyDescent="0.25">
      <c r="A4955" t="str">
        <f>"20190303170911650"</f>
        <v>20190303170911650</v>
      </c>
      <c r="B4955" t="str">
        <f>"1551604151639129"</f>
        <v>1551604151639129</v>
      </c>
      <c r="C4955" t="s">
        <v>40</v>
      </c>
      <c r="D4955">
        <v>5.0547589999999998</v>
      </c>
      <c r="E4955">
        <v>0.45560899999999999</v>
      </c>
      <c r="F4955" t="s">
        <v>59</v>
      </c>
      <c r="G4955">
        <v>-201.46619999999999</v>
      </c>
      <c r="H4955" s="1">
        <v>-5.9650249999999997E-6</v>
      </c>
      <c r="I4955">
        <v>-55.187130000000003</v>
      </c>
      <c r="J4955">
        <v>-250.5341</v>
      </c>
      <c r="K4955">
        <v>1.1188260000000001</v>
      </c>
      <c r="L4955">
        <v>-63.33578</v>
      </c>
      <c r="M4955">
        <v>0.99947629999999998</v>
      </c>
      <c r="N4955">
        <v>-7.2964989999999997E-3</v>
      </c>
      <c r="O4955">
        <v>3.1527329999999999E-2</v>
      </c>
      <c r="P4955">
        <v>0.97734489999999996</v>
      </c>
      <c r="Q4955">
        <v>0.20866570000000001</v>
      </c>
      <c r="R4955">
        <v>3.5439520000000002E-2</v>
      </c>
      <c r="S4955">
        <v>3.0656430000000001</v>
      </c>
      <c r="T4955">
        <v>-6.9646E-2</v>
      </c>
      <c r="U4955">
        <v>0.50756840000000003</v>
      </c>
      <c r="V4955">
        <v>-3.8242620000000001E-3</v>
      </c>
      <c r="W4955">
        <v>0.21581159999999999</v>
      </c>
      <c r="X4955">
        <v>0.97642759999999995</v>
      </c>
      <c r="Y4955">
        <v>-0.1321167</v>
      </c>
      <c r="Z4955">
        <v>1.4936159999999999E-3</v>
      </c>
      <c r="AA4955">
        <v>0.99123309999999998</v>
      </c>
      <c r="AB4955">
        <v>35</v>
      </c>
      <c r="AC4955">
        <v>49.067900000000002</v>
      </c>
      <c r="AD4955">
        <v>-1.118831965025</v>
      </c>
      <c r="AE4955">
        <v>8.1486499999999999</v>
      </c>
      <c r="AF4955">
        <v>-6.5942415709120796</v>
      </c>
      <c r="AG4955">
        <v>-1.118831965025</v>
      </c>
      <c r="AH4955">
        <v>49.275486950393798</v>
      </c>
      <c r="AI4955">
        <v>91.289225309966596</v>
      </c>
      <c r="AJ4955">
        <v>97.622262296400294</v>
      </c>
      <c r="AK4955">
        <v>49.727350834927201</v>
      </c>
      <c r="AL4955">
        <v>77.536854383179303</v>
      </c>
      <c r="AM4955">
        <v>90.224402661278205</v>
      </c>
      <c r="AN4955">
        <v>1.00000006485808</v>
      </c>
    </row>
    <row r="4956" spans="1:40" x14ac:dyDescent="0.25">
      <c r="A4956" t="str">
        <f>"20190303170911672"</f>
        <v>20190303170911672</v>
      </c>
      <c r="B4956" t="str">
        <f>"1551604151658649"</f>
        <v>1551604151658649</v>
      </c>
      <c r="C4956" t="s">
        <v>40</v>
      </c>
      <c r="D4956">
        <v>5.0140250000000002</v>
      </c>
      <c r="E4956">
        <v>0.40758460000000002</v>
      </c>
      <c r="F4956" t="s">
        <v>59</v>
      </c>
      <c r="G4956">
        <v>-200.98509999999999</v>
      </c>
      <c r="H4956" s="1">
        <v>-6.1505270000000003E-6</v>
      </c>
      <c r="I4956">
        <v>-55.16516</v>
      </c>
      <c r="J4956">
        <v>-250.18549999999999</v>
      </c>
      <c r="K4956">
        <v>1.1188199999999999</v>
      </c>
      <c r="L4956">
        <v>-63.326259999999998</v>
      </c>
      <c r="M4956">
        <v>0.999525</v>
      </c>
      <c r="N4956">
        <v>-7.3090000000000004E-3</v>
      </c>
      <c r="O4956">
        <v>2.994314E-2</v>
      </c>
      <c r="P4956">
        <v>0.97741270000000002</v>
      </c>
      <c r="Q4956">
        <v>0.20857970000000001</v>
      </c>
      <c r="R4956">
        <v>3.4047569999999999E-2</v>
      </c>
      <c r="S4956">
        <v>3.0660099999999999</v>
      </c>
      <c r="T4956">
        <v>-6.9231390000000004E-2</v>
      </c>
      <c r="U4956">
        <v>0.5055847</v>
      </c>
      <c r="V4956">
        <v>-3.9779749999999999E-3</v>
      </c>
      <c r="W4956">
        <v>0.21573800000000001</v>
      </c>
      <c r="X4956">
        <v>0.97644319999999896</v>
      </c>
      <c r="Y4956">
        <v>-0.1330443</v>
      </c>
      <c r="Z4956">
        <v>1.5278970000000001E-3</v>
      </c>
      <c r="AA4956">
        <v>0.99110889999999996</v>
      </c>
      <c r="AB4956">
        <v>35</v>
      </c>
      <c r="AC4956">
        <v>49.200400000000002</v>
      </c>
      <c r="AD4956">
        <v>-1.1188261505270001</v>
      </c>
      <c r="AE4956">
        <v>8.1610999999999905</v>
      </c>
      <c r="AF4956">
        <v>-6.6808245055822599</v>
      </c>
      <c r="AG4956">
        <v>-1.1188261505270001</v>
      </c>
      <c r="AH4956">
        <v>49.3978526056692</v>
      </c>
      <c r="AI4956">
        <v>91.285784679415499</v>
      </c>
      <c r="AJ4956">
        <v>97.7022471228738</v>
      </c>
      <c r="AK4956">
        <v>49.860134677725299</v>
      </c>
      <c r="AL4956">
        <v>77.541172467265895</v>
      </c>
      <c r="AM4956">
        <v>90.233418510757801</v>
      </c>
      <c r="AN4956">
        <v>1.0000000158776601</v>
      </c>
    </row>
    <row r="4957" spans="1:40" x14ac:dyDescent="0.25">
      <c r="A4957" t="str">
        <f>"20190303170911684"</f>
        <v>20190303170911684</v>
      </c>
      <c r="B4957" t="str">
        <f>"1551604151679145"</f>
        <v>1551604151679145</v>
      </c>
      <c r="C4957" t="s">
        <v>40</v>
      </c>
      <c r="D4957">
        <v>5.0207319999999998</v>
      </c>
      <c r="E4957">
        <v>0.40690280000000001</v>
      </c>
      <c r="F4957" t="s">
        <v>53</v>
      </c>
      <c r="G4957">
        <v>-168.45060000000001</v>
      </c>
      <c r="H4957">
        <v>2.2538550000000002</v>
      </c>
      <c r="I4957">
        <v>-39.660919999999997</v>
      </c>
      <c r="J4957">
        <v>-249.9931</v>
      </c>
      <c r="K4957">
        <v>1.118814</v>
      </c>
      <c r="L4957">
        <v>-63.32123</v>
      </c>
      <c r="M4957">
        <v>0.99955070000000001</v>
      </c>
      <c r="N4957">
        <v>-7.315953E-3</v>
      </c>
      <c r="O4957">
        <v>2.906914E-2</v>
      </c>
      <c r="P4957">
        <v>0.9774119</v>
      </c>
      <c r="Q4957">
        <v>0.20864269999999999</v>
      </c>
      <c r="R4957">
        <v>3.3679349999999997E-2</v>
      </c>
      <c r="S4957">
        <v>3.0297550000000002</v>
      </c>
      <c r="T4957">
        <v>4.2072770000000002E-2</v>
      </c>
      <c r="U4957">
        <v>0.8772278</v>
      </c>
      <c r="V4957">
        <v>-4.4630620000000003E-3</v>
      </c>
      <c r="W4957">
        <v>0.21580969999999999</v>
      </c>
      <c r="X4957">
        <v>0.97642519999999999</v>
      </c>
      <c r="Y4957">
        <v>-0.25007030000000002</v>
      </c>
      <c r="Z4957">
        <v>-1.6439539999999999E-4</v>
      </c>
      <c r="AA4957">
        <v>0.96822770000000002</v>
      </c>
      <c r="AB4957">
        <v>35</v>
      </c>
      <c r="AC4957">
        <v>81.542499999999905</v>
      </c>
      <c r="AD4957">
        <v>1.13504099999999</v>
      </c>
      <c r="AE4957">
        <v>23.660309999999999</v>
      </c>
      <c r="AF4957">
        <v>-21.276074830135901</v>
      </c>
      <c r="AG4957">
        <v>1.13504099999999</v>
      </c>
      <c r="AH4957">
        <v>82.181155198539102</v>
      </c>
      <c r="AI4957">
        <v>89.233964827505901</v>
      </c>
      <c r="AJ4957">
        <v>104.51475659430599</v>
      </c>
      <c r="AK4957">
        <v>84.898185775760794</v>
      </c>
      <c r="AL4957">
        <v>77.536964523815996</v>
      </c>
      <c r="AM4957">
        <v>90.261886763572505</v>
      </c>
      <c r="AN4957">
        <v>0.99999995836577205</v>
      </c>
    </row>
    <row r="4958" spans="1:40" x14ac:dyDescent="0.25">
      <c r="A4958" t="str">
        <f>"20190303170911697"</f>
        <v>20190303170911697</v>
      </c>
      <c r="B4958" t="str">
        <f>"1551604151688904"</f>
        <v>1551604151688904</v>
      </c>
      <c r="C4958" t="s">
        <v>40</v>
      </c>
      <c r="D4958">
        <v>4.9981920000000004</v>
      </c>
      <c r="E4958">
        <v>0.40668460000000001</v>
      </c>
      <c r="F4958" t="s">
        <v>53</v>
      </c>
      <c r="G4958">
        <v>-168.45060000000001</v>
      </c>
      <c r="H4958">
        <v>2.3416739999999998</v>
      </c>
      <c r="I4958">
        <v>-39.606990000000003</v>
      </c>
      <c r="J4958">
        <v>-249.8022</v>
      </c>
      <c r="K4958">
        <v>1.1188089999999999</v>
      </c>
      <c r="L4958">
        <v>-63.316409999999998</v>
      </c>
      <c r="M4958">
        <v>0.99957560000000001</v>
      </c>
      <c r="N4958">
        <v>-7.3229200000000001E-3</v>
      </c>
      <c r="O4958">
        <v>2.820224E-2</v>
      </c>
      <c r="P4958">
        <v>0.97747139999999999</v>
      </c>
      <c r="Q4958">
        <v>0.20844460000000001</v>
      </c>
      <c r="R4958">
        <v>3.3178340000000001E-2</v>
      </c>
      <c r="S4958">
        <v>3.0292970000000001</v>
      </c>
      <c r="T4958">
        <v>4.5428400000000001E-2</v>
      </c>
      <c r="U4958">
        <v>0.88098140000000003</v>
      </c>
      <c r="V4958">
        <v>-4.807342E-3</v>
      </c>
      <c r="W4958">
        <v>0.21562020000000001</v>
      </c>
      <c r="X4958">
        <v>0.97646549999999999</v>
      </c>
      <c r="Y4958">
        <v>-0.25205280000000002</v>
      </c>
      <c r="Z4958">
        <v>-2.9341760000000001E-4</v>
      </c>
      <c r="AA4958">
        <v>0.96771339999999995</v>
      </c>
      <c r="AB4958">
        <v>35</v>
      </c>
      <c r="AC4958">
        <v>81.351599999999905</v>
      </c>
      <c r="AD4958">
        <v>1.2228650000000001</v>
      </c>
      <c r="AE4958">
        <v>23.709419999999898</v>
      </c>
      <c r="AF4958">
        <v>-21.401173198624399</v>
      </c>
      <c r="AG4958">
        <v>1.2228650000000001</v>
      </c>
      <c r="AH4958">
        <v>81.970844459888497</v>
      </c>
      <c r="AI4958">
        <v>89.173024640434306</v>
      </c>
      <c r="AJ4958">
        <v>104.632309515079</v>
      </c>
      <c r="AK4958">
        <v>84.7273565889612</v>
      </c>
      <c r="AL4958">
        <v>77.548084731611794</v>
      </c>
      <c r="AM4958">
        <v>90.2820767164188</v>
      </c>
      <c r="AN4958">
        <v>1.0000000269376901</v>
      </c>
    </row>
    <row r="4959" spans="1:40" x14ac:dyDescent="0.25">
      <c r="A4959" t="str">
        <f>"20190303170911710"</f>
        <v>20190303170911710</v>
      </c>
      <c r="B4959" t="str">
        <f>"1551604151698664"</f>
        <v>1551604151698664</v>
      </c>
      <c r="C4959" t="s">
        <v>40</v>
      </c>
      <c r="D4959">
        <v>5.0055639999999997</v>
      </c>
      <c r="E4959">
        <v>0.40662910000000002</v>
      </c>
      <c r="F4959" t="s">
        <v>53</v>
      </c>
      <c r="G4959">
        <v>-168.45060000000001</v>
      </c>
      <c r="H4959">
        <v>2.294502</v>
      </c>
      <c r="I4959">
        <v>-39.659880000000001</v>
      </c>
      <c r="J4959">
        <v>-249.5926</v>
      </c>
      <c r="K4959">
        <v>1.1188020000000001</v>
      </c>
      <c r="L4959">
        <v>-63.311219999999999</v>
      </c>
      <c r="M4959">
        <v>0.99960179999999998</v>
      </c>
      <c r="N4959">
        <v>-7.330601E-3</v>
      </c>
      <c r="O4959">
        <v>2.7250980000000001E-2</v>
      </c>
      <c r="P4959">
        <v>0.97750930000000003</v>
      </c>
      <c r="Q4959">
        <v>0.2083806</v>
      </c>
      <c r="R4959">
        <v>3.2457050000000001E-2</v>
      </c>
      <c r="S4959">
        <v>3.0298919999999998</v>
      </c>
      <c r="T4959">
        <v>4.3787239999999998E-2</v>
      </c>
      <c r="U4959">
        <v>0.881073</v>
      </c>
      <c r="V4959">
        <v>-5.0146050000000001E-3</v>
      </c>
      <c r="W4959">
        <v>0.21556439999999999</v>
      </c>
      <c r="X4959">
        <v>0.97647680000000003</v>
      </c>
      <c r="Y4959">
        <v>-0.25295040000000002</v>
      </c>
      <c r="Z4959">
        <v>-2.6330610000000002E-4</v>
      </c>
      <c r="AA4959">
        <v>0.96747919999999998</v>
      </c>
      <c r="AB4959">
        <v>35</v>
      </c>
      <c r="AC4959">
        <v>81.141999999999996</v>
      </c>
      <c r="AD4959">
        <v>1.1757</v>
      </c>
      <c r="AE4959">
        <v>23.651340000000001</v>
      </c>
      <c r="AF4959">
        <v>-21.427151441526298</v>
      </c>
      <c r="AG4959">
        <v>1.1757</v>
      </c>
      <c r="AH4959">
        <v>81.740586553624098</v>
      </c>
      <c r="AI4959">
        <v>89.202882454352306</v>
      </c>
      <c r="AJ4959">
        <v>104.68879162254299</v>
      </c>
      <c r="AK4959">
        <v>84.510523483875204</v>
      </c>
      <c r="AL4959">
        <v>77.551359108961293</v>
      </c>
      <c r="AM4959">
        <v>90.294234514051496</v>
      </c>
      <c r="AN4959">
        <v>1.00000004887445</v>
      </c>
    </row>
    <row r="4960" spans="1:40" x14ac:dyDescent="0.25">
      <c r="A4960" t="str">
        <f>"20190303170911723"</f>
        <v>20190303170911723</v>
      </c>
      <c r="B4960" t="str">
        <f>"1551604151719161"</f>
        <v>1551604151719161</v>
      </c>
      <c r="C4960" t="s">
        <v>40</v>
      </c>
      <c r="D4960">
        <v>5.0056000000000003</v>
      </c>
      <c r="E4960">
        <v>0.406337</v>
      </c>
      <c r="F4960" t="s">
        <v>53</v>
      </c>
      <c r="G4960">
        <v>-168.45060000000001</v>
      </c>
      <c r="H4960">
        <v>2.293088</v>
      </c>
      <c r="I4960">
        <v>-39.769289999999998</v>
      </c>
      <c r="J4960">
        <v>-249.39109999999999</v>
      </c>
      <c r="K4960">
        <v>1.118798</v>
      </c>
      <c r="L4960">
        <v>-63.306550000000001</v>
      </c>
      <c r="M4960">
        <v>0.99962620000000002</v>
      </c>
      <c r="N4960">
        <v>-7.3379029999999998E-3</v>
      </c>
      <c r="O4960">
        <v>2.633686E-2</v>
      </c>
      <c r="P4960">
        <v>0.97753000000000001</v>
      </c>
      <c r="Q4960">
        <v>0.20840230000000001</v>
      </c>
      <c r="R4960">
        <v>3.1680350000000003E-2</v>
      </c>
      <c r="S4960">
        <v>3.0304869999999999</v>
      </c>
      <c r="T4960">
        <v>4.385638E-2</v>
      </c>
      <c r="U4960">
        <v>0.87924190000000002</v>
      </c>
      <c r="V4960">
        <v>-5.1300479999999999E-3</v>
      </c>
      <c r="W4960">
        <v>0.2155937</v>
      </c>
      <c r="X4960">
        <v>0.9764697</v>
      </c>
      <c r="Y4960">
        <v>-0.25324479999999999</v>
      </c>
      <c r="Z4960">
        <v>-2.848064E-4</v>
      </c>
      <c r="AA4960">
        <v>0.96740219999999999</v>
      </c>
      <c r="AB4960">
        <v>35</v>
      </c>
      <c r="AC4960">
        <v>80.940499999999901</v>
      </c>
      <c r="AD4960">
        <v>1.1742900000000001</v>
      </c>
      <c r="AE4960">
        <v>23.53726</v>
      </c>
      <c r="AF4960">
        <v>-21.393167245447799</v>
      </c>
      <c r="AG4960">
        <v>1.1742900000000001</v>
      </c>
      <c r="AH4960">
        <v>81.516516316653593</v>
      </c>
      <c r="AI4960">
        <v>89.2017096008518</v>
      </c>
      <c r="AJ4960">
        <v>104.70506976749699</v>
      </c>
      <c r="AK4960">
        <v>84.285164733771893</v>
      </c>
      <c r="AL4960">
        <v>77.549639527073595</v>
      </c>
      <c r="AM4960">
        <v>90.301010256525402</v>
      </c>
      <c r="AN4960">
        <v>1.00000001794513</v>
      </c>
    </row>
    <row r="4961" spans="1:40" x14ac:dyDescent="0.25">
      <c r="A4961" t="str">
        <f>"20190303170911734"</f>
        <v>20190303170911734</v>
      </c>
      <c r="B4961" t="str">
        <f>"1551604151728920"</f>
        <v>1551604151728920</v>
      </c>
      <c r="C4961" t="s">
        <v>40</v>
      </c>
      <c r="D4961">
        <v>4.9892110000000001</v>
      </c>
      <c r="E4961">
        <v>0.40614699999999998</v>
      </c>
      <c r="F4961" t="s">
        <v>53</v>
      </c>
      <c r="G4961">
        <v>-168.45060000000001</v>
      </c>
      <c r="H4961">
        <v>2.3317009999999998</v>
      </c>
      <c r="I4961">
        <v>-39.830329999999996</v>
      </c>
      <c r="J4961">
        <v>-249.2099</v>
      </c>
      <c r="K4961">
        <v>1.118795</v>
      </c>
      <c r="L4961">
        <v>-63.302430000000001</v>
      </c>
      <c r="M4961">
        <v>0.99964739999999996</v>
      </c>
      <c r="N4961">
        <v>-7.3445029999999996E-3</v>
      </c>
      <c r="O4961">
        <v>2.551484E-2</v>
      </c>
      <c r="P4961">
        <v>0.97752510000000004</v>
      </c>
      <c r="Q4961">
        <v>0.2085224</v>
      </c>
      <c r="R4961">
        <v>3.1034889999999999E-2</v>
      </c>
      <c r="S4961">
        <v>3.0307919999999999</v>
      </c>
      <c r="T4961">
        <v>4.5415999999999998E-2</v>
      </c>
      <c r="U4961">
        <v>0.87905880000000003</v>
      </c>
      <c r="V4961">
        <v>-5.286341E-3</v>
      </c>
      <c r="W4961">
        <v>0.21572079999999999</v>
      </c>
      <c r="X4961">
        <v>0.9764408</v>
      </c>
      <c r="Y4961">
        <v>-0.25395909999999999</v>
      </c>
      <c r="Z4961">
        <v>-3.5477339999999999E-4</v>
      </c>
      <c r="AA4961">
        <v>0.96721489999999999</v>
      </c>
      <c r="AB4961">
        <v>35</v>
      </c>
      <c r="AC4961">
        <v>80.759299999999996</v>
      </c>
      <c r="AD4961">
        <v>1.21290599999999</v>
      </c>
      <c r="AE4961">
        <v>23.472100000000001</v>
      </c>
      <c r="AF4961">
        <v>-21.3993908248064</v>
      </c>
      <c r="AG4961">
        <v>1.21290599999999</v>
      </c>
      <c r="AH4961">
        <v>81.314996913285199</v>
      </c>
      <c r="AI4961">
        <v>89.173566286046395</v>
      </c>
      <c r="AJ4961">
        <v>104.74402901505501</v>
      </c>
      <c r="AK4961">
        <v>84.092412212073199</v>
      </c>
      <c r="AL4961">
        <v>77.542181802255897</v>
      </c>
      <c r="AM4961">
        <v>90.3101898949879</v>
      </c>
      <c r="AN4961">
        <v>1.00000002242922</v>
      </c>
    </row>
    <row r="4962" spans="1:40" x14ac:dyDescent="0.25">
      <c r="A4962" t="str">
        <f>"20190303170911745"</f>
        <v>20190303170911745</v>
      </c>
      <c r="B4962" t="str">
        <f>"1551604151738680"</f>
        <v>1551604151738680</v>
      </c>
      <c r="C4962" t="s">
        <v>40</v>
      </c>
      <c r="D4962">
        <v>5.0127300000000004</v>
      </c>
      <c r="E4962">
        <v>0.40597870000000003</v>
      </c>
      <c r="F4962" t="s">
        <v>53</v>
      </c>
      <c r="G4962">
        <v>-168.45060000000001</v>
      </c>
      <c r="H4962">
        <v>2.3502930000000002</v>
      </c>
      <c r="I4962">
        <v>-39.889499999999998</v>
      </c>
      <c r="J4962">
        <v>-249.02690000000001</v>
      </c>
      <c r="K4962">
        <v>1.1187929999999999</v>
      </c>
      <c r="L4962">
        <v>-63.298430000000003</v>
      </c>
      <c r="M4962">
        <v>0.99966829999999995</v>
      </c>
      <c r="N4962">
        <v>-7.3512109999999999E-3</v>
      </c>
      <c r="O4962">
        <v>2.4684830000000001E-2</v>
      </c>
      <c r="P4962">
        <v>0.97747169999999906</v>
      </c>
      <c r="Q4962">
        <v>0.20885880000000001</v>
      </c>
      <c r="R4962">
        <v>3.045148E-2</v>
      </c>
      <c r="S4962">
        <v>3.0312350000000001</v>
      </c>
      <c r="T4962">
        <v>4.6222449999999998E-2</v>
      </c>
      <c r="U4962">
        <v>0.87878419999999902</v>
      </c>
      <c r="V4962">
        <v>-5.513591E-3</v>
      </c>
      <c r="W4962">
        <v>0.21606439999999999</v>
      </c>
      <c r="X4962">
        <v>0.97636350000000005</v>
      </c>
      <c r="Y4962">
        <v>-0.2546427</v>
      </c>
      <c r="Z4962">
        <v>-4.009199E-4</v>
      </c>
      <c r="AA4962">
        <v>0.96703510000000004</v>
      </c>
      <c r="AB4962">
        <v>35</v>
      </c>
      <c r="AC4962">
        <v>80.576300000000003</v>
      </c>
      <c r="AD4962">
        <v>1.2315</v>
      </c>
      <c r="AE4962">
        <v>23.408930000000002</v>
      </c>
      <c r="AF4962">
        <v>-21.408119091991701</v>
      </c>
      <c r="AG4962">
        <v>1.2315</v>
      </c>
      <c r="AH4962">
        <v>81.112134466183704</v>
      </c>
      <c r="AI4962">
        <v>89.158959160536995</v>
      </c>
      <c r="AJ4962">
        <v>104.785055906767</v>
      </c>
      <c r="AK4962">
        <v>83.898763476985593</v>
      </c>
      <c r="AL4962">
        <v>77.522018624467293</v>
      </c>
      <c r="AM4962">
        <v>90.323549719254999</v>
      </c>
      <c r="AN4962">
        <v>0.99999995438266098</v>
      </c>
    </row>
    <row r="4963" spans="1:40" x14ac:dyDescent="0.25">
      <c r="A4963" t="str">
        <f>"20190303170911756"</f>
        <v>20190303170911756</v>
      </c>
      <c r="B4963" t="str">
        <f>"1551604151748440"</f>
        <v>1551604151748440</v>
      </c>
      <c r="C4963" t="s">
        <v>40</v>
      </c>
      <c r="D4963">
        <v>4.9478589999999896</v>
      </c>
      <c r="E4963">
        <v>0.40580840000000001</v>
      </c>
      <c r="F4963" t="s">
        <v>53</v>
      </c>
      <c r="G4963">
        <v>-168.45060000000001</v>
      </c>
      <c r="H4963">
        <v>2.3648829999999998</v>
      </c>
      <c r="I4963">
        <v>-39.956339999999997</v>
      </c>
      <c r="J4963">
        <v>-248.85749999999999</v>
      </c>
      <c r="K4963">
        <v>1.1187910000000001</v>
      </c>
      <c r="L4963">
        <v>-63.29486</v>
      </c>
      <c r="M4963">
        <v>0.99968699999999999</v>
      </c>
      <c r="N4963">
        <v>-7.3573980000000002E-3</v>
      </c>
      <c r="O4963">
        <v>2.3916750000000001E-2</v>
      </c>
      <c r="P4963">
        <v>0.97745380000000004</v>
      </c>
      <c r="Q4963">
        <v>0.2090195</v>
      </c>
      <c r="R4963">
        <v>2.991715E-2</v>
      </c>
      <c r="S4963">
        <v>3.0317539999999998</v>
      </c>
      <c r="T4963">
        <v>4.6884420000000003E-2</v>
      </c>
      <c r="U4963">
        <v>0.87826539999999997</v>
      </c>
      <c r="V4963">
        <v>-5.7284659999999998E-3</v>
      </c>
      <c r="W4963">
        <v>0.21623110000000001</v>
      </c>
      <c r="X4963">
        <v>0.97632540000000001</v>
      </c>
      <c r="Y4963">
        <v>-0.25518809999999997</v>
      </c>
      <c r="Z4963">
        <v>-4.4098029999999999E-4</v>
      </c>
      <c r="AA4963">
        <v>0.96689130000000001</v>
      </c>
      <c r="AB4963">
        <v>35</v>
      </c>
      <c r="AC4963">
        <v>80.406899999999894</v>
      </c>
      <c r="AD4963">
        <v>1.246092</v>
      </c>
      <c r="AE4963">
        <v>23.3385199999999</v>
      </c>
      <c r="AF4963">
        <v>-21.403979091678799</v>
      </c>
      <c r="AG4963">
        <v>1.246092</v>
      </c>
      <c r="AH4963">
        <v>80.924170081747505</v>
      </c>
      <c r="AI4963">
        <v>89.147137140124798</v>
      </c>
      <c r="AJ4963">
        <v>104.81514867472001</v>
      </c>
      <c r="AK4963">
        <v>83.716213302138101</v>
      </c>
      <c r="AL4963">
        <v>77.512236686076804</v>
      </c>
      <c r="AM4963">
        <v>90.336171893669004</v>
      </c>
      <c r="AN4963">
        <v>0.99999999530754102</v>
      </c>
    </row>
    <row r="4964" spans="1:40" x14ac:dyDescent="0.25">
      <c r="A4964" t="str">
        <f>"20190303170911766"</f>
        <v>20190303170911766</v>
      </c>
      <c r="B4964" t="str">
        <f>"1551604151759176"</f>
        <v>1551604151759176</v>
      </c>
      <c r="C4964" t="s">
        <v>40</v>
      </c>
      <c r="D4964">
        <v>4.9900710000000004</v>
      </c>
      <c r="E4964">
        <v>0.40573320000000002</v>
      </c>
      <c r="F4964" t="s">
        <v>53</v>
      </c>
      <c r="G4964">
        <v>-168.45060000000001</v>
      </c>
      <c r="H4964">
        <v>2.35954</v>
      </c>
      <c r="I4964">
        <v>-40.020069999999997</v>
      </c>
      <c r="J4964">
        <v>-248.6781</v>
      </c>
      <c r="K4964">
        <v>1.11879</v>
      </c>
      <c r="L4964">
        <v>-63.291200000000003</v>
      </c>
      <c r="M4964">
        <v>0.99970610000000004</v>
      </c>
      <c r="N4964">
        <v>-7.3639350000000003E-3</v>
      </c>
      <c r="O4964">
        <v>2.310355E-2</v>
      </c>
      <c r="P4964">
        <v>0.97739909999999997</v>
      </c>
      <c r="Q4964">
        <v>0.20934910000000001</v>
      </c>
      <c r="R4964">
        <v>2.9402040000000001E-2</v>
      </c>
      <c r="S4964">
        <v>3.0323329999999999</v>
      </c>
      <c r="T4964">
        <v>4.6790720000000001E-2</v>
      </c>
      <c r="U4964">
        <v>0.87774660000000004</v>
      </c>
      <c r="V4964">
        <v>-6.0073369999999997E-3</v>
      </c>
      <c r="W4964">
        <v>0.2165677</v>
      </c>
      <c r="X4964">
        <v>0.97624909999999998</v>
      </c>
      <c r="Y4964">
        <v>-0.25577240000000001</v>
      </c>
      <c r="Z4964">
        <v>-4.569814E-4</v>
      </c>
      <c r="AA4964">
        <v>0.96673690000000001</v>
      </c>
      <c r="AB4964">
        <v>35</v>
      </c>
      <c r="AC4964">
        <v>80.227499999999907</v>
      </c>
      <c r="AD4964">
        <v>1.24075</v>
      </c>
      <c r="AE4964">
        <v>23.271129999999999</v>
      </c>
      <c r="AF4964">
        <v>-21.406605376290599</v>
      </c>
      <c r="AG4964">
        <v>1.24075</v>
      </c>
      <c r="AH4964">
        <v>80.725935060900497</v>
      </c>
      <c r="AI4964">
        <v>89.148851432117695</v>
      </c>
      <c r="AJ4964">
        <v>104.85166547759</v>
      </c>
      <c r="AK4964">
        <v>83.525198627452895</v>
      </c>
      <c r="AL4964">
        <v>77.492482676333395</v>
      </c>
      <c r="AM4964">
        <v>90.352564434577999</v>
      </c>
      <c r="AN4964">
        <v>0.99999998101596499</v>
      </c>
    </row>
    <row r="4965" spans="1:40" x14ac:dyDescent="0.25">
      <c r="A4965" t="str">
        <f>"20190303170911777"</f>
        <v>20190303170911777</v>
      </c>
      <c r="B4965" t="str">
        <f>"1551604151768937"</f>
        <v>1551604151768937</v>
      </c>
      <c r="C4965" t="s">
        <v>40</v>
      </c>
      <c r="D4965">
        <v>4.9858760000000002</v>
      </c>
      <c r="E4965">
        <v>0.40565289999999998</v>
      </c>
      <c r="F4965" t="s">
        <v>53</v>
      </c>
      <c r="G4965">
        <v>-168.45060000000001</v>
      </c>
      <c r="H4965">
        <v>2.391597</v>
      </c>
      <c r="I4965">
        <v>-40.090960000000003</v>
      </c>
      <c r="J4965">
        <v>-248.5086</v>
      </c>
      <c r="K4965">
        <v>1.1187879999999999</v>
      </c>
      <c r="L4965">
        <v>-63.287959999999998</v>
      </c>
      <c r="M4965">
        <v>0.99972340000000004</v>
      </c>
      <c r="N4965">
        <v>-7.3700959999999996E-3</v>
      </c>
      <c r="O4965">
        <v>2.2335290000000001E-2</v>
      </c>
      <c r="P4965">
        <v>0.97741199999999995</v>
      </c>
      <c r="Q4965">
        <v>0.2093332</v>
      </c>
      <c r="R4965">
        <v>2.9076910000000001E-2</v>
      </c>
      <c r="S4965">
        <v>3.032654</v>
      </c>
      <c r="T4965">
        <v>4.8112149999999999E-2</v>
      </c>
      <c r="U4965">
        <v>0.87698359999999997</v>
      </c>
      <c r="V4965">
        <v>-6.4318930000000002E-3</v>
      </c>
      <c r="W4965">
        <v>0.2165598</v>
      </c>
      <c r="X4965">
        <v>0.97624820000000001</v>
      </c>
      <c r="Y4965">
        <v>-0.2562623</v>
      </c>
      <c r="Z4965">
        <v>-5.2014719999999995E-4</v>
      </c>
      <c r="AA4965">
        <v>0.9666072</v>
      </c>
      <c r="AB4965">
        <v>35</v>
      </c>
      <c r="AC4965">
        <v>80.057999999999893</v>
      </c>
      <c r="AD4965">
        <v>1.2728090000000001</v>
      </c>
      <c r="AE4965">
        <v>23.196999999999999</v>
      </c>
      <c r="AF4965">
        <v>-21.398055959480601</v>
      </c>
      <c r="AG4965">
        <v>1.2728090000000001</v>
      </c>
      <c r="AH4965">
        <v>80.537372825431603</v>
      </c>
      <c r="AI4965">
        <v>89.124930185724594</v>
      </c>
      <c r="AJ4965">
        <v>104.879214794006</v>
      </c>
      <c r="AK4965">
        <v>83.341257869185796</v>
      </c>
      <c r="AL4965">
        <v>77.492946965298799</v>
      </c>
      <c r="AM4965">
        <v>90.377480840661704</v>
      </c>
      <c r="AN4965">
        <v>1.0000000321134199</v>
      </c>
    </row>
    <row r="4966" spans="1:40" x14ac:dyDescent="0.25">
      <c r="A4966" t="str">
        <f>"20190303170911789"</f>
        <v>20190303170911789</v>
      </c>
      <c r="B4966" t="str">
        <f>"1551604151778696"</f>
        <v>1551604151778696</v>
      </c>
      <c r="C4966" t="s">
        <v>40</v>
      </c>
      <c r="D4966">
        <v>4.9938409999999998</v>
      </c>
      <c r="E4966">
        <v>0.40550629999999999</v>
      </c>
      <c r="F4966" t="s">
        <v>53</v>
      </c>
      <c r="G4966">
        <v>-168.45060000000001</v>
      </c>
      <c r="H4966">
        <v>2.380385</v>
      </c>
      <c r="I4966">
        <v>-40.15014</v>
      </c>
      <c r="J4966">
        <v>-248.3297</v>
      </c>
      <c r="K4966">
        <v>1.1187849999999999</v>
      </c>
      <c r="L4966">
        <v>-63.284579999999998</v>
      </c>
      <c r="M4966">
        <v>0.9997412</v>
      </c>
      <c r="N4966">
        <v>-7.3765899999999997E-3</v>
      </c>
      <c r="O4966">
        <v>2.152478E-2</v>
      </c>
      <c r="P4966">
        <v>0.97737909999999995</v>
      </c>
      <c r="Q4966">
        <v>0.20955280000000001</v>
      </c>
      <c r="R4966">
        <v>2.859654E-2</v>
      </c>
      <c r="S4966">
        <v>3.0330349999999999</v>
      </c>
      <c r="T4966">
        <v>4.7795410000000003E-2</v>
      </c>
      <c r="U4966">
        <v>0.87658689999999995</v>
      </c>
      <c r="V4966">
        <v>-6.7425080000000004E-3</v>
      </c>
      <c r="W4966">
        <v>0.21678649999999999</v>
      </c>
      <c r="X4966">
        <v>0.97619579999999995</v>
      </c>
      <c r="Y4966">
        <v>-0.25689689999999998</v>
      </c>
      <c r="Z4966">
        <v>-5.2905200000000002E-4</v>
      </c>
      <c r="AA4966">
        <v>0.96643869999999998</v>
      </c>
      <c r="AB4966">
        <v>35</v>
      </c>
      <c r="AC4966">
        <v>79.879099999999994</v>
      </c>
      <c r="AD4966">
        <v>1.2615999999999901</v>
      </c>
      <c r="AE4966">
        <v>23.134440000000001</v>
      </c>
      <c r="AF4966">
        <v>-21.404727010827401</v>
      </c>
      <c r="AG4966">
        <v>1.2615999999999901</v>
      </c>
      <c r="AH4966">
        <v>80.340079798102707</v>
      </c>
      <c r="AI4966">
        <v>89.130664490178106</v>
      </c>
      <c r="AJ4966">
        <v>104.918569929451</v>
      </c>
      <c r="AK4966">
        <v>83.152164102526896</v>
      </c>
      <c r="AL4966">
        <v>77.479642091866495</v>
      </c>
      <c r="AM4966">
        <v>90.395731172729597</v>
      </c>
      <c r="AN4966">
        <v>1.000000043967</v>
      </c>
    </row>
    <row r="4967" spans="1:40" x14ac:dyDescent="0.25">
      <c r="A4967" t="str">
        <f>"20190303170911800"</f>
        <v>20190303170911800</v>
      </c>
      <c r="B4967" t="str">
        <f>"1551604151788456"</f>
        <v>1551604151788456</v>
      </c>
      <c r="C4967" t="s">
        <v>40</v>
      </c>
      <c r="D4967">
        <v>5.0035679999999996</v>
      </c>
      <c r="E4967">
        <v>0.405418</v>
      </c>
      <c r="F4967" t="s">
        <v>53</v>
      </c>
      <c r="G4967">
        <v>-168.45060000000001</v>
      </c>
      <c r="H4967">
        <v>2.396191</v>
      </c>
      <c r="I4967">
        <v>-40.209380000000003</v>
      </c>
      <c r="J4967">
        <v>-248.15770000000001</v>
      </c>
      <c r="K4967">
        <v>1.1187830000000001</v>
      </c>
      <c r="L4967">
        <v>-63.281559999999999</v>
      </c>
      <c r="M4967">
        <v>0.99975749999999997</v>
      </c>
      <c r="N4967">
        <v>-7.3828710000000001E-3</v>
      </c>
      <c r="O4967">
        <v>2.074579E-2</v>
      </c>
      <c r="P4967">
        <v>0.97737419999999997</v>
      </c>
      <c r="Q4967">
        <v>0.20965610000000001</v>
      </c>
      <c r="R4967">
        <v>2.8004350000000001E-2</v>
      </c>
      <c r="S4967">
        <v>3.033417</v>
      </c>
      <c r="T4967">
        <v>4.8508759999999998E-2</v>
      </c>
      <c r="U4967">
        <v>0.87628169999999905</v>
      </c>
      <c r="V4967">
        <v>-6.910841E-3</v>
      </c>
      <c r="W4967">
        <v>0.21689629999999999</v>
      </c>
      <c r="X4967">
        <v>0.97617019999999999</v>
      </c>
      <c r="Y4967">
        <v>-0.2575268</v>
      </c>
      <c r="Z4967">
        <v>-5.729687E-4</v>
      </c>
      <c r="AA4967">
        <v>0.96627099999999999</v>
      </c>
      <c r="AB4967">
        <v>36</v>
      </c>
      <c r="AC4967">
        <v>79.707099999999997</v>
      </c>
      <c r="AD4967">
        <v>1.2774080000000001</v>
      </c>
      <c r="AE4967">
        <v>23.072179999999999</v>
      </c>
      <c r="AF4967">
        <v>-21.4085088432</v>
      </c>
      <c r="AG4967">
        <v>1.2774080000000001</v>
      </c>
      <c r="AH4967">
        <v>80.149614140214993</v>
      </c>
      <c r="AI4967">
        <v>89.117831348090107</v>
      </c>
      <c r="AJ4967">
        <v>104.95495943049301</v>
      </c>
      <c r="AK4967">
        <v>82.969371872475904</v>
      </c>
      <c r="AL4967">
        <v>77.473197276084804</v>
      </c>
      <c r="AM4967">
        <v>90.405621281191202</v>
      </c>
      <c r="AN4967">
        <v>1.0000000120225201</v>
      </c>
    </row>
    <row r="4968" spans="1:40" x14ac:dyDescent="0.25">
      <c r="A4968" t="str">
        <f>"20190303170911811"</f>
        <v>20190303170911811</v>
      </c>
      <c r="B4968" t="str">
        <f>"1551604151798217"</f>
        <v>1551604151798217</v>
      </c>
      <c r="C4968" t="s">
        <v>40</v>
      </c>
      <c r="D4968">
        <v>4.9937589999999998</v>
      </c>
      <c r="E4968">
        <v>0.40532079999999998</v>
      </c>
      <c r="F4968" t="s">
        <v>53</v>
      </c>
      <c r="G4968">
        <v>-168.45060000000001</v>
      </c>
      <c r="H4968">
        <v>2.3936220000000001</v>
      </c>
      <c r="I4968">
        <v>-40.288969999999999</v>
      </c>
      <c r="J4968">
        <v>-247.9813</v>
      </c>
      <c r="K4968">
        <v>1.118773</v>
      </c>
      <c r="L4968">
        <v>-63.278500000000001</v>
      </c>
      <c r="M4968">
        <v>0.99977369999999999</v>
      </c>
      <c r="N4968">
        <v>-7.3893229999999997E-3</v>
      </c>
      <c r="O4968">
        <v>1.9946780000000001E-2</v>
      </c>
      <c r="P4968">
        <v>0.97736590000000001</v>
      </c>
      <c r="Q4968">
        <v>0.20975679999999999</v>
      </c>
      <c r="R4968">
        <v>2.7534840000000001E-2</v>
      </c>
      <c r="S4968">
        <v>3.0339510000000001</v>
      </c>
      <c r="T4968">
        <v>4.8524379999999999E-2</v>
      </c>
      <c r="U4968">
        <v>0.87518309999999999</v>
      </c>
      <c r="V4968">
        <v>-7.2202029999999997E-3</v>
      </c>
      <c r="W4968">
        <v>0.21700430000000001</v>
      </c>
      <c r="X4968">
        <v>0.97614400000000001</v>
      </c>
      <c r="Y4968">
        <v>-0.25793050000000001</v>
      </c>
      <c r="Z4968">
        <v>-5.9231599999999996E-4</v>
      </c>
      <c r="AA4968">
        <v>0.96616329999999995</v>
      </c>
      <c r="AB4968">
        <v>36</v>
      </c>
      <c r="AC4968">
        <v>79.530699999999996</v>
      </c>
      <c r="AD4968">
        <v>1.2748489999999999</v>
      </c>
      <c r="AE4968">
        <v>22.989529999999998</v>
      </c>
      <c r="AF4968">
        <v>-21.3934579448341</v>
      </c>
      <c r="AG4968">
        <v>1.2748489999999999</v>
      </c>
      <c r="AH4968">
        <v>79.954495590716704</v>
      </c>
      <c r="AI4968">
        <v>89.1175521926166</v>
      </c>
      <c r="AJ4968">
        <v>104.97974976984599</v>
      </c>
      <c r="AK4968">
        <v>82.776969308957703</v>
      </c>
      <c r="AL4968">
        <v>77.466858879438007</v>
      </c>
      <c r="AM4968">
        <v>90.423789538249906</v>
      </c>
      <c r="AN4968">
        <v>1.0000000531429201</v>
      </c>
    </row>
    <row r="4969" spans="1:40" x14ac:dyDescent="0.25">
      <c r="A4969" t="str">
        <f>"20190303170911824"</f>
        <v>20190303170911824</v>
      </c>
      <c r="B4969" t="str">
        <f>"1551604151818712"</f>
        <v>1551604151818712</v>
      </c>
      <c r="C4969" t="s">
        <v>40</v>
      </c>
      <c r="D4969">
        <v>4.988944</v>
      </c>
      <c r="E4969">
        <v>0.40491270000000001</v>
      </c>
      <c r="F4969" t="s">
        <v>53</v>
      </c>
      <c r="G4969">
        <v>-168.45060000000001</v>
      </c>
      <c r="H4969">
        <v>2.3732440000000001</v>
      </c>
      <c r="I4969">
        <v>-40.36074</v>
      </c>
      <c r="J4969">
        <v>-247.78049999999999</v>
      </c>
      <c r="K4969">
        <v>1.1187670000000001</v>
      </c>
      <c r="L4969">
        <v>-63.275239999999997</v>
      </c>
      <c r="M4969">
        <v>0.99979150000000006</v>
      </c>
      <c r="N4969">
        <v>-7.3967149999999999E-3</v>
      </c>
      <c r="O4969">
        <v>1.90379E-2</v>
      </c>
      <c r="P4969">
        <v>0.97738329999999995</v>
      </c>
      <c r="Q4969">
        <v>0.2097657</v>
      </c>
      <c r="R4969">
        <v>2.6849410000000001E-2</v>
      </c>
      <c r="S4969">
        <v>3.0345759999999999</v>
      </c>
      <c r="T4969">
        <v>4.7864909999999997E-2</v>
      </c>
      <c r="U4969">
        <v>0.87445069999999903</v>
      </c>
      <c r="V4969">
        <v>-7.4217190000000002E-3</v>
      </c>
      <c r="W4969">
        <v>0.21702150000000001</v>
      </c>
      <c r="X4969">
        <v>0.97613859999999997</v>
      </c>
      <c r="Y4969">
        <v>-0.25854070000000001</v>
      </c>
      <c r="Z4969">
        <v>-5.9077239999999996E-4</v>
      </c>
      <c r="AA4969">
        <v>0.96600019999999998</v>
      </c>
      <c r="AB4969">
        <v>36</v>
      </c>
      <c r="AC4969">
        <v>79.329899999999895</v>
      </c>
      <c r="AD4969">
        <v>1.2544769999999901</v>
      </c>
      <c r="AE4969">
        <v>22.9145</v>
      </c>
      <c r="AF4969">
        <v>-21.3950928061161</v>
      </c>
      <c r="AG4969">
        <v>1.2544769999999901</v>
      </c>
      <c r="AH4969">
        <v>79.733374519874801</v>
      </c>
      <c r="AI4969">
        <v>89.129409646738395</v>
      </c>
      <c r="AJ4969">
        <v>105.02051363389</v>
      </c>
      <c r="AK4969">
        <v>82.563519311209504</v>
      </c>
      <c r="AL4969">
        <v>77.465848527642194</v>
      </c>
      <c r="AM4969">
        <v>90.435619472267902</v>
      </c>
      <c r="AN4969">
        <v>0.999999989892562</v>
      </c>
    </row>
    <row r="4970" spans="1:40" x14ac:dyDescent="0.25">
      <c r="A4970" t="str">
        <f>"20190303170911835"</f>
        <v>20190303170911835</v>
      </c>
      <c r="B4970" t="str">
        <f>"1551604151828472"</f>
        <v>1551604151828472</v>
      </c>
      <c r="C4970" t="s">
        <v>40</v>
      </c>
      <c r="D4970">
        <v>5.0134540000000003</v>
      </c>
      <c r="E4970">
        <v>0.40472360000000002</v>
      </c>
      <c r="F4970" t="s">
        <v>53</v>
      </c>
      <c r="G4970">
        <v>-168.45060000000001</v>
      </c>
      <c r="H4970">
        <v>2.35501</v>
      </c>
      <c r="I4970">
        <v>-40.38984</v>
      </c>
      <c r="J4970">
        <v>-247.59620000000001</v>
      </c>
      <c r="K4970">
        <v>1.1187590000000001</v>
      </c>
      <c r="L4970">
        <v>-63.272399999999998</v>
      </c>
      <c r="M4970">
        <v>0.99980690000000005</v>
      </c>
      <c r="N4970">
        <v>-7.4035109999999998E-3</v>
      </c>
      <c r="O4970">
        <v>1.8203839999999999E-2</v>
      </c>
      <c r="P4970">
        <v>0.97738590000000003</v>
      </c>
      <c r="Q4970">
        <v>0.20983099999999999</v>
      </c>
      <c r="R4970">
        <v>2.623224E-2</v>
      </c>
      <c r="S4970">
        <v>3.0352169999999998</v>
      </c>
      <c r="T4970">
        <v>4.7298670000000001E-2</v>
      </c>
      <c r="U4970">
        <v>0.87561039999999901</v>
      </c>
      <c r="V4970">
        <v>-7.6180179999999998E-3</v>
      </c>
      <c r="W4970">
        <v>0.2170937</v>
      </c>
      <c r="X4970">
        <v>0.97612109999999996</v>
      </c>
      <c r="Y4970">
        <v>-0.25963310000000001</v>
      </c>
      <c r="Z4970">
        <v>-5.9212369999999998E-4</v>
      </c>
      <c r="AA4970">
        <v>0.96570710000000004</v>
      </c>
      <c r="AB4970">
        <v>36</v>
      </c>
      <c r="AC4970">
        <v>79.145600000000002</v>
      </c>
      <c r="AD4970">
        <v>1.236251</v>
      </c>
      <c r="AE4970">
        <v>22.882560000000002</v>
      </c>
      <c r="AF4970">
        <v>-21.433148838162101</v>
      </c>
      <c r="AG4970">
        <v>1.236251</v>
      </c>
      <c r="AH4970">
        <v>79.531139067476801</v>
      </c>
      <c r="AI4970">
        <v>89.140125371177703</v>
      </c>
      <c r="AJ4970">
        <v>105.082539190993</v>
      </c>
      <c r="AK4970">
        <v>82.377850585118793</v>
      </c>
      <c r="AL4970">
        <v>77.461611572049804</v>
      </c>
      <c r="AM4970">
        <v>90.447148840670494</v>
      </c>
      <c r="AN4970">
        <v>1.00000005532157</v>
      </c>
    </row>
    <row r="4971" spans="1:40" x14ac:dyDescent="0.25">
      <c r="A4971" t="str">
        <f>"20190303170911850"</f>
        <v>20190303170911850</v>
      </c>
      <c r="B4971" t="str">
        <f>"1551604151839209"</f>
        <v>1551604151839209</v>
      </c>
      <c r="C4971" t="s">
        <v>40</v>
      </c>
      <c r="D4971">
        <v>5.0136659999999997</v>
      </c>
      <c r="E4971">
        <v>0.4046225</v>
      </c>
      <c r="F4971" t="s">
        <v>53</v>
      </c>
      <c r="G4971">
        <v>-168.45060000000001</v>
      </c>
      <c r="H4971">
        <v>2.3633479999999998</v>
      </c>
      <c r="I4971">
        <v>-40.453710000000001</v>
      </c>
      <c r="J4971">
        <v>-247.3571</v>
      </c>
      <c r="K4971">
        <v>1.1187579999999999</v>
      </c>
      <c r="L4971">
        <v>-63.268920000000001</v>
      </c>
      <c r="M4971">
        <v>0.99982590000000005</v>
      </c>
      <c r="N4971">
        <v>-7.4123449999999999E-3</v>
      </c>
      <c r="O4971">
        <v>1.71218E-2</v>
      </c>
      <c r="P4971">
        <v>0.97740800000000005</v>
      </c>
      <c r="Q4971">
        <v>0.20978830000000001</v>
      </c>
      <c r="R4971">
        <v>2.5744019999999999E-2</v>
      </c>
      <c r="S4971">
        <v>3.0356450000000001</v>
      </c>
      <c r="T4971">
        <v>4.7735569999999998E-2</v>
      </c>
      <c r="U4971">
        <v>0.87521360000000004</v>
      </c>
      <c r="V4971">
        <v>-8.1854590000000008E-3</v>
      </c>
      <c r="W4971">
        <v>0.217062</v>
      </c>
      <c r="X4971">
        <v>0.97612350000000003</v>
      </c>
      <c r="Y4971">
        <v>-0.2605247</v>
      </c>
      <c r="Z4971">
        <v>-6.3437849999999996E-4</v>
      </c>
      <c r="AA4971">
        <v>0.96546699999999996</v>
      </c>
      <c r="AB4971">
        <v>36</v>
      </c>
      <c r="AC4971">
        <v>78.906499999999994</v>
      </c>
      <c r="AD4971">
        <v>1.2445900000000001</v>
      </c>
      <c r="AE4971">
        <v>22.81521</v>
      </c>
      <c r="AF4971">
        <v>-21.455880788625201</v>
      </c>
      <c r="AG4971">
        <v>1.2445900000000001</v>
      </c>
      <c r="AH4971">
        <v>79.267381609541104</v>
      </c>
      <c r="AI4971">
        <v>89.131704696807304</v>
      </c>
      <c r="AJ4971">
        <v>105.145738587354</v>
      </c>
      <c r="AK4971">
        <v>82.129298133591803</v>
      </c>
      <c r="AL4971">
        <v>77.463471517031707</v>
      </c>
      <c r="AM4971">
        <v>90.4804527925222</v>
      </c>
      <c r="AN4971">
        <v>1.0000000004176399</v>
      </c>
    </row>
    <row r="4972" spans="1:40" x14ac:dyDescent="0.25">
      <c r="A4972" t="str">
        <f>"20190303170911861"</f>
        <v>20190303170911861</v>
      </c>
      <c r="B4972" t="str">
        <f>"1551604151848969"</f>
        <v>1551604151848969</v>
      </c>
      <c r="C4972" t="s">
        <v>40</v>
      </c>
      <c r="D4972">
        <v>4.9708990000000002</v>
      </c>
      <c r="E4972">
        <v>0.40439779999999997</v>
      </c>
      <c r="F4972" t="s">
        <v>53</v>
      </c>
      <c r="G4972">
        <v>-168.45060000000001</v>
      </c>
      <c r="H4972">
        <v>2.3394520000000001</v>
      </c>
      <c r="I4972">
        <v>-40.546770000000002</v>
      </c>
      <c r="J4972">
        <v>-247.17140000000001</v>
      </c>
      <c r="K4972">
        <v>1.1187549999999999</v>
      </c>
      <c r="L4972">
        <v>-63.266480000000001</v>
      </c>
      <c r="M4972">
        <v>0.99983999999999995</v>
      </c>
      <c r="N4972">
        <v>-7.4192590000000001E-3</v>
      </c>
      <c r="O4972">
        <v>1.628189E-2</v>
      </c>
      <c r="P4972">
        <v>0.97742839999999998</v>
      </c>
      <c r="Q4972">
        <v>0.2097678</v>
      </c>
      <c r="R4972">
        <v>2.5132749999999999E-2</v>
      </c>
      <c r="S4972">
        <v>3.0362550000000001</v>
      </c>
      <c r="T4972">
        <v>4.6970489999999997E-2</v>
      </c>
      <c r="U4972">
        <v>0.87432860000000001</v>
      </c>
      <c r="V4972">
        <v>-8.3930749999999998E-3</v>
      </c>
      <c r="W4972">
        <v>0.21704899999999999</v>
      </c>
      <c r="X4972">
        <v>0.97612460000000001</v>
      </c>
      <c r="Y4972">
        <v>-0.2610247</v>
      </c>
      <c r="Z4972">
        <v>-6.2590699999999998E-4</v>
      </c>
      <c r="AA4972">
        <v>0.96533190000000002</v>
      </c>
      <c r="AB4972">
        <v>36</v>
      </c>
      <c r="AC4972">
        <v>78.720799999999997</v>
      </c>
      <c r="AD4972">
        <v>1.2206969999999999</v>
      </c>
      <c r="AE4972">
        <v>22.719709999999999</v>
      </c>
      <c r="AF4972">
        <v>-21.430182758971501</v>
      </c>
      <c r="AG4972">
        <v>1.2206969999999999</v>
      </c>
      <c r="AH4972">
        <v>79.062744903514101</v>
      </c>
      <c r="AI4972">
        <v>89.146248279129793</v>
      </c>
      <c r="AJ4972">
        <v>105.165785552407</v>
      </c>
      <c r="AK4972">
        <v>81.924724387249995</v>
      </c>
      <c r="AL4972">
        <v>77.464234209536698</v>
      </c>
      <c r="AM4972">
        <v>90.4926378499066</v>
      </c>
      <c r="AN4972">
        <v>0.99999997341705704</v>
      </c>
    </row>
    <row r="4973" spans="1:40" x14ac:dyDescent="0.25">
      <c r="A4973" t="str">
        <f>"20190303170911874"</f>
        <v>20190303170911874</v>
      </c>
      <c r="B4973" t="str">
        <f>"1551604151868489"</f>
        <v>1551604151868489</v>
      </c>
      <c r="C4973" t="s">
        <v>40</v>
      </c>
      <c r="D4973">
        <v>5.0008990000000004</v>
      </c>
      <c r="E4973">
        <v>0.40404679999999998</v>
      </c>
      <c r="F4973" t="s">
        <v>53</v>
      </c>
      <c r="G4973">
        <v>-168.45060000000001</v>
      </c>
      <c r="H4973">
        <v>2.3483800000000001</v>
      </c>
      <c r="I4973">
        <v>-40.601320000000001</v>
      </c>
      <c r="J4973">
        <v>-247</v>
      </c>
      <c r="K4973">
        <v>1.1187560000000001</v>
      </c>
      <c r="L4973">
        <v>-63.264279999999999</v>
      </c>
      <c r="M4973">
        <v>0.99985230000000003</v>
      </c>
      <c r="N4973">
        <v>-7.4256299999999999E-3</v>
      </c>
      <c r="O4973">
        <v>1.550678E-2</v>
      </c>
      <c r="P4973">
        <v>0.97739010000000004</v>
      </c>
      <c r="Q4973">
        <v>0.21003839999999999</v>
      </c>
      <c r="R4973">
        <v>2.434834E-2</v>
      </c>
      <c r="S4973">
        <v>3.0366209999999998</v>
      </c>
      <c r="T4973">
        <v>4.7431470000000003E-2</v>
      </c>
      <c r="U4973">
        <v>0.87429809999999997</v>
      </c>
      <c r="V4973">
        <v>-8.3646209999999992E-3</v>
      </c>
      <c r="W4973">
        <v>0.2173255</v>
      </c>
      <c r="X4973">
        <v>0.97606340000000003</v>
      </c>
      <c r="Y4973">
        <v>-0.26173249999999998</v>
      </c>
      <c r="Z4973">
        <v>-6.6199360000000003E-4</v>
      </c>
      <c r="AA4973">
        <v>0.9651402</v>
      </c>
      <c r="AB4973">
        <v>36</v>
      </c>
      <c r="AC4973">
        <v>78.549399999999906</v>
      </c>
      <c r="AD4973">
        <v>1.2296240000000001</v>
      </c>
      <c r="AE4973">
        <v>22.662960000000002</v>
      </c>
      <c r="AF4973">
        <v>-21.4373036339429</v>
      </c>
      <c r="AG4973">
        <v>1.2296240000000001</v>
      </c>
      <c r="AH4973">
        <v>78.873551236631101</v>
      </c>
      <c r="AI4973">
        <v>89.138104469252696</v>
      </c>
      <c r="AJ4973">
        <v>105.205299515858</v>
      </c>
      <c r="AK4973">
        <v>81.744156041595403</v>
      </c>
      <c r="AL4973">
        <v>77.448005503843106</v>
      </c>
      <c r="AM4973">
        <v>90.490998585458001</v>
      </c>
      <c r="AN4973">
        <v>1.00000005032714</v>
      </c>
    </row>
    <row r="4974" spans="1:40" x14ac:dyDescent="0.25">
      <c r="A4974" t="str">
        <f>"20190303170911886"</f>
        <v>20190303170911886</v>
      </c>
      <c r="B4974" t="str">
        <f>"1551604151879225"</f>
        <v>1551604151879225</v>
      </c>
      <c r="C4974" t="s">
        <v>40</v>
      </c>
      <c r="D4974">
        <v>4.9949849999999998</v>
      </c>
      <c r="E4974">
        <v>0.40388220000000002</v>
      </c>
      <c r="F4974" t="s">
        <v>53</v>
      </c>
      <c r="G4974">
        <v>-168.3552</v>
      </c>
      <c r="H4974">
        <v>2.3831449999999998</v>
      </c>
      <c r="I4974">
        <v>-40.619770000000003</v>
      </c>
      <c r="J4974">
        <v>-246.78020000000001</v>
      </c>
      <c r="K4974">
        <v>1.1187530000000001</v>
      </c>
      <c r="L4974">
        <v>-63.261690000000002</v>
      </c>
      <c r="M4974">
        <v>0.99986710000000001</v>
      </c>
      <c r="N4974">
        <v>-7.4337580000000004E-3</v>
      </c>
      <c r="O4974">
        <v>1.451355E-2</v>
      </c>
      <c r="P4974">
        <v>0.97741219999999995</v>
      </c>
      <c r="Q4974">
        <v>0.2100282</v>
      </c>
      <c r="R4974">
        <v>2.3529959999999999E-2</v>
      </c>
      <c r="S4974">
        <v>3.0370940000000002</v>
      </c>
      <c r="T4974">
        <v>4.8827170000000003E-2</v>
      </c>
      <c r="U4974">
        <v>0.87448119999999996</v>
      </c>
      <c r="V4974">
        <v>-8.5154199999999992E-3</v>
      </c>
      <c r="W4974">
        <v>0.21732409999999999</v>
      </c>
      <c r="X4974">
        <v>0.9760624</v>
      </c>
      <c r="Y4974">
        <v>-0.26270339999999998</v>
      </c>
      <c r="Z4974">
        <v>-7.3929970000000003E-4</v>
      </c>
      <c r="AA4974">
        <v>0.96487639999999997</v>
      </c>
      <c r="AB4974">
        <v>36</v>
      </c>
      <c r="AC4974">
        <v>78.424999999999997</v>
      </c>
      <c r="AD4974">
        <v>1.264392</v>
      </c>
      <c r="AE4974">
        <v>22.641919999999999</v>
      </c>
      <c r="AF4974">
        <v>-21.4961209536139</v>
      </c>
      <c r="AG4974">
        <v>1.264392</v>
      </c>
      <c r="AH4974">
        <v>78.726474113389003</v>
      </c>
      <c r="AI4974">
        <v>89.112364963569405</v>
      </c>
      <c r="AJ4974">
        <v>105.272231344715</v>
      </c>
      <c r="AK4974">
        <v>81.618255491698505</v>
      </c>
      <c r="AL4974">
        <v>77.448087585462801</v>
      </c>
      <c r="AM4974">
        <v>90.499850469548704</v>
      </c>
      <c r="AN4974">
        <v>1.0000000427561699</v>
      </c>
    </row>
    <row r="4975" spans="1:40" x14ac:dyDescent="0.25">
      <c r="A4975" t="str">
        <f>"20190303170911899"</f>
        <v>20190303170911899</v>
      </c>
      <c r="B4975" t="str">
        <f>"1551604151889961"</f>
        <v>1551604151889961</v>
      </c>
      <c r="C4975" t="s">
        <v>40</v>
      </c>
      <c r="D4975">
        <v>5.0085739999999896</v>
      </c>
      <c r="E4975">
        <v>0.40388220000000002</v>
      </c>
      <c r="F4975" t="s">
        <v>53</v>
      </c>
      <c r="G4975">
        <v>-168.02099999999999</v>
      </c>
      <c r="H4975">
        <v>2.3959320000000002</v>
      </c>
      <c r="I4975">
        <v>-40.619770000000003</v>
      </c>
      <c r="J4975">
        <v>-246.57740000000001</v>
      </c>
      <c r="K4975">
        <v>1.1187510000000001</v>
      </c>
      <c r="L4975">
        <v>-63.259520000000002</v>
      </c>
      <c r="M4975">
        <v>0.99987990000000004</v>
      </c>
      <c r="N4975">
        <v>-7.4412769999999996E-3</v>
      </c>
      <c r="O4975">
        <v>1.3597110000000001E-2</v>
      </c>
      <c r="P4975">
        <v>0.97739860000000001</v>
      </c>
      <c r="Q4975">
        <v>0.21017540000000001</v>
      </c>
      <c r="R4975">
        <v>2.276239E-2</v>
      </c>
      <c r="S4975">
        <v>3.0377200000000002</v>
      </c>
      <c r="T4975">
        <v>4.9259539999999997E-2</v>
      </c>
      <c r="U4975">
        <v>0.87329100000000004</v>
      </c>
      <c r="V4975">
        <v>-8.6412450000000005E-3</v>
      </c>
      <c r="W4975">
        <v>0.21747910000000001</v>
      </c>
      <c r="X4975">
        <v>0.97602670000000002</v>
      </c>
      <c r="Y4975">
        <v>-0.26318509999999901</v>
      </c>
      <c r="Z4975">
        <v>-7.7750839999999905E-4</v>
      </c>
      <c r="AA4975">
        <v>0.96474499999999996</v>
      </c>
      <c r="AB4975">
        <v>36</v>
      </c>
      <c r="AC4975">
        <v>78.556399999999996</v>
      </c>
      <c r="AD4975">
        <v>1.2771809999999999</v>
      </c>
      <c r="AE4975">
        <v>22.6397499999999</v>
      </c>
      <c r="AF4975">
        <v>-21.564224517331901</v>
      </c>
      <c r="AG4975">
        <v>1.2771809999999999</v>
      </c>
      <c r="AH4975">
        <v>78.837740285312805</v>
      </c>
      <c r="AI4975">
        <v>89.104762349670395</v>
      </c>
      <c r="AJ4975">
        <v>105.29774118603601</v>
      </c>
      <c r="AK4975">
        <v>81.743723084008707</v>
      </c>
      <c r="AL4975">
        <v>77.438988254943098</v>
      </c>
      <c r="AM4975">
        <v>90.507254496870303</v>
      </c>
      <c r="AN4975">
        <v>0.99999997458242396</v>
      </c>
    </row>
    <row r="4976" spans="1:40" x14ac:dyDescent="0.25">
      <c r="A4976" t="str">
        <f>"20190303170911920"</f>
        <v>20190303170911920</v>
      </c>
      <c r="B4976" t="str">
        <f>"1551604151908504"</f>
        <v>1551604151908504</v>
      </c>
      <c r="C4976" t="s">
        <v>40</v>
      </c>
      <c r="D4976">
        <v>5.0004839999999904</v>
      </c>
      <c r="E4976">
        <v>0.39786510000000003</v>
      </c>
      <c r="F4976" t="s">
        <v>53</v>
      </c>
      <c r="G4976">
        <v>-167.59270000000001</v>
      </c>
      <c r="H4976">
        <v>2.409713</v>
      </c>
      <c r="I4976">
        <v>-40.619770000000003</v>
      </c>
      <c r="J4976">
        <v>-246.25360000000001</v>
      </c>
      <c r="K4976">
        <v>1.118746</v>
      </c>
      <c r="L4976">
        <v>-63.25638</v>
      </c>
      <c r="M4976">
        <v>0.99989859999999997</v>
      </c>
      <c r="N4976">
        <v>-7.4532779999999998E-3</v>
      </c>
      <c r="O4976">
        <v>1.2134570000000001E-2</v>
      </c>
      <c r="P4976">
        <v>0.97738990000000003</v>
      </c>
      <c r="Q4976">
        <v>0.21033969999999999</v>
      </c>
      <c r="R4976">
        <v>2.159177E-2</v>
      </c>
      <c r="S4976">
        <v>3.0384060000000002</v>
      </c>
      <c r="T4976">
        <v>4.9660210000000003E-2</v>
      </c>
      <c r="U4976">
        <v>0.87091059999999998</v>
      </c>
      <c r="V4976">
        <v>-8.896859E-3</v>
      </c>
      <c r="W4976">
        <v>0.21765590000000001</v>
      </c>
      <c r="X4976">
        <v>0.97598499999999999</v>
      </c>
      <c r="Y4976">
        <v>-0.2638393</v>
      </c>
      <c r="Z4976">
        <v>-8.2773549999999997E-4</v>
      </c>
      <c r="AA4976">
        <v>0.96456629999999999</v>
      </c>
      <c r="AB4976">
        <v>36</v>
      </c>
      <c r="AC4976">
        <v>78.660899999999998</v>
      </c>
      <c r="AD4976">
        <v>1.290967</v>
      </c>
      <c r="AE4976">
        <v>22.636610000000001</v>
      </c>
      <c r="AF4976">
        <v>-21.675008942853001</v>
      </c>
      <c r="AG4976">
        <v>1.290967</v>
      </c>
      <c r="AH4976">
        <v>78.910172602211304</v>
      </c>
      <c r="AI4976">
        <v>89.096196793620194</v>
      </c>
      <c r="AJ4976">
        <v>105.35917911588901</v>
      </c>
      <c r="AK4976">
        <v>81.843069032011698</v>
      </c>
      <c r="AL4976">
        <v>77.428609848539494</v>
      </c>
      <c r="AM4976">
        <v>90.522280929148707</v>
      </c>
      <c r="AN4976">
        <v>0.99999998256493705</v>
      </c>
    </row>
    <row r="4977" spans="1:40" x14ac:dyDescent="0.25">
      <c r="A4977" t="str">
        <f>"20190303170911933"</f>
        <v>20190303170911933</v>
      </c>
      <c r="B4977" t="str">
        <f>"1551604151929000"</f>
        <v>1551604151929000</v>
      </c>
      <c r="C4977" t="s">
        <v>40</v>
      </c>
      <c r="D4977">
        <v>4.9758630000000004</v>
      </c>
      <c r="E4977">
        <v>0.39733819999999997</v>
      </c>
      <c r="F4977" t="s">
        <v>53</v>
      </c>
      <c r="G4977">
        <v>-168.45060000000001</v>
      </c>
      <c r="H4977">
        <v>2.858355</v>
      </c>
      <c r="I4977">
        <v>-39.810569999999998</v>
      </c>
      <c r="J4977">
        <v>-246.02610000000001</v>
      </c>
      <c r="K4977">
        <v>1.1187400000000001</v>
      </c>
      <c r="L4977">
        <v>-63.254460000000002</v>
      </c>
      <c r="M4977">
        <v>0.99991059999999998</v>
      </c>
      <c r="N4977">
        <v>-7.4616830000000002E-3</v>
      </c>
      <c r="O4977">
        <v>1.1107250000000001E-2</v>
      </c>
      <c r="P4977">
        <v>0.97747019999999996</v>
      </c>
      <c r="Q4977">
        <v>0.2100629</v>
      </c>
      <c r="R4977">
        <v>2.0639959999999999E-2</v>
      </c>
      <c r="S4977">
        <v>3.0345610000000001</v>
      </c>
      <c r="T4977">
        <v>6.7849399999999893E-2</v>
      </c>
      <c r="U4977">
        <v>0.91445920000000003</v>
      </c>
      <c r="V4977">
        <v>-8.9472030000000008E-3</v>
      </c>
      <c r="W4977">
        <v>0.21738779999999999</v>
      </c>
      <c r="X4977">
        <v>0.97604429999999998</v>
      </c>
      <c r="Y4977">
        <v>-0.27784229999999999</v>
      </c>
      <c r="Z4977">
        <v>-1.6551599999999999E-3</v>
      </c>
      <c r="AA4977">
        <v>0.96062530000000002</v>
      </c>
      <c r="AB4977">
        <v>36</v>
      </c>
      <c r="AC4977">
        <v>77.575500000000005</v>
      </c>
      <c r="AD4977">
        <v>1.7396149999999999</v>
      </c>
      <c r="AE4977">
        <v>23.44389</v>
      </c>
      <c r="AF4977">
        <v>-22.570369218344801</v>
      </c>
      <c r="AG4977">
        <v>1.7396149999999999</v>
      </c>
      <c r="AH4977">
        <v>77.795271527639898</v>
      </c>
      <c r="AI4977">
        <v>88.769712531416005</v>
      </c>
      <c r="AJ4977">
        <v>106.178776085191</v>
      </c>
      <c r="AK4977">
        <v>81.021923570474698</v>
      </c>
      <c r="AL4977">
        <v>77.444347800492807</v>
      </c>
      <c r="AM4977">
        <v>90.525204247461701</v>
      </c>
      <c r="AN4977">
        <v>0.99999999179642596</v>
      </c>
    </row>
    <row r="4978" spans="1:40" x14ac:dyDescent="0.25">
      <c r="A4978" t="str">
        <f>"20190303170911947"</f>
        <v>20190303170911947</v>
      </c>
      <c r="B4978" t="str">
        <f>"1551604151938761"</f>
        <v>1551604151938761</v>
      </c>
      <c r="C4978" t="s">
        <v>40</v>
      </c>
      <c r="D4978">
        <v>4.9689240000000003</v>
      </c>
      <c r="E4978">
        <v>0.397258</v>
      </c>
      <c r="F4978" t="s">
        <v>53</v>
      </c>
      <c r="G4978">
        <v>-168.45060000000001</v>
      </c>
      <c r="H4978">
        <v>2.8987270000000001</v>
      </c>
      <c r="I4978">
        <v>-39.853819999999999</v>
      </c>
      <c r="J4978">
        <v>-245.792</v>
      </c>
      <c r="K4978">
        <v>1.1187320000000001</v>
      </c>
      <c r="L4978">
        <v>-63.252690000000001</v>
      </c>
      <c r="M4978">
        <v>0.99992170000000002</v>
      </c>
      <c r="N4978">
        <v>-7.4702559999999998E-3</v>
      </c>
      <c r="O4978">
        <v>1.0050720000000001E-2</v>
      </c>
      <c r="P4978">
        <v>0.97756560000000003</v>
      </c>
      <c r="Q4978">
        <v>0.2096922</v>
      </c>
      <c r="R4978">
        <v>1.987649E-2</v>
      </c>
      <c r="S4978">
        <v>3.0348660000000001</v>
      </c>
      <c r="T4978">
        <v>6.9634909999999994E-2</v>
      </c>
      <c r="U4978">
        <v>0.91546629999999996</v>
      </c>
      <c r="V4978">
        <v>-9.2151079999999996E-3</v>
      </c>
      <c r="W4978">
        <v>0.2170271</v>
      </c>
      <c r="X4978">
        <v>0.97612209999999999</v>
      </c>
      <c r="Y4978">
        <v>-0.27911940000000002</v>
      </c>
      <c r="Z4978">
        <v>-1.7678189999999999E-3</v>
      </c>
      <c r="AA4978">
        <v>0.96025479999999996</v>
      </c>
      <c r="AB4978">
        <v>36</v>
      </c>
      <c r="AC4978">
        <v>77.341399999999993</v>
      </c>
      <c r="AD4978">
        <v>1.779995</v>
      </c>
      <c r="AE4978">
        <v>23.398869999999999</v>
      </c>
      <c r="AF4978">
        <v>-22.6093582085912</v>
      </c>
      <c r="AG4978">
        <v>1.779995</v>
      </c>
      <c r="AH4978">
        <v>77.535050382074004</v>
      </c>
      <c r="AI4978">
        <v>88.737440521332303</v>
      </c>
      <c r="AJ4978">
        <v>106.256778049343</v>
      </c>
      <c r="AK4978">
        <v>80.783881427888602</v>
      </c>
      <c r="AL4978">
        <v>77.465520185557807</v>
      </c>
      <c r="AM4978">
        <v>90.540886341616599</v>
      </c>
      <c r="AN4978">
        <v>1.0000000172291299</v>
      </c>
    </row>
    <row r="4979" spans="1:40" x14ac:dyDescent="0.25">
      <c r="A4979" t="str">
        <f>"20190303170911964"</f>
        <v>20190303170911964</v>
      </c>
      <c r="B4979" t="str">
        <f>"1551604151958286"</f>
        <v>1551604151958286</v>
      </c>
      <c r="C4979" t="s">
        <v>40</v>
      </c>
      <c r="D4979">
        <v>4.994561</v>
      </c>
      <c r="E4979">
        <v>0.3971113</v>
      </c>
      <c r="F4979" t="s">
        <v>53</v>
      </c>
      <c r="G4979">
        <v>-168.45060000000001</v>
      </c>
      <c r="H4979">
        <v>2.8359040000000002</v>
      </c>
      <c r="I4979">
        <v>-39.971240000000002</v>
      </c>
      <c r="J4979">
        <v>-245.5316</v>
      </c>
      <c r="K4979">
        <v>1.1187210000000001</v>
      </c>
      <c r="L4979">
        <v>-63.251100000000001</v>
      </c>
      <c r="M4979">
        <v>0.99993270000000001</v>
      </c>
      <c r="N4979">
        <v>-7.479851E-3</v>
      </c>
      <c r="O4979">
        <v>8.8755640000000007E-3</v>
      </c>
      <c r="P4979">
        <v>0.97767539999999997</v>
      </c>
      <c r="Q4979">
        <v>0.20930960000000001</v>
      </c>
      <c r="R4979">
        <v>1.8456690000000001E-2</v>
      </c>
      <c r="S4979">
        <v>3.035828</v>
      </c>
      <c r="T4979">
        <v>6.7402119999999996E-2</v>
      </c>
      <c r="U4979">
        <v>0.91384889999999996</v>
      </c>
      <c r="V4979">
        <v>-8.9426490000000004E-3</v>
      </c>
      <c r="W4979">
        <v>0.21665380000000001</v>
      </c>
      <c r="X4979">
        <v>0.97620759999999995</v>
      </c>
      <c r="Y4979">
        <v>-0.27969749999999999</v>
      </c>
      <c r="Z4979">
        <v>-1.7108049999999999E-3</v>
      </c>
      <c r="AA4979">
        <v>0.96008660000000001</v>
      </c>
      <c r="AB4979">
        <v>36</v>
      </c>
      <c r="AC4979">
        <v>77.080999999999904</v>
      </c>
      <c r="AD4979">
        <v>1.7171829999999999</v>
      </c>
      <c r="AE4979">
        <v>23.279859999999999</v>
      </c>
      <c r="AF4979">
        <v>-22.584514924308799</v>
      </c>
      <c r="AG4979">
        <v>1.7171829999999999</v>
      </c>
      <c r="AH4979">
        <v>77.249457695219206</v>
      </c>
      <c r="AI4979">
        <v>88.777726751959193</v>
      </c>
      <c r="AJ4979">
        <v>106.296715221119</v>
      </c>
      <c r="AK4979">
        <v>80.501476669855407</v>
      </c>
      <c r="AL4979">
        <v>77.487430531923707</v>
      </c>
      <c r="AM4979">
        <v>90.524849134343199</v>
      </c>
      <c r="AN4979">
        <v>1.00000005916166</v>
      </c>
    </row>
    <row r="4980" spans="1:40" x14ac:dyDescent="0.25">
      <c r="A4980" t="str">
        <f>"20190303170911975"</f>
        <v>20190303170911975</v>
      </c>
      <c r="B4980" t="str">
        <f>"1551604151969022"</f>
        <v>1551604151969022</v>
      </c>
      <c r="C4980" t="s">
        <v>40</v>
      </c>
      <c r="D4980">
        <v>5.0347540000000004</v>
      </c>
      <c r="E4980">
        <v>0.3971113</v>
      </c>
      <c r="F4980" t="s">
        <v>53</v>
      </c>
      <c r="G4980">
        <v>-168.45060000000001</v>
      </c>
      <c r="H4980">
        <v>2.7989190000000002</v>
      </c>
      <c r="I4980">
        <v>-40.140940000000001</v>
      </c>
      <c r="J4980">
        <v>-245.3287</v>
      </c>
      <c r="K4980">
        <v>1.118714</v>
      </c>
      <c r="L4980">
        <v>-63.25</v>
      </c>
      <c r="M4980">
        <v>0.99994039999999995</v>
      </c>
      <c r="N4980">
        <v>-7.4873530000000004E-3</v>
      </c>
      <c r="O4980">
        <v>7.961269E-3</v>
      </c>
      <c r="P4980">
        <v>0.97771169999999996</v>
      </c>
      <c r="Q4980">
        <v>0.20920530000000001</v>
      </c>
      <c r="R4980">
        <v>1.769447E-2</v>
      </c>
      <c r="S4980">
        <v>3.03714</v>
      </c>
      <c r="T4980">
        <v>6.6202159999999996E-2</v>
      </c>
      <c r="U4980">
        <v>0.91058349999999999</v>
      </c>
      <c r="V4980">
        <v>-9.0727189999999999E-3</v>
      </c>
      <c r="W4980">
        <v>0.21655740000000001</v>
      </c>
      <c r="X4980">
        <v>0.97622770000000003</v>
      </c>
      <c r="Y4980">
        <v>-0.27951540000000002</v>
      </c>
      <c r="Z4980">
        <v>-1.6834109999999999E-3</v>
      </c>
      <c r="AA4980">
        <v>0.96013970000000004</v>
      </c>
      <c r="AB4980">
        <v>36</v>
      </c>
      <c r="AC4980">
        <v>76.878099999999904</v>
      </c>
      <c r="AD4980">
        <v>1.68020499999999</v>
      </c>
      <c r="AE4980">
        <v>23.109059999999999</v>
      </c>
      <c r="AF4980">
        <v>-22.486412497923801</v>
      </c>
      <c r="AG4980">
        <v>1.68020499999999</v>
      </c>
      <c r="AH4980">
        <v>77.025902766603593</v>
      </c>
      <c r="AI4980">
        <v>88.800432304782802</v>
      </c>
      <c r="AJ4980">
        <v>106.274273708499</v>
      </c>
      <c r="AK4980">
        <v>80.258653943852593</v>
      </c>
      <c r="AL4980">
        <v>77.493087053460499</v>
      </c>
      <c r="AM4980">
        <v>90.532471617005996</v>
      </c>
      <c r="AN4980">
        <v>0.99999997198605095</v>
      </c>
    </row>
    <row r="4981" spans="1:40" x14ac:dyDescent="0.25">
      <c r="A4981" t="str">
        <f>"20190303170911987"</f>
        <v>20190303170911987</v>
      </c>
      <c r="B4981" t="str">
        <f>"1551604151978781"</f>
        <v>1551604151978781</v>
      </c>
      <c r="C4981" t="s">
        <v>40</v>
      </c>
      <c r="D4981">
        <v>4.9993410000000003</v>
      </c>
      <c r="E4981">
        <v>0.41282629999999998</v>
      </c>
      <c r="F4981" t="s">
        <v>53</v>
      </c>
      <c r="G4981">
        <v>-168.45060000000001</v>
      </c>
      <c r="H4981">
        <v>2.7789809999999999</v>
      </c>
      <c r="I4981">
        <v>-40.272239999999996</v>
      </c>
      <c r="J4981">
        <v>-245.1396</v>
      </c>
      <c r="K4981">
        <v>1.1187119999999999</v>
      </c>
      <c r="L4981">
        <v>-63.24915</v>
      </c>
      <c r="M4981">
        <v>0.99994669999999997</v>
      </c>
      <c r="N4981">
        <v>-7.4943519999999897E-3</v>
      </c>
      <c r="O4981">
        <v>7.1108819999999998E-3</v>
      </c>
      <c r="P4981">
        <v>0.97771050000000004</v>
      </c>
      <c r="Q4981">
        <v>0.2092676</v>
      </c>
      <c r="R4981">
        <v>1.7014789999999998E-2</v>
      </c>
      <c r="S4981">
        <v>3.0379179999999999</v>
      </c>
      <c r="T4981">
        <v>6.5606360000000002E-2</v>
      </c>
      <c r="U4981">
        <v>0.9079895</v>
      </c>
      <c r="V4981">
        <v>-9.2229300000000007E-3</v>
      </c>
      <c r="W4981">
        <v>0.21662680000000001</v>
      </c>
      <c r="X4981">
        <v>0.97621100000000005</v>
      </c>
      <c r="Y4981">
        <v>-0.2795125</v>
      </c>
      <c r="Z4981">
        <v>-1.6810239999999999E-3</v>
      </c>
      <c r="AA4981">
        <v>0.96014060000000001</v>
      </c>
      <c r="AB4981">
        <v>36</v>
      </c>
      <c r="AC4981">
        <v>76.688999999999993</v>
      </c>
      <c r="AD4981">
        <v>1.66026899999999</v>
      </c>
      <c r="AE4981">
        <v>22.97691</v>
      </c>
      <c r="AF4981">
        <v>-22.421344196407901</v>
      </c>
      <c r="AG4981">
        <v>1.66026899999999</v>
      </c>
      <c r="AH4981">
        <v>76.817413434930501</v>
      </c>
      <c r="AI4981">
        <v>88.811427670335902</v>
      </c>
      <c r="AJ4981">
        <v>106.271384718088</v>
      </c>
      <c r="AK4981">
        <v>80.039916139131407</v>
      </c>
      <c r="AL4981">
        <v>77.489015347975197</v>
      </c>
      <c r="AM4981">
        <v>90.541296135895294</v>
      </c>
      <c r="AN4981">
        <v>1.0000000747185001</v>
      </c>
    </row>
    <row r="4982" spans="1:40" x14ac:dyDescent="0.25">
      <c r="A4982" t="str">
        <f>"20190303170911999"</f>
        <v>20190303170911999</v>
      </c>
      <c r="B4982" t="str">
        <f>"1551604151988541"</f>
        <v>1551604151988541</v>
      </c>
      <c r="C4982" t="s">
        <v>40</v>
      </c>
      <c r="D4982">
        <v>4.9968490000000001</v>
      </c>
      <c r="E4982">
        <v>0.4135682</v>
      </c>
      <c r="F4982" t="s">
        <v>53</v>
      </c>
      <c r="G4982">
        <v>-157.3501</v>
      </c>
      <c r="H4982">
        <v>1.8778980000000001</v>
      </c>
      <c r="I4982">
        <v>-40.706330000000001</v>
      </c>
      <c r="J4982">
        <v>-244.95570000000001</v>
      </c>
      <c r="K4982">
        <v>1.1187129999999901</v>
      </c>
      <c r="L4982">
        <v>-63.248539999999998</v>
      </c>
      <c r="M4982">
        <v>0.99995219999999996</v>
      </c>
      <c r="N4982">
        <v>-7.5010980000000003E-3</v>
      </c>
      <c r="O4982">
        <v>6.2878769999999999E-3</v>
      </c>
      <c r="P4982">
        <v>0.97770310000000005</v>
      </c>
      <c r="Q4982">
        <v>0.20938010000000001</v>
      </c>
      <c r="R4982">
        <v>1.6033180000000001E-2</v>
      </c>
      <c r="S4982">
        <v>3.049118</v>
      </c>
      <c r="T4982">
        <v>2.6367430000000001E-2</v>
      </c>
      <c r="U4982">
        <v>0.78295899999999996</v>
      </c>
      <c r="V4982">
        <v>-9.0453329999999992E-3</v>
      </c>
      <c r="W4982">
        <v>0.21674550000000001</v>
      </c>
      <c r="X4982">
        <v>0.9761862</v>
      </c>
      <c r="Y4982">
        <v>-0.24261779999999999</v>
      </c>
      <c r="Z4982" s="1">
        <v>-7.8567539999999999E-6</v>
      </c>
      <c r="AA4982">
        <v>0.97012200000000004</v>
      </c>
      <c r="AB4982">
        <v>36</v>
      </c>
      <c r="AC4982">
        <v>87.605599999999995</v>
      </c>
      <c r="AD4982">
        <v>0.759185</v>
      </c>
      <c r="AE4982">
        <v>22.542210000000001</v>
      </c>
      <c r="AF4982">
        <v>-21.989346842779099</v>
      </c>
      <c r="AG4982">
        <v>0.759185</v>
      </c>
      <c r="AH4982">
        <v>87.739434728748293</v>
      </c>
      <c r="AI4982">
        <v>89.5191194384401</v>
      </c>
      <c r="AJ4982">
        <v>104.069727481065</v>
      </c>
      <c r="AK4982">
        <v>90.456155915208697</v>
      </c>
      <c r="AL4982">
        <v>77.482047408541803</v>
      </c>
      <c r="AM4982">
        <v>90.530887010708099</v>
      </c>
      <c r="AN4982">
        <v>0.99999996344488395</v>
      </c>
    </row>
    <row r="4983" spans="1:40" x14ac:dyDescent="0.25">
      <c r="A4983" t="str">
        <f>"20190303170912010"</f>
        <v>20190303170912010</v>
      </c>
      <c r="B4983" t="str">
        <f>"1551604151999279"</f>
        <v>1551604151999279</v>
      </c>
      <c r="C4983" t="s">
        <v>40</v>
      </c>
      <c r="D4983">
        <v>4.9781879999999896</v>
      </c>
      <c r="E4983">
        <v>0.4141321</v>
      </c>
      <c r="F4983" t="s">
        <v>53</v>
      </c>
      <c r="G4983">
        <v>-157.3501</v>
      </c>
      <c r="H4983">
        <v>1.7822610000000001</v>
      </c>
      <c r="I4983">
        <v>-41.018470000000001</v>
      </c>
      <c r="J4983">
        <v>-244.7578</v>
      </c>
      <c r="K4983">
        <v>1.118719</v>
      </c>
      <c r="L4983">
        <v>-63.247959999999999</v>
      </c>
      <c r="M4983">
        <v>0.99995730000000005</v>
      </c>
      <c r="N4983">
        <v>-7.50832699999999E-3</v>
      </c>
      <c r="O4983">
        <v>5.4043809999999998E-3</v>
      </c>
      <c r="P4983">
        <v>0.97764019999999996</v>
      </c>
      <c r="Q4983">
        <v>0.2097417</v>
      </c>
      <c r="R4983">
        <v>1.510424E-2</v>
      </c>
      <c r="S4983">
        <v>3.0507810000000002</v>
      </c>
      <c r="T4983">
        <v>2.3106689999999999E-2</v>
      </c>
      <c r="U4983">
        <v>0.77413940000000003</v>
      </c>
      <c r="V4983">
        <v>-8.9789469999999993E-3</v>
      </c>
      <c r="W4983">
        <v>0.21711320000000001</v>
      </c>
      <c r="X4983">
        <v>0.97610520000000001</v>
      </c>
      <c r="Y4983">
        <v>-0.24071490000000001</v>
      </c>
      <c r="Z4983">
        <v>1.006722E-4</v>
      </c>
      <c r="AA4983">
        <v>0.97059589999999996</v>
      </c>
      <c r="AB4983">
        <v>36</v>
      </c>
      <c r="AC4983">
        <v>87.407700000000006</v>
      </c>
      <c r="AD4983">
        <v>0.66354199999999997</v>
      </c>
      <c r="AE4983">
        <v>22.229489999999998</v>
      </c>
      <c r="AF4983">
        <v>-21.755589983328498</v>
      </c>
      <c r="AG4983">
        <v>0.66354199999999997</v>
      </c>
      <c r="AH4983">
        <v>87.521826106097294</v>
      </c>
      <c r="AI4983">
        <v>89.578451260115898</v>
      </c>
      <c r="AJ4983">
        <v>103.959282775844</v>
      </c>
      <c r="AK4983">
        <v>90.187671155510003</v>
      </c>
      <c r="AL4983">
        <v>77.460467093629106</v>
      </c>
      <c r="AM4983">
        <v>90.527034645182098</v>
      </c>
      <c r="AN4983">
        <v>1.0000000622852501</v>
      </c>
    </row>
    <row r="4984" spans="1:40" x14ac:dyDescent="0.25">
      <c r="A4984" t="str">
        <f>"20190303170912022"</f>
        <v>20190303170912022</v>
      </c>
      <c r="B4984" t="str">
        <f>"1551604152009038"</f>
        <v>1551604152009038</v>
      </c>
      <c r="C4984" t="s">
        <v>40</v>
      </c>
      <c r="D4984">
        <v>4.9644810000000001</v>
      </c>
      <c r="E4984">
        <v>0.41424280000000002</v>
      </c>
      <c r="F4984" t="s">
        <v>41</v>
      </c>
      <c r="G4984">
        <v>-177.58410000000001</v>
      </c>
      <c r="H4984">
        <v>1.5991550000000001</v>
      </c>
      <c r="I4984">
        <v>-46.371580000000002</v>
      </c>
      <c r="J4984">
        <v>-244.5735</v>
      </c>
      <c r="K4984">
        <v>1.118722</v>
      </c>
      <c r="L4984">
        <v>-63.247680000000003</v>
      </c>
      <c r="M4984">
        <v>0.99996130000000005</v>
      </c>
      <c r="N4984">
        <v>-7.515E-3</v>
      </c>
      <c r="O4984">
        <v>4.5887509999999899E-3</v>
      </c>
      <c r="P4984">
        <v>0.9776551</v>
      </c>
      <c r="Q4984">
        <v>0.20973900000000001</v>
      </c>
      <c r="R4984">
        <v>1.415743E-2</v>
      </c>
      <c r="S4984">
        <v>3.052063</v>
      </c>
      <c r="T4984">
        <v>2.1828770000000001E-2</v>
      </c>
      <c r="U4984">
        <v>0.76678469999999999</v>
      </c>
      <c r="V4984">
        <v>-8.8309319999999997E-3</v>
      </c>
      <c r="W4984">
        <v>0.217116</v>
      </c>
      <c r="X4984">
        <v>0.97610589999999997</v>
      </c>
      <c r="Y4984">
        <v>-0.23921049999999999</v>
      </c>
      <c r="Z4984">
        <v>1.3653750000000001E-4</v>
      </c>
      <c r="AA4984">
        <v>0.97096769999999999</v>
      </c>
      <c r="AB4984">
        <v>36</v>
      </c>
      <c r="AC4984">
        <v>66.989399999999904</v>
      </c>
      <c r="AD4984">
        <v>0.480432999999999</v>
      </c>
      <c r="AE4984">
        <v>16.876100000000001</v>
      </c>
      <c r="AF4984">
        <v>-16.567714679727398</v>
      </c>
      <c r="AG4984">
        <v>0.480432999999999</v>
      </c>
      <c r="AH4984">
        <v>67.062893582175306</v>
      </c>
      <c r="AI4984">
        <v>89.601524297965497</v>
      </c>
      <c r="AJ4984">
        <v>103.876913887141</v>
      </c>
      <c r="AK4984">
        <v>69.080762019469006</v>
      </c>
      <c r="AL4984">
        <v>77.4603024026827</v>
      </c>
      <c r="AM4984">
        <v>90.518346758010694</v>
      </c>
      <c r="AN4984">
        <v>1.00000003541539</v>
      </c>
    </row>
    <row r="4985" spans="1:40" x14ac:dyDescent="0.25">
      <c r="A4985" t="str">
        <f>"20190303170912034"</f>
        <v>20190303170912034</v>
      </c>
      <c r="B4985" t="str">
        <f>"1551604152028558"</f>
        <v>1551604152028558</v>
      </c>
      <c r="C4985" t="s">
        <v>40</v>
      </c>
      <c r="D4985">
        <v>4.9705089999999998</v>
      </c>
      <c r="E4985">
        <v>0.41421669999999999</v>
      </c>
      <c r="F4985" t="s">
        <v>53</v>
      </c>
      <c r="G4985">
        <v>-157.3501</v>
      </c>
      <c r="H4985">
        <v>1.791933</v>
      </c>
      <c r="I4985">
        <v>-41.448439999999998</v>
      </c>
      <c r="J4985">
        <v>-244.37889999999999</v>
      </c>
      <c r="K4985">
        <v>1.1187260000000001</v>
      </c>
      <c r="L4985">
        <v>-63.247439999999997</v>
      </c>
      <c r="M4985">
        <v>0.99996479999999999</v>
      </c>
      <c r="N4985">
        <v>-7.5219919999999999E-3</v>
      </c>
      <c r="O4985">
        <v>3.7326680000000002E-3</v>
      </c>
      <c r="P4985">
        <v>0.97763920000000004</v>
      </c>
      <c r="Q4985">
        <v>0.20985960000000001</v>
      </c>
      <c r="R4985">
        <v>1.344595E-2</v>
      </c>
      <c r="S4985">
        <v>3.0524439999999999</v>
      </c>
      <c r="T4985">
        <v>2.3558740000000002E-2</v>
      </c>
      <c r="U4985">
        <v>0.76287839999999996</v>
      </c>
      <c r="V4985">
        <v>-8.9572709999999993E-3</v>
      </c>
      <c r="W4985">
        <v>0.21724399999999999</v>
      </c>
      <c r="X4985">
        <v>0.97607619999999895</v>
      </c>
      <c r="Y4985">
        <v>-0.23884340000000001</v>
      </c>
      <c r="Z4985" s="1">
        <v>6.0208029999999999E-5</v>
      </c>
      <c r="AA4985">
        <v>0.97105810000000004</v>
      </c>
      <c r="AB4985">
        <v>36</v>
      </c>
      <c r="AC4985">
        <v>87.028799999999904</v>
      </c>
      <c r="AD4985">
        <v>0.673207</v>
      </c>
      <c r="AE4985">
        <v>21.798999999999999</v>
      </c>
      <c r="AF4985">
        <v>-21.472780324679601</v>
      </c>
      <c r="AG4985">
        <v>0.673207</v>
      </c>
      <c r="AH4985">
        <v>87.104660017622805</v>
      </c>
      <c r="AI4985">
        <v>89.570056914080496</v>
      </c>
      <c r="AJ4985">
        <v>103.848268312058</v>
      </c>
      <c r="AK4985">
        <v>89.714855510792901</v>
      </c>
      <c r="AL4985">
        <v>77.452788358387295</v>
      </c>
      <c r="AM4985">
        <v>90.525778026753301</v>
      </c>
      <c r="AN4985">
        <v>0.999999968223103</v>
      </c>
    </row>
    <row r="4986" spans="1:40" x14ac:dyDescent="0.25">
      <c r="A4986" t="str">
        <f>"20190303170912045"</f>
        <v>20190303170912045</v>
      </c>
      <c r="B4986" t="str">
        <f>"1551604152039293"</f>
        <v>1551604152039293</v>
      </c>
      <c r="C4986" t="s">
        <v>40</v>
      </c>
      <c r="D4986">
        <v>4.9479559999999996</v>
      </c>
      <c r="E4986">
        <v>0.41423080000000001</v>
      </c>
      <c r="F4986" t="s">
        <v>53</v>
      </c>
      <c r="G4986">
        <v>-157.3501</v>
      </c>
      <c r="H4986">
        <v>1.808873</v>
      </c>
      <c r="I4986">
        <v>-41.550130000000003</v>
      </c>
      <c r="J4986">
        <v>-244.1942</v>
      </c>
      <c r="K4986">
        <v>1.1187260000000001</v>
      </c>
      <c r="L4986">
        <v>-63.24738</v>
      </c>
      <c r="M4986">
        <v>0.99996750000000001</v>
      </c>
      <c r="N4986">
        <v>-7.5285619999999999E-3</v>
      </c>
      <c r="O4986">
        <v>2.925838E-3</v>
      </c>
      <c r="P4986">
        <v>0.97771859999999999</v>
      </c>
      <c r="Q4986">
        <v>0.20955840000000001</v>
      </c>
      <c r="R4986">
        <v>1.233014E-2</v>
      </c>
      <c r="S4986">
        <v>3.0529630000000001</v>
      </c>
      <c r="T4986">
        <v>2.4209620000000001E-2</v>
      </c>
      <c r="U4986">
        <v>0.76113889999999995</v>
      </c>
      <c r="V4986">
        <v>-8.6343779999999998E-3</v>
      </c>
      <c r="W4986">
        <v>0.216948</v>
      </c>
      <c r="X4986">
        <v>0.97614500000000004</v>
      </c>
      <c r="Y4986">
        <v>-0.239067</v>
      </c>
      <c r="Z4986" s="1">
        <v>2.4457110000000001E-5</v>
      </c>
      <c r="AA4986">
        <v>0.97100310000000001</v>
      </c>
      <c r="AB4986">
        <v>36</v>
      </c>
      <c r="AC4986">
        <v>86.844099999999997</v>
      </c>
      <c r="AD4986">
        <v>0.69014699999999896</v>
      </c>
      <c r="AE4986">
        <v>21.69725</v>
      </c>
      <c r="AF4986">
        <v>-21.441783606613299</v>
      </c>
      <c r="AG4986">
        <v>0.69014699999999896</v>
      </c>
      <c r="AH4986">
        <v>86.9020469109294</v>
      </c>
      <c r="AI4986">
        <v>89.558233415941402</v>
      </c>
      <c r="AJ4986">
        <v>103.860046487677</v>
      </c>
      <c r="AK4986">
        <v>89.510849311263996</v>
      </c>
      <c r="AL4986">
        <v>77.470162984728901</v>
      </c>
      <c r="AM4986">
        <v>90.506789991715905</v>
      </c>
      <c r="AN4986">
        <v>1.0000000241062199</v>
      </c>
    </row>
    <row r="4987" spans="1:40" x14ac:dyDescent="0.25">
      <c r="A4987" t="str">
        <f>"20190303170912058"</f>
        <v>20190303170912058</v>
      </c>
      <c r="B4987" t="str">
        <f>"1551604152049053"</f>
        <v>1551604152049053</v>
      </c>
      <c r="C4987" t="s">
        <v>40</v>
      </c>
      <c r="D4987">
        <v>4.9340129999999904</v>
      </c>
      <c r="E4987">
        <v>0.41405189999999997</v>
      </c>
      <c r="F4987" t="s">
        <v>53</v>
      </c>
      <c r="G4987">
        <v>-157.3501</v>
      </c>
      <c r="H4987">
        <v>1.8087089999999999</v>
      </c>
      <c r="I4987">
        <v>-41.695270000000001</v>
      </c>
      <c r="J4987">
        <v>-243.98869999999999</v>
      </c>
      <c r="K4987">
        <v>1.1187320000000001</v>
      </c>
      <c r="L4987">
        <v>-63.247500000000002</v>
      </c>
      <c r="M4987">
        <v>0.99996960000000001</v>
      </c>
      <c r="N4987">
        <v>-7.5358639999999998E-3</v>
      </c>
      <c r="O4987">
        <v>2.0406119999999998E-3</v>
      </c>
      <c r="P4987">
        <v>0.97774830000000001</v>
      </c>
      <c r="Q4987">
        <v>0.20947579999999999</v>
      </c>
      <c r="R4987">
        <v>1.133314E-2</v>
      </c>
      <c r="S4987">
        <v>3.053604</v>
      </c>
      <c r="T4987">
        <v>2.4260400000000001E-2</v>
      </c>
      <c r="U4987">
        <v>0.7578125</v>
      </c>
      <c r="V4987">
        <v>-8.507456E-3</v>
      </c>
      <c r="W4987">
        <v>0.21687210000000001</v>
      </c>
      <c r="X4987">
        <v>0.976163</v>
      </c>
      <c r="Y4987">
        <v>-0.2388825</v>
      </c>
      <c r="Z4987" s="1">
        <v>9.9212629999999998E-6</v>
      </c>
      <c r="AA4987">
        <v>0.97104849999999998</v>
      </c>
      <c r="AB4987">
        <v>36</v>
      </c>
      <c r="AC4987">
        <v>86.638599999999997</v>
      </c>
      <c r="AD4987">
        <v>0.68997699999999995</v>
      </c>
      <c r="AE4987">
        <v>21.552229999999899</v>
      </c>
      <c r="AF4987">
        <v>-21.374107741082</v>
      </c>
      <c r="AG4987">
        <v>0.68997699999999995</v>
      </c>
      <c r="AH4987">
        <v>86.677223622933198</v>
      </c>
      <c r="AI4987">
        <v>89.557182207336695</v>
      </c>
      <c r="AJ4987">
        <v>103.85244197931399</v>
      </c>
      <c r="AK4987">
        <v>89.276366665360399</v>
      </c>
      <c r="AL4987">
        <v>77.474618043960405</v>
      </c>
      <c r="AM4987">
        <v>90.499331548727</v>
      </c>
      <c r="AN4987">
        <v>1.0000000435675001</v>
      </c>
    </row>
    <row r="4988" spans="1:40" x14ac:dyDescent="0.25">
      <c r="A4988" t="str">
        <f>"20190303170912070"</f>
        <v>20190303170912070</v>
      </c>
      <c r="B4988" t="str">
        <f>"1551604152058445"</f>
        <v>1551604152058445</v>
      </c>
      <c r="C4988" t="s">
        <v>40</v>
      </c>
      <c r="D4988">
        <v>4.9270949999999996</v>
      </c>
      <c r="E4988">
        <v>0.41392820000000002</v>
      </c>
      <c r="F4988" t="s">
        <v>53</v>
      </c>
      <c r="G4988">
        <v>-157.3501</v>
      </c>
      <c r="H4988">
        <v>1.8229679999999999</v>
      </c>
      <c r="I4988">
        <v>-41.798180000000002</v>
      </c>
      <c r="J4988">
        <v>-243.8048</v>
      </c>
      <c r="K4988">
        <v>1.118741</v>
      </c>
      <c r="L4988">
        <v>-63.247709999999998</v>
      </c>
      <c r="M4988">
        <v>0.9999709</v>
      </c>
      <c r="N4988">
        <v>-7.5424089999999999E-3</v>
      </c>
      <c r="O4988">
        <v>1.2532019999999999E-3</v>
      </c>
      <c r="P4988">
        <v>0.97784950000000004</v>
      </c>
      <c r="Q4988">
        <v>0.2090513</v>
      </c>
      <c r="R4988">
        <v>1.0395160000000001E-2</v>
      </c>
      <c r="S4988">
        <v>3.0541990000000001</v>
      </c>
      <c r="T4988">
        <v>2.4825099999999999E-2</v>
      </c>
      <c r="U4988">
        <v>0.75613399999999997</v>
      </c>
      <c r="V4988">
        <v>-8.3448659999999994E-3</v>
      </c>
      <c r="W4988">
        <v>0.21645410000000001</v>
      </c>
      <c r="X4988">
        <v>0.97625709999999999</v>
      </c>
      <c r="Y4988">
        <v>-0.2390999</v>
      </c>
      <c r="Z4988" s="1">
        <v>-2.2796219999999998E-5</v>
      </c>
      <c r="AA4988">
        <v>0.97099500000000005</v>
      </c>
      <c r="AB4988">
        <v>37</v>
      </c>
      <c r="AC4988">
        <v>86.454700000000003</v>
      </c>
      <c r="AD4988">
        <v>0.70422699999999905</v>
      </c>
      <c r="AE4988">
        <v>21.449529999999999</v>
      </c>
      <c r="AF4988">
        <v>-21.339831065849999</v>
      </c>
      <c r="AG4988">
        <v>0.70422699999999905</v>
      </c>
      <c r="AH4988">
        <v>86.476108382850796</v>
      </c>
      <c r="AI4988">
        <v>89.547004710815699</v>
      </c>
      <c r="AJ4988">
        <v>103.86200842711099</v>
      </c>
      <c r="AK4988">
        <v>89.073013009716405</v>
      </c>
      <c r="AL4988">
        <v>77.499149472339596</v>
      </c>
      <c r="AM4988">
        <v>90.489741849906693</v>
      </c>
      <c r="AN4988">
        <v>0.99999996974788796</v>
      </c>
    </row>
    <row r="4989" spans="1:40" x14ac:dyDescent="0.25">
      <c r="A4989" t="str">
        <f>"20190303170912080"</f>
        <v>20190303170912080</v>
      </c>
      <c r="B4989" t="str">
        <f>"1551604152069181"</f>
        <v>1551604152069181</v>
      </c>
      <c r="C4989" t="s">
        <v>40</v>
      </c>
      <c r="D4989">
        <v>4.9046949999999896</v>
      </c>
      <c r="E4989">
        <v>0.4138076</v>
      </c>
      <c r="F4989" t="s">
        <v>53</v>
      </c>
      <c r="G4989">
        <v>-157.3501</v>
      </c>
      <c r="H4989">
        <v>1.782159</v>
      </c>
      <c r="I4989">
        <v>-41.90249</v>
      </c>
      <c r="J4989">
        <v>-243.61869999999999</v>
      </c>
      <c r="K4989">
        <v>1.1187579999999999</v>
      </c>
      <c r="L4989">
        <v>-63.248139999999999</v>
      </c>
      <c r="M4989">
        <v>0.99997139999999995</v>
      </c>
      <c r="N4989">
        <v>-7.5489449999999996E-3</v>
      </c>
      <c r="O4989">
        <v>4.7586440000000002E-4</v>
      </c>
      <c r="P4989">
        <v>0.97793549999999996</v>
      </c>
      <c r="Q4989">
        <v>0.20869019999999999</v>
      </c>
      <c r="R4989">
        <v>9.5162890000000007E-3</v>
      </c>
      <c r="S4989">
        <v>3.054916</v>
      </c>
      <c r="T4989">
        <v>2.3441429999999999E-2</v>
      </c>
      <c r="U4989">
        <v>0.75424190000000002</v>
      </c>
      <c r="V4989">
        <v>-8.2342739999999998E-3</v>
      </c>
      <c r="W4989">
        <v>0.21609980000000001</v>
      </c>
      <c r="X4989">
        <v>0.97633650000000005</v>
      </c>
      <c r="Y4989">
        <v>-0.23923510000000001</v>
      </c>
      <c r="Z4989" s="1">
        <v>1.9214579999999999E-5</v>
      </c>
      <c r="AA4989">
        <v>0.97096170000000004</v>
      </c>
      <c r="AB4989">
        <v>37</v>
      </c>
      <c r="AC4989">
        <v>86.268599999999907</v>
      </c>
      <c r="AD4989">
        <v>0.66340100000000002</v>
      </c>
      <c r="AE4989">
        <v>21.345649999999999</v>
      </c>
      <c r="AF4989">
        <v>-21.3034071527054</v>
      </c>
      <c r="AG4989">
        <v>0.66340100000000002</v>
      </c>
      <c r="AH4989">
        <v>86.273940650474898</v>
      </c>
      <c r="AI4989">
        <v>89.572280699403294</v>
      </c>
      <c r="AJ4989">
        <v>103.870437319148</v>
      </c>
      <c r="AK4989">
        <v>88.867699939642904</v>
      </c>
      <c r="AL4989">
        <v>77.519941145566904</v>
      </c>
      <c r="AM4989">
        <v>90.483212459989602</v>
      </c>
      <c r="AN4989">
        <v>0.99999994403029702</v>
      </c>
    </row>
    <row r="4990" spans="1:40" x14ac:dyDescent="0.25">
      <c r="A4990" t="str">
        <f>"20190303170912098"</f>
        <v>20190303170912098</v>
      </c>
      <c r="B4990" t="str">
        <f>"1551604152088700"</f>
        <v>1551604152088700</v>
      </c>
      <c r="C4990" t="s">
        <v>40</v>
      </c>
      <c r="D4990">
        <v>4.926939</v>
      </c>
      <c r="E4990">
        <v>0.41343049999999998</v>
      </c>
      <c r="F4990" t="s">
        <v>53</v>
      </c>
      <c r="G4990">
        <v>-157.3501</v>
      </c>
      <c r="H4990">
        <v>1.739932</v>
      </c>
      <c r="I4990">
        <v>-42.00224</v>
      </c>
      <c r="J4990">
        <v>-243.34469999999999</v>
      </c>
      <c r="K4990">
        <v>1.1187800000000001</v>
      </c>
      <c r="L4990">
        <v>-63.248959999999997</v>
      </c>
      <c r="M4990">
        <v>0.99997139999999995</v>
      </c>
      <c r="N4990">
        <v>-7.5585100000000001E-3</v>
      </c>
      <c r="O4990">
        <v>-6.5077389999999998E-4</v>
      </c>
      <c r="P4990">
        <v>0.9779137</v>
      </c>
      <c r="Q4990">
        <v>0.20885860000000001</v>
      </c>
      <c r="R4990">
        <v>7.9601689999999996E-3</v>
      </c>
      <c r="S4990">
        <v>3.0556489999999998</v>
      </c>
      <c r="T4990">
        <v>2.2001389999999999E-2</v>
      </c>
      <c r="U4990">
        <v>0.75253300000000001</v>
      </c>
      <c r="V4990">
        <v>-7.7902889999999997E-3</v>
      </c>
      <c r="W4990">
        <v>0.21627479999999999</v>
      </c>
      <c r="X4990">
        <v>0.97630139999999999</v>
      </c>
      <c r="Y4990">
        <v>-0.23976320000000001</v>
      </c>
      <c r="Z4990" s="1">
        <v>5.9553769999999997E-5</v>
      </c>
      <c r="AA4990">
        <v>0.97083140000000001</v>
      </c>
      <c r="AB4990">
        <v>37</v>
      </c>
      <c r="AC4990">
        <v>85.994599999999906</v>
      </c>
      <c r="AD4990">
        <v>0.62115200000000004</v>
      </c>
      <c r="AE4990">
        <v>21.24672</v>
      </c>
      <c r="AF4990">
        <v>-21.3016326813609</v>
      </c>
      <c r="AG4990">
        <v>0.62115200000000004</v>
      </c>
      <c r="AH4990">
        <v>85.976526926395394</v>
      </c>
      <c r="AI4990">
        <v>89.5982120356922</v>
      </c>
      <c r="AJ4990">
        <v>103.915442448929</v>
      </c>
      <c r="AK4990">
        <v>88.578262384311401</v>
      </c>
      <c r="AL4990">
        <v>77.509671611068001</v>
      </c>
      <c r="AM4990">
        <v>90.457175630499293</v>
      </c>
      <c r="AN4990">
        <v>0.99999995067985004</v>
      </c>
    </row>
    <row r="4991" spans="1:40" x14ac:dyDescent="0.25">
      <c r="A4991" t="str">
        <f>"20190303170912115"</f>
        <v>20190303170912115</v>
      </c>
      <c r="B4991" t="str">
        <f>"1551604152109196"</f>
        <v>1551604152109196</v>
      </c>
      <c r="C4991" t="s">
        <v>40</v>
      </c>
      <c r="D4991">
        <v>4.8636330000000001</v>
      </c>
      <c r="E4991">
        <v>0.41317910000000002</v>
      </c>
      <c r="F4991" t="s">
        <v>53</v>
      </c>
      <c r="G4991">
        <v>-157.3501</v>
      </c>
      <c r="H4991">
        <v>1.8135049999999999</v>
      </c>
      <c r="I4991">
        <v>-42.121009999999998</v>
      </c>
      <c r="J4991">
        <v>-243.07560000000001</v>
      </c>
      <c r="K4991">
        <v>1.1188009999999999</v>
      </c>
      <c r="L4991">
        <v>-63.250030000000002</v>
      </c>
      <c r="M4991">
        <v>0.99996989999999997</v>
      </c>
      <c r="N4991">
        <v>-7.5678569999999999E-3</v>
      </c>
      <c r="O4991">
        <v>-1.7302789999999999E-3</v>
      </c>
      <c r="P4991">
        <v>0.97784409999999999</v>
      </c>
      <c r="Q4991">
        <v>0.2092349</v>
      </c>
      <c r="R4991">
        <v>6.4815319999999999E-3</v>
      </c>
      <c r="S4991">
        <v>3.0563660000000001</v>
      </c>
      <c r="T4991">
        <v>2.4690750000000001E-2</v>
      </c>
      <c r="U4991">
        <v>0.75091549999999996</v>
      </c>
      <c r="V4991">
        <v>-7.3785769999999999E-3</v>
      </c>
      <c r="W4991">
        <v>0.2166575</v>
      </c>
      <c r="X4991">
        <v>0.97621979999999997</v>
      </c>
      <c r="Y4991">
        <v>-0.24027299999999999</v>
      </c>
      <c r="Z4991" s="1">
        <v>-6.0448770000000001E-5</v>
      </c>
      <c r="AA4991">
        <v>0.97070540000000005</v>
      </c>
      <c r="AB4991">
        <v>37</v>
      </c>
      <c r="AC4991">
        <v>85.725499999999997</v>
      </c>
      <c r="AD4991">
        <v>0.69470399999999999</v>
      </c>
      <c r="AE4991">
        <v>21.129020000000001</v>
      </c>
      <c r="AF4991">
        <v>-21.276004428590799</v>
      </c>
      <c r="AG4991">
        <v>0.69470399999999999</v>
      </c>
      <c r="AH4991">
        <v>85.683506781057005</v>
      </c>
      <c r="AI4991">
        <v>89.549158354131094</v>
      </c>
      <c r="AJ4991">
        <v>103.945031009837</v>
      </c>
      <c r="AK4991">
        <v>88.288245607172897</v>
      </c>
      <c r="AL4991">
        <v>77.487212714071802</v>
      </c>
      <c r="AM4991">
        <v>90.433051317610094</v>
      </c>
      <c r="AN4991">
        <v>1.0000000068084101</v>
      </c>
    </row>
    <row r="4992" spans="1:40" x14ac:dyDescent="0.25">
      <c r="A4992" t="str">
        <f>"20190303170912127"</f>
        <v>20190303170912127</v>
      </c>
      <c r="B4992" t="str">
        <f>"1551604152118956"</f>
        <v>1551604152118956</v>
      </c>
      <c r="C4992" t="s">
        <v>40</v>
      </c>
      <c r="D4992">
        <v>4.8597380000000001</v>
      </c>
      <c r="E4992">
        <v>0.41301080000000001</v>
      </c>
      <c r="F4992" t="s">
        <v>53</v>
      </c>
      <c r="G4992">
        <v>-157.3501</v>
      </c>
      <c r="H4992">
        <v>1.9014869999999999</v>
      </c>
      <c r="I4992">
        <v>-42.263109999999998</v>
      </c>
      <c r="J4992">
        <v>-242.84800000000001</v>
      </c>
      <c r="K4992">
        <v>1.118825</v>
      </c>
      <c r="L4992">
        <v>-63.251100000000001</v>
      </c>
      <c r="M4992">
        <v>0.99996790000000002</v>
      </c>
      <c r="N4992">
        <v>-7.5757609999999899E-3</v>
      </c>
      <c r="O4992">
        <v>-2.6206089999999999E-3</v>
      </c>
      <c r="P4992">
        <v>0.97777060000000005</v>
      </c>
      <c r="Q4992">
        <v>0.20961759999999999</v>
      </c>
      <c r="R4992">
        <v>5.0078409999999999E-3</v>
      </c>
      <c r="S4992">
        <v>3.0570529999999998</v>
      </c>
      <c r="T4992">
        <v>2.7910589999999999E-2</v>
      </c>
      <c r="U4992">
        <v>0.74841309999999905</v>
      </c>
      <c r="V4992">
        <v>-6.7863289999999998E-3</v>
      </c>
      <c r="W4992">
        <v>0.21704480000000001</v>
      </c>
      <c r="X4992">
        <v>0.97613810000000001</v>
      </c>
      <c r="Y4992">
        <v>-0.24033589999999999</v>
      </c>
      <c r="Z4992">
        <v>-2.0065219999999999E-4</v>
      </c>
      <c r="AA4992">
        <v>0.97068980000000005</v>
      </c>
      <c r="AB4992">
        <v>37</v>
      </c>
      <c r="AC4992">
        <v>85.497899999999902</v>
      </c>
      <c r="AD4992">
        <v>0.78266199999999997</v>
      </c>
      <c r="AE4992">
        <v>20.98799</v>
      </c>
      <c r="AF4992">
        <v>-21.210304538196102</v>
      </c>
      <c r="AG4992">
        <v>0.78266199999999997</v>
      </c>
      <c r="AH4992">
        <v>85.435850997471505</v>
      </c>
      <c r="AI4992">
        <v>89.490601012582403</v>
      </c>
      <c r="AJ4992">
        <v>103.942374963272</v>
      </c>
      <c r="AK4992">
        <v>88.032801921053405</v>
      </c>
      <c r="AL4992">
        <v>77.464481638810199</v>
      </c>
      <c r="AM4992">
        <v>90.398326574702594</v>
      </c>
      <c r="AN4992">
        <v>1.00000004486997</v>
      </c>
    </row>
    <row r="4993" spans="1:40" x14ac:dyDescent="0.25">
      <c r="A4993" t="str">
        <f>"20190303170912141"</f>
        <v>20190303170912141</v>
      </c>
      <c r="B4993" t="str">
        <f>"1551604152128716"</f>
        <v>1551604152128716</v>
      </c>
      <c r="C4993" t="s">
        <v>40</v>
      </c>
      <c r="D4993">
        <v>4.8639039999999998</v>
      </c>
      <c r="E4993">
        <v>0.41280939999999999</v>
      </c>
      <c r="F4993" t="s">
        <v>53</v>
      </c>
      <c r="G4993">
        <v>-157.3501</v>
      </c>
      <c r="H4993">
        <v>1.949406</v>
      </c>
      <c r="I4993">
        <v>-42.40325</v>
      </c>
      <c r="J4993">
        <v>-242.62200000000001</v>
      </c>
      <c r="K4993">
        <v>1.1188439999999999</v>
      </c>
      <c r="L4993">
        <v>-63.25244</v>
      </c>
      <c r="M4993">
        <v>0.99996529999999995</v>
      </c>
      <c r="N4993">
        <v>-7.5834709999999996E-3</v>
      </c>
      <c r="O4993">
        <v>-3.4737129999999998E-3</v>
      </c>
      <c r="P4993">
        <v>0.97766379999999997</v>
      </c>
      <c r="Q4993">
        <v>0.21015510000000001</v>
      </c>
      <c r="R4993">
        <v>2.9335120000000001E-3</v>
      </c>
      <c r="S4993">
        <v>3.058014</v>
      </c>
      <c r="T4993">
        <v>2.9706719999999999E-2</v>
      </c>
      <c r="U4993">
        <v>0.74566650000000001</v>
      </c>
      <c r="V4993">
        <v>-5.5572939999999999E-3</v>
      </c>
      <c r="W4993">
        <v>0.21758420000000001</v>
      </c>
      <c r="X4993">
        <v>0.9760257</v>
      </c>
      <c r="Y4993">
        <v>-0.24027000000000001</v>
      </c>
      <c r="Z4993">
        <v>-2.8516959999999998E-4</v>
      </c>
      <c r="AA4993">
        <v>0.97070599999999996</v>
      </c>
      <c r="AB4993">
        <v>37</v>
      </c>
      <c r="AC4993">
        <v>85.271900000000002</v>
      </c>
      <c r="AD4993">
        <v>0.83056200000000002</v>
      </c>
      <c r="AE4993">
        <v>20.84919</v>
      </c>
      <c r="AF4993">
        <v>-21.1433900630709</v>
      </c>
      <c r="AG4993">
        <v>0.83056200000000002</v>
      </c>
      <c r="AH4993">
        <v>85.191333060781304</v>
      </c>
      <c r="AI4993">
        <v>89.457866172777102</v>
      </c>
      <c r="AJ4993">
        <v>103.938440519103</v>
      </c>
      <c r="AK4993">
        <v>87.779815477523002</v>
      </c>
      <c r="AL4993">
        <v>77.432818635760199</v>
      </c>
      <c r="AM4993">
        <v>90.326227117692198</v>
      </c>
      <c r="AN4993">
        <v>0.99999996733336505</v>
      </c>
    </row>
    <row r="4994" spans="1:40" x14ac:dyDescent="0.25">
      <c r="A4994" t="str">
        <f>"20190303170912152"</f>
        <v>20190303170912152</v>
      </c>
      <c r="B4994" t="str">
        <f>"1551604152149213"</f>
        <v>1551604152149213</v>
      </c>
      <c r="C4994" t="s">
        <v>40</v>
      </c>
      <c r="D4994">
        <v>4.8493000000000004</v>
      </c>
      <c r="E4994">
        <v>0.4080433</v>
      </c>
      <c r="F4994" t="s">
        <v>53</v>
      </c>
      <c r="G4994">
        <v>-157.3501</v>
      </c>
      <c r="H4994">
        <v>2.008184</v>
      </c>
      <c r="I4994">
        <v>-42.593730000000001</v>
      </c>
      <c r="J4994">
        <v>-242.44479999999999</v>
      </c>
      <c r="K4994">
        <v>1.1188659999999999</v>
      </c>
      <c r="L4994">
        <v>-63.253540000000001</v>
      </c>
      <c r="M4994">
        <v>0.99996269999999998</v>
      </c>
      <c r="N4994">
        <v>-7.5895299999999997E-3</v>
      </c>
      <c r="O4994">
        <v>-4.1308909999999898E-3</v>
      </c>
      <c r="P4994">
        <v>0.9776861</v>
      </c>
      <c r="Q4994">
        <v>0.21006449999999999</v>
      </c>
      <c r="R4994">
        <v>1.6980770000000001E-3</v>
      </c>
      <c r="S4994">
        <v>3.0594640000000002</v>
      </c>
      <c r="T4994">
        <v>3.19078E-2</v>
      </c>
      <c r="U4994">
        <v>0.74121090000000001</v>
      </c>
      <c r="V4994">
        <v>-4.9756359999999899E-3</v>
      </c>
      <c r="W4994">
        <v>0.2174972</v>
      </c>
      <c r="X4994">
        <v>0.97604829999999998</v>
      </c>
      <c r="Y4994">
        <v>-0.23946600000000001</v>
      </c>
      <c r="Z4994">
        <v>-3.8256329999999998E-4</v>
      </c>
      <c r="AA4994">
        <v>0.97090460000000001</v>
      </c>
      <c r="AB4994">
        <v>37</v>
      </c>
      <c r="AC4994">
        <v>85.094699999999904</v>
      </c>
      <c r="AD4994">
        <v>0.88931800000000005</v>
      </c>
      <c r="AE4994">
        <v>20.65981</v>
      </c>
      <c r="AF4994">
        <v>-21.008993849469999</v>
      </c>
      <c r="AG4994">
        <v>0.88931800000000005</v>
      </c>
      <c r="AH4994">
        <v>84.999860978921902</v>
      </c>
      <c r="AI4994">
        <v>89.4180705433279</v>
      </c>
      <c r="AJ4994">
        <v>103.88326520282899</v>
      </c>
      <c r="AK4994">
        <v>87.562235441474698</v>
      </c>
      <c r="AL4994">
        <v>77.437926558374102</v>
      </c>
      <c r="AM4994">
        <v>90.292076195160803</v>
      </c>
      <c r="AN4994">
        <v>1.00000003644716</v>
      </c>
    </row>
    <row r="4995" spans="1:40" x14ac:dyDescent="0.25">
      <c r="A4995" t="str">
        <f>"20190303170912163"</f>
        <v>20190303170912163</v>
      </c>
      <c r="B4995" t="str">
        <f>"1551604152158654"</f>
        <v>1551604152158654</v>
      </c>
      <c r="C4995" t="s">
        <v>40</v>
      </c>
      <c r="D4995">
        <v>4.8662830000000001</v>
      </c>
      <c r="E4995">
        <v>0.4077578</v>
      </c>
      <c r="F4995" t="s">
        <v>53</v>
      </c>
      <c r="G4995">
        <v>-157.3501</v>
      </c>
      <c r="H4995">
        <v>2.4273940000000001</v>
      </c>
      <c r="I4995">
        <v>-41.696959999999997</v>
      </c>
      <c r="J4995">
        <v>-242.25550000000001</v>
      </c>
      <c r="K4995">
        <v>1.1188910000000001</v>
      </c>
      <c r="L4995">
        <v>-63.25488</v>
      </c>
      <c r="M4995">
        <v>0.9999595</v>
      </c>
      <c r="N4995">
        <v>-7.5960139999999999E-3</v>
      </c>
      <c r="O4995">
        <v>-4.808044E-3</v>
      </c>
      <c r="P4995">
        <v>0.9777361</v>
      </c>
      <c r="Q4995">
        <v>0.20983889999999999</v>
      </c>
      <c r="R4995">
        <v>3.5733539999999999E-4</v>
      </c>
      <c r="S4995">
        <v>3.057007</v>
      </c>
      <c r="T4995">
        <v>4.7007800000000002E-2</v>
      </c>
      <c r="U4995">
        <v>0.77441409999999999</v>
      </c>
      <c r="V4995">
        <v>-4.3121679999999999E-3</v>
      </c>
      <c r="W4995">
        <v>0.21727569999999999</v>
      </c>
      <c r="X4995">
        <v>0.97610070000000004</v>
      </c>
      <c r="Y4995">
        <v>-0.25021080000000001</v>
      </c>
      <c r="Z4995">
        <v>-1.0373559999999999E-3</v>
      </c>
      <c r="AA4995">
        <v>0.96819080000000002</v>
      </c>
      <c r="AB4995">
        <v>37</v>
      </c>
      <c r="AC4995">
        <v>84.9054</v>
      </c>
      <c r="AD4995">
        <v>1.308503</v>
      </c>
      <c r="AE4995">
        <v>21.557919999999999</v>
      </c>
      <c r="AF4995">
        <v>-21.9610114891147</v>
      </c>
      <c r="AG4995">
        <v>1.308503</v>
      </c>
      <c r="AH4995">
        <v>84.781847254019397</v>
      </c>
      <c r="AI4995">
        <v>89.144026439757496</v>
      </c>
      <c r="AJ4995">
        <v>104.522126857053</v>
      </c>
      <c r="AK4995">
        <v>87.589724451729595</v>
      </c>
      <c r="AL4995">
        <v>77.450927411431493</v>
      </c>
      <c r="AM4995">
        <v>90.253116732384299</v>
      </c>
      <c r="AN4995">
        <v>0.99999995057191804</v>
      </c>
    </row>
    <row r="4996" spans="1:40" x14ac:dyDescent="0.25">
      <c r="A4996" t="str">
        <f>"20190303170912176"</f>
        <v>20190303170912176</v>
      </c>
      <c r="B4996" t="str">
        <f>"1551604152168414"</f>
        <v>1551604152168414</v>
      </c>
      <c r="C4996" t="s">
        <v>40</v>
      </c>
      <c r="D4996">
        <v>4.8576269999999999</v>
      </c>
      <c r="E4996">
        <v>0.40775990000000001</v>
      </c>
      <c r="F4996" t="s">
        <v>53</v>
      </c>
      <c r="G4996">
        <v>-157.3501</v>
      </c>
      <c r="H4996">
        <v>2.4943550000000001</v>
      </c>
      <c r="I4996">
        <v>-41.8</v>
      </c>
      <c r="J4996">
        <v>-242.05170000000001</v>
      </c>
      <c r="K4996">
        <v>1.1189229999999999</v>
      </c>
      <c r="L4996">
        <v>-63.256410000000002</v>
      </c>
      <c r="M4996">
        <v>0.99995599999999996</v>
      </c>
      <c r="N4996">
        <v>-7.6029919999999898E-3</v>
      </c>
      <c r="O4996">
        <v>-5.5180649999999999E-3</v>
      </c>
      <c r="P4996">
        <v>0.97783600000000004</v>
      </c>
      <c r="Q4996">
        <v>0.209371</v>
      </c>
      <c r="R4996">
        <v>-8.3412600000000003E-4</v>
      </c>
      <c r="S4996">
        <v>3.0574189999999999</v>
      </c>
      <c r="T4996">
        <v>4.952931E-2</v>
      </c>
      <c r="U4996">
        <v>0.77258300000000002</v>
      </c>
      <c r="V4996">
        <v>-3.8317709999999999E-3</v>
      </c>
      <c r="W4996">
        <v>0.21681349999999999</v>
      </c>
      <c r="X4996">
        <v>0.97620549999999995</v>
      </c>
      <c r="Y4996">
        <v>-0.25031969999999998</v>
      </c>
      <c r="Z4996">
        <v>-1.1590109999999999E-3</v>
      </c>
      <c r="AA4996">
        <v>0.96816250000000004</v>
      </c>
      <c r="AB4996">
        <v>37</v>
      </c>
      <c r="AC4996">
        <v>84.701599999999999</v>
      </c>
      <c r="AD4996">
        <v>1.375432</v>
      </c>
      <c r="AE4996">
        <v>21.456410000000002</v>
      </c>
      <c r="AF4996">
        <v>-21.9180546204962</v>
      </c>
      <c r="AG4996">
        <v>1.375432</v>
      </c>
      <c r="AH4996">
        <v>84.560955728879094</v>
      </c>
      <c r="AI4996">
        <v>89.097938003378303</v>
      </c>
      <c r="AJ4996">
        <v>104.53118144392801</v>
      </c>
      <c r="AK4996">
        <v>87.366172889254699</v>
      </c>
      <c r="AL4996">
        <v>77.478056566922305</v>
      </c>
      <c r="AM4996">
        <v>90.224894429368106</v>
      </c>
      <c r="AN4996">
        <v>0.99999997724074796</v>
      </c>
    </row>
    <row r="4997" spans="1:40" x14ac:dyDescent="0.25">
      <c r="A4997" t="str">
        <f>"20190303170912186"</f>
        <v>20190303170912186</v>
      </c>
      <c r="B4997" t="str">
        <f>"1551604152179150"</f>
        <v>1551604152179150</v>
      </c>
      <c r="C4997" t="s">
        <v>40</v>
      </c>
      <c r="D4997">
        <v>4.83969</v>
      </c>
      <c r="E4997">
        <v>0.40801470000000001</v>
      </c>
      <c r="F4997" t="s">
        <v>53</v>
      </c>
      <c r="G4997">
        <v>-157.3501</v>
      </c>
      <c r="H4997">
        <v>2.4006439999999998</v>
      </c>
      <c r="I4997">
        <v>-41.949469999999998</v>
      </c>
      <c r="J4997">
        <v>-241.86060000000001</v>
      </c>
      <c r="K4997">
        <v>1.118949</v>
      </c>
      <c r="L4997">
        <v>-63.257969999999901</v>
      </c>
      <c r="M4997">
        <v>0.99995210000000001</v>
      </c>
      <c r="N4997">
        <v>-7.609528E-3</v>
      </c>
      <c r="O4997">
        <v>-6.169211E-3</v>
      </c>
      <c r="P4997">
        <v>0.97785929999999999</v>
      </c>
      <c r="Q4997">
        <v>0.209255</v>
      </c>
      <c r="R4997">
        <v>-1.9429899999999999E-3</v>
      </c>
      <c r="S4997">
        <v>3.0587620000000002</v>
      </c>
      <c r="T4997">
        <v>4.6285029999999998E-2</v>
      </c>
      <c r="U4997">
        <v>0.76943969999999995</v>
      </c>
      <c r="V4997">
        <v>-3.374742E-3</v>
      </c>
      <c r="W4997">
        <v>0.21670220000000001</v>
      </c>
      <c r="X4997">
        <v>0.97623190000000004</v>
      </c>
      <c r="Y4997">
        <v>-0.24991659999999999</v>
      </c>
      <c r="Z4997">
        <v>-1.0344079999999999E-3</v>
      </c>
      <c r="AA4997">
        <v>0.96826679999999998</v>
      </c>
      <c r="AB4997">
        <v>37</v>
      </c>
      <c r="AC4997">
        <v>84.510499999999993</v>
      </c>
      <c r="AD4997">
        <v>1.28169499999999</v>
      </c>
      <c r="AE4997">
        <v>21.308499999999899</v>
      </c>
      <c r="AF4997">
        <v>-21.824752776396</v>
      </c>
      <c r="AG4997">
        <v>1.28169499999999</v>
      </c>
      <c r="AH4997">
        <v>84.359187585487803</v>
      </c>
      <c r="AI4997">
        <v>89.157295635945403</v>
      </c>
      <c r="AJ4997">
        <v>104.505082236581</v>
      </c>
      <c r="AK4997">
        <v>87.146056169555607</v>
      </c>
      <c r="AL4997">
        <v>77.484588893668004</v>
      </c>
      <c r="AM4997">
        <v>90.198065340137802</v>
      </c>
      <c r="AN4997">
        <v>0.99999997747300795</v>
      </c>
    </row>
    <row r="4998" spans="1:40" x14ac:dyDescent="0.25">
      <c r="A4998" t="str">
        <f>"20190303170912198"</f>
        <v>20190303170912198</v>
      </c>
      <c r="B4998" t="str">
        <f>"1551604152188910"</f>
        <v>1551604152188910</v>
      </c>
      <c r="C4998" t="s">
        <v>40</v>
      </c>
      <c r="D4998">
        <v>4.8279319999999997</v>
      </c>
      <c r="E4998">
        <v>0.40780749999999999</v>
      </c>
      <c r="F4998" t="s">
        <v>53</v>
      </c>
      <c r="G4998">
        <v>-157.3501</v>
      </c>
      <c r="H4998">
        <v>2.3706990000000001</v>
      </c>
      <c r="I4998">
        <v>-42.150129999999997</v>
      </c>
      <c r="J4998">
        <v>-241.67580000000001</v>
      </c>
      <c r="K4998">
        <v>1.118973</v>
      </c>
      <c r="L4998">
        <v>-63.259610000000002</v>
      </c>
      <c r="M4998">
        <v>0.99994810000000001</v>
      </c>
      <c r="N4998">
        <v>-7.6158769999999897E-3</v>
      </c>
      <c r="O4998">
        <v>-6.7738779999999997E-3</v>
      </c>
      <c r="P4998">
        <v>0.97782279999999999</v>
      </c>
      <c r="Q4998">
        <v>0.20940420000000001</v>
      </c>
      <c r="R4998">
        <v>-3.5340580000000001E-3</v>
      </c>
      <c r="S4998">
        <v>3.0597530000000002</v>
      </c>
      <c r="T4998">
        <v>4.5319560000000002E-2</v>
      </c>
      <c r="U4998">
        <v>0.76422119999999905</v>
      </c>
      <c r="V4998">
        <v>-2.3877920000000001E-3</v>
      </c>
      <c r="W4998">
        <v>0.21685389999999999</v>
      </c>
      <c r="X4998">
        <v>0.97620110000000004</v>
      </c>
      <c r="Y4998">
        <v>-0.2488747</v>
      </c>
      <c r="Z4998">
        <v>-1.002679E-3</v>
      </c>
      <c r="AA4998">
        <v>0.96853520000000004</v>
      </c>
      <c r="AB4998">
        <v>37</v>
      </c>
      <c r="AC4998">
        <v>84.325699999999998</v>
      </c>
      <c r="AD4998">
        <v>1.2517259999999999</v>
      </c>
      <c r="AE4998">
        <v>21.109480000000001</v>
      </c>
      <c r="AF4998">
        <v>-21.675729764478199</v>
      </c>
      <c r="AG4998">
        <v>1.2517259999999999</v>
      </c>
      <c r="AH4998">
        <v>84.163316854458401</v>
      </c>
      <c r="AI4998">
        <v>89.174848908608993</v>
      </c>
      <c r="AJ4998">
        <v>104.442311781672</v>
      </c>
      <c r="AK4998">
        <v>86.918743564007698</v>
      </c>
      <c r="AL4998">
        <v>77.475685077238595</v>
      </c>
      <c r="AM4998">
        <v>90.140145438386995</v>
      </c>
      <c r="AN4998">
        <v>0.99999995156852595</v>
      </c>
    </row>
    <row r="4999" spans="1:40" x14ac:dyDescent="0.25">
      <c r="A4999" t="str">
        <f>"20190303170912209"</f>
        <v>20190303170912209</v>
      </c>
      <c r="B4999" t="str">
        <f>"1551604152198670"</f>
        <v>1551604152198670</v>
      </c>
      <c r="C4999" t="s">
        <v>40</v>
      </c>
      <c r="D4999">
        <v>4.827674</v>
      </c>
      <c r="E4999">
        <v>0.40751389999999998</v>
      </c>
      <c r="F4999" t="s">
        <v>53</v>
      </c>
      <c r="G4999">
        <v>-157.3501</v>
      </c>
      <c r="H4999">
        <v>2.3995609999999998</v>
      </c>
      <c r="I4999">
        <v>-42.2986</v>
      </c>
      <c r="J4999">
        <v>-241.4966</v>
      </c>
      <c r="K4999">
        <v>1.1189990000000001</v>
      </c>
      <c r="L4999">
        <v>-63.261229999999998</v>
      </c>
      <c r="M4999">
        <v>0.99994400000000006</v>
      </c>
      <c r="N4999">
        <v>-7.6220669999999997E-3</v>
      </c>
      <c r="O4999">
        <v>-7.3555510000000001E-3</v>
      </c>
      <c r="P4999">
        <v>0.97776320000000005</v>
      </c>
      <c r="Q4999">
        <v>0.20966170000000001</v>
      </c>
      <c r="R4999">
        <v>-4.6122450000000001E-3</v>
      </c>
      <c r="S4999">
        <v>3.0608219999999999</v>
      </c>
      <c r="T4999">
        <v>4.648149E-2</v>
      </c>
      <c r="U4999">
        <v>0.76083369999999995</v>
      </c>
      <c r="V4999">
        <v>-1.890538E-3</v>
      </c>
      <c r="W4999">
        <v>0.21711549999999999</v>
      </c>
      <c r="X4999">
        <v>0.97614409999999896</v>
      </c>
      <c r="Y4999">
        <v>-0.24834819999999999</v>
      </c>
      <c r="Z4999">
        <v>-1.061904E-3</v>
      </c>
      <c r="AA4999">
        <v>0.96867020000000004</v>
      </c>
      <c r="AB4999">
        <v>37</v>
      </c>
      <c r="AC4999">
        <v>84.146500000000003</v>
      </c>
      <c r="AD4999">
        <v>1.280562</v>
      </c>
      <c r="AE4999">
        <v>20.962630000000001</v>
      </c>
      <c r="AF4999">
        <v>-21.576319694966099</v>
      </c>
      <c r="AG4999">
        <v>1.280562</v>
      </c>
      <c r="AH4999">
        <v>83.971716319024907</v>
      </c>
      <c r="AI4999">
        <v>89.1537950714728</v>
      </c>
      <c r="AJ4999">
        <v>104.410271861872</v>
      </c>
      <c r="AK4999">
        <v>86.708860863109194</v>
      </c>
      <c r="AL4999">
        <v>77.460331416806397</v>
      </c>
      <c r="AM4999">
        <v>90.110966928934701</v>
      </c>
      <c r="AN4999">
        <v>1.0000000092194901</v>
      </c>
    </row>
    <row r="5000" spans="1:40" x14ac:dyDescent="0.25">
      <c r="A5000" t="str">
        <f>"20190303170912219"</f>
        <v>20190303170912219</v>
      </c>
      <c r="B5000" t="str">
        <f>"1551604152208430"</f>
        <v>1551604152208430</v>
      </c>
      <c r="C5000" t="s">
        <v>40</v>
      </c>
      <c r="D5000">
        <v>4.8034790000000003</v>
      </c>
      <c r="E5000">
        <v>0.407246</v>
      </c>
      <c r="F5000" t="s">
        <v>53</v>
      </c>
      <c r="G5000">
        <v>-157.3501</v>
      </c>
      <c r="H5000">
        <v>2.4563990000000002</v>
      </c>
      <c r="I5000">
        <v>-42.368760000000002</v>
      </c>
      <c r="J5000">
        <v>-241.32159999999999</v>
      </c>
      <c r="K5000">
        <v>1.1190199999999999</v>
      </c>
      <c r="L5000">
        <v>-63.262970000000003</v>
      </c>
      <c r="M5000">
        <v>0.99993969999999999</v>
      </c>
      <c r="N5000">
        <v>-7.6281049999999996E-3</v>
      </c>
      <c r="O5000">
        <v>-7.8997059999999994E-3</v>
      </c>
      <c r="P5000">
        <v>0.9777226</v>
      </c>
      <c r="Q5000">
        <v>0.20982310000000001</v>
      </c>
      <c r="R5000">
        <v>-5.7664760000000004E-3</v>
      </c>
      <c r="S5000">
        <v>3.0613860000000002</v>
      </c>
      <c r="T5000">
        <v>4.8655990000000003E-2</v>
      </c>
      <c r="U5000">
        <v>0.76010129999999998</v>
      </c>
      <c r="V5000">
        <v>-1.2793380000000001E-3</v>
      </c>
      <c r="W5000">
        <v>0.21728030000000001</v>
      </c>
      <c r="X5000">
        <v>0.97610839999999999</v>
      </c>
      <c r="Y5000">
        <v>-0.248613</v>
      </c>
      <c r="Z5000">
        <v>-1.1665899999999999E-3</v>
      </c>
      <c r="AA5000">
        <v>0.96860219999999997</v>
      </c>
      <c r="AB5000">
        <v>37</v>
      </c>
      <c r="AC5000">
        <v>83.971499999999907</v>
      </c>
      <c r="AD5000">
        <v>1.3373790000000001</v>
      </c>
      <c r="AE5000">
        <v>20.894210000000001</v>
      </c>
      <c r="AF5000">
        <v>-21.551779454734799</v>
      </c>
      <c r="AG5000">
        <v>1.3373790000000001</v>
      </c>
      <c r="AH5000">
        <v>83.783803579334105</v>
      </c>
      <c r="AI5000">
        <v>89.114334548570994</v>
      </c>
      <c r="AJ5000">
        <v>104.425502242642</v>
      </c>
      <c r="AK5000">
        <v>86.521636152326707</v>
      </c>
      <c r="AL5000">
        <v>77.450657864957094</v>
      </c>
      <c r="AM5000">
        <v>90.075094759965793</v>
      </c>
      <c r="AN5000">
        <v>0.99999998701218396</v>
      </c>
    </row>
    <row r="5001" spans="1:40" x14ac:dyDescent="0.25">
      <c r="A5001" t="str">
        <f>"20190303170912230"</f>
        <v>20190303170912230</v>
      </c>
      <c r="B5001" t="str">
        <f>"1551604152219166"</f>
        <v>1551604152219166</v>
      </c>
      <c r="C5001" t="s">
        <v>40</v>
      </c>
      <c r="D5001">
        <v>4.8275550000000003</v>
      </c>
      <c r="E5001">
        <v>0.40694639999999999</v>
      </c>
      <c r="F5001" t="s">
        <v>53</v>
      </c>
      <c r="G5001">
        <v>-157.3501</v>
      </c>
      <c r="H5001">
        <v>2.4934539999999998</v>
      </c>
      <c r="I5001">
        <v>-42.446330000000003</v>
      </c>
      <c r="J5001">
        <v>-241.14279999999999</v>
      </c>
      <c r="K5001">
        <v>1.1190420000000001</v>
      </c>
      <c r="L5001">
        <v>-63.264800000000001</v>
      </c>
      <c r="M5001">
        <v>0.99993509999999997</v>
      </c>
      <c r="N5001">
        <v>-7.6342980000000003E-3</v>
      </c>
      <c r="O5001">
        <v>-8.4533999999999998E-3</v>
      </c>
      <c r="P5001">
        <v>0.97768569999999999</v>
      </c>
      <c r="Q5001">
        <v>0.2099589</v>
      </c>
      <c r="R5001">
        <v>-6.9425939999999998E-3</v>
      </c>
      <c r="S5001">
        <v>3.0620880000000001</v>
      </c>
      <c r="T5001">
        <v>5.0119039999999997E-2</v>
      </c>
      <c r="U5001">
        <v>0.75909419999999905</v>
      </c>
      <c r="V5001">
        <v>-6.5608559999999895E-4</v>
      </c>
      <c r="W5001">
        <v>0.21742</v>
      </c>
      <c r="X5001">
        <v>0.97607790000000005</v>
      </c>
      <c r="Y5001">
        <v>-0.24879570000000001</v>
      </c>
      <c r="Z5001">
        <v>-1.241593E-3</v>
      </c>
      <c r="AA5001">
        <v>0.96855519999999995</v>
      </c>
      <c r="AB5001">
        <v>37</v>
      </c>
      <c r="AC5001">
        <v>83.792699999999996</v>
      </c>
      <c r="AD5001">
        <v>1.374412</v>
      </c>
      <c r="AE5001">
        <v>20.818470000000001</v>
      </c>
      <c r="AF5001">
        <v>-21.520626626375101</v>
      </c>
      <c r="AG5001">
        <v>1.374412</v>
      </c>
      <c r="AH5001">
        <v>83.592531454020801</v>
      </c>
      <c r="AI5001">
        <v>89.087779136495598</v>
      </c>
      <c r="AJ5001">
        <v>104.437104498433</v>
      </c>
      <c r="AK5001">
        <v>86.329240084858</v>
      </c>
      <c r="AL5001">
        <v>77.442457477022103</v>
      </c>
      <c r="AM5001">
        <v>90.038512223479302</v>
      </c>
      <c r="AN5001">
        <v>0.99999997685836195</v>
      </c>
    </row>
    <row r="5002" spans="1:40" x14ac:dyDescent="0.25">
      <c r="A5002" t="str">
        <f>"20190303170912241"</f>
        <v>20190303170912241</v>
      </c>
      <c r="B5002" t="str">
        <f>"1551604152228925"</f>
        <v>1551604152228925</v>
      </c>
      <c r="C5002" t="s">
        <v>40</v>
      </c>
      <c r="D5002">
        <v>4.8264839999999998</v>
      </c>
      <c r="E5002">
        <v>0.40656029999999999</v>
      </c>
      <c r="F5002" t="s">
        <v>53</v>
      </c>
      <c r="G5002">
        <v>-157.3501</v>
      </c>
      <c r="H5002">
        <v>2.555914</v>
      </c>
      <c r="I5002">
        <v>-42.5242</v>
      </c>
      <c r="J5002">
        <v>-240.94589999999999</v>
      </c>
      <c r="K5002">
        <v>1.1190599999999999</v>
      </c>
      <c r="L5002">
        <v>-63.266939999999998</v>
      </c>
      <c r="M5002">
        <v>0.99992999999999999</v>
      </c>
      <c r="N5002">
        <v>-7.6410710000000001E-3</v>
      </c>
      <c r="O5002">
        <v>-9.0451409999999996E-3</v>
      </c>
      <c r="P5002">
        <v>0.97769300000000003</v>
      </c>
      <c r="Q5002">
        <v>0.2098942</v>
      </c>
      <c r="R5002">
        <v>-7.7986330000000001E-3</v>
      </c>
      <c r="S5002">
        <v>3.062576</v>
      </c>
      <c r="T5002">
        <v>5.2516100000000003E-2</v>
      </c>
      <c r="U5002">
        <v>0.75805659999999997</v>
      </c>
      <c r="V5002">
        <v>-3.898633E-4</v>
      </c>
      <c r="W5002">
        <v>0.21736079999999999</v>
      </c>
      <c r="X5002">
        <v>0.9760913</v>
      </c>
      <c r="Y5002">
        <v>-0.24902099999999999</v>
      </c>
      <c r="Z5002">
        <v>-1.358487E-3</v>
      </c>
      <c r="AA5002">
        <v>0.96849719999999995</v>
      </c>
      <c r="AB5002">
        <v>37</v>
      </c>
      <c r="AC5002">
        <v>83.595799999999997</v>
      </c>
      <c r="AD5002">
        <v>1.4368540000000001</v>
      </c>
      <c r="AE5002">
        <v>20.742740000000001</v>
      </c>
      <c r="AF5002">
        <v>-21.492068027439501</v>
      </c>
      <c r="AG5002">
        <v>1.4368540000000001</v>
      </c>
      <c r="AH5002">
        <v>83.381548776989106</v>
      </c>
      <c r="AI5002">
        <v>89.044001509204705</v>
      </c>
      <c r="AJ5002">
        <v>104.453702856641</v>
      </c>
      <c r="AK5002">
        <v>86.118849353453498</v>
      </c>
      <c r="AL5002">
        <v>77.445933396437397</v>
      </c>
      <c r="AM5002">
        <v>90.022884663032201</v>
      </c>
      <c r="AN5002">
        <v>1.0000000476528601</v>
      </c>
    </row>
    <row r="5003" spans="1:40" x14ac:dyDescent="0.25">
      <c r="A5003" t="str">
        <f>"20190303170912253"</f>
        <v>20190303170912253</v>
      </c>
      <c r="B5003" t="str">
        <f>"1551604152238685"</f>
        <v>1551604152238685</v>
      </c>
      <c r="C5003" t="s">
        <v>40</v>
      </c>
      <c r="D5003">
        <v>4.8487359999999997</v>
      </c>
      <c r="E5003">
        <v>0.40648689999999998</v>
      </c>
      <c r="F5003" t="s">
        <v>53</v>
      </c>
      <c r="G5003">
        <v>-157.3501</v>
      </c>
      <c r="H5003">
        <v>2.5869659999999999</v>
      </c>
      <c r="I5003">
        <v>-42.570259999999998</v>
      </c>
      <c r="J5003">
        <v>-240.77080000000001</v>
      </c>
      <c r="K5003">
        <v>1.1190770000000001</v>
      </c>
      <c r="L5003">
        <v>-63.268920000000001</v>
      </c>
      <c r="M5003">
        <v>0.99992510000000001</v>
      </c>
      <c r="N5003">
        <v>-7.64716099999999E-3</v>
      </c>
      <c r="O5003">
        <v>-9.5663580000000005E-3</v>
      </c>
      <c r="P5003">
        <v>0.97774939999999999</v>
      </c>
      <c r="Q5003">
        <v>0.2096131</v>
      </c>
      <c r="R5003">
        <v>-8.2846559999999996E-3</v>
      </c>
      <c r="S5003">
        <v>3.0629729999999999</v>
      </c>
      <c r="T5003">
        <v>5.3783659999999997E-2</v>
      </c>
      <c r="U5003">
        <v>0.75833130000000004</v>
      </c>
      <c r="V5003">
        <v>-4.2479950000000002E-4</v>
      </c>
      <c r="W5003">
        <v>0.21708669999999999</v>
      </c>
      <c r="X5003">
        <v>0.97615220000000003</v>
      </c>
      <c r="Y5003">
        <v>-0.24957679999999999</v>
      </c>
      <c r="Z5003">
        <v>-1.4274859999999999E-3</v>
      </c>
      <c r="AA5003">
        <v>0.96835389999999999</v>
      </c>
      <c r="AB5003">
        <v>37</v>
      </c>
      <c r="AC5003">
        <v>83.420699999999997</v>
      </c>
      <c r="AD5003">
        <v>1.46788899999999</v>
      </c>
      <c r="AE5003">
        <v>20.69866</v>
      </c>
      <c r="AF5003">
        <v>-21.489500492008698</v>
      </c>
      <c r="AG5003">
        <v>1.46788899999999</v>
      </c>
      <c r="AH5003">
        <v>83.194600613906701</v>
      </c>
      <c r="AI5003">
        <v>89.021292204010606</v>
      </c>
      <c r="AJ5003">
        <v>104.483159551136</v>
      </c>
      <c r="AK5003">
        <v>85.937738513529794</v>
      </c>
      <c r="AL5003">
        <v>77.462021311449902</v>
      </c>
      <c r="AM5003">
        <v>90.024933834040198</v>
      </c>
      <c r="AN5003">
        <v>0.99999996666817204</v>
      </c>
    </row>
    <row r="5004" spans="1:40" x14ac:dyDescent="0.25">
      <c r="A5004" t="str">
        <f>"20190303170912263"</f>
        <v>20190303170912263</v>
      </c>
      <c r="B5004" t="str">
        <f>"1551604152258861"</f>
        <v>1551604152258861</v>
      </c>
      <c r="C5004" t="s">
        <v>40</v>
      </c>
      <c r="D5004">
        <v>4.9837579999999999</v>
      </c>
      <c r="E5004">
        <v>0.43914979999999998</v>
      </c>
      <c r="F5004" t="s">
        <v>53</v>
      </c>
      <c r="G5004">
        <v>-157.3501</v>
      </c>
      <c r="H5004">
        <v>2.5497879999999999</v>
      </c>
      <c r="I5004">
        <v>-42.647869999999998</v>
      </c>
      <c r="J5004">
        <v>-240.57570000000001</v>
      </c>
      <c r="K5004">
        <v>1.119094</v>
      </c>
      <c r="L5004">
        <v>-63.271239999999999</v>
      </c>
      <c r="M5004">
        <v>0.99991940000000001</v>
      </c>
      <c r="N5004">
        <v>-7.6540359999999899E-3</v>
      </c>
      <c r="O5004">
        <v>-1.0137180000000001E-2</v>
      </c>
      <c r="P5004">
        <v>0.97780140000000004</v>
      </c>
      <c r="Q5004">
        <v>0.20934749999999999</v>
      </c>
      <c r="R5004">
        <v>-8.8468039999999998E-3</v>
      </c>
      <c r="S5004">
        <v>3.0634459999999999</v>
      </c>
      <c r="T5004">
        <v>5.2538990000000001E-2</v>
      </c>
      <c r="U5004">
        <v>0.75726319999999903</v>
      </c>
      <c r="V5004">
        <v>-4.3041029999999999E-4</v>
      </c>
      <c r="W5004">
        <v>0.21682789999999999</v>
      </c>
      <c r="X5004">
        <v>0.97620980000000002</v>
      </c>
      <c r="Y5004">
        <v>-0.24977769999999999</v>
      </c>
      <c r="Z5004">
        <v>-1.387576E-3</v>
      </c>
      <c r="AA5004">
        <v>0.9683022</v>
      </c>
      <c r="AB5004">
        <v>37</v>
      </c>
      <c r="AC5004">
        <v>83.2256</v>
      </c>
      <c r="AD5004">
        <v>1.4306939999999999</v>
      </c>
      <c r="AE5004">
        <v>20.623369999999898</v>
      </c>
      <c r="AF5004">
        <v>-21.4600329197335</v>
      </c>
      <c r="AG5004">
        <v>1.4306939999999999</v>
      </c>
      <c r="AH5004">
        <v>82.989148754500604</v>
      </c>
      <c r="AI5004">
        <v>89.043791903104193</v>
      </c>
      <c r="AJ5004">
        <v>104.498433792128</v>
      </c>
      <c r="AK5004">
        <v>85.730850393742799</v>
      </c>
      <c r="AL5004">
        <v>77.477212309842599</v>
      </c>
      <c r="AM5004">
        <v>90.025261672287002</v>
      </c>
      <c r="AN5004">
        <v>1.0000000485437299</v>
      </c>
    </row>
    <row r="5005" spans="1:40" x14ac:dyDescent="0.25">
      <c r="A5005" t="str">
        <f>"20190303170912276"</f>
        <v>20190303170912276</v>
      </c>
      <c r="B5005" t="str">
        <f>"1551604152268622"</f>
        <v>1551604152268622</v>
      </c>
      <c r="C5005" t="s">
        <v>40</v>
      </c>
      <c r="D5005">
        <v>4.909186</v>
      </c>
      <c r="E5005">
        <v>0.44882749999999999</v>
      </c>
      <c r="F5005" t="s">
        <v>53</v>
      </c>
      <c r="G5005">
        <v>-157.3501</v>
      </c>
      <c r="H5005">
        <v>8.7203740000000002E-2</v>
      </c>
      <c r="I5005">
        <v>-49.774920000000002</v>
      </c>
      <c r="J5005">
        <v>-240.38140000000001</v>
      </c>
      <c r="K5005">
        <v>1.1191040000000001</v>
      </c>
      <c r="L5005">
        <v>-63.273650000000004</v>
      </c>
      <c r="M5005">
        <v>0.99991350000000001</v>
      </c>
      <c r="N5005">
        <v>-7.660956E-3</v>
      </c>
      <c r="O5005">
        <v>-1.06991E-2</v>
      </c>
      <c r="P5005">
        <v>0.9778346</v>
      </c>
      <c r="Q5005">
        <v>0.2091625</v>
      </c>
      <c r="R5005">
        <v>-9.526039E-3</v>
      </c>
      <c r="S5005">
        <v>3.0808260000000001</v>
      </c>
      <c r="T5005">
        <v>-3.8198950000000002E-2</v>
      </c>
      <c r="U5005">
        <v>0.49960329999999997</v>
      </c>
      <c r="V5005">
        <v>-3.0939509999999999E-4</v>
      </c>
      <c r="W5005">
        <v>0.2166496</v>
      </c>
      <c r="X5005">
        <v>0.97624940000000004</v>
      </c>
      <c r="Y5005">
        <v>-0.1706056</v>
      </c>
      <c r="Z5005">
        <v>1.758952E-3</v>
      </c>
      <c r="AA5005">
        <v>0.98533789999999999</v>
      </c>
      <c r="AB5005">
        <v>37</v>
      </c>
      <c r="AC5005">
        <v>83.031300000000002</v>
      </c>
      <c r="AD5005">
        <v>-1.03190026</v>
      </c>
      <c r="AE5005">
        <v>13.49873</v>
      </c>
      <c r="AF5005">
        <v>-14.3841790559036</v>
      </c>
      <c r="AG5005">
        <v>-1.03190026</v>
      </c>
      <c r="AH5005">
        <v>82.869649018710504</v>
      </c>
      <c r="AI5005">
        <v>90.7029061461796</v>
      </c>
      <c r="AJ5005">
        <v>99.847059532866993</v>
      </c>
      <c r="AK5005">
        <v>84.115088740030203</v>
      </c>
      <c r="AL5005">
        <v>77.487676504764096</v>
      </c>
      <c r="AM5005">
        <v>90.018158303440202</v>
      </c>
      <c r="AN5005">
        <v>1.00000001795292</v>
      </c>
    </row>
    <row r="5006" spans="1:40" x14ac:dyDescent="0.25">
      <c r="A5006" t="str">
        <f>"20190303170912289"</f>
        <v>20190303170912289</v>
      </c>
      <c r="B5006" t="str">
        <f>"1551604152278382"</f>
        <v>1551604152278382</v>
      </c>
      <c r="C5006" t="s">
        <v>40</v>
      </c>
      <c r="D5006">
        <v>4.8005899999999997</v>
      </c>
      <c r="E5006">
        <v>0.45711239999999997</v>
      </c>
      <c r="F5006" t="s">
        <v>59</v>
      </c>
      <c r="G5006">
        <v>-175.32249999999999</v>
      </c>
      <c r="H5006">
        <v>7.9986570000000007E-2</v>
      </c>
      <c r="I5006">
        <v>-54.396389999999997</v>
      </c>
      <c r="J5006">
        <v>-240.16849999999999</v>
      </c>
      <c r="K5006">
        <v>1.119116</v>
      </c>
      <c r="L5006">
        <v>-63.276369999999901</v>
      </c>
      <c r="M5006">
        <v>0.99990670000000004</v>
      </c>
      <c r="N5006">
        <v>-7.6685959999999997E-3</v>
      </c>
      <c r="O5006">
        <v>-1.1310260000000001E-2</v>
      </c>
      <c r="P5006">
        <v>0.97775730000000005</v>
      </c>
      <c r="Q5006">
        <v>0.2094866</v>
      </c>
      <c r="R5006">
        <v>-1.0312719999999999E-2</v>
      </c>
      <c r="S5006">
        <v>3.0826259999999999</v>
      </c>
      <c r="T5006">
        <v>-4.9235580000000001E-2</v>
      </c>
      <c r="U5006">
        <v>0.42062379999999999</v>
      </c>
      <c r="V5006">
        <v>-1.259744E-4</v>
      </c>
      <c r="W5006">
        <v>0.21698049999999999</v>
      </c>
      <c r="X5006">
        <v>0.97617589999999999</v>
      </c>
      <c r="Y5006">
        <v>-0.14636749999999901</v>
      </c>
      <c r="Z5006">
        <v>1.820807E-3</v>
      </c>
      <c r="AA5006">
        <v>0.98922860000000001</v>
      </c>
      <c r="AB5006">
        <v>37</v>
      </c>
      <c r="AC5006">
        <v>64.846000000000004</v>
      </c>
      <c r="AD5006">
        <v>-1.03912943</v>
      </c>
      <c r="AE5006">
        <v>8.8799799999999802</v>
      </c>
      <c r="AF5006">
        <v>-9.61043620356077</v>
      </c>
      <c r="AG5006">
        <v>-1.03912943</v>
      </c>
      <c r="AH5006">
        <v>64.725099560177895</v>
      </c>
      <c r="AI5006">
        <v>90.909803717303603</v>
      </c>
      <c r="AJ5006">
        <v>98.445619757212697</v>
      </c>
      <c r="AK5006">
        <v>65.442942989064505</v>
      </c>
      <c r="AL5006">
        <v>77.468254750445794</v>
      </c>
      <c r="AM5006">
        <v>90.007393955747702</v>
      </c>
      <c r="AN5006">
        <v>0.99999997049530398</v>
      </c>
    </row>
    <row r="5007" spans="1:40" x14ac:dyDescent="0.25">
      <c r="A5007" t="str">
        <f>"20190303170912310"</f>
        <v>20190303170912310</v>
      </c>
      <c r="B5007" t="str">
        <f>"1551604152298878"</f>
        <v>1551604152298878</v>
      </c>
      <c r="C5007" t="s">
        <v>40</v>
      </c>
      <c r="D5007">
        <v>4.8316089999999896</v>
      </c>
      <c r="E5007">
        <v>0.46801300000000001</v>
      </c>
      <c r="F5007" t="s">
        <v>59</v>
      </c>
      <c r="G5007">
        <v>-184.17490000000001</v>
      </c>
      <c r="H5007" s="1">
        <v>-1.3074779999999999E-5</v>
      </c>
      <c r="I5007">
        <v>-56.878070000000001</v>
      </c>
      <c r="J5007">
        <v>-239.81200000000001</v>
      </c>
      <c r="K5007">
        <v>1.1191279999999999</v>
      </c>
      <c r="L5007">
        <v>-63.281280000000002</v>
      </c>
      <c r="M5007">
        <v>0.99989459999999997</v>
      </c>
      <c r="N5007">
        <v>-7.6816209999999996E-3</v>
      </c>
      <c r="O5007">
        <v>-1.2320879999999999E-2</v>
      </c>
      <c r="P5007">
        <v>0.97753129999999999</v>
      </c>
      <c r="Q5007">
        <v>0.21047080000000001</v>
      </c>
      <c r="R5007">
        <v>-1.159745E-2</v>
      </c>
      <c r="S5007">
        <v>3.0851899999999999</v>
      </c>
      <c r="T5007">
        <v>-6.1662910000000001E-2</v>
      </c>
      <c r="U5007">
        <v>0.35253909999999899</v>
      </c>
      <c r="V5007">
        <v>1.67164E-4</v>
      </c>
      <c r="W5007">
        <v>0.21797420000000001</v>
      </c>
      <c r="X5007">
        <v>0.97595449999999995</v>
      </c>
      <c r="Y5007">
        <v>-0.12572710000000001</v>
      </c>
      <c r="Z5007">
        <v>1.887924E-3</v>
      </c>
      <c r="AA5007">
        <v>0.99206309999999998</v>
      </c>
      <c r="AB5007">
        <v>37</v>
      </c>
      <c r="AC5007">
        <v>55.637099999999997</v>
      </c>
      <c r="AD5007">
        <v>-1.1191410747799999</v>
      </c>
      <c r="AE5007">
        <v>6.4032099999999996</v>
      </c>
      <c r="AF5007">
        <v>-7.0854128072149498</v>
      </c>
      <c r="AG5007">
        <v>-1.1191410747799999</v>
      </c>
      <c r="AH5007">
        <v>55.531805897257598</v>
      </c>
      <c r="AI5007">
        <v>91.145252368700099</v>
      </c>
      <c r="AJ5007">
        <v>97.271193887695105</v>
      </c>
      <c r="AK5007">
        <v>55.993187242776202</v>
      </c>
      <c r="AL5007">
        <v>77.409923959158107</v>
      </c>
      <c r="AM5007">
        <v>89.990186231435104</v>
      </c>
      <c r="AN5007">
        <v>0.99999998293984604</v>
      </c>
    </row>
    <row r="5008" spans="1:40" x14ac:dyDescent="0.25">
      <c r="A5008" t="str">
        <f>"20190303170912323"</f>
        <v>20190303170912323</v>
      </c>
      <c r="B5008" t="str">
        <f>"1551604152308637"</f>
        <v>1551604152308637</v>
      </c>
      <c r="C5008" t="s">
        <v>40</v>
      </c>
      <c r="D5008">
        <v>4.8320239999999997</v>
      </c>
      <c r="E5008">
        <v>0.47086270000000002</v>
      </c>
      <c r="F5008" t="s">
        <v>59</v>
      </c>
      <c r="G5008">
        <v>-187.59020000000001</v>
      </c>
      <c r="H5008" s="1">
        <v>-1.2921850000000001E-5</v>
      </c>
      <c r="I5008">
        <v>-58.836860000000001</v>
      </c>
      <c r="J5008">
        <v>-239.57919999999999</v>
      </c>
      <c r="K5008">
        <v>1.119137</v>
      </c>
      <c r="L5008">
        <v>-63.284700000000001</v>
      </c>
      <c r="M5008">
        <v>0.99988630000000001</v>
      </c>
      <c r="N5008">
        <v>-7.6901000000000001E-3</v>
      </c>
      <c r="O5008">
        <v>-1.297681E-2</v>
      </c>
      <c r="P5008">
        <v>0.97754870000000005</v>
      </c>
      <c r="Q5008">
        <v>0.21033959999999999</v>
      </c>
      <c r="R5008">
        <v>-1.2486540000000001E-2</v>
      </c>
      <c r="S5008">
        <v>3.0863040000000002</v>
      </c>
      <c r="T5008">
        <v>-6.6141130000000006E-2</v>
      </c>
      <c r="U5008">
        <v>0.26266479999999998</v>
      </c>
      <c r="V5008">
        <v>4.0965480000000002E-4</v>
      </c>
      <c r="W5008">
        <v>0.2178514</v>
      </c>
      <c r="X5008">
        <v>0.97598189999999996</v>
      </c>
      <c r="Y5008">
        <v>-9.7691829999999993E-2</v>
      </c>
      <c r="Z5008">
        <v>1.599161E-3</v>
      </c>
      <c r="AA5008">
        <v>0.99521539999999997</v>
      </c>
      <c r="AB5008">
        <v>38</v>
      </c>
      <c r="AC5008">
        <v>51.988999999999898</v>
      </c>
      <c r="AD5008">
        <v>-1.1191499218500001</v>
      </c>
      <c r="AE5008">
        <v>4.4478400000000002</v>
      </c>
      <c r="AF5008">
        <v>-5.1197814795148799</v>
      </c>
      <c r="AG5008">
        <v>-1.1191499218500001</v>
      </c>
      <c r="AH5008">
        <v>51.903024706386802</v>
      </c>
      <c r="AI5008">
        <v>91.229274681801698</v>
      </c>
      <c r="AJ5008">
        <v>95.633505424051606</v>
      </c>
      <c r="AK5008">
        <v>52.166930450404699</v>
      </c>
      <c r="AL5008">
        <v>77.417133792193795</v>
      </c>
      <c r="AM5008">
        <v>89.975950896508493</v>
      </c>
      <c r="AN5008">
        <v>1.00000003471331</v>
      </c>
    </row>
    <row r="5009" spans="1:40" x14ac:dyDescent="0.25">
      <c r="A5009" t="str">
        <f>"20190303170912336"</f>
        <v>20190303170912336</v>
      </c>
      <c r="B5009" t="str">
        <f>"1551604152329133"</f>
        <v>1551604152329133</v>
      </c>
      <c r="C5009" t="s">
        <v>40</v>
      </c>
      <c r="D5009">
        <v>4.8364089999999997</v>
      </c>
      <c r="E5009">
        <v>0.47516150000000001</v>
      </c>
      <c r="F5009" t="s">
        <v>59</v>
      </c>
      <c r="G5009">
        <v>-189.578</v>
      </c>
      <c r="H5009" s="1">
        <v>-1.2665429999999999E-5</v>
      </c>
      <c r="I5009">
        <v>-59.432340000000003</v>
      </c>
      <c r="J5009">
        <v>-239.3716</v>
      </c>
      <c r="K5009">
        <v>1.1191439999999999</v>
      </c>
      <c r="L5009">
        <v>-63.287869999999998</v>
      </c>
      <c r="M5009">
        <v>0.9998785</v>
      </c>
      <c r="N5009">
        <v>-7.697654E-3</v>
      </c>
      <c r="O5009">
        <v>-1.3560529999999999E-2</v>
      </c>
      <c r="P5009">
        <v>0.97759189999999996</v>
      </c>
      <c r="Q5009">
        <v>0.21010970000000001</v>
      </c>
      <c r="R5009">
        <v>-1.2961210000000001E-2</v>
      </c>
      <c r="S5009">
        <v>3.0868069999999999</v>
      </c>
      <c r="T5009">
        <v>-6.9090250000000006E-2</v>
      </c>
      <c r="U5009">
        <v>0.23782349999999999</v>
      </c>
      <c r="V5009">
        <v>3.0891970000000002E-4</v>
      </c>
      <c r="W5009">
        <v>0.2176294</v>
      </c>
      <c r="X5009">
        <v>0.97603139999999999</v>
      </c>
      <c r="Y5009">
        <v>-9.0299560000000001E-2</v>
      </c>
      <c r="Z5009">
        <v>1.5559180000000001E-3</v>
      </c>
      <c r="AA5009">
        <v>0.99591339999999995</v>
      </c>
      <c r="AB5009">
        <v>38</v>
      </c>
      <c r="AC5009">
        <v>49.793599999999998</v>
      </c>
      <c r="AD5009">
        <v>-1.11915666543</v>
      </c>
      <c r="AE5009">
        <v>3.8555299999999901</v>
      </c>
      <c r="AF5009">
        <v>-4.5281491919458299</v>
      </c>
      <c r="AG5009">
        <v>-1.11915666543</v>
      </c>
      <c r="AH5009">
        <v>49.711773653322801</v>
      </c>
      <c r="AI5009">
        <v>91.284361452695705</v>
      </c>
      <c r="AJ5009">
        <v>95.204599061618495</v>
      </c>
      <c r="AK5009">
        <v>49.930122035756099</v>
      </c>
      <c r="AL5009">
        <v>77.4301653486188</v>
      </c>
      <c r="AM5009">
        <v>89.981865548149898</v>
      </c>
      <c r="AN5009">
        <v>0.99999997248085004</v>
      </c>
    </row>
    <row r="5010" spans="1:40" x14ac:dyDescent="0.25">
      <c r="A5010" t="str">
        <f>"20190303170912349"</f>
        <v>20190303170912349</v>
      </c>
      <c r="B5010" t="str">
        <f>"1551604152338893"</f>
        <v>1551604152338893</v>
      </c>
      <c r="C5010" t="s">
        <v>40</v>
      </c>
      <c r="D5010">
        <v>4.828036</v>
      </c>
      <c r="E5010">
        <v>0.4766533</v>
      </c>
      <c r="F5010" t="s">
        <v>59</v>
      </c>
      <c r="G5010">
        <v>-193.63399999999999</v>
      </c>
      <c r="H5010" s="1">
        <v>-6.610604E-6</v>
      </c>
      <c r="I5010">
        <v>-60.28398</v>
      </c>
      <c r="J5010">
        <v>-239.1514</v>
      </c>
      <c r="K5010">
        <v>1.119151</v>
      </c>
      <c r="L5010">
        <v>-63.291289999999996</v>
      </c>
      <c r="M5010">
        <v>0.99986989999999998</v>
      </c>
      <c r="N5010">
        <v>-7.7056619999999899E-3</v>
      </c>
      <c r="O5010">
        <v>-1.417906E-2</v>
      </c>
      <c r="P5010">
        <v>0.97764930000000005</v>
      </c>
      <c r="Q5010">
        <v>0.2098226</v>
      </c>
      <c r="R5010">
        <v>-1.3270250000000001E-2</v>
      </c>
      <c r="S5010">
        <v>3.0876920000000001</v>
      </c>
      <c r="T5010">
        <v>-7.5552579999999994E-2</v>
      </c>
      <c r="U5010">
        <v>0.20278930000000001</v>
      </c>
      <c r="V5010" s="1">
        <v>8.2319600000000007E-6</v>
      </c>
      <c r="W5010">
        <v>0.21735109999999999</v>
      </c>
      <c r="X5010">
        <v>0.97609349999999995</v>
      </c>
      <c r="Y5010">
        <v>-7.9644670000000001E-2</v>
      </c>
      <c r="Z5010">
        <v>1.5179E-3</v>
      </c>
      <c r="AA5010">
        <v>0.99682219999999999</v>
      </c>
      <c r="AB5010">
        <v>38</v>
      </c>
      <c r="AC5010">
        <v>45.517399999999903</v>
      </c>
      <c r="AD5010">
        <v>-1.119157610604</v>
      </c>
      <c r="AE5010">
        <v>3.0073099999999902</v>
      </c>
      <c r="AF5010">
        <v>-3.6502235650523001</v>
      </c>
      <c r="AG5010">
        <v>-1.119157610604</v>
      </c>
      <c r="AH5010">
        <v>45.442829098960303</v>
      </c>
      <c r="AI5010">
        <v>91.406257097173906</v>
      </c>
      <c r="AJ5010">
        <v>94.592458967199306</v>
      </c>
      <c r="AK5010">
        <v>45.602931510480197</v>
      </c>
      <c r="AL5010">
        <v>77.446502307074894</v>
      </c>
      <c r="AM5010">
        <v>89.999516791613601</v>
      </c>
      <c r="AN5010">
        <v>1.00000001074061</v>
      </c>
    </row>
    <row r="5011" spans="1:40" x14ac:dyDescent="0.25">
      <c r="A5011" t="str">
        <f>"20190303170912365"</f>
        <v>20190303170912365</v>
      </c>
      <c r="B5011" t="str">
        <f>"1551604152358920"</f>
        <v>1551604152358920</v>
      </c>
      <c r="C5011" t="s">
        <v>40</v>
      </c>
      <c r="D5011">
        <v>4.8072629999999998</v>
      </c>
      <c r="E5011">
        <v>0.47821439999999998</v>
      </c>
      <c r="F5011" t="s">
        <v>59</v>
      </c>
      <c r="G5011">
        <v>-195.23259999999999</v>
      </c>
      <c r="H5011" s="1">
        <v>-7.6609600000000006E-6</v>
      </c>
      <c r="I5011">
        <v>-60.593400000000003</v>
      </c>
      <c r="J5011">
        <v>-238.86660000000001</v>
      </c>
      <c r="K5011">
        <v>1.1191629999999999</v>
      </c>
      <c r="L5011">
        <v>-63.296019999999999</v>
      </c>
      <c r="M5011">
        <v>0.99985820000000003</v>
      </c>
      <c r="N5011">
        <v>-7.71600699999999E-3</v>
      </c>
      <c r="O5011">
        <v>-1.4978669999999999E-2</v>
      </c>
      <c r="P5011">
        <v>0.97764589999999996</v>
      </c>
      <c r="Q5011">
        <v>0.20982870000000001</v>
      </c>
      <c r="R5011">
        <v>-1.345185E-2</v>
      </c>
      <c r="S5011">
        <v>3.0880740000000002</v>
      </c>
      <c r="T5011">
        <v>-7.8691720000000007E-2</v>
      </c>
      <c r="U5011">
        <v>0.18969730000000001</v>
      </c>
      <c r="V5011">
        <v>-5.9605339999999995E-4</v>
      </c>
      <c r="W5011">
        <v>0.21736920000000001</v>
      </c>
      <c r="X5011">
        <v>0.97608930000000005</v>
      </c>
      <c r="Y5011">
        <v>-7.6222970000000001E-2</v>
      </c>
      <c r="Z5011">
        <v>1.5303750000000001E-3</v>
      </c>
      <c r="AA5011">
        <v>0.99708960000000002</v>
      </c>
      <c r="AB5011">
        <v>38</v>
      </c>
      <c r="AC5011">
        <v>43.634</v>
      </c>
      <c r="AD5011">
        <v>-1.1191706609599901</v>
      </c>
      <c r="AE5011">
        <v>2.7026199999999898</v>
      </c>
      <c r="AF5011">
        <v>-3.3537175333557601</v>
      </c>
      <c r="AG5011">
        <v>-1.1191706609599901</v>
      </c>
      <c r="AH5011">
        <v>43.560074197390598</v>
      </c>
      <c r="AI5011">
        <v>91.467411826614693</v>
      </c>
      <c r="AJ5011">
        <v>94.402553044931494</v>
      </c>
      <c r="AK5011">
        <v>43.703318276122502</v>
      </c>
      <c r="AL5011">
        <v>77.445440007921405</v>
      </c>
      <c r="AM5011">
        <v>90.034987925735294</v>
      </c>
      <c r="AN5011">
        <v>1.0000000229813899</v>
      </c>
    </row>
    <row r="5012" spans="1:40" x14ac:dyDescent="0.25">
      <c r="A5012" t="str">
        <f>"20190303170912377"</f>
        <v>20190303170912377</v>
      </c>
      <c r="B5012" t="str">
        <f>"1551604152368680"</f>
        <v>1551604152368680</v>
      </c>
      <c r="C5012" t="s">
        <v>40</v>
      </c>
      <c r="D5012">
        <v>4.8979179999999998</v>
      </c>
      <c r="E5012">
        <v>0.47901149999999998</v>
      </c>
      <c r="F5012" t="s">
        <v>59</v>
      </c>
      <c r="G5012">
        <v>-196.12350000000001</v>
      </c>
      <c r="H5012" s="1">
        <v>-7.3136419999999996E-6</v>
      </c>
      <c r="I5012">
        <v>-60.860689999999998</v>
      </c>
      <c r="J5012">
        <v>-238.67449999999999</v>
      </c>
      <c r="K5012">
        <v>1.1191660000000001</v>
      </c>
      <c r="L5012">
        <v>-63.299320000000002</v>
      </c>
      <c r="M5012">
        <v>0.99984980000000001</v>
      </c>
      <c r="N5012">
        <v>-7.7243030000000001E-3</v>
      </c>
      <c r="O5012">
        <v>-1.551784E-2</v>
      </c>
      <c r="P5012">
        <v>0.97756460000000001</v>
      </c>
      <c r="Q5012">
        <v>0.210205</v>
      </c>
      <c r="R5012">
        <v>-1.3469299999999899E-2</v>
      </c>
      <c r="S5012">
        <v>3.0883940000000001</v>
      </c>
      <c r="T5012">
        <v>-8.0865380000000001E-2</v>
      </c>
      <c r="U5012">
        <v>0.17596439999999999</v>
      </c>
      <c r="V5012">
        <v>-1.1051419999999999E-3</v>
      </c>
      <c r="W5012">
        <v>0.21775459999999999</v>
      </c>
      <c r="X5012">
        <v>0.97600290000000001</v>
      </c>
      <c r="Y5012">
        <v>-7.2335410000000003E-2</v>
      </c>
      <c r="Z5012">
        <v>1.51193799999999E-3</v>
      </c>
      <c r="AA5012">
        <v>0.99737920000000002</v>
      </c>
      <c r="AB5012">
        <v>38</v>
      </c>
      <c r="AC5012">
        <v>42.550999999999902</v>
      </c>
      <c r="AD5012">
        <v>-1.1191733136419999</v>
      </c>
      <c r="AE5012">
        <v>2.4386299999999799</v>
      </c>
      <c r="AF5012">
        <v>-3.0965204954592198</v>
      </c>
      <c r="AG5012">
        <v>-1.1191733136419999</v>
      </c>
      <c r="AH5012">
        <v>42.478742553229701</v>
      </c>
      <c r="AI5012">
        <v>91.505211675931406</v>
      </c>
      <c r="AJ5012">
        <v>94.169245360982501</v>
      </c>
      <c r="AK5012">
        <v>42.606156327323603</v>
      </c>
      <c r="AL5012">
        <v>77.422815672073497</v>
      </c>
      <c r="AM5012">
        <v>90.064876800367102</v>
      </c>
      <c r="AN5012">
        <v>0.99999997398420404</v>
      </c>
    </row>
    <row r="5013" spans="1:40" x14ac:dyDescent="0.25">
      <c r="A5013" t="str">
        <f>"20190303170912391"</f>
        <v>20190303170912391</v>
      </c>
      <c r="B5013" t="str">
        <f>"1551604152378440"</f>
        <v>1551604152378440</v>
      </c>
      <c r="C5013" t="s">
        <v>40</v>
      </c>
      <c r="D5013">
        <v>4.8124200000000004</v>
      </c>
      <c r="E5013">
        <v>0.47968460000000002</v>
      </c>
      <c r="F5013" t="s">
        <v>59</v>
      </c>
      <c r="G5013">
        <v>-196.07480000000001</v>
      </c>
      <c r="H5013" s="1">
        <v>-7.33926799999999E-6</v>
      </c>
      <c r="I5013">
        <v>-60.960740000000001</v>
      </c>
      <c r="J5013">
        <v>-238.4469</v>
      </c>
      <c r="K5013">
        <v>1.119173</v>
      </c>
      <c r="L5013">
        <v>-63.303339999999999</v>
      </c>
      <c r="M5013">
        <v>0.99983960000000005</v>
      </c>
      <c r="N5013">
        <v>-7.734983E-3</v>
      </c>
      <c r="O5013">
        <v>-1.6157029999999999E-2</v>
      </c>
      <c r="P5013">
        <v>0.97741460000000002</v>
      </c>
      <c r="Q5013">
        <v>0.21087590000000001</v>
      </c>
      <c r="R5013">
        <v>-1.3861450000000001E-2</v>
      </c>
      <c r="S5013">
        <v>3.088638</v>
      </c>
      <c r="T5013">
        <v>-8.1144330000000001E-2</v>
      </c>
      <c r="U5013">
        <v>0.1695557</v>
      </c>
      <c r="V5013">
        <v>-1.3362339999999999E-3</v>
      </c>
      <c r="W5013">
        <v>0.21843489999999999</v>
      </c>
      <c r="X5013">
        <v>0.97585060000000001</v>
      </c>
      <c r="Y5013">
        <v>-7.0905739999999995E-2</v>
      </c>
      <c r="Z5013">
        <v>1.5043109999999999E-3</v>
      </c>
      <c r="AA5013">
        <v>0.99748190000000003</v>
      </c>
      <c r="AB5013">
        <v>38</v>
      </c>
      <c r="AC5013">
        <v>42.372099999999897</v>
      </c>
      <c r="AD5013">
        <v>-1.119180339268</v>
      </c>
      <c r="AE5013">
        <v>2.3426</v>
      </c>
      <c r="AF5013">
        <v>-3.0248180838681602</v>
      </c>
      <c r="AG5013">
        <v>-1.119180339268</v>
      </c>
      <c r="AH5013">
        <v>42.299297755710498</v>
      </c>
      <c r="AI5013">
        <v>91.511754120572306</v>
      </c>
      <c r="AJ5013">
        <v>94.090252251683907</v>
      </c>
      <c r="AK5013">
        <v>42.422077739056498</v>
      </c>
      <c r="AL5013">
        <v>77.382876140018794</v>
      </c>
      <c r="AM5013">
        <v>90.078455165977104</v>
      </c>
      <c r="AN5013">
        <v>0.99999999228983605</v>
      </c>
    </row>
    <row r="5014" spans="1:40" x14ac:dyDescent="0.25">
      <c r="A5014" t="str">
        <f>"20190303170912415"</f>
        <v>20190303170912415</v>
      </c>
      <c r="B5014" t="str">
        <f>"1551604152408696"</f>
        <v>1551604152408696</v>
      </c>
      <c r="C5014" t="s">
        <v>40</v>
      </c>
      <c r="D5014">
        <v>4.5453279999999996</v>
      </c>
      <c r="E5014">
        <v>0.48039009999999999</v>
      </c>
      <c r="F5014" t="s">
        <v>59</v>
      </c>
      <c r="G5014">
        <v>-195.48689999999999</v>
      </c>
      <c r="H5014" s="1">
        <v>-7.5831049999999998E-6</v>
      </c>
      <c r="I5014">
        <v>-61.036079999999998</v>
      </c>
      <c r="J5014">
        <v>-238.02070000000001</v>
      </c>
      <c r="K5014">
        <v>1.1191869999999999</v>
      </c>
      <c r="L5014">
        <v>-63.311279999999996</v>
      </c>
      <c r="M5014">
        <v>0.99981940000000002</v>
      </c>
      <c r="N5014">
        <v>-7.7588190000000001E-3</v>
      </c>
      <c r="O5014">
        <v>-1.7354519999999998E-2</v>
      </c>
      <c r="P5014">
        <v>0.97713570000000005</v>
      </c>
      <c r="Q5014">
        <v>0.21209159999999999</v>
      </c>
      <c r="R5014">
        <v>-1.4948100000000001E-2</v>
      </c>
      <c r="S5014">
        <v>3.0889890000000002</v>
      </c>
      <c r="T5014">
        <v>-8.0473420000000004E-2</v>
      </c>
      <c r="U5014">
        <v>0.1630249</v>
      </c>
      <c r="V5014">
        <v>-1.4154020000000001E-3</v>
      </c>
      <c r="W5014">
        <v>0.21967210000000001</v>
      </c>
      <c r="X5014">
        <v>0.97557280000000002</v>
      </c>
      <c r="Y5014">
        <v>-6.9992120000000005E-2</v>
      </c>
      <c r="Z5014">
        <v>1.499925E-3</v>
      </c>
      <c r="AA5014">
        <v>0.99754640000000006</v>
      </c>
      <c r="AB5014">
        <v>38</v>
      </c>
      <c r="AC5014">
        <v>42.533799999999999</v>
      </c>
      <c r="AD5014">
        <v>-1.1191945831049901</v>
      </c>
      <c r="AE5014">
        <v>2.2751999999999901</v>
      </c>
      <c r="AF5014">
        <v>-3.0109543875260498</v>
      </c>
      <c r="AG5014">
        <v>-1.1191945831049901</v>
      </c>
      <c r="AH5014">
        <v>42.458594302274797</v>
      </c>
      <c r="AI5014">
        <v>91.506167529919594</v>
      </c>
      <c r="AJ5014">
        <v>94.056343866358006</v>
      </c>
      <c r="AK5014">
        <v>42.5799327496389</v>
      </c>
      <c r="AL5014">
        <v>77.3102262067856</v>
      </c>
      <c r="AM5014">
        <v>90.083127065466797</v>
      </c>
      <c r="AN5014">
        <v>1.00000006149053</v>
      </c>
    </row>
    <row r="5015" spans="1:40" x14ac:dyDescent="0.25">
      <c r="A5015" t="str">
        <f>"20190303170912426"</f>
        <v>20190303170912426</v>
      </c>
      <c r="B5015" t="str">
        <f>"1551604152418456"</f>
        <v>1551604152418456</v>
      </c>
      <c r="C5015" t="s">
        <v>40</v>
      </c>
      <c r="D5015">
        <v>4.8651369999999998</v>
      </c>
      <c r="E5015">
        <v>0.48077959999999897</v>
      </c>
      <c r="F5015" t="s">
        <v>59</v>
      </c>
      <c r="G5015">
        <v>-193.54580000000001</v>
      </c>
      <c r="H5015" s="1">
        <v>-8.3765549999999905E-6</v>
      </c>
      <c r="I5015">
        <v>-61.085239999999999</v>
      </c>
      <c r="J5015">
        <v>-237.83340000000001</v>
      </c>
      <c r="K5015">
        <v>1.1191930000000001</v>
      </c>
      <c r="L5015">
        <v>-63.314909999999998</v>
      </c>
      <c r="M5015">
        <v>0.99980999999999998</v>
      </c>
      <c r="N5015">
        <v>-7.7697779999999998E-3</v>
      </c>
      <c r="O5015">
        <v>-1.788097E-2</v>
      </c>
      <c r="P5015">
        <v>0.97711409999999999</v>
      </c>
      <c r="Q5015">
        <v>0.2121828</v>
      </c>
      <c r="R5015">
        <v>-1.504773E-2</v>
      </c>
      <c r="S5015">
        <v>3.0894620000000002</v>
      </c>
      <c r="T5015">
        <v>-7.77452E-2</v>
      </c>
      <c r="U5015">
        <v>0.15463260000000001</v>
      </c>
      <c r="V5015">
        <v>-1.830772E-3</v>
      </c>
      <c r="W5015">
        <v>0.21977530000000001</v>
      </c>
      <c r="X5015">
        <v>0.97554879999999999</v>
      </c>
      <c r="Y5015">
        <v>-6.7809469999999997E-2</v>
      </c>
      <c r="Z5015">
        <v>1.4270140000000001E-3</v>
      </c>
      <c r="AA5015">
        <v>0.99769730000000001</v>
      </c>
      <c r="AB5015">
        <v>38</v>
      </c>
      <c r="AC5015">
        <v>44.287599999999998</v>
      </c>
      <c r="AD5015">
        <v>-1.119201376555</v>
      </c>
      <c r="AE5015">
        <v>2.2296699999999898</v>
      </c>
      <c r="AF5015">
        <v>-3.01931923751996</v>
      </c>
      <c r="AG5015">
        <v>-1.119201376555</v>
      </c>
      <c r="AH5015">
        <v>44.212484908126399</v>
      </c>
      <c r="AI5015">
        <v>91.446715996559007</v>
      </c>
      <c r="AJ5015">
        <v>93.906726122233906</v>
      </c>
      <c r="AK5015">
        <v>44.329591946358498</v>
      </c>
      <c r="AL5015">
        <v>77.304164340410196</v>
      </c>
      <c r="AM5015">
        <v>90.107524488481701</v>
      </c>
      <c r="AN5015">
        <v>0.99999999769882197</v>
      </c>
    </row>
    <row r="5016" spans="1:40" x14ac:dyDescent="0.25">
      <c r="A5016" t="str">
        <f>"20190303170912443"</f>
        <v>20190303170912443</v>
      </c>
      <c r="B5016" t="str">
        <f>"1551604152438952"</f>
        <v>1551604152438952</v>
      </c>
      <c r="C5016" t="s">
        <v>40</v>
      </c>
      <c r="D5016">
        <v>4.8322690000000001</v>
      </c>
      <c r="E5016">
        <v>0.4813886</v>
      </c>
      <c r="F5016" t="s">
        <v>59</v>
      </c>
      <c r="G5016">
        <v>-193.7439</v>
      </c>
      <c r="H5016" s="1">
        <v>-8.3000569999999994E-6</v>
      </c>
      <c r="I5016">
        <v>-61.15748</v>
      </c>
      <c r="J5016">
        <v>-237.5538</v>
      </c>
      <c r="K5016">
        <v>1.119202</v>
      </c>
      <c r="L5016">
        <v>-63.32056</v>
      </c>
      <c r="M5016">
        <v>0.99979560000000001</v>
      </c>
      <c r="N5016">
        <v>-7.7861839999999998E-3</v>
      </c>
      <c r="O5016">
        <v>-1.8666370000000002E-2</v>
      </c>
      <c r="P5016">
        <v>0.97717379999999998</v>
      </c>
      <c r="Q5016">
        <v>0.21197740000000001</v>
      </c>
      <c r="R5016">
        <v>-1.4046599999999999E-2</v>
      </c>
      <c r="S5016">
        <v>3.0896150000000002</v>
      </c>
      <c r="T5016">
        <v>-7.8429219999999994E-2</v>
      </c>
      <c r="U5016">
        <v>0.15118409999999999</v>
      </c>
      <c r="V5016">
        <v>-3.60232E-3</v>
      </c>
      <c r="W5016">
        <v>0.2195906</v>
      </c>
      <c r="X5016">
        <v>0.97558549999999999</v>
      </c>
      <c r="Y5016">
        <v>-6.747939E-2</v>
      </c>
      <c r="Z5016">
        <v>1.447032E-3</v>
      </c>
      <c r="AA5016">
        <v>0.99771960000000004</v>
      </c>
      <c r="AB5016">
        <v>38</v>
      </c>
      <c r="AC5016">
        <v>43.809899999999999</v>
      </c>
      <c r="AD5016">
        <v>-1.119210300057</v>
      </c>
      <c r="AE5016">
        <v>2.1630799999999901</v>
      </c>
      <c r="AF5016">
        <v>-2.9785603465980399</v>
      </c>
      <c r="AG5016">
        <v>-1.119210300057</v>
      </c>
      <c r="AH5016">
        <v>43.733415284676298</v>
      </c>
      <c r="AI5016">
        <v>91.462586840607301</v>
      </c>
      <c r="AJ5016">
        <v>93.8962380470482</v>
      </c>
      <c r="AK5016">
        <v>43.8490144233145</v>
      </c>
      <c r="AL5016">
        <v>77.315012382111604</v>
      </c>
      <c r="AM5016">
        <v>90.211561974251694</v>
      </c>
      <c r="AN5016">
        <v>1.00000003806399</v>
      </c>
    </row>
    <row r="5017" spans="1:40" x14ac:dyDescent="0.25">
      <c r="A5017" t="str">
        <f>"20190303170912455"</f>
        <v>20190303170912455</v>
      </c>
      <c r="B5017" t="str">
        <f>"1551604152448712"</f>
        <v>1551604152448712</v>
      </c>
      <c r="C5017" t="s">
        <v>40</v>
      </c>
      <c r="D5017">
        <v>4.8365130000000001</v>
      </c>
      <c r="E5017">
        <v>0.48171740000000002</v>
      </c>
      <c r="F5017" t="s">
        <v>59</v>
      </c>
      <c r="G5017">
        <v>-195.3356</v>
      </c>
      <c r="H5017" s="1">
        <v>-7.6596840000000001E-6</v>
      </c>
      <c r="I5017">
        <v>-61.294139999999999</v>
      </c>
      <c r="J5017">
        <v>-237.351</v>
      </c>
      <c r="K5017">
        <v>1.1192059999999999</v>
      </c>
      <c r="L5017">
        <v>-63.324739999999998</v>
      </c>
      <c r="M5017">
        <v>0.99978449999999996</v>
      </c>
      <c r="N5017">
        <v>-7.7980159999999996E-3</v>
      </c>
      <c r="O5017">
        <v>-1.92354E-2</v>
      </c>
      <c r="P5017">
        <v>0.97713309999999998</v>
      </c>
      <c r="Q5017">
        <v>0.21219089999999999</v>
      </c>
      <c r="R5017">
        <v>-1.363514E-2</v>
      </c>
      <c r="S5017">
        <v>3.0899809999999999</v>
      </c>
      <c r="T5017">
        <v>-8.1915859999999993E-2</v>
      </c>
      <c r="U5017">
        <v>0.14831539999999999</v>
      </c>
      <c r="V5017">
        <v>-4.5687530000000001E-3</v>
      </c>
      <c r="W5017">
        <v>0.21981809999999999</v>
      </c>
      <c r="X5017">
        <v>0.97553009999999996</v>
      </c>
      <c r="Y5017">
        <v>-6.7114800000000002E-2</v>
      </c>
      <c r="Z5017">
        <v>1.5105400000000001E-3</v>
      </c>
      <c r="AA5017">
        <v>0.99774410000000002</v>
      </c>
      <c r="AB5017">
        <v>38</v>
      </c>
      <c r="AC5017">
        <v>42.0154</v>
      </c>
      <c r="AD5017">
        <v>-1.1192136596840001</v>
      </c>
      <c r="AE5017">
        <v>2.0306000000000002</v>
      </c>
      <c r="AF5017">
        <v>-2.8364239227919299</v>
      </c>
      <c r="AG5017">
        <v>-1.1192136596840001</v>
      </c>
      <c r="AH5017">
        <v>41.938875190987503</v>
      </c>
      <c r="AI5017">
        <v>91.525194611308706</v>
      </c>
      <c r="AJ5017">
        <v>93.869155007864194</v>
      </c>
      <c r="AK5017">
        <v>42.0495801664064</v>
      </c>
      <c r="AL5017">
        <v>77.301649648972301</v>
      </c>
      <c r="AM5017">
        <v>90.268334468295805</v>
      </c>
      <c r="AN5017">
        <v>0.99999992329879395</v>
      </c>
    </row>
    <row r="5018" spans="1:40" x14ac:dyDescent="0.25">
      <c r="A5018" t="str">
        <f>"20190303170912467"</f>
        <v>20190303170912467</v>
      </c>
      <c r="B5018" t="str">
        <f>"1551604152458982"</f>
        <v>1551604152458982</v>
      </c>
      <c r="C5018" t="s">
        <v>40</v>
      </c>
      <c r="D5018">
        <v>4.8459690000000002</v>
      </c>
      <c r="E5018">
        <v>0.48198809999999898</v>
      </c>
      <c r="F5018" t="s">
        <v>59</v>
      </c>
      <c r="G5018">
        <v>-195.27109999999999</v>
      </c>
      <c r="H5018" s="1">
        <v>-7.6884450000000006E-6</v>
      </c>
      <c r="I5018">
        <v>-61.336590000000001</v>
      </c>
      <c r="J5018">
        <v>-237.12620000000001</v>
      </c>
      <c r="K5018">
        <v>1.11921</v>
      </c>
      <c r="L5018">
        <v>-63.329529999999998</v>
      </c>
      <c r="M5018">
        <v>0.99977229999999995</v>
      </c>
      <c r="N5018">
        <v>-7.8110699999999998E-3</v>
      </c>
      <c r="O5018">
        <v>-1.9866539999999999E-2</v>
      </c>
      <c r="P5018">
        <v>0.9770761</v>
      </c>
      <c r="Q5018">
        <v>0.21246609999999999</v>
      </c>
      <c r="R5018">
        <v>-1.3448470000000001E-2</v>
      </c>
      <c r="S5018">
        <v>3.0900729999999998</v>
      </c>
      <c r="T5018">
        <v>-8.2187650000000001E-2</v>
      </c>
      <c r="U5018">
        <v>0.14599609999999999</v>
      </c>
      <c r="V5018">
        <v>-5.3708100000000002E-3</v>
      </c>
      <c r="W5018">
        <v>0.22010750000000001</v>
      </c>
      <c r="X5018">
        <v>0.97546080000000002</v>
      </c>
      <c r="Y5018">
        <v>-6.6995780000000005E-2</v>
      </c>
      <c r="Z5018">
        <v>1.525144E-3</v>
      </c>
      <c r="AA5018">
        <v>0.99775210000000003</v>
      </c>
      <c r="AB5018">
        <v>38</v>
      </c>
      <c r="AC5018">
        <v>41.8551</v>
      </c>
      <c r="AD5018">
        <v>-1.119217688445</v>
      </c>
      <c r="AE5018">
        <v>1.9929399999999999</v>
      </c>
      <c r="AF5018">
        <v>-2.8220745532105602</v>
      </c>
      <c r="AG5018">
        <v>-1.119217688445</v>
      </c>
      <c r="AH5018">
        <v>41.7774398816915</v>
      </c>
      <c r="AI5018">
        <v>91.531099394621805</v>
      </c>
      <c r="AJ5018">
        <v>93.864470785229003</v>
      </c>
      <c r="AK5018">
        <v>41.887602415110301</v>
      </c>
      <c r="AL5018">
        <v>77.284652481503301</v>
      </c>
      <c r="AM5018">
        <v>90.315462841815602</v>
      </c>
      <c r="AN5018">
        <v>0.99999996474647201</v>
      </c>
    </row>
    <row r="5019" spans="1:40" x14ac:dyDescent="0.25">
      <c r="A5019" t="str">
        <f>"20190303170912482"</f>
        <v>20190303170912482</v>
      </c>
      <c r="B5019" t="str">
        <f>"1551604152468742"</f>
        <v>1551604152468742</v>
      </c>
      <c r="C5019" t="s">
        <v>40</v>
      </c>
      <c r="D5019">
        <v>4.826371</v>
      </c>
      <c r="E5019">
        <v>0.48215150000000001</v>
      </c>
      <c r="F5019" t="s">
        <v>59</v>
      </c>
      <c r="G5019">
        <v>-195.60470000000001</v>
      </c>
      <c r="H5019" s="1">
        <v>-7.555865E-6</v>
      </c>
      <c r="I5019">
        <v>-61.393859999999997</v>
      </c>
      <c r="J5019">
        <v>-236.89160000000001</v>
      </c>
      <c r="K5019">
        <v>1.11921</v>
      </c>
      <c r="L5019">
        <v>-63.334719999999997</v>
      </c>
      <c r="M5019">
        <v>0.99975890000000001</v>
      </c>
      <c r="N5019">
        <v>-7.8242609999999903E-3</v>
      </c>
      <c r="O5019">
        <v>-2.0523199999999998E-2</v>
      </c>
      <c r="P5019">
        <v>0.97689930000000003</v>
      </c>
      <c r="Q5019">
        <v>0.21328630000000001</v>
      </c>
      <c r="R5019">
        <v>-1.331186E-2</v>
      </c>
      <c r="S5019">
        <v>3.0904850000000001</v>
      </c>
      <c r="T5019">
        <v>-8.3304520000000007E-2</v>
      </c>
      <c r="U5019">
        <v>0.14407349999999999</v>
      </c>
      <c r="V5019">
        <v>-6.1431419999999999E-3</v>
      </c>
      <c r="W5019">
        <v>0.2209409</v>
      </c>
      <c r="X5019">
        <v>0.97526780000000002</v>
      </c>
      <c r="Y5019">
        <v>-6.7024490000000006E-2</v>
      </c>
      <c r="Z5019">
        <v>1.55747E-3</v>
      </c>
      <c r="AA5019">
        <v>0.99775009999999997</v>
      </c>
      <c r="AB5019">
        <v>38</v>
      </c>
      <c r="AC5019">
        <v>41.286900000000003</v>
      </c>
      <c r="AD5019">
        <v>-1.1192175558649999</v>
      </c>
      <c r="AE5019">
        <v>1.94086</v>
      </c>
      <c r="AF5019">
        <v>-2.7857736718927999</v>
      </c>
      <c r="AG5019">
        <v>-1.1192175558649999</v>
      </c>
      <c r="AH5019">
        <v>41.208154182212603</v>
      </c>
      <c r="AI5019">
        <v>91.552235430601101</v>
      </c>
      <c r="AJ5019">
        <v>93.867452759532199</v>
      </c>
      <c r="AK5019">
        <v>41.317371092476002</v>
      </c>
      <c r="AL5019">
        <v>77.235696780580199</v>
      </c>
      <c r="AM5019">
        <v>90.360897237251606</v>
      </c>
      <c r="AN5019">
        <v>0.99999995060163904</v>
      </c>
    </row>
    <row r="5020" spans="1:40" x14ac:dyDescent="0.25">
      <c r="A5020" t="str">
        <f>"20190303170912497"</f>
        <v>20190303170912497</v>
      </c>
      <c r="B5020" t="str">
        <f>"1551604152489237"</f>
        <v>1551604152489237</v>
      </c>
      <c r="C5020" t="s">
        <v>40</v>
      </c>
      <c r="D5020">
        <v>4.8384960000000001</v>
      </c>
      <c r="E5020">
        <v>0.48239579999999999</v>
      </c>
      <c r="F5020" t="s">
        <v>59</v>
      </c>
      <c r="G5020">
        <v>-195.12360000000001</v>
      </c>
      <c r="H5020" s="1">
        <v>-7.7520589999999994E-6</v>
      </c>
      <c r="I5020">
        <v>-61.397770000000001</v>
      </c>
      <c r="J5020">
        <v>-236.64859999999999</v>
      </c>
      <c r="K5020">
        <v>1.1192139999999999</v>
      </c>
      <c r="L5020">
        <v>-63.340240000000001</v>
      </c>
      <c r="M5020">
        <v>0.99974450000000004</v>
      </c>
      <c r="N5020">
        <v>-7.837765E-3</v>
      </c>
      <c r="O5020">
        <v>-2.1201319999999999E-2</v>
      </c>
      <c r="P5020">
        <v>0.97674939999999999</v>
      </c>
      <c r="Q5020">
        <v>0.21396399999999999</v>
      </c>
      <c r="R5020">
        <v>-1.341256E-2</v>
      </c>
      <c r="S5020">
        <v>3.090973</v>
      </c>
      <c r="T5020">
        <v>-8.282602E-2</v>
      </c>
      <c r="U5020">
        <v>0.1433411</v>
      </c>
      <c r="V5020">
        <v>-6.7005800000000003E-3</v>
      </c>
      <c r="W5020">
        <v>0.22163240000000001</v>
      </c>
      <c r="X5020">
        <v>0.97510730000000001</v>
      </c>
      <c r="Y5020">
        <v>-6.745806E-2</v>
      </c>
      <c r="Z5020">
        <v>1.5694179999999999E-3</v>
      </c>
      <c r="AA5020">
        <v>0.99772090000000002</v>
      </c>
      <c r="AB5020">
        <v>38</v>
      </c>
      <c r="AC5020">
        <v>41.524999999999899</v>
      </c>
      <c r="AD5020">
        <v>-1.119221752059</v>
      </c>
      <c r="AE5020">
        <v>1.9424699999999999</v>
      </c>
      <c r="AF5020">
        <v>-2.8204007762094099</v>
      </c>
      <c r="AG5020">
        <v>-1.119221752059</v>
      </c>
      <c r="AH5020">
        <v>41.444439445299601</v>
      </c>
      <c r="AI5020">
        <v>91.543348940825396</v>
      </c>
      <c r="AJ5020">
        <v>93.893122788784098</v>
      </c>
      <c r="AK5020">
        <v>41.5553712389125</v>
      </c>
      <c r="AL5020">
        <v>77.195070615124806</v>
      </c>
      <c r="AM5020">
        <v>90.393709401747998</v>
      </c>
      <c r="AN5020">
        <v>1.0000000325076901</v>
      </c>
    </row>
    <row r="5021" spans="1:40" x14ac:dyDescent="0.25">
      <c r="A5021" t="str">
        <f>"20190303170912533"</f>
        <v>20190303170912533</v>
      </c>
      <c r="B5021" t="str">
        <f>"1551604152518517"</f>
        <v>1551604152518517</v>
      </c>
      <c r="C5021" t="s">
        <v>40</v>
      </c>
      <c r="D5021">
        <v>4.6460080000000001</v>
      </c>
      <c r="E5021">
        <v>0.48264570000000001</v>
      </c>
      <c r="F5021" t="s">
        <v>59</v>
      </c>
      <c r="G5021">
        <v>-194.5608</v>
      </c>
      <c r="H5021" s="1">
        <v>-7.9824479999999996E-6</v>
      </c>
      <c r="I5021">
        <v>-61.41778</v>
      </c>
      <c r="J5021">
        <v>-236.02510000000001</v>
      </c>
      <c r="K5021">
        <v>1.1192329999999999</v>
      </c>
      <c r="L5021">
        <v>-63.355069999999998</v>
      </c>
      <c r="M5021">
        <v>0.99970610000000004</v>
      </c>
      <c r="N5021">
        <v>-7.8711600000000003E-3</v>
      </c>
      <c r="O5021">
        <v>-2.2927079999999999E-2</v>
      </c>
      <c r="P5021">
        <v>0.97658370000000005</v>
      </c>
      <c r="Q5021">
        <v>0.2148931</v>
      </c>
      <c r="R5021">
        <v>-1.024999E-2</v>
      </c>
      <c r="S5021">
        <v>3.0913539999999999</v>
      </c>
      <c r="T5021">
        <v>-8.2207080000000002E-2</v>
      </c>
      <c r="U5021">
        <v>0.14120479999999899</v>
      </c>
      <c r="V5021">
        <v>-1.154467E-2</v>
      </c>
      <c r="W5021">
        <v>0.222605</v>
      </c>
      <c r="X5021">
        <v>0.97484029999999999</v>
      </c>
      <c r="Y5021">
        <v>-6.8486340000000007E-2</v>
      </c>
      <c r="Z5021">
        <v>1.608686E-3</v>
      </c>
      <c r="AA5021">
        <v>0.9976507</v>
      </c>
      <c r="AB5021">
        <v>38</v>
      </c>
      <c r="AC5021">
        <v>41.464300000000001</v>
      </c>
      <c r="AD5021">
        <v>-1.1192409824480001</v>
      </c>
      <c r="AE5021">
        <v>1.93728999999999</v>
      </c>
      <c r="AF5021">
        <v>-2.8853678118673201</v>
      </c>
      <c r="AG5021">
        <v>-1.1192409824480001</v>
      </c>
      <c r="AH5021">
        <v>41.378898589399498</v>
      </c>
      <c r="AI5021">
        <v>91.545641104338401</v>
      </c>
      <c r="AJ5021">
        <v>93.988801942935893</v>
      </c>
      <c r="AK5021">
        <v>41.494473080861802</v>
      </c>
      <c r="AL5021">
        <v>77.137915784578297</v>
      </c>
      <c r="AM5021">
        <v>90.678500823837297</v>
      </c>
      <c r="AN5021">
        <v>0.99999993796724695</v>
      </c>
    </row>
    <row r="5022" spans="1:40" x14ac:dyDescent="0.25">
      <c r="A5022" t="str">
        <f>"20190303170912546"</f>
        <v>20190303170912546</v>
      </c>
      <c r="B5022" t="str">
        <f>"1551604152529254"</f>
        <v>1551604152529254</v>
      </c>
      <c r="C5022" t="s">
        <v>40</v>
      </c>
      <c r="D5022">
        <v>4.6100839999999996</v>
      </c>
      <c r="E5022">
        <v>0.4827746</v>
      </c>
      <c r="F5022" t="s">
        <v>59</v>
      </c>
      <c r="G5022">
        <v>-193.4255</v>
      </c>
      <c r="H5022" s="1">
        <v>-8.4404940000000002E-6</v>
      </c>
      <c r="I5022">
        <v>-61.342790000000001</v>
      </c>
      <c r="J5022">
        <v>-235.7878</v>
      </c>
      <c r="K5022">
        <v>1.1192359999999999</v>
      </c>
      <c r="L5022">
        <v>-63.360990000000001</v>
      </c>
      <c r="M5022">
        <v>0.999691</v>
      </c>
      <c r="N5022">
        <v>-7.8833889999999993E-3</v>
      </c>
      <c r="O5022">
        <v>-2.3576659999999999E-2</v>
      </c>
      <c r="P5022">
        <v>0.97656390000000004</v>
      </c>
      <c r="Q5022">
        <v>0.21499280000000001</v>
      </c>
      <c r="R5022">
        <v>-1.005473E-2</v>
      </c>
      <c r="S5022">
        <v>3.0913539999999999</v>
      </c>
      <c r="T5022">
        <v>-8.1220749999999994E-2</v>
      </c>
      <c r="U5022">
        <v>0.14602660000000001</v>
      </c>
      <c r="V5022">
        <v>-1.2375479999999999E-2</v>
      </c>
      <c r="W5022">
        <v>0.22271840000000001</v>
      </c>
      <c r="X5022">
        <v>0.97480429999999996</v>
      </c>
      <c r="Y5022">
        <v>-7.0686860000000004E-2</v>
      </c>
      <c r="Z5022">
        <v>1.640072E-3</v>
      </c>
      <c r="AA5022">
        <v>0.99749719999999997</v>
      </c>
      <c r="AB5022">
        <v>38</v>
      </c>
      <c r="AC5022">
        <v>42.362299999999998</v>
      </c>
      <c r="AD5022">
        <v>-1.1192444404940001</v>
      </c>
      <c r="AE5022">
        <v>2.0182000000000002</v>
      </c>
      <c r="AF5022">
        <v>-3.0143320894599102</v>
      </c>
      <c r="AG5022">
        <v>-1.1192444404940001</v>
      </c>
      <c r="AH5022">
        <v>42.273497529357599</v>
      </c>
      <c r="AI5022">
        <v>91.512784898126895</v>
      </c>
      <c r="AJ5022">
        <v>94.078599976038504</v>
      </c>
      <c r="AK5022">
        <v>42.395607077004101</v>
      </c>
      <c r="AL5022">
        <v>77.131252346297799</v>
      </c>
      <c r="AM5022">
        <v>90.727350795924096</v>
      </c>
      <c r="AN5022">
        <v>1.0000000307511301</v>
      </c>
    </row>
    <row r="5023" spans="1:40" x14ac:dyDescent="0.25">
      <c r="A5023" t="str">
        <f>"20190303170912560"</f>
        <v>20190303170912560</v>
      </c>
      <c r="B5023" t="str">
        <f>"1551604152548774"</f>
        <v>1551604152548774</v>
      </c>
      <c r="C5023" t="s">
        <v>40</v>
      </c>
      <c r="D5023">
        <v>4.9269699999999998</v>
      </c>
      <c r="E5023">
        <v>0.48314089999999998</v>
      </c>
      <c r="F5023" t="s">
        <v>59</v>
      </c>
      <c r="G5023">
        <v>-193.5874</v>
      </c>
      <c r="H5023" s="1">
        <v>-8.3769350000000001E-6</v>
      </c>
      <c r="I5023">
        <v>-61.383510000000001</v>
      </c>
      <c r="J5023">
        <v>-235.56630000000001</v>
      </c>
      <c r="K5023">
        <v>1.1192390000000001</v>
      </c>
      <c r="L5023">
        <v>-63.3666699999999</v>
      </c>
      <c r="M5023">
        <v>0.99967669999999997</v>
      </c>
      <c r="N5023">
        <v>-7.8944380000000001E-3</v>
      </c>
      <c r="O5023">
        <v>-2.4174709999999999E-2</v>
      </c>
      <c r="P5023">
        <v>0.97651909999999997</v>
      </c>
      <c r="Q5023">
        <v>0.21522240000000001</v>
      </c>
      <c r="R5023">
        <v>-9.5042100000000008E-3</v>
      </c>
      <c r="S5023">
        <v>3.0915219999999999</v>
      </c>
      <c r="T5023">
        <v>-8.1993819999999995E-2</v>
      </c>
      <c r="U5023">
        <v>0.14486689999999999</v>
      </c>
      <c r="V5023">
        <v>-1.3511189999999999E-2</v>
      </c>
      <c r="W5023">
        <v>0.22296160000000001</v>
      </c>
      <c r="X5023">
        <v>0.97473359999999998</v>
      </c>
      <c r="Y5023">
        <v>-7.0906860000000002E-2</v>
      </c>
      <c r="Z5023">
        <v>1.6697649999999999E-3</v>
      </c>
      <c r="AA5023">
        <v>0.99748150000000002</v>
      </c>
      <c r="AB5023">
        <v>38</v>
      </c>
      <c r="AC5023">
        <v>41.978900000000003</v>
      </c>
      <c r="AD5023">
        <v>-1.119247376935</v>
      </c>
      <c r="AE5023">
        <v>1.98315999999999</v>
      </c>
      <c r="AF5023">
        <v>-2.99531508077474</v>
      </c>
      <c r="AG5023">
        <v>-1.119247376935</v>
      </c>
      <c r="AH5023">
        <v>41.888975758119301</v>
      </c>
      <c r="AI5023">
        <v>91.526647294920394</v>
      </c>
      <c r="AJ5023">
        <v>94.090033261353099</v>
      </c>
      <c r="AK5023">
        <v>42.010842852627903</v>
      </c>
      <c r="AL5023">
        <v>77.116958314191393</v>
      </c>
      <c r="AM5023">
        <v>90.794149897451206</v>
      </c>
      <c r="AN5023">
        <v>1.0000000091493599</v>
      </c>
    </row>
    <row r="5024" spans="1:40" x14ac:dyDescent="0.25">
      <c r="A5024" t="str">
        <f>"20190303170912572"</f>
        <v>20190303170912572</v>
      </c>
      <c r="B5024" t="str">
        <f>"1551604152559043"</f>
        <v>1551604152559043</v>
      </c>
      <c r="C5024" t="s">
        <v>40</v>
      </c>
      <c r="D5024">
        <v>4.8345949999999904</v>
      </c>
      <c r="E5024">
        <v>0.48326780000000003</v>
      </c>
      <c r="F5024" t="s">
        <v>59</v>
      </c>
      <c r="G5024">
        <v>-193.7647</v>
      </c>
      <c r="H5024" s="1">
        <v>-8.3075649999999907E-6</v>
      </c>
      <c r="I5024">
        <v>-61.4328</v>
      </c>
      <c r="J5024">
        <v>-235.3458</v>
      </c>
      <c r="K5024">
        <v>1.1192470000000001</v>
      </c>
      <c r="L5024">
        <v>-63.372410000000002</v>
      </c>
      <c r="M5024">
        <v>0.99966219999999995</v>
      </c>
      <c r="N5024">
        <v>-7.9052580000000001E-3</v>
      </c>
      <c r="O5024">
        <v>-2.4762010000000001E-2</v>
      </c>
      <c r="P5024">
        <v>0.97649589999999997</v>
      </c>
      <c r="Q5024">
        <v>0.21532419999999999</v>
      </c>
      <c r="R5024">
        <v>-9.5615279999999997E-3</v>
      </c>
      <c r="S5024">
        <v>3.0917970000000001</v>
      </c>
      <c r="T5024">
        <v>-8.2783700000000002E-2</v>
      </c>
      <c r="U5024">
        <v>0.14303589999999999</v>
      </c>
      <c r="V5024">
        <v>-1.4030910000000001E-2</v>
      </c>
      <c r="W5024">
        <v>0.22307450000000001</v>
      </c>
      <c r="X5024">
        <v>0.97470040000000002</v>
      </c>
      <c r="Y5024">
        <v>-7.0898500000000003E-2</v>
      </c>
      <c r="Z5024">
        <v>1.695911E-3</v>
      </c>
      <c r="AA5024">
        <v>0.99748210000000004</v>
      </c>
      <c r="AB5024">
        <v>38</v>
      </c>
      <c r="AC5024">
        <v>41.5810999999999</v>
      </c>
      <c r="AD5024">
        <v>-1.11925530756499</v>
      </c>
      <c r="AE5024">
        <v>1.9396099999999901</v>
      </c>
      <c r="AF5024">
        <v>-2.9665342063678901</v>
      </c>
      <c r="AG5024">
        <v>-1.11925530756499</v>
      </c>
      <c r="AH5024">
        <v>41.490322830005702</v>
      </c>
      <c r="AI5024">
        <v>91.541320433577994</v>
      </c>
      <c r="AJ5024">
        <v>94.089655736914594</v>
      </c>
      <c r="AK5024">
        <v>41.611295896416799</v>
      </c>
      <c r="AL5024">
        <v>77.110322168184098</v>
      </c>
      <c r="AM5024">
        <v>90.824721528836903</v>
      </c>
      <c r="AN5024">
        <v>0.99999998437291804</v>
      </c>
    </row>
    <row r="5025" spans="1:40" x14ac:dyDescent="0.25">
      <c r="A5025" t="str">
        <f>"20190303170912587"</f>
        <v>20190303170912587</v>
      </c>
      <c r="B5025" t="str">
        <f>"1551604152578563"</f>
        <v>1551604152578563</v>
      </c>
      <c r="C5025" t="s">
        <v>40</v>
      </c>
      <c r="D5025">
        <v>4.820735</v>
      </c>
      <c r="E5025">
        <v>0.48342980000000002</v>
      </c>
      <c r="F5025" t="s">
        <v>59</v>
      </c>
      <c r="G5025">
        <v>-193.68940000000001</v>
      </c>
      <c r="H5025" s="1">
        <v>-8.3400350000000005E-6</v>
      </c>
      <c r="I5025">
        <v>-61.463839999999998</v>
      </c>
      <c r="J5025">
        <v>-235.0805</v>
      </c>
      <c r="K5025">
        <v>1.1192660000000001</v>
      </c>
      <c r="L5025">
        <v>-63.3795199999999</v>
      </c>
      <c r="M5025">
        <v>0.99964489999999995</v>
      </c>
      <c r="N5025">
        <v>-7.9179560000000003E-3</v>
      </c>
      <c r="O5025">
        <v>-2.5447440000000002E-2</v>
      </c>
      <c r="P5025">
        <v>0.97651679999999996</v>
      </c>
      <c r="Q5025">
        <v>0.21525159999999999</v>
      </c>
      <c r="R5025">
        <v>-9.0507490000000003E-3</v>
      </c>
      <c r="S5025">
        <v>3.0919189999999999</v>
      </c>
      <c r="T5025">
        <v>-8.3076120000000003E-2</v>
      </c>
      <c r="U5025">
        <v>0.1416626</v>
      </c>
      <c r="V5025">
        <v>-1.522046E-2</v>
      </c>
      <c r="W5025">
        <v>0.22301689999999999</v>
      </c>
      <c r="X5025">
        <v>0.97469570000000005</v>
      </c>
      <c r="Y5025">
        <v>-7.1138019999999996E-2</v>
      </c>
      <c r="Z5025">
        <v>1.7188289999999901E-3</v>
      </c>
      <c r="AA5025">
        <v>0.99746500000000005</v>
      </c>
      <c r="AB5025">
        <v>38</v>
      </c>
      <c r="AC5025">
        <v>41.391100000000002</v>
      </c>
      <c r="AD5025">
        <v>-1.119274340035</v>
      </c>
      <c r="AE5025">
        <v>1.9156799999999801</v>
      </c>
      <c r="AF5025">
        <v>-2.9662256592736802</v>
      </c>
      <c r="AG5025">
        <v>-1.119274340035</v>
      </c>
      <c r="AH5025">
        <v>41.298809716588202</v>
      </c>
      <c r="AI5025">
        <v>91.548455014146299</v>
      </c>
      <c r="AJ5025">
        <v>94.108129853289896</v>
      </c>
      <c r="AK5025">
        <v>41.420320540973101</v>
      </c>
      <c r="AL5025">
        <v>77.113707293141601</v>
      </c>
      <c r="AM5025">
        <v>90.894635368637296</v>
      </c>
      <c r="AN5025">
        <v>0.99999995384335405</v>
      </c>
    </row>
    <row r="5026" spans="1:40" x14ac:dyDescent="0.25">
      <c r="A5026" t="str">
        <f>"20190303170912600"</f>
        <v>20190303170912600</v>
      </c>
      <c r="B5026" t="str">
        <f>"1551604152589299"</f>
        <v>1551604152589299</v>
      </c>
      <c r="C5026" t="s">
        <v>40</v>
      </c>
      <c r="D5026">
        <v>4.8135399999999997</v>
      </c>
      <c r="E5026">
        <v>0.48347960000000001</v>
      </c>
      <c r="F5026" t="s">
        <v>59</v>
      </c>
      <c r="G5026">
        <v>-194.08789999999999</v>
      </c>
      <c r="H5026" s="1">
        <v>-8.1798680000000002E-6</v>
      </c>
      <c r="I5026">
        <v>-61.50065</v>
      </c>
      <c r="J5026">
        <v>-234.8794</v>
      </c>
      <c r="K5026">
        <v>1.1192850000000001</v>
      </c>
      <c r="L5026">
        <v>-63.385039999999996</v>
      </c>
      <c r="M5026">
        <v>0.99963210000000002</v>
      </c>
      <c r="N5026">
        <v>-7.9271700000000007E-3</v>
      </c>
      <c r="O5026">
        <v>-2.594136E-2</v>
      </c>
      <c r="P5026">
        <v>0.97659169999999995</v>
      </c>
      <c r="Q5026">
        <v>0.21491950000000001</v>
      </c>
      <c r="R5026">
        <v>-8.8605839999999995E-3</v>
      </c>
      <c r="S5026">
        <v>3.0920869999999998</v>
      </c>
      <c r="T5026">
        <v>-8.4427240000000001E-2</v>
      </c>
      <c r="U5026">
        <v>0.14172360000000001</v>
      </c>
      <c r="V5026">
        <v>-1.5905799999999901E-2</v>
      </c>
      <c r="W5026">
        <v>0.22269520000000001</v>
      </c>
      <c r="X5026">
        <v>0.97475840000000002</v>
      </c>
      <c r="Y5026">
        <v>-7.1646509999999997E-2</v>
      </c>
      <c r="Z5026">
        <v>1.7639890000000001E-3</v>
      </c>
      <c r="AA5026">
        <v>0.99742850000000005</v>
      </c>
      <c r="AB5026">
        <v>38</v>
      </c>
      <c r="AC5026">
        <v>40.791499999999999</v>
      </c>
      <c r="AD5026">
        <v>-1.1192931798679999</v>
      </c>
      <c r="AE5026">
        <v>1.88439</v>
      </c>
      <c r="AF5026">
        <v>-2.93976727344024</v>
      </c>
      <c r="AG5026">
        <v>-1.1192931798679999</v>
      </c>
      <c r="AH5026">
        <v>40.698308967490597</v>
      </c>
      <c r="AI5026">
        <v>91.571271326030697</v>
      </c>
      <c r="AJ5026">
        <v>94.1314794034042</v>
      </c>
      <c r="AK5026">
        <v>40.819693796717999</v>
      </c>
      <c r="AL5026">
        <v>77.1326160055727</v>
      </c>
      <c r="AM5026">
        <v>90.934851483801296</v>
      </c>
      <c r="AN5026">
        <v>1.00000004247361</v>
      </c>
    </row>
    <row r="5027" spans="1:40" x14ac:dyDescent="0.25">
      <c r="A5027" t="str">
        <f>"20190303170912610"</f>
        <v>20190303170912610</v>
      </c>
      <c r="B5027" t="str">
        <f>"1551604152599059"</f>
        <v>1551604152599059</v>
      </c>
      <c r="C5027" t="s">
        <v>40</v>
      </c>
      <c r="D5027">
        <v>4.8380470000000004</v>
      </c>
      <c r="E5027">
        <v>0.48362880000000003</v>
      </c>
      <c r="F5027" t="s">
        <v>59</v>
      </c>
      <c r="G5027">
        <v>-194.6234</v>
      </c>
      <c r="H5027" s="1">
        <v>-7.96414E-6</v>
      </c>
      <c r="I5027">
        <v>-61.541930000000001</v>
      </c>
      <c r="J5027">
        <v>-234.6833</v>
      </c>
      <c r="K5027">
        <v>1.1193070000000001</v>
      </c>
      <c r="L5027">
        <v>-63.390439999999998</v>
      </c>
      <c r="M5027">
        <v>0.9996197</v>
      </c>
      <c r="N5027">
        <v>-7.9360679999999992E-3</v>
      </c>
      <c r="O5027">
        <v>-2.6413559999999999E-2</v>
      </c>
      <c r="P5027">
        <v>0.97671770000000002</v>
      </c>
      <c r="Q5027">
        <v>0.21436559999999999</v>
      </c>
      <c r="R5027">
        <v>-8.3755400000000008E-3</v>
      </c>
      <c r="S5027">
        <v>3.0921020000000001</v>
      </c>
      <c r="T5027">
        <v>-8.5974099999999998E-2</v>
      </c>
      <c r="U5027">
        <v>0.141571</v>
      </c>
      <c r="V5027">
        <v>-1.6867750000000001E-2</v>
      </c>
      <c r="W5027">
        <v>0.22215219999999999</v>
      </c>
      <c r="X5027">
        <v>0.97486609999999996</v>
      </c>
      <c r="Y5027">
        <v>-7.2066660000000005E-2</v>
      </c>
      <c r="Z5027">
        <v>1.8118190000000001E-3</v>
      </c>
      <c r="AA5027">
        <v>0.99739820000000001</v>
      </c>
      <c r="AB5027">
        <v>39</v>
      </c>
      <c r="AC5027">
        <v>40.059899999999999</v>
      </c>
      <c r="AD5027">
        <v>-1.11931496414</v>
      </c>
      <c r="AE5027">
        <v>1.8485099999999901</v>
      </c>
      <c r="AF5027">
        <v>-2.9037606512118201</v>
      </c>
      <c r="AG5027">
        <v>-1.11931496414</v>
      </c>
      <c r="AH5027">
        <v>39.965959820850003</v>
      </c>
      <c r="AI5027">
        <v>91.600031385827293</v>
      </c>
      <c r="AJ5027">
        <v>94.155571396472794</v>
      </c>
      <c r="AK5027">
        <v>40.086938475147598</v>
      </c>
      <c r="AL5027">
        <v>77.164526646324802</v>
      </c>
      <c r="AM5027">
        <v>90.991268910155</v>
      </c>
      <c r="AN5027">
        <v>1.00000001694205</v>
      </c>
    </row>
    <row r="5028" spans="1:40" x14ac:dyDescent="0.25">
      <c r="A5028" t="str">
        <f>"20190303170912623"</f>
        <v>20190303170912623</v>
      </c>
      <c r="B5028" t="str">
        <f>"1551604152608819"</f>
        <v>1551604152608819</v>
      </c>
      <c r="C5028" t="s">
        <v>40</v>
      </c>
      <c r="D5028">
        <v>4.7834339999999997</v>
      </c>
      <c r="E5028">
        <v>0.48362880000000003</v>
      </c>
      <c r="F5028" t="s">
        <v>59</v>
      </c>
      <c r="G5028">
        <v>-195.38560000000001</v>
      </c>
      <c r="H5028" s="1">
        <v>-7.6571759999999995E-6</v>
      </c>
      <c r="I5028">
        <v>-61.601649999999999</v>
      </c>
      <c r="J5028">
        <v>-234.47110000000001</v>
      </c>
      <c r="K5028">
        <v>1.11934</v>
      </c>
      <c r="L5028">
        <v>-63.3964199999999</v>
      </c>
      <c r="M5028">
        <v>0.99960700000000002</v>
      </c>
      <c r="N5028">
        <v>-7.9453939999999997E-3</v>
      </c>
      <c r="O5028">
        <v>-2.6885969999999999E-2</v>
      </c>
      <c r="P5028">
        <v>0.9768211</v>
      </c>
      <c r="Q5028">
        <v>0.21391489999999999</v>
      </c>
      <c r="R5028">
        <v>-7.8255069999999902E-3</v>
      </c>
      <c r="S5028">
        <v>3.0920559999999999</v>
      </c>
      <c r="T5028">
        <v>-8.8070990000000002E-2</v>
      </c>
      <c r="U5028">
        <v>0.14074710000000001</v>
      </c>
      <c r="V5028">
        <v>-1.7900159999999998E-2</v>
      </c>
      <c r="W5028">
        <v>0.2217124</v>
      </c>
      <c r="X5028">
        <v>0.97494780000000003</v>
      </c>
      <c r="Y5028">
        <v>-7.227132E-2</v>
      </c>
      <c r="Z5028">
        <v>1.8676719999999999E-3</v>
      </c>
      <c r="AA5028">
        <v>0.99738320000000003</v>
      </c>
      <c r="AB5028">
        <v>39</v>
      </c>
      <c r="AC5028">
        <v>39.085500000000003</v>
      </c>
      <c r="AD5028">
        <v>-1.1193476571759999</v>
      </c>
      <c r="AE5028">
        <v>1.79476999999999</v>
      </c>
      <c r="AF5028">
        <v>-2.8426792944247099</v>
      </c>
      <c r="AG5028">
        <v>-1.1193476571759999</v>
      </c>
      <c r="AH5028">
        <v>38.991202580436401</v>
      </c>
      <c r="AI5028">
        <v>91.640027885746306</v>
      </c>
      <c r="AJ5028">
        <v>94.169809130654897</v>
      </c>
      <c r="AK5028">
        <v>39.1107100858219</v>
      </c>
      <c r="AL5028">
        <v>77.190369693143595</v>
      </c>
      <c r="AM5028">
        <v>91.051839290557396</v>
      </c>
      <c r="AN5028">
        <v>1.00000000838331</v>
      </c>
    </row>
    <row r="5029" spans="1:40" x14ac:dyDescent="0.25">
      <c r="A5029" t="str">
        <f>"20190303170912637"</f>
        <v>20190303170912637</v>
      </c>
      <c r="B5029" t="str">
        <f>"1551604152629315"</f>
        <v>1551604152629315</v>
      </c>
      <c r="C5029" t="s">
        <v>40</v>
      </c>
      <c r="D5029">
        <v>4.8099030000000003</v>
      </c>
      <c r="E5029">
        <v>0.48392309999999999</v>
      </c>
      <c r="F5029" t="s">
        <v>59</v>
      </c>
      <c r="G5029">
        <v>-195.9049</v>
      </c>
      <c r="H5029" s="1">
        <v>-7.4474489999999999E-6</v>
      </c>
      <c r="I5029">
        <v>-61.6325</v>
      </c>
      <c r="J5029">
        <v>-234.2321</v>
      </c>
      <c r="K5029">
        <v>1.11937999999999</v>
      </c>
      <c r="L5029">
        <v>-63.403260000000003</v>
      </c>
      <c r="M5029">
        <v>0.99959330000000002</v>
      </c>
      <c r="N5029">
        <v>-7.9556579999999991E-3</v>
      </c>
      <c r="O5029">
        <v>-2.7387359999999999E-2</v>
      </c>
      <c r="P5029">
        <v>0.97680900000000004</v>
      </c>
      <c r="Q5029">
        <v>0.21398619999999999</v>
      </c>
      <c r="R5029">
        <v>-7.3669740000000001E-3</v>
      </c>
      <c r="S5029">
        <v>3.0919490000000001</v>
      </c>
      <c r="T5029">
        <v>-8.974087E-2</v>
      </c>
      <c r="U5029">
        <v>0.1414185</v>
      </c>
      <c r="V5029">
        <v>-1.8870950000000001E-2</v>
      </c>
      <c r="W5029">
        <v>0.2217942</v>
      </c>
      <c r="X5029">
        <v>0.97491090000000002</v>
      </c>
      <c r="Y5029">
        <v>-7.2987179999999999E-2</v>
      </c>
      <c r="Z5029">
        <v>1.9256119999999999E-3</v>
      </c>
      <c r="AA5029">
        <v>0.99733099999999997</v>
      </c>
      <c r="AB5029">
        <v>39</v>
      </c>
      <c r="AC5029">
        <v>38.327199999999998</v>
      </c>
      <c r="AD5029">
        <v>-1.11938744744899</v>
      </c>
      <c r="AE5029">
        <v>1.7707599999999899</v>
      </c>
      <c r="AF5029">
        <v>-2.81741159693556</v>
      </c>
      <c r="AG5029">
        <v>-1.11938744744899</v>
      </c>
      <c r="AH5029">
        <v>38.231782357362597</v>
      </c>
      <c r="AI5029">
        <v>91.672549868192206</v>
      </c>
      <c r="AJ5029">
        <v>94.214674721890802</v>
      </c>
      <c r="AK5029">
        <v>38.351792899221699</v>
      </c>
      <c r="AL5029">
        <v>77.185563400919193</v>
      </c>
      <c r="AM5029">
        <v>91.108912397779307</v>
      </c>
      <c r="AN5029">
        <v>1.0000000214231699</v>
      </c>
    </row>
    <row r="5030" spans="1:40" x14ac:dyDescent="0.25">
      <c r="A5030" t="str">
        <f>"20190303170912648"</f>
        <v>20190303170912648</v>
      </c>
      <c r="B5030" t="str">
        <f>"1551604152639075"</f>
        <v>1551604152639075</v>
      </c>
      <c r="C5030" t="s">
        <v>40</v>
      </c>
      <c r="D5030">
        <v>4.8022090000000004</v>
      </c>
      <c r="E5030">
        <v>0.48404429999999998</v>
      </c>
      <c r="F5030" t="s">
        <v>59</v>
      </c>
      <c r="G5030">
        <v>-196.39169999999999</v>
      </c>
      <c r="H5030" s="1">
        <v>-7.2526790000000001E-6</v>
      </c>
      <c r="I5030">
        <v>-61.692889999999998</v>
      </c>
      <c r="J5030">
        <v>-234.01580000000001</v>
      </c>
      <c r="K5030">
        <v>1.1194200000000001</v>
      </c>
      <c r="L5030">
        <v>-63.409480000000002</v>
      </c>
      <c r="M5030">
        <v>0.99958150000000001</v>
      </c>
      <c r="N5030">
        <v>-7.9647920000000001E-3</v>
      </c>
      <c r="O5030">
        <v>-2.7818530000000001E-2</v>
      </c>
      <c r="P5030">
        <v>0.97672689999999995</v>
      </c>
      <c r="Q5030">
        <v>0.21436279999999999</v>
      </c>
      <c r="R5030">
        <v>-7.3203000000000001E-3</v>
      </c>
      <c r="S5030">
        <v>3.0922999999999998</v>
      </c>
      <c r="T5030">
        <v>-9.1475840000000003E-2</v>
      </c>
      <c r="U5030">
        <v>0.13977049999999999</v>
      </c>
      <c r="V5030">
        <v>-1.935779E-2</v>
      </c>
      <c r="W5030">
        <v>0.22217770000000001</v>
      </c>
      <c r="X5030">
        <v>0.97481399999999996</v>
      </c>
      <c r="Y5030">
        <v>-7.2880089999999995E-2</v>
      </c>
      <c r="Z5030">
        <v>1.96861E-3</v>
      </c>
      <c r="AA5030">
        <v>0.99733879999999997</v>
      </c>
      <c r="AB5030">
        <v>39</v>
      </c>
      <c r="AC5030">
        <v>37.624099999999999</v>
      </c>
      <c r="AD5030">
        <v>-1.1194272526789999</v>
      </c>
      <c r="AE5030">
        <v>1.7165899999999901</v>
      </c>
      <c r="AF5030">
        <v>-2.7601673955264698</v>
      </c>
      <c r="AG5030">
        <v>-1.1194272526789999</v>
      </c>
      <c r="AH5030">
        <v>37.528630941395797</v>
      </c>
      <c r="AI5030">
        <v>91.703947713155202</v>
      </c>
      <c r="AJ5030">
        <v>94.2064339866469</v>
      </c>
      <c r="AK5030">
        <v>37.646643698487402</v>
      </c>
      <c r="AL5030">
        <v>77.163027862365098</v>
      </c>
      <c r="AM5030">
        <v>91.137626165649394</v>
      </c>
      <c r="AN5030">
        <v>0.99999999450348698</v>
      </c>
    </row>
    <row r="5031" spans="1:40" x14ac:dyDescent="0.25">
      <c r="A5031" t="str">
        <f>"20190303170912662"</f>
        <v>20190303170912662</v>
      </c>
      <c r="B5031" t="str">
        <f>"1551604152648835"</f>
        <v>1551604152648835</v>
      </c>
      <c r="C5031" t="s">
        <v>40</v>
      </c>
      <c r="D5031">
        <v>4.788621</v>
      </c>
      <c r="E5031">
        <v>0.48415809999999998</v>
      </c>
      <c r="F5031" t="s">
        <v>59</v>
      </c>
      <c r="G5031">
        <v>-196.08080000000001</v>
      </c>
      <c r="H5031" s="1">
        <v>-7.3802519999999998E-6</v>
      </c>
      <c r="I5031">
        <v>-61.709209999999999</v>
      </c>
      <c r="J5031">
        <v>-233.79480000000001</v>
      </c>
      <c r="K5031">
        <v>1.1194729999999999</v>
      </c>
      <c r="L5031">
        <v>-63.4159199999999</v>
      </c>
      <c r="M5031">
        <v>0.99957070000000003</v>
      </c>
      <c r="N5031">
        <v>-7.9738750000000001E-3</v>
      </c>
      <c r="O5031">
        <v>-2.8197489999999999E-2</v>
      </c>
      <c r="P5031">
        <v>0.97669589999999995</v>
      </c>
      <c r="Q5031">
        <v>0.2145116</v>
      </c>
      <c r="R5031">
        <v>-7.1001669999999897E-3</v>
      </c>
      <c r="S5031">
        <v>3.0925449999999999</v>
      </c>
      <c r="T5031">
        <v>-9.1258290000000006E-2</v>
      </c>
      <c r="U5031">
        <v>0.13861080000000001</v>
      </c>
      <c r="V5031">
        <v>-1.9975280000000002E-2</v>
      </c>
      <c r="W5031">
        <v>0.222334</v>
      </c>
      <c r="X5031">
        <v>0.97476589999999996</v>
      </c>
      <c r="Y5031">
        <v>-7.288153E-2</v>
      </c>
      <c r="Z5031">
        <v>1.9722149999999998E-3</v>
      </c>
      <c r="AA5031">
        <v>0.99733870000000002</v>
      </c>
      <c r="AB5031">
        <v>39</v>
      </c>
      <c r="AC5031">
        <v>37.713999999999999</v>
      </c>
      <c r="AD5031">
        <v>-1.1194803802519999</v>
      </c>
      <c r="AE5031">
        <v>1.70670999999999</v>
      </c>
      <c r="AF5031">
        <v>-2.7670720285483399</v>
      </c>
      <c r="AG5031">
        <v>-1.1194803802519999</v>
      </c>
      <c r="AH5031">
        <v>37.617798936496698</v>
      </c>
      <c r="AI5031">
        <v>91.699990589035295</v>
      </c>
      <c r="AJ5031">
        <v>94.206958868135104</v>
      </c>
      <c r="AK5031">
        <v>37.736040077883601</v>
      </c>
      <c r="AL5031">
        <v>77.153842734356601</v>
      </c>
      <c r="AM5031">
        <v>91.173962971760801</v>
      </c>
      <c r="AN5031">
        <v>0.99999998958494396</v>
      </c>
    </row>
    <row r="5032" spans="1:40" x14ac:dyDescent="0.25">
      <c r="A5032" t="str">
        <f>"20190303170912677"</f>
        <v>20190303170912677</v>
      </c>
      <c r="B5032" t="str">
        <f>"1551604152659103"</f>
        <v>1551604152659103</v>
      </c>
      <c r="C5032" t="s">
        <v>40</v>
      </c>
      <c r="D5032">
        <v>4.8086989999999998</v>
      </c>
      <c r="E5032">
        <v>0.48427730000000002</v>
      </c>
      <c r="F5032" t="s">
        <v>59</v>
      </c>
      <c r="G5032">
        <v>-195.86060000000001</v>
      </c>
      <c r="H5032" s="1">
        <v>-7.4705229999999901E-6</v>
      </c>
      <c r="I5032">
        <v>-61.719099999999997</v>
      </c>
      <c r="J5032">
        <v>-233.52719999999999</v>
      </c>
      <c r="K5032">
        <v>1.1195409999999999</v>
      </c>
      <c r="L5032">
        <v>-63.4238</v>
      </c>
      <c r="M5032">
        <v>0.99955870000000002</v>
      </c>
      <c r="N5032">
        <v>-7.9847459999999992E-3</v>
      </c>
      <c r="O5032">
        <v>-2.8610360000000001E-2</v>
      </c>
      <c r="P5032">
        <v>0.97672320000000001</v>
      </c>
      <c r="Q5032">
        <v>0.2144057</v>
      </c>
      <c r="R5032">
        <v>-6.4887199999999999E-3</v>
      </c>
      <c r="S5032">
        <v>3.092651</v>
      </c>
      <c r="T5032">
        <v>-9.1267699999999993E-2</v>
      </c>
      <c r="U5032">
        <v>0.13833619999999999</v>
      </c>
      <c r="V5032">
        <v>-2.10276E-2</v>
      </c>
      <c r="W5032">
        <v>0.22223770000000001</v>
      </c>
      <c r="X5032">
        <v>0.97476569999999996</v>
      </c>
      <c r="Y5032">
        <v>-7.3203270000000001E-2</v>
      </c>
      <c r="Z5032">
        <v>1.9873489999999998E-3</v>
      </c>
      <c r="AA5032">
        <v>0.99731499999999995</v>
      </c>
      <c r="AB5032">
        <v>39</v>
      </c>
      <c r="AC5032">
        <v>37.666599999999903</v>
      </c>
      <c r="AD5032">
        <v>-1.1195484705230001</v>
      </c>
      <c r="AE5032">
        <v>1.7047000000000001</v>
      </c>
      <c r="AF5032">
        <v>-2.7792412613316002</v>
      </c>
      <c r="AG5032">
        <v>-1.1195484705230001</v>
      </c>
      <c r="AH5032">
        <v>37.5692841197829</v>
      </c>
      <c r="AI5032">
        <v>91.702235753476799</v>
      </c>
      <c r="AJ5032">
        <v>94.230830308010198</v>
      </c>
      <c r="AK5032">
        <v>37.6885749271515</v>
      </c>
      <c r="AL5032">
        <v>77.159501548959994</v>
      </c>
      <c r="AM5032">
        <v>91.235790203076604</v>
      </c>
      <c r="AN5032">
        <v>0.99999996257976898</v>
      </c>
    </row>
    <row r="5033" spans="1:40" x14ac:dyDescent="0.25">
      <c r="A5033" t="str">
        <f>"20190303170912689"</f>
        <v>20190303170912689</v>
      </c>
      <c r="B5033" t="str">
        <f>"1551604152678622"</f>
        <v>1551604152678622</v>
      </c>
      <c r="C5033" t="s">
        <v>40</v>
      </c>
      <c r="D5033">
        <v>4.6932660000000004</v>
      </c>
      <c r="E5033">
        <v>0.4843789</v>
      </c>
      <c r="F5033" t="s">
        <v>59</v>
      </c>
      <c r="G5033">
        <v>-196.03550000000001</v>
      </c>
      <c r="H5033" s="1">
        <v>-7.4004110000000004E-6</v>
      </c>
      <c r="I5033">
        <v>-61.738289999999999</v>
      </c>
      <c r="J5033">
        <v>-233.32650000000001</v>
      </c>
      <c r="K5033">
        <v>1.119597</v>
      </c>
      <c r="L5033">
        <v>-63.429720000000003</v>
      </c>
      <c r="M5033">
        <v>0.99955050000000001</v>
      </c>
      <c r="N5033">
        <v>-7.9928259999999998E-3</v>
      </c>
      <c r="O5033">
        <v>-2.8891549999999998E-2</v>
      </c>
      <c r="P5033">
        <v>0.97682780000000002</v>
      </c>
      <c r="Q5033">
        <v>0.2139412</v>
      </c>
      <c r="R5033">
        <v>-6.0572250000000003E-3</v>
      </c>
      <c r="S5033">
        <v>3.0926969999999998</v>
      </c>
      <c r="T5033">
        <v>-9.2351680000000005E-2</v>
      </c>
      <c r="U5033">
        <v>0.1390381</v>
      </c>
      <c r="V5033">
        <v>-2.1766629999999999E-2</v>
      </c>
      <c r="W5033">
        <v>0.2217798</v>
      </c>
      <c r="X5033">
        <v>0.97485379999999999</v>
      </c>
      <c r="Y5033">
        <v>-7.3707640000000005E-2</v>
      </c>
      <c r="Z5033">
        <v>2.0259000000000002E-3</v>
      </c>
      <c r="AA5033">
        <v>0.99727790000000005</v>
      </c>
      <c r="AB5033">
        <v>39</v>
      </c>
      <c r="AC5033">
        <v>37.290999999999997</v>
      </c>
      <c r="AD5033">
        <v>-1.119604400411</v>
      </c>
      <c r="AE5033">
        <v>1.69142999999999</v>
      </c>
      <c r="AF5033">
        <v>-2.7656653082435199</v>
      </c>
      <c r="AG5033">
        <v>-1.119604400411</v>
      </c>
      <c r="AH5033">
        <v>37.193105040975396</v>
      </c>
      <c r="AI5033">
        <v>91.719479522966296</v>
      </c>
      <c r="AJ5033">
        <v>94.252665983659895</v>
      </c>
      <c r="AK5033">
        <v>37.312591456500002</v>
      </c>
      <c r="AL5033">
        <v>77.186409235792098</v>
      </c>
      <c r="AM5033">
        <v>91.279093177361602</v>
      </c>
      <c r="AN5033">
        <v>0.99999999862201805</v>
      </c>
    </row>
    <row r="5034" spans="1:40" x14ac:dyDescent="0.25">
      <c r="A5034" t="str">
        <f>"20190303170912701"</f>
        <v>20190303170912701</v>
      </c>
      <c r="B5034" t="str">
        <f>"1551604152688383"</f>
        <v>1551604152688383</v>
      </c>
      <c r="C5034" t="s">
        <v>40</v>
      </c>
      <c r="D5034">
        <v>4.8489120000000003</v>
      </c>
      <c r="E5034">
        <v>0.48448790000000003</v>
      </c>
      <c r="F5034" t="s">
        <v>59</v>
      </c>
      <c r="G5034">
        <v>-196.52420000000001</v>
      </c>
      <c r="H5034" s="1">
        <v>-7.2035270000000003E-6</v>
      </c>
      <c r="I5034">
        <v>-61.775889999999997</v>
      </c>
      <c r="J5034">
        <v>-233.1103</v>
      </c>
      <c r="K5034">
        <v>1.119661</v>
      </c>
      <c r="L5034">
        <v>-63.436160000000001</v>
      </c>
      <c r="M5034">
        <v>0.99954399999999999</v>
      </c>
      <c r="N5034">
        <v>-8.0014930000000001E-3</v>
      </c>
      <c r="O5034">
        <v>-2.9118020000000001E-2</v>
      </c>
      <c r="P5034">
        <v>0.97689599999999999</v>
      </c>
      <c r="Q5034">
        <v>0.21364430000000001</v>
      </c>
      <c r="R5034">
        <v>-5.4892059999999999E-3</v>
      </c>
      <c r="S5034">
        <v>3.0926209999999998</v>
      </c>
      <c r="T5034">
        <v>-9.4084139999999997E-2</v>
      </c>
      <c r="U5034">
        <v>0.13897709999999999</v>
      </c>
      <c r="V5034">
        <v>-2.2593709999999999E-2</v>
      </c>
      <c r="W5034">
        <v>0.22148960000000001</v>
      </c>
      <c r="X5034">
        <v>0.97490100000000002</v>
      </c>
      <c r="Y5034">
        <v>-7.3913110000000004E-2</v>
      </c>
      <c r="Z5034">
        <v>2.0718300000000002E-3</v>
      </c>
      <c r="AA5034">
        <v>0.99726250000000005</v>
      </c>
      <c r="AB5034">
        <v>39</v>
      </c>
      <c r="AC5034">
        <v>36.586099999999902</v>
      </c>
      <c r="AD5034">
        <v>-1.119668203527</v>
      </c>
      <c r="AE5034">
        <v>1.6602699999999899</v>
      </c>
      <c r="AF5034">
        <v>-2.7223703288195402</v>
      </c>
      <c r="AG5034">
        <v>-1.119668203527</v>
      </c>
      <c r="AH5034">
        <v>36.488136517939303</v>
      </c>
      <c r="AI5034">
        <v>91.752747543193294</v>
      </c>
      <c r="AJ5034">
        <v>94.266917426835207</v>
      </c>
      <c r="AK5034">
        <v>36.6066805876332</v>
      </c>
      <c r="AL5034">
        <v>77.203461069393001</v>
      </c>
      <c r="AM5034">
        <v>91.327614330883307</v>
      </c>
      <c r="AN5034">
        <v>1.0000000392203601</v>
      </c>
    </row>
    <row r="5035" spans="1:40" x14ac:dyDescent="0.25">
      <c r="A5035" t="str">
        <f>"20190303170912715"</f>
        <v>20190303170912715</v>
      </c>
      <c r="B5035" t="str">
        <f>"1551604152708879"</f>
        <v>1551604152708879</v>
      </c>
      <c r="C5035" t="s">
        <v>40</v>
      </c>
      <c r="D5035">
        <v>4.8397230000000002</v>
      </c>
      <c r="E5035">
        <v>0.4847455</v>
      </c>
      <c r="F5035" t="s">
        <v>59</v>
      </c>
      <c r="G5035">
        <v>-196.8261</v>
      </c>
      <c r="H5035" s="1">
        <v>-7.0819050000000003E-6</v>
      </c>
      <c r="I5035">
        <v>-61.799149999999997</v>
      </c>
      <c r="J5035">
        <v>-232.85849999999999</v>
      </c>
      <c r="K5035">
        <v>1.1197360000000001</v>
      </c>
      <c r="L5035">
        <v>-63.443629999999999</v>
      </c>
      <c r="M5035">
        <v>0.99953729999999996</v>
      </c>
      <c r="N5035">
        <v>-8.011532E-3</v>
      </c>
      <c r="O5035">
        <v>-2.9342940000000001E-2</v>
      </c>
      <c r="P5035">
        <v>0.97694780000000003</v>
      </c>
      <c r="Q5035">
        <v>0.21342220000000001</v>
      </c>
      <c r="R5035">
        <v>-4.9428140000000002E-3</v>
      </c>
      <c r="S5035">
        <v>3.09259</v>
      </c>
      <c r="T5035">
        <v>-9.5432160000000002E-2</v>
      </c>
      <c r="U5035">
        <v>0.13952639999999999</v>
      </c>
      <c r="V5035">
        <v>-2.340329E-2</v>
      </c>
      <c r="W5035">
        <v>0.22127479999999999</v>
      </c>
      <c r="X5035">
        <v>0.97493059999999998</v>
      </c>
      <c r="Y5035">
        <v>-7.4313019999999994E-2</v>
      </c>
      <c r="Z5035">
        <v>2.113598E-3</v>
      </c>
      <c r="AA5035">
        <v>0.99723269999999997</v>
      </c>
      <c r="AB5035">
        <v>39</v>
      </c>
      <c r="AC5035">
        <v>36.032400000000003</v>
      </c>
      <c r="AD5035">
        <v>-1.119743081905</v>
      </c>
      <c r="AE5035">
        <v>1.6444799999999999</v>
      </c>
      <c r="AF5035">
        <v>-2.6985017517636298</v>
      </c>
      <c r="AG5035">
        <v>-1.119743081905</v>
      </c>
      <c r="AH5035">
        <v>35.933998159234001</v>
      </c>
      <c r="AI5035">
        <v>91.779813976958906</v>
      </c>
      <c r="AJ5035">
        <v>94.294626447205403</v>
      </c>
      <c r="AK5035">
        <v>36.052572168731302</v>
      </c>
      <c r="AL5035">
        <v>77.2160803563401</v>
      </c>
      <c r="AM5035">
        <v>91.375125848957197</v>
      </c>
      <c r="AN5035">
        <v>0.99999996295711102</v>
      </c>
    </row>
    <row r="5036" spans="1:40" x14ac:dyDescent="0.25">
      <c r="A5036" t="str">
        <f>"20190303170912730"</f>
        <v>20190303170912730</v>
      </c>
      <c r="B5036" t="str">
        <f>"1551604152718638"</f>
        <v>1551604152718638</v>
      </c>
      <c r="C5036" t="s">
        <v>40</v>
      </c>
      <c r="D5036">
        <v>4.8460869999999998</v>
      </c>
      <c r="E5036">
        <v>0.48485210000000001</v>
      </c>
      <c r="F5036" t="s">
        <v>59</v>
      </c>
      <c r="G5036">
        <v>-197.48580000000001</v>
      </c>
      <c r="H5036" s="1">
        <v>-6.8166909999999999E-6</v>
      </c>
      <c r="I5036">
        <v>-61.859070000000003</v>
      </c>
      <c r="J5036">
        <v>-232.61420000000001</v>
      </c>
      <c r="K5036">
        <v>1.1198109999999999</v>
      </c>
      <c r="L5036">
        <v>-63.450960000000002</v>
      </c>
      <c r="M5036">
        <v>0.99953219999999998</v>
      </c>
      <c r="N5036">
        <v>-8.0212069999999903E-3</v>
      </c>
      <c r="O5036">
        <v>-2.9515099999999999E-2</v>
      </c>
      <c r="P5036">
        <v>0.97693569999999996</v>
      </c>
      <c r="Q5036">
        <v>0.21348809999999999</v>
      </c>
      <c r="R5036">
        <v>-4.4385309999999999E-3</v>
      </c>
      <c r="S5036">
        <v>3.0928800000000001</v>
      </c>
      <c r="T5036">
        <v>-9.790683E-2</v>
      </c>
      <c r="U5036">
        <v>0.138549799999999</v>
      </c>
      <c r="V5036">
        <v>-2.4115549999999999E-2</v>
      </c>
      <c r="W5036">
        <v>0.2213464</v>
      </c>
      <c r="X5036">
        <v>0.97489700000000001</v>
      </c>
      <c r="Y5036">
        <v>-7.4163740000000006E-2</v>
      </c>
      <c r="Z5036">
        <v>2.1677469999999998E-3</v>
      </c>
      <c r="AA5036">
        <v>0.99724369999999996</v>
      </c>
      <c r="AB5036">
        <v>39</v>
      </c>
      <c r="AC5036">
        <v>35.128399999999999</v>
      </c>
      <c r="AD5036">
        <v>-1.119817816691</v>
      </c>
      <c r="AE5036">
        <v>1.59188999999999</v>
      </c>
      <c r="AF5036">
        <v>-2.62538552500838</v>
      </c>
      <c r="AG5036">
        <v>-1.119817816691</v>
      </c>
      <c r="AH5036">
        <v>35.030583455245001</v>
      </c>
      <c r="AI5036">
        <v>91.825825744023305</v>
      </c>
      <c r="AJ5036">
        <v>94.2860496796429</v>
      </c>
      <c r="AK5036">
        <v>35.146670088535899</v>
      </c>
      <c r="AL5036">
        <v>77.211873817762907</v>
      </c>
      <c r="AM5036">
        <v>91.417008685752805</v>
      </c>
      <c r="AN5036">
        <v>0.99999997457688095</v>
      </c>
    </row>
    <row r="5037" spans="1:40" x14ac:dyDescent="0.25">
      <c r="A5037" t="str">
        <f>"20190303170912744"</f>
        <v>20190303170912744</v>
      </c>
      <c r="B5037" t="str">
        <f>"1551604152728398"</f>
        <v>1551604152728398</v>
      </c>
      <c r="C5037" t="s">
        <v>40</v>
      </c>
      <c r="D5037">
        <v>4.9446099999999999</v>
      </c>
      <c r="E5037">
        <v>0.48496830000000002</v>
      </c>
      <c r="F5037" t="s">
        <v>59</v>
      </c>
      <c r="G5037">
        <v>-197.44470000000001</v>
      </c>
      <c r="H5037" s="1">
        <v>-6.8342959999999998E-6</v>
      </c>
      <c r="I5037">
        <v>-61.873809999999999</v>
      </c>
      <c r="J5037">
        <v>-232.3578</v>
      </c>
      <c r="K5037">
        <v>1.1198980000000001</v>
      </c>
      <c r="L5037">
        <v>-63.458620000000003</v>
      </c>
      <c r="M5037">
        <v>0.99952909999999995</v>
      </c>
      <c r="N5037">
        <v>-8.0311959999999905E-3</v>
      </c>
      <c r="O5037">
        <v>-2.961424E-2</v>
      </c>
      <c r="P5037">
        <v>0.97669570000000006</v>
      </c>
      <c r="Q5037">
        <v>0.21459439999999999</v>
      </c>
      <c r="R5037">
        <v>-3.850324E-3</v>
      </c>
      <c r="S5037">
        <v>3.0929720000000001</v>
      </c>
      <c r="T5037">
        <v>-9.8482130000000001E-2</v>
      </c>
      <c r="U5037">
        <v>0.138702399999999</v>
      </c>
      <c r="V5037">
        <v>-2.483523E-2</v>
      </c>
      <c r="W5037">
        <v>0.22245619999999999</v>
      </c>
      <c r="X5037">
        <v>0.97462629999999995</v>
      </c>
      <c r="Y5037">
        <v>-7.4309680000000003E-2</v>
      </c>
      <c r="Z5037">
        <v>2.1854000000000001E-3</v>
      </c>
      <c r="AA5037">
        <v>0.99723280000000003</v>
      </c>
      <c r="AB5037">
        <v>39</v>
      </c>
      <c r="AC5037">
        <v>34.913099999999901</v>
      </c>
      <c r="AD5037">
        <v>-1.1199048342960001</v>
      </c>
      <c r="AE5037">
        <v>1.5848099999999901</v>
      </c>
      <c r="AF5037">
        <v>-2.6153876532976699</v>
      </c>
      <c r="AG5037">
        <v>-1.1199048342960001</v>
      </c>
      <c r="AH5037">
        <v>34.815103134382198</v>
      </c>
      <c r="AI5037">
        <v>91.837237020084999</v>
      </c>
      <c r="AJ5037">
        <v>94.296116485082393</v>
      </c>
      <c r="AK5037">
        <v>34.931158664902199</v>
      </c>
      <c r="AL5037">
        <v>77.146661311395505</v>
      </c>
      <c r="AM5037">
        <v>91.459683570088202</v>
      </c>
      <c r="AN5037">
        <v>0.999999987109641</v>
      </c>
    </row>
    <row r="5038" spans="1:40" x14ac:dyDescent="0.25">
      <c r="A5038" t="str">
        <f>"20190303170912756"</f>
        <v>20190303170912756</v>
      </c>
      <c r="B5038" t="str">
        <f>"1551604152748895"</f>
        <v>1551604152748895</v>
      </c>
      <c r="C5038" t="s">
        <v>40</v>
      </c>
      <c r="D5038">
        <v>4.8502409999999996</v>
      </c>
      <c r="E5038">
        <v>0.48519830000000003</v>
      </c>
      <c r="F5038" t="s">
        <v>59</v>
      </c>
      <c r="G5038">
        <v>-195.98339999999999</v>
      </c>
      <c r="H5038" s="1">
        <v>-7.4262080000000004E-6</v>
      </c>
      <c r="I5038">
        <v>-61.817419999999998</v>
      </c>
      <c r="J5038">
        <v>-232.1437</v>
      </c>
      <c r="K5038">
        <v>1.1199699999999999</v>
      </c>
      <c r="L5038">
        <v>-63.464970000000001</v>
      </c>
      <c r="M5038">
        <v>0.99952810000000003</v>
      </c>
      <c r="N5038">
        <v>-8.0407829999999993E-3</v>
      </c>
      <c r="O5038">
        <v>-2.9651199999999999E-2</v>
      </c>
      <c r="P5038">
        <v>0.97658310000000004</v>
      </c>
      <c r="Q5038">
        <v>0.21511140000000001</v>
      </c>
      <c r="R5038">
        <v>-3.561294E-3</v>
      </c>
      <c r="S5038">
        <v>3.093048</v>
      </c>
      <c r="T5038">
        <v>-9.5229629999999996E-2</v>
      </c>
      <c r="U5038">
        <v>0.13955689999999901</v>
      </c>
      <c r="V5038">
        <v>-2.519418E-2</v>
      </c>
      <c r="W5038">
        <v>0.22297729999999999</v>
      </c>
      <c r="X5038">
        <v>0.97449799999999998</v>
      </c>
      <c r="Y5038">
        <v>-7.4623690000000006E-2</v>
      </c>
      <c r="Z5038">
        <v>2.1222099999999998E-3</v>
      </c>
      <c r="AA5038">
        <v>0.99720949999999997</v>
      </c>
      <c r="AB5038">
        <v>39</v>
      </c>
      <c r="AC5038">
        <v>36.160299999999999</v>
      </c>
      <c r="AD5038">
        <v>-1.119977426208</v>
      </c>
      <c r="AE5038">
        <v>1.6475499999999901</v>
      </c>
      <c r="AF5038">
        <v>-2.7164558434089798</v>
      </c>
      <c r="AG5038">
        <v>-1.119977426208</v>
      </c>
      <c r="AH5038">
        <v>36.061024440445799</v>
      </c>
      <c r="AI5038">
        <v>91.773888527254201</v>
      </c>
      <c r="AJ5038">
        <v>94.307921332817997</v>
      </c>
      <c r="AK5038">
        <v>36.180532962890901</v>
      </c>
      <c r="AL5038">
        <v>77.116035256458005</v>
      </c>
      <c r="AM5038">
        <v>91.480966295830498</v>
      </c>
      <c r="AN5038">
        <v>0.99999998751258101</v>
      </c>
    </row>
    <row r="5039" spans="1:40" x14ac:dyDescent="0.25">
      <c r="A5039" t="str">
        <f>"20190303170912767"</f>
        <v>20190303170912767</v>
      </c>
      <c r="B5039" t="str">
        <f>"1551604152758655"</f>
        <v>1551604152758655</v>
      </c>
      <c r="C5039" t="s">
        <v>40</v>
      </c>
      <c r="D5039">
        <v>4.893891</v>
      </c>
      <c r="E5039">
        <v>0.48530099999999998</v>
      </c>
      <c r="F5039" t="s">
        <v>59</v>
      </c>
      <c r="G5039">
        <v>-195.63040000000001</v>
      </c>
      <c r="H5039" s="1">
        <v>-7.5702529999999999E-6</v>
      </c>
      <c r="I5039">
        <v>-61.821980000000003</v>
      </c>
      <c r="J5039">
        <v>-231.94120000000001</v>
      </c>
      <c r="K5039">
        <v>1.120039</v>
      </c>
      <c r="L5039">
        <v>-63.470979999999997</v>
      </c>
      <c r="M5039">
        <v>0.99952770000000002</v>
      </c>
      <c r="N5039">
        <v>-8.0505049999999995E-3</v>
      </c>
      <c r="O5039">
        <v>-2.9661739999999999E-2</v>
      </c>
      <c r="P5039">
        <v>0.97660000000000002</v>
      </c>
      <c r="Q5039">
        <v>0.2150398</v>
      </c>
      <c r="R5039">
        <v>-3.2488180000000001E-3</v>
      </c>
      <c r="S5039">
        <v>3.0933380000000001</v>
      </c>
      <c r="T5039">
        <v>-9.4882369999999994E-2</v>
      </c>
      <c r="U5039">
        <v>0.1391907</v>
      </c>
      <c r="V5039">
        <v>-2.555284E-2</v>
      </c>
      <c r="W5039">
        <v>0.22291140000000001</v>
      </c>
      <c r="X5039">
        <v>0.97450380000000003</v>
      </c>
      <c r="Y5039">
        <v>-7.4512610000000007E-2</v>
      </c>
      <c r="Z5039">
        <v>2.1126750000000001E-3</v>
      </c>
      <c r="AA5039">
        <v>0.99721780000000004</v>
      </c>
      <c r="AB5039">
        <v>39</v>
      </c>
      <c r="AC5039">
        <v>36.3108</v>
      </c>
      <c r="AD5039">
        <v>-1.120046570253</v>
      </c>
      <c r="AE5039">
        <v>1.649</v>
      </c>
      <c r="AF5039">
        <v>-2.7227653293050502</v>
      </c>
      <c r="AG5039">
        <v>-1.120046570253</v>
      </c>
      <c r="AH5039">
        <v>36.2115245051627</v>
      </c>
      <c r="AI5039">
        <v>91.766648018843597</v>
      </c>
      <c r="AJ5039">
        <v>94.300011209665598</v>
      </c>
      <c r="AK5039">
        <v>36.331012404638599</v>
      </c>
      <c r="AL5039">
        <v>77.119909327344601</v>
      </c>
      <c r="AM5039">
        <v>91.502030550431797</v>
      </c>
      <c r="AN5039">
        <v>1.0000000480482301</v>
      </c>
    </row>
    <row r="5040" spans="1:40" x14ac:dyDescent="0.25">
      <c r="A5040" t="str">
        <f>"20190303170912782"</f>
        <v>20190303170912782</v>
      </c>
      <c r="B5040" t="str">
        <f>"1551604152768415"</f>
        <v>1551604152768415</v>
      </c>
      <c r="C5040" t="s">
        <v>40</v>
      </c>
      <c r="D5040">
        <v>4.8695969999999997</v>
      </c>
      <c r="E5040">
        <v>0.48536649999999998</v>
      </c>
      <c r="F5040" t="s">
        <v>59</v>
      </c>
      <c r="G5040">
        <v>-195.82859999999999</v>
      </c>
      <c r="H5040" s="1">
        <v>-7.4904789999999997E-6</v>
      </c>
      <c r="I5040">
        <v>-61.8386</v>
      </c>
      <c r="J5040">
        <v>-231.7122</v>
      </c>
      <c r="K5040">
        <v>1.1201129999999999</v>
      </c>
      <c r="L5040">
        <v>-63.47775</v>
      </c>
      <c r="M5040">
        <v>0.99952920000000001</v>
      </c>
      <c r="N5040">
        <v>-8.0633409999999999E-3</v>
      </c>
      <c r="O5040">
        <v>-2.9603549999999999E-2</v>
      </c>
      <c r="P5040">
        <v>0.97665259999999998</v>
      </c>
      <c r="Q5040">
        <v>0.21480930000000001</v>
      </c>
      <c r="R5040">
        <v>-2.646111E-3</v>
      </c>
      <c r="S5040">
        <v>3.0934599999999999</v>
      </c>
      <c r="T5040">
        <v>-9.5944879999999996E-2</v>
      </c>
      <c r="U5040">
        <v>0.1398315</v>
      </c>
      <c r="V5040">
        <v>-2.6140150000000001E-2</v>
      </c>
      <c r="W5040">
        <v>0.22268959999999999</v>
      </c>
      <c r="X5040">
        <v>0.97453889999999999</v>
      </c>
      <c r="Y5040">
        <v>-7.4657780000000007E-2</v>
      </c>
      <c r="Z5040">
        <v>2.1371469999999998E-3</v>
      </c>
      <c r="AA5040">
        <v>0.99720690000000001</v>
      </c>
      <c r="AB5040">
        <v>39</v>
      </c>
      <c r="AC5040">
        <v>35.883600000000001</v>
      </c>
      <c r="AD5040">
        <v>-1.1201204904790001</v>
      </c>
      <c r="AE5040">
        <v>1.6391500000000001</v>
      </c>
      <c r="AF5040">
        <v>-2.6981244425389699</v>
      </c>
      <c r="AG5040">
        <v>-1.1201204904790001</v>
      </c>
      <c r="AH5040">
        <v>35.784549761382998</v>
      </c>
      <c r="AI5040">
        <v>91.787803752219801</v>
      </c>
      <c r="AJ5040">
        <v>94.311894032409697</v>
      </c>
      <c r="AK5040">
        <v>35.9036007532046</v>
      </c>
      <c r="AL5040">
        <v>77.132944786643904</v>
      </c>
      <c r="AM5040">
        <v>91.536481748783999</v>
      </c>
      <c r="AN5040">
        <v>1.00000001650169</v>
      </c>
    </row>
    <row r="5041" spans="1:40" x14ac:dyDescent="0.25">
      <c r="A5041" t="str">
        <f>"20190303170912794"</f>
        <v>20190303170912794</v>
      </c>
      <c r="B5041" t="str">
        <f>"1551604152788911"</f>
        <v>1551604152788911</v>
      </c>
      <c r="C5041" t="s">
        <v>40</v>
      </c>
      <c r="D5041">
        <v>4.8834780000000002</v>
      </c>
      <c r="E5041">
        <v>0.48548750000000002</v>
      </c>
      <c r="F5041" t="s">
        <v>59</v>
      </c>
      <c r="G5041">
        <v>-195.99469999999999</v>
      </c>
      <c r="H5041" s="1">
        <v>-7.4233959999999998E-6</v>
      </c>
      <c r="I5041">
        <v>-61.848080000000003</v>
      </c>
      <c r="J5041">
        <v>-231.49160000000001</v>
      </c>
      <c r="K5041">
        <v>1.1201810000000001</v>
      </c>
      <c r="L5041">
        <v>-63.484219999999901</v>
      </c>
      <c r="M5041">
        <v>0.99953159999999996</v>
      </c>
      <c r="N5041">
        <v>-8.07689199999999E-3</v>
      </c>
      <c r="O5041">
        <v>-2.9521100000000002E-2</v>
      </c>
      <c r="P5041">
        <v>0.97673390000000004</v>
      </c>
      <c r="Q5041">
        <v>0.2144472</v>
      </c>
      <c r="R5041">
        <v>-1.9315459999999999E-3</v>
      </c>
      <c r="S5041">
        <v>3.093445</v>
      </c>
      <c r="T5041">
        <v>-9.7012039999999994E-2</v>
      </c>
      <c r="U5041">
        <v>0.14114380000000001</v>
      </c>
      <c r="V5041">
        <v>-2.6814319999999999E-2</v>
      </c>
      <c r="W5041">
        <v>0.22233720000000001</v>
      </c>
      <c r="X5041">
        <v>0.97460100000000005</v>
      </c>
      <c r="Y5041">
        <v>-7.4996560000000004E-2</v>
      </c>
      <c r="Z5041">
        <v>2.1650739999999999E-3</v>
      </c>
      <c r="AA5041">
        <v>0.9971814</v>
      </c>
      <c r="AB5041">
        <v>39</v>
      </c>
      <c r="AC5041">
        <v>35.496899999999997</v>
      </c>
      <c r="AD5041">
        <v>-1.12018842339599</v>
      </c>
      <c r="AE5041">
        <v>1.6361399999999899</v>
      </c>
      <c r="AF5041">
        <v>-2.68070452657803</v>
      </c>
      <c r="AG5041">
        <v>-1.12018842339599</v>
      </c>
      <c r="AH5041">
        <v>35.397948793002797</v>
      </c>
      <c r="AI5041">
        <v>91.8073810541472</v>
      </c>
      <c r="AJ5041">
        <v>94.330771772358901</v>
      </c>
      <c r="AK5041">
        <v>35.5169787230667</v>
      </c>
      <c r="AL5041">
        <v>77.153654473770601</v>
      </c>
      <c r="AM5041">
        <v>91.575988414872896</v>
      </c>
      <c r="AN5041">
        <v>0.99999997373095095</v>
      </c>
    </row>
    <row r="5042" spans="1:40" x14ac:dyDescent="0.25">
      <c r="A5042" t="str">
        <f>"20190303170912805"</f>
        <v>20190303170912805</v>
      </c>
      <c r="B5042" t="str">
        <f>"1551604152798670"</f>
        <v>1551604152798670</v>
      </c>
      <c r="C5042" t="s">
        <v>40</v>
      </c>
      <c r="D5042">
        <v>4.7178259999999996</v>
      </c>
      <c r="E5042">
        <v>0.4855506</v>
      </c>
      <c r="F5042" t="s">
        <v>59</v>
      </c>
      <c r="G5042">
        <v>-196.3348</v>
      </c>
      <c r="H5042" s="1">
        <v>-7.2859669999999999E-6</v>
      </c>
      <c r="I5042">
        <v>-61.866909999999997</v>
      </c>
      <c r="J5042">
        <v>-231.29089999999999</v>
      </c>
      <c r="K5042">
        <v>1.120241</v>
      </c>
      <c r="L5042">
        <v>-63.490079999999999</v>
      </c>
      <c r="M5042">
        <v>0.99953460000000005</v>
      </c>
      <c r="N5042">
        <v>-8.0907059999999996E-3</v>
      </c>
      <c r="O5042">
        <v>-2.941467E-2</v>
      </c>
      <c r="P5042">
        <v>0.9767846</v>
      </c>
      <c r="Q5042">
        <v>0.21422040000000001</v>
      </c>
      <c r="R5042">
        <v>-1.28107E-3</v>
      </c>
      <c r="S5042">
        <v>3.093369</v>
      </c>
      <c r="T5042">
        <v>-9.8562720000000006E-2</v>
      </c>
      <c r="U5042">
        <v>0.1423035</v>
      </c>
      <c r="V5042">
        <v>-2.739521E-2</v>
      </c>
      <c r="W5042">
        <v>0.22212009999999999</v>
      </c>
      <c r="X5042">
        <v>0.97463429999999995</v>
      </c>
      <c r="Y5042">
        <v>-7.5262720000000005E-2</v>
      </c>
      <c r="Z5042">
        <v>2.2015699999999999E-3</v>
      </c>
      <c r="AA5042">
        <v>0.99716130000000003</v>
      </c>
      <c r="AB5042">
        <v>39</v>
      </c>
      <c r="AC5042">
        <v>34.9560999999999</v>
      </c>
      <c r="AD5042">
        <v>-1.120248285967</v>
      </c>
      <c r="AE5042">
        <v>1.62317</v>
      </c>
      <c r="AF5042">
        <v>-2.6480096195699101</v>
      </c>
      <c r="AG5042">
        <v>-1.120248285967</v>
      </c>
      <c r="AH5042">
        <v>34.857504123405803</v>
      </c>
      <c r="AI5042">
        <v>91.835449735191801</v>
      </c>
      <c r="AJ5042">
        <v>94.344227457219603</v>
      </c>
      <c r="AK5042">
        <v>34.975884618988601</v>
      </c>
      <c r="AL5042">
        <v>77.166411802501301</v>
      </c>
      <c r="AM5042">
        <v>91.610056956665701</v>
      </c>
      <c r="AN5042">
        <v>0.99999992754571898</v>
      </c>
    </row>
    <row r="5043" spans="1:40" x14ac:dyDescent="0.25">
      <c r="A5043" t="str">
        <f>"20190303170912817"</f>
        <v>20190303170912817</v>
      </c>
      <c r="B5043" t="str">
        <f>"1551604152808431"</f>
        <v>1551604152808431</v>
      </c>
      <c r="C5043" t="s">
        <v>40</v>
      </c>
      <c r="D5043">
        <v>4.9289759999999996</v>
      </c>
      <c r="E5043">
        <v>0.48560819999999999</v>
      </c>
      <c r="F5043" t="s">
        <v>59</v>
      </c>
      <c r="G5043">
        <v>-196.46979999999999</v>
      </c>
      <c r="H5043" s="1">
        <v>-7.2314750000000001E-6</v>
      </c>
      <c r="I5043">
        <v>-61.875140000000002</v>
      </c>
      <c r="J5043">
        <v>-231.09</v>
      </c>
      <c r="K5043">
        <v>1.120298</v>
      </c>
      <c r="L5043">
        <v>-63.495939999999997</v>
      </c>
      <c r="M5043">
        <v>0.99953840000000005</v>
      </c>
      <c r="N5043">
        <v>-8.1056340000000004E-3</v>
      </c>
      <c r="O5043">
        <v>-2.9280649999999998E-2</v>
      </c>
      <c r="P5043">
        <v>0.97677590000000003</v>
      </c>
      <c r="Q5043">
        <v>0.2142627</v>
      </c>
      <c r="R5043">
        <v>-6.7471339999999999E-4</v>
      </c>
      <c r="S5043">
        <v>3.0933380000000001</v>
      </c>
      <c r="T5043">
        <v>-9.9517350000000004E-2</v>
      </c>
      <c r="U5043">
        <v>0.14346310000000001</v>
      </c>
      <c r="V5043">
        <v>-2.790051E-2</v>
      </c>
      <c r="W5043">
        <v>0.22217310000000001</v>
      </c>
      <c r="X5043">
        <v>0.97460789999999997</v>
      </c>
      <c r="Y5043">
        <v>-7.5501319999999997E-2</v>
      </c>
      <c r="Z5043">
        <v>2.2239489999999998E-3</v>
      </c>
      <c r="AA5043">
        <v>0.99714320000000001</v>
      </c>
      <c r="AB5043">
        <v>39</v>
      </c>
      <c r="AC5043">
        <v>34.620199999999997</v>
      </c>
      <c r="AD5043">
        <v>-1.1203052314749999</v>
      </c>
      <c r="AE5043">
        <v>1.6208</v>
      </c>
      <c r="AF5043">
        <v>-2.63109107816455</v>
      </c>
      <c r="AG5043">
        <v>-1.1203052314749999</v>
      </c>
      <c r="AH5043">
        <v>34.521824423455001</v>
      </c>
      <c r="AI5043">
        <v>91.853344013374695</v>
      </c>
      <c r="AJ5043">
        <v>94.358388884662105</v>
      </c>
      <c r="AK5043">
        <v>34.6400647458563</v>
      </c>
      <c r="AL5043">
        <v>77.163297490730997</v>
      </c>
      <c r="AM5043">
        <v>91.639782510627697</v>
      </c>
      <c r="AN5043">
        <v>0.99999994178213802</v>
      </c>
    </row>
    <row r="5044" spans="1:40" x14ac:dyDescent="0.25">
      <c r="A5044" t="str">
        <f>"20190303170912833"</f>
        <v>20190303170912833</v>
      </c>
      <c r="B5044" t="str">
        <f>"1551604152828927"</f>
        <v>1551604152828927</v>
      </c>
      <c r="C5044" t="s">
        <v>40</v>
      </c>
      <c r="D5044">
        <v>4.7730969999999999</v>
      </c>
      <c r="E5044">
        <v>0.4856452</v>
      </c>
      <c r="F5044" t="s">
        <v>59</v>
      </c>
      <c r="G5044">
        <v>-196.33690000000001</v>
      </c>
      <c r="H5044" s="1">
        <v>-7.28537699999999E-6</v>
      </c>
      <c r="I5044">
        <v>-61.871789999999997</v>
      </c>
      <c r="J5044">
        <v>-230.78989999999999</v>
      </c>
      <c r="K5044">
        <v>1.1203809999999901</v>
      </c>
      <c r="L5044">
        <v>-63.504579999999997</v>
      </c>
      <c r="M5044">
        <v>0.99954489999999996</v>
      </c>
      <c r="N5044">
        <v>-8.1296189999999994E-3</v>
      </c>
      <c r="O5044">
        <v>-2.9049439999999999E-2</v>
      </c>
      <c r="P5044">
        <v>0.97659059999999998</v>
      </c>
      <c r="Q5044">
        <v>0.21510599999999999</v>
      </c>
      <c r="R5044" s="1">
        <v>9.9567699999999999E-5</v>
      </c>
      <c r="S5044">
        <v>3.0932919999999999</v>
      </c>
      <c r="T5044">
        <v>-9.9715830000000005E-2</v>
      </c>
      <c r="U5044">
        <v>0.14456179999999999</v>
      </c>
      <c r="V5044">
        <v>-2.848496E-2</v>
      </c>
      <c r="W5044">
        <v>0.22303310000000001</v>
      </c>
      <c r="X5044">
        <v>0.9743946</v>
      </c>
      <c r="Y5044">
        <v>-7.5624490000000003E-2</v>
      </c>
      <c r="Z5044">
        <v>2.2253860000000002E-3</v>
      </c>
      <c r="AA5044">
        <v>0.99713390000000002</v>
      </c>
      <c r="AB5044">
        <v>39</v>
      </c>
      <c r="AC5044">
        <v>34.452999999999903</v>
      </c>
      <c r="AD5044">
        <v>-1.12038828537699</v>
      </c>
      <c r="AE5044">
        <v>1.63279</v>
      </c>
      <c r="AF5044">
        <v>-2.63019910554948</v>
      </c>
      <c r="AG5044">
        <v>-1.12038828537699</v>
      </c>
      <c r="AH5044">
        <v>34.3547768569439</v>
      </c>
      <c r="AI5044">
        <v>91.862438688180006</v>
      </c>
      <c r="AJ5044">
        <v>94.378020047095404</v>
      </c>
      <c r="AK5044">
        <v>34.473524770978301</v>
      </c>
      <c r="AL5044">
        <v>77.112755678969606</v>
      </c>
      <c r="AM5044">
        <v>91.674479010427603</v>
      </c>
      <c r="AN5044">
        <v>0.999999996575485</v>
      </c>
    </row>
    <row r="5045" spans="1:40" x14ac:dyDescent="0.25">
      <c r="A5045" t="str">
        <f>"20190303170912845"</f>
        <v>20190303170912845</v>
      </c>
      <c r="B5045" t="str">
        <f>"1551604152838687"</f>
        <v>1551604152838687</v>
      </c>
      <c r="C5045" t="s">
        <v>40</v>
      </c>
      <c r="D5045">
        <v>4.9739699999999996</v>
      </c>
      <c r="E5045">
        <v>0.48555199999999998</v>
      </c>
      <c r="F5045" t="s">
        <v>59</v>
      </c>
      <c r="G5045">
        <v>-195.12010000000001</v>
      </c>
      <c r="H5045" s="1">
        <v>-7.7774169999999993E-6</v>
      </c>
      <c r="I5045">
        <v>-61.810139999999997</v>
      </c>
      <c r="J5045">
        <v>-230.58959999999999</v>
      </c>
      <c r="K5045">
        <v>1.1204339999999999</v>
      </c>
      <c r="L5045">
        <v>-63.510280000000002</v>
      </c>
      <c r="M5045">
        <v>0.99954989999999999</v>
      </c>
      <c r="N5045">
        <v>-8.1471949999999994E-3</v>
      </c>
      <c r="O5045">
        <v>-2.8874549999999999E-2</v>
      </c>
      <c r="P5045">
        <v>0.97654490000000005</v>
      </c>
      <c r="Q5045">
        <v>0.21531439999999999</v>
      </c>
      <c r="R5045">
        <v>3.3174080000000002E-4</v>
      </c>
      <c r="S5045">
        <v>3.0932919999999999</v>
      </c>
      <c r="T5045">
        <v>-9.7160339999999998E-2</v>
      </c>
      <c r="U5045">
        <v>0.14694209999999999</v>
      </c>
      <c r="V5045">
        <v>-2.8568969999999999E-2</v>
      </c>
      <c r="W5045">
        <v>0.2232548</v>
      </c>
      <c r="X5045">
        <v>0.97434129999999997</v>
      </c>
      <c r="Y5045">
        <v>-7.6218110000000006E-2</v>
      </c>
      <c r="Z5045">
        <v>2.178012E-3</v>
      </c>
      <c r="AA5045">
        <v>0.9970888</v>
      </c>
      <c r="AB5045">
        <v>39</v>
      </c>
      <c r="AC5045">
        <v>35.469499999999897</v>
      </c>
      <c r="AD5045">
        <v>-1.1204417774169999</v>
      </c>
      <c r="AE5045">
        <v>1.70013999999999</v>
      </c>
      <c r="AF5045">
        <v>-2.7209219822779702</v>
      </c>
      <c r="AG5045">
        <v>-1.1204417774169999</v>
      </c>
      <c r="AH5045">
        <v>35.370403656121702</v>
      </c>
      <c r="AI5045">
        <v>91.809032374954398</v>
      </c>
      <c r="AJ5045">
        <v>94.398901336265197</v>
      </c>
      <c r="AK5045">
        <v>35.492594453029398</v>
      </c>
      <c r="AL5045">
        <v>77.099723763963695</v>
      </c>
      <c r="AM5045">
        <v>91.679506504138203</v>
      </c>
      <c r="AN5045">
        <v>0.999999930327793</v>
      </c>
    </row>
    <row r="5046" spans="1:40" x14ac:dyDescent="0.25">
      <c r="A5046" t="str">
        <f>"20190303170912856"</f>
        <v>20190303170912856</v>
      </c>
      <c r="B5046" t="str">
        <f>"1551604152848447"</f>
        <v>1551604152848447</v>
      </c>
      <c r="C5046" t="s">
        <v>40</v>
      </c>
      <c r="D5046">
        <v>5.0601099999999999</v>
      </c>
      <c r="E5046">
        <v>0.48555199999999998</v>
      </c>
      <c r="F5046" t="s">
        <v>59</v>
      </c>
      <c r="G5046">
        <v>-194.89789999999999</v>
      </c>
      <c r="H5046" s="1">
        <v>-7.8669150000000002E-6</v>
      </c>
      <c r="I5046">
        <v>-61.792679999999997</v>
      </c>
      <c r="J5046">
        <v>-230.4025</v>
      </c>
      <c r="K5046">
        <v>1.120474</v>
      </c>
      <c r="L5046">
        <v>-63.515590000000003</v>
      </c>
      <c r="M5046">
        <v>0.99955479999999997</v>
      </c>
      <c r="N5046">
        <v>-8.1645299999999997E-3</v>
      </c>
      <c r="O5046">
        <v>-2.8698540000000002E-2</v>
      </c>
      <c r="P5046">
        <v>0.97654129999999995</v>
      </c>
      <c r="Q5046">
        <v>0.2153293</v>
      </c>
      <c r="R5046">
        <v>5.6149620000000005E-4</v>
      </c>
      <c r="S5046">
        <v>3.0933989999999998</v>
      </c>
      <c r="T5046">
        <v>-9.7108600000000003E-2</v>
      </c>
      <c r="U5046">
        <v>0.14886469999999999</v>
      </c>
      <c r="V5046">
        <v>-2.8646830000000002E-2</v>
      </c>
      <c r="W5046">
        <v>0.22328410000000001</v>
      </c>
      <c r="X5046">
        <v>0.97433239999999999</v>
      </c>
      <c r="Y5046">
        <v>-7.6659030000000003E-2</v>
      </c>
      <c r="Z5046">
        <v>2.1815929999999999E-3</v>
      </c>
      <c r="AA5046">
        <v>0.99705500000000002</v>
      </c>
      <c r="AB5046">
        <v>39</v>
      </c>
      <c r="AC5046">
        <v>35.504600000000003</v>
      </c>
      <c r="AD5046">
        <v>-1.1204818669149901</v>
      </c>
      <c r="AE5046">
        <v>1.7229099999999899</v>
      </c>
      <c r="AF5046">
        <v>-2.7384434565151201</v>
      </c>
      <c r="AG5046">
        <v>-1.1204818669149901</v>
      </c>
      <c r="AH5046">
        <v>35.405349111123698</v>
      </c>
      <c r="AI5046">
        <v>91.807254624959995</v>
      </c>
      <c r="AJ5046">
        <v>94.422763699434498</v>
      </c>
      <c r="AK5046">
        <v>35.5287671874379</v>
      </c>
      <c r="AL5046">
        <v>77.098002803622904</v>
      </c>
      <c r="AM5046">
        <v>91.684096463251805</v>
      </c>
      <c r="AN5046">
        <v>1.0000000279357999</v>
      </c>
    </row>
    <row r="5047" spans="1:40" x14ac:dyDescent="0.25">
      <c r="A5047" t="str">
        <f>"20190303170912866"</f>
        <v>20190303170912866</v>
      </c>
      <c r="B5047" t="str">
        <f>"1551604152859183"</f>
        <v>1551604152859183</v>
      </c>
      <c r="C5047" t="s">
        <v>40</v>
      </c>
      <c r="D5047">
        <v>5.0298509999999998</v>
      </c>
      <c r="E5047">
        <v>0.45397670000000001</v>
      </c>
      <c r="F5047" t="s">
        <v>59</v>
      </c>
      <c r="G5047">
        <v>-194.68270000000001</v>
      </c>
      <c r="H5047" s="1">
        <v>-7.9542499999999993E-6</v>
      </c>
      <c r="I5047">
        <v>-61.787480000000002</v>
      </c>
      <c r="J5047">
        <v>-230.1935</v>
      </c>
      <c r="K5047">
        <v>1.120512</v>
      </c>
      <c r="L5047">
        <v>-63.521450000000002</v>
      </c>
      <c r="M5047">
        <v>0.99956049999999996</v>
      </c>
      <c r="N5047">
        <v>-8.1844190000000001E-3</v>
      </c>
      <c r="O5047">
        <v>-2.8494889999999998E-2</v>
      </c>
      <c r="P5047">
        <v>0.97656149999999997</v>
      </c>
      <c r="Q5047">
        <v>0.21523610000000001</v>
      </c>
      <c r="R5047">
        <v>1.038956E-3</v>
      </c>
      <c r="S5047">
        <v>3.0933989999999998</v>
      </c>
      <c r="T5047">
        <v>-9.7035769999999993E-2</v>
      </c>
      <c r="U5047">
        <v>0.14965819999999999</v>
      </c>
      <c r="V5047">
        <v>-2.894654E-2</v>
      </c>
      <c r="W5047">
        <v>0.2232074</v>
      </c>
      <c r="X5047">
        <v>0.97434109999999996</v>
      </c>
      <c r="Y5047">
        <v>-7.6711119999999994E-2</v>
      </c>
      <c r="Z5047">
        <v>2.1765130000000001E-3</v>
      </c>
      <c r="AA5047">
        <v>0.99705100000000002</v>
      </c>
      <c r="AB5047">
        <v>39</v>
      </c>
      <c r="AC5047">
        <v>35.510799999999897</v>
      </c>
      <c r="AD5047">
        <v>-1.1205199542499999</v>
      </c>
      <c r="AE5047">
        <v>1.73396999999999</v>
      </c>
      <c r="AF5047">
        <v>-2.74245191644866</v>
      </c>
      <c r="AG5047">
        <v>-1.1205199542499999</v>
      </c>
      <c r="AH5047">
        <v>35.4117936949106</v>
      </c>
      <c r="AI5047">
        <v>91.806973551029202</v>
      </c>
      <c r="AJ5047">
        <v>94.428409015112507</v>
      </c>
      <c r="AK5047">
        <v>35.535499717505203</v>
      </c>
      <c r="AL5047">
        <v>77.102510966878199</v>
      </c>
      <c r="AM5047">
        <v>91.701690392098499</v>
      </c>
      <c r="AN5047">
        <v>1.00000001237097</v>
      </c>
    </row>
    <row r="5048" spans="1:40" x14ac:dyDescent="0.25">
      <c r="A5048" t="str">
        <f>"20190303170912878"</f>
        <v>20190303170912878</v>
      </c>
      <c r="B5048" t="str">
        <f>"1551604152868943"</f>
        <v>1551604152868943</v>
      </c>
      <c r="C5048" t="s">
        <v>40</v>
      </c>
      <c r="D5048">
        <v>5.0382129999999998</v>
      </c>
      <c r="E5048">
        <v>0.44814399999999999</v>
      </c>
      <c r="F5048" t="s">
        <v>59</v>
      </c>
      <c r="G5048">
        <v>-186.9091</v>
      </c>
      <c r="H5048" s="1">
        <v>-1.2778440000000001E-5</v>
      </c>
      <c r="I5048">
        <v>-57.880580000000002</v>
      </c>
      <c r="J5048">
        <v>-230.0018</v>
      </c>
      <c r="K5048">
        <v>1.1205400000000001</v>
      </c>
      <c r="L5048">
        <v>-63.526789999999998</v>
      </c>
      <c r="M5048">
        <v>0.99956599999999995</v>
      </c>
      <c r="N5048">
        <v>-8.2059419999999904E-3</v>
      </c>
      <c r="O5048">
        <v>-2.8296450000000001E-2</v>
      </c>
      <c r="P5048">
        <v>0.97660829999999998</v>
      </c>
      <c r="Q5048">
        <v>0.21502189999999999</v>
      </c>
      <c r="R5048">
        <v>1.425106E-3</v>
      </c>
      <c r="S5048">
        <v>3.089188</v>
      </c>
      <c r="T5048">
        <v>-7.9971550000000002E-2</v>
      </c>
      <c r="U5048">
        <v>0.4025879</v>
      </c>
      <c r="V5048">
        <v>-2.9156020000000001E-2</v>
      </c>
      <c r="W5048">
        <v>0.22301270000000001</v>
      </c>
      <c r="X5048">
        <v>0.97437940000000001</v>
      </c>
      <c r="Y5048">
        <v>-0.15716440000000001</v>
      </c>
      <c r="Z5048">
        <v>3.1715770000000001E-3</v>
      </c>
      <c r="AA5048">
        <v>0.98756739999999998</v>
      </c>
      <c r="AB5048">
        <v>39</v>
      </c>
      <c r="AC5048">
        <v>43.092700000000001</v>
      </c>
      <c r="AD5048">
        <v>-1.12055277843999</v>
      </c>
      <c r="AE5048">
        <v>5.64621</v>
      </c>
      <c r="AF5048">
        <v>-6.8588008676591903</v>
      </c>
      <c r="AG5048">
        <v>-1.12055277843999</v>
      </c>
      <c r="AH5048">
        <v>42.887160737565502</v>
      </c>
      <c r="AI5048">
        <v>91.477907593745201</v>
      </c>
      <c r="AJ5048">
        <v>99.086180332936493</v>
      </c>
      <c r="AK5048">
        <v>43.4466033655251</v>
      </c>
      <c r="AL5048">
        <v>77.113954449597799</v>
      </c>
      <c r="AM5048">
        <v>91.713930514897896</v>
      </c>
      <c r="AN5048">
        <v>0.99999997650394501</v>
      </c>
    </row>
    <row r="5049" spans="1:40" x14ac:dyDescent="0.25">
      <c r="A5049" t="str">
        <f>"20190303170912893"</f>
        <v>20190303170912893</v>
      </c>
      <c r="B5049" t="str">
        <f>"1551604152888463"</f>
        <v>1551604152888463</v>
      </c>
      <c r="C5049" t="s">
        <v>40</v>
      </c>
      <c r="D5049">
        <v>5.0371629999999996</v>
      </c>
      <c r="E5049">
        <v>0.44329770000000002</v>
      </c>
      <c r="F5049" t="s">
        <v>59</v>
      </c>
      <c r="G5049">
        <v>-180.43799999999999</v>
      </c>
      <c r="H5049" s="1">
        <v>-1.3603590000000001E-5</v>
      </c>
      <c r="I5049">
        <v>-56.305919999999901</v>
      </c>
      <c r="J5049">
        <v>-229.78049999999999</v>
      </c>
      <c r="K5049">
        <v>1.120573</v>
      </c>
      <c r="L5049">
        <v>-63.53293</v>
      </c>
      <c r="M5049">
        <v>0.99957229999999997</v>
      </c>
      <c r="N5049">
        <v>-8.2325079999999995E-3</v>
      </c>
      <c r="O5049">
        <v>-2.8064039999999998E-2</v>
      </c>
      <c r="P5049">
        <v>0.97678739999999997</v>
      </c>
      <c r="Q5049">
        <v>0.2142037</v>
      </c>
      <c r="R5049">
        <v>1.83282E-3</v>
      </c>
      <c r="S5049">
        <v>3.0865629999999999</v>
      </c>
      <c r="T5049">
        <v>-6.978202E-2</v>
      </c>
      <c r="U5049">
        <v>0.44967649999999998</v>
      </c>
      <c r="V5049">
        <v>-2.935801E-2</v>
      </c>
      <c r="W5049">
        <v>0.2222191</v>
      </c>
      <c r="X5049">
        <v>0.9745547</v>
      </c>
      <c r="Y5049">
        <v>-0.17181969999999999</v>
      </c>
      <c r="Z5049">
        <v>3.0445509999999999E-3</v>
      </c>
      <c r="AA5049">
        <v>0.98512370000000005</v>
      </c>
      <c r="AB5049">
        <v>39</v>
      </c>
      <c r="AC5049">
        <v>49.342500000000001</v>
      </c>
      <c r="AD5049">
        <v>-1.1205866035900001</v>
      </c>
      <c r="AE5049">
        <v>7.2270100000000097</v>
      </c>
      <c r="AF5049">
        <v>-8.6046152833324498</v>
      </c>
      <c r="AG5049">
        <v>-1.1205866035900001</v>
      </c>
      <c r="AH5049">
        <v>49.095448341003603</v>
      </c>
      <c r="AI5049">
        <v>91.287905299554296</v>
      </c>
      <c r="AJ5049">
        <v>99.940865558475494</v>
      </c>
      <c r="AK5049">
        <v>49.856375382838003</v>
      </c>
      <c r="AL5049">
        <v>77.160595622248593</v>
      </c>
      <c r="AM5049">
        <v>91.725487055143205</v>
      </c>
      <c r="AN5049">
        <v>1.0000000422240201</v>
      </c>
    </row>
    <row r="5050" spans="1:40" x14ac:dyDescent="0.25">
      <c r="A5050" t="str">
        <f>"20190303170912905"</f>
        <v>20190303170912905</v>
      </c>
      <c r="B5050" t="str">
        <f>"1551604152899199"</f>
        <v>1551604152899199</v>
      </c>
      <c r="C5050" t="s">
        <v>40</v>
      </c>
      <c r="D5050">
        <v>5.011406</v>
      </c>
      <c r="E5050">
        <v>0.44212249999999997</v>
      </c>
      <c r="F5050" t="s">
        <v>59</v>
      </c>
      <c r="G5050">
        <v>-179.94909999999999</v>
      </c>
      <c r="H5050">
        <v>5.863939E-2</v>
      </c>
      <c r="I5050">
        <v>-55.622570000000003</v>
      </c>
      <c r="J5050">
        <v>-229.53809999999999</v>
      </c>
      <c r="K5050">
        <v>1.1206</v>
      </c>
      <c r="L5050">
        <v>-63.539580000000001</v>
      </c>
      <c r="M5050">
        <v>0.99957929999999995</v>
      </c>
      <c r="N5050">
        <v>-8.2681000000000004E-3</v>
      </c>
      <c r="O5050">
        <v>-2.7801759999999998E-2</v>
      </c>
      <c r="P5050">
        <v>0.9768791</v>
      </c>
      <c r="Q5050">
        <v>0.2137828</v>
      </c>
      <c r="R5050">
        <v>2.0071989999999999E-3</v>
      </c>
      <c r="S5050">
        <v>3.084778</v>
      </c>
      <c r="T5050">
        <v>-6.5738199999999997E-2</v>
      </c>
      <c r="U5050">
        <v>0.48968509999999998</v>
      </c>
      <c r="V5050">
        <v>-2.9294199999999999E-2</v>
      </c>
      <c r="W5050">
        <v>0.2218319</v>
      </c>
      <c r="X5050">
        <v>0.97464479999999998</v>
      </c>
      <c r="Y5050">
        <v>-0.18411839999999999</v>
      </c>
      <c r="Z5050">
        <v>3.0760900000000001E-3</v>
      </c>
      <c r="AA5050">
        <v>0.98289919999999997</v>
      </c>
      <c r="AB5050">
        <v>40</v>
      </c>
      <c r="AC5050">
        <v>49.588999999999999</v>
      </c>
      <c r="AD5050">
        <v>-1.0619606100000001</v>
      </c>
      <c r="AE5050">
        <v>7.9170100000000101</v>
      </c>
      <c r="AF5050">
        <v>-9.2885041245785906</v>
      </c>
      <c r="AG5050">
        <v>-1.0619606100000001</v>
      </c>
      <c r="AH5050">
        <v>49.327656045482698</v>
      </c>
      <c r="AI5050">
        <v>91.212019462551496</v>
      </c>
      <c r="AJ5050">
        <v>100.664048217542</v>
      </c>
      <c r="AK5050">
        <v>50.2057936910766</v>
      </c>
      <c r="AL5050">
        <v>77.183348071255693</v>
      </c>
      <c r="AM5050">
        <v>91.721579878803098</v>
      </c>
      <c r="AN5050">
        <v>1.0000000140891401</v>
      </c>
    </row>
    <row r="5051" spans="1:40" x14ac:dyDescent="0.25">
      <c r="A5051" t="str">
        <f>"20190303170912917"</f>
        <v>20190303170912917</v>
      </c>
      <c r="B5051" t="str">
        <f>"1551604152908959"</f>
        <v>1551604152908959</v>
      </c>
      <c r="C5051" t="s">
        <v>40</v>
      </c>
      <c r="D5051">
        <v>5.0631870000000001</v>
      </c>
      <c r="E5051">
        <v>0.44120749999999997</v>
      </c>
      <c r="F5051" t="s">
        <v>59</v>
      </c>
      <c r="G5051">
        <v>-179.94829999999999</v>
      </c>
      <c r="H5051">
        <v>5.9385170000000001E-2</v>
      </c>
      <c r="I5051">
        <v>-55.503839999999997</v>
      </c>
      <c r="J5051">
        <v>-229.31880000000001</v>
      </c>
      <c r="K5051">
        <v>1.120625</v>
      </c>
      <c r="L5051">
        <v>-63.545529999999999</v>
      </c>
      <c r="M5051">
        <v>0.99958559999999996</v>
      </c>
      <c r="N5051">
        <v>-8.3046939999999996E-3</v>
      </c>
      <c r="O5051">
        <v>-2.7561950000000002E-2</v>
      </c>
      <c r="P5051">
        <v>0.9770257</v>
      </c>
      <c r="Q5051">
        <v>0.2131102</v>
      </c>
      <c r="R5051">
        <v>2.2340789999999999E-3</v>
      </c>
      <c r="S5051">
        <v>3.0844420000000001</v>
      </c>
      <c r="T5051">
        <v>-6.6006780000000001E-2</v>
      </c>
      <c r="U5051">
        <v>0.49981690000000001</v>
      </c>
      <c r="V5051">
        <v>-2.9304130000000001E-2</v>
      </c>
      <c r="W5051">
        <v>0.2211948</v>
      </c>
      <c r="X5051">
        <v>0.97478929999999997</v>
      </c>
      <c r="Y5051">
        <v>-0.18704460000000001</v>
      </c>
      <c r="Z5051">
        <v>3.1289310000000002E-3</v>
      </c>
      <c r="AA5051">
        <v>0.98234639999999995</v>
      </c>
      <c r="AB5051">
        <v>40</v>
      </c>
      <c r="AC5051">
        <v>49.3705</v>
      </c>
      <c r="AD5051">
        <v>-1.0612398300000001</v>
      </c>
      <c r="AE5051">
        <v>8.0416899999999991</v>
      </c>
      <c r="AF5051">
        <v>-9.3952000231596902</v>
      </c>
      <c r="AG5051">
        <v>-1.0612398300000001</v>
      </c>
      <c r="AH5051">
        <v>49.107986364249498</v>
      </c>
      <c r="AI5051">
        <v>91.215941740245597</v>
      </c>
      <c r="AJ5051">
        <v>100.83078718892099</v>
      </c>
      <c r="AK5051">
        <v>50.009902401457197</v>
      </c>
      <c r="AL5051">
        <v>77.220781298012099</v>
      </c>
      <c r="AM5051">
        <v>91.721907965022197</v>
      </c>
      <c r="AN5051">
        <v>1.0000000254882899</v>
      </c>
    </row>
    <row r="5052" spans="1:40" x14ac:dyDescent="0.25">
      <c r="A5052" t="str">
        <f>"20190303170912930"</f>
        <v>20190303170912930</v>
      </c>
      <c r="B5052" t="str">
        <f>"1551604152918718"</f>
        <v>1551604152918718</v>
      </c>
      <c r="C5052" t="s">
        <v>40</v>
      </c>
      <c r="D5052">
        <v>5.0575669999999997</v>
      </c>
      <c r="E5052">
        <v>0.4404325</v>
      </c>
      <c r="F5052" t="s">
        <v>59</v>
      </c>
      <c r="G5052">
        <v>-179.95769999999999</v>
      </c>
      <c r="H5052">
        <v>3.787927E-2</v>
      </c>
      <c r="I5052">
        <v>-55.412700000000001</v>
      </c>
      <c r="J5052">
        <v>-229.09399999999999</v>
      </c>
      <c r="K5052">
        <v>1.1206529999999999</v>
      </c>
      <c r="L5052">
        <v>-63.551609999999997</v>
      </c>
      <c r="M5052">
        <v>0.99959209999999998</v>
      </c>
      <c r="N5052">
        <v>-8.3449660000000005E-3</v>
      </c>
      <c r="O5052">
        <v>-2.7314410000000001E-2</v>
      </c>
      <c r="P5052">
        <v>0.97710870000000005</v>
      </c>
      <c r="Q5052">
        <v>0.21272679999999999</v>
      </c>
      <c r="R5052">
        <v>2.4376160000000001E-3</v>
      </c>
      <c r="S5052">
        <v>3.0841370000000001</v>
      </c>
      <c r="T5052">
        <v>-6.7651149999999993E-2</v>
      </c>
      <c r="U5052">
        <v>0.50814820000000005</v>
      </c>
      <c r="V5052">
        <v>-2.9279980000000001E-2</v>
      </c>
      <c r="W5052">
        <v>0.22084980000000001</v>
      </c>
      <c r="X5052">
        <v>0.97486819999999996</v>
      </c>
      <c r="Y5052">
        <v>-0.18939729999999999</v>
      </c>
      <c r="Z5052">
        <v>3.227822E-3</v>
      </c>
      <c r="AA5052">
        <v>0.98189530000000003</v>
      </c>
      <c r="AB5052">
        <v>40</v>
      </c>
      <c r="AC5052">
        <v>49.136299999999999</v>
      </c>
      <c r="AD5052">
        <v>-1.08277373</v>
      </c>
      <c r="AE5052">
        <v>8.1389099999999903</v>
      </c>
      <c r="AF5052">
        <v>-9.4735713839500804</v>
      </c>
      <c r="AG5052">
        <v>-1.08277373</v>
      </c>
      <c r="AH5052">
        <v>48.8725499874364</v>
      </c>
      <c r="AI5052">
        <v>91.245997444312295</v>
      </c>
      <c r="AJ5052">
        <v>100.97029805130001</v>
      </c>
      <c r="AK5052">
        <v>49.794046792680398</v>
      </c>
      <c r="AL5052">
        <v>77.241049003725905</v>
      </c>
      <c r="AM5052">
        <v>91.720350604019998</v>
      </c>
      <c r="AN5052">
        <v>0.99999997938004004</v>
      </c>
    </row>
    <row r="5053" spans="1:40" x14ac:dyDescent="0.25">
      <c r="A5053" t="str">
        <f>"20190303170912947"</f>
        <v>20190303170912947</v>
      </c>
      <c r="B5053" t="str">
        <f>"1551604152939214"</f>
        <v>1551604152939214</v>
      </c>
      <c r="C5053" t="s">
        <v>40</v>
      </c>
      <c r="D5053">
        <v>5.0550839999999999</v>
      </c>
      <c r="E5053">
        <v>0.43953029999999998</v>
      </c>
      <c r="F5053" t="s">
        <v>59</v>
      </c>
      <c r="G5053">
        <v>-179.95769999999999</v>
      </c>
      <c r="H5053">
        <v>3.5711199999999999E-2</v>
      </c>
      <c r="I5053">
        <v>-55.342660000000002</v>
      </c>
      <c r="J5053">
        <v>-228.7885</v>
      </c>
      <c r="K5053">
        <v>1.1206910000000001</v>
      </c>
      <c r="L5053">
        <v>-63.559750000000001</v>
      </c>
      <c r="M5053">
        <v>0.99960079999999996</v>
      </c>
      <c r="N5053">
        <v>-8.4080969999999998E-3</v>
      </c>
      <c r="O5053">
        <v>-2.697691E-2</v>
      </c>
      <c r="P5053">
        <v>0.97718950000000004</v>
      </c>
      <c r="Q5053">
        <v>0.21235399999999999</v>
      </c>
      <c r="R5053">
        <v>2.594084E-3</v>
      </c>
      <c r="S5053">
        <v>3.0838169999999998</v>
      </c>
      <c r="T5053">
        <v>-6.8091509999999994E-2</v>
      </c>
      <c r="U5053">
        <v>0.51519780000000004</v>
      </c>
      <c r="V5053">
        <v>-2.912358E-2</v>
      </c>
      <c r="W5053">
        <v>0.2205367</v>
      </c>
      <c r="X5053">
        <v>0.97494380000000003</v>
      </c>
      <c r="Y5053">
        <v>-0.19126480000000001</v>
      </c>
      <c r="Z5053">
        <v>3.2731959999999999E-3</v>
      </c>
      <c r="AA5053">
        <v>0.98153299999999999</v>
      </c>
      <c r="AB5053">
        <v>40</v>
      </c>
      <c r="AC5053">
        <v>48.830800000000004</v>
      </c>
      <c r="AD5053">
        <v>-1.0849797999999999</v>
      </c>
      <c r="AE5053">
        <v>8.2170900000000007</v>
      </c>
      <c r="AF5053">
        <v>-9.5268759417044304</v>
      </c>
      <c r="AG5053">
        <v>-1.0849797999999999</v>
      </c>
      <c r="AH5053">
        <v>48.568030262342397</v>
      </c>
      <c r="AI5053">
        <v>91.255815449562306</v>
      </c>
      <c r="AJ5053">
        <v>101.097963450957</v>
      </c>
      <c r="AK5053">
        <v>49.505475555122601</v>
      </c>
      <c r="AL5053">
        <v>77.259442294672198</v>
      </c>
      <c r="AM5053">
        <v>91.711034161215295</v>
      </c>
      <c r="AN5053">
        <v>1.0000000160586699</v>
      </c>
    </row>
    <row r="5054" spans="1:40" x14ac:dyDescent="0.25">
      <c r="A5054" t="str">
        <f>"20190303170912958"</f>
        <v>20190303170912958</v>
      </c>
      <c r="B5054" t="str">
        <f>"1551604152948975"</f>
        <v>1551604152948975</v>
      </c>
      <c r="C5054" t="s">
        <v>40</v>
      </c>
      <c r="D5054">
        <v>5.0771509999999997</v>
      </c>
      <c r="E5054">
        <v>0.43916379999999999</v>
      </c>
      <c r="F5054" t="s">
        <v>59</v>
      </c>
      <c r="G5054">
        <v>-179.95769999999999</v>
      </c>
      <c r="H5054">
        <v>1.6899549999999999E-2</v>
      </c>
      <c r="I5054">
        <v>-55.275660000000002</v>
      </c>
      <c r="J5054">
        <v>-228.58779999999999</v>
      </c>
      <c r="K5054">
        <v>1.120711</v>
      </c>
      <c r="L5054">
        <v>-63.56503</v>
      </c>
      <c r="M5054">
        <v>0.99960640000000001</v>
      </c>
      <c r="N5054">
        <v>-8.4520340000000006E-3</v>
      </c>
      <c r="O5054">
        <v>-2.6755669999999999E-2</v>
      </c>
      <c r="P5054">
        <v>0.97726619999999997</v>
      </c>
      <c r="Q5054">
        <v>0.2119945</v>
      </c>
      <c r="R5054">
        <v>3.0472870000000001E-3</v>
      </c>
      <c r="S5054">
        <v>3.0837859999999999</v>
      </c>
      <c r="T5054">
        <v>-6.9707270000000002E-2</v>
      </c>
      <c r="U5054">
        <v>0.52316279999999904</v>
      </c>
      <c r="V5054">
        <v>-2.937027E-2</v>
      </c>
      <c r="W5054">
        <v>0.22022</v>
      </c>
      <c r="X5054">
        <v>0.97500799999999999</v>
      </c>
      <c r="Y5054">
        <v>-0.1935104</v>
      </c>
      <c r="Z5054">
        <v>3.3713480000000001E-3</v>
      </c>
      <c r="AA5054">
        <v>0.98109250000000003</v>
      </c>
      <c r="AB5054">
        <v>40</v>
      </c>
      <c r="AC5054">
        <v>48.630099999999999</v>
      </c>
      <c r="AD5054">
        <v>-1.10381145</v>
      </c>
      <c r="AE5054">
        <v>8.2893700000000106</v>
      </c>
      <c r="AF5054">
        <v>-9.58278174631117</v>
      </c>
      <c r="AG5054">
        <v>-1.10381145</v>
      </c>
      <c r="AH5054">
        <v>48.366678657484997</v>
      </c>
      <c r="AI5054">
        <v>91.282442043948393</v>
      </c>
      <c r="AJ5054">
        <v>101.206749861373</v>
      </c>
      <c r="AK5054">
        <v>49.319202244876202</v>
      </c>
      <c r="AL5054">
        <v>77.278045419178696</v>
      </c>
      <c r="AM5054">
        <v>91.725405126501101</v>
      </c>
      <c r="AN5054">
        <v>1.0000000306119301</v>
      </c>
    </row>
    <row r="5055" spans="1:40" x14ac:dyDescent="0.25">
      <c r="A5055" t="str">
        <f>"20190303170912970"</f>
        <v>20190303170912970</v>
      </c>
      <c r="B5055" t="str">
        <f>"1551604152958735"</f>
        <v>1551604152958735</v>
      </c>
      <c r="C5055" t="s">
        <v>40</v>
      </c>
      <c r="D5055">
        <v>5.0844100000000001</v>
      </c>
      <c r="E5055">
        <v>0.4389594</v>
      </c>
      <c r="F5055" t="s">
        <v>59</v>
      </c>
      <c r="G5055">
        <v>-179.95769999999999</v>
      </c>
      <c r="H5055">
        <v>9.7644059999999998E-3</v>
      </c>
      <c r="I5055">
        <v>-55.241309999999999</v>
      </c>
      <c r="J5055">
        <v>-228.39609999999999</v>
      </c>
      <c r="K5055">
        <v>1.12073</v>
      </c>
      <c r="L5055">
        <v>-63.570070000000001</v>
      </c>
      <c r="M5055">
        <v>0.99961149999999999</v>
      </c>
      <c r="N5055">
        <v>-8.4946090000000002E-3</v>
      </c>
      <c r="O5055">
        <v>-2.6544459999999999E-2</v>
      </c>
      <c r="P5055">
        <v>0.97736000000000001</v>
      </c>
      <c r="Q5055">
        <v>0.21156130000000001</v>
      </c>
      <c r="R5055">
        <v>3.0750730000000002E-3</v>
      </c>
      <c r="S5055">
        <v>3.0834199999999998</v>
      </c>
      <c r="T5055">
        <v>-7.0440290000000003E-2</v>
      </c>
      <c r="U5055">
        <v>0.52777099999999999</v>
      </c>
      <c r="V5055">
        <v>-2.9202760000000001E-2</v>
      </c>
      <c r="W5055">
        <v>0.21982789999999999</v>
      </c>
      <c r="X5055">
        <v>0.97510149999999995</v>
      </c>
      <c r="Y5055">
        <v>-0.19474520000000001</v>
      </c>
      <c r="Z5055">
        <v>3.4198980000000002E-3</v>
      </c>
      <c r="AA5055">
        <v>0.98084789999999999</v>
      </c>
      <c r="AB5055">
        <v>40</v>
      </c>
      <c r="AC5055">
        <v>48.438400000000001</v>
      </c>
      <c r="AD5055">
        <v>-1.1109655940000001</v>
      </c>
      <c r="AE5055">
        <v>8.3287599999999902</v>
      </c>
      <c r="AF5055">
        <v>-9.6067341894935794</v>
      </c>
      <c r="AG5055">
        <v>-1.1109655940000001</v>
      </c>
      <c r="AH5055">
        <v>48.175625552610803</v>
      </c>
      <c r="AI5055">
        <v>91.295550471003693</v>
      </c>
      <c r="AJ5055">
        <v>101.277461853548</v>
      </c>
      <c r="AK5055">
        <v>49.136691827228297</v>
      </c>
      <c r="AL5055">
        <v>77.301075333681297</v>
      </c>
      <c r="AM5055">
        <v>91.715405968411005</v>
      </c>
      <c r="AN5055">
        <v>1.00000002105613</v>
      </c>
    </row>
    <row r="5056" spans="1:40" x14ac:dyDescent="0.25">
      <c r="A5056" t="str">
        <f>"20190303170912982"</f>
        <v>20190303170912982</v>
      </c>
      <c r="B5056" t="str">
        <f>"1551604152968495"</f>
        <v>1551604152968495</v>
      </c>
      <c r="C5056" t="s">
        <v>40</v>
      </c>
      <c r="D5056">
        <v>5.1080160000000001</v>
      </c>
      <c r="E5056">
        <v>0.43866490000000002</v>
      </c>
      <c r="F5056" t="s">
        <v>59</v>
      </c>
      <c r="G5056">
        <v>-180.1703</v>
      </c>
      <c r="H5056" s="1">
        <v>-1.330369E-5</v>
      </c>
      <c r="I5056">
        <v>-55.280019999999901</v>
      </c>
      <c r="J5056">
        <v>-228.1662</v>
      </c>
      <c r="K5056">
        <v>1.1207510000000001</v>
      </c>
      <c r="L5056">
        <v>-63.575989999999997</v>
      </c>
      <c r="M5056">
        <v>0.99961789999999995</v>
      </c>
      <c r="N5056">
        <v>-8.5514049999999998E-3</v>
      </c>
      <c r="O5056">
        <v>-2.6292039999999999E-2</v>
      </c>
      <c r="P5056">
        <v>0.97737280000000004</v>
      </c>
      <c r="Q5056">
        <v>0.21150469999999999</v>
      </c>
      <c r="R5056">
        <v>2.9056820000000001E-3</v>
      </c>
      <c r="S5056">
        <v>3.0833439999999999</v>
      </c>
      <c r="T5056">
        <v>-7.1655389999999999E-2</v>
      </c>
      <c r="U5056">
        <v>0.53002930000000004</v>
      </c>
      <c r="V5056">
        <v>-2.8794989999999999E-2</v>
      </c>
      <c r="W5056">
        <v>0.21982599999999999</v>
      </c>
      <c r="X5056">
        <v>0.97511400000000004</v>
      </c>
      <c r="Y5056">
        <v>-0.19519700000000001</v>
      </c>
      <c r="Z5056">
        <v>3.475877E-3</v>
      </c>
      <c r="AA5056">
        <v>0.98075789999999996</v>
      </c>
      <c r="AB5056">
        <v>40</v>
      </c>
      <c r="AC5056">
        <v>47.995899999999999</v>
      </c>
      <c r="AD5056">
        <v>-1.1207643036899999</v>
      </c>
      <c r="AE5056">
        <v>8.2959700000000094</v>
      </c>
      <c r="AF5056">
        <v>-9.5500015916324994</v>
      </c>
      <c r="AG5056">
        <v>-1.1207643036899999</v>
      </c>
      <c r="AH5056">
        <v>47.735906539921501</v>
      </c>
      <c r="AI5056">
        <v>91.318844013435097</v>
      </c>
      <c r="AJ5056">
        <v>101.31318733147199</v>
      </c>
      <c r="AK5056">
        <v>48.694716512294498</v>
      </c>
      <c r="AL5056">
        <v>77.301186232056807</v>
      </c>
      <c r="AM5056">
        <v>91.691445400843307</v>
      </c>
      <c r="AN5056">
        <v>0.99999996736054897</v>
      </c>
    </row>
    <row r="5057" spans="1:40" x14ac:dyDescent="0.25">
      <c r="A5057" t="str">
        <f>"20190303170912994"</f>
        <v>20190303170912994</v>
      </c>
      <c r="B5057" t="str">
        <f>"1551604152988991"</f>
        <v>1551604152988991</v>
      </c>
      <c r="C5057" t="s">
        <v>40</v>
      </c>
      <c r="D5057">
        <v>5.095523</v>
      </c>
      <c r="E5057">
        <v>0.43831949999999997</v>
      </c>
      <c r="F5057" t="s">
        <v>59</v>
      </c>
      <c r="G5057">
        <v>-179.95769999999999</v>
      </c>
      <c r="H5057">
        <v>3.187446E-3</v>
      </c>
      <c r="I5057">
        <v>-55.254049999999999</v>
      </c>
      <c r="J5057">
        <v>-227.94329999999999</v>
      </c>
      <c r="K5057">
        <v>1.1207720000000001</v>
      </c>
      <c r="L5057">
        <v>-63.581699999999998</v>
      </c>
      <c r="M5057">
        <v>0.9996237</v>
      </c>
      <c r="N5057">
        <v>-8.6090779999999992E-3</v>
      </c>
      <c r="O5057">
        <v>-2.6047629999999999E-2</v>
      </c>
      <c r="P5057">
        <v>0.97748239999999997</v>
      </c>
      <c r="Q5057">
        <v>0.21099789999999999</v>
      </c>
      <c r="R5057">
        <v>2.867896E-3</v>
      </c>
      <c r="S5057">
        <v>3.0833279999999998</v>
      </c>
      <c r="T5057">
        <v>-7.1477410000000005E-2</v>
      </c>
      <c r="U5057">
        <v>0.53225710000000004</v>
      </c>
      <c r="V5057">
        <v>-2.8528270000000001E-2</v>
      </c>
      <c r="W5057">
        <v>0.21937619999999999</v>
      </c>
      <c r="X5057">
        <v>0.97522319999999996</v>
      </c>
      <c r="Y5057">
        <v>-0.1956463</v>
      </c>
      <c r="Z5057">
        <v>3.4764290000000001E-3</v>
      </c>
      <c r="AA5057">
        <v>0.9806684</v>
      </c>
      <c r="AB5057">
        <v>40</v>
      </c>
      <c r="AC5057">
        <v>47.985599999999998</v>
      </c>
      <c r="AD5057">
        <v>-1.11758455399999</v>
      </c>
      <c r="AE5057">
        <v>8.3276499999999896</v>
      </c>
      <c r="AF5057">
        <v>-9.5697425421077895</v>
      </c>
      <c r="AG5057">
        <v>-1.11758455399999</v>
      </c>
      <c r="AH5057">
        <v>47.727262342784798</v>
      </c>
      <c r="AI5057">
        <v>91.315227811002998</v>
      </c>
      <c r="AJ5057">
        <v>101.33796802278199</v>
      </c>
      <c r="AK5057">
        <v>48.690045577043499</v>
      </c>
      <c r="AL5057">
        <v>77.327603573478896</v>
      </c>
      <c r="AM5057">
        <v>91.675599448625405</v>
      </c>
      <c r="AN5057">
        <v>1.00000003456693</v>
      </c>
    </row>
    <row r="5058" spans="1:40" x14ac:dyDescent="0.25">
      <c r="A5058" t="str">
        <f>"20190303170913007"</f>
        <v>20190303170913007</v>
      </c>
      <c r="B5058" t="str">
        <f>"1551604152998751"</f>
        <v>1551604152998751</v>
      </c>
      <c r="C5058" t="s">
        <v>40</v>
      </c>
      <c r="D5058">
        <v>5.1053309999999996</v>
      </c>
      <c r="E5058">
        <v>0.43814340000000002</v>
      </c>
      <c r="F5058" t="s">
        <v>59</v>
      </c>
      <c r="G5058">
        <v>-179.95769999999999</v>
      </c>
      <c r="H5058">
        <v>6.8269330000000005E-4</v>
      </c>
      <c r="I5058">
        <v>-55.248139999999999</v>
      </c>
      <c r="J5058">
        <v>-227.71369999999999</v>
      </c>
      <c r="K5058">
        <v>1.1207940000000001</v>
      </c>
      <c r="L5058">
        <v>-63.587519999999998</v>
      </c>
      <c r="M5058">
        <v>0.99962960000000001</v>
      </c>
      <c r="N5058">
        <v>-8.6715660000000003E-3</v>
      </c>
      <c r="O5058">
        <v>-2.5796220000000002E-2</v>
      </c>
      <c r="P5058">
        <v>0.97745380000000004</v>
      </c>
      <c r="Q5058">
        <v>0.21113709999999999</v>
      </c>
      <c r="R5058">
        <v>2.3060390000000002E-3</v>
      </c>
      <c r="S5058">
        <v>3.0830690000000001</v>
      </c>
      <c r="T5058">
        <v>-7.1965689999999999E-2</v>
      </c>
      <c r="U5058">
        <v>0.53543090000000004</v>
      </c>
      <c r="V5058">
        <v>-2.7727140000000001E-2</v>
      </c>
      <c r="W5058">
        <v>0.2195762</v>
      </c>
      <c r="X5058">
        <v>0.97520119999999999</v>
      </c>
      <c r="Y5058">
        <v>-0.19639239999999999</v>
      </c>
      <c r="Z5058">
        <v>3.5087600000000001E-3</v>
      </c>
      <c r="AA5058">
        <v>0.98051909999999998</v>
      </c>
      <c r="AB5058">
        <v>40</v>
      </c>
      <c r="AC5058">
        <v>47.756</v>
      </c>
      <c r="AD5058">
        <v>-1.1201113066999999</v>
      </c>
      <c r="AE5058">
        <v>8.3393799999999896</v>
      </c>
      <c r="AF5058">
        <v>-9.5634697665127302</v>
      </c>
      <c r="AG5058">
        <v>-1.1201113066999999</v>
      </c>
      <c r="AH5058">
        <v>47.499616315223399</v>
      </c>
      <c r="AI5058">
        <v>91.324303773769003</v>
      </c>
      <c r="AJ5058">
        <v>101.383617440873</v>
      </c>
      <c r="AK5058">
        <v>48.465742059807901</v>
      </c>
      <c r="AL5058">
        <v>77.315856832437902</v>
      </c>
      <c r="AM5058">
        <v>91.628607741990294</v>
      </c>
      <c r="AN5058">
        <v>0.99999994119022795</v>
      </c>
    </row>
    <row r="5059" spans="1:40" x14ac:dyDescent="0.25">
      <c r="A5059" t="str">
        <f>"20190303170913019"</f>
        <v>20190303170913019</v>
      </c>
      <c r="B5059" t="str">
        <f>"1551604153008511"</f>
        <v>1551604153008511</v>
      </c>
      <c r="C5059" t="s">
        <v>40</v>
      </c>
      <c r="D5059">
        <v>5.1186559999999997</v>
      </c>
      <c r="E5059">
        <v>0.43792110000000001</v>
      </c>
      <c r="F5059" t="s">
        <v>59</v>
      </c>
      <c r="G5059">
        <v>-179.95769999999999</v>
      </c>
      <c r="H5059">
        <v>2.3972279999999999E-2</v>
      </c>
      <c r="I5059">
        <v>-55.289090000000002</v>
      </c>
      <c r="J5059">
        <v>-227.51759999999999</v>
      </c>
      <c r="K5059">
        <v>1.1208129999999901</v>
      </c>
      <c r="L5059">
        <v>-63.592469999999999</v>
      </c>
      <c r="M5059">
        <v>0.99963469999999999</v>
      </c>
      <c r="N5059">
        <v>-8.7308590000000005E-3</v>
      </c>
      <c r="O5059">
        <v>-2.5581659999999999E-2</v>
      </c>
      <c r="P5059">
        <v>0.97740349999999998</v>
      </c>
      <c r="Q5059">
        <v>0.2113749</v>
      </c>
      <c r="R5059">
        <v>1.8104690000000001E-3</v>
      </c>
      <c r="S5059">
        <v>3.083237</v>
      </c>
      <c r="T5059">
        <v>-7.0813420000000002E-2</v>
      </c>
      <c r="U5059">
        <v>0.53576659999999998</v>
      </c>
      <c r="V5059">
        <v>-2.702591E-2</v>
      </c>
      <c r="W5059">
        <v>0.2198716</v>
      </c>
      <c r="X5059">
        <v>0.97515439999999998</v>
      </c>
      <c r="Y5059">
        <v>-0.1962786</v>
      </c>
      <c r="Z5059">
        <v>3.462119E-3</v>
      </c>
      <c r="AA5059">
        <v>0.98054209999999997</v>
      </c>
      <c r="AB5059">
        <v>40</v>
      </c>
      <c r="AC5059">
        <v>47.559899999999999</v>
      </c>
      <c r="AD5059">
        <v>-1.0968407200000001</v>
      </c>
      <c r="AE5059">
        <v>8.30337999999999</v>
      </c>
      <c r="AF5059">
        <v>-9.5124601126367292</v>
      </c>
      <c r="AG5059">
        <v>-1.0968407200000001</v>
      </c>
      <c r="AH5059">
        <v>47.307494675375501</v>
      </c>
      <c r="AI5059">
        <v>91.302130788456296</v>
      </c>
      <c r="AJ5059">
        <v>101.36926716491099</v>
      </c>
      <c r="AK5059">
        <v>48.266852076971396</v>
      </c>
      <c r="AL5059">
        <v>77.298508596502401</v>
      </c>
      <c r="AM5059">
        <v>91.587517121974898</v>
      </c>
      <c r="AN5059">
        <v>1.0000000120686201</v>
      </c>
    </row>
    <row r="5060" spans="1:40" x14ac:dyDescent="0.25">
      <c r="A5060" t="str">
        <f>"20190303170913034"</f>
        <v>20190303170913034</v>
      </c>
      <c r="B5060" t="str">
        <f>"1551604153029007"</f>
        <v>1551604153029007</v>
      </c>
      <c r="C5060" t="s">
        <v>40</v>
      </c>
      <c r="D5060">
        <v>5.1134589999999998</v>
      </c>
      <c r="E5060">
        <v>0.43753510000000001</v>
      </c>
      <c r="F5060" t="s">
        <v>59</v>
      </c>
      <c r="G5060">
        <v>-179.9556</v>
      </c>
      <c r="H5060">
        <v>5.2111659999999997E-2</v>
      </c>
      <c r="I5060">
        <v>-55.307780000000001</v>
      </c>
      <c r="J5060">
        <v>-227.22810000000001</v>
      </c>
      <c r="K5060">
        <v>1.1208419999999999</v>
      </c>
      <c r="L5060">
        <v>-63.599640000000001</v>
      </c>
      <c r="M5060">
        <v>0.99964200000000003</v>
      </c>
      <c r="N5060">
        <v>-8.8262340000000005E-3</v>
      </c>
      <c r="O5060">
        <v>-2.526457E-2</v>
      </c>
      <c r="P5060">
        <v>0.97738369999999997</v>
      </c>
      <c r="Q5060">
        <v>0.21147360000000001</v>
      </c>
      <c r="R5060">
        <v>5.6343150000000004E-4</v>
      </c>
      <c r="S5060">
        <v>3.0833439999999999</v>
      </c>
      <c r="T5060">
        <v>-6.9281700000000002E-2</v>
      </c>
      <c r="U5060">
        <v>0.53707890000000003</v>
      </c>
      <c r="V5060">
        <v>-2.5475870000000001E-2</v>
      </c>
      <c r="W5060">
        <v>0.22006419999999999</v>
      </c>
      <c r="X5060">
        <v>0.97515269999999998</v>
      </c>
      <c r="Y5060">
        <v>-0.1963695</v>
      </c>
      <c r="Z5060">
        <v>3.4050959999999998E-3</v>
      </c>
      <c r="AA5060">
        <v>0.98052410000000001</v>
      </c>
      <c r="AB5060">
        <v>40</v>
      </c>
      <c r="AC5060">
        <v>47.272500000000001</v>
      </c>
      <c r="AD5060">
        <v>-1.0687303399999999</v>
      </c>
      <c r="AE5060">
        <v>8.2918599999999891</v>
      </c>
      <c r="AF5060">
        <v>-9.4788785516454901</v>
      </c>
      <c r="AG5060">
        <v>-1.0687303399999999</v>
      </c>
      <c r="AH5060">
        <v>47.024593446406001</v>
      </c>
      <c r="AI5060">
        <v>91.276278284928097</v>
      </c>
      <c r="AJ5060">
        <v>101.39655456643899</v>
      </c>
      <c r="AK5060">
        <v>47.982327079209597</v>
      </c>
      <c r="AL5060">
        <v>77.287196594436296</v>
      </c>
      <c r="AM5060">
        <v>91.496512172898605</v>
      </c>
      <c r="AN5060">
        <v>1.00000003019559</v>
      </c>
    </row>
    <row r="5061" spans="1:40" x14ac:dyDescent="0.25">
      <c r="A5061" t="str">
        <f>"20190303170913046"</f>
        <v>20190303170913046</v>
      </c>
      <c r="B5061" t="str">
        <f>"1551604153038767"</f>
        <v>1551604153038767</v>
      </c>
      <c r="C5061" t="s">
        <v>40</v>
      </c>
      <c r="D5061">
        <v>5.1314229999999998</v>
      </c>
      <c r="E5061">
        <v>0.43740289999999998</v>
      </c>
      <c r="F5061" t="s">
        <v>59</v>
      </c>
      <c r="G5061">
        <v>-179.84880000000001</v>
      </c>
      <c r="H5061">
        <v>7.9986570000000007E-2</v>
      </c>
      <c r="I5061">
        <v>-55.336109999999998</v>
      </c>
      <c r="J5061">
        <v>-227.02080000000001</v>
      </c>
      <c r="K5061">
        <v>1.1208610000000001</v>
      </c>
      <c r="L5061">
        <v>-63.60474</v>
      </c>
      <c r="M5061">
        <v>0.99964699999999995</v>
      </c>
      <c r="N5061">
        <v>-8.90266199999999E-3</v>
      </c>
      <c r="O5061">
        <v>-2.5037460000000001E-2</v>
      </c>
      <c r="P5061">
        <v>0.97746699999999997</v>
      </c>
      <c r="Q5061">
        <v>0.21108850000000001</v>
      </c>
      <c r="R5061">
        <v>2.7044489999999998E-4</v>
      </c>
      <c r="S5061">
        <v>3.0837400000000001</v>
      </c>
      <c r="T5061">
        <v>-6.7745449999999999E-2</v>
      </c>
      <c r="U5061">
        <v>0.53784180000000004</v>
      </c>
      <c r="V5061">
        <v>-2.4967090000000001E-2</v>
      </c>
      <c r="W5061">
        <v>0.21975439999999999</v>
      </c>
      <c r="X5061">
        <v>0.97523570000000004</v>
      </c>
      <c r="Y5061">
        <v>-0.19636339999999999</v>
      </c>
      <c r="Z5061">
        <v>3.3462840000000002E-3</v>
      </c>
      <c r="AA5061">
        <v>0.98052550000000005</v>
      </c>
      <c r="AB5061">
        <v>40</v>
      </c>
      <c r="AC5061">
        <v>47.171999999999997</v>
      </c>
      <c r="AD5061">
        <v>-1.0408744299999999</v>
      </c>
      <c r="AE5061">
        <v>8.2686299999999999</v>
      </c>
      <c r="AF5061">
        <v>-9.4426909387352698</v>
      </c>
      <c r="AG5061">
        <v>-1.0408744299999999</v>
      </c>
      <c r="AH5061">
        <v>46.928009856827501</v>
      </c>
      <c r="AI5061">
        <v>91.245666673000002</v>
      </c>
      <c r="AJ5061">
        <v>101.376937527161</v>
      </c>
      <c r="AK5061">
        <v>47.879911663097303</v>
      </c>
      <c r="AL5061">
        <v>77.305392005437298</v>
      </c>
      <c r="AM5061">
        <v>91.466513665049206</v>
      </c>
      <c r="AN5061">
        <v>1.0000000112284499</v>
      </c>
    </row>
    <row r="5062" spans="1:40" x14ac:dyDescent="0.25">
      <c r="A5062" t="str">
        <f>"20190303170913058"</f>
        <v>20190303170913058</v>
      </c>
      <c r="B5062" t="str">
        <f>"1551604153048527"</f>
        <v>1551604153048527</v>
      </c>
      <c r="C5062" t="s">
        <v>40</v>
      </c>
      <c r="D5062">
        <v>5.1125020000000001</v>
      </c>
      <c r="E5062">
        <v>0.43723770000000001</v>
      </c>
      <c r="F5062" t="s">
        <v>59</v>
      </c>
      <c r="G5062">
        <v>-179.9358</v>
      </c>
      <c r="H5062">
        <v>7.1890869999999996E-2</v>
      </c>
      <c r="I5062">
        <v>-55.383510000000001</v>
      </c>
      <c r="J5062">
        <v>-226.82069999999999</v>
      </c>
      <c r="K5062">
        <v>1.1208739999999999</v>
      </c>
      <c r="L5062">
        <v>-63.609560000000002</v>
      </c>
      <c r="M5062">
        <v>0.99965179999999998</v>
      </c>
      <c r="N5062">
        <v>-8.9853829999999996E-3</v>
      </c>
      <c r="O5062">
        <v>-2.481802E-2</v>
      </c>
      <c r="P5062">
        <v>0.97760650000000004</v>
      </c>
      <c r="Q5062">
        <v>0.21044209999999999</v>
      </c>
      <c r="R5062">
        <v>2.303738E-4</v>
      </c>
      <c r="S5062">
        <v>3.083847</v>
      </c>
      <c r="T5062">
        <v>-6.8702699999999894E-2</v>
      </c>
      <c r="U5062">
        <v>0.53845209999999999</v>
      </c>
      <c r="V5062">
        <v>-2.4719189999999999E-2</v>
      </c>
      <c r="W5062">
        <v>0.21918960000000001</v>
      </c>
      <c r="X5062">
        <v>0.97536909999999999</v>
      </c>
      <c r="Y5062">
        <v>-0.196329</v>
      </c>
      <c r="Z5062">
        <v>3.3868140000000001E-3</v>
      </c>
      <c r="AA5062">
        <v>0.98053219999999996</v>
      </c>
      <c r="AB5062">
        <v>40</v>
      </c>
      <c r="AC5062">
        <v>46.884899999999902</v>
      </c>
      <c r="AD5062">
        <v>-1.0489831300000001</v>
      </c>
      <c r="AE5062">
        <v>8.2260499999999901</v>
      </c>
      <c r="AF5062">
        <v>-9.3825967361444391</v>
      </c>
      <c r="AG5062">
        <v>-1.0489831300000001</v>
      </c>
      <c r="AH5062">
        <v>46.6436436822056</v>
      </c>
      <c r="AI5062">
        <v>91.263033679665696</v>
      </c>
      <c r="AJ5062">
        <v>101.373543302447</v>
      </c>
      <c r="AK5062">
        <v>47.5895259807522</v>
      </c>
      <c r="AL5062">
        <v>77.338561228446395</v>
      </c>
      <c r="AM5062">
        <v>91.451760314141097</v>
      </c>
      <c r="AN5062">
        <v>1.00000000016861</v>
      </c>
    </row>
    <row r="5063" spans="1:40" x14ac:dyDescent="0.25">
      <c r="A5063" t="str">
        <f>"20190303170913070"</f>
        <v>20190303170913070</v>
      </c>
      <c r="B5063" t="str">
        <f>"1551604153059263"</f>
        <v>1551604153059263</v>
      </c>
      <c r="C5063" t="s">
        <v>40</v>
      </c>
      <c r="D5063">
        <v>5.130687</v>
      </c>
      <c r="E5063">
        <v>0.43705509999999997</v>
      </c>
      <c r="F5063" t="s">
        <v>59</v>
      </c>
      <c r="G5063">
        <v>-179.95769999999999</v>
      </c>
      <c r="H5063">
        <v>4.7157579999999998E-2</v>
      </c>
      <c r="I5063">
        <v>-55.404209999999999</v>
      </c>
      <c r="J5063">
        <v>-226.58949999999999</v>
      </c>
      <c r="K5063">
        <v>1.120892</v>
      </c>
      <c r="L5063">
        <v>-63.615139999999997</v>
      </c>
      <c r="M5063">
        <v>0.99965700000000002</v>
      </c>
      <c r="N5063">
        <v>-9.0863850000000006E-3</v>
      </c>
      <c r="O5063">
        <v>-2.4564309999999999E-2</v>
      </c>
      <c r="P5063">
        <v>0.9778559</v>
      </c>
      <c r="Q5063">
        <v>0.20927879999999999</v>
      </c>
      <c r="R5063">
        <v>4.0126410000000001E-4</v>
      </c>
      <c r="S5063">
        <v>3.0837859999999999</v>
      </c>
      <c r="T5063">
        <v>-7.0655229999999999E-2</v>
      </c>
      <c r="U5063">
        <v>0.53994750000000002</v>
      </c>
      <c r="V5063">
        <v>-2.4650789999999999E-2</v>
      </c>
      <c r="W5063">
        <v>0.21812690000000001</v>
      </c>
      <c r="X5063">
        <v>0.97560910000000001</v>
      </c>
      <c r="Y5063">
        <v>-0.1965411</v>
      </c>
      <c r="Z5063">
        <v>3.4714680000000001E-3</v>
      </c>
      <c r="AA5063">
        <v>0.98048939999999996</v>
      </c>
      <c r="AB5063">
        <v>40</v>
      </c>
      <c r="AC5063">
        <v>46.631799999999998</v>
      </c>
      <c r="AD5063">
        <v>-1.0737344200000001</v>
      </c>
      <c r="AE5063">
        <v>8.2109299999999994</v>
      </c>
      <c r="AF5063">
        <v>-9.3491696427414901</v>
      </c>
      <c r="AG5063">
        <v>-1.0737344200000001</v>
      </c>
      <c r="AH5063">
        <v>46.392166751416902</v>
      </c>
      <c r="AI5063">
        <v>91.299738205213302</v>
      </c>
      <c r="AJ5063">
        <v>101.393909268538</v>
      </c>
      <c r="AK5063">
        <v>47.3370152682308</v>
      </c>
      <c r="AL5063">
        <v>77.400960177558403</v>
      </c>
      <c r="AM5063">
        <v>91.447388893878397</v>
      </c>
      <c r="AN5063">
        <v>1.0000000609770201</v>
      </c>
    </row>
    <row r="5064" spans="1:40" x14ac:dyDescent="0.25">
      <c r="A5064" t="str">
        <f>"20190303170913082"</f>
        <v>20190303170913082</v>
      </c>
      <c r="B5064" t="str">
        <f>"1551604153069023"</f>
        <v>1551604153069023</v>
      </c>
      <c r="C5064" t="s">
        <v>40</v>
      </c>
      <c r="D5064">
        <v>5.1347480000000001</v>
      </c>
      <c r="E5064">
        <v>0.4368493</v>
      </c>
      <c r="F5064" t="s">
        <v>59</v>
      </c>
      <c r="G5064">
        <v>-180.17580000000001</v>
      </c>
      <c r="H5064" s="1">
        <v>-1.3363630000000001E-5</v>
      </c>
      <c r="I5064">
        <v>-55.458689999999997</v>
      </c>
      <c r="J5064">
        <v>-226.3767</v>
      </c>
      <c r="K5064">
        <v>1.1209089999999999</v>
      </c>
      <c r="L5064">
        <v>-63.62021</v>
      </c>
      <c r="M5064">
        <v>0.99966160000000004</v>
      </c>
      <c r="N5064">
        <v>-9.1945849999999999E-3</v>
      </c>
      <c r="O5064">
        <v>-2.43302E-2</v>
      </c>
      <c r="P5064">
        <v>0.97801649999999996</v>
      </c>
      <c r="Q5064">
        <v>0.20852699999999999</v>
      </c>
      <c r="R5064">
        <v>4.9463099999999896E-4</v>
      </c>
      <c r="S5064">
        <v>3.0836489999999999</v>
      </c>
      <c r="T5064">
        <v>-7.4470999999999996E-2</v>
      </c>
      <c r="U5064">
        <v>0.54190059999999995</v>
      </c>
      <c r="V5064">
        <v>-2.4521350000000001E-2</v>
      </c>
      <c r="W5064">
        <v>0.21748229999999999</v>
      </c>
      <c r="X5064">
        <v>0.97575619999999996</v>
      </c>
      <c r="Y5064">
        <v>-0.19691400000000001</v>
      </c>
      <c r="Z5064">
        <v>3.6331100000000002E-3</v>
      </c>
      <c r="AA5064">
        <v>0.98041400000000001</v>
      </c>
      <c r="AB5064">
        <v>40</v>
      </c>
      <c r="AC5064">
        <v>46.200899999999898</v>
      </c>
      <c r="AD5064">
        <v>-1.1209223636300001</v>
      </c>
      <c r="AE5064">
        <v>8.1615199999999906</v>
      </c>
      <c r="AF5064">
        <v>-9.2779324601679605</v>
      </c>
      <c r="AG5064">
        <v>-1.1209223636300001</v>
      </c>
      <c r="AH5064">
        <v>45.962405887143099</v>
      </c>
      <c r="AI5064">
        <v>91.369430809655</v>
      </c>
      <c r="AJ5064">
        <v>101.412320558498</v>
      </c>
      <c r="AK5064">
        <v>46.902870409125399</v>
      </c>
      <c r="AL5064">
        <v>77.438800795943905</v>
      </c>
      <c r="AM5064">
        <v>91.439574974284298</v>
      </c>
      <c r="AN5064">
        <v>1.00000000462877</v>
      </c>
    </row>
    <row r="5065" spans="1:40" x14ac:dyDescent="0.25">
      <c r="A5065" t="str">
        <f>"20190303170913094"</f>
        <v>20190303170913094</v>
      </c>
      <c r="B5065" t="str">
        <f>"1551604153088542"</f>
        <v>1551604153088542</v>
      </c>
      <c r="C5065" t="s">
        <v>40</v>
      </c>
      <c r="D5065">
        <v>5.1531120000000001</v>
      </c>
      <c r="E5065">
        <v>0.436502</v>
      </c>
      <c r="F5065" t="s">
        <v>59</v>
      </c>
      <c r="G5065">
        <v>-181.23570000000001</v>
      </c>
      <c r="H5065" s="1">
        <v>-1.323384E-5</v>
      </c>
      <c r="I5065">
        <v>-55.660170000000001</v>
      </c>
      <c r="J5065">
        <v>-226.18289999999999</v>
      </c>
      <c r="K5065">
        <v>1.120927</v>
      </c>
      <c r="L5065">
        <v>-63.624760000000002</v>
      </c>
      <c r="M5065">
        <v>0.9996659</v>
      </c>
      <c r="N5065">
        <v>-9.2994370000000007E-3</v>
      </c>
      <c r="O5065">
        <v>-2.411719E-2</v>
      </c>
      <c r="P5065">
        <v>0.97815149999999995</v>
      </c>
      <c r="Q5065">
        <v>0.2078922</v>
      </c>
      <c r="R5065">
        <v>8.3743779999999996E-4</v>
      </c>
      <c r="S5065">
        <v>3.0834809999999999</v>
      </c>
      <c r="T5065">
        <v>-7.6567650000000001E-2</v>
      </c>
      <c r="U5065">
        <v>0.54373169999999904</v>
      </c>
      <c r="V5065">
        <v>-2.4661140000000002E-2</v>
      </c>
      <c r="W5065">
        <v>0.21695030000000001</v>
      </c>
      <c r="X5065">
        <v>0.97587109999999999</v>
      </c>
      <c r="Y5065">
        <v>-0.19727449999999999</v>
      </c>
      <c r="Z5065">
        <v>3.7267279999999999E-3</v>
      </c>
      <c r="AA5065">
        <v>0.98034120000000002</v>
      </c>
      <c r="AB5065">
        <v>40</v>
      </c>
      <c r="AC5065">
        <v>44.947199999999903</v>
      </c>
      <c r="AD5065">
        <v>-1.1209402338400001</v>
      </c>
      <c r="AE5065">
        <v>7.9645900000000003</v>
      </c>
      <c r="AF5065">
        <v>-9.0408683889143795</v>
      </c>
      <c r="AG5065">
        <v>-1.1209402338400001</v>
      </c>
      <c r="AH5065">
        <v>44.715069470397196</v>
      </c>
      <c r="AI5065">
        <v>91.407548726832403</v>
      </c>
      <c r="AJ5065">
        <v>101.43044516645</v>
      </c>
      <c r="AK5065">
        <v>45.633663516925402</v>
      </c>
      <c r="AL5065">
        <v>77.470027735196794</v>
      </c>
      <c r="AM5065">
        <v>91.447607753076895</v>
      </c>
      <c r="AN5065">
        <v>1.00000000415569</v>
      </c>
    </row>
    <row r="5066" spans="1:40" x14ac:dyDescent="0.25">
      <c r="A5066" t="str">
        <f>"20190303170913106"</f>
        <v>20190303170913106</v>
      </c>
      <c r="B5066" t="str">
        <f>"1551604153099279"</f>
        <v>1551604153099279</v>
      </c>
      <c r="C5066" t="s">
        <v>40</v>
      </c>
      <c r="D5066">
        <v>5.174849</v>
      </c>
      <c r="E5066">
        <v>0.43636209999999997</v>
      </c>
      <c r="F5066" t="s">
        <v>59</v>
      </c>
      <c r="G5066">
        <v>-182.24109999999999</v>
      </c>
      <c r="H5066" s="1">
        <v>-1.310107E-5</v>
      </c>
      <c r="I5066">
        <v>-55.823039999999999</v>
      </c>
      <c r="J5066">
        <v>-225.96850000000001</v>
      </c>
      <c r="K5066">
        <v>1.120951</v>
      </c>
      <c r="L5066">
        <v>-63.629759999999997</v>
      </c>
      <c r="M5066">
        <v>0.99967039999999996</v>
      </c>
      <c r="N5066">
        <v>-9.4247849999999998E-3</v>
      </c>
      <c r="O5066">
        <v>-2.3881019999999999E-2</v>
      </c>
      <c r="P5066">
        <v>0.97818539999999998</v>
      </c>
      <c r="Q5066">
        <v>0.2077329</v>
      </c>
      <c r="R5066">
        <v>6.9245139999999999E-4</v>
      </c>
      <c r="S5066">
        <v>3.0832670000000002</v>
      </c>
      <c r="T5066">
        <v>-7.8653219999999996E-2</v>
      </c>
      <c r="U5066">
        <v>0.54742429999999997</v>
      </c>
      <c r="V5066">
        <v>-2.4288609999999999E-2</v>
      </c>
      <c r="W5066">
        <v>0.216914</v>
      </c>
      <c r="X5066">
        <v>0.97588850000000005</v>
      </c>
      <c r="Y5066">
        <v>-0.19818810000000001</v>
      </c>
      <c r="Z5066">
        <v>3.8307020000000001E-3</v>
      </c>
      <c r="AA5066">
        <v>0.98015649999999999</v>
      </c>
      <c r="AB5066">
        <v>40</v>
      </c>
      <c r="AC5066">
        <v>43.727400000000003</v>
      </c>
      <c r="AD5066">
        <v>-1.12096410107</v>
      </c>
      <c r="AE5066">
        <v>7.8067199999999897</v>
      </c>
      <c r="AF5066">
        <v>-8.8431627321951307</v>
      </c>
      <c r="AG5066">
        <v>-1.12096410107</v>
      </c>
      <c r="AH5066">
        <v>43.500783194469001</v>
      </c>
      <c r="AI5066">
        <v>91.446544046085293</v>
      </c>
      <c r="AJ5066">
        <v>101.490929250791</v>
      </c>
      <c r="AK5066">
        <v>44.404686984103101</v>
      </c>
      <c r="AL5066">
        <v>77.472158155799704</v>
      </c>
      <c r="AM5066">
        <v>91.425723944356704</v>
      </c>
      <c r="AN5066">
        <v>0.99999999220199098</v>
      </c>
    </row>
    <row r="5067" spans="1:40" x14ac:dyDescent="0.25">
      <c r="A5067" t="str">
        <f>"20190303170913119"</f>
        <v>20190303170913119</v>
      </c>
      <c r="B5067" t="str">
        <f>"1551604153109040"</f>
        <v>1551604153109040</v>
      </c>
      <c r="C5067" t="s">
        <v>40</v>
      </c>
      <c r="D5067">
        <v>5.163481</v>
      </c>
      <c r="E5067">
        <v>0.43621009999999999</v>
      </c>
      <c r="F5067" t="s">
        <v>59</v>
      </c>
      <c r="G5067">
        <v>-182.4144</v>
      </c>
      <c r="H5067" s="1">
        <v>-1.3090209999999999E-5</v>
      </c>
      <c r="I5067">
        <v>-55.88635</v>
      </c>
      <c r="J5067">
        <v>-225.72499999999999</v>
      </c>
      <c r="K5067">
        <v>1.1209800000000001</v>
      </c>
      <c r="L5067">
        <v>-63.635350000000003</v>
      </c>
      <c r="M5067">
        <v>0.99967530000000004</v>
      </c>
      <c r="N5067">
        <v>-9.5788069999999999E-3</v>
      </c>
      <c r="O5067">
        <v>-2.3612540000000001E-2</v>
      </c>
      <c r="P5067">
        <v>0.97817169999999998</v>
      </c>
      <c r="Q5067">
        <v>0.20779629999999999</v>
      </c>
      <c r="R5067">
        <v>9.8371320000000006E-4</v>
      </c>
      <c r="S5067">
        <v>3.0833740000000001</v>
      </c>
      <c r="T5067">
        <v>-7.9357620000000004E-2</v>
      </c>
      <c r="U5067">
        <v>0.54818730000000004</v>
      </c>
      <c r="V5067">
        <v>-2.4320000000000001E-2</v>
      </c>
      <c r="W5067">
        <v>0.21712719999999999</v>
      </c>
      <c r="X5067">
        <v>0.97584029999999999</v>
      </c>
      <c r="Y5067">
        <v>-0.19815250000000001</v>
      </c>
      <c r="Z5067">
        <v>3.8652220000000002E-3</v>
      </c>
      <c r="AA5067">
        <v>0.98016360000000002</v>
      </c>
      <c r="AB5067">
        <v>40</v>
      </c>
      <c r="AC5067">
        <v>43.310600000000001</v>
      </c>
      <c r="AD5067">
        <v>-1.1209930902099901</v>
      </c>
      <c r="AE5067">
        <v>7.7489999999999997</v>
      </c>
      <c r="AF5067">
        <v>-8.7638705456494002</v>
      </c>
      <c r="AG5067">
        <v>-1.1209930902099901</v>
      </c>
      <c r="AH5067">
        <v>43.087571763023902</v>
      </c>
      <c r="AI5067">
        <v>91.460417079945003</v>
      </c>
      <c r="AJ5067">
        <v>101.496941789538</v>
      </c>
      <c r="AK5067">
        <v>43.984098181989999</v>
      </c>
      <c r="AL5067">
        <v>77.4596443935813</v>
      </c>
      <c r="AM5067">
        <v>91.427636235847302</v>
      </c>
      <c r="AN5067">
        <v>0.99999998724196404</v>
      </c>
    </row>
    <row r="5068" spans="1:40" x14ac:dyDescent="0.25">
      <c r="A5068" t="str">
        <f>"20190303170913134"</f>
        <v>20190303170913134</v>
      </c>
      <c r="B5068" t="str">
        <f>"1551604153128559"</f>
        <v>1551604153128559</v>
      </c>
      <c r="C5068" t="s">
        <v>40</v>
      </c>
      <c r="D5068">
        <v>5.1506420000000004</v>
      </c>
      <c r="E5068">
        <v>0.4359015</v>
      </c>
      <c r="F5068" t="s">
        <v>59</v>
      </c>
      <c r="G5068">
        <v>-181.86449999999999</v>
      </c>
      <c r="H5068" s="1">
        <v>-1.3164620000000001E-5</v>
      </c>
      <c r="I5068">
        <v>-55.802520000000001</v>
      </c>
      <c r="J5068">
        <v>-225.46539999999999</v>
      </c>
      <c r="K5068">
        <v>1.12101299999999</v>
      </c>
      <c r="L5068">
        <v>-63.641240000000003</v>
      </c>
      <c r="M5068">
        <v>0.99968029999999997</v>
      </c>
      <c r="N5068">
        <v>-9.7525479999999998E-3</v>
      </c>
      <c r="O5068">
        <v>-2.332615E-2</v>
      </c>
      <c r="P5068">
        <v>0.97806990000000005</v>
      </c>
      <c r="Q5068">
        <v>0.20827560000000001</v>
      </c>
      <c r="R5068">
        <v>8.8156390000000001E-4</v>
      </c>
      <c r="S5068">
        <v>3.0831149999999998</v>
      </c>
      <c r="T5068">
        <v>-7.8798770000000004E-2</v>
      </c>
      <c r="U5068">
        <v>0.55059809999999998</v>
      </c>
      <c r="V5068">
        <v>-2.3940019999999999E-2</v>
      </c>
      <c r="W5068">
        <v>0.2177751</v>
      </c>
      <c r="X5068">
        <v>0.9757053</v>
      </c>
      <c r="Y5068">
        <v>-0.19862940000000001</v>
      </c>
      <c r="Z5068">
        <v>3.86047E-3</v>
      </c>
      <c r="AA5068">
        <v>0.98006709999999997</v>
      </c>
      <c r="AB5068">
        <v>40</v>
      </c>
      <c r="AC5068">
        <v>43.600900000000003</v>
      </c>
      <c r="AD5068">
        <v>-1.1210261646199899</v>
      </c>
      <c r="AE5068">
        <v>7.8387200000000004</v>
      </c>
      <c r="AF5068">
        <v>-8.8480105615800095</v>
      </c>
      <c r="AG5068">
        <v>-1.1210261646199899</v>
      </c>
      <c r="AH5068">
        <v>43.378401699399902</v>
      </c>
      <c r="AI5068">
        <v>91.450509373209897</v>
      </c>
      <c r="AJ5068">
        <v>101.528629771808</v>
      </c>
      <c r="AK5068">
        <v>44.285773387783301</v>
      </c>
      <c r="AL5068">
        <v>77.421612247978004</v>
      </c>
      <c r="AM5068">
        <v>91.405533976649195</v>
      </c>
      <c r="AN5068">
        <v>0.99999997559284903</v>
      </c>
    </row>
    <row r="5069" spans="1:40" x14ac:dyDescent="0.25">
      <c r="A5069" t="str">
        <f>"20190303170913147"</f>
        <v>20190303170913147</v>
      </c>
      <c r="B5069" t="str">
        <f>"1551604153139295"</f>
        <v>1551604153139295</v>
      </c>
      <c r="C5069" t="s">
        <v>40</v>
      </c>
      <c r="D5069">
        <v>5.1781430000000004</v>
      </c>
      <c r="E5069">
        <v>0.43570510000000001</v>
      </c>
      <c r="F5069" t="s">
        <v>59</v>
      </c>
      <c r="G5069">
        <v>-180.38509999999999</v>
      </c>
      <c r="H5069" s="1">
        <v>-1.335601E-5</v>
      </c>
      <c r="I5069">
        <v>-55.551270000000002</v>
      </c>
      <c r="J5069">
        <v>-225.23429999999999</v>
      </c>
      <c r="K5069">
        <v>1.1210420000000001</v>
      </c>
      <c r="L5069">
        <v>-63.646450000000002</v>
      </c>
      <c r="M5069">
        <v>0.99968460000000003</v>
      </c>
      <c r="N5069">
        <v>-9.9171950000000002E-3</v>
      </c>
      <c r="O5069">
        <v>-2.3070730000000001E-2</v>
      </c>
      <c r="P5069">
        <v>0.97800489999999995</v>
      </c>
      <c r="Q5069">
        <v>0.2085814</v>
      </c>
      <c r="R5069">
        <v>6.6480969999999995E-4</v>
      </c>
      <c r="S5069">
        <v>3.0830989999999998</v>
      </c>
      <c r="T5069">
        <v>-7.6668500000000001E-2</v>
      </c>
      <c r="U5069">
        <v>0.55328369999999905</v>
      </c>
      <c r="V5069">
        <v>-2.347598E-2</v>
      </c>
      <c r="W5069">
        <v>0.21824089999999999</v>
      </c>
      <c r="X5069">
        <v>0.97561249999999999</v>
      </c>
      <c r="Y5069">
        <v>-0.19921069999999999</v>
      </c>
      <c r="Z5069">
        <v>3.7952530000000002E-3</v>
      </c>
      <c r="AA5069">
        <v>0.97994939999999997</v>
      </c>
      <c r="AB5069">
        <v>40</v>
      </c>
      <c r="AC5069">
        <v>44.849200000000003</v>
      </c>
      <c r="AD5069">
        <v>-1.1210553560100001</v>
      </c>
      <c r="AE5069">
        <v>8.0951799999999992</v>
      </c>
      <c r="AF5069">
        <v>-9.1222600489658294</v>
      </c>
      <c r="AG5069">
        <v>-1.1210553560100001</v>
      </c>
      <c r="AH5069">
        <v>44.623489338961498</v>
      </c>
      <c r="AI5069">
        <v>91.409964838380404</v>
      </c>
      <c r="AJ5069">
        <v>101.553633498921</v>
      </c>
      <c r="AK5069">
        <v>45.560160165396802</v>
      </c>
      <c r="AL5069">
        <v>77.394266186632905</v>
      </c>
      <c r="AM5069">
        <v>91.378431555781006</v>
      </c>
      <c r="AN5069">
        <v>0.99999998111300903</v>
      </c>
    </row>
    <row r="5070" spans="1:40" x14ac:dyDescent="0.25">
      <c r="A5070" t="str">
        <f>"20190303170913169"</f>
        <v>20190303170913169</v>
      </c>
      <c r="B5070" t="str">
        <f>"1551604153158815"</f>
        <v>1551604153158815</v>
      </c>
      <c r="C5070" t="s">
        <v>40</v>
      </c>
      <c r="D5070">
        <v>5.1529939999999996</v>
      </c>
      <c r="E5070">
        <v>0.42936459999999999</v>
      </c>
      <c r="F5070" t="s">
        <v>59</v>
      </c>
      <c r="G5070">
        <v>-179.95769999999999</v>
      </c>
      <c r="H5070">
        <v>1.9243969999999999E-2</v>
      </c>
      <c r="I5070">
        <v>-55.492600000000003</v>
      </c>
      <c r="J5070">
        <v>-224.84399999999999</v>
      </c>
      <c r="K5070">
        <v>1.1210910000000001</v>
      </c>
      <c r="L5070">
        <v>-63.655059999999999</v>
      </c>
      <c r="M5070">
        <v>0.99969160000000001</v>
      </c>
      <c r="N5070">
        <v>-1.0206120000000001E-2</v>
      </c>
      <c r="O5070">
        <v>-2.2643090000000001E-2</v>
      </c>
      <c r="P5070">
        <v>0.9782189</v>
      </c>
      <c r="Q5070">
        <v>0.20757210000000001</v>
      </c>
      <c r="R5070">
        <v>1.319731E-3</v>
      </c>
      <c r="S5070">
        <v>3.0830989999999998</v>
      </c>
      <c r="T5070">
        <v>-7.5026750000000003E-2</v>
      </c>
      <c r="U5070">
        <v>0.55523679999999997</v>
      </c>
      <c r="V5070">
        <v>-2.372136E-2</v>
      </c>
      <c r="W5070">
        <v>0.21751490000000001</v>
      </c>
      <c r="X5070">
        <v>0.97576870000000004</v>
      </c>
      <c r="Y5070">
        <v>-0.1993955</v>
      </c>
      <c r="Z5070">
        <v>3.7499489999999998E-3</v>
      </c>
      <c r="AA5070">
        <v>0.97991189999999995</v>
      </c>
      <c r="AB5070">
        <v>40</v>
      </c>
      <c r="AC5070">
        <v>44.886299999999999</v>
      </c>
      <c r="AD5070">
        <v>-1.1018470300000001</v>
      </c>
      <c r="AE5070">
        <v>8.1624599999999905</v>
      </c>
      <c r="AF5070">
        <v>-9.1714347891735599</v>
      </c>
      <c r="AG5070">
        <v>-1.1018470300000001</v>
      </c>
      <c r="AH5070">
        <v>44.663905493241799</v>
      </c>
      <c r="AI5070">
        <v>91.384313006100697</v>
      </c>
      <c r="AJ5070">
        <v>101.604002596828</v>
      </c>
      <c r="AK5070">
        <v>45.609140935549497</v>
      </c>
      <c r="AL5070">
        <v>77.4368870223892</v>
      </c>
      <c r="AM5070">
        <v>91.392610932420197</v>
      </c>
      <c r="AN5070">
        <v>0.99999999527097405</v>
      </c>
    </row>
    <row r="5071" spans="1:40" x14ac:dyDescent="0.25">
      <c r="A5071" t="str">
        <f>"20190303170913183"</f>
        <v>20190303170913183</v>
      </c>
      <c r="B5071" t="str">
        <f>"1551604153168575"</f>
        <v>1551604153168575</v>
      </c>
      <c r="C5071" t="s">
        <v>40</v>
      </c>
      <c r="D5071">
        <v>5.1640680000000003</v>
      </c>
      <c r="E5071">
        <v>0.42935600000000002</v>
      </c>
      <c r="F5071" t="s">
        <v>59</v>
      </c>
      <c r="G5071">
        <v>-179.93219999999999</v>
      </c>
      <c r="H5071">
        <v>7.5580770000000005E-2</v>
      </c>
      <c r="I5071">
        <v>-54.801690000000001</v>
      </c>
      <c r="J5071">
        <v>-224.5949</v>
      </c>
      <c r="K5071">
        <v>1.12112099999999</v>
      </c>
      <c r="L5071">
        <v>-63.660429999999998</v>
      </c>
      <c r="M5071">
        <v>0.99969560000000002</v>
      </c>
      <c r="N5071">
        <v>-1.039935E-2</v>
      </c>
      <c r="O5071">
        <v>-2.2374149999999999E-2</v>
      </c>
      <c r="P5071">
        <v>0.97839010000000004</v>
      </c>
      <c r="Q5071">
        <v>0.2067573</v>
      </c>
      <c r="R5071">
        <v>2.0007419999999998E-3</v>
      </c>
      <c r="S5071">
        <v>3.081207</v>
      </c>
      <c r="T5071">
        <v>-7.1727869999999999E-2</v>
      </c>
      <c r="U5071">
        <v>0.60739140000000003</v>
      </c>
      <c r="V5071">
        <v>-2.414355E-2</v>
      </c>
      <c r="W5071">
        <v>0.21688979999999999</v>
      </c>
      <c r="X5071">
        <v>0.97589749999999997</v>
      </c>
      <c r="Y5071">
        <v>-0.21522630000000001</v>
      </c>
      <c r="Z5071">
        <v>3.8966909999999999E-3</v>
      </c>
      <c r="AA5071">
        <v>0.97655639999999999</v>
      </c>
      <c r="AB5071">
        <v>40</v>
      </c>
      <c r="AC5071">
        <v>44.662700000000001</v>
      </c>
      <c r="AD5071">
        <v>-1.0455402299999901</v>
      </c>
      <c r="AE5071">
        <v>8.8587399999999992</v>
      </c>
      <c r="AF5071">
        <v>-9.8506721310126402</v>
      </c>
      <c r="AG5071">
        <v>-1.0455402299999901</v>
      </c>
      <c r="AH5071">
        <v>44.429874222732899</v>
      </c>
      <c r="AI5071">
        <v>91.3161086742207</v>
      </c>
      <c r="AJ5071">
        <v>102.500990893291</v>
      </c>
      <c r="AK5071">
        <v>45.520793262564403</v>
      </c>
      <c r="AL5071">
        <v>77.473578798107795</v>
      </c>
      <c r="AM5071">
        <v>91.417199445122606</v>
      </c>
      <c r="AN5071">
        <v>1.0000000134284399</v>
      </c>
    </row>
    <row r="5072" spans="1:40" x14ac:dyDescent="0.25">
      <c r="A5072" t="str">
        <f>"20190303170913196"</f>
        <v>20190303170913196</v>
      </c>
      <c r="B5072" t="str">
        <f>"1551604153189072"</f>
        <v>1551604153189072</v>
      </c>
      <c r="C5072" t="s">
        <v>40</v>
      </c>
      <c r="D5072">
        <v>5.2074030000000002</v>
      </c>
      <c r="E5072">
        <v>0.42931039999999998</v>
      </c>
      <c r="F5072" t="s">
        <v>59</v>
      </c>
      <c r="G5072">
        <v>-179.95769999999999</v>
      </c>
      <c r="H5072">
        <v>2.3548369999999999E-2</v>
      </c>
      <c r="I5072">
        <v>-54.834609999999998</v>
      </c>
      <c r="J5072">
        <v>-224.3561</v>
      </c>
      <c r="K5072">
        <v>1.121146</v>
      </c>
      <c r="L5072">
        <v>-63.665559999999999</v>
      </c>
      <c r="M5072">
        <v>0.99969940000000002</v>
      </c>
      <c r="N5072">
        <v>-1.0588520000000001E-2</v>
      </c>
      <c r="O5072">
        <v>-2.211728E-2</v>
      </c>
      <c r="P5072">
        <v>0.97857539999999998</v>
      </c>
      <c r="Q5072">
        <v>0.20586930000000001</v>
      </c>
      <c r="R5072">
        <v>2.8222859999999998E-3</v>
      </c>
      <c r="S5072">
        <v>3.0810240000000002</v>
      </c>
      <c r="T5072">
        <v>-7.5758580000000006E-2</v>
      </c>
      <c r="U5072">
        <v>0.60919190000000001</v>
      </c>
      <c r="V5072">
        <v>-2.4718009999999999E-2</v>
      </c>
      <c r="W5072">
        <v>0.2161873</v>
      </c>
      <c r="X5072">
        <v>0.97603899999999999</v>
      </c>
      <c r="Y5072">
        <v>-0.21552689999999999</v>
      </c>
      <c r="Z5072">
        <v>4.0832330000000003E-3</v>
      </c>
      <c r="AA5072">
        <v>0.97648939999999995</v>
      </c>
      <c r="AB5072">
        <v>40</v>
      </c>
      <c r="AC5072">
        <v>44.398400000000002</v>
      </c>
      <c r="AD5072">
        <v>-1.0975976300000001</v>
      </c>
      <c r="AE5072">
        <v>8.8309499999999996</v>
      </c>
      <c r="AF5072">
        <v>-9.8050520055651802</v>
      </c>
      <c r="AG5072">
        <v>-1.0975976300000001</v>
      </c>
      <c r="AH5072">
        <v>44.166245455169097</v>
      </c>
      <c r="AI5072">
        <v>91.389771169504996</v>
      </c>
      <c r="AJ5072">
        <v>102.516853820215</v>
      </c>
      <c r="AK5072">
        <v>45.254845077576697</v>
      </c>
      <c r="AL5072">
        <v>77.514807466445703</v>
      </c>
      <c r="AM5072">
        <v>91.450695106555202</v>
      </c>
      <c r="AN5072">
        <v>1.0000000291103199</v>
      </c>
    </row>
    <row r="5073" spans="1:40" x14ac:dyDescent="0.25">
      <c r="A5073" t="str">
        <f>"20190303170913207"</f>
        <v>20190303170913207</v>
      </c>
      <c r="B5073" t="str">
        <f>"1551604153198831"</f>
        <v>1551604153198831</v>
      </c>
      <c r="C5073" t="s">
        <v>40</v>
      </c>
      <c r="D5073">
        <v>5.1972680000000002</v>
      </c>
      <c r="E5073">
        <v>0.42922009999999999</v>
      </c>
      <c r="F5073" t="s">
        <v>59</v>
      </c>
      <c r="G5073">
        <v>-180.8707</v>
      </c>
      <c r="H5073" s="1">
        <v>-1.308727E-5</v>
      </c>
      <c r="I5073">
        <v>-55.030200000000001</v>
      </c>
      <c r="J5073">
        <v>-224.14019999999999</v>
      </c>
      <c r="K5073">
        <v>1.121165</v>
      </c>
      <c r="L5073">
        <v>-63.670099999999998</v>
      </c>
      <c r="M5073">
        <v>0.9997026</v>
      </c>
      <c r="N5073">
        <v>-1.076273E-2</v>
      </c>
      <c r="O5073">
        <v>-2.1885169999999999E-2</v>
      </c>
      <c r="P5073">
        <v>0.97861489999999995</v>
      </c>
      <c r="Q5073">
        <v>0.20567379999999999</v>
      </c>
      <c r="R5073">
        <v>3.3858529999999999E-3</v>
      </c>
      <c r="S5073">
        <v>3.0806429999999998</v>
      </c>
      <c r="T5073">
        <v>-7.9426289999999997E-2</v>
      </c>
      <c r="U5073">
        <v>0.61175539999999995</v>
      </c>
      <c r="V5073">
        <v>-2.5054170000000001E-2</v>
      </c>
      <c r="W5073">
        <v>0.21616270000000001</v>
      </c>
      <c r="X5073">
        <v>0.97603580000000001</v>
      </c>
      <c r="Y5073">
        <v>-0.21609639999999999</v>
      </c>
      <c r="Z5073">
        <v>4.2586339999999999E-3</v>
      </c>
      <c r="AA5073">
        <v>0.97636279999999998</v>
      </c>
      <c r="AB5073">
        <v>40</v>
      </c>
      <c r="AC5073">
        <v>43.269500000000001</v>
      </c>
      <c r="AD5073">
        <v>-1.1211780872699999</v>
      </c>
      <c r="AE5073">
        <v>8.6398999999999901</v>
      </c>
      <c r="AF5073">
        <v>-9.5786610102389709</v>
      </c>
      <c r="AG5073">
        <v>-1.1211780872699999</v>
      </c>
      <c r="AH5073">
        <v>43.042247939485698</v>
      </c>
      <c r="AI5073">
        <v>91.456506554143402</v>
      </c>
      <c r="AJ5073">
        <v>102.546206711542</v>
      </c>
      <c r="AK5073">
        <v>44.109442240144098</v>
      </c>
      <c r="AL5073">
        <v>77.516250119348896</v>
      </c>
      <c r="AM5073">
        <v>91.470420485578799</v>
      </c>
      <c r="AN5073">
        <v>0.99999995359365801</v>
      </c>
    </row>
    <row r="5074" spans="1:40" x14ac:dyDescent="0.25">
      <c r="A5074" t="str">
        <f>"20190303170913218"</f>
        <v>20190303170913218</v>
      </c>
      <c r="B5074" t="str">
        <f>"1551604153208591"</f>
        <v>1551604153208591</v>
      </c>
      <c r="C5074" t="s">
        <v>40</v>
      </c>
      <c r="D5074">
        <v>5.1892880000000003</v>
      </c>
      <c r="E5074">
        <v>0.42905890000000002</v>
      </c>
      <c r="F5074" t="s">
        <v>59</v>
      </c>
      <c r="G5074">
        <v>-181.51439999999999</v>
      </c>
      <c r="H5074" s="1">
        <v>-1.301665E-5</v>
      </c>
      <c r="I5074">
        <v>-55.176659999999998</v>
      </c>
      <c r="J5074">
        <v>-223.95760000000001</v>
      </c>
      <c r="K5074">
        <v>1.1211739999999999</v>
      </c>
      <c r="L5074">
        <v>-63.673920000000003</v>
      </c>
      <c r="M5074">
        <v>0.99970519999999996</v>
      </c>
      <c r="N5074">
        <v>-1.091368E-2</v>
      </c>
      <c r="O5074">
        <v>-2.1686489999999999E-2</v>
      </c>
      <c r="P5074">
        <v>0.97857070000000002</v>
      </c>
      <c r="Q5074">
        <v>0.20588229999999999</v>
      </c>
      <c r="R5074">
        <v>3.4517419999999998E-3</v>
      </c>
      <c r="S5074">
        <v>3.08046</v>
      </c>
      <c r="T5074">
        <v>-8.1024769999999996E-2</v>
      </c>
      <c r="U5074">
        <v>0.61380000000000001</v>
      </c>
      <c r="V5074">
        <v>-2.4923239999999999E-2</v>
      </c>
      <c r="W5074">
        <v>0.2165183</v>
      </c>
      <c r="X5074">
        <v>0.97596039999999995</v>
      </c>
      <c r="Y5074">
        <v>-0.21653269999999999</v>
      </c>
      <c r="Z5074">
        <v>4.3437129999999999E-3</v>
      </c>
      <c r="AA5074">
        <v>0.97626570000000001</v>
      </c>
      <c r="AB5074">
        <v>40</v>
      </c>
      <c r="AC5074">
        <v>42.443199999999997</v>
      </c>
      <c r="AD5074">
        <v>-1.12118701665</v>
      </c>
      <c r="AE5074">
        <v>8.49725999999999</v>
      </c>
      <c r="AF5074">
        <v>-9.4094472662527604</v>
      </c>
      <c r="AG5074">
        <v>-1.12118701665</v>
      </c>
      <c r="AH5074">
        <v>42.2206035384229</v>
      </c>
      <c r="AI5074">
        <v>91.484748806783401</v>
      </c>
      <c r="AJ5074">
        <v>102.563836814922</v>
      </c>
      <c r="AK5074">
        <v>43.2709385307435</v>
      </c>
      <c r="AL5074">
        <v>77.495382400927198</v>
      </c>
      <c r="AM5074">
        <v>91.462852554913795</v>
      </c>
      <c r="AN5074">
        <v>1.00000002224757</v>
      </c>
    </row>
    <row r="5075" spans="1:40" x14ac:dyDescent="0.25">
      <c r="A5075" t="str">
        <f>"20190303170913230"</f>
        <v>20190303170913230</v>
      </c>
      <c r="B5075" t="str">
        <f>"1551604153219328"</f>
        <v>1551604153219328</v>
      </c>
      <c r="C5075" t="s">
        <v>40</v>
      </c>
      <c r="D5075">
        <v>5.2091719999999997</v>
      </c>
      <c r="E5075">
        <v>0.42899619999999999</v>
      </c>
      <c r="F5075" t="s">
        <v>59</v>
      </c>
      <c r="G5075">
        <v>-180.8938</v>
      </c>
      <c r="H5075" s="1">
        <v>-1.3095920000000001E-5</v>
      </c>
      <c r="I5075">
        <v>-55.068219999999997</v>
      </c>
      <c r="J5075">
        <v>-223.74979999999999</v>
      </c>
      <c r="K5075">
        <v>1.1211899999999999</v>
      </c>
      <c r="L5075">
        <v>-63.678249999999998</v>
      </c>
      <c r="M5075">
        <v>0.99970820000000005</v>
      </c>
      <c r="N5075">
        <v>-1.1086159999999999E-2</v>
      </c>
      <c r="O5075">
        <v>-2.1459929999999999E-2</v>
      </c>
      <c r="P5075">
        <v>0.97845950000000004</v>
      </c>
      <c r="Q5075">
        <v>0.2064136</v>
      </c>
      <c r="R5075">
        <v>3.2536069999999999E-3</v>
      </c>
      <c r="S5075">
        <v>3.0803829999999999</v>
      </c>
      <c r="T5075">
        <v>-8.0199119999999999E-2</v>
      </c>
      <c r="U5075">
        <v>0.61557010000000001</v>
      </c>
      <c r="V5075">
        <v>-2.4500040000000001E-2</v>
      </c>
      <c r="W5075">
        <v>0.21721699999999999</v>
      </c>
      <c r="X5075">
        <v>0.97581580000000001</v>
      </c>
      <c r="Y5075">
        <v>-0.21685689999999999</v>
      </c>
      <c r="Z5075">
        <v>4.3270009999999996E-3</v>
      </c>
      <c r="AA5075">
        <v>0.9761938</v>
      </c>
      <c r="AB5075">
        <v>40</v>
      </c>
      <c r="AC5075">
        <v>42.856000000000002</v>
      </c>
      <c r="AD5075">
        <v>-1.1212030959199999</v>
      </c>
      <c r="AE5075">
        <v>8.6100300000000001</v>
      </c>
      <c r="AF5075">
        <v>-9.5215260468814993</v>
      </c>
      <c r="AG5075">
        <v>-1.1212030959199999</v>
      </c>
      <c r="AH5075">
        <v>42.633298963764602</v>
      </c>
      <c r="AI5075">
        <v>91.470256394403407</v>
      </c>
      <c r="AJ5075">
        <v>102.589573817713</v>
      </c>
      <c r="AK5075">
        <v>43.697994635652101</v>
      </c>
      <c r="AL5075">
        <v>77.454373292570693</v>
      </c>
      <c r="AM5075">
        <v>91.438236642012896</v>
      </c>
      <c r="AN5075">
        <v>0.99999997628932003</v>
      </c>
    </row>
    <row r="5076" spans="1:40" x14ac:dyDescent="0.25">
      <c r="A5076" t="str">
        <f>"20190303170913241"</f>
        <v>20190303170913241</v>
      </c>
      <c r="B5076" t="str">
        <f>"1551604153229087"</f>
        <v>1551604153229087</v>
      </c>
      <c r="C5076" t="s">
        <v>40</v>
      </c>
      <c r="D5076">
        <v>5.2159409999999999</v>
      </c>
      <c r="E5076">
        <v>0.42899619999999999</v>
      </c>
      <c r="F5076" t="s">
        <v>59</v>
      </c>
      <c r="G5076">
        <v>-179.95769999999999</v>
      </c>
      <c r="H5076">
        <v>6.9332159999999999E-3</v>
      </c>
      <c r="I5076">
        <v>-54.918819999999997</v>
      </c>
      <c r="J5076">
        <v>-223.54589999999999</v>
      </c>
      <c r="K5076">
        <v>1.1212070000000001</v>
      </c>
      <c r="L5076">
        <v>-63.682400000000001</v>
      </c>
      <c r="M5076">
        <v>0.99971109999999996</v>
      </c>
      <c r="N5076">
        <v>-1.125787E-2</v>
      </c>
      <c r="O5076">
        <v>-2.123483E-2</v>
      </c>
      <c r="P5076">
        <v>0.97838040000000004</v>
      </c>
      <c r="Q5076">
        <v>0.20679310000000001</v>
      </c>
      <c r="R5076">
        <v>2.842462E-3</v>
      </c>
      <c r="S5076">
        <v>3.0805359999999999</v>
      </c>
      <c r="T5076">
        <v>-7.8382019999999997E-2</v>
      </c>
      <c r="U5076">
        <v>0.61618039999999996</v>
      </c>
      <c r="V5076">
        <v>-2.3864699999999999E-2</v>
      </c>
      <c r="W5076">
        <v>0.21776429999999999</v>
      </c>
      <c r="X5076">
        <v>0.97570959999999995</v>
      </c>
      <c r="Y5076">
        <v>-0.2168175</v>
      </c>
      <c r="Z5076">
        <v>4.2622249999999997E-3</v>
      </c>
      <c r="AA5076">
        <v>0.97620280000000004</v>
      </c>
      <c r="AB5076">
        <v>40</v>
      </c>
      <c r="AC5076">
        <v>43.588200000000001</v>
      </c>
      <c r="AD5076">
        <v>-1.1142737840000001</v>
      </c>
      <c r="AE5076">
        <v>8.7635799999999993</v>
      </c>
      <c r="AF5076">
        <v>-9.6811695573199703</v>
      </c>
      <c r="AG5076">
        <v>-1.1142737840000001</v>
      </c>
      <c r="AH5076">
        <v>43.365027328106798</v>
      </c>
      <c r="AI5076">
        <v>91.436555415862699</v>
      </c>
      <c r="AJ5076">
        <v>102.58482002864601</v>
      </c>
      <c r="AK5076">
        <v>44.446509933072797</v>
      </c>
      <c r="AL5076">
        <v>77.4222468121323</v>
      </c>
      <c r="AM5076">
        <v>91.4011074841832</v>
      </c>
      <c r="AN5076">
        <v>1.00000001889636</v>
      </c>
    </row>
    <row r="5077" spans="1:40" x14ac:dyDescent="0.25">
      <c r="A5077" t="str">
        <f>"20190303170913252"</f>
        <v>20190303170913252</v>
      </c>
      <c r="B5077" t="str">
        <f>"1551604153238848"</f>
        <v>1551604153238848</v>
      </c>
      <c r="C5077" t="s">
        <v>40</v>
      </c>
      <c r="D5077">
        <v>5.1910569999999998</v>
      </c>
      <c r="E5077">
        <v>0.41046539999999998</v>
      </c>
      <c r="F5077" t="s">
        <v>59</v>
      </c>
      <c r="G5077">
        <v>-179.95769999999999</v>
      </c>
      <c r="H5077">
        <v>3.196032E-2</v>
      </c>
      <c r="I5077">
        <v>-54.9799199999999</v>
      </c>
      <c r="J5077">
        <v>-223.3519</v>
      </c>
      <c r="K5077">
        <v>1.1212299999999999</v>
      </c>
      <c r="L5077">
        <v>-63.686340000000001</v>
      </c>
      <c r="M5077">
        <v>0.99971399999999999</v>
      </c>
      <c r="N5077">
        <v>-1.1420649999999999E-2</v>
      </c>
      <c r="O5077">
        <v>-2.1020290000000001E-2</v>
      </c>
      <c r="P5077">
        <v>0.97824509999999998</v>
      </c>
      <c r="Q5077">
        <v>0.20743819999999999</v>
      </c>
      <c r="R5077">
        <v>2.5107340000000001E-3</v>
      </c>
      <c r="S5077">
        <v>3.080765</v>
      </c>
      <c r="T5077">
        <v>-7.6986789999999999E-2</v>
      </c>
      <c r="U5077">
        <v>0.61508180000000001</v>
      </c>
      <c r="V5077">
        <v>-2.3318849999999999E-2</v>
      </c>
      <c r="W5077">
        <v>0.21856800000000001</v>
      </c>
      <c r="X5077">
        <v>0.9755431</v>
      </c>
      <c r="Y5077">
        <v>-0.21626229999999999</v>
      </c>
      <c r="Z5077">
        <v>4.2053660000000003E-3</v>
      </c>
      <c r="AA5077">
        <v>0.97632620000000003</v>
      </c>
      <c r="AB5077">
        <v>40</v>
      </c>
      <c r="AC5077">
        <v>43.394199999999998</v>
      </c>
      <c r="AD5077">
        <v>-1.0892696799999999</v>
      </c>
      <c r="AE5077">
        <v>8.7064199999999996</v>
      </c>
      <c r="AF5077">
        <v>-9.6108925997166494</v>
      </c>
      <c r="AG5077">
        <v>-1.0892696799999999</v>
      </c>
      <c r="AH5077">
        <v>43.175435420350603</v>
      </c>
      <c r="AI5077">
        <v>91.410690499890606</v>
      </c>
      <c r="AJ5077">
        <v>102.54948396830299</v>
      </c>
      <c r="AK5077">
        <v>44.245609824432499</v>
      </c>
      <c r="AL5077">
        <v>77.375061845350601</v>
      </c>
      <c r="AM5077">
        <v>91.369306296415502</v>
      </c>
      <c r="AN5077">
        <v>1.0000000396734601</v>
      </c>
    </row>
    <row r="5078" spans="1:40" x14ac:dyDescent="0.25">
      <c r="A5078" t="str">
        <f>"20190303170913264"</f>
        <v>20190303170913264</v>
      </c>
      <c r="B5078" t="str">
        <f>"1551604153259343"</f>
        <v>1551604153259343</v>
      </c>
      <c r="C5078" t="s">
        <v>40</v>
      </c>
      <c r="D5078">
        <v>5.0628859999999998</v>
      </c>
      <c r="E5078">
        <v>0.39041409999999999</v>
      </c>
      <c r="F5078" t="s">
        <v>53</v>
      </c>
      <c r="G5078">
        <v>-157.3501</v>
      </c>
      <c r="H5078">
        <v>0.55928800000000001</v>
      </c>
      <c r="I5078">
        <v>-47.354469999999999</v>
      </c>
      <c r="J5078">
        <v>-223.14879999999999</v>
      </c>
      <c r="K5078">
        <v>1.1212489999999999</v>
      </c>
      <c r="L5078">
        <v>-63.690429999999999</v>
      </c>
      <c r="M5078">
        <v>0.99971670000000001</v>
      </c>
      <c r="N5078">
        <v>-1.1589530000000001E-2</v>
      </c>
      <c r="O5078">
        <v>-2.0794360000000001E-2</v>
      </c>
      <c r="P5078">
        <v>0.97821999999999998</v>
      </c>
      <c r="Q5078">
        <v>0.20755960000000001</v>
      </c>
      <c r="R5078">
        <v>2.193857E-3</v>
      </c>
      <c r="S5078">
        <v>3.0703130000000001</v>
      </c>
      <c r="T5078">
        <v>-2.6141640000000001E-2</v>
      </c>
      <c r="U5078">
        <v>0.7597351</v>
      </c>
      <c r="V5078">
        <v>-2.2777740000000001E-2</v>
      </c>
      <c r="W5078">
        <v>0.2188551</v>
      </c>
      <c r="X5078">
        <v>0.97549149999999996</v>
      </c>
      <c r="Y5078">
        <v>-0.2603142</v>
      </c>
      <c r="Z5078">
        <v>2.5599360000000001E-3</v>
      </c>
      <c r="AA5078">
        <v>0.96552059999999995</v>
      </c>
      <c r="AB5078">
        <v>40</v>
      </c>
      <c r="AC5078">
        <v>65.798699999999997</v>
      </c>
      <c r="AD5078">
        <v>-0.56196099999999904</v>
      </c>
      <c r="AE5078">
        <v>16.33596</v>
      </c>
      <c r="AF5078">
        <v>-17.699544798112999</v>
      </c>
      <c r="AG5078">
        <v>-0.56196099999999904</v>
      </c>
      <c r="AH5078">
        <v>65.440255878986406</v>
      </c>
      <c r="AI5078">
        <v>90.4749446282961</v>
      </c>
      <c r="AJ5078">
        <v>105.134605175765</v>
      </c>
      <c r="AK5078">
        <v>67.793928752751498</v>
      </c>
      <c r="AL5078">
        <v>77.358203884947102</v>
      </c>
      <c r="AM5078">
        <v>91.337614179020093</v>
      </c>
      <c r="AN5078">
        <v>1.0000000234038799</v>
      </c>
    </row>
    <row r="5079" spans="1:40" x14ac:dyDescent="0.25">
      <c r="A5079" t="str">
        <f>"20190303170913275"</f>
        <v>20190303170913275</v>
      </c>
      <c r="B5079" t="str">
        <f>"1551604153269103"</f>
        <v>1551604153269103</v>
      </c>
      <c r="C5079" t="s">
        <v>40</v>
      </c>
      <c r="D5079">
        <v>5.0960779999999897</v>
      </c>
      <c r="E5079">
        <v>0.38307020000000003</v>
      </c>
      <c r="F5079" t="s">
        <v>53</v>
      </c>
      <c r="G5079">
        <v>-157.3501</v>
      </c>
      <c r="H5079">
        <v>2.5100530000000001</v>
      </c>
      <c r="I5079">
        <v>-43.983280000000001</v>
      </c>
      <c r="J5079">
        <v>-222.93469999999999</v>
      </c>
      <c r="K5079">
        <v>1.1212660000000001</v>
      </c>
      <c r="L5079">
        <v>-63.694670000000002</v>
      </c>
      <c r="M5079">
        <v>0.99971949999999998</v>
      </c>
      <c r="N5079">
        <v>-1.176495E-2</v>
      </c>
      <c r="O5079">
        <v>-2.0556669999999999E-2</v>
      </c>
      <c r="P5079">
        <v>0.97828630000000005</v>
      </c>
      <c r="Q5079">
        <v>0.20724509999999999</v>
      </c>
      <c r="R5079">
        <v>2.356894E-3</v>
      </c>
      <c r="S5079">
        <v>3.0510860000000002</v>
      </c>
      <c r="T5079">
        <v>6.4397339999999997E-2</v>
      </c>
      <c r="U5079">
        <v>0.91381840000000003</v>
      </c>
      <c r="V5079">
        <v>-2.270778E-2</v>
      </c>
      <c r="W5079">
        <v>0.21871270000000001</v>
      </c>
      <c r="X5079">
        <v>0.97552499999999998</v>
      </c>
      <c r="Y5079">
        <v>-0.30651060000000002</v>
      </c>
      <c r="Z5079">
        <v>-1.9842420000000002E-3</v>
      </c>
      <c r="AA5079">
        <v>0.95186519999999997</v>
      </c>
      <c r="AB5079">
        <v>40</v>
      </c>
      <c r="AC5079">
        <v>65.584599999999995</v>
      </c>
      <c r="AD5079">
        <v>1.388787</v>
      </c>
      <c r="AE5079">
        <v>19.711389999999898</v>
      </c>
      <c r="AF5079">
        <v>-21.046862846355801</v>
      </c>
      <c r="AG5079">
        <v>1.388787</v>
      </c>
      <c r="AH5079">
        <v>65.138722253682204</v>
      </c>
      <c r="AI5079">
        <v>88.837758263377395</v>
      </c>
      <c r="AJ5079">
        <v>107.906076167642</v>
      </c>
      <c r="AK5079">
        <v>68.468622754127594</v>
      </c>
      <c r="AL5079">
        <v>77.3665645222287</v>
      </c>
      <c r="AM5079">
        <v>91.333461513440099</v>
      </c>
      <c r="AN5079">
        <v>0.99999995701940803</v>
      </c>
    </row>
    <row r="5080" spans="1:40" x14ac:dyDescent="0.25">
      <c r="A5080" t="str">
        <f>"20190303170913287"</f>
        <v>20190303170913287</v>
      </c>
      <c r="B5080" t="str">
        <f>"1551604153278863"</f>
        <v>1551604153278863</v>
      </c>
      <c r="C5080" t="s">
        <v>40</v>
      </c>
      <c r="D5080">
        <v>5.1871080000000003</v>
      </c>
      <c r="E5080">
        <v>0.37856299999999998</v>
      </c>
      <c r="F5080" t="s">
        <v>53</v>
      </c>
      <c r="G5080">
        <v>-157.3501</v>
      </c>
      <c r="H5080">
        <v>3.12982</v>
      </c>
      <c r="I5080">
        <v>-42.778460000000003</v>
      </c>
      <c r="J5080">
        <v>-222.72200000000001</v>
      </c>
      <c r="K5080">
        <v>1.121283</v>
      </c>
      <c r="L5080">
        <v>-63.69885</v>
      </c>
      <c r="M5080">
        <v>0.99972229999999995</v>
      </c>
      <c r="N5080">
        <v>-1.193716E-2</v>
      </c>
      <c r="O5080">
        <v>-2.0321349999999998E-2</v>
      </c>
      <c r="P5080">
        <v>0.9784429</v>
      </c>
      <c r="Q5080">
        <v>0.20649629999999999</v>
      </c>
      <c r="R5080">
        <v>2.960332E-3</v>
      </c>
      <c r="S5080">
        <v>3.044495</v>
      </c>
      <c r="T5080">
        <v>9.3237639999999997E-2</v>
      </c>
      <c r="U5080">
        <v>0.97094729999999996</v>
      </c>
      <c r="V5080">
        <v>-2.3081589999999999E-2</v>
      </c>
      <c r="W5080">
        <v>0.21813340000000001</v>
      </c>
      <c r="X5080">
        <v>0.97564600000000001</v>
      </c>
      <c r="Y5080">
        <v>-0.32304329999999998</v>
      </c>
      <c r="Z5080">
        <v>-3.6947379999999999E-3</v>
      </c>
      <c r="AA5080">
        <v>0.94637700000000002</v>
      </c>
      <c r="AB5080">
        <v>40</v>
      </c>
      <c r="AC5080">
        <v>65.371899999999997</v>
      </c>
      <c r="AD5080">
        <v>2.008537</v>
      </c>
      <c r="AE5080">
        <v>20.920390000000001</v>
      </c>
      <c r="AF5080">
        <v>-22.2255770903928</v>
      </c>
      <c r="AG5080">
        <v>2.008537</v>
      </c>
      <c r="AH5080">
        <v>64.877682298744503</v>
      </c>
      <c r="AI5080">
        <v>88.322406647569807</v>
      </c>
      <c r="AJ5080">
        <v>108.910261018285</v>
      </c>
      <c r="AK5080">
        <v>68.608484594386596</v>
      </c>
      <c r="AL5080">
        <v>77.400578151740305</v>
      </c>
      <c r="AM5080">
        <v>91.355236477973406</v>
      </c>
      <c r="AN5080">
        <v>1.0000000286542401</v>
      </c>
    </row>
    <row r="5081" spans="1:40" x14ac:dyDescent="0.25">
      <c r="A5081" t="str">
        <f>"20190303170913300"</f>
        <v>20190303170913300</v>
      </c>
      <c r="B5081" t="str">
        <f>"1551604153288623"</f>
        <v>1551604153288623</v>
      </c>
      <c r="C5081" t="s">
        <v>40</v>
      </c>
      <c r="D5081">
        <v>5.0982760000000003</v>
      </c>
      <c r="E5081">
        <v>0.37436989999999998</v>
      </c>
      <c r="F5081" t="s">
        <v>53</v>
      </c>
      <c r="G5081">
        <v>-157.3501</v>
      </c>
      <c r="H5081">
        <v>3.3293360000000001</v>
      </c>
      <c r="I5081">
        <v>-42.034019999999998</v>
      </c>
      <c r="J5081">
        <v>-222.50389999999999</v>
      </c>
      <c r="K5081">
        <v>1.1212949999999999</v>
      </c>
      <c r="L5081">
        <v>-63.703060000000001</v>
      </c>
      <c r="M5081">
        <v>0.99972499999999997</v>
      </c>
      <c r="N5081">
        <v>-1.21075E-2</v>
      </c>
      <c r="O5081">
        <v>-2.0080400000000002E-2</v>
      </c>
      <c r="P5081">
        <v>0.97852620000000001</v>
      </c>
      <c r="Q5081">
        <v>0.20608650000000001</v>
      </c>
      <c r="R5081">
        <v>3.8476640000000002E-3</v>
      </c>
      <c r="S5081">
        <v>3.0413670000000002</v>
      </c>
      <c r="T5081">
        <v>0.1027265</v>
      </c>
      <c r="U5081">
        <v>1.007935</v>
      </c>
      <c r="V5081">
        <v>-2.373422E-2</v>
      </c>
      <c r="W5081">
        <v>0.21788950000000001</v>
      </c>
      <c r="X5081">
        <v>0.97568480000000002</v>
      </c>
      <c r="Y5081">
        <v>-0.3334569</v>
      </c>
      <c r="Z5081">
        <v>-4.3091620000000001E-3</v>
      </c>
      <c r="AA5081">
        <v>0.94275549999999997</v>
      </c>
      <c r="AB5081">
        <v>40</v>
      </c>
      <c r="AC5081">
        <v>65.153799999999904</v>
      </c>
      <c r="AD5081">
        <v>2.2080410000000001</v>
      </c>
      <c r="AE5081">
        <v>21.669039999999999</v>
      </c>
      <c r="AF5081">
        <v>-22.949348065680599</v>
      </c>
      <c r="AG5081">
        <v>2.2080410000000001</v>
      </c>
      <c r="AH5081">
        <v>64.638661703527703</v>
      </c>
      <c r="AI5081">
        <v>88.156225139067104</v>
      </c>
      <c r="AJ5081">
        <v>109.54692723897899</v>
      </c>
      <c r="AK5081">
        <v>68.627287637794197</v>
      </c>
      <c r="AL5081">
        <v>77.414896497167504</v>
      </c>
      <c r="AM5081">
        <v>91.393485376964605</v>
      </c>
      <c r="AN5081">
        <v>0.99999998818014901</v>
      </c>
    </row>
    <row r="5082" spans="1:40" x14ac:dyDescent="0.25">
      <c r="A5082" t="str">
        <f>"20190303170913314"</f>
        <v>20190303170913314</v>
      </c>
      <c r="B5082" t="str">
        <f>"1551604153309119"</f>
        <v>1551604153309119</v>
      </c>
      <c r="C5082" t="s">
        <v>40</v>
      </c>
      <c r="D5082">
        <v>5.0791300000000001</v>
      </c>
      <c r="E5082">
        <v>0.36980689999999999</v>
      </c>
      <c r="F5082" t="s">
        <v>53</v>
      </c>
      <c r="G5082">
        <v>-157.3501</v>
      </c>
      <c r="H5082">
        <v>3.6324399999999999</v>
      </c>
      <c r="I5082">
        <v>-41.337609999999998</v>
      </c>
      <c r="J5082">
        <v>-222.25470000000001</v>
      </c>
      <c r="K5082">
        <v>1.1213029999999999</v>
      </c>
      <c r="L5082">
        <v>-63.707819999999998</v>
      </c>
      <c r="M5082">
        <v>0.99972830000000001</v>
      </c>
      <c r="N5082">
        <v>-1.2296959999999999E-2</v>
      </c>
      <c r="O5082">
        <v>-1.980355E-2</v>
      </c>
      <c r="P5082">
        <v>0.97869910000000004</v>
      </c>
      <c r="Q5082">
        <v>0.20524539999999999</v>
      </c>
      <c r="R5082">
        <v>4.7343369999999999E-3</v>
      </c>
      <c r="S5082">
        <v>3.0370789999999999</v>
      </c>
      <c r="T5082">
        <v>0.1170534</v>
      </c>
      <c r="U5082">
        <v>1.0425420000000001</v>
      </c>
      <c r="V5082">
        <v>-2.4353369999999999E-2</v>
      </c>
      <c r="W5082">
        <v>0.21723519999999999</v>
      </c>
      <c r="X5082">
        <v>0.97581549999999995</v>
      </c>
      <c r="Y5082">
        <v>-0.34317029999999998</v>
      </c>
      <c r="Z5082">
        <v>-5.2363549999999998E-3</v>
      </c>
      <c r="AA5082">
        <v>0.93925860000000005</v>
      </c>
      <c r="AB5082">
        <v>40</v>
      </c>
      <c r="AC5082">
        <v>64.904600000000002</v>
      </c>
      <c r="AD5082">
        <v>2.51113699999999</v>
      </c>
      <c r="AE5082">
        <v>22.37021</v>
      </c>
      <c r="AF5082">
        <v>-23.6196590118291</v>
      </c>
      <c r="AG5082">
        <v>2.51113699999999</v>
      </c>
      <c r="AH5082">
        <v>64.362712436799001</v>
      </c>
      <c r="AI5082">
        <v>87.902367692618895</v>
      </c>
      <c r="AJ5082">
        <v>110.151994164933</v>
      </c>
      <c r="AK5082">
        <v>68.605778569227894</v>
      </c>
      <c r="AL5082">
        <v>77.453305995870394</v>
      </c>
      <c r="AM5082">
        <v>91.429630631709898</v>
      </c>
      <c r="AN5082">
        <v>1.00000005439482</v>
      </c>
    </row>
    <row r="5083" spans="1:40" x14ac:dyDescent="0.25">
      <c r="A5083" t="str">
        <f>"20190303170913327"</f>
        <v>20190303170913327</v>
      </c>
      <c r="B5083" t="str">
        <f>"1551604153318878"</f>
        <v>1551604153318878</v>
      </c>
      <c r="C5083" t="s">
        <v>40</v>
      </c>
      <c r="D5083">
        <v>5.0771829999999998</v>
      </c>
      <c r="E5083">
        <v>0.36831170000000002</v>
      </c>
      <c r="F5083" t="s">
        <v>53</v>
      </c>
      <c r="G5083">
        <v>-157.3501</v>
      </c>
      <c r="H5083">
        <v>3.8394910000000002</v>
      </c>
      <c r="I5083">
        <v>-40.591450000000002</v>
      </c>
      <c r="J5083">
        <v>-222.01519999999999</v>
      </c>
      <c r="K5083">
        <v>1.1213200000000001</v>
      </c>
      <c r="L5083">
        <v>-63.712339999999998</v>
      </c>
      <c r="M5083">
        <v>0.99973140000000005</v>
      </c>
      <c r="N5083">
        <v>-1.2471599999999999E-2</v>
      </c>
      <c r="O5083">
        <v>-1.953386E-2</v>
      </c>
      <c r="P5083">
        <v>0.97864479999999998</v>
      </c>
      <c r="Q5083">
        <v>0.20549909999999999</v>
      </c>
      <c r="R5083">
        <v>4.9532070000000003E-3</v>
      </c>
      <c r="S5083">
        <v>3.0334319999999999</v>
      </c>
      <c r="T5083">
        <v>0.12703819999999999</v>
      </c>
      <c r="U5083">
        <v>1.0803830000000001</v>
      </c>
      <c r="V5083">
        <v>-2.431007E-2</v>
      </c>
      <c r="W5083">
        <v>0.2176582</v>
      </c>
      <c r="X5083">
        <v>0.97572230000000004</v>
      </c>
      <c r="Y5083">
        <v>-0.35364069999999997</v>
      </c>
      <c r="Z5083">
        <v>-5.9395079999999996E-3</v>
      </c>
      <c r="AA5083">
        <v>0.93536249999999999</v>
      </c>
      <c r="AB5083">
        <v>40</v>
      </c>
      <c r="AC5083">
        <v>64.665099999999995</v>
      </c>
      <c r="AD5083">
        <v>2.7181709999999999</v>
      </c>
      <c r="AE5083">
        <v>23.120889999999999</v>
      </c>
      <c r="AF5083">
        <v>-24.341600789583602</v>
      </c>
      <c r="AG5083">
        <v>2.7181709999999999</v>
      </c>
      <c r="AH5083">
        <v>64.100662467039299</v>
      </c>
      <c r="AI5083">
        <v>87.729831642717002</v>
      </c>
      <c r="AJ5083">
        <v>110.793784565544</v>
      </c>
      <c r="AK5083">
        <v>68.620674080760807</v>
      </c>
      <c r="AL5083">
        <v>77.428475553914296</v>
      </c>
      <c r="AM5083">
        <v>91.427226075452495</v>
      </c>
      <c r="AN5083">
        <v>1.0000000391239601</v>
      </c>
    </row>
    <row r="5084" spans="1:40" x14ac:dyDescent="0.25">
      <c r="A5084" t="str">
        <f>"20190303170913341"</f>
        <v>20190303170913341</v>
      </c>
      <c r="B5084" t="str">
        <f>"1551604153328640"</f>
        <v>1551604153328640</v>
      </c>
      <c r="C5084" t="s">
        <v>40</v>
      </c>
      <c r="D5084">
        <v>5.0567080000000004</v>
      </c>
      <c r="E5084">
        <v>0.36699169999999998</v>
      </c>
      <c r="F5084" t="s">
        <v>53</v>
      </c>
      <c r="G5084">
        <v>-157.3501</v>
      </c>
      <c r="H5084">
        <v>3.95486</v>
      </c>
      <c r="I5084">
        <v>-40.398000000000003</v>
      </c>
      <c r="J5084">
        <v>-221.78370000000001</v>
      </c>
      <c r="K5084">
        <v>1.1213439999999999</v>
      </c>
      <c r="L5084">
        <v>-63.716639999999998</v>
      </c>
      <c r="M5084">
        <v>0.99973480000000003</v>
      </c>
      <c r="N5084">
        <v>-1.2630000000000001E-2</v>
      </c>
      <c r="O5084">
        <v>-1.9261759999999999E-2</v>
      </c>
      <c r="P5084">
        <v>0.97867139999999997</v>
      </c>
      <c r="Q5084">
        <v>0.20537079999999999</v>
      </c>
      <c r="R5084">
        <v>5.0215260000000001E-3</v>
      </c>
      <c r="S5084">
        <v>3.0320429999999998</v>
      </c>
      <c r="T5084">
        <v>0.132859</v>
      </c>
      <c r="U5084">
        <v>1.09317</v>
      </c>
      <c r="V5084">
        <v>-2.4117309999999999E-2</v>
      </c>
      <c r="W5084">
        <v>0.2176843</v>
      </c>
      <c r="X5084">
        <v>0.97572119999999996</v>
      </c>
      <c r="Y5084">
        <v>-0.356991</v>
      </c>
      <c r="Z5084">
        <v>-6.3092309999999898E-3</v>
      </c>
      <c r="AA5084">
        <v>0.93408650000000004</v>
      </c>
      <c r="AB5084">
        <v>40</v>
      </c>
      <c r="AC5084">
        <v>64.433599999999998</v>
      </c>
      <c r="AD5084">
        <v>2.8335159999999999</v>
      </c>
      <c r="AE5084">
        <v>23.318639999999998</v>
      </c>
      <c r="AF5084">
        <v>-24.513600381982101</v>
      </c>
      <c r="AG5084">
        <v>2.8335159999999999</v>
      </c>
      <c r="AH5084">
        <v>63.863249548728596</v>
      </c>
      <c r="AI5084">
        <v>87.628060714758504</v>
      </c>
      <c r="AJ5084">
        <v>110.999058315537</v>
      </c>
      <c r="AK5084">
        <v>68.465028003594398</v>
      </c>
      <c r="AL5084">
        <v>77.426942635869096</v>
      </c>
      <c r="AM5084">
        <v>91.415915500539697</v>
      </c>
      <c r="AN5084">
        <v>0.99999997961878195</v>
      </c>
    </row>
    <row r="5085" spans="1:40" x14ac:dyDescent="0.25">
      <c r="A5085" t="str">
        <f>"20190303170913358"</f>
        <v>20190303170913358</v>
      </c>
      <c r="B5085" t="str">
        <f>"1551604153349135"</f>
        <v>1551604153349135</v>
      </c>
      <c r="C5085" t="s">
        <v>40</v>
      </c>
      <c r="D5085">
        <v>5.1025260000000001</v>
      </c>
      <c r="E5085">
        <v>0.36490610000000001</v>
      </c>
      <c r="F5085" t="s">
        <v>53</v>
      </c>
      <c r="G5085">
        <v>-157.3501</v>
      </c>
      <c r="H5085">
        <v>4.0376760000000003</v>
      </c>
      <c r="I5085">
        <v>-40.243040000000001</v>
      </c>
      <c r="J5085">
        <v>-221.4658</v>
      </c>
      <c r="K5085">
        <v>1.121394</v>
      </c>
      <c r="L5085">
        <v>-63.722410000000004</v>
      </c>
      <c r="M5085">
        <v>0.99973979999999996</v>
      </c>
      <c r="N5085">
        <v>-1.283668E-2</v>
      </c>
      <c r="O5085">
        <v>-1.885993E-2</v>
      </c>
      <c r="P5085">
        <v>0.97866120000000001</v>
      </c>
      <c r="Q5085">
        <v>0.20541670000000001</v>
      </c>
      <c r="R5085">
        <v>5.1314769999999997E-3</v>
      </c>
      <c r="S5085">
        <v>3.0309300000000001</v>
      </c>
      <c r="T5085">
        <v>0.1371819</v>
      </c>
      <c r="U5085">
        <v>1.104187</v>
      </c>
      <c r="V5085">
        <v>-2.3846579999999999E-2</v>
      </c>
      <c r="W5085">
        <v>0.2179314</v>
      </c>
      <c r="X5085">
        <v>0.97567269999999995</v>
      </c>
      <c r="Y5085">
        <v>-0.35970679999999999</v>
      </c>
      <c r="Z5085">
        <v>-6.5631700000000001E-3</v>
      </c>
      <c r="AA5085">
        <v>0.93304229999999999</v>
      </c>
      <c r="AB5085">
        <v>40</v>
      </c>
      <c r="AC5085">
        <v>64.115700000000004</v>
      </c>
      <c r="AD5085">
        <v>2.9162819999999998</v>
      </c>
      <c r="AE5085">
        <v>23.479369999999999</v>
      </c>
      <c r="AF5085">
        <v>-24.639562366463899</v>
      </c>
      <c r="AG5085">
        <v>2.9162819999999998</v>
      </c>
      <c r="AH5085">
        <v>63.545517524388501</v>
      </c>
      <c r="AI5085">
        <v>87.549877097818396</v>
      </c>
      <c r="AJ5085">
        <v>111.19363615458499</v>
      </c>
      <c r="AK5085">
        <v>68.217633583676601</v>
      </c>
      <c r="AL5085">
        <v>77.412436663986895</v>
      </c>
      <c r="AM5085">
        <v>91.400097002924497</v>
      </c>
      <c r="AN5085">
        <v>0.99999998600447304</v>
      </c>
    </row>
    <row r="5086" spans="1:40" x14ac:dyDescent="0.25">
      <c r="A5086" t="str">
        <f>"20190303170913370"</f>
        <v>20190303170913370</v>
      </c>
      <c r="B5086" t="str">
        <f>"1551604153358896"</f>
        <v>1551604153358896</v>
      </c>
      <c r="C5086" t="s">
        <v>40</v>
      </c>
      <c r="D5086">
        <v>5.1395080000000002</v>
      </c>
      <c r="E5086">
        <v>0.36378729999999998</v>
      </c>
      <c r="F5086" t="s">
        <v>53</v>
      </c>
      <c r="G5086">
        <v>-157.3501</v>
      </c>
      <c r="H5086">
        <v>4.1953269999999998</v>
      </c>
      <c r="I5086">
        <v>-39.988529999999997</v>
      </c>
      <c r="J5086">
        <v>-221.26410000000001</v>
      </c>
      <c r="K5086">
        <v>1.1214230000000001</v>
      </c>
      <c r="L5086">
        <v>-63.726010000000002</v>
      </c>
      <c r="M5086">
        <v>0.99974320000000005</v>
      </c>
      <c r="N5086">
        <v>-1.2961739999999999E-2</v>
      </c>
      <c r="O5086">
        <v>-1.8586769999999999E-2</v>
      </c>
      <c r="P5086">
        <v>0.97871129999999995</v>
      </c>
      <c r="Q5086">
        <v>0.2051685</v>
      </c>
      <c r="R5086">
        <v>5.4971710000000003E-3</v>
      </c>
      <c r="S5086">
        <v>3.0290680000000001</v>
      </c>
      <c r="T5086">
        <v>0.14522309999999999</v>
      </c>
      <c r="U5086">
        <v>1.1212770000000001</v>
      </c>
      <c r="V5086">
        <v>-2.395707E-2</v>
      </c>
      <c r="W5086">
        <v>0.21780440000000001</v>
      </c>
      <c r="X5086">
        <v>0.97569839999999997</v>
      </c>
      <c r="Y5086">
        <v>-0.36423299999999997</v>
      </c>
      <c r="Z5086">
        <v>-7.104974E-3</v>
      </c>
      <c r="AA5086">
        <v>0.93128069999999996</v>
      </c>
      <c r="AB5086">
        <v>40</v>
      </c>
      <c r="AC5086">
        <v>63.914000000000001</v>
      </c>
      <c r="AD5086">
        <v>3.0739040000000002</v>
      </c>
      <c r="AE5086">
        <v>23.737480000000001</v>
      </c>
      <c r="AF5086">
        <v>-24.870878597009298</v>
      </c>
      <c r="AG5086">
        <v>3.0739040000000002</v>
      </c>
      <c r="AH5086">
        <v>63.332980690274297</v>
      </c>
      <c r="AI5086">
        <v>87.413307934162404</v>
      </c>
      <c r="AJ5086">
        <v>111.439949474044</v>
      </c>
      <c r="AK5086">
        <v>68.110762226707195</v>
      </c>
      <c r="AL5086">
        <v>77.419892924516603</v>
      </c>
      <c r="AM5086">
        <v>91.4065445339604</v>
      </c>
      <c r="AN5086">
        <v>1.0000000328124501</v>
      </c>
    </row>
    <row r="5087" spans="1:40" x14ac:dyDescent="0.25">
      <c r="A5087" t="str">
        <f>"20190303170913382"</f>
        <v>20190303170913382</v>
      </c>
      <c r="B5087" t="str">
        <f>"1551604153368655"</f>
        <v>1551604153368655</v>
      </c>
      <c r="C5087" t="s">
        <v>40</v>
      </c>
      <c r="D5087">
        <v>5.1292749999999998</v>
      </c>
      <c r="E5087">
        <v>0.36280780000000001</v>
      </c>
      <c r="F5087" t="s">
        <v>53</v>
      </c>
      <c r="G5087">
        <v>-157.3501</v>
      </c>
      <c r="H5087">
        <v>4.2712110000000001</v>
      </c>
      <c r="I5087">
        <v>-39.851230000000001</v>
      </c>
      <c r="J5087">
        <v>-221.04480000000001</v>
      </c>
      <c r="K5087">
        <v>1.121469</v>
      </c>
      <c r="L5087">
        <v>-63.72983</v>
      </c>
      <c r="M5087">
        <v>0.99974799999999997</v>
      </c>
      <c r="N5087">
        <v>-1.3086260000000001E-2</v>
      </c>
      <c r="O5087">
        <v>-1.824773E-2</v>
      </c>
      <c r="P5087">
        <v>0.97877579999999997</v>
      </c>
      <c r="Q5087">
        <v>0.2048391</v>
      </c>
      <c r="R5087">
        <v>6.2584340000000002E-3</v>
      </c>
      <c r="S5087">
        <v>3.0276179999999999</v>
      </c>
      <c r="T5087">
        <v>0.1492049</v>
      </c>
      <c r="U5087">
        <v>1.130951</v>
      </c>
      <c r="V5087">
        <v>-2.440581E-2</v>
      </c>
      <c r="W5087">
        <v>0.2175945</v>
      </c>
      <c r="X5087">
        <v>0.97573410000000005</v>
      </c>
      <c r="Y5087">
        <v>-0.36665639999999999</v>
      </c>
      <c r="Z5087">
        <v>-7.357298E-3</v>
      </c>
      <c r="AA5087">
        <v>0.93032740000000003</v>
      </c>
      <c r="AB5087">
        <v>40</v>
      </c>
      <c r="AC5087">
        <v>63.694699999999997</v>
      </c>
      <c r="AD5087">
        <v>3.1497419999999998</v>
      </c>
      <c r="AE5087">
        <v>23.878599999999999</v>
      </c>
      <c r="AF5087">
        <v>-24.983441173057098</v>
      </c>
      <c r="AG5087">
        <v>3.1497419999999998</v>
      </c>
      <c r="AH5087">
        <v>63.113008912470796</v>
      </c>
      <c r="AI5087">
        <v>87.343210839559802</v>
      </c>
      <c r="AJ5087">
        <v>111.596258922255</v>
      </c>
      <c r="AK5087">
        <v>67.951049303890798</v>
      </c>
      <c r="AL5087">
        <v>77.432214700044199</v>
      </c>
      <c r="AM5087">
        <v>91.432827240015797</v>
      </c>
      <c r="AN5087">
        <v>1.0000000219473999</v>
      </c>
    </row>
    <row r="5088" spans="1:40" x14ac:dyDescent="0.25">
      <c r="A5088" t="str">
        <f>"20190303170913395"</f>
        <v>20190303170913395</v>
      </c>
      <c r="B5088" t="str">
        <f>"1551604153389151"</f>
        <v>1551604153389151</v>
      </c>
      <c r="C5088" t="s">
        <v>40</v>
      </c>
      <c r="D5088">
        <v>5.1025799999999997</v>
      </c>
      <c r="E5088">
        <v>0.36123749999999999</v>
      </c>
      <c r="F5088" t="s">
        <v>53</v>
      </c>
      <c r="G5088">
        <v>-157.3501</v>
      </c>
      <c r="H5088">
        <v>4.3143120000000001</v>
      </c>
      <c r="I5088">
        <v>-39.722679999999997</v>
      </c>
      <c r="J5088">
        <v>-220.84</v>
      </c>
      <c r="K5088">
        <v>1.1215189999999999</v>
      </c>
      <c r="L5088">
        <v>-63.733280000000001</v>
      </c>
      <c r="M5088">
        <v>0.99975259999999999</v>
      </c>
      <c r="N5088">
        <v>-1.319935E-2</v>
      </c>
      <c r="O5088">
        <v>-1.790547E-2</v>
      </c>
      <c r="P5088">
        <v>0.97877340000000002</v>
      </c>
      <c r="Q5088">
        <v>0.2048141</v>
      </c>
      <c r="R5088">
        <v>7.3557759999999996E-3</v>
      </c>
      <c r="S5088">
        <v>3.0260159999999998</v>
      </c>
      <c r="T5088">
        <v>0.15168489999999901</v>
      </c>
      <c r="U5088">
        <v>1.140533</v>
      </c>
      <c r="V5088">
        <v>-2.5188840000000001E-2</v>
      </c>
      <c r="W5088">
        <v>0.21767600000000001</v>
      </c>
      <c r="X5088">
        <v>0.97569600000000001</v>
      </c>
      <c r="Y5088">
        <v>-0.36906820000000001</v>
      </c>
      <c r="Z5088">
        <v>-7.5164269999999896E-3</v>
      </c>
      <c r="AA5088">
        <v>0.92937190000000003</v>
      </c>
      <c r="AB5088">
        <v>40</v>
      </c>
      <c r="AC5088">
        <v>63.489899999999999</v>
      </c>
      <c r="AD5088">
        <v>3.192793</v>
      </c>
      <c r="AE5088">
        <v>24.0106</v>
      </c>
      <c r="AF5088">
        <v>-25.088158613713802</v>
      </c>
      <c r="AG5088">
        <v>3.192793</v>
      </c>
      <c r="AH5088">
        <v>62.910573195976902</v>
      </c>
      <c r="AI5088">
        <v>87.301016399497897</v>
      </c>
      <c r="AJ5088">
        <v>111.74165931209301</v>
      </c>
      <c r="AK5088">
        <v>67.803759848655005</v>
      </c>
      <c r="AL5088">
        <v>77.427430154701099</v>
      </c>
      <c r="AM5088">
        <v>91.478835340505299</v>
      </c>
      <c r="AN5088">
        <v>1.00000000152627</v>
      </c>
    </row>
    <row r="5089" spans="1:40" x14ac:dyDescent="0.25">
      <c r="A5089" t="str">
        <f>"20190303170913407"</f>
        <v>20190303170913407</v>
      </c>
      <c r="B5089" t="str">
        <f>"1551604153398911"</f>
        <v>1551604153398911</v>
      </c>
      <c r="C5089" t="s">
        <v>40</v>
      </c>
      <c r="D5089">
        <v>5.103885</v>
      </c>
      <c r="E5089">
        <v>0.36069960000000001</v>
      </c>
      <c r="F5089" t="s">
        <v>53</v>
      </c>
      <c r="G5089">
        <v>-157.3501</v>
      </c>
      <c r="H5089">
        <v>4.4293760000000004</v>
      </c>
      <c r="I5089">
        <v>-39.462890000000002</v>
      </c>
      <c r="J5089">
        <v>-220.6027</v>
      </c>
      <c r="K5089">
        <v>1.1215839999999999</v>
      </c>
      <c r="L5089">
        <v>-63.737180000000002</v>
      </c>
      <c r="M5089">
        <v>0.9997587</v>
      </c>
      <c r="N5089">
        <v>-1.3325500000000001E-2</v>
      </c>
      <c r="O5089">
        <v>-1.7471029999999999E-2</v>
      </c>
      <c r="P5089">
        <v>0.97876070000000004</v>
      </c>
      <c r="Q5089">
        <v>0.2048268</v>
      </c>
      <c r="R5089">
        <v>8.6057559999999905E-3</v>
      </c>
      <c r="S5089">
        <v>3.0234070000000002</v>
      </c>
      <c r="T5089">
        <v>0.1575201</v>
      </c>
      <c r="U5089">
        <v>1.155762</v>
      </c>
      <c r="V5089">
        <v>-2.604271E-2</v>
      </c>
      <c r="W5089">
        <v>0.21780720000000001</v>
      </c>
      <c r="X5089">
        <v>0.97564430000000002</v>
      </c>
      <c r="Y5089">
        <v>-0.3729864</v>
      </c>
      <c r="Z5089">
        <v>-7.9123140000000002E-3</v>
      </c>
      <c r="AA5089">
        <v>0.92780309999999999</v>
      </c>
      <c r="AB5089">
        <v>40</v>
      </c>
      <c r="AC5089">
        <v>63.252600000000001</v>
      </c>
      <c r="AD5089">
        <v>3.3077920000000001</v>
      </c>
      <c r="AE5089">
        <v>24.274290000000001</v>
      </c>
      <c r="AF5089">
        <v>-25.315426089650298</v>
      </c>
      <c r="AG5089">
        <v>3.3077920000000001</v>
      </c>
      <c r="AH5089">
        <v>62.669424630262597</v>
      </c>
      <c r="AI5089">
        <v>87.198208312785994</v>
      </c>
      <c r="AJ5089">
        <v>111.996333402072</v>
      </c>
      <c r="AK5089">
        <v>67.670296803723105</v>
      </c>
      <c r="AL5089">
        <v>77.419728125636396</v>
      </c>
      <c r="AM5089">
        <v>91.529023574723695</v>
      </c>
      <c r="AN5089">
        <v>0.99999999961923702</v>
      </c>
    </row>
    <row r="5090" spans="1:40" x14ac:dyDescent="0.25">
      <c r="A5090" t="str">
        <f>"20190303170913419"</f>
        <v>20190303170913419</v>
      </c>
      <c r="B5090" t="str">
        <f>"1551604153408672"</f>
        <v>1551604153408672</v>
      </c>
      <c r="C5090" t="s">
        <v>40</v>
      </c>
      <c r="D5090">
        <v>5.0904470000000002</v>
      </c>
      <c r="E5090">
        <v>0.35999940000000002</v>
      </c>
      <c r="F5090" t="s">
        <v>53</v>
      </c>
      <c r="G5090">
        <v>-157.3501</v>
      </c>
      <c r="H5090">
        <v>4.4391040000000004</v>
      </c>
      <c r="I5090">
        <v>-39.38026</v>
      </c>
      <c r="J5090">
        <v>-220.3931</v>
      </c>
      <c r="K5090">
        <v>1.121661</v>
      </c>
      <c r="L5090">
        <v>-63.740479999999998</v>
      </c>
      <c r="M5090">
        <v>0.99976509999999996</v>
      </c>
      <c r="N5090">
        <v>-1.343083E-2</v>
      </c>
      <c r="O5090">
        <v>-1.700925E-2</v>
      </c>
      <c r="P5090">
        <v>0.97863270000000002</v>
      </c>
      <c r="Q5090">
        <v>0.20537910000000001</v>
      </c>
      <c r="R5090">
        <v>9.8736899999999992E-3</v>
      </c>
      <c r="S5090">
        <v>3.0216980000000002</v>
      </c>
      <c r="T5090">
        <v>0.15848299999999901</v>
      </c>
      <c r="U5090">
        <v>1.1635740000000001</v>
      </c>
      <c r="V5090">
        <v>-2.6892860000000001E-2</v>
      </c>
      <c r="W5090">
        <v>0.21845500000000001</v>
      </c>
      <c r="X5090">
        <v>0.97547640000000002</v>
      </c>
      <c r="Y5090">
        <v>-0.3748184</v>
      </c>
      <c r="Z5090">
        <v>-7.9601949999999998E-3</v>
      </c>
      <c r="AA5090">
        <v>0.92706409999999995</v>
      </c>
      <c r="AB5090">
        <v>40</v>
      </c>
      <c r="AC5090">
        <v>63.042999999999999</v>
      </c>
      <c r="AD5090">
        <v>3.3174429999999999</v>
      </c>
      <c r="AE5090">
        <v>24.360220000000002</v>
      </c>
      <c r="AF5090">
        <v>-25.367986309866801</v>
      </c>
      <c r="AG5090">
        <v>3.3174429999999999</v>
      </c>
      <c r="AH5090">
        <v>62.468983297473997</v>
      </c>
      <c r="AI5090">
        <v>87.183137485617905</v>
      </c>
      <c r="AJ5090">
        <v>112.101545271978</v>
      </c>
      <c r="AK5090">
        <v>67.504918574100401</v>
      </c>
      <c r="AL5090">
        <v>77.381696219964894</v>
      </c>
      <c r="AM5090">
        <v>91.579184471114701</v>
      </c>
      <c r="AN5090">
        <v>1.00000000995046</v>
      </c>
    </row>
    <row r="5091" spans="1:40" x14ac:dyDescent="0.25">
      <c r="A5091" t="str">
        <f>"20190303170913432"</f>
        <v>20190303170913432</v>
      </c>
      <c r="B5091" t="str">
        <f>"1551604153418431"</f>
        <v>1551604153418431</v>
      </c>
      <c r="C5091" t="s">
        <v>40</v>
      </c>
      <c r="D5091">
        <v>5.0880830000000001</v>
      </c>
      <c r="E5091">
        <v>0.35953659999999998</v>
      </c>
      <c r="F5091" t="s">
        <v>53</v>
      </c>
      <c r="G5091">
        <v>-157.3501</v>
      </c>
      <c r="H5091">
        <v>4.5423339999999897</v>
      </c>
      <c r="I5091">
        <v>-39.248010000000001</v>
      </c>
      <c r="J5091">
        <v>-220.1799</v>
      </c>
      <c r="K5091">
        <v>1.1217509999999999</v>
      </c>
      <c r="L5091">
        <v>-63.74371</v>
      </c>
      <c r="M5091">
        <v>0.99977229999999995</v>
      </c>
      <c r="N5091">
        <v>-1.3535719999999999E-2</v>
      </c>
      <c r="O5091">
        <v>-1.6502860000000001E-2</v>
      </c>
      <c r="P5091">
        <v>0.97850910000000002</v>
      </c>
      <c r="Q5091">
        <v>0.20591999999999999</v>
      </c>
      <c r="R5091">
        <v>1.083428E-2</v>
      </c>
      <c r="S5091">
        <v>3.0192869999999998</v>
      </c>
      <c r="T5091">
        <v>0.16382339999999901</v>
      </c>
      <c r="U5091">
        <v>1.1730039999999999</v>
      </c>
      <c r="V5091">
        <v>-2.739772E-2</v>
      </c>
      <c r="W5091">
        <v>0.21909049999999999</v>
      </c>
      <c r="X5091">
        <v>0.97531979999999996</v>
      </c>
      <c r="Y5091">
        <v>-0.37708599999999998</v>
      </c>
      <c r="Z5091">
        <v>-8.3004700000000008E-3</v>
      </c>
      <c r="AA5091">
        <v>0.92614110000000005</v>
      </c>
      <c r="AB5091">
        <v>40</v>
      </c>
      <c r="AC5091">
        <v>62.829799999999999</v>
      </c>
      <c r="AD5091">
        <v>3.4205830000000002</v>
      </c>
      <c r="AE5091">
        <v>24.495699999999999</v>
      </c>
      <c r="AF5091">
        <v>-25.463815032857699</v>
      </c>
      <c r="AG5091">
        <v>3.4205830000000002</v>
      </c>
      <c r="AH5091">
        <v>62.2567782323869</v>
      </c>
      <c r="AI5091">
        <v>87.088796815388605</v>
      </c>
      <c r="AJ5091">
        <v>112.245186553068</v>
      </c>
      <c r="AK5091">
        <v>67.349927245425306</v>
      </c>
      <c r="AL5091">
        <v>77.344380654077</v>
      </c>
      <c r="AM5091">
        <v>91.609073264240607</v>
      </c>
      <c r="AN5091">
        <v>0.99999999726174404</v>
      </c>
    </row>
    <row r="5092" spans="1:40" x14ac:dyDescent="0.25">
      <c r="A5092" t="str">
        <f>"20190303170913442"</f>
        <v>20190303170913442</v>
      </c>
      <c r="B5092" t="str">
        <f>"1551604153429167"</f>
        <v>1551604153429167</v>
      </c>
      <c r="C5092" t="s">
        <v>40</v>
      </c>
      <c r="D5092">
        <v>5.1216280000000003</v>
      </c>
      <c r="E5092">
        <v>0.35916920000000002</v>
      </c>
      <c r="F5092" t="s">
        <v>53</v>
      </c>
      <c r="G5092">
        <v>-157.3501</v>
      </c>
      <c r="H5092">
        <v>4.602519</v>
      </c>
      <c r="I5092">
        <v>-39.179180000000002</v>
      </c>
      <c r="J5092">
        <v>-219.98070000000001</v>
      </c>
      <c r="K5092">
        <v>1.121861</v>
      </c>
      <c r="L5092">
        <v>-63.746549999999999</v>
      </c>
      <c r="M5092">
        <v>0.99978020000000001</v>
      </c>
      <c r="N5092">
        <v>-1.3628929999999999E-2</v>
      </c>
      <c r="O5092">
        <v>-1.593576E-2</v>
      </c>
      <c r="P5092">
        <v>0.97834739999999998</v>
      </c>
      <c r="Q5092">
        <v>0.20665259999999999</v>
      </c>
      <c r="R5092">
        <v>1.1446049999999999E-2</v>
      </c>
      <c r="S5092">
        <v>3.0176539999999998</v>
      </c>
      <c r="T5092">
        <v>0.16717679999999999</v>
      </c>
      <c r="U5092">
        <v>1.17981</v>
      </c>
      <c r="V5092">
        <v>-2.7502780000000001E-2</v>
      </c>
      <c r="W5092">
        <v>0.21990509999999999</v>
      </c>
      <c r="X5092">
        <v>0.97513349999999999</v>
      </c>
      <c r="Y5092">
        <v>-0.3785249</v>
      </c>
      <c r="Z5092">
        <v>-8.4935310000000003E-3</v>
      </c>
      <c r="AA5092">
        <v>0.92555209999999999</v>
      </c>
      <c r="AB5092">
        <v>39</v>
      </c>
      <c r="AC5092">
        <v>62.630600000000001</v>
      </c>
      <c r="AD5092">
        <v>3.480658</v>
      </c>
      <c r="AE5092">
        <v>24.56737</v>
      </c>
      <c r="AF5092">
        <v>-25.494169300816601</v>
      </c>
      <c r="AG5092">
        <v>3.480658</v>
      </c>
      <c r="AH5092">
        <v>62.064982346718203</v>
      </c>
      <c r="AI5092">
        <v>87.030444679719594</v>
      </c>
      <c r="AJ5092">
        <v>112.331179630197</v>
      </c>
      <c r="AK5092">
        <v>67.187273215618006</v>
      </c>
      <c r="AL5092">
        <v>77.296540867818194</v>
      </c>
      <c r="AM5092">
        <v>91.615548624805498</v>
      </c>
      <c r="AN5092">
        <v>0.999999999367994</v>
      </c>
    </row>
    <row r="5093" spans="1:40" x14ac:dyDescent="0.25">
      <c r="A5093" t="str">
        <f>"20190303170913455"</f>
        <v>20190303170913455</v>
      </c>
      <c r="B5093" t="str">
        <f>"1551604153448687"</f>
        <v>1551604153448687</v>
      </c>
      <c r="C5093" t="s">
        <v>40</v>
      </c>
      <c r="D5093">
        <v>5.1182939999999997</v>
      </c>
      <c r="E5093">
        <v>0.35839559999999998</v>
      </c>
      <c r="F5093" t="s">
        <v>53</v>
      </c>
      <c r="G5093">
        <v>-157.3501</v>
      </c>
      <c r="H5093">
        <v>4.6705569999999996</v>
      </c>
      <c r="I5093">
        <v>-39.144649999999999</v>
      </c>
      <c r="J5093">
        <v>-219.77430000000001</v>
      </c>
      <c r="K5093">
        <v>1.121977</v>
      </c>
      <c r="L5093">
        <v>-63.749360000000003</v>
      </c>
      <c r="M5093">
        <v>0.99978909999999999</v>
      </c>
      <c r="N5093">
        <v>-1.372285E-2</v>
      </c>
      <c r="O5093">
        <v>-1.5285150000000001E-2</v>
      </c>
      <c r="P5093">
        <v>0.97819719999999999</v>
      </c>
      <c r="Q5093">
        <v>0.20732139999999999</v>
      </c>
      <c r="R5093">
        <v>1.2179300000000001E-2</v>
      </c>
      <c r="S5093">
        <v>3.0164179999999998</v>
      </c>
      <c r="T5093">
        <v>0.17091120000000001</v>
      </c>
      <c r="U5093">
        <v>1.1848749999999999</v>
      </c>
      <c r="V5093">
        <v>-2.7655599999999999E-2</v>
      </c>
      <c r="W5093">
        <v>0.2206563</v>
      </c>
      <c r="X5093">
        <v>0.97495949999999998</v>
      </c>
      <c r="Y5093">
        <v>-0.37937910000000002</v>
      </c>
      <c r="Z5093">
        <v>-8.6940619999999903E-3</v>
      </c>
      <c r="AA5093">
        <v>0.92520049999999998</v>
      </c>
      <c r="AB5093">
        <v>39</v>
      </c>
      <c r="AC5093">
        <v>62.424199999999999</v>
      </c>
      <c r="AD5093">
        <v>3.5485799999999901</v>
      </c>
      <c r="AE5093">
        <v>24.604710000000001</v>
      </c>
      <c r="AF5093">
        <v>-25.4848079202261</v>
      </c>
      <c r="AG5093">
        <v>3.5485799999999901</v>
      </c>
      <c r="AH5093">
        <v>61.867741950666399</v>
      </c>
      <c r="AI5093">
        <v>86.964204565384804</v>
      </c>
      <c r="AJ5093">
        <v>112.38793851368099</v>
      </c>
      <c r="AK5093">
        <v>67.005114348245598</v>
      </c>
      <c r="AL5093">
        <v>77.252416834684396</v>
      </c>
      <c r="AM5093">
        <v>91.624810442034303</v>
      </c>
      <c r="AN5093">
        <v>1.00000003079064</v>
      </c>
    </row>
    <row r="5094" spans="1:40" x14ac:dyDescent="0.25">
      <c r="A5094" t="str">
        <f>"20190303170913466"</f>
        <v>20190303170913466</v>
      </c>
      <c r="B5094" t="str">
        <f>"1551604153458447"</f>
        <v>1551604153458447</v>
      </c>
      <c r="C5094" t="s">
        <v>40</v>
      </c>
      <c r="D5094">
        <v>5.0957910000000002</v>
      </c>
      <c r="E5094">
        <v>0.35809390000000002</v>
      </c>
      <c r="F5094" t="s">
        <v>53</v>
      </c>
      <c r="G5094">
        <v>-157.3501</v>
      </c>
      <c r="H5094">
        <v>4.7486139999999999</v>
      </c>
      <c r="I5094">
        <v>-39.034149999999997</v>
      </c>
      <c r="J5094">
        <v>-219.5582</v>
      </c>
      <c r="K5094">
        <v>1.1221099999999999</v>
      </c>
      <c r="L5094">
        <v>-63.752079999999999</v>
      </c>
      <c r="M5094">
        <v>0.99979910000000005</v>
      </c>
      <c r="N5094">
        <v>-1.3817889999999999E-2</v>
      </c>
      <c r="O5094">
        <v>-1.45287E-2</v>
      </c>
      <c r="P5094">
        <v>0.97813300000000003</v>
      </c>
      <c r="Q5094">
        <v>0.2075565</v>
      </c>
      <c r="R5094">
        <v>1.327969E-2</v>
      </c>
      <c r="S5094">
        <v>3.0148929999999998</v>
      </c>
      <c r="T5094">
        <v>0.175154</v>
      </c>
      <c r="U5094">
        <v>1.193665</v>
      </c>
      <c r="V5094">
        <v>-2.8083090000000002E-2</v>
      </c>
      <c r="W5094">
        <v>0.2209739</v>
      </c>
      <c r="X5094">
        <v>0.9748753</v>
      </c>
      <c r="Y5094">
        <v>-0.3811485</v>
      </c>
      <c r="Z5094">
        <v>-8.9364519999999992E-3</v>
      </c>
      <c r="AA5094">
        <v>0.92447060000000003</v>
      </c>
      <c r="AB5094">
        <v>39</v>
      </c>
      <c r="AC5094">
        <v>62.208100000000002</v>
      </c>
      <c r="AD5094">
        <v>3.6265040000000002</v>
      </c>
      <c r="AE5094">
        <v>24.717929999999999</v>
      </c>
      <c r="AF5094">
        <v>-25.5442354792557</v>
      </c>
      <c r="AG5094">
        <v>3.6265040000000002</v>
      </c>
      <c r="AH5094">
        <v>61.661398709554099</v>
      </c>
      <c r="AI5094">
        <v>86.889875085854896</v>
      </c>
      <c r="AJ5094">
        <v>112.50257590008199</v>
      </c>
      <c r="AK5094">
        <v>66.841510966616298</v>
      </c>
      <c r="AL5094">
        <v>77.233758581185697</v>
      </c>
      <c r="AM5094">
        <v>91.650054806317002</v>
      </c>
      <c r="AN5094">
        <v>0.99999998748762298</v>
      </c>
    </row>
    <row r="5095" spans="1:40" x14ac:dyDescent="0.25">
      <c r="A5095" t="str">
        <f>"20190303170913481"</f>
        <v>20190303170913481</v>
      </c>
      <c r="B5095" t="str">
        <f>"1551604153469183"</f>
        <v>1551604153469183</v>
      </c>
      <c r="C5095" t="s">
        <v>40</v>
      </c>
      <c r="D5095">
        <v>5.1313089999999999</v>
      </c>
      <c r="E5095">
        <v>0.35761219999999999</v>
      </c>
      <c r="F5095" t="s">
        <v>53</v>
      </c>
      <c r="G5095">
        <v>-157.3501</v>
      </c>
      <c r="H5095">
        <v>4.7717309999999999</v>
      </c>
      <c r="I5095">
        <v>-38.988250000000001</v>
      </c>
      <c r="J5095">
        <v>-219.3039</v>
      </c>
      <c r="K5095">
        <v>1.1222810000000001</v>
      </c>
      <c r="L5095">
        <v>-63.75488</v>
      </c>
      <c r="M5095">
        <v>0.99981249999999999</v>
      </c>
      <c r="N5095">
        <v>-1.39227999999999E-2</v>
      </c>
      <c r="O5095">
        <v>-1.346354E-2</v>
      </c>
      <c r="P5095">
        <v>0.97810819999999998</v>
      </c>
      <c r="Q5095">
        <v>0.20755370000000001</v>
      </c>
      <c r="R5095">
        <v>1.503111E-2</v>
      </c>
      <c r="S5095">
        <v>3.0132750000000001</v>
      </c>
      <c r="T5095">
        <v>0.17678139999999901</v>
      </c>
      <c r="U5095">
        <v>1.199524</v>
      </c>
      <c r="V5095">
        <v>-2.888578E-2</v>
      </c>
      <c r="W5095">
        <v>0.22105900000000001</v>
      </c>
      <c r="X5095">
        <v>0.97483249999999999</v>
      </c>
      <c r="Y5095">
        <v>-0.38187939999999998</v>
      </c>
      <c r="Z5095">
        <v>-8.9652069999999993E-3</v>
      </c>
      <c r="AA5095">
        <v>0.92416860000000001</v>
      </c>
      <c r="AB5095">
        <v>39</v>
      </c>
      <c r="AC5095">
        <v>61.953800000000001</v>
      </c>
      <c r="AD5095">
        <v>3.6494499999999999</v>
      </c>
      <c r="AE5095">
        <v>24.766629999999999</v>
      </c>
      <c r="AF5095">
        <v>-25.522225580047198</v>
      </c>
      <c r="AG5095">
        <v>3.6494499999999999</v>
      </c>
      <c r="AH5095">
        <v>61.430915592990502</v>
      </c>
      <c r="AI5095">
        <v>86.859843171440701</v>
      </c>
      <c r="AJ5095">
        <v>112.56103944442999</v>
      </c>
      <c r="AK5095">
        <v>66.621767272074393</v>
      </c>
      <c r="AL5095">
        <v>77.228758409516701</v>
      </c>
      <c r="AM5095">
        <v>91.697265067211205</v>
      </c>
      <c r="AN5095">
        <v>0.99999993641172702</v>
      </c>
    </row>
    <row r="5096" spans="1:40" x14ac:dyDescent="0.25">
      <c r="A5096" t="str">
        <f>"20190303170913505"</f>
        <v>20190303170913505</v>
      </c>
      <c r="B5096" t="str">
        <f>"1551604153498463"</f>
        <v>1551604153498463</v>
      </c>
      <c r="C5096" t="s">
        <v>40</v>
      </c>
      <c r="D5096">
        <v>5.126328</v>
      </c>
      <c r="E5096">
        <v>0.3567825</v>
      </c>
      <c r="F5096" t="s">
        <v>53</v>
      </c>
      <c r="G5096">
        <v>-157.3501</v>
      </c>
      <c r="H5096">
        <v>4.8153649999999999</v>
      </c>
      <c r="I5096">
        <v>-38.877749999999999</v>
      </c>
      <c r="J5096">
        <v>-218.8998</v>
      </c>
      <c r="K5096">
        <v>1.122609</v>
      </c>
      <c r="L5096">
        <v>-63.758540000000004</v>
      </c>
      <c r="M5096">
        <v>0.99983540000000004</v>
      </c>
      <c r="N5096">
        <v>-1.4078459999999999E-2</v>
      </c>
      <c r="O5096">
        <v>-1.145356E-2</v>
      </c>
      <c r="P5096">
        <v>0.97818079999999996</v>
      </c>
      <c r="Q5096">
        <v>0.2070379</v>
      </c>
      <c r="R5096">
        <v>1.7256870000000001E-2</v>
      </c>
      <c r="S5096">
        <v>3.0104679999999999</v>
      </c>
      <c r="T5096">
        <v>0.17945359999999999</v>
      </c>
      <c r="U5096">
        <v>1.2088319999999999</v>
      </c>
      <c r="V5096">
        <v>-2.9318839999999999E-2</v>
      </c>
      <c r="W5096">
        <v>0.2206726</v>
      </c>
      <c r="X5096">
        <v>0.97490719999999997</v>
      </c>
      <c r="Y5096">
        <v>-0.38277070000000002</v>
      </c>
      <c r="Z5096">
        <v>-8.9889749999999997E-3</v>
      </c>
      <c r="AA5096">
        <v>0.92379960000000005</v>
      </c>
      <c r="AB5096">
        <v>39</v>
      </c>
      <c r="AC5096">
        <v>61.549700000000001</v>
      </c>
      <c r="AD5096">
        <v>3.6927559999999899</v>
      </c>
      <c r="AE5096">
        <v>24.880790000000001</v>
      </c>
      <c r="AF5096">
        <v>-25.5052779190728</v>
      </c>
      <c r="AG5096">
        <v>3.6927559999999899</v>
      </c>
      <c r="AH5096">
        <v>61.071705707226997</v>
      </c>
      <c r="AI5096">
        <v>86.806458123134504</v>
      </c>
      <c r="AJ5096">
        <v>112.666800147009</v>
      </c>
      <c r="AK5096">
        <v>66.286566411263394</v>
      </c>
      <c r="AL5096">
        <v>77.251459166436305</v>
      </c>
      <c r="AM5096">
        <v>91.722563585345299</v>
      </c>
      <c r="AN5096">
        <v>1.0000000196907699</v>
      </c>
    </row>
    <row r="5097" spans="1:40" x14ac:dyDescent="0.25">
      <c r="A5097" t="str">
        <f>"20190303170913517"</f>
        <v>20190303170913517</v>
      </c>
      <c r="B5097" t="str">
        <f>"1551604153509199"</f>
        <v>1551604153509199</v>
      </c>
      <c r="C5097" t="s">
        <v>40</v>
      </c>
      <c r="D5097">
        <v>5.1146449999999897</v>
      </c>
      <c r="E5097">
        <v>0.35649309999999901</v>
      </c>
      <c r="F5097" t="s">
        <v>53</v>
      </c>
      <c r="G5097">
        <v>-157.3501</v>
      </c>
      <c r="H5097">
        <v>4.8175809999999997</v>
      </c>
      <c r="I5097">
        <v>-38.737119999999997</v>
      </c>
      <c r="J5097">
        <v>-218.68440000000001</v>
      </c>
      <c r="K5097">
        <v>1.1228149999999999</v>
      </c>
      <c r="L5097">
        <v>-63.759979999999999</v>
      </c>
      <c r="M5097">
        <v>0.99984810000000002</v>
      </c>
      <c r="N5097">
        <v>-1.41552E-2</v>
      </c>
      <c r="O5097">
        <v>-1.017359E-2</v>
      </c>
      <c r="P5097">
        <v>0.97819420000000001</v>
      </c>
      <c r="Q5097">
        <v>0.2068826</v>
      </c>
      <c r="R5097">
        <v>1.833044E-2</v>
      </c>
      <c r="S5097">
        <v>3.0071409999999998</v>
      </c>
      <c r="T5097">
        <v>0.18052460000000001</v>
      </c>
      <c r="U5097">
        <v>1.2224729999999999</v>
      </c>
      <c r="V5097">
        <v>-2.9245090000000001E-2</v>
      </c>
      <c r="W5097">
        <v>0.22057959999999999</v>
      </c>
      <c r="X5097">
        <v>0.97493050000000003</v>
      </c>
      <c r="Y5097">
        <v>-0.3855363</v>
      </c>
      <c r="Z5097">
        <v>-9.0119520000000002E-3</v>
      </c>
      <c r="AA5097">
        <v>0.92264869999999999</v>
      </c>
      <c r="AB5097">
        <v>39</v>
      </c>
      <c r="AC5097">
        <v>61.334299999999999</v>
      </c>
      <c r="AD5097">
        <v>3.694766</v>
      </c>
      <c r="AE5097">
        <v>25.022860000000001</v>
      </c>
      <c r="AF5097">
        <v>-25.5660805841386</v>
      </c>
      <c r="AG5097">
        <v>3.694766</v>
      </c>
      <c r="AH5097">
        <v>60.887106131842302</v>
      </c>
      <c r="AI5097">
        <v>86.797635731879893</v>
      </c>
      <c r="AJ5097">
        <v>112.77720291058201</v>
      </c>
      <c r="AK5097">
        <v>66.140119937445306</v>
      </c>
      <c r="AL5097">
        <v>77.256922783966402</v>
      </c>
      <c r="AM5097">
        <v>91.718192128244297</v>
      </c>
      <c r="AN5097">
        <v>1.0000000575277499</v>
      </c>
    </row>
    <row r="5098" spans="1:40" x14ac:dyDescent="0.25">
      <c r="A5098" t="str">
        <f>"20190303170913538"</f>
        <v>20190303170913538</v>
      </c>
      <c r="B5098" t="str">
        <f>"1551604153528720"</f>
        <v>1551604153528720</v>
      </c>
      <c r="C5098" t="s">
        <v>40</v>
      </c>
      <c r="D5098">
        <v>5.094176</v>
      </c>
      <c r="E5098">
        <v>0.35600470000000001</v>
      </c>
      <c r="F5098" t="s">
        <v>53</v>
      </c>
      <c r="G5098">
        <v>-157.3501</v>
      </c>
      <c r="H5098">
        <v>4.8306550000000001</v>
      </c>
      <c r="I5098">
        <v>-38.691749999999999</v>
      </c>
      <c r="J5098">
        <v>-218.3098</v>
      </c>
      <c r="K5098">
        <v>1.1231910000000001</v>
      </c>
      <c r="L5098">
        <v>-63.761569999999899</v>
      </c>
      <c r="M5098">
        <v>0.99986889999999995</v>
      </c>
      <c r="N5098">
        <v>-1.427995E-2</v>
      </c>
      <c r="O5098">
        <v>-7.6271359999999996E-3</v>
      </c>
      <c r="P5098">
        <v>0.97814429999999997</v>
      </c>
      <c r="Q5098">
        <v>0.20689979999999999</v>
      </c>
      <c r="R5098">
        <v>2.0639919999999999E-2</v>
      </c>
      <c r="S5098">
        <v>3.0054319999999999</v>
      </c>
      <c r="T5098">
        <v>0.18168619999999999</v>
      </c>
      <c r="U5098">
        <v>1.2283630000000001</v>
      </c>
      <c r="V5098">
        <v>-2.926059E-2</v>
      </c>
      <c r="W5098">
        <v>0.22069349999999999</v>
      </c>
      <c r="X5098">
        <v>0.9749042</v>
      </c>
      <c r="Y5098">
        <v>-0.38492159999999997</v>
      </c>
      <c r="Z5098">
        <v>-8.8681039999999999E-3</v>
      </c>
      <c r="AA5098">
        <v>0.92290669999999997</v>
      </c>
      <c r="AB5098">
        <v>39</v>
      </c>
      <c r="AC5098">
        <v>60.959699999999998</v>
      </c>
      <c r="AD5098">
        <v>3.7074639999999999</v>
      </c>
      <c r="AE5098">
        <v>25.06982</v>
      </c>
      <c r="AF5098">
        <v>-25.453556599846301</v>
      </c>
      <c r="AG5098">
        <v>3.7074639999999999</v>
      </c>
      <c r="AH5098">
        <v>60.575050059272002</v>
      </c>
      <c r="AI5098">
        <v>86.770485777806897</v>
      </c>
      <c r="AJ5098">
        <v>112.79208204255499</v>
      </c>
      <c r="AK5098">
        <v>65.810071589204199</v>
      </c>
      <c r="AL5098">
        <v>77.250231174453603</v>
      </c>
      <c r="AM5098">
        <v>91.719148578199494</v>
      </c>
      <c r="AN5098">
        <v>1.00000000112351</v>
      </c>
    </row>
    <row r="5099" spans="1:40" x14ac:dyDescent="0.25">
      <c r="A5099" t="str">
        <f>"20190303170913554"</f>
        <v>20190303170913554</v>
      </c>
      <c r="B5099" t="str">
        <f>"1551604153549216"</f>
        <v>1551604153549216</v>
      </c>
      <c r="C5099" t="s">
        <v>40</v>
      </c>
      <c r="D5099">
        <v>5.140835</v>
      </c>
      <c r="E5099">
        <v>0.35561169999999998</v>
      </c>
      <c r="F5099" t="s">
        <v>53</v>
      </c>
      <c r="G5099">
        <v>-157.3501</v>
      </c>
      <c r="H5099">
        <v>4.8960030000000003</v>
      </c>
      <c r="I5099">
        <v>-38.568680000000001</v>
      </c>
      <c r="J5099">
        <v>-218.04689999999999</v>
      </c>
      <c r="K5099">
        <v>1.12347</v>
      </c>
      <c r="L5099">
        <v>-63.761899999999997</v>
      </c>
      <c r="M5099">
        <v>0.99988129999999997</v>
      </c>
      <c r="N5099">
        <v>-1.4361469999999999E-2</v>
      </c>
      <c r="O5099">
        <v>-5.5956449999999998E-3</v>
      </c>
      <c r="P5099">
        <v>0.97809710000000005</v>
      </c>
      <c r="Q5099">
        <v>0.2069145</v>
      </c>
      <c r="R5099">
        <v>2.2643449999999999E-2</v>
      </c>
      <c r="S5099">
        <v>3.001541</v>
      </c>
      <c r="T5099">
        <v>0.18576480000000001</v>
      </c>
      <c r="U5099">
        <v>1.240448</v>
      </c>
      <c r="V5099">
        <v>-2.9422779999999999E-2</v>
      </c>
      <c r="W5099">
        <v>0.2207684</v>
      </c>
      <c r="X5099">
        <v>0.97488240000000004</v>
      </c>
      <c r="Y5099">
        <v>-0.38662279999999999</v>
      </c>
      <c r="Z5099">
        <v>-9.0050229999999992E-3</v>
      </c>
      <c r="AA5099">
        <v>0.92219399999999996</v>
      </c>
      <c r="AB5099">
        <v>39</v>
      </c>
      <c r="AC5099">
        <v>60.696800000000003</v>
      </c>
      <c r="AD5099">
        <v>3.7725330000000001</v>
      </c>
      <c r="AE5099">
        <v>25.19322</v>
      </c>
      <c r="AF5099">
        <v>-25.448635800874602</v>
      </c>
      <c r="AG5099">
        <v>3.7725330000000001</v>
      </c>
      <c r="AH5099">
        <v>60.3559679959953</v>
      </c>
      <c r="AI5099">
        <v>86.703725037397504</v>
      </c>
      <c r="AJ5099">
        <v>112.86235128475499</v>
      </c>
      <c r="AK5099">
        <v>65.610273144495196</v>
      </c>
      <c r="AL5099">
        <v>77.245831699712696</v>
      </c>
      <c r="AM5099">
        <v>91.728710600202206</v>
      </c>
      <c r="AN5099">
        <v>1.0000000401256199</v>
      </c>
    </row>
    <row r="5100" spans="1:40" x14ac:dyDescent="0.25">
      <c r="A5100" t="str">
        <f>"20190303170913568"</f>
        <v>20190303170913568</v>
      </c>
      <c r="B5100" t="str">
        <f>"1551604153558975"</f>
        <v>1551604153558975</v>
      </c>
      <c r="C5100" t="s">
        <v>40</v>
      </c>
      <c r="D5100">
        <v>5.1508129999999896</v>
      </c>
      <c r="E5100">
        <v>0.35554039999999998</v>
      </c>
      <c r="F5100" t="s">
        <v>53</v>
      </c>
      <c r="G5100">
        <v>-157.3501</v>
      </c>
      <c r="H5100">
        <v>4.9291510000000001</v>
      </c>
      <c r="I5100">
        <v>-38.456209999999999</v>
      </c>
      <c r="J5100">
        <v>-217.77019999999999</v>
      </c>
      <c r="K5100">
        <v>1.1237680000000001</v>
      </c>
      <c r="L5100">
        <v>-63.761600000000001</v>
      </c>
      <c r="M5100">
        <v>0.99989059999999996</v>
      </c>
      <c r="N5100">
        <v>-1.4442089999999999E-2</v>
      </c>
      <c r="O5100">
        <v>-3.2422779999999999E-3</v>
      </c>
      <c r="P5100">
        <v>0.97808499999999998</v>
      </c>
      <c r="Q5100">
        <v>0.20670659999999999</v>
      </c>
      <c r="R5100">
        <v>2.494857E-2</v>
      </c>
      <c r="S5100">
        <v>2.9984739999999999</v>
      </c>
      <c r="T5100">
        <v>0.1880028</v>
      </c>
      <c r="U5100">
        <v>1.250122</v>
      </c>
      <c r="V5100">
        <v>-2.9581409999999999E-2</v>
      </c>
      <c r="W5100">
        <v>0.2206186</v>
      </c>
      <c r="X5100">
        <v>0.97491150000000004</v>
      </c>
      <c r="Y5100">
        <v>-0.38731549999999998</v>
      </c>
      <c r="Z5100">
        <v>-8.9751050000000006E-3</v>
      </c>
      <c r="AA5100">
        <v>0.92190360000000005</v>
      </c>
      <c r="AB5100">
        <v>39</v>
      </c>
      <c r="AC5100">
        <v>60.420099999999898</v>
      </c>
      <c r="AD5100">
        <v>3.805383</v>
      </c>
      <c r="AE5100">
        <v>25.305389999999999</v>
      </c>
      <c r="AF5100">
        <v>-25.415405179862798</v>
      </c>
      <c r="AG5100">
        <v>3.805383</v>
      </c>
      <c r="AH5100">
        <v>60.134786100147799</v>
      </c>
      <c r="AI5100">
        <v>86.664075124769795</v>
      </c>
      <c r="AJ5100">
        <v>112.910895557293</v>
      </c>
      <c r="AK5100">
        <v>65.395842830747398</v>
      </c>
      <c r="AL5100">
        <v>77.2546314483629</v>
      </c>
      <c r="AM5100">
        <v>91.737973224633805</v>
      </c>
      <c r="AN5100">
        <v>1.0000000296578899</v>
      </c>
    </row>
    <row r="5101" spans="1:40" x14ac:dyDescent="0.25">
      <c r="A5101" t="str">
        <f>"20190303170913582"</f>
        <v>20190303170913582</v>
      </c>
      <c r="B5101" t="str">
        <f>"1551604153568736"</f>
        <v>1551604153568736</v>
      </c>
      <c r="C5101" t="s">
        <v>40</v>
      </c>
      <c r="D5101">
        <v>5.1841309999999998</v>
      </c>
      <c r="E5101">
        <v>0.3555257</v>
      </c>
      <c r="F5101" t="s">
        <v>53</v>
      </c>
      <c r="G5101">
        <v>-157.3501</v>
      </c>
      <c r="H5101">
        <v>4.9195099999999998</v>
      </c>
      <c r="I5101">
        <v>-38.381959999999999</v>
      </c>
      <c r="J5101">
        <v>-217.5549</v>
      </c>
      <c r="K5101">
        <v>1.123991</v>
      </c>
      <c r="L5101">
        <v>-63.760530000000003</v>
      </c>
      <c r="M5101">
        <v>0.99989410000000001</v>
      </c>
      <c r="N5101">
        <v>-1.449989E-2</v>
      </c>
      <c r="O5101">
        <v>-1.181856E-3</v>
      </c>
      <c r="P5101">
        <v>0.97823179999999998</v>
      </c>
      <c r="Q5101">
        <v>0.20570359999999999</v>
      </c>
      <c r="R5101">
        <v>2.735659E-2</v>
      </c>
      <c r="S5101">
        <v>2.9953609999999999</v>
      </c>
      <c r="T5101">
        <v>0.18817500000000001</v>
      </c>
      <c r="U5101">
        <v>1.2582089999999999</v>
      </c>
      <c r="V5101">
        <v>-3.0089689999999999E-2</v>
      </c>
      <c r="W5101">
        <v>0.21965580000000001</v>
      </c>
      <c r="X5101">
        <v>0.97511329999999996</v>
      </c>
      <c r="Y5101">
        <v>-0.387878</v>
      </c>
      <c r="Z5101">
        <v>-8.8382530000000008E-3</v>
      </c>
      <c r="AA5101">
        <v>0.92166840000000005</v>
      </c>
      <c r="AB5101">
        <v>39</v>
      </c>
      <c r="AC5101">
        <v>60.204799999999999</v>
      </c>
      <c r="AD5101">
        <v>3.7955190000000001</v>
      </c>
      <c r="AE5101">
        <v>25.37857</v>
      </c>
      <c r="AF5101">
        <v>-25.364114406858899</v>
      </c>
      <c r="AG5101">
        <v>3.7955190000000001</v>
      </c>
      <c r="AH5101">
        <v>59.972366368142097</v>
      </c>
      <c r="AI5101">
        <v>86.664057455186196</v>
      </c>
      <c r="AJ5101">
        <v>112.92496122959299</v>
      </c>
      <c r="AK5101">
        <v>65.225984024146797</v>
      </c>
      <c r="AL5101">
        <v>77.311182766243306</v>
      </c>
      <c r="AM5101">
        <v>91.767451390980099</v>
      </c>
      <c r="AN5101">
        <v>1.0000000038774099</v>
      </c>
    </row>
    <row r="5102" spans="1:40" x14ac:dyDescent="0.25">
      <c r="A5102" t="str">
        <f>"20190303170913594"</f>
        <v>20190303170913594</v>
      </c>
      <c r="B5102" t="str">
        <f>"1551604153589231"</f>
        <v>1551604153589231</v>
      </c>
      <c r="C5102" t="s">
        <v>40</v>
      </c>
      <c r="D5102">
        <v>5.1786250000000003</v>
      </c>
      <c r="E5102">
        <v>0.3552129</v>
      </c>
      <c r="F5102" t="s">
        <v>53</v>
      </c>
      <c r="G5102">
        <v>-157.3501</v>
      </c>
      <c r="H5102">
        <v>4.8621100000000004</v>
      </c>
      <c r="I5102">
        <v>-38.283009999999997</v>
      </c>
      <c r="J5102">
        <v>-217.3467</v>
      </c>
      <c r="K5102">
        <v>1.1242080000000001</v>
      </c>
      <c r="L5102">
        <v>-63.759160000000001</v>
      </c>
      <c r="M5102">
        <v>0.9998937</v>
      </c>
      <c r="N5102">
        <v>-1.455362E-2</v>
      </c>
      <c r="O5102">
        <v>8.9611889999999998E-4</v>
      </c>
      <c r="P5102">
        <v>0.97835970000000005</v>
      </c>
      <c r="Q5102">
        <v>0.20470830000000001</v>
      </c>
      <c r="R5102">
        <v>3.0111639999999999E-2</v>
      </c>
      <c r="S5102">
        <v>2.992264</v>
      </c>
      <c r="T5102">
        <v>0.18578839999999999</v>
      </c>
      <c r="U5102">
        <v>1.2662659999999999</v>
      </c>
      <c r="V5102">
        <v>-3.0923719999999998E-2</v>
      </c>
      <c r="W5102">
        <v>0.21869359999999999</v>
      </c>
      <c r="X5102">
        <v>0.97530349999999999</v>
      </c>
      <c r="Y5102">
        <v>-0.38842939999999998</v>
      </c>
      <c r="Z5102">
        <v>-8.5420519999999996E-3</v>
      </c>
      <c r="AA5102">
        <v>0.92143889999999995</v>
      </c>
      <c r="AB5102">
        <v>39</v>
      </c>
      <c r="AC5102">
        <v>59.996600000000001</v>
      </c>
      <c r="AD5102">
        <v>3.7379019999999898</v>
      </c>
      <c r="AE5102">
        <v>25.476150000000001</v>
      </c>
      <c r="AF5102">
        <v>-25.339040738894099</v>
      </c>
      <c r="AG5102">
        <v>3.7379019999999898</v>
      </c>
      <c r="AH5102">
        <v>59.822676829520098</v>
      </c>
      <c r="AI5102">
        <v>86.707137276864401</v>
      </c>
      <c r="AJ5102">
        <v>112.956017343882</v>
      </c>
      <c r="AK5102">
        <v>65.075276103741103</v>
      </c>
      <c r="AL5102">
        <v>77.367687114409307</v>
      </c>
      <c r="AM5102">
        <v>91.816055473776601</v>
      </c>
      <c r="AN5102">
        <v>1.0000000421259201</v>
      </c>
    </row>
    <row r="5103" spans="1:40" x14ac:dyDescent="0.25">
      <c r="A5103" t="str">
        <f>"20190303170913603"</f>
        <v>20190303170913603</v>
      </c>
      <c r="B5103" t="str">
        <f>"1551604153598991"</f>
        <v>1551604153598991</v>
      </c>
      <c r="C5103" t="s">
        <v>40</v>
      </c>
      <c r="D5103">
        <v>5.1718310000000001</v>
      </c>
      <c r="E5103">
        <v>0.35520190000000001</v>
      </c>
      <c r="F5103" t="s">
        <v>53</v>
      </c>
      <c r="G5103">
        <v>-157.3501</v>
      </c>
      <c r="H5103">
        <v>4.8040450000000003</v>
      </c>
      <c r="I5103">
        <v>-38.123179999999998</v>
      </c>
      <c r="J5103">
        <v>-217.15389999999999</v>
      </c>
      <c r="K5103">
        <v>1.1244149999999999</v>
      </c>
      <c r="L5103">
        <v>-63.757390000000001</v>
      </c>
      <c r="M5103">
        <v>0.99988909999999998</v>
      </c>
      <c r="N5103">
        <v>-1.4600459999999999E-2</v>
      </c>
      <c r="O5103">
        <v>2.959775E-3</v>
      </c>
      <c r="P5103">
        <v>0.97844129999999996</v>
      </c>
      <c r="Q5103">
        <v>0.20396429999999999</v>
      </c>
      <c r="R5103">
        <v>3.2421279999999997E-2</v>
      </c>
      <c r="S5103">
        <v>2.988693</v>
      </c>
      <c r="T5103">
        <v>0.18330759999999999</v>
      </c>
      <c r="U5103">
        <v>1.277039</v>
      </c>
      <c r="V5103">
        <v>-3.1319489999999998E-2</v>
      </c>
      <c r="W5103">
        <v>0.2179798</v>
      </c>
      <c r="X5103">
        <v>0.97545059999999995</v>
      </c>
      <c r="Y5103">
        <v>-0.38975340000000003</v>
      </c>
      <c r="Z5103">
        <v>-8.2608200000000003E-3</v>
      </c>
      <c r="AA5103">
        <v>0.92088219999999998</v>
      </c>
      <c r="AB5103">
        <v>39</v>
      </c>
      <c r="AC5103">
        <v>59.803800000000003</v>
      </c>
      <c r="AD5103">
        <v>3.67963</v>
      </c>
      <c r="AE5103">
        <v>25.634209999999999</v>
      </c>
      <c r="AF5103">
        <v>-25.375917259761401</v>
      </c>
      <c r="AG5103">
        <v>3.67963</v>
      </c>
      <c r="AH5103">
        <v>59.688525193776201</v>
      </c>
      <c r="AI5103">
        <v>86.752920474955403</v>
      </c>
      <c r="AJ5103">
        <v>113.032235190172</v>
      </c>
      <c r="AK5103">
        <v>64.963042520491697</v>
      </c>
      <c r="AL5103">
        <v>77.409595266598402</v>
      </c>
      <c r="AM5103">
        <v>91.839004794444307</v>
      </c>
      <c r="AN5103">
        <v>0.99999998835112902</v>
      </c>
    </row>
    <row r="5104" spans="1:40" x14ac:dyDescent="0.25">
      <c r="A5104" t="str">
        <f>"20190303170913616"</f>
        <v>20190303170913616</v>
      </c>
      <c r="B5104" t="str">
        <f>"1551604153608751"</f>
        <v>1551604153608751</v>
      </c>
      <c r="C5104" t="s">
        <v>40</v>
      </c>
      <c r="D5104">
        <v>5.2067319999999997</v>
      </c>
      <c r="E5104">
        <v>0.35524060000000002</v>
      </c>
      <c r="F5104" t="s">
        <v>53</v>
      </c>
      <c r="G5104">
        <v>-157.3501</v>
      </c>
      <c r="H5104">
        <v>4.726782</v>
      </c>
      <c r="I5104">
        <v>-38.042700000000004</v>
      </c>
      <c r="J5104">
        <v>-216.94909999999999</v>
      </c>
      <c r="K5104">
        <v>1.1246320000000001</v>
      </c>
      <c r="L5104">
        <v>-63.754910000000002</v>
      </c>
      <c r="M5104">
        <v>0.99987890000000001</v>
      </c>
      <c r="N5104">
        <v>-1.4648090000000001E-2</v>
      </c>
      <c r="O5104">
        <v>5.2820339999999997E-3</v>
      </c>
      <c r="P5104">
        <v>0.97844209999999998</v>
      </c>
      <c r="Q5104">
        <v>0.20340069999999999</v>
      </c>
      <c r="R5104">
        <v>3.5771619999999997E-2</v>
      </c>
      <c r="S5104">
        <v>2.986084</v>
      </c>
      <c r="T5104">
        <v>0.17986969999999999</v>
      </c>
      <c r="U5104">
        <v>1.2839659999999999</v>
      </c>
      <c r="V5104">
        <v>-3.2510049999999999E-2</v>
      </c>
      <c r="W5104">
        <v>0.21743670000000001</v>
      </c>
      <c r="X5104">
        <v>0.97553290000000004</v>
      </c>
      <c r="Y5104">
        <v>-0.38973570000000002</v>
      </c>
      <c r="Z5104">
        <v>-7.8760219999999999E-3</v>
      </c>
      <c r="AA5104">
        <v>0.92089310000000002</v>
      </c>
      <c r="AB5104">
        <v>39</v>
      </c>
      <c r="AC5104">
        <v>59.598999999999897</v>
      </c>
      <c r="AD5104">
        <v>3.60215</v>
      </c>
      <c r="AE5104">
        <v>25.712209999999899</v>
      </c>
      <c r="AF5104">
        <v>-25.319037195579298</v>
      </c>
      <c r="AG5104">
        <v>3.60215</v>
      </c>
      <c r="AH5104">
        <v>59.550594655030402</v>
      </c>
      <c r="AI5104">
        <v>86.813836926404406</v>
      </c>
      <c r="AJ5104">
        <v>113.03366898082599</v>
      </c>
      <c r="AK5104">
        <v>64.8097404168645</v>
      </c>
      <c r="AL5104">
        <v>77.441477868899696</v>
      </c>
      <c r="AM5104">
        <v>91.90869991001</v>
      </c>
      <c r="AN5104">
        <v>1.00000003042015</v>
      </c>
    </row>
    <row r="5105" spans="1:40" x14ac:dyDescent="0.25">
      <c r="A5105" t="str">
        <f>"20190303170913627"</f>
        <v>20190303170913627</v>
      </c>
      <c r="B5105" t="str">
        <f>"1551604153618511"</f>
        <v>1551604153618511</v>
      </c>
      <c r="C5105" t="s">
        <v>40</v>
      </c>
      <c r="D5105">
        <v>5.1509410000000004</v>
      </c>
      <c r="E5105">
        <v>0.35524800000000001</v>
      </c>
      <c r="F5105" t="s">
        <v>53</v>
      </c>
      <c r="G5105">
        <v>-157.47200000000001</v>
      </c>
      <c r="H5105">
        <v>4.6358639999999998</v>
      </c>
      <c r="I5105">
        <v>-37.955309999999997</v>
      </c>
      <c r="J5105">
        <v>-216.75049999999999</v>
      </c>
      <c r="K5105">
        <v>1.1248560000000001</v>
      </c>
      <c r="L5105">
        <v>-63.752139999999997</v>
      </c>
      <c r="M5105">
        <v>0.99986319999999995</v>
      </c>
      <c r="N5105">
        <v>-1.46924E-2</v>
      </c>
      <c r="O5105">
        <v>7.6152269999999996E-3</v>
      </c>
      <c r="P5105">
        <v>0.97839799999999999</v>
      </c>
      <c r="Q5105">
        <v>0.20317260000000001</v>
      </c>
      <c r="R5105">
        <v>3.819285E-2</v>
      </c>
      <c r="S5105">
        <v>2.982224</v>
      </c>
      <c r="T5105">
        <v>0.1760545</v>
      </c>
      <c r="U5105">
        <v>1.2936099999999999</v>
      </c>
      <c r="V5105">
        <v>-3.2759499999999997E-2</v>
      </c>
      <c r="W5105">
        <v>0.2172347</v>
      </c>
      <c r="X5105">
        <v>0.97556949999999998</v>
      </c>
      <c r="Y5105">
        <v>-0.39055469999999998</v>
      </c>
      <c r="Z5105">
        <v>-7.4920969999999996E-3</v>
      </c>
      <c r="AA5105">
        <v>0.92054930000000001</v>
      </c>
      <c r="AB5105">
        <v>39</v>
      </c>
      <c r="AC5105">
        <v>59.278499999999902</v>
      </c>
      <c r="AD5105">
        <v>3.5110079999999999</v>
      </c>
      <c r="AE5105">
        <v>25.79683</v>
      </c>
      <c r="AF5105">
        <v>-25.270079904368899</v>
      </c>
      <c r="AG5105">
        <v>3.5110079999999999</v>
      </c>
      <c r="AH5105">
        <v>59.298350374160599</v>
      </c>
      <c r="AI5105">
        <v>86.882211081516601</v>
      </c>
      <c r="AJ5105">
        <v>113.08135031561</v>
      </c>
      <c r="AK5105">
        <v>64.553841656759403</v>
      </c>
      <c r="AL5105">
        <v>77.453334326224294</v>
      </c>
      <c r="AM5105">
        <v>91.9232623266075</v>
      </c>
      <c r="AN5105">
        <v>0.99999997452729406</v>
      </c>
    </row>
    <row r="5106" spans="1:40" x14ac:dyDescent="0.25">
      <c r="A5106" t="str">
        <f>"20190303170913638"</f>
        <v>20190303170913638</v>
      </c>
      <c r="B5106" t="str">
        <f>"1551604153629247"</f>
        <v>1551604153629247</v>
      </c>
      <c r="C5106" t="s">
        <v>40</v>
      </c>
      <c r="D5106">
        <v>5.1970409999999996</v>
      </c>
      <c r="E5106">
        <v>0.35524319999999998</v>
      </c>
      <c r="F5106" t="s">
        <v>53</v>
      </c>
      <c r="G5106">
        <v>-157.66720000000001</v>
      </c>
      <c r="H5106">
        <v>4.5784929999999999</v>
      </c>
      <c r="I5106">
        <v>-37.955309999999997</v>
      </c>
      <c r="J5106">
        <v>-216.5624</v>
      </c>
      <c r="K5106">
        <v>1.1250639999999901</v>
      </c>
      <c r="L5106">
        <v>-63.748779999999996</v>
      </c>
      <c r="M5106">
        <v>0.99984170000000006</v>
      </c>
      <c r="N5106">
        <v>-1.473204E-2</v>
      </c>
      <c r="O5106">
        <v>9.9845980000000008E-3</v>
      </c>
      <c r="P5106">
        <v>0.97823389999999999</v>
      </c>
      <c r="Q5106">
        <v>0.2035111</v>
      </c>
      <c r="R5106">
        <v>4.0521620000000001E-2</v>
      </c>
      <c r="S5106">
        <v>2.9792939999999999</v>
      </c>
      <c r="T5106">
        <v>0.17414959999999999</v>
      </c>
      <c r="U5106">
        <v>1.3008120000000001</v>
      </c>
      <c r="V5106">
        <v>-3.2879609999999997E-2</v>
      </c>
      <c r="W5106">
        <v>0.2175945</v>
      </c>
      <c r="X5106">
        <v>0.9754853</v>
      </c>
      <c r="Y5106">
        <v>-0.39059050000000001</v>
      </c>
      <c r="Z5106">
        <v>-7.2075949999999998E-3</v>
      </c>
      <c r="AA5106">
        <v>0.92053629999999997</v>
      </c>
      <c r="AB5106">
        <v>39</v>
      </c>
      <c r="AC5106">
        <v>58.895199999999903</v>
      </c>
      <c r="AD5106">
        <v>3.4534289999999999</v>
      </c>
      <c r="AE5106">
        <v>25.793469999999999</v>
      </c>
      <c r="AF5106">
        <v>-25.1315723484045</v>
      </c>
      <c r="AG5106">
        <v>3.4534289999999999</v>
      </c>
      <c r="AH5106">
        <v>58.979676400896302</v>
      </c>
      <c r="AI5106">
        <v>86.916654009324901</v>
      </c>
      <c r="AJ5106">
        <v>113.079127061756</v>
      </c>
      <c r="AK5106">
        <v>64.203771921247593</v>
      </c>
      <c r="AL5106">
        <v>77.432214456107801</v>
      </c>
      <c r="AM5106">
        <v>91.930474974652896</v>
      </c>
      <c r="AN5106">
        <v>1.00000000285004</v>
      </c>
    </row>
    <row r="5107" spans="1:40" x14ac:dyDescent="0.25">
      <c r="A5107" t="str">
        <f>"20190303170913649"</f>
        <v>20190303170913649</v>
      </c>
      <c r="B5107" t="str">
        <f>"1551604153639008"</f>
        <v>1551604153639008</v>
      </c>
      <c r="C5107" t="s">
        <v>40</v>
      </c>
      <c r="D5107">
        <v>5.2068009999999996</v>
      </c>
      <c r="E5107">
        <v>0.3552592</v>
      </c>
      <c r="F5107" t="s">
        <v>53</v>
      </c>
      <c r="G5107">
        <v>-157.87260000000001</v>
      </c>
      <c r="H5107">
        <v>4.5713410000000003</v>
      </c>
      <c r="I5107">
        <v>-37.955309999999997</v>
      </c>
      <c r="J5107">
        <v>-216.364</v>
      </c>
      <c r="K5107">
        <v>1.125284</v>
      </c>
      <c r="L5107">
        <v>-63.744999999999997</v>
      </c>
      <c r="M5107">
        <v>0.99981260000000005</v>
      </c>
      <c r="N5107">
        <v>-1.477235E-2</v>
      </c>
      <c r="O5107">
        <v>1.252488E-2</v>
      </c>
      <c r="P5107">
        <v>0.97798099999999999</v>
      </c>
      <c r="Q5107">
        <v>0.20435900000000001</v>
      </c>
      <c r="R5107">
        <v>4.2318219999999997E-2</v>
      </c>
      <c r="S5107">
        <v>2.9762270000000002</v>
      </c>
      <c r="T5107">
        <v>0.17476329999999901</v>
      </c>
      <c r="U5107">
        <v>1.308014</v>
      </c>
      <c r="V5107">
        <v>-3.2313550000000003E-2</v>
      </c>
      <c r="W5107">
        <v>0.21846979999999999</v>
      </c>
      <c r="X5107">
        <v>0.97530850000000002</v>
      </c>
      <c r="Y5107">
        <v>-0.39047150000000003</v>
      </c>
      <c r="Z5107">
        <v>-7.0583419999999996E-3</v>
      </c>
      <c r="AA5107">
        <v>0.92058799999999996</v>
      </c>
      <c r="AB5107">
        <v>39</v>
      </c>
      <c r="AC5107">
        <v>58.491399999999999</v>
      </c>
      <c r="AD5107">
        <v>3.4460570000000001</v>
      </c>
      <c r="AE5107">
        <v>25.78969</v>
      </c>
      <c r="AF5107">
        <v>-24.982387957564601</v>
      </c>
      <c r="AG5107">
        <v>3.4460570000000001</v>
      </c>
      <c r="AH5107">
        <v>58.639447396394601</v>
      </c>
      <c r="AI5107">
        <v>86.905326342351302</v>
      </c>
      <c r="AJ5107">
        <v>113.075644807446</v>
      </c>
      <c r="AK5107">
        <v>63.832435390356601</v>
      </c>
      <c r="AL5107">
        <v>77.380826414574301</v>
      </c>
      <c r="AM5107">
        <v>91.897607824672207</v>
      </c>
      <c r="AN5107">
        <v>0.99999994459894403</v>
      </c>
    </row>
    <row r="5108" spans="1:40" x14ac:dyDescent="0.25">
      <c r="A5108" t="str">
        <f>"20190303170913661"</f>
        <v>20190303170913661</v>
      </c>
      <c r="B5108" t="str">
        <f>"1551604153648768"</f>
        <v>1551604153648768</v>
      </c>
      <c r="C5108" t="s">
        <v>40</v>
      </c>
      <c r="D5108">
        <v>5.1572990000000001</v>
      </c>
      <c r="E5108">
        <v>0.35512100000000002</v>
      </c>
      <c r="F5108" t="s">
        <v>53</v>
      </c>
      <c r="G5108">
        <v>-157.9383</v>
      </c>
      <c r="H5108">
        <v>4.5911220000000004</v>
      </c>
      <c r="I5108">
        <v>-37.943890000000003</v>
      </c>
      <c r="J5108">
        <v>-216.1626</v>
      </c>
      <c r="K5108">
        <v>1.125502</v>
      </c>
      <c r="L5108">
        <v>-63.7401699999999</v>
      </c>
      <c r="M5108">
        <v>0.99977369999999999</v>
      </c>
      <c r="N5108">
        <v>-1.481086E-2</v>
      </c>
      <c r="O5108">
        <v>1.5278730000000001E-2</v>
      </c>
      <c r="P5108">
        <v>0.97779669999999996</v>
      </c>
      <c r="Q5108">
        <v>0.2046509</v>
      </c>
      <c r="R5108">
        <v>4.5077029999999997E-2</v>
      </c>
      <c r="S5108">
        <v>2.973846</v>
      </c>
      <c r="T5108">
        <v>0.17640829999999999</v>
      </c>
      <c r="U5108">
        <v>1.3132629999999901</v>
      </c>
      <c r="V5108">
        <v>-3.2494000000000002E-2</v>
      </c>
      <c r="W5108">
        <v>0.21878110000000001</v>
      </c>
      <c r="X5108">
        <v>0.97523280000000001</v>
      </c>
      <c r="Y5108">
        <v>-0.38956679999999999</v>
      </c>
      <c r="Z5108">
        <v>-6.9359679999999998E-3</v>
      </c>
      <c r="AA5108">
        <v>0.92097209999999996</v>
      </c>
      <c r="AB5108">
        <v>39</v>
      </c>
      <c r="AC5108">
        <v>58.224299999999999</v>
      </c>
      <c r="AD5108">
        <v>3.4656199999999999</v>
      </c>
      <c r="AE5108">
        <v>25.7962799999999</v>
      </c>
      <c r="AF5108">
        <v>-24.830042562058399</v>
      </c>
      <c r="AG5108">
        <v>3.4656199999999999</v>
      </c>
      <c r="AH5108">
        <v>58.4386122641653</v>
      </c>
      <c r="AI5108">
        <v>86.8758346385397</v>
      </c>
      <c r="AJ5108">
        <v>113.02020381919699</v>
      </c>
      <c r="AK5108">
        <v>63.589409015806098</v>
      </c>
      <c r="AL5108">
        <v>77.362549056951195</v>
      </c>
      <c r="AM5108">
        <v>91.908344917827193</v>
      </c>
      <c r="AN5108">
        <v>1.00000002197452</v>
      </c>
    </row>
    <row r="5109" spans="1:40" x14ac:dyDescent="0.25">
      <c r="A5109" t="str">
        <f>"20190303170913673"</f>
        <v>20190303170913673</v>
      </c>
      <c r="B5109" t="str">
        <f>"1551604153669263"</f>
        <v>1551604153669263</v>
      </c>
      <c r="C5109" t="s">
        <v>40</v>
      </c>
      <c r="D5109">
        <v>5.2248539999999997</v>
      </c>
      <c r="E5109">
        <v>0.35512450000000001</v>
      </c>
      <c r="F5109" t="s">
        <v>53</v>
      </c>
      <c r="G5109">
        <v>-157.9383</v>
      </c>
      <c r="H5109">
        <v>4.6130959999999996</v>
      </c>
      <c r="I5109">
        <v>-37.805599999999998</v>
      </c>
      <c r="J5109">
        <v>-215.9624</v>
      </c>
      <c r="K5109">
        <v>1.125707</v>
      </c>
      <c r="L5109">
        <v>-63.734990000000003</v>
      </c>
      <c r="M5109">
        <v>0.99972640000000002</v>
      </c>
      <c r="N5109">
        <v>-1.484745E-2</v>
      </c>
      <c r="O5109">
        <v>1.807574E-2</v>
      </c>
      <c r="P5109">
        <v>0.97754909999999995</v>
      </c>
      <c r="Q5109">
        <v>0.2051685</v>
      </c>
      <c r="R5109">
        <v>4.7995360000000001E-2</v>
      </c>
      <c r="S5109">
        <v>2.9699249999999999</v>
      </c>
      <c r="T5109">
        <v>0.17789489999999999</v>
      </c>
      <c r="U5109">
        <v>1.3228759999999999</v>
      </c>
      <c r="V5109">
        <v>-3.27941E-2</v>
      </c>
      <c r="W5109">
        <v>0.21931429999999999</v>
      </c>
      <c r="X5109">
        <v>0.97510300000000005</v>
      </c>
      <c r="Y5109">
        <v>-0.38992890000000002</v>
      </c>
      <c r="Z5109">
        <v>-6.8258729999999997E-3</v>
      </c>
      <c r="AA5109">
        <v>0.92081959999999996</v>
      </c>
      <c r="AB5109">
        <v>39</v>
      </c>
      <c r="AC5109">
        <v>58.024099999999997</v>
      </c>
      <c r="AD5109">
        <v>3.4873889999999901</v>
      </c>
      <c r="AE5109">
        <v>25.929390000000001</v>
      </c>
      <c r="AF5109">
        <v>-24.801530795089</v>
      </c>
      <c r="AG5109">
        <v>3.4873889999999901</v>
      </c>
      <c r="AH5109">
        <v>58.307796838714097</v>
      </c>
      <c r="AI5109">
        <v>86.849736371022402</v>
      </c>
      <c r="AJ5109">
        <v>113.04273284134101</v>
      </c>
      <c r="AK5109">
        <v>63.459254518169601</v>
      </c>
      <c r="AL5109">
        <v>77.331238750267502</v>
      </c>
      <c r="AM5109">
        <v>91.926212501283302</v>
      </c>
      <c r="AN5109">
        <v>1.00000003789414</v>
      </c>
    </row>
    <row r="5110" spans="1:40" x14ac:dyDescent="0.25">
      <c r="A5110" t="str">
        <f>"20190303170913683"</f>
        <v>20190303170913683</v>
      </c>
      <c r="B5110" t="str">
        <f>"1551604153679024"</f>
        <v>1551604153679024</v>
      </c>
      <c r="C5110" t="s">
        <v>40</v>
      </c>
      <c r="D5110">
        <v>5.151707</v>
      </c>
      <c r="E5110">
        <v>0.35499039999999998</v>
      </c>
      <c r="F5110" t="s">
        <v>53</v>
      </c>
      <c r="G5110">
        <v>-157.9383</v>
      </c>
      <c r="H5110">
        <v>4.6025429999999998</v>
      </c>
      <c r="I5110">
        <v>-37.687289999999997</v>
      </c>
      <c r="J5110">
        <v>-215.76159999999999</v>
      </c>
      <c r="K5110">
        <v>1.1259079999999999</v>
      </c>
      <c r="L5110">
        <v>-63.729129999999998</v>
      </c>
      <c r="M5110">
        <v>0.99966880000000002</v>
      </c>
      <c r="N5110">
        <v>-1.488219E-2</v>
      </c>
      <c r="O5110">
        <v>2.0989580000000001E-2</v>
      </c>
      <c r="P5110">
        <v>0.97741730000000004</v>
      </c>
      <c r="Q5110">
        <v>0.2050573</v>
      </c>
      <c r="R5110">
        <v>5.1058029999999997E-2</v>
      </c>
      <c r="S5110">
        <v>2.9662320000000002</v>
      </c>
      <c r="T5110">
        <v>0.17773699999999901</v>
      </c>
      <c r="U5110">
        <v>1.3315729999999999</v>
      </c>
      <c r="V5110">
        <v>-3.3111939999999999E-2</v>
      </c>
      <c r="W5110">
        <v>0.21921889999999999</v>
      </c>
      <c r="X5110">
        <v>0.97511369999999997</v>
      </c>
      <c r="Y5110">
        <v>-0.38992890000000002</v>
      </c>
      <c r="Z5110">
        <v>-6.6057090000000004E-3</v>
      </c>
      <c r="AA5110">
        <v>0.92082129999999995</v>
      </c>
      <c r="AB5110">
        <v>39</v>
      </c>
      <c r="AC5110">
        <v>57.823299999999897</v>
      </c>
      <c r="AD5110">
        <v>3.4766349999999999</v>
      </c>
      <c r="AE5110">
        <v>26.041840000000001</v>
      </c>
      <c r="AF5110">
        <v>-24.7479020071858</v>
      </c>
      <c r="AG5110">
        <v>3.4766349999999999</v>
      </c>
      <c r="AH5110">
        <v>58.182362987254997</v>
      </c>
      <c r="AI5110">
        <v>86.852668889571902</v>
      </c>
      <c r="AJ5110">
        <v>113.042503660297</v>
      </c>
      <c r="AK5110">
        <v>63.322452633021101</v>
      </c>
      <c r="AL5110">
        <v>77.336840964430195</v>
      </c>
      <c r="AM5110">
        <v>91.944845735210507</v>
      </c>
      <c r="AN5110">
        <v>1.0000000273077301</v>
      </c>
    </row>
    <row r="5111" spans="1:40" x14ac:dyDescent="0.25">
      <c r="A5111" t="str">
        <f>"20190303170913696"</f>
        <v>20190303170913696</v>
      </c>
      <c r="B5111" t="str">
        <f>"1551604153688784"</f>
        <v>1551604153688784</v>
      </c>
      <c r="C5111" t="s">
        <v>40</v>
      </c>
      <c r="D5111">
        <v>5.1844049999999999</v>
      </c>
      <c r="E5111">
        <v>0.35485620000000001</v>
      </c>
      <c r="F5111" t="s">
        <v>41</v>
      </c>
      <c r="G5111">
        <v>-177.52209999999999</v>
      </c>
      <c r="H5111">
        <v>3.4256869999999999</v>
      </c>
      <c r="I5111">
        <v>-46.402749999999997</v>
      </c>
      <c r="J5111">
        <v>-215.5522</v>
      </c>
      <c r="K5111">
        <v>1.1261110000000001</v>
      </c>
      <c r="L5111">
        <v>-63.722230000000003</v>
      </c>
      <c r="M5111">
        <v>0.99959730000000002</v>
      </c>
      <c r="N5111">
        <v>-1.491637E-2</v>
      </c>
      <c r="O5111">
        <v>2.4137059999999998E-2</v>
      </c>
      <c r="P5111">
        <v>0.97723479999999996</v>
      </c>
      <c r="Q5111">
        <v>0.2051164</v>
      </c>
      <c r="R5111">
        <v>5.4217929999999998E-2</v>
      </c>
      <c r="S5111">
        <v>2.9618380000000002</v>
      </c>
      <c r="T5111">
        <v>0.17812900000000001</v>
      </c>
      <c r="U5111">
        <v>1.3420099999999999</v>
      </c>
      <c r="V5111">
        <v>-3.3302930000000001E-2</v>
      </c>
      <c r="W5111">
        <v>0.2192943</v>
      </c>
      <c r="X5111">
        <v>0.97509020000000002</v>
      </c>
      <c r="Y5111">
        <v>-0.39024130000000001</v>
      </c>
      <c r="Z5111">
        <v>-6.4063059999999996E-3</v>
      </c>
      <c r="AA5111">
        <v>0.92069040000000002</v>
      </c>
      <c r="AB5111">
        <v>39</v>
      </c>
      <c r="AC5111">
        <v>38.030099999999997</v>
      </c>
      <c r="AD5111">
        <v>2.2995759999999899</v>
      </c>
      <c r="AE5111">
        <v>17.319479999999999</v>
      </c>
      <c r="AF5111">
        <v>-16.346893887805798</v>
      </c>
      <c r="AG5111">
        <v>2.2995759999999899</v>
      </c>
      <c r="AH5111">
        <v>38.321060804029599</v>
      </c>
      <c r="AI5111">
        <v>86.840709753286205</v>
      </c>
      <c r="AJ5111">
        <v>113.101993993242</v>
      </c>
      <c r="AK5111">
        <v>41.725444164263799</v>
      </c>
      <c r="AL5111">
        <v>77.332412597457093</v>
      </c>
      <c r="AM5111">
        <v>91.956102040351993</v>
      </c>
      <c r="AN5111">
        <v>0.99999998664755696</v>
      </c>
    </row>
    <row r="5112" spans="1:40" x14ac:dyDescent="0.25">
      <c r="A5112" t="str">
        <f>"20190303170913707"</f>
        <v>20190303170913707</v>
      </c>
      <c r="B5112" t="str">
        <f>"1551604153698543"</f>
        <v>1551604153698543</v>
      </c>
      <c r="C5112" t="s">
        <v>40</v>
      </c>
      <c r="D5112">
        <v>5.2315839999999998</v>
      </c>
      <c r="E5112">
        <v>0.35477920000000002</v>
      </c>
      <c r="F5112" t="s">
        <v>41</v>
      </c>
      <c r="G5112">
        <v>-177.58760000000001</v>
      </c>
      <c r="H5112">
        <v>3.4255960000000001</v>
      </c>
      <c r="I5112">
        <v>-46.35624</v>
      </c>
      <c r="J5112">
        <v>-215.3689</v>
      </c>
      <c r="K5112">
        <v>1.1262779999999999</v>
      </c>
      <c r="L5112">
        <v>-63.715820000000001</v>
      </c>
      <c r="M5112">
        <v>0.9995252</v>
      </c>
      <c r="N5112">
        <v>-1.494475E-2</v>
      </c>
      <c r="O5112">
        <v>2.6942890000000001E-2</v>
      </c>
      <c r="P5112">
        <v>0.97706720000000002</v>
      </c>
      <c r="Q5112">
        <v>0.20518049999999999</v>
      </c>
      <c r="R5112">
        <v>5.6929489999999999E-2</v>
      </c>
      <c r="S5112">
        <v>2.9572449999999999</v>
      </c>
      <c r="T5112">
        <v>0.17911820000000001</v>
      </c>
      <c r="U5112">
        <v>1.352722</v>
      </c>
      <c r="V5112">
        <v>-3.336509E-2</v>
      </c>
      <c r="W5112">
        <v>0.21937200000000001</v>
      </c>
      <c r="X5112">
        <v>0.97507060000000001</v>
      </c>
      <c r="Y5112">
        <v>-0.390957</v>
      </c>
      <c r="Z5112">
        <v>-6.2726860000000004E-3</v>
      </c>
      <c r="AA5112">
        <v>0.92038759999999997</v>
      </c>
      <c r="AB5112">
        <v>39</v>
      </c>
      <c r="AC5112">
        <v>37.781299999999902</v>
      </c>
      <c r="AD5112">
        <v>2.299318</v>
      </c>
      <c r="AE5112">
        <v>17.359579999999902</v>
      </c>
      <c r="AF5112">
        <v>-16.285422292445201</v>
      </c>
      <c r="AG5112">
        <v>2.299318</v>
      </c>
      <c r="AH5112">
        <v>38.118778162972298</v>
      </c>
      <c r="AI5112">
        <v>86.825079336381805</v>
      </c>
      <c r="AJ5112">
        <v>113.133546603318</v>
      </c>
      <c r="AK5112">
        <v>41.515576488184401</v>
      </c>
      <c r="AL5112">
        <v>77.327849640772499</v>
      </c>
      <c r="AM5112">
        <v>91.959789627687101</v>
      </c>
      <c r="AN5112">
        <v>0.99999998929953404</v>
      </c>
    </row>
    <row r="5113" spans="1:40" x14ac:dyDescent="0.25">
      <c r="A5113" t="str">
        <f>"20190303170913720"</f>
        <v>20190303170913720</v>
      </c>
      <c r="B5113" t="str">
        <f>"1551604153709280"</f>
        <v>1551604153709280</v>
      </c>
      <c r="C5113" t="s">
        <v>40</v>
      </c>
      <c r="D5113">
        <v>5.3631070000000003</v>
      </c>
      <c r="E5113">
        <v>0.35477920000000002</v>
      </c>
      <c r="F5113" t="s">
        <v>41</v>
      </c>
      <c r="G5113">
        <v>-177.6009</v>
      </c>
      <c r="H5113">
        <v>3.4353959999999999</v>
      </c>
      <c r="I5113">
        <v>-46.298229999999997</v>
      </c>
      <c r="J5113">
        <v>-215.14660000000001</v>
      </c>
      <c r="K5113">
        <v>1.1264799999999999</v>
      </c>
      <c r="L5113">
        <v>-63.706910000000001</v>
      </c>
      <c r="M5113">
        <v>0.99942260000000005</v>
      </c>
      <c r="N5113">
        <v>-1.497712E-2</v>
      </c>
      <c r="O5113">
        <v>3.049779E-2</v>
      </c>
      <c r="P5113">
        <v>0.97679349999999998</v>
      </c>
      <c r="Q5113">
        <v>0.20559069999999999</v>
      </c>
      <c r="R5113">
        <v>6.0057600000000003E-2</v>
      </c>
      <c r="S5113">
        <v>2.9531399999999999</v>
      </c>
      <c r="T5113">
        <v>0.1805534</v>
      </c>
      <c r="U5113">
        <v>1.3619079999999999</v>
      </c>
      <c r="V5113">
        <v>-3.3133530000000001E-2</v>
      </c>
      <c r="W5113">
        <v>0.21980089999999999</v>
      </c>
      <c r="X5113">
        <v>0.97498189999999996</v>
      </c>
      <c r="Y5113">
        <v>-0.39053310000000002</v>
      </c>
      <c r="Z5113">
        <v>-6.0816709999999899E-3</v>
      </c>
      <c r="AA5113">
        <v>0.92056879999999996</v>
      </c>
      <c r="AB5113">
        <v>39</v>
      </c>
      <c r="AC5113">
        <v>37.545699999999997</v>
      </c>
      <c r="AD5113">
        <v>2.308916</v>
      </c>
      <c r="AE5113">
        <v>17.40868</v>
      </c>
      <c r="AF5113">
        <v>-16.2049512603046</v>
      </c>
      <c r="AG5113">
        <v>2.308916</v>
      </c>
      <c r="AH5113">
        <v>37.941121112864799</v>
      </c>
      <c r="AI5113">
        <v>86.796817199160401</v>
      </c>
      <c r="AJ5113">
        <v>113.127709146944</v>
      </c>
      <c r="AK5113">
        <v>41.321425553155599</v>
      </c>
      <c r="AL5113">
        <v>77.302660650965095</v>
      </c>
      <c r="AM5113">
        <v>91.946375736549001</v>
      </c>
      <c r="AN5113">
        <v>0.99999998588934003</v>
      </c>
    </row>
    <row r="5114" spans="1:40" x14ac:dyDescent="0.25">
      <c r="A5114" t="str">
        <f>"20190303170913734"</f>
        <v>20190303170913734</v>
      </c>
      <c r="B5114" t="str">
        <f>"1551604153728799"</f>
        <v>1551604153728799</v>
      </c>
      <c r="C5114" t="s">
        <v>40</v>
      </c>
      <c r="D5114">
        <v>5.4277519999999999</v>
      </c>
      <c r="E5114">
        <v>0.3843917</v>
      </c>
      <c r="F5114" t="s">
        <v>41</v>
      </c>
      <c r="G5114">
        <v>-177.56710000000001</v>
      </c>
      <c r="H5114">
        <v>3.4565079999999999</v>
      </c>
      <c r="I5114">
        <v>-46.223460000000003</v>
      </c>
      <c r="J5114">
        <v>-214.91460000000001</v>
      </c>
      <c r="K5114">
        <v>1.1266879999999999</v>
      </c>
      <c r="L5114">
        <v>-63.696930000000002</v>
      </c>
      <c r="M5114">
        <v>0.9992991</v>
      </c>
      <c r="N5114">
        <v>-1.500919E-2</v>
      </c>
      <c r="O5114">
        <v>3.4293650000000002E-2</v>
      </c>
      <c r="P5114">
        <v>0.97652859999999997</v>
      </c>
      <c r="Q5114">
        <v>0.20599770000000001</v>
      </c>
      <c r="R5114">
        <v>6.2906950000000003E-2</v>
      </c>
      <c r="S5114">
        <v>2.9484560000000002</v>
      </c>
      <c r="T5114">
        <v>0.18281169999999999</v>
      </c>
      <c r="U5114">
        <v>1.3717349999999999</v>
      </c>
      <c r="V5114">
        <v>-3.2392009999999999E-2</v>
      </c>
      <c r="W5114">
        <v>0.22023309999999999</v>
      </c>
      <c r="X5114">
        <v>0.97490929999999998</v>
      </c>
      <c r="Y5114">
        <v>-0.39011669999999998</v>
      </c>
      <c r="Z5114">
        <v>-5.9133129999999999E-3</v>
      </c>
      <c r="AA5114">
        <v>0.92074639999999996</v>
      </c>
      <c r="AB5114">
        <v>39</v>
      </c>
      <c r="AC5114">
        <v>37.347499999999997</v>
      </c>
      <c r="AD5114">
        <v>2.3298199999999998</v>
      </c>
      <c r="AE5114">
        <v>17.473469999999999</v>
      </c>
      <c r="AF5114">
        <v>-16.130763041672498</v>
      </c>
      <c r="AG5114">
        <v>2.3298199999999998</v>
      </c>
      <c r="AH5114">
        <v>37.804127302185201</v>
      </c>
      <c r="AI5114">
        <v>86.755705810621507</v>
      </c>
      <c r="AJ5114">
        <v>113.107611668316</v>
      </c>
      <c r="AK5114">
        <v>41.167725448691201</v>
      </c>
      <c r="AL5114">
        <v>77.277275582198698</v>
      </c>
      <c r="AM5114">
        <v>91.902990327932699</v>
      </c>
      <c r="AN5114">
        <v>1.0000000019369699</v>
      </c>
    </row>
    <row r="5115" spans="1:40" x14ac:dyDescent="0.25">
      <c r="A5115" t="str">
        <f>"20190303170913747"</f>
        <v>20190303170913747</v>
      </c>
      <c r="B5115" t="str">
        <f>"1551604153738559"</f>
        <v>1551604153738559</v>
      </c>
      <c r="C5115" t="s">
        <v>40</v>
      </c>
      <c r="D5115">
        <v>5.4048449999999999</v>
      </c>
      <c r="E5115">
        <v>0.43342180000000002</v>
      </c>
      <c r="F5115" t="s">
        <v>53</v>
      </c>
      <c r="G5115">
        <v>-157.3501</v>
      </c>
      <c r="H5115">
        <v>2.3270789999999999</v>
      </c>
      <c r="I5115">
        <v>-41.435809999999996</v>
      </c>
      <c r="J5115">
        <v>-214.6858</v>
      </c>
      <c r="K5115">
        <v>1.1268940000000001</v>
      </c>
      <c r="L5115">
        <v>-63.686190000000003</v>
      </c>
      <c r="M5115">
        <v>0.99915900000000002</v>
      </c>
      <c r="N5115">
        <v>-1.503929E-2</v>
      </c>
      <c r="O5115">
        <v>3.8147109999999998E-2</v>
      </c>
      <c r="P5115">
        <v>0.97625229999999996</v>
      </c>
      <c r="Q5115">
        <v>0.20634530000000001</v>
      </c>
      <c r="R5115">
        <v>6.5981219999999993E-2</v>
      </c>
      <c r="S5115">
        <v>2.9846339999999998</v>
      </c>
      <c r="T5115">
        <v>6.2237380000000002E-2</v>
      </c>
      <c r="U5115">
        <v>1.1542049999999999</v>
      </c>
      <c r="V5115">
        <v>-3.1815620000000003E-2</v>
      </c>
      <c r="W5115">
        <v>0.22060279999999999</v>
      </c>
      <c r="X5115">
        <v>0.97484470000000001</v>
      </c>
      <c r="Y5115">
        <v>-0.324847</v>
      </c>
      <c r="Z5115">
        <v>5.8033550000000003E-4</v>
      </c>
      <c r="AA5115">
        <v>0.94576640000000001</v>
      </c>
      <c r="AB5115">
        <v>39</v>
      </c>
      <c r="AC5115">
        <v>57.335700000000003</v>
      </c>
      <c r="AD5115">
        <v>1.2001849999999901</v>
      </c>
      <c r="AE5115">
        <v>22.25038</v>
      </c>
      <c r="AF5115">
        <v>-20.0391111640722</v>
      </c>
      <c r="AG5115">
        <v>1.2001849999999901</v>
      </c>
      <c r="AH5115">
        <v>58.120707885763601</v>
      </c>
      <c r="AI5115">
        <v>88.881608801719295</v>
      </c>
      <c r="AJ5115">
        <v>109.023392607258</v>
      </c>
      <c r="AK5115">
        <v>61.490024438298398</v>
      </c>
      <c r="AL5115">
        <v>77.255559322585398</v>
      </c>
      <c r="AM5115">
        <v>91.869276144475805</v>
      </c>
      <c r="AN5115">
        <v>1.00000000908095</v>
      </c>
    </row>
    <row r="5116" spans="1:40" x14ac:dyDescent="0.25">
      <c r="A5116" t="str">
        <f>"20190303170913763"</f>
        <v>20190303170913763</v>
      </c>
      <c r="B5116" t="str">
        <f>"1551604153749295"</f>
        <v>1551604153749295</v>
      </c>
      <c r="C5116" t="s">
        <v>40</v>
      </c>
      <c r="D5116">
        <v>5.3478770000000004</v>
      </c>
      <c r="E5116">
        <v>0.43939620000000001</v>
      </c>
      <c r="F5116" t="s">
        <v>59</v>
      </c>
      <c r="G5116">
        <v>-185.55959999999999</v>
      </c>
      <c r="H5116" s="1">
        <v>-1.2546159999999999E-5</v>
      </c>
      <c r="I5116">
        <v>-56.154409999999999</v>
      </c>
      <c r="J5116">
        <v>-214.4496</v>
      </c>
      <c r="K5116">
        <v>1.127092</v>
      </c>
      <c r="L5116">
        <v>-63.673830000000002</v>
      </c>
      <c r="M5116">
        <v>0.99899280000000001</v>
      </c>
      <c r="N5116">
        <v>-1.50695E-2</v>
      </c>
      <c r="O5116">
        <v>4.2266339999999999E-2</v>
      </c>
      <c r="P5116">
        <v>0.97616849999999999</v>
      </c>
      <c r="Q5116">
        <v>0.20562839999999999</v>
      </c>
      <c r="R5116">
        <v>6.9370329999999994E-2</v>
      </c>
      <c r="S5116">
        <v>3.0446620000000002</v>
      </c>
      <c r="T5116">
        <v>-0.1177995</v>
      </c>
      <c r="U5116">
        <v>0.787323</v>
      </c>
      <c r="V5116">
        <v>-3.127071E-2</v>
      </c>
      <c r="W5116">
        <v>0.2199121</v>
      </c>
      <c r="X5116">
        <v>0.97501839999999995</v>
      </c>
      <c r="Y5116">
        <v>-0.2090118</v>
      </c>
      <c r="Z5116">
        <v>4.5995350000000001E-3</v>
      </c>
      <c r="AA5116">
        <v>0.9779023</v>
      </c>
      <c r="AB5116">
        <v>39</v>
      </c>
      <c r="AC5116">
        <v>28.89</v>
      </c>
      <c r="AD5116">
        <v>-1.12710454616</v>
      </c>
      <c r="AE5116">
        <v>7.5194200000000002</v>
      </c>
      <c r="AF5116">
        <v>-6.2825300978844103</v>
      </c>
      <c r="AG5116">
        <v>-1.12710454616</v>
      </c>
      <c r="AH5116">
        <v>29.140492202114601</v>
      </c>
      <c r="AI5116">
        <v>92.165296911087594</v>
      </c>
      <c r="AJ5116">
        <v>102.16643403940699</v>
      </c>
      <c r="AK5116">
        <v>29.831339810177798</v>
      </c>
      <c r="AL5116">
        <v>77.296130189133095</v>
      </c>
      <c r="AM5116">
        <v>91.836955868993698</v>
      </c>
      <c r="AN5116">
        <v>1.00000003468443</v>
      </c>
    </row>
    <row r="5117" spans="1:40" x14ac:dyDescent="0.25">
      <c r="A5117" t="str">
        <f>"20190303170913776"</f>
        <v>20190303170913776</v>
      </c>
      <c r="B5117" t="str">
        <f>"1551604153768816"</f>
        <v>1551604153768816</v>
      </c>
      <c r="C5117" t="s">
        <v>40</v>
      </c>
      <c r="D5117">
        <v>5.3607389999999997</v>
      </c>
      <c r="E5117">
        <v>0.44481799999999999</v>
      </c>
      <c r="F5117" t="s">
        <v>59</v>
      </c>
      <c r="G5117">
        <v>-187.13030000000001</v>
      </c>
      <c r="H5117" s="1">
        <v>-1.2439510000000001E-5</v>
      </c>
      <c r="I5117">
        <v>-56.937159999999999</v>
      </c>
      <c r="J5117">
        <v>-214.1754</v>
      </c>
      <c r="K5117">
        <v>1.1273089999999999</v>
      </c>
      <c r="L5117">
        <v>-63.658329999999999</v>
      </c>
      <c r="M5117">
        <v>0.99877269999999896</v>
      </c>
      <c r="N5117">
        <v>-1.510299E-2</v>
      </c>
      <c r="O5117">
        <v>4.7170429999999999E-2</v>
      </c>
      <c r="P5117">
        <v>0.97596839999999996</v>
      </c>
      <c r="Q5117">
        <v>0.20494999999999999</v>
      </c>
      <c r="R5117">
        <v>7.4035779999999995E-2</v>
      </c>
      <c r="S5117">
        <v>3.0463100000000001</v>
      </c>
      <c r="T5117">
        <v>-0.12568080000000001</v>
      </c>
      <c r="U5117">
        <v>0.75119019999999903</v>
      </c>
      <c r="V5117">
        <v>-3.1250809999999997E-2</v>
      </c>
      <c r="W5117">
        <v>0.2192529</v>
      </c>
      <c r="X5117">
        <v>0.97516749999999996</v>
      </c>
      <c r="Y5117">
        <v>-0.19314909999999999</v>
      </c>
      <c r="Z5117">
        <v>4.1946120000000003E-3</v>
      </c>
      <c r="AA5117">
        <v>0.98116049999999999</v>
      </c>
      <c r="AB5117">
        <v>39</v>
      </c>
      <c r="AC5117">
        <v>27.045099999999898</v>
      </c>
      <c r="AD5117">
        <v>-1.12732143951</v>
      </c>
      <c r="AE5117">
        <v>6.7211699999999999</v>
      </c>
      <c r="AF5117">
        <v>-5.4289282345702699</v>
      </c>
      <c r="AG5117">
        <v>-1.12732143951</v>
      </c>
      <c r="AH5117">
        <v>27.287411318563699</v>
      </c>
      <c r="AI5117">
        <v>92.320283621085906</v>
      </c>
      <c r="AJ5117">
        <v>101.252271548195</v>
      </c>
      <c r="AK5117">
        <v>27.845052197339701</v>
      </c>
      <c r="AL5117">
        <v>77.334844628080006</v>
      </c>
      <c r="AM5117">
        <v>91.835507176303693</v>
      </c>
      <c r="AN5117">
        <v>1.00000005017015</v>
      </c>
    </row>
    <row r="5118" spans="1:40" x14ac:dyDescent="0.25">
      <c r="A5118" t="str">
        <f>"20190303170913788"</f>
        <v>20190303170913788</v>
      </c>
      <c r="B5118" t="str">
        <f>"1551604153778575"</f>
        <v>1551604153778575</v>
      </c>
      <c r="C5118" t="s">
        <v>40</v>
      </c>
      <c r="D5118">
        <v>5.3731109999999997</v>
      </c>
      <c r="E5118">
        <v>0.446154</v>
      </c>
      <c r="F5118" t="s">
        <v>59</v>
      </c>
      <c r="G5118">
        <v>-188.97489999999999</v>
      </c>
      <c r="H5118" s="1">
        <v>-1.2257400000000001E-5</v>
      </c>
      <c r="I5118">
        <v>-57.671329999999998</v>
      </c>
      <c r="J5118">
        <v>-213.9785</v>
      </c>
      <c r="K5118">
        <v>1.127467</v>
      </c>
      <c r="L5118">
        <v>-63.646549999999998</v>
      </c>
      <c r="M5118">
        <v>0.99859640000000005</v>
      </c>
      <c r="N5118">
        <v>-1.512586E-2</v>
      </c>
      <c r="O5118">
        <v>5.0761319999999999E-2</v>
      </c>
      <c r="P5118">
        <v>0.97584400000000004</v>
      </c>
      <c r="Q5118">
        <v>0.20431530000000001</v>
      </c>
      <c r="R5118">
        <v>7.7356380000000002E-2</v>
      </c>
      <c r="S5118">
        <v>3.0475919999999999</v>
      </c>
      <c r="T5118">
        <v>-0.13633110000000001</v>
      </c>
      <c r="U5118">
        <v>0.72402949999999999</v>
      </c>
      <c r="V5118">
        <v>-3.1133419999999998E-2</v>
      </c>
      <c r="W5118">
        <v>0.21863360000000001</v>
      </c>
      <c r="X5118">
        <v>0.97531020000000002</v>
      </c>
      <c r="Y5118">
        <v>-0.1812395</v>
      </c>
      <c r="Z5118">
        <v>3.9107070000000002E-3</v>
      </c>
      <c r="AA5118">
        <v>0.98343119999999995</v>
      </c>
      <c r="AB5118">
        <v>39</v>
      </c>
      <c r="AC5118">
        <v>25.003599999999999</v>
      </c>
      <c r="AD5118">
        <v>-1.1274792573999901</v>
      </c>
      <c r="AE5118">
        <v>5.9752199999999904</v>
      </c>
      <c r="AF5118">
        <v>-4.6891347239661298</v>
      </c>
      <c r="AG5118">
        <v>-1.1274792573999901</v>
      </c>
      <c r="AH5118">
        <v>25.226180454963</v>
      </c>
      <c r="AI5118">
        <v>92.5160779088216</v>
      </c>
      <c r="AJ5118">
        <v>100.53016485652699</v>
      </c>
      <c r="AK5118">
        <v>25.683056170980301</v>
      </c>
      <c r="AL5118">
        <v>77.371209107998993</v>
      </c>
      <c r="AM5118">
        <v>91.828349631139403</v>
      </c>
      <c r="AN5118">
        <v>0.99999996355694698</v>
      </c>
    </row>
    <row r="5119" spans="1:40" x14ac:dyDescent="0.25">
      <c r="A5119" t="str">
        <f>"20190303170913799"</f>
        <v>20190303170913799</v>
      </c>
      <c r="B5119" t="str">
        <f>"1551604153789312"</f>
        <v>1551604153789312</v>
      </c>
      <c r="C5119" t="s">
        <v>40</v>
      </c>
      <c r="D5119">
        <v>5.3745089999999998</v>
      </c>
      <c r="E5119">
        <v>0.44718839999999999</v>
      </c>
      <c r="F5119" t="s">
        <v>59</v>
      </c>
      <c r="G5119">
        <v>-189.51859999999999</v>
      </c>
      <c r="H5119" s="1">
        <v>-1.218579E-5</v>
      </c>
      <c r="I5119">
        <v>-57.829459999999997</v>
      </c>
      <c r="J5119">
        <v>-213.79060000000001</v>
      </c>
      <c r="K5119">
        <v>1.127615</v>
      </c>
      <c r="L5119">
        <v>-63.63409</v>
      </c>
      <c r="M5119">
        <v>0.99840949999999995</v>
      </c>
      <c r="N5119">
        <v>-1.514768E-2</v>
      </c>
      <c r="O5119">
        <v>5.430716E-2</v>
      </c>
      <c r="P5119">
        <v>0.97570670000000004</v>
      </c>
      <c r="Q5119">
        <v>0.20372280000000001</v>
      </c>
      <c r="R5119">
        <v>8.0583509999999997E-2</v>
      </c>
      <c r="S5119">
        <v>3.0462189999999998</v>
      </c>
      <c r="T5119">
        <v>-0.1404157</v>
      </c>
      <c r="U5119">
        <v>0.72445680000000001</v>
      </c>
      <c r="V5119">
        <v>-3.0959859999999999E-2</v>
      </c>
      <c r="W5119">
        <v>0.21805659999999999</v>
      </c>
      <c r="X5119">
        <v>0.97544489999999995</v>
      </c>
      <c r="Y5119">
        <v>-0.17797199999999999</v>
      </c>
      <c r="Z5119">
        <v>3.7607420000000001E-3</v>
      </c>
      <c r="AA5119">
        <v>0.98402829999999997</v>
      </c>
      <c r="AB5119">
        <v>39</v>
      </c>
      <c r="AC5119">
        <v>24.271999999999998</v>
      </c>
      <c r="AD5119">
        <v>-1.12762718579</v>
      </c>
      <c r="AE5119">
        <v>5.8046300000000004</v>
      </c>
      <c r="AF5119">
        <v>-4.4686444507065497</v>
      </c>
      <c r="AG5119">
        <v>-1.12762718579</v>
      </c>
      <c r="AH5119">
        <v>24.5014205871156</v>
      </c>
      <c r="AI5119">
        <v>92.592357238343396</v>
      </c>
      <c r="AJ5119">
        <v>100.336173684559</v>
      </c>
      <c r="AK5119">
        <v>24.931103807968402</v>
      </c>
      <c r="AL5119">
        <v>77.405086298508607</v>
      </c>
      <c r="AM5119">
        <v>91.817913056635305</v>
      </c>
      <c r="AN5119">
        <v>0.99999997333539403</v>
      </c>
    </row>
    <row r="5120" spans="1:40" x14ac:dyDescent="0.25">
      <c r="A5120" t="str">
        <f>"20190303170913810"</f>
        <v>20190303170913810</v>
      </c>
      <c r="B5120" t="str">
        <f>"1551604153799072"</f>
        <v>1551604153799072</v>
      </c>
      <c r="C5120" t="s">
        <v>40</v>
      </c>
      <c r="D5120">
        <v>5.3685159999999996</v>
      </c>
      <c r="E5120">
        <v>0.44792749999999998</v>
      </c>
      <c r="F5120" t="s">
        <v>59</v>
      </c>
      <c r="G5120">
        <v>-189.655</v>
      </c>
      <c r="H5120" s="1">
        <v>-1.2167489999999999E-5</v>
      </c>
      <c r="I5120">
        <v>-57.86806</v>
      </c>
      <c r="J5120">
        <v>-213.60390000000001</v>
      </c>
      <c r="K5120">
        <v>1.127767</v>
      </c>
      <c r="L5120">
        <v>-63.621459999999999</v>
      </c>
      <c r="M5120">
        <v>0.99820969999999998</v>
      </c>
      <c r="N5120">
        <v>-1.5168249999999999E-2</v>
      </c>
      <c r="O5120">
        <v>5.7855410000000003E-2</v>
      </c>
      <c r="P5120">
        <v>0.97546140000000003</v>
      </c>
      <c r="Q5120">
        <v>0.20350090000000001</v>
      </c>
      <c r="R5120">
        <v>8.4037899999999902E-2</v>
      </c>
      <c r="S5120">
        <v>3.044327</v>
      </c>
      <c r="T5120">
        <v>-0.14223250000000001</v>
      </c>
      <c r="U5120">
        <v>0.72729489999999997</v>
      </c>
      <c r="V5120">
        <v>-3.1020900000000001E-2</v>
      </c>
      <c r="W5120">
        <v>0.21784439999999999</v>
      </c>
      <c r="X5120">
        <v>0.97549039999999998</v>
      </c>
      <c r="Y5120">
        <v>-0.1754801</v>
      </c>
      <c r="Z5120">
        <v>3.5991209999999998E-3</v>
      </c>
      <c r="AA5120">
        <v>0.98447640000000003</v>
      </c>
      <c r="AB5120">
        <v>39</v>
      </c>
      <c r="AC5120">
        <v>23.948899999999998</v>
      </c>
      <c r="AD5120">
        <v>-1.12777916749</v>
      </c>
      <c r="AE5120">
        <v>5.7533999999999903</v>
      </c>
      <c r="AF5120">
        <v>-4.3489099956561699</v>
      </c>
      <c r="AG5120">
        <v>-1.12777916749</v>
      </c>
      <c r="AH5120">
        <v>24.190961336807899</v>
      </c>
      <c r="AI5120">
        <v>92.627133602024102</v>
      </c>
      <c r="AJ5120">
        <v>100.191440192512</v>
      </c>
      <c r="AK5120">
        <v>24.604623841869198</v>
      </c>
      <c r="AL5120">
        <v>77.417544284138003</v>
      </c>
      <c r="AM5120">
        <v>91.821409911791207</v>
      </c>
      <c r="AN5120">
        <v>0.99999999967016495</v>
      </c>
    </row>
    <row r="5121" spans="1:40" x14ac:dyDescent="0.25">
      <c r="A5121" t="str">
        <f>"20190303170913824"</f>
        <v>20190303170913824</v>
      </c>
      <c r="B5121" t="str">
        <f>"1551604153818591"</f>
        <v>1551604153818591</v>
      </c>
      <c r="C5121" t="s">
        <v>40</v>
      </c>
      <c r="D5121">
        <v>5.3595959999999998</v>
      </c>
      <c r="E5121">
        <v>0.44904430000000001</v>
      </c>
      <c r="F5121" t="s">
        <v>59</v>
      </c>
      <c r="G5121">
        <v>-189.7912</v>
      </c>
      <c r="H5121" s="1">
        <v>-1.214139E-5</v>
      </c>
      <c r="I5121">
        <v>-57.881050000000002</v>
      </c>
      <c r="J5121">
        <v>-213.35679999999999</v>
      </c>
      <c r="K5121">
        <v>1.1279619999999999</v>
      </c>
      <c r="L5121">
        <v>-63.60324</v>
      </c>
      <c r="M5121">
        <v>0.99791669999999999</v>
      </c>
      <c r="N5121">
        <v>-1.519447E-2</v>
      </c>
      <c r="O5121">
        <v>6.2701069999999998E-2</v>
      </c>
      <c r="P5121">
        <v>0.97513150000000004</v>
      </c>
      <c r="Q5121">
        <v>0.20301669999999999</v>
      </c>
      <c r="R5121">
        <v>8.8899450000000005E-2</v>
      </c>
      <c r="S5121">
        <v>3.0423279999999999</v>
      </c>
      <c r="T5121">
        <v>-0.14408599999999999</v>
      </c>
      <c r="U5121">
        <v>0.73339840000000001</v>
      </c>
      <c r="V5121">
        <v>-3.1239650000000001E-2</v>
      </c>
      <c r="W5121">
        <v>0.2173706</v>
      </c>
      <c r="X5121">
        <v>0.97558909999999999</v>
      </c>
      <c r="Y5121">
        <v>-0.17271500000000001</v>
      </c>
      <c r="Z5121">
        <v>3.3837680000000001E-3</v>
      </c>
      <c r="AA5121">
        <v>0.98496600000000001</v>
      </c>
      <c r="AB5121">
        <v>39</v>
      </c>
      <c r="AC5121">
        <v>23.5655999999999</v>
      </c>
      <c r="AD5121">
        <v>-1.12797414139</v>
      </c>
      <c r="AE5121">
        <v>5.7221899999999897</v>
      </c>
      <c r="AF5121">
        <v>-4.2240304581327104</v>
      </c>
      <c r="AG5121">
        <v>-1.12797414139</v>
      </c>
      <c r="AH5121">
        <v>23.826500193494098</v>
      </c>
      <c r="AI5121">
        <v>92.668870760843205</v>
      </c>
      <c r="AJ5121">
        <v>100.053108539352</v>
      </c>
      <c r="AK5121">
        <v>24.224303301549199</v>
      </c>
      <c r="AL5121">
        <v>77.445357443233505</v>
      </c>
      <c r="AM5121">
        <v>91.834059756979897</v>
      </c>
      <c r="AN5121">
        <v>0.99999999275764595</v>
      </c>
    </row>
    <row r="5122" spans="1:40" x14ac:dyDescent="0.25">
      <c r="A5122" t="str">
        <f>"20190303170913839"</f>
        <v>20190303170913839</v>
      </c>
      <c r="B5122" t="str">
        <f>"1551604153829328"</f>
        <v>1551604153829328</v>
      </c>
      <c r="C5122" t="s">
        <v>40</v>
      </c>
      <c r="D5122">
        <v>5.3851839999999997</v>
      </c>
      <c r="E5122">
        <v>0.44960030000000001</v>
      </c>
      <c r="F5122" t="s">
        <v>59</v>
      </c>
      <c r="G5122">
        <v>-189.9323</v>
      </c>
      <c r="H5122" s="1">
        <v>-1.2114210000000001E-5</v>
      </c>
      <c r="I5122">
        <v>-57.894179999999999</v>
      </c>
      <c r="J5122">
        <v>-213.12799999999999</v>
      </c>
      <c r="K5122">
        <v>1.1281429999999999</v>
      </c>
      <c r="L5122">
        <v>-63.585239999999999</v>
      </c>
      <c r="M5122">
        <v>0.99761710000000003</v>
      </c>
      <c r="N5122">
        <v>-1.5217929999999999E-2</v>
      </c>
      <c r="O5122">
        <v>6.7295560000000004E-2</v>
      </c>
      <c r="P5122">
        <v>0.97483249999999999</v>
      </c>
      <c r="Q5122">
        <v>0.20237520000000001</v>
      </c>
      <c r="R5122">
        <v>9.3521209999999994E-2</v>
      </c>
      <c r="S5122">
        <v>3.0394589999999999</v>
      </c>
      <c r="T5122">
        <v>-0.14636099999999999</v>
      </c>
      <c r="U5122">
        <v>0.74078369999999905</v>
      </c>
      <c r="V5122">
        <v>-3.1448869999999997E-2</v>
      </c>
      <c r="W5122">
        <v>0.21673799999999999</v>
      </c>
      <c r="X5122">
        <v>0.97572309999999995</v>
      </c>
      <c r="Y5122">
        <v>-0.17065089999999999</v>
      </c>
      <c r="Z5122">
        <v>3.1933600000000001E-3</v>
      </c>
      <c r="AA5122">
        <v>0.98532629999999999</v>
      </c>
      <c r="AB5122">
        <v>39</v>
      </c>
      <c r="AC5122">
        <v>23.195699999999899</v>
      </c>
      <c r="AD5122">
        <v>-1.1281551142099999</v>
      </c>
      <c r="AE5122">
        <v>5.6910599999999896</v>
      </c>
      <c r="AF5122">
        <v>-4.1078422069398002</v>
      </c>
      <c r="AG5122">
        <v>-1.1281551142099999</v>
      </c>
      <c r="AH5122">
        <v>23.473758130060201</v>
      </c>
      <c r="AI5122">
        <v>92.710407352627797</v>
      </c>
      <c r="AJ5122">
        <v>99.926090462939996</v>
      </c>
      <c r="AK5122">
        <v>23.857167105660299</v>
      </c>
      <c r="AL5122">
        <v>77.482487800700497</v>
      </c>
      <c r="AM5122">
        <v>91.846081066061402</v>
      </c>
      <c r="AN5122">
        <v>0.99999997997094303</v>
      </c>
    </row>
    <row r="5123" spans="1:40" x14ac:dyDescent="0.25">
      <c r="A5123" t="str">
        <f>"20190303170913852"</f>
        <v>20190303170913852</v>
      </c>
      <c r="B5123" t="str">
        <f>"1551604153839087"</f>
        <v>1551604153839087</v>
      </c>
      <c r="C5123" t="s">
        <v>40</v>
      </c>
      <c r="D5123">
        <v>5.3899850000000002</v>
      </c>
      <c r="E5123">
        <v>0.45018930000000001</v>
      </c>
      <c r="F5123" t="s">
        <v>59</v>
      </c>
      <c r="G5123">
        <v>-190.0043</v>
      </c>
      <c r="H5123" s="1">
        <v>-7.0871009999999997E-6</v>
      </c>
      <c r="I5123">
        <v>-57.852379999999997</v>
      </c>
      <c r="J5123">
        <v>-212.90549999999999</v>
      </c>
      <c r="K5123">
        <v>1.128315</v>
      </c>
      <c r="L5123">
        <v>-63.566929999999999</v>
      </c>
      <c r="M5123">
        <v>0.99729990000000002</v>
      </c>
      <c r="N5123">
        <v>-1.5239340000000001E-2</v>
      </c>
      <c r="O5123">
        <v>7.1837609999999996E-2</v>
      </c>
      <c r="P5123">
        <v>0.97443400000000002</v>
      </c>
      <c r="Q5123">
        <v>0.20214489999999999</v>
      </c>
      <c r="R5123">
        <v>9.8060250000000002E-2</v>
      </c>
      <c r="S5123">
        <v>3.0359950000000002</v>
      </c>
      <c r="T5123">
        <v>-0.14811869999999999</v>
      </c>
      <c r="U5123">
        <v>0.75268550000000001</v>
      </c>
      <c r="V5123">
        <v>-3.1635179999999999E-2</v>
      </c>
      <c r="W5123">
        <v>0.21651409999999999</v>
      </c>
      <c r="X5123">
        <v>0.97576680000000005</v>
      </c>
      <c r="Y5123">
        <v>-0.1700642</v>
      </c>
      <c r="Z5123">
        <v>3.0409539999999998E-3</v>
      </c>
      <c r="AA5123">
        <v>0.98542830000000003</v>
      </c>
      <c r="AB5123">
        <v>39</v>
      </c>
      <c r="AC5123">
        <v>22.9011999999999</v>
      </c>
      <c r="AD5123">
        <v>-1.128322087101</v>
      </c>
      <c r="AE5123">
        <v>5.71455</v>
      </c>
      <c r="AF5123">
        <v>-4.0451796688210298</v>
      </c>
      <c r="AG5123">
        <v>-1.128322087101</v>
      </c>
      <c r="AH5123">
        <v>23.199569918285999</v>
      </c>
      <c r="AI5123">
        <v>92.743091197997401</v>
      </c>
      <c r="AJ5123">
        <v>99.890908025566105</v>
      </c>
      <c r="AK5123">
        <v>23.5766120059419</v>
      </c>
      <c r="AL5123">
        <v>77.495628531826995</v>
      </c>
      <c r="AM5123">
        <v>91.856926911582207</v>
      </c>
      <c r="AN5123">
        <v>0.99999999404734097</v>
      </c>
    </row>
    <row r="5124" spans="1:40" x14ac:dyDescent="0.25">
      <c r="A5124" t="str">
        <f>"20190303170913863"</f>
        <v>20190303170913863</v>
      </c>
      <c r="B5124" t="str">
        <f>"1551604153858607"</f>
        <v>1551604153858607</v>
      </c>
      <c r="C5124" t="s">
        <v>40</v>
      </c>
      <c r="D5124">
        <v>5.3702209999999999</v>
      </c>
      <c r="E5124">
        <v>0.4511136</v>
      </c>
      <c r="F5124" t="s">
        <v>59</v>
      </c>
      <c r="G5124">
        <v>-190.02379999999999</v>
      </c>
      <c r="H5124" s="1">
        <v>-7.1047849999999999E-6</v>
      </c>
      <c r="I5124">
        <v>-57.809119999999901</v>
      </c>
      <c r="J5124">
        <v>-212.6927</v>
      </c>
      <c r="K5124">
        <v>1.1284780000000001</v>
      </c>
      <c r="L5124">
        <v>-63.548099999999998</v>
      </c>
      <c r="M5124">
        <v>0.99696779999999996</v>
      </c>
      <c r="N5124">
        <v>-1.5258030000000001E-2</v>
      </c>
      <c r="O5124">
        <v>7.6306020000000002E-2</v>
      </c>
      <c r="P5124">
        <v>0.97409520000000005</v>
      </c>
      <c r="Q5124">
        <v>0.201515</v>
      </c>
      <c r="R5124">
        <v>0.102617</v>
      </c>
      <c r="S5124">
        <v>3.0329130000000002</v>
      </c>
      <c r="T5124">
        <v>-0.149556299999999</v>
      </c>
      <c r="U5124">
        <v>0.76318359999999996</v>
      </c>
      <c r="V5124">
        <v>-3.1894209999999999E-2</v>
      </c>
      <c r="W5124">
        <v>0.21588840000000001</v>
      </c>
      <c r="X5124">
        <v>0.97589700000000001</v>
      </c>
      <c r="Y5124">
        <v>-0.16909299999999999</v>
      </c>
      <c r="Z5124">
        <v>2.8718239999999998E-3</v>
      </c>
      <c r="AA5124">
        <v>0.98559589999999997</v>
      </c>
      <c r="AB5124">
        <v>38</v>
      </c>
      <c r="AC5124">
        <v>22.668900000000001</v>
      </c>
      <c r="AD5124">
        <v>-1.128485104785</v>
      </c>
      <c r="AE5124">
        <v>5.7389799999999997</v>
      </c>
      <c r="AF5124">
        <v>-3.9829930476484199</v>
      </c>
      <c r="AG5124">
        <v>-1.128485104785</v>
      </c>
      <c r="AH5124">
        <v>22.9872268367446</v>
      </c>
      <c r="AI5124">
        <v>92.769301030006602</v>
      </c>
      <c r="AJ5124">
        <v>99.830031971585001</v>
      </c>
      <c r="AK5124">
        <v>23.357018429013699</v>
      </c>
      <c r="AL5124">
        <v>77.532346988758604</v>
      </c>
      <c r="AM5124">
        <v>91.871871128023102</v>
      </c>
      <c r="AN5124">
        <v>0.99999999824754204</v>
      </c>
    </row>
    <row r="5125" spans="1:40" x14ac:dyDescent="0.25">
      <c r="A5125" t="str">
        <f>"20190303170913874"</f>
        <v>20190303170913874</v>
      </c>
      <c r="B5125" t="str">
        <f>"1551604153868368"</f>
        <v>1551604153868368</v>
      </c>
      <c r="C5125" t="s">
        <v>40</v>
      </c>
      <c r="D5125">
        <v>5.3682470000000002</v>
      </c>
      <c r="E5125">
        <v>0.45149539999999999</v>
      </c>
      <c r="F5125" t="s">
        <v>59</v>
      </c>
      <c r="G5125">
        <v>-190.2749</v>
      </c>
      <c r="H5125" s="1">
        <v>-7.116495E-6</v>
      </c>
      <c r="I5125">
        <v>-57.845910000000003</v>
      </c>
      <c r="J5125">
        <v>-212.5241</v>
      </c>
      <c r="K5125">
        <v>1.1286050000000001</v>
      </c>
      <c r="L5125">
        <v>-63.532499999999999</v>
      </c>
      <c r="M5125">
        <v>0.99668590000000001</v>
      </c>
      <c r="N5125">
        <v>-1.527183E-2</v>
      </c>
      <c r="O5125">
        <v>7.9901600000000003E-2</v>
      </c>
      <c r="P5125">
        <v>0.97363630000000001</v>
      </c>
      <c r="Q5125">
        <v>0.20152039999999999</v>
      </c>
      <c r="R5125">
        <v>0.10687439999999999</v>
      </c>
      <c r="S5125">
        <v>3.030151</v>
      </c>
      <c r="T5125">
        <v>-0.1525347</v>
      </c>
      <c r="U5125">
        <v>0.77075199999999999</v>
      </c>
      <c r="V5125">
        <v>-3.2712320000000003E-2</v>
      </c>
      <c r="W5125">
        <v>0.21588289999999999</v>
      </c>
      <c r="X5125">
        <v>0.97587109999999999</v>
      </c>
      <c r="Y5125">
        <v>-0.16806090000000001</v>
      </c>
      <c r="Z5125">
        <v>2.7267329999999998E-3</v>
      </c>
      <c r="AA5125">
        <v>0.9857728</v>
      </c>
      <c r="AB5125">
        <v>38</v>
      </c>
      <c r="AC5125">
        <v>22.249199999999998</v>
      </c>
      <c r="AD5125">
        <v>-1.12861211649499</v>
      </c>
      <c r="AE5125">
        <v>5.6865899999999998</v>
      </c>
      <c r="AF5125">
        <v>-3.8810764322433098</v>
      </c>
      <c r="AG5125">
        <v>-1.12861211649499</v>
      </c>
      <c r="AH5125">
        <v>22.577934398015302</v>
      </c>
      <c r="AI5125">
        <v>92.820387247737202</v>
      </c>
      <c r="AJ5125">
        <v>99.753642480550198</v>
      </c>
      <c r="AK5125">
        <v>22.9368620622677</v>
      </c>
      <c r="AL5125">
        <v>77.532669280929795</v>
      </c>
      <c r="AM5125">
        <v>91.919901435098495</v>
      </c>
      <c r="AN5125">
        <v>0.99999996310369998</v>
      </c>
    </row>
    <row r="5126" spans="1:40" x14ac:dyDescent="0.25">
      <c r="A5126" t="str">
        <f>"20190303170913884"</f>
        <v>20190303170913884</v>
      </c>
      <c r="B5126" t="str">
        <f>"1551604153879104"</f>
        <v>1551604153879104</v>
      </c>
      <c r="C5126" t="s">
        <v>40</v>
      </c>
      <c r="D5126">
        <v>5.3754589999999904</v>
      </c>
      <c r="E5126">
        <v>0.45185229999999998</v>
      </c>
      <c r="F5126" t="s">
        <v>59</v>
      </c>
      <c r="G5126">
        <v>-190.25569999999999</v>
      </c>
      <c r="H5126" s="1">
        <v>-7.1367529999999998E-6</v>
      </c>
      <c r="I5126">
        <v>-57.7849199999999</v>
      </c>
      <c r="J5126">
        <v>-212.3322</v>
      </c>
      <c r="K5126">
        <v>1.1287499999999999</v>
      </c>
      <c r="L5126">
        <v>-63.514040000000001</v>
      </c>
      <c r="M5126">
        <v>0.99634310000000004</v>
      </c>
      <c r="N5126">
        <v>-1.528648E-2</v>
      </c>
      <c r="O5126">
        <v>8.4063479999999996E-2</v>
      </c>
      <c r="P5126">
        <v>0.9732307</v>
      </c>
      <c r="Q5126">
        <v>0.20108210000000001</v>
      </c>
      <c r="R5126">
        <v>0.1113027</v>
      </c>
      <c r="S5126">
        <v>3.0272220000000001</v>
      </c>
      <c r="T5126">
        <v>-0.1534266</v>
      </c>
      <c r="U5126">
        <v>0.78134159999999997</v>
      </c>
      <c r="V5126">
        <v>-3.3139549999999997E-2</v>
      </c>
      <c r="W5126">
        <v>0.21544189999999999</v>
      </c>
      <c r="X5126">
        <v>0.97595419999999999</v>
      </c>
      <c r="Y5126">
        <v>-0.1674089</v>
      </c>
      <c r="Z5126">
        <v>2.5666859999999999E-3</v>
      </c>
      <c r="AA5126">
        <v>0.98588419999999999</v>
      </c>
      <c r="AB5126">
        <v>38</v>
      </c>
      <c r="AC5126">
        <v>22.076499999999999</v>
      </c>
      <c r="AD5126">
        <v>-1.1287571367529901</v>
      </c>
      <c r="AE5126">
        <v>5.72912</v>
      </c>
      <c r="AF5126">
        <v>-3.8433786637990499</v>
      </c>
      <c r="AG5126">
        <v>-1.1287571367529901</v>
      </c>
      <c r="AH5126">
        <v>22.425080927434401</v>
      </c>
      <c r="AI5126">
        <v>92.840185246272</v>
      </c>
      <c r="AJ5126">
        <v>99.725292761740604</v>
      </c>
      <c r="AK5126">
        <v>22.780033073485701</v>
      </c>
      <c r="AL5126">
        <v>77.558546379145895</v>
      </c>
      <c r="AM5126">
        <v>91.944791149617203</v>
      </c>
      <c r="AN5126">
        <v>1.0000000212737199</v>
      </c>
    </row>
    <row r="5127" spans="1:40" x14ac:dyDescent="0.25">
      <c r="A5127" t="str">
        <f>"20190303170913896"</f>
        <v>20190303170913896</v>
      </c>
      <c r="B5127" t="str">
        <f>"1551604153888864"</f>
        <v>1551604153888864</v>
      </c>
      <c r="C5127" t="s">
        <v>40</v>
      </c>
      <c r="D5127">
        <v>5.3912870000000002</v>
      </c>
      <c r="E5127">
        <v>0.45221119999999998</v>
      </c>
      <c r="F5127" t="s">
        <v>59</v>
      </c>
      <c r="G5127">
        <v>-190.37540000000001</v>
      </c>
      <c r="H5127" s="1">
        <v>-7.1585350000000001E-6</v>
      </c>
      <c r="I5127">
        <v>-57.757899999999999</v>
      </c>
      <c r="J5127">
        <v>-212.1405</v>
      </c>
      <c r="K5127">
        <v>1.1288940000000001</v>
      </c>
      <c r="L5127">
        <v>-63.494570000000003</v>
      </c>
      <c r="M5127">
        <v>0.99597530000000001</v>
      </c>
      <c r="N5127">
        <v>-1.5300859999999999E-2</v>
      </c>
      <c r="O5127">
        <v>8.8312109999999999E-2</v>
      </c>
      <c r="P5127">
        <v>0.9726496</v>
      </c>
      <c r="Q5127">
        <v>0.20118259999999999</v>
      </c>
      <c r="R5127">
        <v>0.1160955</v>
      </c>
      <c r="S5127">
        <v>3.0239560000000001</v>
      </c>
      <c r="T5127">
        <v>-0.15545629999999999</v>
      </c>
      <c r="U5127">
        <v>0.79275509999999905</v>
      </c>
      <c r="V5127">
        <v>-3.3868090000000003E-2</v>
      </c>
      <c r="W5127">
        <v>0.21553130000000001</v>
      </c>
      <c r="X5127">
        <v>0.97590940000000004</v>
      </c>
      <c r="Y5127">
        <v>-0.1669455</v>
      </c>
      <c r="Z5127">
        <v>2.4055669999999999E-3</v>
      </c>
      <c r="AA5127">
        <v>0.98596320000000004</v>
      </c>
      <c r="AB5127">
        <v>38</v>
      </c>
      <c r="AC5127">
        <v>21.765099999999901</v>
      </c>
      <c r="AD5127">
        <v>-1.1289011585349999</v>
      </c>
      <c r="AE5127">
        <v>5.7366699999999904</v>
      </c>
      <c r="AF5127">
        <v>-3.7823891803564198</v>
      </c>
      <c r="AG5127">
        <v>-1.1289011585349999</v>
      </c>
      <c r="AH5127">
        <v>22.131047022663299</v>
      </c>
      <c r="AI5127">
        <v>92.8784523668335</v>
      </c>
      <c r="AJ5127">
        <v>99.698641746995094</v>
      </c>
      <c r="AK5127">
        <v>22.480305337266898</v>
      </c>
      <c r="AL5127">
        <v>77.553300291854001</v>
      </c>
      <c r="AM5127">
        <v>91.987602690454494</v>
      </c>
      <c r="AN5127">
        <v>0.99999997290414799</v>
      </c>
    </row>
    <row r="5128" spans="1:40" x14ac:dyDescent="0.25">
      <c r="A5128" t="str">
        <f>"20190303170913906"</f>
        <v>20190303170913906</v>
      </c>
      <c r="B5128" t="str">
        <f>"1551604153898625"</f>
        <v>1551604153898625</v>
      </c>
      <c r="C5128" t="s">
        <v>40</v>
      </c>
      <c r="D5128">
        <v>5.3855529999999998</v>
      </c>
      <c r="E5128">
        <v>0.45265830000000001</v>
      </c>
      <c r="F5128" t="s">
        <v>59</v>
      </c>
      <c r="G5128">
        <v>-190.20400000000001</v>
      </c>
      <c r="H5128" s="1">
        <v>-7.1835659999999996E-6</v>
      </c>
      <c r="I5128">
        <v>-57.641939999999998</v>
      </c>
      <c r="J5128">
        <v>-211.96809999999999</v>
      </c>
      <c r="K5128">
        <v>1.1290230000000001</v>
      </c>
      <c r="L5128">
        <v>-63.476590000000002</v>
      </c>
      <c r="M5128">
        <v>0.99562519999999999</v>
      </c>
      <c r="N5128">
        <v>-1.531305E-2</v>
      </c>
      <c r="O5128">
        <v>9.2174270000000003E-2</v>
      </c>
      <c r="P5128">
        <v>0.972055</v>
      </c>
      <c r="Q5128">
        <v>0.20156579999999999</v>
      </c>
      <c r="R5128">
        <v>0.120334</v>
      </c>
      <c r="S5128">
        <v>3.0203250000000001</v>
      </c>
      <c r="T5128">
        <v>-0.1554325</v>
      </c>
      <c r="U5128">
        <v>0.80581669999999905</v>
      </c>
      <c r="V5128">
        <v>-3.4423599999999999E-2</v>
      </c>
      <c r="W5128">
        <v>0.2159047</v>
      </c>
      <c r="X5128">
        <v>0.97580739999999999</v>
      </c>
      <c r="Y5128">
        <v>-0.16739860000000001</v>
      </c>
      <c r="Z5128">
        <v>2.2879509999999999E-3</v>
      </c>
      <c r="AA5128">
        <v>0.98588659999999995</v>
      </c>
      <c r="AB5128">
        <v>38</v>
      </c>
      <c r="AC5128">
        <v>21.7640999999999</v>
      </c>
      <c r="AD5128">
        <v>-1.1290301835659999</v>
      </c>
      <c r="AE5128">
        <v>5.8346499999999901</v>
      </c>
      <c r="AF5128">
        <v>-3.7939549483841102</v>
      </c>
      <c r="AG5128">
        <v>-1.1290301835659999</v>
      </c>
      <c r="AH5128">
        <v>22.1536734201669</v>
      </c>
      <c r="AI5128">
        <v>92.875679694444599</v>
      </c>
      <c r="AJ5128">
        <v>99.717986641696797</v>
      </c>
      <c r="AK5128">
        <v>22.5045339723616</v>
      </c>
      <c r="AL5128">
        <v>77.531389934494399</v>
      </c>
      <c r="AM5128">
        <v>92.020387874587897</v>
      </c>
      <c r="AN5128">
        <v>0.99999995280690301</v>
      </c>
    </row>
    <row r="5129" spans="1:40" x14ac:dyDescent="0.25">
      <c r="A5129" t="str">
        <f>"20190303170913917"</f>
        <v>20190303170913917</v>
      </c>
      <c r="B5129" t="str">
        <f>"1551604153908383"</f>
        <v>1551604153908383</v>
      </c>
      <c r="C5129" t="s">
        <v>40</v>
      </c>
      <c r="D5129">
        <v>5.4175550000000001</v>
      </c>
      <c r="E5129">
        <v>0.4531173</v>
      </c>
      <c r="F5129" t="s">
        <v>59</v>
      </c>
      <c r="G5129">
        <v>-189.96019999999999</v>
      </c>
      <c r="H5129" s="1">
        <v>-7.2040720000000003E-6</v>
      </c>
      <c r="I5129">
        <v>-57.518569999999997</v>
      </c>
      <c r="J5129">
        <v>-211.79130000000001</v>
      </c>
      <c r="K5129">
        <v>1.1291580000000001</v>
      </c>
      <c r="L5129">
        <v>-63.457030000000003</v>
      </c>
      <c r="M5129">
        <v>0.99524020000000002</v>
      </c>
      <c r="N5129">
        <v>-1.532645E-2</v>
      </c>
      <c r="O5129">
        <v>9.6240729999999997E-2</v>
      </c>
      <c r="P5129">
        <v>0.97148749999999995</v>
      </c>
      <c r="Q5129">
        <v>0.20161290000000001</v>
      </c>
      <c r="R5129">
        <v>0.1247577</v>
      </c>
      <c r="S5129">
        <v>3.017242</v>
      </c>
      <c r="T5129">
        <v>-0.1547878</v>
      </c>
      <c r="U5129">
        <v>0.81683349999999999</v>
      </c>
      <c r="V5129">
        <v>-3.4955590000000002E-2</v>
      </c>
      <c r="W5129">
        <v>0.2159433</v>
      </c>
      <c r="X5129">
        <v>0.97577999999999998</v>
      </c>
      <c r="Y5129">
        <v>-0.166983299999999</v>
      </c>
      <c r="Z5129">
        <v>2.137258E-3</v>
      </c>
      <c r="AA5129">
        <v>0.98595739999999998</v>
      </c>
      <c r="AB5129">
        <v>38</v>
      </c>
      <c r="AC5129">
        <v>21.831099999999999</v>
      </c>
      <c r="AD5129">
        <v>-1.1291652040719999</v>
      </c>
      <c r="AE5129">
        <v>5.9384600000000001</v>
      </c>
      <c r="AF5129">
        <v>-3.80013425947614</v>
      </c>
      <c r="AG5129">
        <v>-1.1291652040719999</v>
      </c>
      <c r="AH5129">
        <v>22.245913832641801</v>
      </c>
      <c r="AI5129">
        <v>92.864323211580995</v>
      </c>
      <c r="AJ5129">
        <v>99.693920370648399</v>
      </c>
      <c r="AK5129">
        <v>22.596387248793899</v>
      </c>
      <c r="AL5129">
        <v>77.529125549631601</v>
      </c>
      <c r="AM5129">
        <v>92.0516424804525</v>
      </c>
      <c r="AN5129">
        <v>1.00000000524356</v>
      </c>
    </row>
    <row r="5130" spans="1:40" x14ac:dyDescent="0.25">
      <c r="A5130" t="str">
        <f>"20190303170913930"</f>
        <v>20190303170913930</v>
      </c>
      <c r="B5130" t="str">
        <f>"1551604153919119"</f>
        <v>1551604153919119</v>
      </c>
      <c r="C5130" t="s">
        <v>40</v>
      </c>
      <c r="D5130">
        <v>5.4175319999999996</v>
      </c>
      <c r="E5130">
        <v>0.45362449999999999</v>
      </c>
      <c r="F5130" t="s">
        <v>59</v>
      </c>
      <c r="G5130">
        <v>-189.84479999999999</v>
      </c>
      <c r="H5130" s="1">
        <v>-1.1988670000000001E-5</v>
      </c>
      <c r="I5130">
        <v>-57.422870000000003</v>
      </c>
      <c r="J5130">
        <v>-211.5746</v>
      </c>
      <c r="K5130">
        <v>1.129324</v>
      </c>
      <c r="L5130">
        <v>-63.432459999999999</v>
      </c>
      <c r="M5130">
        <v>0.99474050000000003</v>
      </c>
      <c r="N5130">
        <v>-1.5342089999999999E-2</v>
      </c>
      <c r="O5130">
        <v>0.1012714</v>
      </c>
      <c r="P5130">
        <v>0.97079990000000005</v>
      </c>
      <c r="Q5130">
        <v>0.20141729999999999</v>
      </c>
      <c r="R5130">
        <v>0.1303018</v>
      </c>
      <c r="S5130">
        <v>3.0138090000000002</v>
      </c>
      <c r="T5130">
        <v>-0.1550636</v>
      </c>
      <c r="U5130">
        <v>0.82864380000000004</v>
      </c>
      <c r="V5130">
        <v>-3.5676109999999997E-2</v>
      </c>
      <c r="W5130">
        <v>0.2157366</v>
      </c>
      <c r="X5130">
        <v>0.97579959999999999</v>
      </c>
      <c r="Y5130">
        <v>-0.16588139999999901</v>
      </c>
      <c r="Z5130">
        <v>1.9275819999999999E-3</v>
      </c>
      <c r="AA5130">
        <v>0.98614380000000001</v>
      </c>
      <c r="AB5130">
        <v>38</v>
      </c>
      <c r="AC5130">
        <v>21.729800000000001</v>
      </c>
      <c r="AD5130">
        <v>-1.1293359886700001</v>
      </c>
      <c r="AE5130">
        <v>6.0095900000000002</v>
      </c>
      <c r="AF5130">
        <v>-3.7683646520727598</v>
      </c>
      <c r="AG5130">
        <v>-1.1293359886700001</v>
      </c>
      <c r="AH5130">
        <v>22.1710977806476</v>
      </c>
      <c r="AI5130">
        <v>92.874813611044701</v>
      </c>
      <c r="AJ5130">
        <v>99.646231955647806</v>
      </c>
      <c r="AK5130">
        <v>22.517405461671999</v>
      </c>
      <c r="AL5130">
        <v>77.541253938643194</v>
      </c>
      <c r="AM5130">
        <v>92.093852553422806</v>
      </c>
      <c r="AN5130">
        <v>0.99999996238222499</v>
      </c>
    </row>
    <row r="5131" spans="1:40" x14ac:dyDescent="0.25">
      <c r="A5131" t="str">
        <f>"20190303170913957"</f>
        <v>20190303170913957</v>
      </c>
      <c r="B5131" t="str">
        <f>"1551604153948400"</f>
        <v>1551604153948400</v>
      </c>
      <c r="C5131" t="s">
        <v>40</v>
      </c>
      <c r="D5131">
        <v>5.3944159999999997</v>
      </c>
      <c r="E5131">
        <v>0.4539494</v>
      </c>
      <c r="F5131" t="s">
        <v>59</v>
      </c>
      <c r="G5131">
        <v>-189.88069999999999</v>
      </c>
      <c r="H5131" s="1">
        <v>-1.19597499999999E-5</v>
      </c>
      <c r="I5131">
        <v>-57.354599999999998</v>
      </c>
      <c r="J5131">
        <v>-211.12790000000001</v>
      </c>
      <c r="K5131">
        <v>1.129661</v>
      </c>
      <c r="L5131">
        <v>-63.377319999999997</v>
      </c>
      <c r="M5131">
        <v>0.99358440000000003</v>
      </c>
      <c r="N5131">
        <v>-1.537705E-2</v>
      </c>
      <c r="O5131">
        <v>0.112044</v>
      </c>
      <c r="P5131">
        <v>0.96918599999999999</v>
      </c>
      <c r="Q5131">
        <v>0.2011155</v>
      </c>
      <c r="R5131">
        <v>0.14223669999999999</v>
      </c>
      <c r="S5131">
        <v>3.0095519999999998</v>
      </c>
      <c r="T5131">
        <v>-0.15667059999999999</v>
      </c>
      <c r="U5131">
        <v>0.84317019999999998</v>
      </c>
      <c r="V5131">
        <v>-3.7283650000000002E-2</v>
      </c>
      <c r="W5131">
        <v>0.2154084</v>
      </c>
      <c r="X5131">
        <v>0.97581209999999996</v>
      </c>
      <c r="Y5131">
        <v>-0.1599814</v>
      </c>
      <c r="Z5131">
        <v>1.348351E-3</v>
      </c>
      <c r="AA5131">
        <v>0.98711910000000003</v>
      </c>
      <c r="AB5131">
        <v>38</v>
      </c>
      <c r="AC5131">
        <v>21.247199999999999</v>
      </c>
      <c r="AD5131">
        <v>-1.1296729597499999</v>
      </c>
      <c r="AE5131">
        <v>6.0227199999999996</v>
      </c>
      <c r="AF5131">
        <v>-3.59447964550119</v>
      </c>
      <c r="AG5131">
        <v>-1.1296729597499999</v>
      </c>
      <c r="AH5131">
        <v>21.731406786259001</v>
      </c>
      <c r="AI5131">
        <v>92.935932841990606</v>
      </c>
      <c r="AJ5131">
        <v>99.391963929721896</v>
      </c>
      <c r="AK5131">
        <v>22.055622544552602</v>
      </c>
      <c r="AL5131">
        <v>77.560512325767405</v>
      </c>
      <c r="AM5131">
        <v>92.1880823162425</v>
      </c>
      <c r="AN5131">
        <v>1.0000000519271399</v>
      </c>
    </row>
    <row r="5132" spans="1:40" x14ac:dyDescent="0.25">
      <c r="A5132" t="str">
        <f>"20190303170913973"</f>
        <v>20190303170913973</v>
      </c>
      <c r="B5132" t="str">
        <f>"1551604153959136"</f>
        <v>1551604153959136</v>
      </c>
      <c r="C5132" t="s">
        <v>40</v>
      </c>
      <c r="D5132">
        <v>5.4089309999999999</v>
      </c>
      <c r="E5132">
        <v>0.46439279999999999</v>
      </c>
      <c r="F5132" t="s">
        <v>59</v>
      </c>
      <c r="G5132">
        <v>-189.792</v>
      </c>
      <c r="H5132" s="1">
        <v>-1.1909240000000001E-5</v>
      </c>
      <c r="I5132">
        <v>-57.126530000000002</v>
      </c>
      <c r="J5132">
        <v>-210.84909999999999</v>
      </c>
      <c r="K5132">
        <v>1.1298600000000001</v>
      </c>
      <c r="L5132">
        <v>-63.340479999999999</v>
      </c>
      <c r="M5132">
        <v>0.99277879999999996</v>
      </c>
      <c r="N5132">
        <v>-1.5397030000000001E-2</v>
      </c>
      <c r="O5132">
        <v>0.1189679</v>
      </c>
      <c r="P5132">
        <v>0.96797440000000001</v>
      </c>
      <c r="Q5132">
        <v>0.20099049999999999</v>
      </c>
      <c r="R5132">
        <v>0.15042800000000001</v>
      </c>
      <c r="S5132">
        <v>2.9993590000000001</v>
      </c>
      <c r="T5132">
        <v>-0.1588069</v>
      </c>
      <c r="U5132">
        <v>0.87872309999999998</v>
      </c>
      <c r="V5132">
        <v>-3.8845129999999999E-2</v>
      </c>
      <c r="W5132">
        <v>0.2152519</v>
      </c>
      <c r="X5132">
        <v>0.97578569999999998</v>
      </c>
      <c r="Y5132">
        <v>-0.16477159999999999</v>
      </c>
      <c r="Z5132">
        <v>1.241598E-3</v>
      </c>
      <c r="AA5132">
        <v>0.98633099999999996</v>
      </c>
      <c r="AB5132">
        <v>38</v>
      </c>
      <c r="AC5132">
        <v>21.057099999999899</v>
      </c>
      <c r="AD5132">
        <v>-1.12987190924</v>
      </c>
      <c r="AE5132">
        <v>6.2139499999999996</v>
      </c>
      <c r="AF5132">
        <v>-3.6547134485499999</v>
      </c>
      <c r="AG5132">
        <v>-1.12987190924</v>
      </c>
      <c r="AH5132">
        <v>21.589687147465298</v>
      </c>
      <c r="AI5132">
        <v>92.953829595716499</v>
      </c>
      <c r="AJ5132">
        <v>99.607975230935907</v>
      </c>
      <c r="AK5132">
        <v>21.9259693525219</v>
      </c>
      <c r="AL5132">
        <v>77.569694220501503</v>
      </c>
      <c r="AM5132">
        <v>92.279688465289297</v>
      </c>
      <c r="AN5132">
        <v>1.0000000284513999</v>
      </c>
    </row>
    <row r="5133" spans="1:40" x14ac:dyDescent="0.25">
      <c r="A5133" t="str">
        <f>"20190303170913986"</f>
        <v>20190303170913986</v>
      </c>
      <c r="B5133" t="str">
        <f>"1551604153978656"</f>
        <v>1551604153978656</v>
      </c>
      <c r="C5133" t="s">
        <v>40</v>
      </c>
      <c r="D5133">
        <v>5.4060240000000004</v>
      </c>
      <c r="E5133">
        <v>0.46506439999999999</v>
      </c>
      <c r="F5133" t="s">
        <v>59</v>
      </c>
      <c r="G5133">
        <v>-193.31899999999999</v>
      </c>
      <c r="H5133" s="1">
        <v>-7.1886659999999998E-6</v>
      </c>
      <c r="I5133">
        <v>-58.536180000000002</v>
      </c>
      <c r="J5133">
        <v>-210.6294</v>
      </c>
      <c r="K5133">
        <v>1.1300209999999999</v>
      </c>
      <c r="L5133">
        <v>-63.31</v>
      </c>
      <c r="M5133">
        <v>0.99209429999999998</v>
      </c>
      <c r="N5133">
        <v>-1.5411559999999999E-2</v>
      </c>
      <c r="O5133">
        <v>0.1245449</v>
      </c>
      <c r="P5133">
        <v>0.96700980000000003</v>
      </c>
      <c r="Q5133">
        <v>0.2012359</v>
      </c>
      <c r="R5133">
        <v>0.156193</v>
      </c>
      <c r="S5133">
        <v>3.0113219999999998</v>
      </c>
      <c r="T5133">
        <v>-0.19408919999999999</v>
      </c>
      <c r="U5133">
        <v>0.82528690000000005</v>
      </c>
      <c r="V5133">
        <v>-3.9278090000000002E-2</v>
      </c>
      <c r="W5133">
        <v>0.21548700000000001</v>
      </c>
      <c r="X5133">
        <v>0.97571640000000004</v>
      </c>
      <c r="Y5133">
        <v>-0.14192170000000001</v>
      </c>
      <c r="Z5133">
        <v>-3.2958299999999999E-4</v>
      </c>
      <c r="AA5133">
        <v>0.98987780000000003</v>
      </c>
      <c r="AB5133">
        <v>38</v>
      </c>
      <c r="AC5133">
        <v>17.310399999999898</v>
      </c>
      <c r="AD5133">
        <v>-1.130028188666</v>
      </c>
      <c r="AE5133">
        <v>4.7738199999999997</v>
      </c>
      <c r="AF5133">
        <v>-2.5702848236183198</v>
      </c>
      <c r="AG5133">
        <v>-1.130028188666</v>
      </c>
      <c r="AH5133">
        <v>17.700115985805802</v>
      </c>
      <c r="AI5133">
        <v>93.615160658147303</v>
      </c>
      <c r="AJ5133">
        <v>98.262332845095997</v>
      </c>
      <c r="AK5133">
        <v>17.9214238745888</v>
      </c>
      <c r="AL5133">
        <v>77.555899339079403</v>
      </c>
      <c r="AM5133">
        <v>92.3052336972044</v>
      </c>
      <c r="AN5133">
        <v>0.99999995437600298</v>
      </c>
    </row>
    <row r="5134" spans="1:40" x14ac:dyDescent="0.25">
      <c r="A5134" t="str">
        <f>"20190303170913997"</f>
        <v>20190303170913997</v>
      </c>
      <c r="B5134" t="str">
        <f>"1551604153988416"</f>
        <v>1551604153988416</v>
      </c>
      <c r="C5134" t="s">
        <v>40</v>
      </c>
      <c r="D5134">
        <v>5.4176190000000002</v>
      </c>
      <c r="E5134">
        <v>0.46501399999999998</v>
      </c>
      <c r="F5134" t="s">
        <v>59</v>
      </c>
      <c r="G5134">
        <v>-193.5932</v>
      </c>
      <c r="H5134" s="1">
        <v>-7.2114220000000003E-6</v>
      </c>
      <c r="I5134">
        <v>-58.559199999999997</v>
      </c>
      <c r="J5134">
        <v>-210.45699999999999</v>
      </c>
      <c r="K5134">
        <v>1.1301490000000001</v>
      </c>
      <c r="L5134">
        <v>-63.284849999999999</v>
      </c>
      <c r="M5134">
        <v>0.99152280000000004</v>
      </c>
      <c r="N5134">
        <v>-1.54232E-2</v>
      </c>
      <c r="O5134">
        <v>0.12901309999999999</v>
      </c>
      <c r="P5134">
        <v>0.96630150000000004</v>
      </c>
      <c r="Q5134">
        <v>0.20109260000000001</v>
      </c>
      <c r="R5134">
        <v>0.16069600000000001</v>
      </c>
      <c r="S5134">
        <v>3.008362</v>
      </c>
      <c r="T5134">
        <v>-0.1995479</v>
      </c>
      <c r="U5134">
        <v>0.83892819999999901</v>
      </c>
      <c r="V5134">
        <v>-3.9490160000000003E-2</v>
      </c>
      <c r="W5134">
        <v>0.2153399</v>
      </c>
      <c r="X5134">
        <v>0.97574039999999995</v>
      </c>
      <c r="Y5134">
        <v>-0.14187829999999901</v>
      </c>
      <c r="Z5134">
        <v>-6.4150730000000003E-4</v>
      </c>
      <c r="AA5134">
        <v>0.98988390000000004</v>
      </c>
      <c r="AB5134">
        <v>38</v>
      </c>
      <c r="AC5134">
        <v>16.863799999999902</v>
      </c>
      <c r="AD5134">
        <v>-1.1301562114219901</v>
      </c>
      <c r="AE5134">
        <v>4.7256499999999999</v>
      </c>
      <c r="AF5134">
        <v>-2.4998276600543599</v>
      </c>
      <c r="AG5134">
        <v>-1.1301562114219901</v>
      </c>
      <c r="AH5134">
        <v>17.260699352264801</v>
      </c>
      <c r="AI5134">
        <v>93.707561717989094</v>
      </c>
      <c r="AJ5134">
        <v>98.240719101507096</v>
      </c>
      <c r="AK5134">
        <v>17.4773605994001</v>
      </c>
      <c r="AL5134">
        <v>77.564531215855595</v>
      </c>
      <c r="AM5134">
        <v>92.317609618370199</v>
      </c>
      <c r="AN5134">
        <v>1.00000003673049</v>
      </c>
    </row>
    <row r="5135" spans="1:40" x14ac:dyDescent="0.25">
      <c r="A5135" t="str">
        <f>"20190303170914007"</f>
        <v>20190303170914007</v>
      </c>
      <c r="B5135" t="str">
        <f>"1551604153999152"</f>
        <v>1551604153999152</v>
      </c>
      <c r="C5135" t="s">
        <v>40</v>
      </c>
      <c r="D5135">
        <v>5.386971</v>
      </c>
      <c r="E5135">
        <v>0.46501399999999998</v>
      </c>
      <c r="F5135" t="s">
        <v>59</v>
      </c>
      <c r="G5135">
        <v>-193.7003</v>
      </c>
      <c r="H5135" s="1">
        <v>-7.2364129999999996E-6</v>
      </c>
      <c r="I5135">
        <v>-58.52234</v>
      </c>
      <c r="J5135">
        <v>-210.26509999999999</v>
      </c>
      <c r="K5135">
        <v>1.130296</v>
      </c>
      <c r="L5135">
        <v>-63.256469999999901</v>
      </c>
      <c r="M5135">
        <v>0.99085829999999997</v>
      </c>
      <c r="N5135">
        <v>-1.543517E-2</v>
      </c>
      <c r="O5135">
        <v>0.13402139999999901</v>
      </c>
      <c r="P5135">
        <v>0.96551719999999996</v>
      </c>
      <c r="Q5135">
        <v>0.2008318</v>
      </c>
      <c r="R5135">
        <v>0.1656609</v>
      </c>
      <c r="S5135">
        <v>3.0047760000000001</v>
      </c>
      <c r="T5135">
        <v>-0.20265720000000001</v>
      </c>
      <c r="U5135">
        <v>0.85400390000000004</v>
      </c>
      <c r="V5135">
        <v>-3.963817E-2</v>
      </c>
      <c r="W5135">
        <v>0.2150754</v>
      </c>
      <c r="X5135">
        <v>0.97579269999999996</v>
      </c>
      <c r="Y5135">
        <v>-0.141786</v>
      </c>
      <c r="Z5135">
        <v>-9.51102E-4</v>
      </c>
      <c r="AA5135">
        <v>0.98989689999999997</v>
      </c>
      <c r="AB5135">
        <v>38</v>
      </c>
      <c r="AC5135">
        <v>16.564799999999899</v>
      </c>
      <c r="AD5135">
        <v>-1.1303032364129999</v>
      </c>
      <c r="AE5135">
        <v>4.7341299999999897</v>
      </c>
      <c r="AF5135">
        <v>-2.4605172978527898</v>
      </c>
      <c r="AG5135">
        <v>-1.1303032364129999</v>
      </c>
      <c r="AH5135">
        <v>16.976798093352901</v>
      </c>
      <c r="AI5135">
        <v>93.769817812396795</v>
      </c>
      <c r="AJ5135">
        <v>98.246690295163503</v>
      </c>
      <c r="AK5135">
        <v>17.191375869363998</v>
      </c>
      <c r="AL5135">
        <v>77.580049141977497</v>
      </c>
      <c r="AM5135">
        <v>92.3261619995194</v>
      </c>
      <c r="AN5135">
        <v>1.00000000278969</v>
      </c>
    </row>
    <row r="5136" spans="1:40" x14ac:dyDescent="0.25">
      <c r="A5136" t="str">
        <f>"20190303170914018"</f>
        <v>20190303170914018</v>
      </c>
      <c r="B5136" t="str">
        <f>"1551604154008912"</f>
        <v>1551604154008912</v>
      </c>
      <c r="C5136" t="s">
        <v>40</v>
      </c>
      <c r="D5136">
        <v>5.4189439999999998</v>
      </c>
      <c r="E5136">
        <v>0.46959620000000002</v>
      </c>
      <c r="F5136" t="s">
        <v>59</v>
      </c>
      <c r="G5136">
        <v>-193.5565</v>
      </c>
      <c r="H5136" s="1">
        <v>-7.2607039999999999E-6</v>
      </c>
      <c r="I5136">
        <v>-58.407049999999998</v>
      </c>
      <c r="J5136">
        <v>-210.0926</v>
      </c>
      <c r="K5136">
        <v>1.13042</v>
      </c>
      <c r="L5136">
        <v>-63.229399999999998</v>
      </c>
      <c r="M5136">
        <v>0.99022140000000003</v>
      </c>
      <c r="N5136">
        <v>-1.5445759999999999E-2</v>
      </c>
      <c r="O5136">
        <v>0.13864649999999901</v>
      </c>
      <c r="P5136">
        <v>0.96469400000000005</v>
      </c>
      <c r="Q5136">
        <v>0.2008066</v>
      </c>
      <c r="R5136">
        <v>0.17041819999999999</v>
      </c>
      <c r="S5136">
        <v>2.9999690000000001</v>
      </c>
      <c r="T5136">
        <v>-0.2029425</v>
      </c>
      <c r="U5136">
        <v>0.87069699999999906</v>
      </c>
      <c r="V5136">
        <v>-3.9959969999999997E-2</v>
      </c>
      <c r="W5136">
        <v>0.21504229999999999</v>
      </c>
      <c r="X5136">
        <v>0.97578690000000001</v>
      </c>
      <c r="Y5136">
        <v>-0.14267149999999901</v>
      </c>
      <c r="Z5136">
        <v>-1.151369E-3</v>
      </c>
      <c r="AA5136">
        <v>0.98976940000000002</v>
      </c>
      <c r="AB5136">
        <v>38</v>
      </c>
      <c r="AC5136">
        <v>16.536100000000001</v>
      </c>
      <c r="AD5136">
        <v>-1.130427260704</v>
      </c>
      <c r="AE5136">
        <v>4.8223500000000001</v>
      </c>
      <c r="AF5136">
        <v>-2.47217060841046</v>
      </c>
      <c r="AG5136">
        <v>-1.130427260704</v>
      </c>
      <c r="AH5136">
        <v>16.9719392081082</v>
      </c>
      <c r="AI5136">
        <v>93.770916946502396</v>
      </c>
      <c r="AJ5136">
        <v>98.287545706412601</v>
      </c>
      <c r="AK5136">
        <v>17.188258020886</v>
      </c>
      <c r="AL5136">
        <v>77.581991441105998</v>
      </c>
      <c r="AM5136">
        <v>92.345039725144801</v>
      </c>
      <c r="AN5136">
        <v>1.00000003210165</v>
      </c>
    </row>
    <row r="5137" spans="1:40" x14ac:dyDescent="0.25">
      <c r="A5137" t="str">
        <f>"20190303170914032"</f>
        <v>20190303170914032</v>
      </c>
      <c r="B5137" t="str">
        <f>"1551604154018672"</f>
        <v>1551604154018672</v>
      </c>
      <c r="C5137" t="s">
        <v>40</v>
      </c>
      <c r="D5137">
        <v>5.3850689999999997</v>
      </c>
      <c r="E5137">
        <v>0.47051029999999999</v>
      </c>
      <c r="F5137" t="s">
        <v>59</v>
      </c>
      <c r="G5137">
        <v>-195.06659999999999</v>
      </c>
      <c r="H5137" s="1">
        <v>-7.2343709999999902E-6</v>
      </c>
      <c r="I5137">
        <v>-58.965980000000002</v>
      </c>
      <c r="J5137">
        <v>-209.88480000000001</v>
      </c>
      <c r="K5137">
        <v>1.130568</v>
      </c>
      <c r="L5137">
        <v>-63.196319999999901</v>
      </c>
      <c r="M5137">
        <v>0.98942019999999997</v>
      </c>
      <c r="N5137">
        <v>-1.5457139999999999E-2</v>
      </c>
      <c r="O5137">
        <v>0.1442533</v>
      </c>
      <c r="P5137">
        <v>0.96372769999999996</v>
      </c>
      <c r="Q5137">
        <v>0.2003384</v>
      </c>
      <c r="R5137">
        <v>0.17633389999999999</v>
      </c>
      <c r="S5137">
        <v>3.006195</v>
      </c>
      <c r="T5137">
        <v>-0.22616030000000001</v>
      </c>
      <c r="U5137">
        <v>0.85296629999999996</v>
      </c>
      <c r="V5137">
        <v>-4.0478510000000002E-2</v>
      </c>
      <c r="W5137">
        <v>0.21456040000000001</v>
      </c>
      <c r="X5137">
        <v>0.97587159999999995</v>
      </c>
      <c r="Y5137">
        <v>-0.1311321</v>
      </c>
      <c r="Z5137">
        <v>-2.480313E-3</v>
      </c>
      <c r="AA5137">
        <v>0.99136179999999996</v>
      </c>
      <c r="AB5137">
        <v>38</v>
      </c>
      <c r="AC5137">
        <v>14.818199999999999</v>
      </c>
      <c r="AD5137">
        <v>-1.1305752343709901</v>
      </c>
      <c r="AE5137">
        <v>4.2303399999999902</v>
      </c>
      <c r="AF5137">
        <v>-2.0372883876792098</v>
      </c>
      <c r="AG5137">
        <v>-1.1305752343709901</v>
      </c>
      <c r="AH5137">
        <v>15.191720624739</v>
      </c>
      <c r="AI5137">
        <v>94.218507883009806</v>
      </c>
      <c r="AJ5137">
        <v>97.638089907019804</v>
      </c>
      <c r="AK5137">
        <v>15.3693565211842</v>
      </c>
      <c r="AL5137">
        <v>77.610262119229901</v>
      </c>
      <c r="AM5137">
        <v>92.375229527358997</v>
      </c>
      <c r="AN5137">
        <v>1.0000000273532601</v>
      </c>
    </row>
    <row r="5138" spans="1:40" x14ac:dyDescent="0.25">
      <c r="A5138" t="str">
        <f>"20190303170914046"</f>
        <v>20190303170914046</v>
      </c>
      <c r="B5138" t="str">
        <f>"1551604154039168"</f>
        <v>1551604154039168</v>
      </c>
      <c r="C5138" t="s">
        <v>40</v>
      </c>
      <c r="D5138">
        <v>5.3791260000000003</v>
      </c>
      <c r="E5138">
        <v>0.47204770000000001</v>
      </c>
      <c r="F5138" t="s">
        <v>59</v>
      </c>
      <c r="G5138">
        <v>-194.8954</v>
      </c>
      <c r="H5138" s="1">
        <v>-7.245665E-6</v>
      </c>
      <c r="I5138">
        <v>-58.878950000000003</v>
      </c>
      <c r="J5138">
        <v>-209.6388</v>
      </c>
      <c r="K5138">
        <v>1.1307469999999999</v>
      </c>
      <c r="L5138">
        <v>-63.155180000000001</v>
      </c>
      <c r="M5138">
        <v>0.98840490000000003</v>
      </c>
      <c r="N5138">
        <v>-1.547047E-2</v>
      </c>
      <c r="O5138">
        <v>0.15105089999999999</v>
      </c>
      <c r="P5138">
        <v>0.9624916</v>
      </c>
      <c r="Q5138">
        <v>0.19990830000000001</v>
      </c>
      <c r="R5138">
        <v>0.1834306</v>
      </c>
      <c r="S5138">
        <v>3.00177</v>
      </c>
      <c r="T5138">
        <v>-0.2264082</v>
      </c>
      <c r="U5138">
        <v>0.86459349999999902</v>
      </c>
      <c r="V5138">
        <v>-4.1037289999999997E-2</v>
      </c>
      <c r="W5138">
        <v>0.2141151</v>
      </c>
      <c r="X5138">
        <v>0.97594610000000004</v>
      </c>
      <c r="Y5138">
        <v>-0.12826989999999999</v>
      </c>
      <c r="Z5138">
        <v>-3.0044550000000001E-3</v>
      </c>
      <c r="AA5138">
        <v>0.99173469999999997</v>
      </c>
      <c r="AB5138">
        <v>38</v>
      </c>
      <c r="AC5138">
        <v>14.743399999999999</v>
      </c>
      <c r="AD5138">
        <v>-1.1307542456649999</v>
      </c>
      <c r="AE5138">
        <v>4.2762299999999902</v>
      </c>
      <c r="AF5138">
        <v>-1.9890898747583801</v>
      </c>
      <c r="AG5138">
        <v>-1.1307542456649999</v>
      </c>
      <c r="AH5138">
        <v>15.1380632985883</v>
      </c>
      <c r="AI5138">
        <v>94.235565000089395</v>
      </c>
      <c r="AJ5138">
        <v>97.485586821878499</v>
      </c>
      <c r="AK5138">
        <v>15.3099981752455</v>
      </c>
      <c r="AL5138">
        <v>77.636383432098299</v>
      </c>
      <c r="AM5138">
        <v>92.407796122338297</v>
      </c>
      <c r="AN5138">
        <v>1.0000000626618799</v>
      </c>
    </row>
    <row r="5139" spans="1:40" x14ac:dyDescent="0.25">
      <c r="A5139" t="str">
        <f>"20190303170914055"</f>
        <v>20190303170914055</v>
      </c>
      <c r="B5139" t="str">
        <f>"1551604154048928"</f>
        <v>1551604154048928</v>
      </c>
      <c r="C5139" t="s">
        <v>40</v>
      </c>
      <c r="D5139">
        <v>5.4456129999999998</v>
      </c>
      <c r="E5139">
        <v>0.47184199999999998</v>
      </c>
      <c r="F5139" t="s">
        <v>59</v>
      </c>
      <c r="G5139">
        <v>-194.83580000000001</v>
      </c>
      <c r="H5139" s="1">
        <v>-7.2532140000000002E-6</v>
      </c>
      <c r="I5139">
        <v>-58.838329999999999</v>
      </c>
      <c r="J5139">
        <v>-209.47210000000001</v>
      </c>
      <c r="K5139">
        <v>1.1308659999999999</v>
      </c>
      <c r="L5139">
        <v>-63.126100000000001</v>
      </c>
      <c r="M5139">
        <v>0.98767700000000003</v>
      </c>
      <c r="N5139">
        <v>-1.548007E-2</v>
      </c>
      <c r="O5139">
        <v>0.15573919999999999</v>
      </c>
      <c r="P5139">
        <v>0.96161929999999995</v>
      </c>
      <c r="Q5139">
        <v>0.19949539999999999</v>
      </c>
      <c r="R5139">
        <v>0.18838859999999999</v>
      </c>
      <c r="S5139">
        <v>2.9978639999999999</v>
      </c>
      <c r="T5139">
        <v>-0.22899720000000001</v>
      </c>
      <c r="U5139">
        <v>0.87423709999999899</v>
      </c>
      <c r="V5139">
        <v>-4.1480059999999999E-2</v>
      </c>
      <c r="W5139">
        <v>0.2136912</v>
      </c>
      <c r="X5139">
        <v>0.9760202</v>
      </c>
      <c r="Y5139">
        <v>-0.1268611</v>
      </c>
      <c r="Z5139">
        <v>-3.414243E-3</v>
      </c>
      <c r="AA5139">
        <v>0.99191459999999998</v>
      </c>
      <c r="AB5139">
        <v>38</v>
      </c>
      <c r="AC5139">
        <v>14.6363</v>
      </c>
      <c r="AD5139">
        <v>-1.130873253214</v>
      </c>
      <c r="AE5139">
        <v>4.2877699999999903</v>
      </c>
      <c r="AF5139">
        <v>-1.9450265164176399</v>
      </c>
      <c r="AG5139">
        <v>-1.130873253214</v>
      </c>
      <c r="AH5139">
        <v>15.0428159845453</v>
      </c>
      <c r="AI5139">
        <v>94.263873698431695</v>
      </c>
      <c r="AJ5139">
        <v>97.367432176134102</v>
      </c>
      <c r="AK5139">
        <v>15.2101385664067</v>
      </c>
      <c r="AL5139">
        <v>77.661245505752404</v>
      </c>
      <c r="AM5139">
        <v>92.433559310506794</v>
      </c>
      <c r="AN5139">
        <v>0.99999997757154102</v>
      </c>
    </row>
    <row r="5140" spans="1:40" x14ac:dyDescent="0.25">
      <c r="A5140" t="str">
        <f>"20190303170914067"</f>
        <v>20190303170914067</v>
      </c>
      <c r="B5140" t="str">
        <f>"1551604154058688"</f>
        <v>1551604154058688</v>
      </c>
      <c r="C5140" t="s">
        <v>40</v>
      </c>
      <c r="D5140">
        <v>5.5082839999999997</v>
      </c>
      <c r="E5140">
        <v>0.47184199999999998</v>
      </c>
      <c r="F5140" t="s">
        <v>59</v>
      </c>
      <c r="G5140">
        <v>-195.00450000000001</v>
      </c>
      <c r="H5140" s="1">
        <v>-7.2795179999999996E-6</v>
      </c>
      <c r="I5140">
        <v>-58.817459999999997</v>
      </c>
      <c r="J5140">
        <v>-209.27379999999999</v>
      </c>
      <c r="K5140">
        <v>1.1310039999999999</v>
      </c>
      <c r="L5140">
        <v>-63.090969999999999</v>
      </c>
      <c r="M5140">
        <v>0.98677459999999995</v>
      </c>
      <c r="N5140">
        <v>-1.5490800000000001E-2</v>
      </c>
      <c r="O5140">
        <v>0.16135729999999901</v>
      </c>
      <c r="P5140">
        <v>0.96045460000000005</v>
      </c>
      <c r="Q5140">
        <v>0.19923869999999999</v>
      </c>
      <c r="R5140">
        <v>0.19450139999999999</v>
      </c>
      <c r="S5140">
        <v>2.9936219999999998</v>
      </c>
      <c r="T5140">
        <v>-0.23399929999999999</v>
      </c>
      <c r="U5140">
        <v>0.89154049999999996</v>
      </c>
      <c r="V5140">
        <v>-4.2197980000000003E-2</v>
      </c>
      <c r="W5140">
        <v>0.21341499999999999</v>
      </c>
      <c r="X5140">
        <v>0.97604990000000003</v>
      </c>
      <c r="Y5140">
        <v>-0.12687609999999999</v>
      </c>
      <c r="Z5140">
        <v>-3.8960639999999999E-3</v>
      </c>
      <c r="AA5140">
        <v>0.99191090000000004</v>
      </c>
      <c r="AB5140">
        <v>38</v>
      </c>
      <c r="AC5140">
        <v>14.2692999999999</v>
      </c>
      <c r="AD5140">
        <v>-1.1310112795180001</v>
      </c>
      <c r="AE5140">
        <v>4.2735099999999999</v>
      </c>
      <c r="AF5140">
        <v>-1.9037889432986901</v>
      </c>
      <c r="AG5140">
        <v>-1.1310112795180001</v>
      </c>
      <c r="AH5140">
        <v>14.687238704625001</v>
      </c>
      <c r="AI5140">
        <v>94.367059488091499</v>
      </c>
      <c r="AJ5140">
        <v>97.385612032305005</v>
      </c>
      <c r="AK5140">
        <v>14.8532346518076</v>
      </c>
      <c r="AL5140">
        <v>77.6774448076292</v>
      </c>
      <c r="AM5140">
        <v>92.475551170885794</v>
      </c>
      <c r="AN5140">
        <v>1.0000000195155401</v>
      </c>
    </row>
    <row r="5141" spans="1:40" x14ac:dyDescent="0.25">
      <c r="A5141" t="str">
        <f>"20190303170914078"</f>
        <v>20190303170914078</v>
      </c>
      <c r="B5141" t="str">
        <f>"1551604154068448"</f>
        <v>1551604154068448</v>
      </c>
      <c r="C5141" t="s">
        <v>40</v>
      </c>
      <c r="D5141">
        <v>5.4662930000000003</v>
      </c>
      <c r="E5141">
        <v>0.44070399999999998</v>
      </c>
      <c r="F5141" t="s">
        <v>59</v>
      </c>
      <c r="G5141">
        <v>-194.88730000000001</v>
      </c>
      <c r="H5141" s="1">
        <v>-7.3045129999999998E-6</v>
      </c>
      <c r="I5141">
        <v>-58.708689999999997</v>
      </c>
      <c r="J5141">
        <v>-209.10159999999999</v>
      </c>
      <c r="K5141">
        <v>1.1311249999999999</v>
      </c>
      <c r="L5141">
        <v>-63.058810000000001</v>
      </c>
      <c r="M5141">
        <v>0.98594459999999995</v>
      </c>
      <c r="N5141">
        <v>-1.5500130000000001E-2</v>
      </c>
      <c r="O5141">
        <v>0.166352799999999</v>
      </c>
      <c r="P5141">
        <v>0.95939479999999999</v>
      </c>
      <c r="Q5141">
        <v>0.19888510000000001</v>
      </c>
      <c r="R5141">
        <v>0.20001630000000001</v>
      </c>
      <c r="S5141">
        <v>2.98793</v>
      </c>
      <c r="T5141">
        <v>-0.23489959999999999</v>
      </c>
      <c r="U5141">
        <v>0.91015630000000003</v>
      </c>
      <c r="V5141">
        <v>-4.2909910000000002E-2</v>
      </c>
      <c r="W5141">
        <v>0.2130418</v>
      </c>
      <c r="X5141">
        <v>0.97610039999999998</v>
      </c>
      <c r="Y5141">
        <v>-0.12803870000000001</v>
      </c>
      <c r="Z5141">
        <v>-4.1724420000000002E-3</v>
      </c>
      <c r="AA5141">
        <v>0.99176039999999999</v>
      </c>
      <c r="AB5141">
        <v>38</v>
      </c>
      <c r="AC5141">
        <v>14.2142999999999</v>
      </c>
      <c r="AD5141">
        <v>-1.131132304513</v>
      </c>
      <c r="AE5141">
        <v>4.3501199999999898</v>
      </c>
      <c r="AF5141">
        <v>-1.91353989497917</v>
      </c>
      <c r="AG5141">
        <v>-1.131132304513</v>
      </c>
      <c r="AH5141">
        <v>14.655079926325399</v>
      </c>
      <c r="AI5141">
        <v>94.376542017367697</v>
      </c>
      <c r="AJ5141">
        <v>97.439125986890105</v>
      </c>
      <c r="AK5141">
        <v>14.8227009302277</v>
      </c>
      <c r="AL5141">
        <v>77.699331050538305</v>
      </c>
      <c r="AM5141">
        <v>92.517133310586502</v>
      </c>
      <c r="AN5141">
        <v>1.0000000299017999</v>
      </c>
    </row>
    <row r="5142" spans="1:40" x14ac:dyDescent="0.25">
      <c r="A5142" t="str">
        <f>"20190303170914088"</f>
        <v>20190303170914088</v>
      </c>
      <c r="B5142" t="str">
        <f>"1551604154079184"</f>
        <v>1551604154079184</v>
      </c>
      <c r="C5142" t="s">
        <v>40</v>
      </c>
      <c r="D5142">
        <v>5.4007449999999997</v>
      </c>
      <c r="E5142">
        <v>0.43221409999999899</v>
      </c>
      <c r="F5142" t="s">
        <v>59</v>
      </c>
      <c r="G5142">
        <v>-183.6053</v>
      </c>
      <c r="H5142" s="1">
        <v>-1.18556E-5</v>
      </c>
      <c r="I5142">
        <v>-52.921709999999997</v>
      </c>
      <c r="J5142">
        <v>-208.9298</v>
      </c>
      <c r="K5142">
        <v>1.1312450000000001</v>
      </c>
      <c r="L5142">
        <v>-63.026580000000003</v>
      </c>
      <c r="M5142">
        <v>0.98508910000000005</v>
      </c>
      <c r="N5142">
        <v>-1.5508030000000001E-2</v>
      </c>
      <c r="O5142">
        <v>0.17134469999999999</v>
      </c>
      <c r="P5142">
        <v>0.95825119999999997</v>
      </c>
      <c r="Q5142">
        <v>0.1987826</v>
      </c>
      <c r="R5142">
        <v>0.2055236</v>
      </c>
      <c r="S5142">
        <v>2.912369</v>
      </c>
      <c r="T5142">
        <v>-0.1292063</v>
      </c>
      <c r="U5142">
        <v>1.1579280000000001</v>
      </c>
      <c r="V5142">
        <v>-4.3633949999999998E-2</v>
      </c>
      <c r="W5142">
        <v>0.21291689999999999</v>
      </c>
      <c r="X5142">
        <v>0.9760955</v>
      </c>
      <c r="Y5142">
        <v>-0.20457259999999999</v>
      </c>
      <c r="Z5142">
        <v>1.373413E-3</v>
      </c>
      <c r="AA5142">
        <v>0.97885040000000001</v>
      </c>
      <c r="AB5142">
        <v>38</v>
      </c>
      <c r="AC5142">
        <v>25.3245</v>
      </c>
      <c r="AD5142">
        <v>-1.1312568556</v>
      </c>
      <c r="AE5142">
        <v>10.10487</v>
      </c>
      <c r="AF5142">
        <v>-5.6060035719007697</v>
      </c>
      <c r="AG5142">
        <v>-1.1312568556</v>
      </c>
      <c r="AH5142">
        <v>26.635662774026098</v>
      </c>
      <c r="AI5142">
        <v>92.379898041061594</v>
      </c>
      <c r="AJ5142">
        <v>101.885559281894</v>
      </c>
      <c r="AK5142">
        <v>27.2427155315535</v>
      </c>
      <c r="AL5142">
        <v>77.706654669830201</v>
      </c>
      <c r="AM5142">
        <v>92.559562953113598</v>
      </c>
      <c r="AN5142">
        <v>0.999999976509231</v>
      </c>
    </row>
    <row r="5143" spans="1:40" x14ac:dyDescent="0.25">
      <c r="A5143" t="str">
        <f>"20190303170914101"</f>
        <v>20190303170914101</v>
      </c>
      <c r="B5143" t="str">
        <f>"1551604154088944"</f>
        <v>1551604154088944</v>
      </c>
      <c r="C5143" t="s">
        <v>40</v>
      </c>
      <c r="D5143">
        <v>5.3766749999999996</v>
      </c>
      <c r="E5143">
        <v>0.42542049999999998</v>
      </c>
      <c r="F5143" t="s">
        <v>59</v>
      </c>
      <c r="G5143">
        <v>-178.38630000000001</v>
      </c>
      <c r="H5143">
        <v>7.9986570000000007E-2</v>
      </c>
      <c r="I5143">
        <v>-49.930399999999999</v>
      </c>
      <c r="J5143">
        <v>-208.72900000000001</v>
      </c>
      <c r="K5143">
        <v>1.1313869999999999</v>
      </c>
      <c r="L5143">
        <v>-62.986789999999999</v>
      </c>
      <c r="M5143">
        <v>0.9840293</v>
      </c>
      <c r="N5143">
        <v>-1.551787E-2</v>
      </c>
      <c r="O5143">
        <v>0.17732890000000001</v>
      </c>
      <c r="P5143">
        <v>0.95693620000000001</v>
      </c>
      <c r="Q5143">
        <v>0.19851269999999999</v>
      </c>
      <c r="R5143">
        <v>0.21181539999999999</v>
      </c>
      <c r="S5143">
        <v>2.88591</v>
      </c>
      <c r="T5143">
        <v>-9.9328399999999997E-2</v>
      </c>
      <c r="U5143">
        <v>1.2373959999999999</v>
      </c>
      <c r="V5143">
        <v>-4.417621E-2</v>
      </c>
      <c r="W5143">
        <v>0.2126295</v>
      </c>
      <c r="X5143">
        <v>0.97613380000000005</v>
      </c>
      <c r="Y5143">
        <v>-0.2246852</v>
      </c>
      <c r="Z5143">
        <v>2.4239790000000002E-3</v>
      </c>
      <c r="AA5143">
        <v>0.97442839999999997</v>
      </c>
      <c r="AB5143">
        <v>38</v>
      </c>
      <c r="AC5143">
        <v>30.342700000000001</v>
      </c>
      <c r="AD5143">
        <v>-1.0514004299999999</v>
      </c>
      <c r="AE5143">
        <v>13.056389999999899</v>
      </c>
      <c r="AF5143">
        <v>-7.4605736003479404</v>
      </c>
      <c r="AG5143">
        <v>-1.0514004299999999</v>
      </c>
      <c r="AH5143">
        <v>32.144689673218103</v>
      </c>
      <c r="AI5143">
        <v>91.824910909441201</v>
      </c>
      <c r="AJ5143">
        <v>103.066634632122</v>
      </c>
      <c r="AK5143">
        <v>33.0158549109047</v>
      </c>
      <c r="AL5143">
        <v>77.723507902543403</v>
      </c>
      <c r="AM5143">
        <v>92.591227238728095</v>
      </c>
      <c r="AN5143">
        <v>1.00000001865132</v>
      </c>
    </row>
    <row r="5144" spans="1:40" x14ac:dyDescent="0.25">
      <c r="A5144" t="str">
        <f>"20190303170914115"</f>
        <v>20190303170914115</v>
      </c>
      <c r="B5144" t="str">
        <f>"1551604154108464"</f>
        <v>1551604154108464</v>
      </c>
      <c r="C5144" t="s">
        <v>40</v>
      </c>
      <c r="D5144">
        <v>5.3307089999999997</v>
      </c>
      <c r="E5144">
        <v>0.41547269999999997</v>
      </c>
      <c r="F5144" t="s">
        <v>46</v>
      </c>
      <c r="G5144">
        <v>-165.00960000000001</v>
      </c>
      <c r="H5144">
        <v>-0.05</v>
      </c>
      <c r="I5144">
        <v>-43.02449</v>
      </c>
      <c r="J5144">
        <v>-208.50309999999999</v>
      </c>
      <c r="K5144">
        <v>1.131542</v>
      </c>
      <c r="L5144">
        <v>-62.940980000000003</v>
      </c>
      <c r="M5144">
        <v>0.98277959999999998</v>
      </c>
      <c r="N5144">
        <v>-1.5528200000000001E-2</v>
      </c>
      <c r="O5144">
        <v>0.1841286</v>
      </c>
      <c r="P5144">
        <v>0.95534739999999996</v>
      </c>
      <c r="Q5144">
        <v>0.19839680000000001</v>
      </c>
      <c r="R5144">
        <v>0.2189757</v>
      </c>
      <c r="S5144">
        <v>2.8618009999999998</v>
      </c>
      <c r="T5144">
        <v>-7.7331780000000003E-2</v>
      </c>
      <c r="U5144">
        <v>1.306702</v>
      </c>
      <c r="V5144">
        <v>-4.481711E-2</v>
      </c>
      <c r="W5144">
        <v>0.2124916</v>
      </c>
      <c r="X5144">
        <v>0.97613459999999996</v>
      </c>
      <c r="Y5144">
        <v>-0.24062259999999999</v>
      </c>
      <c r="Z5144">
        <v>3.14774E-3</v>
      </c>
      <c r="AA5144">
        <v>0.97061370000000002</v>
      </c>
      <c r="AB5144">
        <v>38</v>
      </c>
      <c r="AC5144">
        <v>43.493499999999898</v>
      </c>
      <c r="AD5144">
        <v>-1.1815420000000001</v>
      </c>
      <c r="AE5144">
        <v>19.91649</v>
      </c>
      <c r="AF5144">
        <v>-11.5594641603459</v>
      </c>
      <c r="AG5144">
        <v>-1.1815420000000001</v>
      </c>
      <c r="AH5144">
        <v>46.389011354512398</v>
      </c>
      <c r="AI5144">
        <v>91.415751179356207</v>
      </c>
      <c r="AJ5144">
        <v>103.992307171707</v>
      </c>
      <c r="AK5144">
        <v>47.822145786457199</v>
      </c>
      <c r="AL5144">
        <v>77.731593603955503</v>
      </c>
      <c r="AM5144">
        <v>92.628765758191193</v>
      </c>
      <c r="AN5144">
        <v>1.0000000053682301</v>
      </c>
    </row>
    <row r="5145" spans="1:40" x14ac:dyDescent="0.25">
      <c r="A5145" t="str">
        <f>"20190303170914132"</f>
        <v>20190303170914132</v>
      </c>
      <c r="B5145" t="str">
        <f>"1551604154119200"</f>
        <v>1551604154119200</v>
      </c>
      <c r="C5145" t="s">
        <v>40</v>
      </c>
      <c r="D5145">
        <v>5.3340059999999996</v>
      </c>
      <c r="E5145">
        <v>0.41289360000000003</v>
      </c>
      <c r="F5145" t="s">
        <v>53</v>
      </c>
      <c r="G5145">
        <v>-157.9383</v>
      </c>
      <c r="H5145">
        <v>0.50046539999999995</v>
      </c>
      <c r="I5145">
        <v>-37.893569999999997</v>
      </c>
      <c r="J5145">
        <v>-208.221</v>
      </c>
      <c r="K5145">
        <v>1.131732</v>
      </c>
      <c r="L5145">
        <v>-62.881500000000003</v>
      </c>
      <c r="M5145">
        <v>0.98112180000000004</v>
      </c>
      <c r="N5145">
        <v>-1.55414E-2</v>
      </c>
      <c r="O5145">
        <v>0.19276599999999999</v>
      </c>
      <c r="P5145">
        <v>0.95299469999999997</v>
      </c>
      <c r="Q5145">
        <v>0.1985538</v>
      </c>
      <c r="R5145">
        <v>0.2288618</v>
      </c>
      <c r="S5145">
        <v>2.8266300000000002</v>
      </c>
      <c r="T5145">
        <v>-3.5278919999999998E-2</v>
      </c>
      <c r="U5145">
        <v>1.400177</v>
      </c>
      <c r="V5145">
        <v>-4.6464600000000002E-2</v>
      </c>
      <c r="W5145">
        <v>0.21259729999999999</v>
      </c>
      <c r="X5145">
        <v>0.97603450000000003</v>
      </c>
      <c r="Y5145">
        <v>-0.2627546</v>
      </c>
      <c r="Z5145">
        <v>4.3473640000000003E-3</v>
      </c>
      <c r="AA5145">
        <v>0.96485290000000001</v>
      </c>
      <c r="AB5145">
        <v>38</v>
      </c>
      <c r="AC5145">
        <v>50.282699999999899</v>
      </c>
      <c r="AD5145">
        <v>-0.63126659999999901</v>
      </c>
      <c r="AE5145">
        <v>24.987929999999999</v>
      </c>
      <c r="AF5145">
        <v>-14.823322929437101</v>
      </c>
      <c r="AG5145">
        <v>-0.63126659999999901</v>
      </c>
      <c r="AH5145">
        <v>54.149966005022598</v>
      </c>
      <c r="AI5145">
        <v>90.644210059301997</v>
      </c>
      <c r="AJ5145">
        <v>105.309419048896</v>
      </c>
      <c r="AK5145">
        <v>56.145776497754099</v>
      </c>
      <c r="AL5145">
        <v>77.725395240444996</v>
      </c>
      <c r="AM5145">
        <v>92.7255359196445</v>
      </c>
      <c r="AN5145">
        <v>0.99999995810534903</v>
      </c>
    </row>
    <row r="5146" spans="1:40" x14ac:dyDescent="0.25">
      <c r="A5146" t="str">
        <f>"20190303170914145"</f>
        <v>20190303170914145</v>
      </c>
      <c r="B5146" t="str">
        <f>"1551604154138719"</f>
        <v>1551604154138719</v>
      </c>
      <c r="C5146" t="s">
        <v>40</v>
      </c>
      <c r="D5146">
        <v>5.3091339999999896</v>
      </c>
      <c r="E5146">
        <v>0.40925679999999998</v>
      </c>
      <c r="F5146" t="s">
        <v>53</v>
      </c>
      <c r="G5146">
        <v>-157.9383</v>
      </c>
      <c r="H5146">
        <v>0.73073580000000005</v>
      </c>
      <c r="I5146">
        <v>-36.924109999999999</v>
      </c>
      <c r="J5146">
        <v>-208.00880000000001</v>
      </c>
      <c r="K5146">
        <v>1.1318709999999901</v>
      </c>
      <c r="L5146">
        <v>-62.834809999999997</v>
      </c>
      <c r="M5146">
        <v>0.97979899999999998</v>
      </c>
      <c r="N5146">
        <v>-1.555235E-2</v>
      </c>
      <c r="O5146">
        <v>0.19937879999999999</v>
      </c>
      <c r="P5146">
        <v>0.95133829999999997</v>
      </c>
      <c r="Q5146">
        <v>0.19852739999999999</v>
      </c>
      <c r="R5146">
        <v>0.23567440000000001</v>
      </c>
      <c r="S5146">
        <v>2.8049010000000001</v>
      </c>
      <c r="T5146">
        <v>-2.2369739999999999E-2</v>
      </c>
      <c r="U5146">
        <v>1.4479679999999999</v>
      </c>
      <c r="V5146">
        <v>-4.6941169999999997E-2</v>
      </c>
      <c r="W5146">
        <v>0.21255399999999999</v>
      </c>
      <c r="X5146">
        <v>0.97602120000000003</v>
      </c>
      <c r="Y5146">
        <v>-0.27229389999999998</v>
      </c>
      <c r="Z5146">
        <v>4.7668679999999996E-3</v>
      </c>
      <c r="AA5146">
        <v>0.96220229999999995</v>
      </c>
      <c r="AB5146">
        <v>38</v>
      </c>
      <c r="AC5146">
        <v>50.070500000000003</v>
      </c>
      <c r="AD5146">
        <v>-0.40113519999999903</v>
      </c>
      <c r="AE5146">
        <v>25.910699999999999</v>
      </c>
      <c r="AF5146">
        <v>-15.4053661997826</v>
      </c>
      <c r="AG5146">
        <v>-0.40113519999999903</v>
      </c>
      <c r="AH5146">
        <v>54.228887528050997</v>
      </c>
      <c r="AI5146">
        <v>90.407682870925896</v>
      </c>
      <c r="AJ5146">
        <v>105.85881119700301</v>
      </c>
      <c r="AK5146">
        <v>56.3760450876796</v>
      </c>
      <c r="AL5146">
        <v>77.727935067262706</v>
      </c>
      <c r="AM5146">
        <v>92.753485381191794</v>
      </c>
      <c r="AN5146">
        <v>1.0000000296031999</v>
      </c>
    </row>
    <row r="5147" spans="1:40" x14ac:dyDescent="0.25">
      <c r="A5147" t="str">
        <f>"20190303170914158"</f>
        <v>20190303170914158</v>
      </c>
      <c r="B5147" t="str">
        <f>"1551604154149456"</f>
        <v>1551604154149456</v>
      </c>
      <c r="C5147" t="s">
        <v>40</v>
      </c>
      <c r="D5147">
        <v>5.3125019999999896</v>
      </c>
      <c r="E5147">
        <v>0.40833219999999998</v>
      </c>
      <c r="F5147" t="s">
        <v>53</v>
      </c>
      <c r="G5147">
        <v>-166.5994</v>
      </c>
      <c r="H5147">
        <v>1.0392749999999999</v>
      </c>
      <c r="I5147">
        <v>-40.619770000000003</v>
      </c>
      <c r="J5147">
        <v>-207.80779999999999</v>
      </c>
      <c r="K5147">
        <v>1.132001</v>
      </c>
      <c r="L5147">
        <v>-62.789000000000001</v>
      </c>
      <c r="M5147">
        <v>0.97848449999999998</v>
      </c>
      <c r="N5147">
        <v>-1.556335E-2</v>
      </c>
      <c r="O5147">
        <v>0.20573240000000001</v>
      </c>
      <c r="P5147">
        <v>0.94965770000000005</v>
      </c>
      <c r="Q5147">
        <v>0.1986533</v>
      </c>
      <c r="R5147">
        <v>0.2422541</v>
      </c>
      <c r="S5147">
        <v>2.7846679999999999</v>
      </c>
      <c r="T5147">
        <v>-6.2282090000000002E-3</v>
      </c>
      <c r="U5147">
        <v>1.4938959999999999</v>
      </c>
      <c r="V5147">
        <v>-4.7444510000000002E-2</v>
      </c>
      <c r="W5147">
        <v>0.21266209999999999</v>
      </c>
      <c r="X5147">
        <v>0.97597330000000004</v>
      </c>
      <c r="Y5147">
        <v>-0.28131840000000002</v>
      </c>
      <c r="Z5147">
        <v>5.2601409999999899E-3</v>
      </c>
      <c r="AA5147">
        <v>0.95960009999999996</v>
      </c>
      <c r="AB5147">
        <v>38</v>
      </c>
      <c r="AC5147">
        <v>41.208399999999898</v>
      </c>
      <c r="AD5147">
        <v>-9.2726000000000003E-2</v>
      </c>
      <c r="AE5147">
        <v>22.169229999999899</v>
      </c>
      <c r="AF5147">
        <v>-13.2158939671542</v>
      </c>
      <c r="AG5147">
        <v>-9.2726000000000003E-2</v>
      </c>
      <c r="AH5147">
        <v>44.887970993139902</v>
      </c>
      <c r="AI5147">
        <v>90.113538253556797</v>
      </c>
      <c r="AJ5147">
        <v>106.405456939991</v>
      </c>
      <c r="AK5147">
        <v>46.793144704573002</v>
      </c>
      <c r="AL5147">
        <v>77.721596312315896</v>
      </c>
      <c r="AM5147">
        <v>92.783100609555703</v>
      </c>
      <c r="AN5147">
        <v>1.00000001630922</v>
      </c>
    </row>
    <row r="5148" spans="1:40" x14ac:dyDescent="0.25">
      <c r="A5148" t="str">
        <f>"20190303170914169"</f>
        <v>20190303170914169</v>
      </c>
      <c r="B5148" t="str">
        <f>"1551604154159216"</f>
        <v>1551604154159216</v>
      </c>
      <c r="C5148" t="s">
        <v>40</v>
      </c>
      <c r="D5148">
        <v>5.3249829999999996</v>
      </c>
      <c r="E5148">
        <v>0.40790189999999998</v>
      </c>
      <c r="F5148" t="s">
        <v>41</v>
      </c>
      <c r="G5148">
        <v>-177.54339999999999</v>
      </c>
      <c r="H5148">
        <v>1.1194869999999999</v>
      </c>
      <c r="I5148">
        <v>-46.1937</v>
      </c>
      <c r="J5148">
        <v>-207.60990000000001</v>
      </c>
      <c r="K5148">
        <v>1.132125</v>
      </c>
      <c r="L5148">
        <v>-62.743099999999998</v>
      </c>
      <c r="M5148">
        <v>0.97713919999999999</v>
      </c>
      <c r="N5148">
        <v>-1.557356E-2</v>
      </c>
      <c r="O5148">
        <v>0.21202979999999999</v>
      </c>
      <c r="P5148">
        <v>0.94793119999999997</v>
      </c>
      <c r="Q5148">
        <v>0.19906370000000001</v>
      </c>
      <c r="R5148">
        <v>0.2485965</v>
      </c>
      <c r="S5148">
        <v>2.771576</v>
      </c>
      <c r="T5148">
        <v>-1.146078E-3</v>
      </c>
      <c r="U5148">
        <v>1.5197750000000001</v>
      </c>
      <c r="V5148">
        <v>-4.7781410000000003E-2</v>
      </c>
      <c r="W5148">
        <v>0.2130591</v>
      </c>
      <c r="X5148">
        <v>0.97587029999999997</v>
      </c>
      <c r="Y5148">
        <v>-0.28394819999999998</v>
      </c>
      <c r="Z5148">
        <v>5.4830919999999898E-3</v>
      </c>
      <c r="AA5148">
        <v>0.95882400000000001</v>
      </c>
      <c r="AB5148">
        <v>38</v>
      </c>
      <c r="AC5148">
        <v>30.066500000000001</v>
      </c>
      <c r="AD5148">
        <v>-1.2637999999999899E-2</v>
      </c>
      <c r="AE5148">
        <v>16.549399999999999</v>
      </c>
      <c r="AF5148">
        <v>-9.79725941019265</v>
      </c>
      <c r="AG5148">
        <v>-1.2637999999999899E-2</v>
      </c>
      <c r="AH5148">
        <v>32.892103174187099</v>
      </c>
      <c r="AI5148">
        <v>90.021098473775794</v>
      </c>
      <c r="AJ5148">
        <v>106.586717216766</v>
      </c>
      <c r="AK5148">
        <v>34.320211288554397</v>
      </c>
      <c r="AL5148">
        <v>77.698316703183707</v>
      </c>
      <c r="AM5148">
        <v>92.803127159392005</v>
      </c>
      <c r="AN5148">
        <v>1.0000000428282401</v>
      </c>
    </row>
    <row r="5149" spans="1:40" x14ac:dyDescent="0.25">
      <c r="A5149" t="str">
        <f>"20190303170914182"</f>
        <v>20190303170914182</v>
      </c>
      <c r="B5149" t="str">
        <f>"1551604154168976"</f>
        <v>1551604154168976</v>
      </c>
      <c r="C5149" t="s">
        <v>40</v>
      </c>
      <c r="D5149">
        <v>5.3243790000000004</v>
      </c>
      <c r="E5149">
        <v>0.40756399999999998</v>
      </c>
      <c r="F5149" t="s">
        <v>53</v>
      </c>
      <c r="G5149">
        <v>-168.00620000000001</v>
      </c>
      <c r="H5149">
        <v>1.1686270000000001</v>
      </c>
      <c r="I5149">
        <v>-40.619770000000003</v>
      </c>
      <c r="J5149">
        <v>-207.3997</v>
      </c>
      <c r="K5149">
        <v>1.1322639999999999</v>
      </c>
      <c r="L5149">
        <v>-62.692079999999997</v>
      </c>
      <c r="M5149">
        <v>0.97563429999999995</v>
      </c>
      <c r="N5149">
        <v>-1.5585770000000001E-2</v>
      </c>
      <c r="O5149">
        <v>0.21884899999999999</v>
      </c>
      <c r="P5149">
        <v>0.94609500000000002</v>
      </c>
      <c r="Q5149">
        <v>0.19911570000000001</v>
      </c>
      <c r="R5149">
        <v>0.25545459999999998</v>
      </c>
      <c r="S5149">
        <v>2.7599330000000002</v>
      </c>
      <c r="T5149">
        <v>2.542257E-3</v>
      </c>
      <c r="U5149">
        <v>1.5417479999999999</v>
      </c>
      <c r="V5149">
        <v>-4.8109029999999997E-2</v>
      </c>
      <c r="W5149">
        <v>0.2130996</v>
      </c>
      <c r="X5149">
        <v>0.97584530000000003</v>
      </c>
      <c r="Y5149">
        <v>-0.28479919999999997</v>
      </c>
      <c r="Z5149">
        <v>5.6845749999999999E-3</v>
      </c>
      <c r="AA5149">
        <v>0.95857040000000004</v>
      </c>
      <c r="AB5149">
        <v>38</v>
      </c>
      <c r="AC5149">
        <v>39.393499999999896</v>
      </c>
      <c r="AD5149">
        <v>3.6363000000000097E-2</v>
      </c>
      <c r="AE5149">
        <v>22.072310000000002</v>
      </c>
      <c r="AF5149">
        <v>-12.9148343967908</v>
      </c>
      <c r="AG5149">
        <v>3.6363000000000097E-2</v>
      </c>
      <c r="AH5149">
        <v>43.269378536750402</v>
      </c>
      <c r="AI5149">
        <v>89.953860783368</v>
      </c>
      <c r="AJ5149">
        <v>106.619057170914</v>
      </c>
      <c r="AK5149">
        <v>45.155657327968299</v>
      </c>
      <c r="AL5149">
        <v>77.695940945314902</v>
      </c>
      <c r="AM5149">
        <v>92.822388414992005</v>
      </c>
      <c r="AN5149">
        <v>0.99999998390989497</v>
      </c>
    </row>
    <row r="5150" spans="1:40" x14ac:dyDescent="0.25">
      <c r="A5150" t="str">
        <f>"20190303170914196"</f>
        <v>20190303170914196</v>
      </c>
      <c r="B5150" t="str">
        <f>"1551604154188496"</f>
        <v>1551604154188496</v>
      </c>
      <c r="C5150" t="s">
        <v>40</v>
      </c>
      <c r="D5150">
        <v>5.3451870000000001</v>
      </c>
      <c r="E5150">
        <v>0.40739589999999998</v>
      </c>
      <c r="F5150" t="s">
        <v>53</v>
      </c>
      <c r="G5150">
        <v>-168.45060000000001</v>
      </c>
      <c r="H5150">
        <v>1.2032670000000001</v>
      </c>
      <c r="I5150">
        <v>-40.519739999999999</v>
      </c>
      <c r="J5150">
        <v>-207.17529999999999</v>
      </c>
      <c r="K5150">
        <v>1.132395</v>
      </c>
      <c r="L5150">
        <v>-62.636139999999997</v>
      </c>
      <c r="M5150">
        <v>0.97395589999999999</v>
      </c>
      <c r="N5150">
        <v>-1.5598890000000001E-2</v>
      </c>
      <c r="O5150">
        <v>0.2262006</v>
      </c>
      <c r="P5150">
        <v>0.94398499999999996</v>
      </c>
      <c r="Q5150">
        <v>0.19811500000000001</v>
      </c>
      <c r="R5150">
        <v>0.26389960000000001</v>
      </c>
      <c r="S5150">
        <v>2.7475589999999999</v>
      </c>
      <c r="T5150">
        <v>5.0072670000000001E-3</v>
      </c>
      <c r="U5150">
        <v>1.564087</v>
      </c>
      <c r="V5150">
        <v>-4.9474030000000002E-2</v>
      </c>
      <c r="W5150">
        <v>0.21206050000000001</v>
      </c>
      <c r="X5150">
        <v>0.97600339999999997</v>
      </c>
      <c r="Y5150">
        <v>-0.2853175</v>
      </c>
      <c r="Z5150">
        <v>5.8759719999999897E-3</v>
      </c>
      <c r="AA5150">
        <v>0.95841500000000002</v>
      </c>
      <c r="AB5150">
        <v>38</v>
      </c>
      <c r="AC5150">
        <v>38.724699999999899</v>
      </c>
      <c r="AD5150">
        <v>7.0872000000000004E-2</v>
      </c>
      <c r="AE5150">
        <v>22.116399999999999</v>
      </c>
      <c r="AF5150">
        <v>-12.7823700007818</v>
      </c>
      <c r="AG5150">
        <v>7.0872000000000004E-2</v>
      </c>
      <c r="AH5150">
        <v>42.723980509432799</v>
      </c>
      <c r="AI5150">
        <v>89.908943843102307</v>
      </c>
      <c r="AJ5150">
        <v>106.656389151501</v>
      </c>
      <c r="AK5150">
        <v>44.595207323743502</v>
      </c>
      <c r="AL5150">
        <v>77.756869627088193</v>
      </c>
      <c r="AM5150">
        <v>92.901863817242301</v>
      </c>
      <c r="AN5150">
        <v>0.99999998605812501</v>
      </c>
    </row>
    <row r="5151" spans="1:40" x14ac:dyDescent="0.25">
      <c r="A5151" t="str">
        <f>"20190303170914207"</f>
        <v>20190303170914207</v>
      </c>
      <c r="B5151" t="str">
        <f>"1551604154199233"</f>
        <v>1551604154199233</v>
      </c>
      <c r="C5151" t="s">
        <v>40</v>
      </c>
      <c r="D5151">
        <v>5.3250650000000004</v>
      </c>
      <c r="E5151">
        <v>0.40720970000000001</v>
      </c>
      <c r="F5151" t="s">
        <v>53</v>
      </c>
      <c r="G5151">
        <v>-168.45060000000001</v>
      </c>
      <c r="H5151">
        <v>1.1815789999999999</v>
      </c>
      <c r="I5151">
        <v>-40.115139999999997</v>
      </c>
      <c r="J5151">
        <v>-207.00489999999999</v>
      </c>
      <c r="K5151">
        <v>1.1324970000000001</v>
      </c>
      <c r="L5151">
        <v>-62.592739999999999</v>
      </c>
      <c r="M5151">
        <v>0.97263129999999998</v>
      </c>
      <c r="N5151">
        <v>-1.5608739999999999E-2</v>
      </c>
      <c r="O5151">
        <v>0.2318289</v>
      </c>
      <c r="P5151">
        <v>0.94233599999999995</v>
      </c>
      <c r="Q5151">
        <v>0.19717799999999999</v>
      </c>
      <c r="R5151">
        <v>0.27041330000000002</v>
      </c>
      <c r="S5151">
        <v>2.7329409999999998</v>
      </c>
      <c r="T5151">
        <v>3.4695860000000002E-3</v>
      </c>
      <c r="U5151">
        <v>1.589386</v>
      </c>
      <c r="V5151">
        <v>-5.0557570000000003E-2</v>
      </c>
      <c r="W5151">
        <v>0.211093</v>
      </c>
      <c r="X5151">
        <v>0.97615759999999996</v>
      </c>
      <c r="Y5151">
        <v>-0.28862910000000003</v>
      </c>
      <c r="Z5151">
        <v>5.9547749999999998E-3</v>
      </c>
      <c r="AA5151">
        <v>0.95742249999999995</v>
      </c>
      <c r="AB5151">
        <v>38</v>
      </c>
      <c r="AC5151">
        <v>38.554299999999898</v>
      </c>
      <c r="AD5151">
        <v>4.9082000000000202E-2</v>
      </c>
      <c r="AE5151">
        <v>22.477599999999899</v>
      </c>
      <c r="AF5151">
        <v>-12.925975942418701</v>
      </c>
      <c r="AG5151">
        <v>4.9082000000000202E-2</v>
      </c>
      <c r="AH5151">
        <v>42.715230048652401</v>
      </c>
      <c r="AI5151">
        <v>89.936986177006105</v>
      </c>
      <c r="AJ5151">
        <v>106.836241883434</v>
      </c>
      <c r="AK5151">
        <v>44.628176539222501</v>
      </c>
      <c r="AL5151">
        <v>77.813587371497306</v>
      </c>
      <c r="AM5151">
        <v>92.964838283362596</v>
      </c>
      <c r="AN5151">
        <v>0.99999999128553196</v>
      </c>
    </row>
    <row r="5152" spans="1:40" x14ac:dyDescent="0.25">
      <c r="A5152" t="str">
        <f>"20190303170914217"</f>
        <v>20190303170914217</v>
      </c>
      <c r="B5152" t="str">
        <f>"1551604154208992"</f>
        <v>1551604154208992</v>
      </c>
      <c r="C5152" t="s">
        <v>40</v>
      </c>
      <c r="D5152">
        <v>5.3136320000000001</v>
      </c>
      <c r="E5152">
        <v>0.40718860000000001</v>
      </c>
      <c r="F5152" t="s">
        <v>53</v>
      </c>
      <c r="G5152">
        <v>-168.45060000000001</v>
      </c>
      <c r="H5152">
        <v>1.151149</v>
      </c>
      <c r="I5152">
        <v>-39.792580000000001</v>
      </c>
      <c r="J5152">
        <v>-206.83080000000001</v>
      </c>
      <c r="K5152">
        <v>1.132595</v>
      </c>
      <c r="L5152">
        <v>-62.546689999999998</v>
      </c>
      <c r="M5152">
        <v>0.97122160000000002</v>
      </c>
      <c r="N5152">
        <v>-1.5620510000000001E-2</v>
      </c>
      <c r="O5152">
        <v>0.23766480000000001</v>
      </c>
      <c r="P5152">
        <v>0.94044830000000001</v>
      </c>
      <c r="Q5152">
        <v>0.1960605</v>
      </c>
      <c r="R5152">
        <v>0.27770009999999901</v>
      </c>
      <c r="S5152">
        <v>2.7214510000000001</v>
      </c>
      <c r="T5152">
        <v>1.315117E-3</v>
      </c>
      <c r="U5152">
        <v>1.6094059999999999</v>
      </c>
      <c r="V5152">
        <v>-5.2226090000000003E-2</v>
      </c>
      <c r="W5152">
        <v>0.20992949999999999</v>
      </c>
      <c r="X5152">
        <v>0.97632070000000004</v>
      </c>
      <c r="Y5152">
        <v>-0.28986620000000002</v>
      </c>
      <c r="Z5152">
        <v>5.9991599999999999E-3</v>
      </c>
      <c r="AA5152">
        <v>0.95704840000000002</v>
      </c>
      <c r="AB5152">
        <v>38</v>
      </c>
      <c r="AC5152">
        <v>38.380200000000002</v>
      </c>
      <c r="AD5152">
        <v>1.85539999999999E-2</v>
      </c>
      <c r="AE5152">
        <v>22.754110000000001</v>
      </c>
      <c r="AF5152">
        <v>-12.979242185873</v>
      </c>
      <c r="AG5152">
        <v>1.85539999999999E-2</v>
      </c>
      <c r="AH5152">
        <v>42.688732210161703</v>
      </c>
      <c r="AI5152">
        <v>89.976174194690898</v>
      </c>
      <c r="AJ5152">
        <v>106.911566365696</v>
      </c>
      <c r="AK5152">
        <v>44.618257806433498</v>
      </c>
      <c r="AL5152">
        <v>77.881779624478497</v>
      </c>
      <c r="AM5152">
        <v>93.061991068883302</v>
      </c>
      <c r="AN5152">
        <v>1.00000003434771</v>
      </c>
    </row>
    <row r="5153" spans="1:40" x14ac:dyDescent="0.25">
      <c r="A5153" t="str">
        <f>"20190303170914229"</f>
        <v>20190303170914229</v>
      </c>
      <c r="B5153" t="str">
        <f>"1551604154218752"</f>
        <v>1551604154218752</v>
      </c>
      <c r="C5153" t="s">
        <v>40</v>
      </c>
      <c r="D5153">
        <v>5.3250699999999904</v>
      </c>
      <c r="E5153">
        <v>0.4073349</v>
      </c>
      <c r="F5153" t="s">
        <v>53</v>
      </c>
      <c r="G5153">
        <v>-168.45060000000001</v>
      </c>
      <c r="H5153">
        <v>1.1079060000000001</v>
      </c>
      <c r="I5153">
        <v>-39.450420000000001</v>
      </c>
      <c r="J5153">
        <v>-206.64590000000001</v>
      </c>
      <c r="K5153">
        <v>1.1327</v>
      </c>
      <c r="L5153">
        <v>-62.497280000000003</v>
      </c>
      <c r="M5153">
        <v>0.96967829999999999</v>
      </c>
      <c r="N5153">
        <v>-1.5632190000000001E-2</v>
      </c>
      <c r="O5153">
        <v>0.24388470000000001</v>
      </c>
      <c r="P5153">
        <v>0.93835789999999997</v>
      </c>
      <c r="Q5153">
        <v>0.1951021</v>
      </c>
      <c r="R5153">
        <v>0.28534130000000002</v>
      </c>
      <c r="S5153">
        <v>2.7089690000000002</v>
      </c>
      <c r="T5153">
        <v>-1.744032E-3</v>
      </c>
      <c r="U5153">
        <v>1.630188</v>
      </c>
      <c r="V5153">
        <v>-5.3897100000000003E-2</v>
      </c>
      <c r="W5153">
        <v>0.20892279999999999</v>
      </c>
      <c r="X5153">
        <v>0.97644580000000003</v>
      </c>
      <c r="Y5153">
        <v>-0.29106530000000003</v>
      </c>
      <c r="Z5153">
        <v>6.013043E-3</v>
      </c>
      <c r="AA5153">
        <v>0.95668430000000004</v>
      </c>
      <c r="AB5153">
        <v>38</v>
      </c>
      <c r="AC5153">
        <v>38.195300000000003</v>
      </c>
      <c r="AD5153">
        <v>-2.4793999999999899E-2</v>
      </c>
      <c r="AE5153">
        <v>23.046859999999999</v>
      </c>
      <c r="AF5153">
        <v>-13.034378622429101</v>
      </c>
      <c r="AG5153">
        <v>-2.4793999999999899E-2</v>
      </c>
      <c r="AH5153">
        <v>42.663127433328803</v>
      </c>
      <c r="AI5153">
        <v>90.031844802361107</v>
      </c>
      <c r="AJ5153">
        <v>106.988886261872</v>
      </c>
      <c r="AK5153">
        <v>44.609842896021597</v>
      </c>
      <c r="AL5153">
        <v>77.940767159463803</v>
      </c>
      <c r="AM5153">
        <v>93.1593621442114</v>
      </c>
      <c r="AN5153">
        <v>1.0000000170429399</v>
      </c>
    </row>
    <row r="5154" spans="1:40" x14ac:dyDescent="0.25">
      <c r="A5154" t="str">
        <f>"20190303170914240"</f>
        <v>20190303170914240</v>
      </c>
      <c r="B5154" t="str">
        <f>"1551604154228512"</f>
        <v>1551604154228512</v>
      </c>
      <c r="C5154" t="s">
        <v>40</v>
      </c>
      <c r="D5154">
        <v>5.2998430000000001</v>
      </c>
      <c r="E5154">
        <v>0.40752919999999998</v>
      </c>
      <c r="F5154" t="s">
        <v>53</v>
      </c>
      <c r="G5154">
        <v>-168.45060000000001</v>
      </c>
      <c r="H5154">
        <v>1.0555840000000001</v>
      </c>
      <c r="I5154">
        <v>-39.11401</v>
      </c>
      <c r="J5154">
        <v>-206.4742</v>
      </c>
      <c r="K5154">
        <v>1.1327910000000001</v>
      </c>
      <c r="L5154">
        <v>-62.449460000000002</v>
      </c>
      <c r="M5154">
        <v>0.96818329999999997</v>
      </c>
      <c r="N5154">
        <v>-1.5644680000000001E-2</v>
      </c>
      <c r="O5154">
        <v>0.24975259999999999</v>
      </c>
      <c r="P5154">
        <v>0.93624660000000004</v>
      </c>
      <c r="Q5154">
        <v>0.19467719999999999</v>
      </c>
      <c r="R5154">
        <v>0.29247800000000002</v>
      </c>
      <c r="S5154">
        <v>2.6962739999999998</v>
      </c>
      <c r="T5154">
        <v>-5.4452420000000003E-3</v>
      </c>
      <c r="U5154">
        <v>1.650665</v>
      </c>
      <c r="V5154">
        <v>-5.5440139999999999E-2</v>
      </c>
      <c r="W5154">
        <v>0.20845369999999999</v>
      </c>
      <c r="X5154">
        <v>0.97645959999999998</v>
      </c>
      <c r="Y5154">
        <v>-0.29255510000000001</v>
      </c>
      <c r="Z5154">
        <v>5.9925079999999997E-3</v>
      </c>
      <c r="AA5154">
        <v>0.95622989999999997</v>
      </c>
      <c r="AB5154">
        <v>38</v>
      </c>
      <c r="AC5154">
        <v>38.023599999999902</v>
      </c>
      <c r="AD5154">
        <v>-7.7206999999999804E-2</v>
      </c>
      <c r="AE5154">
        <v>23.335449999999899</v>
      </c>
      <c r="AF5154">
        <v>-13.0980636881606</v>
      </c>
      <c r="AG5154">
        <v>-7.7206999999999804E-2</v>
      </c>
      <c r="AH5154">
        <v>42.646995081661302</v>
      </c>
      <c r="AI5154">
        <v>90.099155504142004</v>
      </c>
      <c r="AJ5154">
        <v>107.073160389932</v>
      </c>
      <c r="AK5154">
        <v>44.613130609666896</v>
      </c>
      <c r="AL5154">
        <v>77.968248923780493</v>
      </c>
      <c r="AM5154">
        <v>93.249575704357696</v>
      </c>
      <c r="AN5154">
        <v>0.99999995229953298</v>
      </c>
    </row>
    <row r="5155" spans="1:40" x14ac:dyDescent="0.25">
      <c r="A5155" t="str">
        <f>"20190303170914252"</f>
        <v>20190303170914252</v>
      </c>
      <c r="B5155" t="str">
        <f>"1551604154239249"</f>
        <v>1551604154239249</v>
      </c>
      <c r="C5155" t="s">
        <v>40</v>
      </c>
      <c r="D5155">
        <v>5.3318830000000004</v>
      </c>
      <c r="E5155">
        <v>0.4077384</v>
      </c>
      <c r="F5155" t="s">
        <v>53</v>
      </c>
      <c r="G5155">
        <v>-168.45060000000001</v>
      </c>
      <c r="H5155">
        <v>1.0371319999999999</v>
      </c>
      <c r="I5155">
        <v>-38.802909999999997</v>
      </c>
      <c r="J5155">
        <v>-206.28020000000001</v>
      </c>
      <c r="K5155">
        <v>1.1328959999999999</v>
      </c>
      <c r="L5155">
        <v>-62.394649999999999</v>
      </c>
      <c r="M5155">
        <v>0.96644140000000001</v>
      </c>
      <c r="N5155">
        <v>-1.5658020000000002E-2</v>
      </c>
      <c r="O5155">
        <v>0.25640960000000002</v>
      </c>
      <c r="P5155">
        <v>0.93361380000000005</v>
      </c>
      <c r="Q5155">
        <v>0.19439039999999999</v>
      </c>
      <c r="R5155">
        <v>0.30096149999999999</v>
      </c>
      <c r="S5155">
        <v>2.6842039999999998</v>
      </c>
      <c r="T5155">
        <v>-6.7542790000000002E-3</v>
      </c>
      <c r="U5155">
        <v>1.669281</v>
      </c>
      <c r="V5155">
        <v>-5.7619770000000001E-2</v>
      </c>
      <c r="W5155">
        <v>0.2081016</v>
      </c>
      <c r="X5155">
        <v>0.97640850000000001</v>
      </c>
      <c r="Y5155">
        <v>-0.29268159999999999</v>
      </c>
      <c r="Z5155">
        <v>6.0408429999999997E-3</v>
      </c>
      <c r="AA5155">
        <v>0.95619089999999995</v>
      </c>
      <c r="AB5155">
        <v>38</v>
      </c>
      <c r="AC5155">
        <v>37.829599999999999</v>
      </c>
      <c r="AD5155">
        <v>-9.5763999999999905E-2</v>
      </c>
      <c r="AE5155">
        <v>23.591739999999898</v>
      </c>
      <c r="AF5155">
        <v>-13.1017071453741</v>
      </c>
      <c r="AG5155">
        <v>-9.5763999999999905E-2</v>
      </c>
      <c r="AH5155">
        <v>42.614267105090498</v>
      </c>
      <c r="AI5155">
        <v>90.123071194922403</v>
      </c>
      <c r="AJ5155">
        <v>107.089985076167</v>
      </c>
      <c r="AK5155">
        <v>44.582952591442798</v>
      </c>
      <c r="AL5155">
        <v>77.988874911888203</v>
      </c>
      <c r="AM5155">
        <v>93.377219046853597</v>
      </c>
      <c r="AN5155">
        <v>0.99999993634482898</v>
      </c>
    </row>
    <row r="5156" spans="1:40" x14ac:dyDescent="0.25">
      <c r="A5156" t="str">
        <f>"20190303170914263"</f>
        <v>20190303170914263</v>
      </c>
      <c r="B5156" t="str">
        <f>"1551604154249008"</f>
        <v>1551604154249008</v>
      </c>
      <c r="C5156" t="s">
        <v>40</v>
      </c>
      <c r="D5156">
        <v>5.3211089999999999</v>
      </c>
      <c r="E5156">
        <v>0.40802260000000001</v>
      </c>
      <c r="F5156" t="s">
        <v>53</v>
      </c>
      <c r="G5156">
        <v>-168.45060000000001</v>
      </c>
      <c r="H5156">
        <v>1.0087440000000001</v>
      </c>
      <c r="I5156">
        <v>-38.427160000000001</v>
      </c>
      <c r="J5156">
        <v>-206.10470000000001</v>
      </c>
      <c r="K5156">
        <v>1.1329899999999999</v>
      </c>
      <c r="L5156">
        <v>-62.3435699999999</v>
      </c>
      <c r="M5156">
        <v>0.96480690000000002</v>
      </c>
      <c r="N5156">
        <v>-1.5670670000000001E-2</v>
      </c>
      <c r="O5156">
        <v>0.26249220000000001</v>
      </c>
      <c r="P5156">
        <v>0.9311758</v>
      </c>
      <c r="Q5156">
        <v>0.19405059999999999</v>
      </c>
      <c r="R5156">
        <v>0.30863600000000002</v>
      </c>
      <c r="S5156">
        <v>2.669861</v>
      </c>
      <c r="T5156">
        <v>-8.7635519999999904E-3</v>
      </c>
      <c r="U5156">
        <v>1.6915279999999999</v>
      </c>
      <c r="V5156">
        <v>-5.9532759999999997E-2</v>
      </c>
      <c r="W5156">
        <v>0.20770420000000001</v>
      </c>
      <c r="X5156">
        <v>0.97637839999999998</v>
      </c>
      <c r="Y5156">
        <v>-0.29466130000000001</v>
      </c>
      <c r="Z5156">
        <v>6.067635E-3</v>
      </c>
      <c r="AA5156">
        <v>0.9555825</v>
      </c>
      <c r="AB5156">
        <v>38</v>
      </c>
      <c r="AC5156">
        <v>37.6541</v>
      </c>
      <c r="AD5156">
        <v>-0.124245999999999</v>
      </c>
      <c r="AE5156">
        <v>23.9164099999999</v>
      </c>
      <c r="AF5156">
        <v>-13.1923269055627</v>
      </c>
      <c r="AG5156">
        <v>-0.124245999999999</v>
      </c>
      <c r="AH5156">
        <v>42.611706738138402</v>
      </c>
      <c r="AI5156">
        <v>90.159587824020804</v>
      </c>
      <c r="AJ5156">
        <v>107.20220891403601</v>
      </c>
      <c r="AK5156">
        <v>44.607291751336597</v>
      </c>
      <c r="AL5156">
        <v>78.012153449229601</v>
      </c>
      <c r="AM5156">
        <v>93.489178259525005</v>
      </c>
      <c r="AN5156">
        <v>0.999999982098708</v>
      </c>
    </row>
    <row r="5157" spans="1:40" x14ac:dyDescent="0.25">
      <c r="A5157" t="str">
        <f>"20190303170914276"</f>
        <v>20190303170914276</v>
      </c>
      <c r="B5157" t="str">
        <f>"1551604154268528"</f>
        <v>1551604154268528</v>
      </c>
      <c r="C5157" t="s">
        <v>40</v>
      </c>
      <c r="D5157">
        <v>5.3316699999999999</v>
      </c>
      <c r="E5157">
        <v>0.40865970000000001</v>
      </c>
      <c r="F5157" t="s">
        <v>53</v>
      </c>
      <c r="G5157">
        <v>-168.45060000000001</v>
      </c>
      <c r="H5157">
        <v>0.97835640000000001</v>
      </c>
      <c r="I5157">
        <v>-38.099119999999999</v>
      </c>
      <c r="J5157">
        <v>-205.91499999999999</v>
      </c>
      <c r="K5157">
        <v>1.133086</v>
      </c>
      <c r="L5157">
        <v>-62.286990000000003</v>
      </c>
      <c r="M5157">
        <v>0.96297900000000003</v>
      </c>
      <c r="N5157">
        <v>-1.5684239999999999E-2</v>
      </c>
      <c r="O5157">
        <v>0.26911970000000002</v>
      </c>
      <c r="P5157">
        <v>0.92839769999999999</v>
      </c>
      <c r="Q5157">
        <v>0.19406770000000001</v>
      </c>
      <c r="R5157">
        <v>0.3168841</v>
      </c>
      <c r="S5157">
        <v>2.6569820000000002</v>
      </c>
      <c r="T5157">
        <v>-1.0912659999999999E-2</v>
      </c>
      <c r="U5157">
        <v>1.7107540000000001</v>
      </c>
      <c r="V5157">
        <v>-6.153985E-2</v>
      </c>
      <c r="W5157">
        <v>0.20765990000000001</v>
      </c>
      <c r="X5157">
        <v>0.9762634</v>
      </c>
      <c r="Y5157">
        <v>-0.29508220000000002</v>
      </c>
      <c r="Z5157">
        <v>6.0734530000000004E-3</v>
      </c>
      <c r="AA5157">
        <v>0.95545259999999999</v>
      </c>
      <c r="AB5157">
        <v>38</v>
      </c>
      <c r="AC5157">
        <v>37.464399999999898</v>
      </c>
      <c r="AD5157">
        <v>-0.15472959999999999</v>
      </c>
      <c r="AE5157">
        <v>24.18787</v>
      </c>
      <c r="AF5157">
        <v>-13.211469068429899</v>
      </c>
      <c r="AG5157">
        <v>-0.15472959999999999</v>
      </c>
      <c r="AH5157">
        <v>42.591589849608297</v>
      </c>
      <c r="AI5157">
        <v>90.198802597942205</v>
      </c>
      <c r="AJ5157">
        <v>107.23334754959301</v>
      </c>
      <c r="AK5157">
        <v>44.593837938805599</v>
      </c>
      <c r="AL5157">
        <v>78.014748527008507</v>
      </c>
      <c r="AM5157">
        <v>93.606930841664294</v>
      </c>
      <c r="AN5157">
        <v>1.0000000066927901</v>
      </c>
    </row>
    <row r="5158" spans="1:40" x14ac:dyDescent="0.25">
      <c r="A5158" t="str">
        <f>"20190303170914286"</f>
        <v>20190303170914286</v>
      </c>
      <c r="B5158" t="str">
        <f>"1551604154279265"</f>
        <v>1551604154279265</v>
      </c>
      <c r="C5158" t="s">
        <v>40</v>
      </c>
      <c r="D5158">
        <v>5.3397829999999997</v>
      </c>
      <c r="E5158">
        <v>0.4090452</v>
      </c>
      <c r="F5158" t="s">
        <v>53</v>
      </c>
      <c r="G5158">
        <v>-168.45060000000001</v>
      </c>
      <c r="H5158">
        <v>0.95886899999999997</v>
      </c>
      <c r="I5158">
        <v>-37.786949999999997</v>
      </c>
      <c r="J5158">
        <v>-205.739</v>
      </c>
      <c r="K5158">
        <v>1.1331739999999999</v>
      </c>
      <c r="L5158">
        <v>-62.233519999999999</v>
      </c>
      <c r="M5158">
        <v>0.961229</v>
      </c>
      <c r="N5158">
        <v>-1.5696499999999999E-2</v>
      </c>
      <c r="O5158">
        <v>0.27530450000000001</v>
      </c>
      <c r="P5158">
        <v>0.9256508</v>
      </c>
      <c r="Q5158">
        <v>0.19407340000000001</v>
      </c>
      <c r="R5158">
        <v>0.32481680000000002</v>
      </c>
      <c r="S5158">
        <v>2.6438290000000002</v>
      </c>
      <c r="T5158">
        <v>-1.229572E-2</v>
      </c>
      <c r="U5158">
        <v>1.7289429999999999</v>
      </c>
      <c r="V5158">
        <v>-6.3671220000000001E-2</v>
      </c>
      <c r="W5158">
        <v>0.20759920000000001</v>
      </c>
      <c r="X5158">
        <v>0.9761396</v>
      </c>
      <c r="Y5158">
        <v>-0.2957166</v>
      </c>
      <c r="Z5158">
        <v>6.0984319999999896E-3</v>
      </c>
      <c r="AA5158">
        <v>0.95525629999999995</v>
      </c>
      <c r="AB5158">
        <v>38</v>
      </c>
      <c r="AC5158">
        <v>37.288400000000003</v>
      </c>
      <c r="AD5158">
        <v>-0.17430499999999899</v>
      </c>
      <c r="AE5158">
        <v>24.446570000000001</v>
      </c>
      <c r="AF5158">
        <v>-13.234515033049201</v>
      </c>
      <c r="AG5158">
        <v>-0.17430499999999899</v>
      </c>
      <c r="AH5158">
        <v>42.577534077160301</v>
      </c>
      <c r="AI5158">
        <v>90.2239866872644</v>
      </c>
      <c r="AJ5158">
        <v>107.266984033254</v>
      </c>
      <c r="AK5158">
        <v>44.587320826494803</v>
      </c>
      <c r="AL5158">
        <v>78.018303601298896</v>
      </c>
      <c r="AM5158">
        <v>93.731978070567706</v>
      </c>
      <c r="AN5158">
        <v>0.99999998539254398</v>
      </c>
    </row>
    <row r="5159" spans="1:40" x14ac:dyDescent="0.25">
      <c r="A5159" t="str">
        <f>"20190303170914297"</f>
        <v>20190303170914297</v>
      </c>
      <c r="B5159" t="str">
        <f>"1551604154289024"</f>
        <v>1551604154289024</v>
      </c>
      <c r="C5159" t="s">
        <v>40</v>
      </c>
      <c r="D5159">
        <v>5.3351699999999997</v>
      </c>
      <c r="E5159">
        <v>0.40950209999999998</v>
      </c>
      <c r="F5159" t="s">
        <v>52</v>
      </c>
      <c r="G5159">
        <v>-146.1865</v>
      </c>
      <c r="H5159">
        <v>0.835453</v>
      </c>
      <c r="I5159">
        <v>-22.650010000000002</v>
      </c>
      <c r="J5159">
        <v>-205.57419999999999</v>
      </c>
      <c r="K5159">
        <v>1.1332530000000001</v>
      </c>
      <c r="L5159">
        <v>-62.181789999999999</v>
      </c>
      <c r="M5159">
        <v>0.95953330000000003</v>
      </c>
      <c r="N5159">
        <v>-1.5708409999999999E-2</v>
      </c>
      <c r="O5159">
        <v>0.28115699999999999</v>
      </c>
      <c r="P5159">
        <v>0.92296940000000005</v>
      </c>
      <c r="Q5159">
        <v>0.19420499999999999</v>
      </c>
      <c r="R5159">
        <v>0.332283</v>
      </c>
      <c r="S5159">
        <v>2.6302189999999999</v>
      </c>
      <c r="T5159">
        <v>-1.314914E-2</v>
      </c>
      <c r="U5159">
        <v>1.7482599999999999</v>
      </c>
      <c r="V5159">
        <v>-6.5666459999999996E-2</v>
      </c>
      <c r="W5159">
        <v>0.20766780000000001</v>
      </c>
      <c r="X5159">
        <v>0.97599279999999999</v>
      </c>
      <c r="Y5159">
        <v>-0.29703669999999999</v>
      </c>
      <c r="Z5159">
        <v>6.1441890000000004E-3</v>
      </c>
      <c r="AA5159">
        <v>0.95484630000000004</v>
      </c>
      <c r="AB5159">
        <v>38</v>
      </c>
      <c r="AC5159">
        <v>59.387700000000002</v>
      </c>
      <c r="AD5159">
        <v>-0.29779999999999901</v>
      </c>
      <c r="AE5159">
        <v>39.531779999999998</v>
      </c>
      <c r="AF5159">
        <v>-21.237040306205198</v>
      </c>
      <c r="AG5159">
        <v>-0.29779999999999901</v>
      </c>
      <c r="AH5159">
        <v>68.106323460063294</v>
      </c>
      <c r="AI5159">
        <v>90.239170692915096</v>
      </c>
      <c r="AJ5159">
        <v>107.31861993964</v>
      </c>
      <c r="AK5159">
        <v>71.341235348528699</v>
      </c>
      <c r="AL5159">
        <v>78.014285385824607</v>
      </c>
      <c r="AM5159">
        <v>93.8491565936976</v>
      </c>
      <c r="AN5159">
        <v>0.999999972388805</v>
      </c>
    </row>
    <row r="5160" spans="1:40" x14ac:dyDescent="0.25">
      <c r="A5160" t="str">
        <f>"20190303170914309"</f>
        <v>20190303170914309</v>
      </c>
      <c r="B5160" t="str">
        <f>"1551604154298784"</f>
        <v>1551604154298784</v>
      </c>
      <c r="C5160" t="s">
        <v>40</v>
      </c>
      <c r="D5160">
        <v>5.3280269999999996</v>
      </c>
      <c r="E5160">
        <v>0.40994530000000001</v>
      </c>
      <c r="F5160" t="s">
        <v>52</v>
      </c>
      <c r="G5160">
        <v>-146.96559999999999</v>
      </c>
      <c r="H5160">
        <v>0.81966969999999995</v>
      </c>
      <c r="I5160">
        <v>-22.650010000000002</v>
      </c>
      <c r="J5160">
        <v>-205.38730000000001</v>
      </c>
      <c r="K5160">
        <v>1.1333390000000001</v>
      </c>
      <c r="L5160">
        <v>-62.122590000000002</v>
      </c>
      <c r="M5160">
        <v>0.95755990000000002</v>
      </c>
      <c r="N5160">
        <v>-1.5720990000000001E-2</v>
      </c>
      <c r="O5160">
        <v>0.287805599999999</v>
      </c>
      <c r="P5160">
        <v>0.92007669999999997</v>
      </c>
      <c r="Q5160">
        <v>0.19427249999999999</v>
      </c>
      <c r="R5160">
        <v>0.3401729</v>
      </c>
      <c r="S5160">
        <v>2.6177060000000001</v>
      </c>
      <c r="T5160">
        <v>-1.40059E-2</v>
      </c>
      <c r="U5160">
        <v>1.7656559999999999</v>
      </c>
      <c r="V5160">
        <v>-6.7310850000000005E-2</v>
      </c>
      <c r="W5160">
        <v>0.20768229999999999</v>
      </c>
      <c r="X5160">
        <v>0.97587769999999996</v>
      </c>
      <c r="Y5160">
        <v>-0.29688750000000003</v>
      </c>
      <c r="Z5160">
        <v>6.1801709999999999E-3</v>
      </c>
      <c r="AA5160">
        <v>0.95489250000000003</v>
      </c>
      <c r="AB5160">
        <v>37</v>
      </c>
      <c r="AC5160">
        <v>58.421700000000001</v>
      </c>
      <c r="AD5160">
        <v>-0.31366929999999899</v>
      </c>
      <c r="AE5160">
        <v>39.472580000000001</v>
      </c>
      <c r="AF5160">
        <v>-20.985443643263899</v>
      </c>
      <c r="AG5160">
        <v>-0.31366929999999899</v>
      </c>
      <c r="AH5160">
        <v>67.309687169262304</v>
      </c>
      <c r="AI5160">
        <v>90.254900478244593</v>
      </c>
      <c r="AJ5160">
        <v>107.316146633518</v>
      </c>
      <c r="AK5160">
        <v>70.505894931972307</v>
      </c>
      <c r="AL5160">
        <v>78.013436255746299</v>
      </c>
      <c r="AM5160">
        <v>93.945708609612893</v>
      </c>
      <c r="AN5160">
        <v>0.99999998680915103</v>
      </c>
    </row>
    <row r="5161" spans="1:40" x14ac:dyDescent="0.25">
      <c r="A5161" t="str">
        <f>"20190303170914320"</f>
        <v>20190303170914320</v>
      </c>
      <c r="B5161" t="str">
        <f>"1551604154308544"</f>
        <v>1551604154308544</v>
      </c>
      <c r="C5161" t="s">
        <v>40</v>
      </c>
      <c r="D5161">
        <v>5.3106159999999996</v>
      </c>
      <c r="E5161">
        <v>0.40994530000000001</v>
      </c>
      <c r="F5161" t="s">
        <v>52</v>
      </c>
      <c r="G5161">
        <v>-147.78190000000001</v>
      </c>
      <c r="H5161">
        <v>0.80404849999999894</v>
      </c>
      <c r="I5161">
        <v>-22.650010000000002</v>
      </c>
      <c r="J5161">
        <v>-205.2131</v>
      </c>
      <c r="K5161">
        <v>1.1334169999999999</v>
      </c>
      <c r="L5161">
        <v>-62.065159999999999</v>
      </c>
      <c r="M5161">
        <v>0.95564899999999997</v>
      </c>
      <c r="N5161">
        <v>-1.573368E-2</v>
      </c>
      <c r="O5161">
        <v>0.29408800000000002</v>
      </c>
      <c r="P5161">
        <v>0.91717459999999995</v>
      </c>
      <c r="Q5161">
        <v>0.1943453</v>
      </c>
      <c r="R5161">
        <v>0.34788069999999999</v>
      </c>
      <c r="S5161">
        <v>2.6040190000000001</v>
      </c>
      <c r="T5161">
        <v>-1.4885310000000001E-2</v>
      </c>
      <c r="U5161">
        <v>1.784332</v>
      </c>
      <c r="V5161">
        <v>-6.9143460000000004E-2</v>
      </c>
      <c r="W5161">
        <v>0.2076972</v>
      </c>
      <c r="X5161">
        <v>0.97574640000000001</v>
      </c>
      <c r="Y5161">
        <v>-0.29761349999999998</v>
      </c>
      <c r="Z5161">
        <v>6.2167539999999997E-3</v>
      </c>
      <c r="AA5161">
        <v>0.95466620000000002</v>
      </c>
      <c r="AB5161">
        <v>37</v>
      </c>
      <c r="AC5161">
        <v>57.431199999999897</v>
      </c>
      <c r="AD5161">
        <v>-0.32936849999999901</v>
      </c>
      <c r="AE5161">
        <v>39.415149999999997</v>
      </c>
      <c r="AF5161">
        <v>-20.779326257527298</v>
      </c>
      <c r="AG5161">
        <v>-0.32936849999999901</v>
      </c>
      <c r="AH5161">
        <v>66.482324141870095</v>
      </c>
      <c r="AI5161">
        <v>90.270928935785705</v>
      </c>
      <c r="AJ5161">
        <v>107.356851087186</v>
      </c>
      <c r="AK5161">
        <v>69.654779495955907</v>
      </c>
      <c r="AL5161">
        <v>78.012563569720498</v>
      </c>
      <c r="AM5161">
        <v>94.053325043347201</v>
      </c>
      <c r="AN5161">
        <v>0.99999999103078496</v>
      </c>
    </row>
    <row r="5162" spans="1:40" x14ac:dyDescent="0.25">
      <c r="A5162" t="str">
        <f>"20190303170914330"</f>
        <v>20190303170914330</v>
      </c>
      <c r="B5162" t="str">
        <f>"1551604154319281"</f>
        <v>1551604154319281</v>
      </c>
      <c r="C5162" t="s">
        <v>40</v>
      </c>
      <c r="D5162">
        <v>5.3309989999999896</v>
      </c>
      <c r="E5162">
        <v>0.4243633</v>
      </c>
      <c r="F5162" t="s">
        <v>52</v>
      </c>
      <c r="G5162">
        <v>-148.6934</v>
      </c>
      <c r="H5162">
        <v>0.80285450000000003</v>
      </c>
      <c r="I5162">
        <v>-22.650010000000002</v>
      </c>
      <c r="J5162">
        <v>-205.04669999999999</v>
      </c>
      <c r="K5162">
        <v>1.1334900000000001</v>
      </c>
      <c r="L5162">
        <v>-62.009860000000003</v>
      </c>
      <c r="M5162">
        <v>0.95378059999999998</v>
      </c>
      <c r="N5162">
        <v>-1.5744939999999999E-2</v>
      </c>
      <c r="O5162">
        <v>0.30009150000000001</v>
      </c>
      <c r="P5162">
        <v>0.91443110000000005</v>
      </c>
      <c r="Q5162">
        <v>0.19433919999999999</v>
      </c>
      <c r="R5162">
        <v>0.35503259999999998</v>
      </c>
      <c r="S5162">
        <v>2.5892490000000001</v>
      </c>
      <c r="T5162">
        <v>-1.514363E-2</v>
      </c>
      <c r="U5162">
        <v>1.8056639999999999</v>
      </c>
      <c r="V5162">
        <v>-7.0670330000000003E-2</v>
      </c>
      <c r="W5162">
        <v>0.2076412</v>
      </c>
      <c r="X5162">
        <v>0.97564890000000004</v>
      </c>
      <c r="Y5162">
        <v>-0.2994559</v>
      </c>
      <c r="Z5162">
        <v>6.2887919999999996E-3</v>
      </c>
      <c r="AA5162">
        <v>0.95408939999999998</v>
      </c>
      <c r="AB5162">
        <v>37</v>
      </c>
      <c r="AC5162">
        <v>56.353299999999898</v>
      </c>
      <c r="AD5162">
        <v>-0.33063549999999903</v>
      </c>
      <c r="AE5162">
        <v>39.359850000000002</v>
      </c>
      <c r="AF5162">
        <v>-20.631592682723699</v>
      </c>
      <c r="AG5162">
        <v>-0.33063549999999903</v>
      </c>
      <c r="AH5162">
        <v>65.566843482103906</v>
      </c>
      <c r="AI5162">
        <v>90.275602314049394</v>
      </c>
      <c r="AJ5162">
        <v>107.46696566927599</v>
      </c>
      <c r="AK5162">
        <v>68.737056240912693</v>
      </c>
      <c r="AL5162">
        <v>78.015843383380897</v>
      </c>
      <c r="AM5162">
        <v>94.142937433258496</v>
      </c>
      <c r="AN5162">
        <v>0.999999969775479</v>
      </c>
    </row>
    <row r="5163" spans="1:40" x14ac:dyDescent="0.25">
      <c r="A5163" t="str">
        <f>"20190303170914341"</f>
        <v>20190303170914341</v>
      </c>
      <c r="B5163" t="str">
        <f>"1551604154329039"</f>
        <v>1551604154329039</v>
      </c>
      <c r="C5163" t="s">
        <v>40</v>
      </c>
      <c r="D5163">
        <v>5.3287409999999999</v>
      </c>
      <c r="E5163">
        <v>0.42536040000000003</v>
      </c>
      <c r="F5163" t="s">
        <v>53</v>
      </c>
      <c r="G5163">
        <v>-168.45060000000001</v>
      </c>
      <c r="H5163">
        <v>0.66786290000000004</v>
      </c>
      <c r="I5163">
        <v>-37.976889999999997</v>
      </c>
      <c r="J5163">
        <v>-204.86969999999999</v>
      </c>
      <c r="K5163">
        <v>1.133567</v>
      </c>
      <c r="L5163">
        <v>-61.949129999999997</v>
      </c>
      <c r="M5163">
        <v>0.95172690000000004</v>
      </c>
      <c r="N5163">
        <v>-1.5757449999999999E-2</v>
      </c>
      <c r="O5163">
        <v>0.30654140000000002</v>
      </c>
      <c r="P5163">
        <v>0.91147080000000003</v>
      </c>
      <c r="Q5163">
        <v>0.19448109999999999</v>
      </c>
      <c r="R5163">
        <v>0.3624887</v>
      </c>
      <c r="S5163">
        <v>2.6198269999999999</v>
      </c>
      <c r="T5163">
        <v>-3.3334610000000001E-2</v>
      </c>
      <c r="U5163">
        <v>1.720459</v>
      </c>
      <c r="V5163">
        <v>-7.2090940000000006E-2</v>
      </c>
      <c r="W5163">
        <v>0.20773730000000001</v>
      </c>
      <c r="X5163">
        <v>0.97552450000000002</v>
      </c>
      <c r="Y5163">
        <v>-0.26618900000000001</v>
      </c>
      <c r="Z5163">
        <v>4.9758399999999996E-3</v>
      </c>
      <c r="AA5163">
        <v>0.96390799999999999</v>
      </c>
      <c r="AB5163">
        <v>37</v>
      </c>
      <c r="AC5163">
        <v>36.419099999999901</v>
      </c>
      <c r="AD5163">
        <v>-0.46570410000000001</v>
      </c>
      <c r="AE5163">
        <v>23.972239999999999</v>
      </c>
      <c r="AF5163">
        <v>-11.6511811401581</v>
      </c>
      <c r="AG5163">
        <v>-0.46570410000000001</v>
      </c>
      <c r="AH5163">
        <v>42.0099443830536</v>
      </c>
      <c r="AI5163">
        <v>90.612029668321</v>
      </c>
      <c r="AJ5163">
        <v>105.50100362452299</v>
      </c>
      <c r="AK5163">
        <v>43.598191812697799</v>
      </c>
      <c r="AL5163">
        <v>78.010214520571097</v>
      </c>
      <c r="AM5163">
        <v>94.226456664274593</v>
      </c>
      <c r="AN5163">
        <v>0.99999996977081096</v>
      </c>
    </row>
    <row r="5164" spans="1:40" x14ac:dyDescent="0.25">
      <c r="A5164" t="str">
        <f>"20190303170914354"</f>
        <v>20190303170914354</v>
      </c>
      <c r="B5164" t="str">
        <f>"1551604154348559"</f>
        <v>1551604154348559</v>
      </c>
      <c r="C5164" t="s">
        <v>40</v>
      </c>
      <c r="D5164">
        <v>5.3557930000000002</v>
      </c>
      <c r="E5164">
        <v>0.42732409999999998</v>
      </c>
      <c r="F5164" t="s">
        <v>53</v>
      </c>
      <c r="G5164">
        <v>-168.45060000000001</v>
      </c>
      <c r="H5164">
        <v>0.59156419999999998</v>
      </c>
      <c r="I5164">
        <v>-37.73939</v>
      </c>
      <c r="J5164">
        <v>-204.696</v>
      </c>
      <c r="K5164">
        <v>1.1336349999999999</v>
      </c>
      <c r="L5164">
        <v>-61.888579999999997</v>
      </c>
      <c r="M5164">
        <v>0.94965759999999999</v>
      </c>
      <c r="N5164">
        <v>-1.576924E-2</v>
      </c>
      <c r="O5164">
        <v>0.31289280000000003</v>
      </c>
      <c r="P5164">
        <v>0.90853689999999998</v>
      </c>
      <c r="Q5164">
        <v>0.1940914</v>
      </c>
      <c r="R5164">
        <v>0.36998560000000003</v>
      </c>
      <c r="S5164">
        <v>2.6097410000000001</v>
      </c>
      <c r="T5164">
        <v>-3.8840409999999999E-2</v>
      </c>
      <c r="U5164">
        <v>1.7348330000000001</v>
      </c>
      <c r="V5164">
        <v>-7.3614280000000004E-2</v>
      </c>
      <c r="W5164">
        <v>0.20729880000000001</v>
      </c>
      <c r="X5164">
        <v>0.97550400000000004</v>
      </c>
      <c r="Y5164">
        <v>-0.26513750000000003</v>
      </c>
      <c r="Z5164">
        <v>4.6675070000000004E-3</v>
      </c>
      <c r="AA5164">
        <v>0.96419929999999998</v>
      </c>
      <c r="AB5164">
        <v>37</v>
      </c>
      <c r="AC5164">
        <v>36.245399999999897</v>
      </c>
      <c r="AD5164">
        <v>-0.54207079999999996</v>
      </c>
      <c r="AE5164">
        <v>24.149190000000001</v>
      </c>
      <c r="AF5164">
        <v>-11.592182304363799</v>
      </c>
      <c r="AG5164">
        <v>-0.54207079999999996</v>
      </c>
      <c r="AH5164">
        <v>41.975542441496302</v>
      </c>
      <c r="AI5164">
        <v>90.713181135783401</v>
      </c>
      <c r="AJ5164">
        <v>105.43829770607501</v>
      </c>
      <c r="AK5164">
        <v>43.550185930575203</v>
      </c>
      <c r="AL5164">
        <v>78.035897628600694</v>
      </c>
      <c r="AM5164">
        <v>94.315521560858102</v>
      </c>
      <c r="AN5164">
        <v>0.99999995435867794</v>
      </c>
    </row>
    <row r="5165" spans="1:40" x14ac:dyDescent="0.25">
      <c r="A5165" t="str">
        <f>"20190303170914367"</f>
        <v>20190303170914367</v>
      </c>
      <c r="B5165" t="str">
        <f>"1551604154359296"</f>
        <v>1551604154359296</v>
      </c>
      <c r="C5165" t="s">
        <v>40</v>
      </c>
      <c r="D5165">
        <v>5.3315109999999999</v>
      </c>
      <c r="E5165">
        <v>0.42841829999999997</v>
      </c>
      <c r="F5165" t="s">
        <v>52</v>
      </c>
      <c r="G5165">
        <v>-146.0616</v>
      </c>
      <c r="H5165">
        <v>4.6770100000000002E-2</v>
      </c>
      <c r="I5165">
        <v>-22.65</v>
      </c>
      <c r="J5165">
        <v>-204.48929999999999</v>
      </c>
      <c r="K5165">
        <v>1.1337120000000001</v>
      </c>
      <c r="L5165">
        <v>-61.814880000000002</v>
      </c>
      <c r="M5165">
        <v>0.94711800000000002</v>
      </c>
      <c r="N5165">
        <v>-1.578309E-2</v>
      </c>
      <c r="O5165">
        <v>0.32049719999999998</v>
      </c>
      <c r="P5165">
        <v>0.90497989999999995</v>
      </c>
      <c r="Q5165">
        <v>0.19378629999999999</v>
      </c>
      <c r="R5165">
        <v>0.37875880000000001</v>
      </c>
      <c r="S5165">
        <v>2.602951</v>
      </c>
      <c r="T5165">
        <v>-4.8249130000000001E-2</v>
      </c>
      <c r="U5165">
        <v>1.741913</v>
      </c>
      <c r="V5165">
        <v>-7.5248079999999995E-2</v>
      </c>
      <c r="W5165">
        <v>0.20694109999999999</v>
      </c>
      <c r="X5165">
        <v>0.97545530000000003</v>
      </c>
      <c r="Y5165">
        <v>-0.26035910000000001</v>
      </c>
      <c r="Z5165">
        <v>4.0353659999999899E-3</v>
      </c>
      <c r="AA5165">
        <v>0.96550349999999996</v>
      </c>
      <c r="AB5165">
        <v>37</v>
      </c>
      <c r="AC5165">
        <v>58.427699999999902</v>
      </c>
      <c r="AD5165">
        <v>-1.0869419</v>
      </c>
      <c r="AE5165">
        <v>39.164879999999997</v>
      </c>
      <c r="AF5165">
        <v>-18.365750641972099</v>
      </c>
      <c r="AG5165">
        <v>-1.0869419</v>
      </c>
      <c r="AH5165">
        <v>67.882406533235795</v>
      </c>
      <c r="AI5165">
        <v>90.885517398342699</v>
      </c>
      <c r="AJ5165">
        <v>105.139072756245</v>
      </c>
      <c r="AK5165">
        <v>70.3313824411306</v>
      </c>
      <c r="AL5165">
        <v>78.056846754286099</v>
      </c>
      <c r="AM5165">
        <v>94.411145958046802</v>
      </c>
      <c r="AN5165">
        <v>0.99999996735549201</v>
      </c>
    </row>
    <row r="5166" spans="1:40" x14ac:dyDescent="0.25">
      <c r="A5166" t="str">
        <f>"20190303170914379"</f>
        <v>20190303170914379</v>
      </c>
      <c r="B5166" t="str">
        <f>"1551604154369056"</f>
        <v>1551604154369056</v>
      </c>
      <c r="C5166" t="s">
        <v>40</v>
      </c>
      <c r="D5166">
        <v>5.3546610000000001</v>
      </c>
      <c r="E5166">
        <v>0.42939040000000001</v>
      </c>
      <c r="F5166" t="s">
        <v>46</v>
      </c>
      <c r="G5166">
        <v>-146.20760000000001</v>
      </c>
      <c r="H5166">
        <v>-0.05</v>
      </c>
      <c r="I5166">
        <v>-22.232009999999999</v>
      </c>
      <c r="J5166">
        <v>-204.28870000000001</v>
      </c>
      <c r="K5166">
        <v>1.1337790000000001</v>
      </c>
      <c r="L5166">
        <v>-61.741059999999997</v>
      </c>
      <c r="M5166">
        <v>0.94456790000000002</v>
      </c>
      <c r="N5166">
        <v>-1.5796549999999999E-2</v>
      </c>
      <c r="O5166">
        <v>0.32793600000000001</v>
      </c>
      <c r="P5166">
        <v>0.90128419999999998</v>
      </c>
      <c r="Q5166">
        <v>0.19324350000000001</v>
      </c>
      <c r="R5166">
        <v>0.38774209999999998</v>
      </c>
      <c r="S5166">
        <v>2.590042</v>
      </c>
      <c r="T5166">
        <v>-5.26041999999999E-2</v>
      </c>
      <c r="U5166">
        <v>1.759064</v>
      </c>
      <c r="V5166">
        <v>-7.7269729999999995E-2</v>
      </c>
      <c r="W5166">
        <v>0.20633360000000001</v>
      </c>
      <c r="X5166">
        <v>0.97542600000000002</v>
      </c>
      <c r="Y5166">
        <v>-0.25936749999999997</v>
      </c>
      <c r="Z5166">
        <v>3.7345070000000002E-3</v>
      </c>
      <c r="AA5166">
        <v>0.9657715</v>
      </c>
      <c r="AB5166">
        <v>37</v>
      </c>
      <c r="AC5166">
        <v>58.0810999999999</v>
      </c>
      <c r="AD5166">
        <v>-1.1837789999999999</v>
      </c>
      <c r="AE5166">
        <v>39.509050000000002</v>
      </c>
      <c r="AF5166">
        <v>-18.2691879703649</v>
      </c>
      <c r="AG5166">
        <v>-1.1837789999999999</v>
      </c>
      <c r="AH5166">
        <v>67.807186256557301</v>
      </c>
      <c r="AI5166">
        <v>90.965737713415194</v>
      </c>
      <c r="AJ5166">
        <v>105.079050676793</v>
      </c>
      <c r="AK5166">
        <v>70.235169750267005</v>
      </c>
      <c r="AL5166">
        <v>78.092422414715401</v>
      </c>
      <c r="AM5166">
        <v>94.529306669321798</v>
      </c>
      <c r="AN5166">
        <v>1.00000002356961</v>
      </c>
    </row>
    <row r="5167" spans="1:40" x14ac:dyDescent="0.25">
      <c r="A5167" t="str">
        <f>"20190303170914392"</f>
        <v>20190303170914392</v>
      </c>
      <c r="B5167" t="str">
        <f>"1551604154378816"</f>
        <v>1551604154378816</v>
      </c>
      <c r="C5167" t="s">
        <v>40</v>
      </c>
      <c r="D5167">
        <v>5.3117859999999997</v>
      </c>
      <c r="E5167">
        <v>0.43026789999999998</v>
      </c>
      <c r="F5167" t="s">
        <v>46</v>
      </c>
      <c r="G5167">
        <v>-149.60480000000001</v>
      </c>
      <c r="H5167">
        <v>-0.05</v>
      </c>
      <c r="I5167">
        <v>-24.0166</v>
      </c>
      <c r="J5167">
        <v>-204.10589999999999</v>
      </c>
      <c r="K5167">
        <v>1.13384</v>
      </c>
      <c r="L5167">
        <v>-61.672759999999997</v>
      </c>
      <c r="M5167">
        <v>0.94217839999999997</v>
      </c>
      <c r="N5167">
        <v>-1.580821E-2</v>
      </c>
      <c r="O5167">
        <v>0.3347388</v>
      </c>
      <c r="P5167">
        <v>0.89775869999999902</v>
      </c>
      <c r="Q5167">
        <v>0.19290589999999999</v>
      </c>
      <c r="R5167">
        <v>0.39600099999999999</v>
      </c>
      <c r="S5167">
        <v>2.5760190000000001</v>
      </c>
      <c r="T5167">
        <v>-5.5764679999999997E-2</v>
      </c>
      <c r="U5167">
        <v>1.7770999999999999</v>
      </c>
      <c r="V5167">
        <v>-7.9196900000000001E-2</v>
      </c>
      <c r="W5167">
        <v>0.2059328</v>
      </c>
      <c r="X5167">
        <v>0.97535609999999995</v>
      </c>
      <c r="Y5167">
        <v>-0.25943319999999997</v>
      </c>
      <c r="Z5167">
        <v>3.509842E-3</v>
      </c>
      <c r="AA5167">
        <v>0.96575469999999997</v>
      </c>
      <c r="AB5167">
        <v>37</v>
      </c>
      <c r="AC5167">
        <v>54.501099999999902</v>
      </c>
      <c r="AD5167">
        <v>-1.18384</v>
      </c>
      <c r="AE5167">
        <v>37.65616</v>
      </c>
      <c r="AF5167">
        <v>-17.2318376248272</v>
      </c>
      <c r="AG5167">
        <v>-1.18384</v>
      </c>
      <c r="AH5167">
        <v>63.9423056129732</v>
      </c>
      <c r="AI5167">
        <v>91.024134795809104</v>
      </c>
      <c r="AJ5167">
        <v>105.08235769767801</v>
      </c>
      <c r="AK5167">
        <v>66.234101127567797</v>
      </c>
      <c r="AL5167">
        <v>78.115890215002295</v>
      </c>
      <c r="AM5167">
        <v>94.642114802085203</v>
      </c>
      <c r="AN5167">
        <v>0.99999999444632903</v>
      </c>
    </row>
    <row r="5168" spans="1:40" x14ac:dyDescent="0.25">
      <c r="A5168" t="str">
        <f>"20190303170914404"</f>
        <v>20190303170914404</v>
      </c>
      <c r="B5168" t="str">
        <f>"1551604154399313"</f>
        <v>1551604154399313</v>
      </c>
      <c r="C5168" t="s">
        <v>40</v>
      </c>
      <c r="D5168">
        <v>5.3474510000000004</v>
      </c>
      <c r="E5168">
        <v>0.440801</v>
      </c>
      <c r="F5168" t="s">
        <v>46</v>
      </c>
      <c r="G5168">
        <v>-152.369</v>
      </c>
      <c r="H5168">
        <v>-0.05</v>
      </c>
      <c r="I5168">
        <v>-25.452470000000002</v>
      </c>
      <c r="J5168">
        <v>-203.91839999999999</v>
      </c>
      <c r="K5168">
        <v>1.133902</v>
      </c>
      <c r="L5168">
        <v>-61.600709999999999</v>
      </c>
      <c r="M5168">
        <v>0.93965240000000005</v>
      </c>
      <c r="N5168">
        <v>-1.5820310000000001E-2</v>
      </c>
      <c r="O5168">
        <v>0.34176489999999998</v>
      </c>
      <c r="P5168">
        <v>0.89406730000000001</v>
      </c>
      <c r="Q5168">
        <v>0.192691</v>
      </c>
      <c r="R5168">
        <v>0.40436860000000002</v>
      </c>
      <c r="S5168">
        <v>2.5628510000000002</v>
      </c>
      <c r="T5168">
        <v>-5.8643099999999997E-2</v>
      </c>
      <c r="U5168">
        <v>1.7942199999999999</v>
      </c>
      <c r="V5168">
        <v>-8.1040970000000004E-2</v>
      </c>
      <c r="W5168">
        <v>0.20565700000000001</v>
      </c>
      <c r="X5168">
        <v>0.97526279999999999</v>
      </c>
      <c r="Y5168">
        <v>-0.25887549999999998</v>
      </c>
      <c r="Z5168">
        <v>3.2790250000000001E-3</v>
      </c>
      <c r="AA5168">
        <v>0.96590509999999996</v>
      </c>
      <c r="AB5168">
        <v>37</v>
      </c>
      <c r="AC5168">
        <v>51.549399999999899</v>
      </c>
      <c r="AD5168">
        <v>-1.183902</v>
      </c>
      <c r="AE5168">
        <v>36.148240000000001</v>
      </c>
      <c r="AF5168">
        <v>-16.345270484615401</v>
      </c>
      <c r="AG5168">
        <v>-1.183902</v>
      </c>
      <c r="AH5168">
        <v>60.778830742541103</v>
      </c>
      <c r="AI5168">
        <v>91.077635563449206</v>
      </c>
      <c r="AJ5168">
        <v>105.052436010916</v>
      </c>
      <c r="AK5168">
        <v>62.9494698753794</v>
      </c>
      <c r="AL5168">
        <v>78.132037916269994</v>
      </c>
      <c r="AM5168">
        <v>94.750168069895693</v>
      </c>
      <c r="AN5168">
        <v>0.99999998476568996</v>
      </c>
    </row>
    <row r="5169" spans="1:40" x14ac:dyDescent="0.25">
      <c r="A5169" t="str">
        <f>"20190303170914419"</f>
        <v>20190303170914419</v>
      </c>
      <c r="B5169" t="str">
        <f>"1551604154409071"</f>
        <v>1551604154409071</v>
      </c>
      <c r="C5169" t="s">
        <v>40</v>
      </c>
      <c r="D5169">
        <v>5.3314050000000002</v>
      </c>
      <c r="E5169">
        <v>0.4418454</v>
      </c>
      <c r="F5169" t="s">
        <v>46</v>
      </c>
      <c r="G5169">
        <v>-164.92089999999999</v>
      </c>
      <c r="H5169">
        <v>-0.05</v>
      </c>
      <c r="I5169">
        <v>-35.278790000000001</v>
      </c>
      <c r="J5169">
        <v>-203.679</v>
      </c>
      <c r="K5169">
        <v>1.1339889999999999</v>
      </c>
      <c r="L5169">
        <v>-61.50638</v>
      </c>
      <c r="M5169">
        <v>0.93632020000000005</v>
      </c>
      <c r="N5169">
        <v>-1.5835499999999999E-2</v>
      </c>
      <c r="O5169">
        <v>0.3507902</v>
      </c>
      <c r="P5169">
        <v>0.88871329999999904</v>
      </c>
      <c r="Q5169">
        <v>0.1923849</v>
      </c>
      <c r="R5169">
        <v>0.41614509999999999</v>
      </c>
      <c r="S5169">
        <v>2.5836489999999999</v>
      </c>
      <c r="T5169">
        <v>-7.8435299999999999E-2</v>
      </c>
      <c r="U5169">
        <v>1.7438659999999999</v>
      </c>
      <c r="V5169">
        <v>-8.4560099999999999E-2</v>
      </c>
      <c r="W5169">
        <v>0.20523379999999999</v>
      </c>
      <c r="X5169">
        <v>0.97505319999999995</v>
      </c>
      <c r="Y5169">
        <v>-0.2329948</v>
      </c>
      <c r="Z5169">
        <v>1.264547E-3</v>
      </c>
      <c r="AA5169">
        <v>0.97247720000000004</v>
      </c>
      <c r="AB5169">
        <v>37</v>
      </c>
      <c r="AC5169">
        <v>38.758099999999999</v>
      </c>
      <c r="AD5169">
        <v>-1.183989</v>
      </c>
      <c r="AE5169">
        <v>26.227589999999999</v>
      </c>
      <c r="AF5169">
        <v>-10.955822412665899</v>
      </c>
      <c r="AG5169">
        <v>-1.183989</v>
      </c>
      <c r="AH5169">
        <v>45.466974583109902</v>
      </c>
      <c r="AI5169">
        <v>91.450192882843496</v>
      </c>
      <c r="AJ5169">
        <v>103.547849570346</v>
      </c>
      <c r="AK5169">
        <v>46.783305274757602</v>
      </c>
      <c r="AL5169">
        <v>78.156814579380594</v>
      </c>
      <c r="AM5169">
        <v>94.9564938008198</v>
      </c>
      <c r="AN5169">
        <v>1.00000003300234</v>
      </c>
    </row>
    <row r="5170" spans="1:40" x14ac:dyDescent="0.25">
      <c r="A5170" t="str">
        <f>"20190303170914431"</f>
        <v>20190303170914431</v>
      </c>
      <c r="B5170" t="str">
        <f>"1551604154418832"</f>
        <v>1551604154418832</v>
      </c>
      <c r="C5170" t="s">
        <v>40</v>
      </c>
      <c r="D5170">
        <v>5.3350660000000003</v>
      </c>
      <c r="E5170">
        <v>0.44232929999999998</v>
      </c>
      <c r="F5170" t="s">
        <v>46</v>
      </c>
      <c r="G5170">
        <v>-166.24019999999999</v>
      </c>
      <c r="H5170">
        <v>-0.05</v>
      </c>
      <c r="I5170">
        <v>-35.662579999999998</v>
      </c>
      <c r="J5170">
        <v>-203.4974</v>
      </c>
      <c r="K5170">
        <v>1.1340460000000001</v>
      </c>
      <c r="L5170">
        <v>-61.433410000000002</v>
      </c>
      <c r="M5170">
        <v>0.93371630000000005</v>
      </c>
      <c r="N5170">
        <v>-1.5846619999999999E-2</v>
      </c>
      <c r="O5170">
        <v>0.35766310000000001</v>
      </c>
      <c r="P5170">
        <v>0.8850787</v>
      </c>
      <c r="Q5170">
        <v>0.192049</v>
      </c>
      <c r="R5170">
        <v>0.42397279999999998</v>
      </c>
      <c r="S5170">
        <v>2.5643310000000001</v>
      </c>
      <c r="T5170">
        <v>-8.1096050000000003E-2</v>
      </c>
      <c r="U5170">
        <v>1.7701420000000001</v>
      </c>
      <c r="V5170">
        <v>-8.5997270000000001E-2</v>
      </c>
      <c r="W5170">
        <v>0.20484869999999999</v>
      </c>
      <c r="X5170">
        <v>0.9750084</v>
      </c>
      <c r="Y5170">
        <v>-0.23601079999999999</v>
      </c>
      <c r="Z5170">
        <v>1.0411610000000001E-3</v>
      </c>
      <c r="AA5170">
        <v>0.9717498</v>
      </c>
      <c r="AB5170">
        <v>37</v>
      </c>
      <c r="AC5170">
        <v>37.257199999999997</v>
      </c>
      <c r="AD5170">
        <v>-1.1840459999999999</v>
      </c>
      <c r="AE5170">
        <v>25.77083</v>
      </c>
      <c r="AF5170">
        <v>-10.7311351553984</v>
      </c>
      <c r="AG5170">
        <v>-1.1840459999999999</v>
      </c>
      <c r="AH5170">
        <v>43.980408248993598</v>
      </c>
      <c r="AI5170">
        <v>91.498218942872697</v>
      </c>
      <c r="AJ5170">
        <v>103.712133013593</v>
      </c>
      <c r="AK5170">
        <v>45.2861517066939</v>
      </c>
      <c r="AL5170">
        <v>78.179357166576295</v>
      </c>
      <c r="AM5170">
        <v>95.040533645335998</v>
      </c>
      <c r="AN5170">
        <v>0.99999995020485</v>
      </c>
    </row>
    <row r="5171" spans="1:40" x14ac:dyDescent="0.25">
      <c r="A5171" t="str">
        <f>"20190303170914443"</f>
        <v>20190303170914443</v>
      </c>
      <c r="B5171" t="str">
        <f>"1551604154439328"</f>
        <v>1551604154439328</v>
      </c>
      <c r="C5171" t="s">
        <v>40</v>
      </c>
      <c r="D5171">
        <v>5.3306909999999998</v>
      </c>
      <c r="E5171">
        <v>0.44384669999999998</v>
      </c>
      <c r="F5171" t="s">
        <v>46</v>
      </c>
      <c r="G5171">
        <v>-166.54429999999999</v>
      </c>
      <c r="H5171">
        <v>-0.05</v>
      </c>
      <c r="I5171">
        <v>-35.517060000000001</v>
      </c>
      <c r="J5171">
        <v>-203.32839999999999</v>
      </c>
      <c r="K5171">
        <v>1.1340969999999999</v>
      </c>
      <c r="L5171">
        <v>-61.36356</v>
      </c>
      <c r="M5171">
        <v>0.93122260000000001</v>
      </c>
      <c r="N5171">
        <v>-1.5857199999999998E-2</v>
      </c>
      <c r="O5171">
        <v>0.36410589999999998</v>
      </c>
      <c r="P5171">
        <v>0.88164679999999995</v>
      </c>
      <c r="Q5171">
        <v>0.1915646</v>
      </c>
      <c r="R5171">
        <v>0.43127959999999899</v>
      </c>
      <c r="S5171">
        <v>2.55043</v>
      </c>
      <c r="T5171">
        <v>-8.1720589999999996E-2</v>
      </c>
      <c r="U5171">
        <v>1.7886959999999901</v>
      </c>
      <c r="V5171">
        <v>-8.7302759999999993E-2</v>
      </c>
      <c r="W5171">
        <v>0.20432130000000001</v>
      </c>
      <c r="X5171">
        <v>0.97500310000000001</v>
      </c>
      <c r="Y5171">
        <v>-0.2365226</v>
      </c>
      <c r="Z5171">
        <v>9.2626340000000001E-4</v>
      </c>
      <c r="AA5171">
        <v>0.97162559999999998</v>
      </c>
      <c r="AB5171">
        <v>37</v>
      </c>
      <c r="AC5171">
        <v>36.784100000000002</v>
      </c>
      <c r="AD5171">
        <v>-1.184097</v>
      </c>
      <c r="AE5171">
        <v>25.846499999999999</v>
      </c>
      <c r="AF5171">
        <v>-10.6694774334836</v>
      </c>
      <c r="AG5171">
        <v>-1.184097</v>
      </c>
      <c r="AH5171">
        <v>43.640263177643298</v>
      </c>
      <c r="AI5171">
        <v>91.509786047274105</v>
      </c>
      <c r="AJ5171">
        <v>103.738569566236</v>
      </c>
      <c r="AK5171">
        <v>44.941210538023903</v>
      </c>
      <c r="AL5171">
        <v>78.210228574566898</v>
      </c>
      <c r="AM5171">
        <v>95.116676468948995</v>
      </c>
      <c r="AN5171">
        <v>1.0000000052734499</v>
      </c>
    </row>
    <row r="5172" spans="1:40" x14ac:dyDescent="0.25">
      <c r="A5172" t="str">
        <f>"20190303170914454"</f>
        <v>20190303170914454</v>
      </c>
      <c r="B5172" t="str">
        <f>"1551604154449088"</f>
        <v>1551604154449088</v>
      </c>
      <c r="C5172" t="s">
        <v>40</v>
      </c>
      <c r="D5172">
        <v>5.4944100000000002</v>
      </c>
      <c r="E5172">
        <v>0.44384669999999998</v>
      </c>
      <c r="F5172" t="s">
        <v>46</v>
      </c>
      <c r="G5172">
        <v>-167.535</v>
      </c>
      <c r="H5172">
        <v>-0.05</v>
      </c>
      <c r="I5172">
        <v>-36.032679999999999</v>
      </c>
      <c r="J5172">
        <v>-203.15629999999999</v>
      </c>
      <c r="K5172">
        <v>1.134147</v>
      </c>
      <c r="L5172">
        <v>-61.291350000000001</v>
      </c>
      <c r="M5172">
        <v>0.92862429999999996</v>
      </c>
      <c r="N5172">
        <v>-1.586767E-2</v>
      </c>
      <c r="O5172">
        <v>0.37068180000000001</v>
      </c>
      <c r="P5172">
        <v>0.87818240000000003</v>
      </c>
      <c r="Q5172">
        <v>0.1906204</v>
      </c>
      <c r="R5172">
        <v>0.43870209999999998</v>
      </c>
      <c r="S5172">
        <v>2.541245</v>
      </c>
      <c r="T5172">
        <v>-8.406806E-2</v>
      </c>
      <c r="U5172">
        <v>1.7984309999999999</v>
      </c>
      <c r="V5172">
        <v>-8.8558380000000006E-2</v>
      </c>
      <c r="W5172">
        <v>0.20333680000000001</v>
      </c>
      <c r="X5172">
        <v>0.97509570000000001</v>
      </c>
      <c r="Y5172">
        <v>-0.23378360000000001</v>
      </c>
      <c r="Z5172">
        <v>5.9351629999999998E-4</v>
      </c>
      <c r="AA5172">
        <v>0.9722885</v>
      </c>
      <c r="AB5172">
        <v>37</v>
      </c>
      <c r="AC5172">
        <v>35.621299999999898</v>
      </c>
      <c r="AD5172">
        <v>-1.1841469999999901</v>
      </c>
      <c r="AE5172">
        <v>25.258669999999999</v>
      </c>
      <c r="AF5172">
        <v>-10.245404788243899</v>
      </c>
      <c r="AG5172">
        <v>-1.1841469999999901</v>
      </c>
      <c r="AH5172">
        <v>42.415890732258703</v>
      </c>
      <c r="AI5172">
        <v>91.554459909676595</v>
      </c>
      <c r="AJ5172">
        <v>103.579479314849</v>
      </c>
      <c r="AK5172">
        <v>43.651784728731201</v>
      </c>
      <c r="AL5172">
        <v>78.267846184952006</v>
      </c>
      <c r="AM5172">
        <v>95.189377161431906</v>
      </c>
      <c r="AN5172">
        <v>1.0000000325304701</v>
      </c>
    </row>
    <row r="5173" spans="1:40" x14ac:dyDescent="0.25">
      <c r="A5173" t="str">
        <f>"20190303170914467"</f>
        <v>20190303170914467</v>
      </c>
      <c r="B5173" t="str">
        <f>"1551604154458848"</f>
        <v>1551604154458848</v>
      </c>
      <c r="C5173" t="s">
        <v>40</v>
      </c>
      <c r="D5173">
        <v>5.3698430000000004</v>
      </c>
      <c r="E5173">
        <v>0.42064240000000003</v>
      </c>
      <c r="F5173" t="s">
        <v>46</v>
      </c>
      <c r="G5173">
        <v>-169.00479999999999</v>
      </c>
      <c r="H5173">
        <v>-0.05</v>
      </c>
      <c r="I5173">
        <v>-36.704329999999999</v>
      </c>
      <c r="J5173">
        <v>-202.9718</v>
      </c>
      <c r="K5173">
        <v>1.134196</v>
      </c>
      <c r="L5173">
        <v>-61.212400000000002</v>
      </c>
      <c r="M5173">
        <v>0.92576630000000004</v>
      </c>
      <c r="N5173">
        <v>-1.5878679999999999E-2</v>
      </c>
      <c r="O5173">
        <v>0.37776300000000002</v>
      </c>
      <c r="P5173">
        <v>0.87421569999999904</v>
      </c>
      <c r="Q5173">
        <v>0.19016910000000001</v>
      </c>
      <c r="R5173">
        <v>0.44674710000000001</v>
      </c>
      <c r="S5173">
        <v>2.5265200000000001</v>
      </c>
      <c r="T5173">
        <v>-8.7602730000000004E-2</v>
      </c>
      <c r="U5173">
        <v>1.8189390000000001</v>
      </c>
      <c r="V5173">
        <v>-9.0044559999999996E-2</v>
      </c>
      <c r="W5173">
        <v>0.20283490000000001</v>
      </c>
      <c r="X5173">
        <v>0.97506409999999999</v>
      </c>
      <c r="Y5173">
        <v>-0.234239</v>
      </c>
      <c r="Z5173">
        <v>2.1089239999999999E-4</v>
      </c>
      <c r="AA5173">
        <v>0.97217900000000002</v>
      </c>
      <c r="AB5173">
        <v>37</v>
      </c>
      <c r="AC5173">
        <v>33.966999999999999</v>
      </c>
      <c r="AD5173">
        <v>-1.18419599999999</v>
      </c>
      <c r="AE5173">
        <v>24.50807</v>
      </c>
      <c r="AF5173">
        <v>-9.8506373292260392</v>
      </c>
      <c r="AG5173">
        <v>-1.18419599999999</v>
      </c>
      <c r="AH5173">
        <v>40.676359806479901</v>
      </c>
      <c r="AI5173">
        <v>91.620737701814903</v>
      </c>
      <c r="AJ5173">
        <v>103.613293197372</v>
      </c>
      <c r="AK5173">
        <v>41.868886097728598</v>
      </c>
      <c r="AL5173">
        <v>78.297214677749196</v>
      </c>
      <c r="AM5173">
        <v>95.276147471957202</v>
      </c>
      <c r="AN5173">
        <v>1.0000000092762</v>
      </c>
    </row>
    <row r="5174" spans="1:40" x14ac:dyDescent="0.25">
      <c r="A5174" t="str">
        <f>"20190303170914480"</f>
        <v>20190303170914480</v>
      </c>
      <c r="B5174" t="str">
        <f>"1551604154469115"</f>
        <v>1551604154469115</v>
      </c>
      <c r="C5174" t="s">
        <v>40</v>
      </c>
      <c r="D5174">
        <v>5.2004250000000001</v>
      </c>
      <c r="E5174">
        <v>0.40916710000000001</v>
      </c>
      <c r="F5174" t="s">
        <v>46</v>
      </c>
      <c r="G5174">
        <v>-161.62559999999999</v>
      </c>
      <c r="H5174">
        <v>-0.05</v>
      </c>
      <c r="I5174">
        <v>-27.025359999999999</v>
      </c>
      <c r="J5174">
        <v>-202.76769999999999</v>
      </c>
      <c r="K5174">
        <v>1.1342460000000001</v>
      </c>
      <c r="L5174">
        <v>-61.122619999999998</v>
      </c>
      <c r="M5174">
        <v>0.92250790000000005</v>
      </c>
      <c r="N5174">
        <v>-1.588929E-2</v>
      </c>
      <c r="O5174">
        <v>0.38565090000000002</v>
      </c>
      <c r="P5174">
        <v>0.86981540000000002</v>
      </c>
      <c r="Q5174">
        <v>0.1895376</v>
      </c>
      <c r="R5174">
        <v>0.45551809999999998</v>
      </c>
      <c r="S5174">
        <v>2.4229579999999999</v>
      </c>
      <c r="T5174">
        <v>-6.9395899999999996E-2</v>
      </c>
      <c r="U5174">
        <v>2.0034179999999999</v>
      </c>
      <c r="V5174">
        <v>-9.1490589999999997E-2</v>
      </c>
      <c r="W5174">
        <v>0.202154</v>
      </c>
      <c r="X5174">
        <v>0.97507089999999996</v>
      </c>
      <c r="Y5174">
        <v>-0.29056120000000002</v>
      </c>
      <c r="Z5174">
        <v>2.8173120000000002E-3</v>
      </c>
      <c r="AA5174">
        <v>0.95685229999999999</v>
      </c>
      <c r="AB5174">
        <v>37</v>
      </c>
      <c r="AC5174">
        <v>41.142099999999999</v>
      </c>
      <c r="AD5174">
        <v>-1.1842459999999999</v>
      </c>
      <c r="AE5174">
        <v>34.097259999999999</v>
      </c>
      <c r="AF5174">
        <v>-15.582818867305299</v>
      </c>
      <c r="AG5174">
        <v>-1.1842459999999999</v>
      </c>
      <c r="AH5174">
        <v>51.084914368614001</v>
      </c>
      <c r="AI5174">
        <v>91.270226378986393</v>
      </c>
      <c r="AJ5174">
        <v>106.963676008532</v>
      </c>
      <c r="AK5174">
        <v>53.421860305388002</v>
      </c>
      <c r="AL5174">
        <v>78.337052736811799</v>
      </c>
      <c r="AM5174">
        <v>95.360350531143794</v>
      </c>
      <c r="AN5174">
        <v>1.0000000139006699</v>
      </c>
    </row>
    <row r="5175" spans="1:40" x14ac:dyDescent="0.25">
      <c r="A5175" t="str">
        <f>"20190303170914493"</f>
        <v>20190303170914493</v>
      </c>
      <c r="B5175" t="str">
        <f>"1551604154488636"</f>
        <v>1551604154488636</v>
      </c>
      <c r="C5175" t="s">
        <v>40</v>
      </c>
      <c r="D5175">
        <v>5.1394339999999996</v>
      </c>
      <c r="E5175">
        <v>0.3987444</v>
      </c>
      <c r="F5175" t="s">
        <v>52</v>
      </c>
      <c r="G5175">
        <v>-157.93819999999999</v>
      </c>
      <c r="H5175">
        <v>0.31964110000000001</v>
      </c>
      <c r="I5175">
        <v>-21.11009</v>
      </c>
      <c r="J5175">
        <v>-202.58320000000001</v>
      </c>
      <c r="K5175">
        <v>1.134293</v>
      </c>
      <c r="L5175">
        <v>-61.040129999999998</v>
      </c>
      <c r="M5175">
        <v>0.91948730000000001</v>
      </c>
      <c r="N5175">
        <v>-1.5897600000000001E-2</v>
      </c>
      <c r="O5175">
        <v>0.39279839999999999</v>
      </c>
      <c r="P5175">
        <v>0.86563049999999997</v>
      </c>
      <c r="Q5175">
        <v>0.188942</v>
      </c>
      <c r="R5175">
        <v>0.46366459999999998</v>
      </c>
      <c r="S5175">
        <v>2.3567499999999999</v>
      </c>
      <c r="T5175">
        <v>-4.2824979999999999E-2</v>
      </c>
      <c r="U5175">
        <v>2.1035159999999999</v>
      </c>
      <c r="V5175">
        <v>-9.303844E-2</v>
      </c>
      <c r="W5175">
        <v>0.2015034</v>
      </c>
      <c r="X5175">
        <v>0.97505909999999996</v>
      </c>
      <c r="Y5175">
        <v>-0.3191966</v>
      </c>
      <c r="Z5175">
        <v>5.3596039999999996E-3</v>
      </c>
      <c r="AA5175">
        <v>0.9476734</v>
      </c>
      <c r="AB5175">
        <v>37</v>
      </c>
      <c r="AC5175">
        <v>44.645000000000003</v>
      </c>
      <c r="AD5175">
        <v>-0.81465189999999998</v>
      </c>
      <c r="AE5175">
        <v>39.930039999999998</v>
      </c>
      <c r="AF5175">
        <v>-19.1775544742639</v>
      </c>
      <c r="AG5175">
        <v>-0.81465189999999998</v>
      </c>
      <c r="AH5175">
        <v>56.731636470014998</v>
      </c>
      <c r="AI5175">
        <v>90.779376317236299</v>
      </c>
      <c r="AJ5175">
        <v>108.677302906563</v>
      </c>
      <c r="AK5175">
        <v>59.890907739802003</v>
      </c>
      <c r="AL5175">
        <v>78.375112565715696</v>
      </c>
      <c r="AM5175">
        <v>95.4505615909422</v>
      </c>
      <c r="AN5175">
        <v>1.000000010011</v>
      </c>
    </row>
    <row r="5176" spans="1:40" x14ac:dyDescent="0.25">
      <c r="A5176" t="str">
        <f>"20190303170914507"</f>
        <v>20190303170914507</v>
      </c>
      <c r="B5176" t="str">
        <f>"1551604154499371"</f>
        <v>1551604154499371</v>
      </c>
      <c r="C5176" t="s">
        <v>40</v>
      </c>
      <c r="D5176">
        <v>5.2231500000000004</v>
      </c>
      <c r="E5176">
        <v>0.34836689999999998</v>
      </c>
      <c r="F5176" t="s">
        <v>52</v>
      </c>
      <c r="G5176">
        <v>-157.3501</v>
      </c>
      <c r="H5176">
        <v>0.88078880000000004</v>
      </c>
      <c r="I5176">
        <v>-17.78369</v>
      </c>
      <c r="J5176">
        <v>-202.37090000000001</v>
      </c>
      <c r="K5176">
        <v>1.1343460000000001</v>
      </c>
      <c r="L5176">
        <v>-60.942959999999999</v>
      </c>
      <c r="M5176">
        <v>0.91591049999999996</v>
      </c>
      <c r="N5176">
        <v>-1.5905550000000001E-2</v>
      </c>
      <c r="O5176">
        <v>0.40106730000000002</v>
      </c>
      <c r="P5176">
        <v>0.86075499999999905</v>
      </c>
      <c r="Q5176">
        <v>0.1891275</v>
      </c>
      <c r="R5176">
        <v>0.47257979999999999</v>
      </c>
      <c r="S5176">
        <v>2.293625</v>
      </c>
      <c r="T5176">
        <v>-1.285446E-2</v>
      </c>
      <c r="U5176">
        <v>2.19339</v>
      </c>
      <c r="V5176">
        <v>-9.4378939999999995E-2</v>
      </c>
      <c r="W5176">
        <v>0.2016375</v>
      </c>
      <c r="X5176">
        <v>0.97490250000000001</v>
      </c>
      <c r="Y5176">
        <v>-0.34319539999999998</v>
      </c>
      <c r="Z5176">
        <v>7.9906669999999999E-3</v>
      </c>
      <c r="AA5176">
        <v>0.93923000000000001</v>
      </c>
      <c r="AB5176">
        <v>37</v>
      </c>
      <c r="AC5176">
        <v>45.020800000000001</v>
      </c>
      <c r="AD5176">
        <v>-0.25355719999999898</v>
      </c>
      <c r="AE5176">
        <v>43.159269999999999</v>
      </c>
      <c r="AF5176">
        <v>-21.476019572337101</v>
      </c>
      <c r="AG5176">
        <v>-0.25355719999999898</v>
      </c>
      <c r="AH5176">
        <v>58.551234176420998</v>
      </c>
      <c r="AI5176">
        <v>90.232943808947397</v>
      </c>
      <c r="AJ5176">
        <v>110.142542887537</v>
      </c>
      <c r="AK5176">
        <v>62.3661024235696</v>
      </c>
      <c r="AL5176">
        <v>78.367267776593195</v>
      </c>
      <c r="AM5176">
        <v>95.529492840099294</v>
      </c>
      <c r="AN5176">
        <v>0.99999997511401095</v>
      </c>
    </row>
    <row r="5177" spans="1:40" x14ac:dyDescent="0.25">
      <c r="A5177" t="str">
        <f>"20190303170914522"</f>
        <v>20190303170914522</v>
      </c>
      <c r="B5177" t="str">
        <f>"1551604154518892"</f>
        <v>1551604154518892</v>
      </c>
      <c r="C5177" t="s">
        <v>40</v>
      </c>
      <c r="D5177">
        <v>5.27494</v>
      </c>
      <c r="E5177">
        <v>0.34572459999999899</v>
      </c>
      <c r="F5177" t="s">
        <v>52</v>
      </c>
      <c r="G5177">
        <v>-168.45050000000001</v>
      </c>
      <c r="H5177">
        <v>3.5857519999999998</v>
      </c>
      <c r="I5177">
        <v>-18.94575</v>
      </c>
      <c r="J5177">
        <v>-202.148</v>
      </c>
      <c r="K5177">
        <v>1.1343989999999999</v>
      </c>
      <c r="L5177">
        <v>-60.837890000000002</v>
      </c>
      <c r="M5177">
        <v>0.91203250000000002</v>
      </c>
      <c r="N5177">
        <v>-1.5912949999999999E-2</v>
      </c>
      <c r="O5177">
        <v>0.40980919999999998</v>
      </c>
      <c r="P5177">
        <v>0.85512790000000005</v>
      </c>
      <c r="Q5177">
        <v>0.1900588</v>
      </c>
      <c r="R5177">
        <v>0.48232170000000002</v>
      </c>
      <c r="S5177">
        <v>2.055466</v>
      </c>
      <c r="T5177">
        <v>0.14854690000000001</v>
      </c>
      <c r="U5177">
        <v>2.5448909999999998</v>
      </c>
      <c r="V5177">
        <v>-9.6272940000000001E-2</v>
      </c>
      <c r="W5177">
        <v>0.20249449999999999</v>
      </c>
      <c r="X5177">
        <v>0.97453959999999995</v>
      </c>
      <c r="Y5177">
        <v>-0.45239020000000002</v>
      </c>
      <c r="Z5177">
        <v>1.868732E-2</v>
      </c>
      <c r="AA5177">
        <v>0.89162430000000004</v>
      </c>
      <c r="AB5177">
        <v>37</v>
      </c>
      <c r="AC5177">
        <v>33.697499999999899</v>
      </c>
      <c r="AD5177">
        <v>2.4513529999999899</v>
      </c>
      <c r="AE5177">
        <v>41.892139999999998</v>
      </c>
      <c r="AF5177">
        <v>-24.349914101239602</v>
      </c>
      <c r="AG5177">
        <v>2.4513529999999899</v>
      </c>
      <c r="AH5177">
        <v>47.807674013270699</v>
      </c>
      <c r="AI5177">
        <v>87.383962075409997</v>
      </c>
      <c r="AJ5177">
        <v>116.991138916943</v>
      </c>
      <c r="AK5177">
        <v>53.707552009261398</v>
      </c>
      <c r="AL5177">
        <v>78.317130966518405</v>
      </c>
      <c r="AM5177">
        <v>95.641837086618807</v>
      </c>
      <c r="AN5177">
        <v>0.99999996673732605</v>
      </c>
    </row>
    <row r="5178" spans="1:40" x14ac:dyDescent="0.25">
      <c r="A5178" t="str">
        <f>"20190303170914538"</f>
        <v>20190303170914538</v>
      </c>
      <c r="B5178" t="str">
        <f>"1551604154528651"</f>
        <v>1551604154528651</v>
      </c>
      <c r="C5178" t="s">
        <v>40</v>
      </c>
      <c r="D5178">
        <v>5.2389849999999996</v>
      </c>
      <c r="E5178">
        <v>0.3458445</v>
      </c>
      <c r="F5178" t="s">
        <v>52</v>
      </c>
      <c r="G5178">
        <v>-168.45050000000001</v>
      </c>
      <c r="H5178">
        <v>3.8212009999999998</v>
      </c>
      <c r="I5178">
        <v>-17.579450000000001</v>
      </c>
      <c r="J5178">
        <v>-201.9145</v>
      </c>
      <c r="K5178">
        <v>1.134457</v>
      </c>
      <c r="L5178">
        <v>-60.725250000000003</v>
      </c>
      <c r="M5178">
        <v>0.90784140000000002</v>
      </c>
      <c r="N5178">
        <v>-1.5920090000000001E-2</v>
      </c>
      <c r="O5178">
        <v>0.41901149999999998</v>
      </c>
      <c r="P5178">
        <v>0.84994639999999999</v>
      </c>
      <c r="Q5178">
        <v>0.19056029999999999</v>
      </c>
      <c r="R5178">
        <v>0.49120049999999998</v>
      </c>
      <c r="S5178">
        <v>2.01416</v>
      </c>
      <c r="T5178">
        <v>0.16059470000000001</v>
      </c>
      <c r="U5178">
        <v>2.5856319999999999</v>
      </c>
      <c r="V5178">
        <v>-9.6661360000000002E-2</v>
      </c>
      <c r="W5178">
        <v>0.2029745</v>
      </c>
      <c r="X5178">
        <v>0.97440139999999997</v>
      </c>
      <c r="Y5178">
        <v>-0.45909250000000001</v>
      </c>
      <c r="Z5178">
        <v>1.9888289999999999E-2</v>
      </c>
      <c r="AA5178">
        <v>0.88816580000000001</v>
      </c>
      <c r="AB5178">
        <v>37</v>
      </c>
      <c r="AC5178">
        <v>33.463999999999999</v>
      </c>
      <c r="AD5178">
        <v>2.686744</v>
      </c>
      <c r="AE5178">
        <v>43.145800000000001</v>
      </c>
      <c r="AF5178">
        <v>-25.090180312327401</v>
      </c>
      <c r="AG5178">
        <v>2.686744</v>
      </c>
      <c r="AH5178">
        <v>48.347670919292803</v>
      </c>
      <c r="AI5178">
        <v>87.176178398503694</v>
      </c>
      <c r="AJ5178">
        <v>117.427201768383</v>
      </c>
      <c r="AK5178">
        <v>54.536529269351803</v>
      </c>
      <c r="AL5178">
        <v>78.289047079068794</v>
      </c>
      <c r="AM5178">
        <v>95.665249910310905</v>
      </c>
      <c r="AN5178">
        <v>1.00000007724462</v>
      </c>
    </row>
    <row r="5179" spans="1:40" x14ac:dyDescent="0.25">
      <c r="A5179" t="str">
        <f>"20190303170914553"</f>
        <v>20190303170914553</v>
      </c>
      <c r="B5179" t="str">
        <f>"1551604154549147"</f>
        <v>1551604154549147</v>
      </c>
      <c r="C5179" t="s">
        <v>40</v>
      </c>
      <c r="D5179">
        <v>5.104247</v>
      </c>
      <c r="E5179">
        <v>0.34080500000000002</v>
      </c>
      <c r="F5179" t="s">
        <v>52</v>
      </c>
      <c r="G5179">
        <v>-157.3501</v>
      </c>
      <c r="H5179">
        <v>4.7377180000000001</v>
      </c>
      <c r="I5179">
        <v>-2.287493</v>
      </c>
      <c r="J5179">
        <v>-201.71</v>
      </c>
      <c r="K5179">
        <v>1.1345080000000001</v>
      </c>
      <c r="L5179">
        <v>-60.624540000000003</v>
      </c>
      <c r="M5179">
        <v>0.90406470000000005</v>
      </c>
      <c r="N5179">
        <v>-1.5925979999999999E-2</v>
      </c>
      <c r="O5179">
        <v>0.4270989</v>
      </c>
      <c r="P5179">
        <v>0.84513579999999999</v>
      </c>
      <c r="Q5179">
        <v>0.19088759999999999</v>
      </c>
      <c r="R5179">
        <v>0.499307</v>
      </c>
      <c r="S5179">
        <v>1.987457</v>
      </c>
      <c r="T5179">
        <v>0.16069600000000001</v>
      </c>
      <c r="U5179">
        <v>2.6061709999999998</v>
      </c>
      <c r="V5179">
        <v>-9.7353560000000006E-2</v>
      </c>
      <c r="W5179">
        <v>0.20327049999999999</v>
      </c>
      <c r="X5179">
        <v>0.97427070000000005</v>
      </c>
      <c r="Y5179">
        <v>-0.4603006</v>
      </c>
      <c r="Z5179">
        <v>2.0431910000000001E-2</v>
      </c>
      <c r="AA5179">
        <v>0.88752799999999998</v>
      </c>
      <c r="AB5179">
        <v>37</v>
      </c>
      <c r="AC5179">
        <v>44.359900000000003</v>
      </c>
      <c r="AD5179">
        <v>3.6032099999999998</v>
      </c>
      <c r="AE5179">
        <v>58.337046999999998</v>
      </c>
      <c r="AF5179">
        <v>-33.717182328505203</v>
      </c>
      <c r="AG5179">
        <v>3.6032099999999998</v>
      </c>
      <c r="AH5179">
        <v>64.8713419011101</v>
      </c>
      <c r="AI5179">
        <v>87.178491058088994</v>
      </c>
      <c r="AJ5179">
        <v>117.463365590433</v>
      </c>
      <c r="AK5179">
        <v>73.199197444565499</v>
      </c>
      <c r="AL5179">
        <v>78.271725585180207</v>
      </c>
      <c r="AM5179">
        <v>95.706312866338195</v>
      </c>
      <c r="AN5179">
        <v>1.0000000043466999</v>
      </c>
    </row>
    <row r="5180" spans="1:40" x14ac:dyDescent="0.25">
      <c r="A5180" t="str">
        <f>"20190303170914565"</f>
        <v>20190303170914565</v>
      </c>
      <c r="B5180" t="str">
        <f>"1551604154558907"</f>
        <v>1551604154558907</v>
      </c>
      <c r="C5180" t="s">
        <v>40</v>
      </c>
      <c r="D5180">
        <v>5.114509</v>
      </c>
      <c r="E5180">
        <v>0.33975149999999998</v>
      </c>
      <c r="F5180" t="s">
        <v>52</v>
      </c>
      <c r="G5180">
        <v>-157.3501</v>
      </c>
      <c r="H5180">
        <v>5.55816</v>
      </c>
      <c r="I5180">
        <v>0.1496902</v>
      </c>
      <c r="J5180">
        <v>-201.5077</v>
      </c>
      <c r="K5180">
        <v>1.1345459999999901</v>
      </c>
      <c r="L5180">
        <v>-60.522370000000002</v>
      </c>
      <c r="M5180">
        <v>0.900219199999999</v>
      </c>
      <c r="N5180">
        <v>-1.593193E-2</v>
      </c>
      <c r="O5180">
        <v>0.43514540000000002</v>
      </c>
      <c r="P5180">
        <v>0.84018250000000005</v>
      </c>
      <c r="Q5180">
        <v>0.1901341</v>
      </c>
      <c r="R5180">
        <v>0.50788040000000001</v>
      </c>
      <c r="S5180">
        <v>1.9376979999999999</v>
      </c>
      <c r="T5180">
        <v>0.1932305</v>
      </c>
      <c r="U5180">
        <v>2.6546940000000001</v>
      </c>
      <c r="V5180">
        <v>-9.8505510000000004E-2</v>
      </c>
      <c r="W5180">
        <v>0.20247299999999999</v>
      </c>
      <c r="X5180">
        <v>0.97432090000000005</v>
      </c>
      <c r="Y5180">
        <v>-0.47103729999999999</v>
      </c>
      <c r="Z5180">
        <v>2.2838359999999999E-2</v>
      </c>
      <c r="AA5180">
        <v>0.88181759999999998</v>
      </c>
      <c r="AB5180">
        <v>37</v>
      </c>
      <c r="AC5180">
        <v>44.157600000000002</v>
      </c>
      <c r="AD5180">
        <v>4.4236139999999997</v>
      </c>
      <c r="AE5180">
        <v>60.672060199999997</v>
      </c>
      <c r="AF5180">
        <v>-35.285052085495501</v>
      </c>
      <c r="AG5180">
        <v>4.4236139999999997</v>
      </c>
      <c r="AH5180">
        <v>65.931964707868801</v>
      </c>
      <c r="AI5180">
        <v>86.614614123689194</v>
      </c>
      <c r="AJ5180">
        <v>118.15451728514</v>
      </c>
      <c r="AK5180">
        <v>74.910795161557203</v>
      </c>
      <c r="AL5180">
        <v>78.318388491441894</v>
      </c>
      <c r="AM5180">
        <v>95.773084699508303</v>
      </c>
      <c r="AN5180">
        <v>0.99999993370308204</v>
      </c>
    </row>
    <row r="5181" spans="1:40" x14ac:dyDescent="0.25">
      <c r="A5181" t="str">
        <f>"20190303170914579"</f>
        <v>20190303170914579</v>
      </c>
      <c r="B5181" t="str">
        <f>"1551604154569176"</f>
        <v>1551604154569176</v>
      </c>
      <c r="C5181" t="s">
        <v>40</v>
      </c>
      <c r="D5181">
        <v>5.1368729999999996</v>
      </c>
      <c r="E5181">
        <v>0.33906619999999998</v>
      </c>
      <c r="F5181" t="s">
        <v>52</v>
      </c>
      <c r="G5181">
        <v>-157.3501</v>
      </c>
      <c r="H5181">
        <v>5.721209</v>
      </c>
      <c r="I5181">
        <v>1.5864780000000001</v>
      </c>
      <c r="J5181">
        <v>-201.31909999999999</v>
      </c>
      <c r="K5181">
        <v>1.1345809999999901</v>
      </c>
      <c r="L5181">
        <v>-60.424680000000002</v>
      </c>
      <c r="M5181">
        <v>0.89653280000000002</v>
      </c>
      <c r="N5181">
        <v>-1.5937690000000001E-2</v>
      </c>
      <c r="O5181">
        <v>0.44269049999999999</v>
      </c>
      <c r="P5181">
        <v>0.83588700000000005</v>
      </c>
      <c r="Q5181">
        <v>0.18945239999999999</v>
      </c>
      <c r="R5181">
        <v>0.51517060000000003</v>
      </c>
      <c r="S5181">
        <v>1.90564</v>
      </c>
      <c r="T5181">
        <v>0.1979387</v>
      </c>
      <c r="U5181">
        <v>2.6803279999999998</v>
      </c>
      <c r="V5181">
        <v>-9.8730860000000004E-2</v>
      </c>
      <c r="W5181">
        <v>0.2017804</v>
      </c>
      <c r="X5181">
        <v>0.97444180000000002</v>
      </c>
      <c r="Y5181">
        <v>-0.47463810000000001</v>
      </c>
      <c r="Z5181">
        <v>2.36618E-2</v>
      </c>
      <c r="AA5181">
        <v>0.87986299999999995</v>
      </c>
      <c r="AB5181">
        <v>37</v>
      </c>
      <c r="AC5181">
        <v>43.969000000000001</v>
      </c>
      <c r="AD5181">
        <v>4.5866280000000001</v>
      </c>
      <c r="AE5181">
        <v>62.011157999999902</v>
      </c>
      <c r="AF5181">
        <v>-36.003897112245497</v>
      </c>
      <c r="AG5181">
        <v>4.5866280000000001</v>
      </c>
      <c r="AH5181">
        <v>66.637304897919293</v>
      </c>
      <c r="AI5181">
        <v>86.534620028223998</v>
      </c>
      <c r="AJ5181">
        <v>118.382193839295</v>
      </c>
      <c r="AK5181">
        <v>75.8804860800048</v>
      </c>
      <c r="AL5181">
        <v>78.358908291423106</v>
      </c>
      <c r="AM5181">
        <v>95.785489182091197</v>
      </c>
      <c r="AN5181">
        <v>0.99999996706386896</v>
      </c>
    </row>
    <row r="5182" spans="1:40" x14ac:dyDescent="0.25">
      <c r="A5182" t="str">
        <f>"20190303170914591"</f>
        <v>20190303170914591</v>
      </c>
      <c r="B5182" t="str">
        <f>"1551604154588694"</f>
        <v>1551604154588694</v>
      </c>
      <c r="C5182" t="s">
        <v>40</v>
      </c>
      <c r="D5182">
        <v>5.1170679999999997</v>
      </c>
      <c r="E5182">
        <v>0.33869529999999998</v>
      </c>
      <c r="F5182" t="s">
        <v>52</v>
      </c>
      <c r="G5182">
        <v>-157.3501</v>
      </c>
      <c r="H5182">
        <v>5.833475</v>
      </c>
      <c r="I5182">
        <v>2.7685780000000002</v>
      </c>
      <c r="J5182">
        <v>-201.1447</v>
      </c>
      <c r="K5182">
        <v>1.134614</v>
      </c>
      <c r="L5182">
        <v>-60.333219999999997</v>
      </c>
      <c r="M5182">
        <v>0.89305009999999996</v>
      </c>
      <c r="N5182">
        <v>-1.594276E-2</v>
      </c>
      <c r="O5182">
        <v>0.44967479999999999</v>
      </c>
      <c r="P5182">
        <v>0.83184439999999904</v>
      </c>
      <c r="Q5182">
        <v>0.18883920000000001</v>
      </c>
      <c r="R5182">
        <v>0.52189540000000001</v>
      </c>
      <c r="S5182">
        <v>1.879059</v>
      </c>
      <c r="T5182">
        <v>0.2008114</v>
      </c>
      <c r="U5182">
        <v>2.7006230000000002</v>
      </c>
      <c r="V5182">
        <v>-9.8921739999999994E-2</v>
      </c>
      <c r="W5182">
        <v>0.2011578</v>
      </c>
      <c r="X5182">
        <v>0.97455119999999895</v>
      </c>
      <c r="Y5182">
        <v>-0.47672049999999999</v>
      </c>
      <c r="Z5182">
        <v>2.4373849999999999E-2</v>
      </c>
      <c r="AA5182">
        <v>0.87871690000000002</v>
      </c>
      <c r="AB5182">
        <v>37</v>
      </c>
      <c r="AC5182">
        <v>43.794600000000003</v>
      </c>
      <c r="AD5182">
        <v>4.698861</v>
      </c>
      <c r="AE5182">
        <v>63.101798000000002</v>
      </c>
      <c r="AF5182">
        <v>-36.527696960321798</v>
      </c>
      <c r="AG5182">
        <v>4.698861</v>
      </c>
      <c r="AH5182">
        <v>67.242987154043007</v>
      </c>
      <c r="AI5182">
        <v>86.486226485095699</v>
      </c>
      <c r="AJ5182">
        <v>118.511668821981</v>
      </c>
      <c r="AK5182">
        <v>76.667928505478898</v>
      </c>
      <c r="AL5182">
        <v>78.395327886143306</v>
      </c>
      <c r="AM5182">
        <v>95.795952109076893</v>
      </c>
      <c r="AN5182">
        <v>1.00000000628345</v>
      </c>
    </row>
    <row r="5183" spans="1:40" x14ac:dyDescent="0.25">
      <c r="A5183" t="str">
        <f>"20190303170914603"</f>
        <v>20190303170914603</v>
      </c>
      <c r="B5183" t="str">
        <f>"1551604154599431"</f>
        <v>1551604154599431</v>
      </c>
      <c r="C5183" t="s">
        <v>40</v>
      </c>
      <c r="D5183">
        <v>5.100041</v>
      </c>
      <c r="E5183">
        <v>0.33882689999999999</v>
      </c>
      <c r="F5183" t="s">
        <v>52</v>
      </c>
      <c r="G5183">
        <v>-157.3501</v>
      </c>
      <c r="H5183">
        <v>5.9453740000000002</v>
      </c>
      <c r="I5183">
        <v>3.8046980000000001</v>
      </c>
      <c r="J5183">
        <v>-200.97929999999999</v>
      </c>
      <c r="K5183">
        <v>1.1346430000000001</v>
      </c>
      <c r="L5183">
        <v>-60.244230000000002</v>
      </c>
      <c r="M5183">
        <v>0.88966149999999999</v>
      </c>
      <c r="N5183">
        <v>-1.5947880000000001E-2</v>
      </c>
      <c r="O5183">
        <v>0.45634209999999897</v>
      </c>
      <c r="P5183">
        <v>0.82813630000000005</v>
      </c>
      <c r="Q5183">
        <v>0.18839990000000001</v>
      </c>
      <c r="R5183">
        <v>0.52791650000000001</v>
      </c>
      <c r="S5183">
        <v>1.8553770000000001</v>
      </c>
      <c r="T5183">
        <v>0.2038093</v>
      </c>
      <c r="U5183">
        <v>2.7172239999999999</v>
      </c>
      <c r="V5183">
        <v>-9.8659259999999999E-2</v>
      </c>
      <c r="W5183">
        <v>0.20072570000000001</v>
      </c>
      <c r="X5183">
        <v>0.9746669</v>
      </c>
      <c r="Y5183">
        <v>-0.4778848</v>
      </c>
      <c r="Z5183">
        <v>2.5107850000000001E-2</v>
      </c>
      <c r="AA5183">
        <v>0.87806360000000006</v>
      </c>
      <c r="AB5183">
        <v>37</v>
      </c>
      <c r="AC5183">
        <v>43.629199999999997</v>
      </c>
      <c r="AD5183">
        <v>4.8107309999999996</v>
      </c>
      <c r="AE5183">
        <v>64.048928000000004</v>
      </c>
      <c r="AF5183">
        <v>-36.934413194241102</v>
      </c>
      <c r="AG5183">
        <v>4.8107309999999996</v>
      </c>
      <c r="AH5183">
        <v>67.790864457800595</v>
      </c>
      <c r="AI5183">
        <v>86.434188407349097</v>
      </c>
      <c r="AJ5183">
        <v>118.58281940211999</v>
      </c>
      <c r="AK5183">
        <v>77.3491778540224</v>
      </c>
      <c r="AL5183">
        <v>78.420600937392905</v>
      </c>
      <c r="AM5183">
        <v>95.779995794831606</v>
      </c>
      <c r="AN5183">
        <v>1.0000000110899201</v>
      </c>
    </row>
    <row r="5184" spans="1:40" x14ac:dyDescent="0.25">
      <c r="A5184" t="str">
        <f>"20190303170914615"</f>
        <v>20190303170914615</v>
      </c>
      <c r="B5184" t="str">
        <f>"1551604154609191"</f>
        <v>1551604154609191</v>
      </c>
      <c r="C5184" t="s">
        <v>40</v>
      </c>
      <c r="D5184">
        <v>5.0917199999999996</v>
      </c>
      <c r="E5184">
        <v>0.3389337</v>
      </c>
      <c r="F5184" t="s">
        <v>52</v>
      </c>
      <c r="G5184">
        <v>-157.3501</v>
      </c>
      <c r="H5184">
        <v>5.962663</v>
      </c>
      <c r="I5184">
        <v>4.6125509999999998</v>
      </c>
      <c r="J5184">
        <v>-200.8075</v>
      </c>
      <c r="K5184">
        <v>1.1346750000000001</v>
      </c>
      <c r="L5184">
        <v>-60.150359999999999</v>
      </c>
      <c r="M5184">
        <v>0.8860654</v>
      </c>
      <c r="N5184">
        <v>-1.595309E-2</v>
      </c>
      <c r="O5184">
        <v>0.46328570000000002</v>
      </c>
      <c r="P5184">
        <v>0.82418389999999997</v>
      </c>
      <c r="Q5184">
        <v>0.18827969999999999</v>
      </c>
      <c r="R5184">
        <v>0.53410840000000004</v>
      </c>
      <c r="S5184">
        <v>1.8362579999999999</v>
      </c>
      <c r="T5184">
        <v>0.2032003</v>
      </c>
      <c r="U5184">
        <v>2.7296749999999999</v>
      </c>
      <c r="V5184">
        <v>-9.8342289999999999E-2</v>
      </c>
      <c r="W5184">
        <v>0.2006136</v>
      </c>
      <c r="X5184">
        <v>0.97472199999999998</v>
      </c>
      <c r="Y5184">
        <v>-0.47711540000000002</v>
      </c>
      <c r="Z5184">
        <v>2.5670350000000002E-2</v>
      </c>
      <c r="AA5184">
        <v>0.87846569999999902</v>
      </c>
      <c r="AB5184">
        <v>37</v>
      </c>
      <c r="AC5184">
        <v>43.4574</v>
      </c>
      <c r="AD5184">
        <v>4.8279880000000004</v>
      </c>
      <c r="AE5184">
        <v>64.762911000000003</v>
      </c>
      <c r="AF5184">
        <v>-37.113502647629403</v>
      </c>
      <c r="AG5184">
        <v>4.8279880000000004</v>
      </c>
      <c r="AH5184">
        <v>68.2569838687767</v>
      </c>
      <c r="AI5184">
        <v>86.444172100366401</v>
      </c>
      <c r="AJ5184">
        <v>118.534338211068</v>
      </c>
      <c r="AK5184">
        <v>77.844315102428496</v>
      </c>
      <c r="AL5184">
        <v>78.4271570230934</v>
      </c>
      <c r="AM5184">
        <v>95.761227596304494</v>
      </c>
      <c r="AN5184">
        <v>0.99999999989570199</v>
      </c>
    </row>
    <row r="5185" spans="1:40" x14ac:dyDescent="0.25">
      <c r="A5185" t="str">
        <f>"20190303170914625"</f>
        <v>20190303170914625</v>
      </c>
      <c r="B5185" t="str">
        <f>"1551604154618951"</f>
        <v>1551604154618951</v>
      </c>
      <c r="C5185" t="s">
        <v>40</v>
      </c>
      <c r="D5185">
        <v>5.1139039999999998</v>
      </c>
      <c r="E5185">
        <v>0.33993679999999998</v>
      </c>
      <c r="F5185" t="s">
        <v>52</v>
      </c>
      <c r="G5185">
        <v>-157.3501</v>
      </c>
      <c r="H5185">
        <v>6.0176170000000004</v>
      </c>
      <c r="I5185">
        <v>5.4734439999999998</v>
      </c>
      <c r="J5185">
        <v>-200.65010000000001</v>
      </c>
      <c r="K5185">
        <v>1.1347050000000001</v>
      </c>
      <c r="L5185">
        <v>-60.063049999999997</v>
      </c>
      <c r="M5185">
        <v>0.88270389999999999</v>
      </c>
      <c r="N5185">
        <v>-1.5957780000000001E-2</v>
      </c>
      <c r="O5185">
        <v>0.46965859999999898</v>
      </c>
      <c r="P5185">
        <v>0.82051589999999996</v>
      </c>
      <c r="Q5185">
        <v>0.18797349999999999</v>
      </c>
      <c r="R5185">
        <v>0.53983289999999995</v>
      </c>
      <c r="S5185">
        <v>1.8161160000000001</v>
      </c>
      <c r="T5185">
        <v>0.2040614</v>
      </c>
      <c r="U5185">
        <v>2.7424620000000002</v>
      </c>
      <c r="V5185">
        <v>-9.8076490000000002E-2</v>
      </c>
      <c r="W5185">
        <v>0.20031560000000001</v>
      </c>
      <c r="X5185">
        <v>0.97481010000000001</v>
      </c>
      <c r="Y5185">
        <v>-0.47716510000000001</v>
      </c>
      <c r="Z5185">
        <v>2.627237E-2</v>
      </c>
      <c r="AA5185">
        <v>0.87842089999999995</v>
      </c>
      <c r="AB5185">
        <v>37</v>
      </c>
      <c r="AC5185">
        <v>43.3</v>
      </c>
      <c r="AD5185">
        <v>4.8829119999999904</v>
      </c>
      <c r="AE5185">
        <v>65.536493999999905</v>
      </c>
      <c r="AF5185">
        <v>-37.3734535946001</v>
      </c>
      <c r="AG5185">
        <v>4.8829119999999904</v>
      </c>
      <c r="AH5185">
        <v>68.743991358061905</v>
      </c>
      <c r="AI5185">
        <v>86.429130965005001</v>
      </c>
      <c r="AJ5185">
        <v>118.531217821376</v>
      </c>
      <c r="AK5185">
        <v>78.398687559325694</v>
      </c>
      <c r="AL5185">
        <v>78.444585338374395</v>
      </c>
      <c r="AM5185">
        <v>95.745244642268204</v>
      </c>
      <c r="AN5185">
        <v>1.00000003427804</v>
      </c>
    </row>
    <row r="5186" spans="1:40" x14ac:dyDescent="0.25">
      <c r="A5186" t="str">
        <f>"20190303170914638"</f>
        <v>20190303170914638</v>
      </c>
      <c r="B5186" t="str">
        <f>"1551604154628711"</f>
        <v>1551604154628711</v>
      </c>
      <c r="C5186" t="s">
        <v>40</v>
      </c>
      <c r="D5186">
        <v>5.1040359999999998</v>
      </c>
      <c r="E5186">
        <v>0.3410048</v>
      </c>
      <c r="F5186" t="s">
        <v>52</v>
      </c>
      <c r="G5186">
        <v>-157.3501</v>
      </c>
      <c r="H5186">
        <v>5.8919259999999998</v>
      </c>
      <c r="I5186">
        <v>6.0074430000000003</v>
      </c>
      <c r="J5186">
        <v>-200.49029999999999</v>
      </c>
      <c r="K5186">
        <v>1.134735</v>
      </c>
      <c r="L5186">
        <v>-59.972290000000001</v>
      </c>
      <c r="M5186">
        <v>0.87921119999999997</v>
      </c>
      <c r="N5186">
        <v>-1.596262E-2</v>
      </c>
      <c r="O5186">
        <v>0.4761648</v>
      </c>
      <c r="P5186">
        <v>0.81653629999999999</v>
      </c>
      <c r="Q5186">
        <v>0.1878592</v>
      </c>
      <c r="R5186">
        <v>0.54587299999999905</v>
      </c>
      <c r="S5186">
        <v>1.8019259999999999</v>
      </c>
      <c r="T5186">
        <v>0.19797090000000001</v>
      </c>
      <c r="U5186">
        <v>2.7495120000000002</v>
      </c>
      <c r="V5186">
        <v>-9.8069100000000006E-2</v>
      </c>
      <c r="W5186">
        <v>0.20019970000000001</v>
      </c>
      <c r="X5186">
        <v>0.9748346</v>
      </c>
      <c r="Y5186">
        <v>-0.47487659999999998</v>
      </c>
      <c r="Z5186">
        <v>2.6419789999999999E-2</v>
      </c>
      <c r="AA5186">
        <v>0.87965579999999999</v>
      </c>
      <c r="AB5186">
        <v>37</v>
      </c>
      <c r="AC5186">
        <v>43.140199999999901</v>
      </c>
      <c r="AD5186">
        <v>4.7571909999999997</v>
      </c>
      <c r="AE5186">
        <v>65.979732999999996</v>
      </c>
      <c r="AF5186">
        <v>-37.337079226599798</v>
      </c>
      <c r="AG5186">
        <v>4.7571909999999997</v>
      </c>
      <c r="AH5186">
        <v>69.1037542632682</v>
      </c>
      <c r="AI5186">
        <v>86.534051976681795</v>
      </c>
      <c r="AJ5186">
        <v>118.382558598198</v>
      </c>
      <c r="AK5186">
        <v>78.689371611813201</v>
      </c>
      <c r="AL5186">
        <v>78.451362614027801</v>
      </c>
      <c r="AM5186">
        <v>95.744671221773501</v>
      </c>
      <c r="AN5186">
        <v>0.99999998280602898</v>
      </c>
    </row>
    <row r="5187" spans="1:40" x14ac:dyDescent="0.25">
      <c r="A5187" t="str">
        <f>"20190303170914656"</f>
        <v>20190303170914656</v>
      </c>
      <c r="B5187" t="str">
        <f>"1551604154649207"</f>
        <v>1551604154649207</v>
      </c>
      <c r="C5187" t="s">
        <v>40</v>
      </c>
      <c r="D5187">
        <v>5.0670500000000001</v>
      </c>
      <c r="E5187">
        <v>0.34264719999999999</v>
      </c>
      <c r="F5187" t="s">
        <v>52</v>
      </c>
      <c r="G5187">
        <v>-157.3501</v>
      </c>
      <c r="H5187">
        <v>5.7735019999999997</v>
      </c>
      <c r="I5187">
        <v>6.5750469999999996</v>
      </c>
      <c r="J5187">
        <v>-200.24019999999999</v>
      </c>
      <c r="K5187">
        <v>1.134773</v>
      </c>
      <c r="L5187">
        <v>-59.827579999999998</v>
      </c>
      <c r="M5187">
        <v>0.87360720000000003</v>
      </c>
      <c r="N5187">
        <v>-1.5969710000000002E-2</v>
      </c>
      <c r="O5187">
        <v>0.48636980000000002</v>
      </c>
      <c r="P5187">
        <v>0.80968209999999996</v>
      </c>
      <c r="Q5187">
        <v>0.18760879999999999</v>
      </c>
      <c r="R5187">
        <v>0.55607359999999995</v>
      </c>
      <c r="S5187">
        <v>1.7870029999999999</v>
      </c>
      <c r="T5187">
        <v>0.1921514</v>
      </c>
      <c r="U5187">
        <v>2.7565919999999999</v>
      </c>
      <c r="V5187">
        <v>-9.8934400000000006E-2</v>
      </c>
      <c r="W5187">
        <v>0.19991610000000001</v>
      </c>
      <c r="X5187">
        <v>0.97480540000000004</v>
      </c>
      <c r="Y5187">
        <v>-0.46900930000000002</v>
      </c>
      <c r="Z5187">
        <v>2.6936950000000001E-2</v>
      </c>
      <c r="AA5187">
        <v>0.88278239999999997</v>
      </c>
      <c r="AB5187">
        <v>37</v>
      </c>
      <c r="AC5187">
        <v>42.890099999999897</v>
      </c>
      <c r="AD5187">
        <v>4.6387289999999997</v>
      </c>
      <c r="AE5187">
        <v>66.402626999999995</v>
      </c>
      <c r="AF5187">
        <v>-37.026598812800202</v>
      </c>
      <c r="AG5187">
        <v>4.6387289999999997</v>
      </c>
      <c r="AH5187">
        <v>69.534784022605905</v>
      </c>
      <c r="AI5187">
        <v>86.630133966005999</v>
      </c>
      <c r="AJ5187">
        <v>118.03486873218699</v>
      </c>
      <c r="AK5187">
        <v>78.914973328576593</v>
      </c>
      <c r="AL5187">
        <v>78.467947344196205</v>
      </c>
      <c r="AM5187">
        <v>95.795187511018</v>
      </c>
      <c r="AN5187">
        <v>1.0000000152058599</v>
      </c>
    </row>
    <row r="5188" spans="1:40" x14ac:dyDescent="0.25">
      <c r="A5188" t="str">
        <f>"20190303170914666"</f>
        <v>20190303170914666</v>
      </c>
      <c r="B5188" t="str">
        <f>"1551604154658967"</f>
        <v>1551604154658967</v>
      </c>
      <c r="C5188" t="s">
        <v>40</v>
      </c>
      <c r="D5188">
        <v>4.9720659999999999</v>
      </c>
      <c r="E5188">
        <v>0.34301530000000002</v>
      </c>
      <c r="F5188" t="s">
        <v>52</v>
      </c>
      <c r="G5188">
        <v>-157.3501</v>
      </c>
      <c r="H5188">
        <v>5.5729819999999997</v>
      </c>
      <c r="I5188">
        <v>7.6266299999999996</v>
      </c>
      <c r="J5188">
        <v>-200.08840000000001</v>
      </c>
      <c r="K5188">
        <v>1.134795</v>
      </c>
      <c r="L5188">
        <v>-59.738039999999998</v>
      </c>
      <c r="M5188">
        <v>0.8701219</v>
      </c>
      <c r="N5188">
        <v>-1.5973729999999998E-2</v>
      </c>
      <c r="O5188">
        <v>0.4925776</v>
      </c>
      <c r="P5188">
        <v>0.80543399999999998</v>
      </c>
      <c r="Q5188">
        <v>0.18734149999999999</v>
      </c>
      <c r="R5188">
        <v>0.56229819999999997</v>
      </c>
      <c r="S5188">
        <v>1.7609250000000001</v>
      </c>
      <c r="T5188">
        <v>0.18221689999999999</v>
      </c>
      <c r="U5188">
        <v>2.7694399999999999</v>
      </c>
      <c r="V5188">
        <v>-9.9481399999999998E-2</v>
      </c>
      <c r="W5188">
        <v>0.19962830000000001</v>
      </c>
      <c r="X5188">
        <v>0.97480869999999997</v>
      </c>
      <c r="Y5188">
        <v>-0.4704721</v>
      </c>
      <c r="Z5188">
        <v>2.6592399999999999E-2</v>
      </c>
      <c r="AA5188">
        <v>0.88201409999999902</v>
      </c>
      <c r="AB5188">
        <v>37</v>
      </c>
      <c r="AC5188">
        <v>42.738300000000002</v>
      </c>
      <c r="AD5188">
        <v>4.4381869999999903</v>
      </c>
      <c r="AE5188">
        <v>67.364669999999904</v>
      </c>
      <c r="AF5188">
        <v>-37.452428710100797</v>
      </c>
      <c r="AG5188">
        <v>4.4381869999999903</v>
      </c>
      <c r="AH5188">
        <v>70.161697236723796</v>
      </c>
      <c r="AI5188">
        <v>86.8059933763967</v>
      </c>
      <c r="AJ5188">
        <v>118.093372619408</v>
      </c>
      <c r="AK5188">
        <v>79.655795013732998</v>
      </c>
      <c r="AL5188">
        <v>78.484776174548202</v>
      </c>
      <c r="AM5188">
        <v>95.826989148629593</v>
      </c>
      <c r="AN5188">
        <v>1.00000000435127</v>
      </c>
    </row>
    <row r="5189" spans="1:40" x14ac:dyDescent="0.25">
      <c r="A5189" t="str">
        <f>"20190303170914678"</f>
        <v>20190303170914678</v>
      </c>
      <c r="B5189" t="str">
        <f>"1551604154668727"</f>
        <v>1551604154668727</v>
      </c>
      <c r="C5189" t="s">
        <v>40</v>
      </c>
      <c r="D5189">
        <v>4.9629240000000001</v>
      </c>
      <c r="E5189">
        <v>0.34339180000000002</v>
      </c>
      <c r="F5189" t="s">
        <v>52</v>
      </c>
      <c r="G5189">
        <v>-157.3501</v>
      </c>
      <c r="H5189">
        <v>5.5470540000000002</v>
      </c>
      <c r="I5189">
        <v>8.4925039999999896</v>
      </c>
      <c r="J5189">
        <v>-199.92670000000001</v>
      </c>
      <c r="K5189">
        <v>1.1348229999999999</v>
      </c>
      <c r="L5189">
        <v>-59.640410000000003</v>
      </c>
      <c r="M5189">
        <v>0.86632549999999997</v>
      </c>
      <c r="N5189">
        <v>-1.5977689999999999E-2</v>
      </c>
      <c r="O5189">
        <v>0.49922430000000001</v>
      </c>
      <c r="P5189">
        <v>0.80055949999999998</v>
      </c>
      <c r="Q5189">
        <v>0.18719459999999999</v>
      </c>
      <c r="R5189">
        <v>0.56926509999999997</v>
      </c>
      <c r="S5189">
        <v>1.741684</v>
      </c>
      <c r="T5189">
        <v>0.17980989999999999</v>
      </c>
      <c r="U5189">
        <v>2.780548</v>
      </c>
      <c r="V5189">
        <v>-0.1004683</v>
      </c>
      <c r="W5189">
        <v>0.1994447</v>
      </c>
      <c r="X5189">
        <v>0.97474510000000003</v>
      </c>
      <c r="Y5189">
        <v>-0.4696881</v>
      </c>
      <c r="Z5189">
        <v>2.6920719999999999E-2</v>
      </c>
      <c r="AA5189">
        <v>0.88242189999999998</v>
      </c>
      <c r="AB5189">
        <v>37</v>
      </c>
      <c r="AC5189">
        <v>42.576599999999999</v>
      </c>
      <c r="AD5189">
        <v>4.4122309999999896</v>
      </c>
      <c r="AE5189">
        <v>68.132914</v>
      </c>
      <c r="AF5189">
        <v>-37.6612424764647</v>
      </c>
      <c r="AG5189">
        <v>4.4122309999999896</v>
      </c>
      <c r="AH5189">
        <v>70.694635766419296</v>
      </c>
      <c r="AI5189">
        <v>86.847125980840403</v>
      </c>
      <c r="AJ5189">
        <v>118.045623327869</v>
      </c>
      <c r="AK5189">
        <v>80.221995072518098</v>
      </c>
      <c r="AL5189">
        <v>78.495511966029397</v>
      </c>
      <c r="AM5189">
        <v>95.884773081617197</v>
      </c>
      <c r="AN5189">
        <v>1.00000003881849</v>
      </c>
    </row>
    <row r="5190" spans="1:40" x14ac:dyDescent="0.25">
      <c r="A5190" t="str">
        <f>"20190303170914690"</f>
        <v>20190303170914690</v>
      </c>
      <c r="B5190" t="str">
        <f>"1551604154679464"</f>
        <v>1551604154679464</v>
      </c>
      <c r="C5190" t="s">
        <v>40</v>
      </c>
      <c r="D5190">
        <v>4.9520039999999996</v>
      </c>
      <c r="E5190">
        <v>0.34339180000000002</v>
      </c>
      <c r="F5190" t="s">
        <v>52</v>
      </c>
      <c r="G5190">
        <v>-157.3501</v>
      </c>
      <c r="H5190">
        <v>5.5161619999999996</v>
      </c>
      <c r="I5190">
        <v>9.5197889999999994</v>
      </c>
      <c r="J5190">
        <v>-199.7704</v>
      </c>
      <c r="K5190">
        <v>1.134846</v>
      </c>
      <c r="L5190">
        <v>-59.545380000000002</v>
      </c>
      <c r="M5190">
        <v>0.86259929999999996</v>
      </c>
      <c r="N5190">
        <v>-1.598115E-2</v>
      </c>
      <c r="O5190">
        <v>0.50563530000000001</v>
      </c>
      <c r="P5190">
        <v>0.79576020000000003</v>
      </c>
      <c r="Q5190">
        <v>0.18721399999999999</v>
      </c>
      <c r="R5190">
        <v>0.57594869999999898</v>
      </c>
      <c r="S5190">
        <v>1.719681</v>
      </c>
      <c r="T5190">
        <v>0.17696310000000001</v>
      </c>
      <c r="U5190">
        <v>2.793396</v>
      </c>
      <c r="V5190">
        <v>-0.1014172</v>
      </c>
      <c r="W5190">
        <v>0.1994283</v>
      </c>
      <c r="X5190">
        <v>0.97465009999999996</v>
      </c>
      <c r="Y5190">
        <v>-0.46999340000000001</v>
      </c>
      <c r="Z5190">
        <v>2.7158660000000001E-2</v>
      </c>
      <c r="AA5190">
        <v>0.88225200000000004</v>
      </c>
      <c r="AB5190">
        <v>37</v>
      </c>
      <c r="AC5190">
        <v>42.420299999999997</v>
      </c>
      <c r="AD5190">
        <v>4.381316</v>
      </c>
      <c r="AE5190">
        <v>69.065168999999997</v>
      </c>
      <c r="AF5190">
        <v>-38.020140480309301</v>
      </c>
      <c r="AG5190">
        <v>4.381316</v>
      </c>
      <c r="AH5190">
        <v>71.314262926221204</v>
      </c>
      <c r="AI5190">
        <v>86.896841573493006</v>
      </c>
      <c r="AJ5190">
        <v>118.06364589344901</v>
      </c>
      <c r="AK5190">
        <v>80.934857192340303</v>
      </c>
      <c r="AL5190">
        <v>78.496469919169698</v>
      </c>
      <c r="AM5190">
        <v>95.9405326907616</v>
      </c>
      <c r="AN5190">
        <v>0.99999995636336803</v>
      </c>
    </row>
    <row r="5191" spans="1:40" x14ac:dyDescent="0.25">
      <c r="A5191" t="str">
        <f>"20190303170914701"</f>
        <v>20190303170914701</v>
      </c>
      <c r="B5191" t="str">
        <f>"1551604154689223"</f>
        <v>1551604154689223</v>
      </c>
      <c r="C5191" t="s">
        <v>40</v>
      </c>
      <c r="D5191">
        <v>4.9619109999999997</v>
      </c>
      <c r="E5191">
        <v>0.3588307</v>
      </c>
      <c r="F5191" t="s">
        <v>52</v>
      </c>
      <c r="G5191">
        <v>-157.7089</v>
      </c>
      <c r="H5191">
        <v>5.4887449999999998</v>
      </c>
      <c r="I5191">
        <v>10.044689999999999</v>
      </c>
      <c r="J5191">
        <v>-199.6104</v>
      </c>
      <c r="K5191">
        <v>1.134868</v>
      </c>
      <c r="L5191">
        <v>-59.445279999999997</v>
      </c>
      <c r="M5191">
        <v>0.858691599999999</v>
      </c>
      <c r="N5191">
        <v>-1.5984370000000001E-2</v>
      </c>
      <c r="O5191">
        <v>0.51224340000000002</v>
      </c>
      <c r="P5191">
        <v>0.79085799999999995</v>
      </c>
      <c r="Q5191">
        <v>0.18787209999999999</v>
      </c>
      <c r="R5191">
        <v>0.58244989999999996</v>
      </c>
      <c r="S5191">
        <v>1.696793</v>
      </c>
      <c r="T5191">
        <v>0.175639299999999</v>
      </c>
      <c r="U5191">
        <v>2.807312</v>
      </c>
      <c r="V5191">
        <v>-0.1020326</v>
      </c>
      <c r="W5191">
        <v>0.2000614</v>
      </c>
      <c r="X5191">
        <v>0.97445610000000005</v>
      </c>
      <c r="Y5191">
        <v>-0.4704256</v>
      </c>
      <c r="Z5191">
        <v>2.753152E-2</v>
      </c>
      <c r="AA5191">
        <v>0.88201010000000002</v>
      </c>
      <c r="AB5191">
        <v>37</v>
      </c>
      <c r="AC5191">
        <v>41.901499999999999</v>
      </c>
      <c r="AD5191">
        <v>4.3538769999999998</v>
      </c>
      <c r="AE5191">
        <v>69.48997</v>
      </c>
      <c r="AF5191">
        <v>-38.101876594366097</v>
      </c>
      <c r="AG5191">
        <v>4.3538769999999998</v>
      </c>
      <c r="AH5191">
        <v>71.379893772850096</v>
      </c>
      <c r="AI5191">
        <v>86.919904289673397</v>
      </c>
      <c r="AJ5191">
        <v>118.092855739236</v>
      </c>
      <c r="AK5191">
        <v>81.029614832891795</v>
      </c>
      <c r="AL5191">
        <v>78.459449890936398</v>
      </c>
      <c r="AM5191">
        <v>95.977500940579304</v>
      </c>
      <c r="AN5191">
        <v>0.99999995302996303</v>
      </c>
    </row>
    <row r="5192" spans="1:40" x14ac:dyDescent="0.25">
      <c r="A5192" t="str">
        <f>"20190303170914712"</f>
        <v>20190303170914712</v>
      </c>
      <c r="B5192" t="str">
        <f>"1551604154708744"</f>
        <v>1551604154708744</v>
      </c>
      <c r="C5192" t="s">
        <v>40</v>
      </c>
      <c r="D5192">
        <v>4.7894030000000001</v>
      </c>
      <c r="E5192">
        <v>0.35618499999999997</v>
      </c>
      <c r="F5192" t="s">
        <v>52</v>
      </c>
      <c r="G5192">
        <v>-157.3501</v>
      </c>
      <c r="H5192">
        <v>3.6420300000000001</v>
      </c>
      <c r="I5192">
        <v>6.3903790000000003</v>
      </c>
      <c r="J5192">
        <v>-199.4676</v>
      </c>
      <c r="K5192">
        <v>1.1348860000000001</v>
      </c>
      <c r="L5192">
        <v>-59.355159999999998</v>
      </c>
      <c r="M5192">
        <v>0.8551491</v>
      </c>
      <c r="N5192">
        <v>-1.598693E-2</v>
      </c>
      <c r="O5192">
        <v>0.51813549999999997</v>
      </c>
      <c r="P5192">
        <v>0.78663709999999998</v>
      </c>
      <c r="Q5192">
        <v>0.18929000000000001</v>
      </c>
      <c r="R5192">
        <v>0.58768299999999996</v>
      </c>
      <c r="S5192">
        <v>1.75502</v>
      </c>
      <c r="T5192">
        <v>0.10411910000000001</v>
      </c>
      <c r="U5192">
        <v>2.73407</v>
      </c>
      <c r="V5192">
        <v>-0.10202799999999999</v>
      </c>
      <c r="W5192">
        <v>0.20147499999999999</v>
      </c>
      <c r="X5192">
        <v>0.97416539999999996</v>
      </c>
      <c r="Y5192">
        <v>-0.44009599999999999</v>
      </c>
      <c r="Z5192">
        <v>2.1696940000000001E-2</v>
      </c>
      <c r="AA5192">
        <v>0.89768859999999995</v>
      </c>
      <c r="AB5192">
        <v>37</v>
      </c>
      <c r="AC5192">
        <v>42.1175</v>
      </c>
      <c r="AD5192">
        <v>2.5071439999999998</v>
      </c>
      <c r="AE5192">
        <v>65.745538999999994</v>
      </c>
      <c r="AF5192">
        <v>-34.368627608700997</v>
      </c>
      <c r="AG5192">
        <v>2.5071439999999998</v>
      </c>
      <c r="AH5192">
        <v>70.018604780287205</v>
      </c>
      <c r="AI5192">
        <v>88.158953860525003</v>
      </c>
      <c r="AJ5192">
        <v>116.14410998421801</v>
      </c>
      <c r="AK5192">
        <v>78.039050161572007</v>
      </c>
      <c r="AL5192">
        <v>78.376774396768596</v>
      </c>
      <c r="AM5192">
        <v>95.979004147275901</v>
      </c>
      <c r="AN5192">
        <v>1.0000000574830701</v>
      </c>
    </row>
    <row r="5193" spans="1:40" x14ac:dyDescent="0.25">
      <c r="A5193" t="str">
        <f>"20190303170914722"</f>
        <v>20190303170914722</v>
      </c>
      <c r="B5193" t="str">
        <f>"1551604154718502"</f>
        <v>1551604154718502</v>
      </c>
      <c r="C5193" t="s">
        <v>40</v>
      </c>
      <c r="D5193">
        <v>4.7903840000000004</v>
      </c>
      <c r="E5193">
        <v>0.35544229999999999</v>
      </c>
      <c r="F5193" t="s">
        <v>52</v>
      </c>
      <c r="G5193">
        <v>-157.3501</v>
      </c>
      <c r="H5193">
        <v>4.4816180000000001</v>
      </c>
      <c r="I5193">
        <v>8.161448</v>
      </c>
      <c r="J5193">
        <v>-199.3193</v>
      </c>
      <c r="K5193">
        <v>1.1349020000000001</v>
      </c>
      <c r="L5193">
        <v>-59.259700000000002</v>
      </c>
      <c r="M5193">
        <v>0.85140020000000005</v>
      </c>
      <c r="N5193">
        <v>-1.598925E-2</v>
      </c>
      <c r="O5193">
        <v>0.52427290000000004</v>
      </c>
      <c r="P5193">
        <v>0.78215859999999904</v>
      </c>
      <c r="Q5193">
        <v>0.19083159999999999</v>
      </c>
      <c r="R5193">
        <v>0.59313680000000002</v>
      </c>
      <c r="S5193">
        <v>1.7204279999999901</v>
      </c>
      <c r="T5193">
        <v>0.136708</v>
      </c>
      <c r="U5193">
        <v>2.7579349999999998</v>
      </c>
      <c r="V5193">
        <v>-0.10204829999999999</v>
      </c>
      <c r="W5193">
        <v>0.20301130000000001</v>
      </c>
      <c r="X5193">
        <v>0.97384420000000005</v>
      </c>
      <c r="Y5193">
        <v>-0.44532650000000001</v>
      </c>
      <c r="Z5193">
        <v>2.5203469999999999E-2</v>
      </c>
      <c r="AA5193">
        <v>0.89501350000000002</v>
      </c>
      <c r="AB5193">
        <v>36</v>
      </c>
      <c r="AC5193">
        <v>41.969200000000001</v>
      </c>
      <c r="AD5193">
        <v>3.3467159999999998</v>
      </c>
      <c r="AE5193">
        <v>67.421148000000002</v>
      </c>
      <c r="AF5193">
        <v>-35.340829013747602</v>
      </c>
      <c r="AG5193">
        <v>3.3467159999999998</v>
      </c>
      <c r="AH5193">
        <v>70.962731529738406</v>
      </c>
      <c r="AI5193">
        <v>87.582636343333306</v>
      </c>
      <c r="AJ5193">
        <v>116.474203042742</v>
      </c>
      <c r="AK5193">
        <v>79.3466065407043</v>
      </c>
      <c r="AL5193">
        <v>78.286892663228699</v>
      </c>
      <c r="AM5193">
        <v>95.982143264786799</v>
      </c>
      <c r="AN5193">
        <v>0.99999998466710904</v>
      </c>
    </row>
    <row r="5194" spans="1:40" x14ac:dyDescent="0.25">
      <c r="A5194" t="str">
        <f>"20190303170914734"</f>
        <v>20190303170914734</v>
      </c>
      <c r="B5194" t="str">
        <f>"1551604154729240"</f>
        <v>1551604154729240</v>
      </c>
      <c r="C5194" t="s">
        <v>40</v>
      </c>
      <c r="D5194">
        <v>4.7858039999999997</v>
      </c>
      <c r="E5194">
        <v>0.35517579999999999</v>
      </c>
      <c r="F5194" t="s">
        <v>52</v>
      </c>
      <c r="G5194">
        <v>-157.3501</v>
      </c>
      <c r="H5194">
        <v>4.9307550000000004</v>
      </c>
      <c r="I5194">
        <v>9.3889060000000004</v>
      </c>
      <c r="J5194">
        <v>-199.1729</v>
      </c>
      <c r="K5194">
        <v>1.134919</v>
      </c>
      <c r="L5194">
        <v>-59.164180000000002</v>
      </c>
      <c r="M5194">
        <v>0.84763500000000003</v>
      </c>
      <c r="N5194">
        <v>-1.5991249999999999E-2</v>
      </c>
      <c r="O5194">
        <v>0.5303388</v>
      </c>
      <c r="P5194">
        <v>0.77785289999999996</v>
      </c>
      <c r="Q5194">
        <v>0.19203600000000001</v>
      </c>
      <c r="R5194">
        <v>0.59838709999999995</v>
      </c>
      <c r="S5194">
        <v>1.695282</v>
      </c>
      <c r="T5194">
        <v>0.1533272</v>
      </c>
      <c r="U5194">
        <v>2.7729490000000001</v>
      </c>
      <c r="V5194">
        <v>-0.1018522</v>
      </c>
      <c r="W5194">
        <v>0.2042186</v>
      </c>
      <c r="X5194">
        <v>0.97361229999999999</v>
      </c>
      <c r="Y5194">
        <v>-0.44705040000000001</v>
      </c>
      <c r="Z5194">
        <v>2.7243369999999999E-2</v>
      </c>
      <c r="AA5194">
        <v>0.89409380000000005</v>
      </c>
      <c r="AB5194">
        <v>36</v>
      </c>
      <c r="AC5194">
        <v>41.822800000000001</v>
      </c>
      <c r="AD5194">
        <v>3.795836</v>
      </c>
      <c r="AE5194">
        <v>68.553085999999993</v>
      </c>
      <c r="AF5194">
        <v>-35.852229874800003</v>
      </c>
      <c r="AG5194">
        <v>3.795836</v>
      </c>
      <c r="AH5194">
        <v>71.655909475304696</v>
      </c>
      <c r="AI5194">
        <v>87.287688227802803</v>
      </c>
      <c r="AJ5194">
        <v>116.58057731505799</v>
      </c>
      <c r="AK5194">
        <v>80.214463288533395</v>
      </c>
      <c r="AL5194">
        <v>78.216239640099403</v>
      </c>
      <c r="AM5194">
        <v>95.972142729115703</v>
      </c>
      <c r="AN5194">
        <v>1.0000000089710399</v>
      </c>
    </row>
    <row r="5195" spans="1:40" x14ac:dyDescent="0.25">
      <c r="A5195" t="str">
        <f>"20190303170914758"</f>
        <v>20190303170914758</v>
      </c>
      <c r="B5195" t="str">
        <f>"1551604154748758"</f>
        <v>1551604154748758</v>
      </c>
      <c r="C5195" t="s">
        <v>40</v>
      </c>
      <c r="D5195">
        <v>4.8413680000000001</v>
      </c>
      <c r="E5195">
        <v>0.3562186</v>
      </c>
      <c r="F5195" t="s">
        <v>52</v>
      </c>
      <c r="G5195">
        <v>-157.5838</v>
      </c>
      <c r="H5195">
        <v>5.195246</v>
      </c>
      <c r="I5195">
        <v>10.044689999999999</v>
      </c>
      <c r="J5195">
        <v>-198.85159999999999</v>
      </c>
      <c r="K5195">
        <v>1.1349370000000001</v>
      </c>
      <c r="L5195">
        <v>-58.949010000000001</v>
      </c>
      <c r="M5195">
        <v>0.83913919999999997</v>
      </c>
      <c r="N5195">
        <v>-1.599474E-2</v>
      </c>
      <c r="O5195">
        <v>0.54368159999999999</v>
      </c>
      <c r="P5195">
        <v>0.76815999999999995</v>
      </c>
      <c r="Q5195">
        <v>0.193077</v>
      </c>
      <c r="R5195">
        <v>0.61045179999999999</v>
      </c>
      <c r="S5195">
        <v>1.6737519999999999</v>
      </c>
      <c r="T5195">
        <v>0.16340759999999999</v>
      </c>
      <c r="U5195">
        <v>2.7853089999999998</v>
      </c>
      <c r="V5195">
        <v>-0.10183059999999999</v>
      </c>
      <c r="W5195">
        <v>0.2052562</v>
      </c>
      <c r="X5195">
        <v>0.97339640000000005</v>
      </c>
      <c r="Y5195">
        <v>-0.4397606</v>
      </c>
      <c r="Z5195">
        <v>2.934525E-2</v>
      </c>
      <c r="AA5195">
        <v>0.89763549999999903</v>
      </c>
      <c r="AB5195">
        <v>36</v>
      </c>
      <c r="AC5195">
        <v>41.267800000000001</v>
      </c>
      <c r="AD5195">
        <v>4.0603089999999904</v>
      </c>
      <c r="AE5195">
        <v>68.993699999999905</v>
      </c>
      <c r="AF5195">
        <v>-35.3730803613389</v>
      </c>
      <c r="AG5195">
        <v>4.0603089999999904</v>
      </c>
      <c r="AH5195">
        <v>71.965690808726293</v>
      </c>
      <c r="AI5195">
        <v>87.101356265888796</v>
      </c>
      <c r="AJ5195">
        <v>116.175362885277</v>
      </c>
      <c r="AK5195">
        <v>80.291977040065504</v>
      </c>
      <c r="AL5195">
        <v>78.155503622388096</v>
      </c>
      <c r="AM5195">
        <v>95.972200131458706</v>
      </c>
      <c r="AN5195">
        <v>1.0000000651338701</v>
      </c>
    </row>
    <row r="5196" spans="1:40" x14ac:dyDescent="0.25">
      <c r="A5196" t="str">
        <f>"20190303170914773"</f>
        <v>20190303170914773</v>
      </c>
      <c r="B5196" t="str">
        <f>"1551604154758519"</f>
        <v>1551604154758519</v>
      </c>
      <c r="C5196" t="s">
        <v>40</v>
      </c>
      <c r="D5196">
        <v>4.7536370000000003</v>
      </c>
      <c r="E5196">
        <v>0.35658010000000001</v>
      </c>
      <c r="F5196" t="s">
        <v>52</v>
      </c>
      <c r="G5196">
        <v>-157.93819999999999</v>
      </c>
      <c r="H5196">
        <v>5.2907349999999997</v>
      </c>
      <c r="I5196">
        <v>11.253539999999999</v>
      </c>
      <c r="J5196">
        <v>-198.66159999999999</v>
      </c>
      <c r="K5196">
        <v>1.134944</v>
      </c>
      <c r="L5196">
        <v>-58.818539999999999</v>
      </c>
      <c r="M5196">
        <v>0.83396599999999999</v>
      </c>
      <c r="N5196">
        <v>-1.599623E-2</v>
      </c>
      <c r="O5196">
        <v>0.55158409999999902</v>
      </c>
      <c r="P5196">
        <v>0.76224859999999905</v>
      </c>
      <c r="Q5196">
        <v>0.19302929999999999</v>
      </c>
      <c r="R5196">
        <v>0.6178323</v>
      </c>
      <c r="S5196">
        <v>1.634674</v>
      </c>
      <c r="T5196">
        <v>0.166042299999999</v>
      </c>
      <c r="U5196">
        <v>2.8049010000000001</v>
      </c>
      <c r="V5196">
        <v>-0.10202120000000001</v>
      </c>
      <c r="W5196">
        <v>0.20520060000000001</v>
      </c>
      <c r="X5196">
        <v>0.97338809999999998</v>
      </c>
      <c r="Y5196">
        <v>-0.44334129999999999</v>
      </c>
      <c r="Z5196">
        <v>3.015557E-2</v>
      </c>
      <c r="AA5196">
        <v>0.89584549999999996</v>
      </c>
      <c r="AB5196">
        <v>36</v>
      </c>
      <c r="AC5196">
        <v>40.723399999999998</v>
      </c>
      <c r="AD5196">
        <v>4.1557909999999998</v>
      </c>
      <c r="AE5196">
        <v>70.07208</v>
      </c>
      <c r="AF5196">
        <v>-35.8855981582035</v>
      </c>
      <c r="AG5196">
        <v>4.1557909999999998</v>
      </c>
      <c r="AH5196">
        <v>72.4314165502837</v>
      </c>
      <c r="AI5196">
        <v>87.056922485477003</v>
      </c>
      <c r="AJ5196">
        <v>116.355767674852</v>
      </c>
      <c r="AK5196">
        <v>80.940452540669995</v>
      </c>
      <c r="AL5196">
        <v>78.158757797447393</v>
      </c>
      <c r="AM5196">
        <v>95.983348145602406</v>
      </c>
      <c r="AN5196">
        <v>1.0000000023557001</v>
      </c>
    </row>
    <row r="5197" spans="1:40" x14ac:dyDescent="0.25">
      <c r="A5197" t="str">
        <f>"20190303170914789"</f>
        <v>20190303170914789</v>
      </c>
      <c r="B5197" t="str">
        <f>"1551604154779015"</f>
        <v>1551604154779015</v>
      </c>
      <c r="C5197" t="s">
        <v>40</v>
      </c>
      <c r="D5197">
        <v>4.7571890000000003</v>
      </c>
      <c r="E5197">
        <v>0.3579562</v>
      </c>
      <c r="F5197" t="s">
        <v>52</v>
      </c>
      <c r="G5197">
        <v>-157.93819999999999</v>
      </c>
      <c r="H5197">
        <v>5.3526920000000002</v>
      </c>
      <c r="I5197">
        <v>12.47912</v>
      </c>
      <c r="J5197">
        <v>-198.43440000000001</v>
      </c>
      <c r="K5197">
        <v>1.134951</v>
      </c>
      <c r="L5197">
        <v>-58.658999999999999</v>
      </c>
      <c r="M5197">
        <v>0.82762789999999997</v>
      </c>
      <c r="N5197">
        <v>-1.5997399999999998E-2</v>
      </c>
      <c r="O5197">
        <v>0.56104909999999997</v>
      </c>
      <c r="P5197">
        <v>0.75516000000000005</v>
      </c>
      <c r="Q5197">
        <v>0.1921349</v>
      </c>
      <c r="R5197">
        <v>0.62675159999999996</v>
      </c>
      <c r="S5197">
        <v>1.609497</v>
      </c>
      <c r="T5197">
        <v>0.16669639999999999</v>
      </c>
      <c r="U5197">
        <v>2.8178709999999998</v>
      </c>
      <c r="V5197">
        <v>-0.1022232</v>
      </c>
      <c r="W5197">
        <v>0.20430029999999999</v>
      </c>
      <c r="X5197">
        <v>0.97355630000000004</v>
      </c>
      <c r="Y5197">
        <v>-0.44094949999999999</v>
      </c>
      <c r="Z5197">
        <v>3.0965840000000001E-2</v>
      </c>
      <c r="AA5197">
        <v>0.89699759999999995</v>
      </c>
      <c r="AB5197">
        <v>36</v>
      </c>
      <c r="AC5197">
        <v>40.496200000000002</v>
      </c>
      <c r="AD5197">
        <v>4.2177410000000002</v>
      </c>
      <c r="AE5197">
        <v>71.138120000000001</v>
      </c>
      <c r="AF5197">
        <v>-36.0644171573622</v>
      </c>
      <c r="AG5197">
        <v>4.2177410000000002</v>
      </c>
      <c r="AH5197">
        <v>73.242710593755803</v>
      </c>
      <c r="AI5197">
        <v>87.042586359988704</v>
      </c>
      <c r="AJ5197">
        <v>116.21545011338701</v>
      </c>
      <c r="AK5197">
        <v>81.749166229167102</v>
      </c>
      <c r="AL5197">
        <v>78.211458035682099</v>
      </c>
      <c r="AM5197">
        <v>95.994080637634596</v>
      </c>
      <c r="AN5197">
        <v>1.0000000322339999</v>
      </c>
    </row>
    <row r="5198" spans="1:40" x14ac:dyDescent="0.25">
      <c r="A5198" t="str">
        <f>"20190303170914800"</f>
        <v>20190303170914800</v>
      </c>
      <c r="B5198" t="str">
        <f>"1551604154788775"</f>
        <v>1551604154788775</v>
      </c>
      <c r="C5198" t="s">
        <v>40</v>
      </c>
      <c r="D5198">
        <v>4.7684620000000004</v>
      </c>
      <c r="E5198">
        <v>0.35853770000000001</v>
      </c>
      <c r="F5198" t="s">
        <v>117</v>
      </c>
      <c r="G5198">
        <v>-151.46809999999999</v>
      </c>
      <c r="H5198">
        <v>5.7700570000000004</v>
      </c>
      <c r="I5198">
        <v>25.184989999999999</v>
      </c>
      <c r="J5198">
        <v>-198.2921</v>
      </c>
      <c r="K5198">
        <v>1.1349479999999901</v>
      </c>
      <c r="L5198">
        <v>-58.556339999999999</v>
      </c>
      <c r="M5198">
        <v>0.82355970000000001</v>
      </c>
      <c r="N5198">
        <v>-1.599774E-2</v>
      </c>
      <c r="O5198">
        <v>0.56700390000000001</v>
      </c>
      <c r="P5198">
        <v>0.75067899999999999</v>
      </c>
      <c r="Q5198">
        <v>0.191884</v>
      </c>
      <c r="R5198">
        <v>0.63218799999999997</v>
      </c>
      <c r="S5198">
        <v>1.5847929999999999</v>
      </c>
      <c r="T5198">
        <v>0.15640319999999999</v>
      </c>
      <c r="U5198">
        <v>2.8291629999999999</v>
      </c>
      <c r="V5198">
        <v>-0.1021878</v>
      </c>
      <c r="W5198">
        <v>0.20405100000000001</v>
      </c>
      <c r="X5198">
        <v>0.97361220000000004</v>
      </c>
      <c r="Y5198">
        <v>-0.4419303</v>
      </c>
      <c r="Z5198">
        <v>3.0210569999999999E-2</v>
      </c>
      <c r="AA5198">
        <v>0.89654049999999996</v>
      </c>
      <c r="AB5198">
        <v>36</v>
      </c>
      <c r="AC5198">
        <v>46.823999999999998</v>
      </c>
      <c r="AD5198">
        <v>4.6351089999999999</v>
      </c>
      <c r="AE5198">
        <v>83.741330000000005</v>
      </c>
      <c r="AF5198">
        <v>-42.323243992777599</v>
      </c>
      <c r="AG5198">
        <v>4.6351089999999999</v>
      </c>
      <c r="AH5198">
        <v>85.854655295052893</v>
      </c>
      <c r="AI5198">
        <v>87.227690432952599</v>
      </c>
      <c r="AJ5198">
        <v>116.241632374273</v>
      </c>
      <c r="AK5198">
        <v>95.831952152434198</v>
      </c>
      <c r="AL5198">
        <v>78.226048104660705</v>
      </c>
      <c r="AM5198">
        <v>95.991678456559995</v>
      </c>
      <c r="AN5198">
        <v>0.99999993652933805</v>
      </c>
    </row>
    <row r="5199" spans="1:40" x14ac:dyDescent="0.25">
      <c r="A5199" t="str">
        <f>"20190303170914816"</f>
        <v>20190303170914816</v>
      </c>
      <c r="B5199" t="str">
        <f>"1551604154809271"</f>
        <v>1551604154809271</v>
      </c>
      <c r="C5199" t="s">
        <v>40</v>
      </c>
      <c r="D5199">
        <v>4.7603</v>
      </c>
      <c r="E5199">
        <v>0.35985319999999998</v>
      </c>
      <c r="F5199" t="s">
        <v>117</v>
      </c>
      <c r="G5199">
        <v>-152.0275</v>
      </c>
      <c r="H5199">
        <v>5.6695789999999997</v>
      </c>
      <c r="I5199">
        <v>25.184989999999999</v>
      </c>
      <c r="J5199">
        <v>-198.11070000000001</v>
      </c>
      <c r="K5199">
        <v>1.1349479999999901</v>
      </c>
      <c r="L5199">
        <v>-58.423949999999998</v>
      </c>
      <c r="M5199">
        <v>0.81828840000000003</v>
      </c>
      <c r="N5199">
        <v>-1.599793E-2</v>
      </c>
      <c r="O5199">
        <v>0.57458520000000002</v>
      </c>
      <c r="P5199">
        <v>0.74528190000000005</v>
      </c>
      <c r="Q5199">
        <v>0.191218</v>
      </c>
      <c r="R5199">
        <v>0.63874149999999996</v>
      </c>
      <c r="S5199">
        <v>1.5675809999999999</v>
      </c>
      <c r="T5199">
        <v>0.15364659999999999</v>
      </c>
      <c r="U5199">
        <v>2.837402</v>
      </c>
      <c r="V5199">
        <v>-0.101607</v>
      </c>
      <c r="W5199">
        <v>0.20340720000000001</v>
      </c>
      <c r="X5199">
        <v>0.9738078</v>
      </c>
      <c r="Y5199">
        <v>-0.43890960000000001</v>
      </c>
      <c r="Z5199">
        <v>3.0463339999999998E-2</v>
      </c>
      <c r="AA5199">
        <v>0.89801469999999906</v>
      </c>
      <c r="AB5199">
        <v>36</v>
      </c>
      <c r="AC5199">
        <v>46.083199999999998</v>
      </c>
      <c r="AD5199">
        <v>4.5346310000000001</v>
      </c>
      <c r="AE5199">
        <v>83.608939999999905</v>
      </c>
      <c r="AF5199">
        <v>-41.848452187340698</v>
      </c>
      <c r="AG5199">
        <v>4.5346310000000001</v>
      </c>
      <c r="AH5199">
        <v>85.567728875006907</v>
      </c>
      <c r="AI5199">
        <v>87.274424152063403</v>
      </c>
      <c r="AJ5199">
        <v>116.06178503163601</v>
      </c>
      <c r="AK5199">
        <v>95.360851787350299</v>
      </c>
      <c r="AL5199">
        <v>78.263726691064207</v>
      </c>
      <c r="AM5199">
        <v>95.956681381491407</v>
      </c>
      <c r="AN5199">
        <v>1.00000005140083</v>
      </c>
    </row>
    <row r="5200" spans="1:40" x14ac:dyDescent="0.25">
      <c r="A5200" t="str">
        <f>"20190303170914829"</f>
        <v>20190303170914829</v>
      </c>
      <c r="B5200" t="str">
        <f>"1551604154819032"</f>
        <v>1551604154819032</v>
      </c>
      <c r="C5200" t="s">
        <v>40</v>
      </c>
      <c r="D5200">
        <v>4.7535480000000003</v>
      </c>
      <c r="E5200">
        <v>0.36049550000000002</v>
      </c>
      <c r="F5200" t="s">
        <v>117</v>
      </c>
      <c r="G5200">
        <v>-152.54</v>
      </c>
      <c r="H5200">
        <v>5.4434589999999998</v>
      </c>
      <c r="I5200">
        <v>25.184979999999999</v>
      </c>
      <c r="J5200">
        <v>-197.91970000000001</v>
      </c>
      <c r="K5200">
        <v>1.134946</v>
      </c>
      <c r="L5200">
        <v>-58.282170000000001</v>
      </c>
      <c r="M5200">
        <v>0.81262659999999998</v>
      </c>
      <c r="N5200">
        <v>-1.5997819999999999E-2</v>
      </c>
      <c r="O5200">
        <v>0.58256509999999995</v>
      </c>
      <c r="P5200">
        <v>0.73926400000000003</v>
      </c>
      <c r="Q5200">
        <v>0.1910029</v>
      </c>
      <c r="R5200">
        <v>0.64576040000000001</v>
      </c>
      <c r="S5200">
        <v>1.550171</v>
      </c>
      <c r="T5200">
        <v>0.1465621</v>
      </c>
      <c r="U5200">
        <v>2.8441160000000001</v>
      </c>
      <c r="V5200">
        <v>-0.1012463</v>
      </c>
      <c r="W5200">
        <v>0.2032051</v>
      </c>
      <c r="X5200">
        <v>0.97388750000000002</v>
      </c>
      <c r="Y5200">
        <v>-0.43522230000000001</v>
      </c>
      <c r="Z5200">
        <v>3.0214660000000001E-2</v>
      </c>
      <c r="AA5200">
        <v>0.8998159</v>
      </c>
      <c r="AB5200">
        <v>36</v>
      </c>
      <c r="AC5200">
        <v>45.3797</v>
      </c>
      <c r="AD5200">
        <v>4.3085129999999996</v>
      </c>
      <c r="AE5200">
        <v>83.467149999999904</v>
      </c>
      <c r="AF5200">
        <v>-41.311332116719399</v>
      </c>
      <c r="AG5200">
        <v>4.3085129999999996</v>
      </c>
      <c r="AH5200">
        <v>85.337235667680304</v>
      </c>
      <c r="AI5200">
        <v>87.398079792127604</v>
      </c>
      <c r="AJ5200">
        <v>115.831393624312</v>
      </c>
      <c r="AK5200">
        <v>94.908551969410397</v>
      </c>
      <c r="AL5200">
        <v>78.275552481689004</v>
      </c>
      <c r="AM5200">
        <v>95.935204395126902</v>
      </c>
      <c r="AN5200">
        <v>0.99999999429297504</v>
      </c>
    </row>
    <row r="5201" spans="1:40" x14ac:dyDescent="0.25">
      <c r="A5201" t="str">
        <f>"20190303170914847"</f>
        <v>20190303170914847</v>
      </c>
      <c r="B5201" t="str">
        <f>"1551604154838551"</f>
        <v>1551604154838551</v>
      </c>
      <c r="C5201" t="s">
        <v>40</v>
      </c>
      <c r="D5201">
        <v>4.7653829999999999</v>
      </c>
      <c r="E5201">
        <v>0.36183480000000001</v>
      </c>
      <c r="F5201" t="s">
        <v>117</v>
      </c>
      <c r="G5201">
        <v>-153.28530000000001</v>
      </c>
      <c r="H5201">
        <v>5.3523560000000003</v>
      </c>
      <c r="I5201">
        <v>25.184979999999999</v>
      </c>
      <c r="J5201">
        <v>-197.69030000000001</v>
      </c>
      <c r="K5201">
        <v>1.134944</v>
      </c>
      <c r="L5201">
        <v>-58.10736</v>
      </c>
      <c r="M5201">
        <v>0.80565039999999999</v>
      </c>
      <c r="N5201">
        <v>-1.5997109999999998E-2</v>
      </c>
      <c r="O5201">
        <v>0.59217540000000002</v>
      </c>
      <c r="P5201">
        <v>0.73192389999999996</v>
      </c>
      <c r="Q5201">
        <v>0.19069369999999999</v>
      </c>
      <c r="R5201">
        <v>0.65415869999999998</v>
      </c>
      <c r="S5201">
        <v>1.52681</v>
      </c>
      <c r="T5201">
        <v>0.14426510000000001</v>
      </c>
      <c r="U5201">
        <v>2.8551639999999998</v>
      </c>
      <c r="V5201">
        <v>-0.10073890000000001</v>
      </c>
      <c r="W5201">
        <v>0.2029147</v>
      </c>
      <c r="X5201">
        <v>0.97400070000000005</v>
      </c>
      <c r="Y5201">
        <v>-0.43169669999999999</v>
      </c>
      <c r="Z5201">
        <v>3.0615529999999998E-2</v>
      </c>
      <c r="AA5201">
        <v>0.90149919999999995</v>
      </c>
      <c r="AB5201">
        <v>36</v>
      </c>
      <c r="AC5201">
        <v>44.405000000000001</v>
      </c>
      <c r="AD5201">
        <v>4.2174120000000004</v>
      </c>
      <c r="AE5201">
        <v>83.292339999999996</v>
      </c>
      <c r="AF5201">
        <v>-40.732859236075903</v>
      </c>
      <c r="AG5201">
        <v>4.2174120000000004</v>
      </c>
      <c r="AH5201">
        <v>84.939891814318898</v>
      </c>
      <c r="AI5201">
        <v>87.436577222411003</v>
      </c>
      <c r="AJ5201">
        <v>115.620010957834</v>
      </c>
      <c r="AK5201">
        <v>94.296010556926106</v>
      </c>
      <c r="AL5201">
        <v>78.292545651000907</v>
      </c>
      <c r="AM5201">
        <v>95.904989106470097</v>
      </c>
      <c r="AN5201">
        <v>1.0000000325248899</v>
      </c>
    </row>
    <row r="5202" spans="1:40" x14ac:dyDescent="0.25">
      <c r="A5202" t="str">
        <f>"20190303170914860"</f>
        <v>20190303170914860</v>
      </c>
      <c r="B5202" t="str">
        <f>"1551604154849287"</f>
        <v>1551604154849287</v>
      </c>
      <c r="C5202" t="s">
        <v>40</v>
      </c>
      <c r="D5202">
        <v>4.7596939999999996</v>
      </c>
      <c r="E5202">
        <v>0.36183480000000001</v>
      </c>
      <c r="F5202" t="s">
        <v>117</v>
      </c>
      <c r="G5202">
        <v>-154.38560000000001</v>
      </c>
      <c r="H5202">
        <v>5.1410770000000001</v>
      </c>
      <c r="I5202">
        <v>24.52336</v>
      </c>
      <c r="J5202">
        <v>-197.53980000000001</v>
      </c>
      <c r="K5202">
        <v>1.1349400000000001</v>
      </c>
      <c r="L5202">
        <v>-57.989750000000001</v>
      </c>
      <c r="M5202">
        <v>0.80096299999999998</v>
      </c>
      <c r="N5202">
        <v>-1.599627E-2</v>
      </c>
      <c r="O5202">
        <v>0.59850019999999904</v>
      </c>
      <c r="P5202">
        <v>0.72671889999999995</v>
      </c>
      <c r="Q5202">
        <v>0.19043109999999999</v>
      </c>
      <c r="R5202">
        <v>0.66001189999999998</v>
      </c>
      <c r="S5202">
        <v>1.501663</v>
      </c>
      <c r="T5202">
        <v>0.13891919999999999</v>
      </c>
      <c r="U5202">
        <v>2.8653559999999998</v>
      </c>
      <c r="V5202">
        <v>-0.1008365</v>
      </c>
      <c r="W5202">
        <v>0.202649</v>
      </c>
      <c r="X5202">
        <v>0.97404590000000002</v>
      </c>
      <c r="Y5202">
        <v>-0.43210009999999999</v>
      </c>
      <c r="Z5202">
        <v>3.0351929999999999E-2</v>
      </c>
      <c r="AA5202">
        <v>0.90131470000000002</v>
      </c>
      <c r="AB5202">
        <v>36</v>
      </c>
      <c r="AC5202">
        <v>43.154200000000003</v>
      </c>
      <c r="AD5202">
        <v>4.0061369999999998</v>
      </c>
      <c r="AE5202">
        <v>82.513109999999998</v>
      </c>
      <c r="AF5202">
        <v>-40.192905430228002</v>
      </c>
      <c r="AG5202">
        <v>4.0061369999999998</v>
      </c>
      <c r="AH5202">
        <v>83.804649541912497</v>
      </c>
      <c r="AI5202">
        <v>87.531939617931101</v>
      </c>
      <c r="AJ5202">
        <v>115.622484872125</v>
      </c>
      <c r="AK5202">
        <v>93.030844699103994</v>
      </c>
      <c r="AL5202">
        <v>78.308091939329202</v>
      </c>
      <c r="AM5202">
        <v>95.910397280754694</v>
      </c>
      <c r="AN5202">
        <v>1.00000001612003</v>
      </c>
    </row>
    <row r="5203" spans="1:40" x14ac:dyDescent="0.25">
      <c r="A5203" t="str">
        <f>"20190303170914872"</f>
        <v>20190303170914872</v>
      </c>
      <c r="B5203" t="str">
        <f>"1551604154859047"</f>
        <v>1551604154859047</v>
      </c>
      <c r="C5203" t="s">
        <v>40</v>
      </c>
      <c r="D5203">
        <v>4.7437800000000001</v>
      </c>
      <c r="E5203">
        <v>0.3751215</v>
      </c>
      <c r="F5203" t="s">
        <v>117</v>
      </c>
      <c r="G5203">
        <v>-155.1302</v>
      </c>
      <c r="H5203">
        <v>5.083221</v>
      </c>
      <c r="I5203">
        <v>24.52336</v>
      </c>
      <c r="J5203">
        <v>-197.3869</v>
      </c>
      <c r="K5203">
        <v>1.1349359999999999</v>
      </c>
      <c r="L5203">
        <v>-57.869140000000002</v>
      </c>
      <c r="M5203">
        <v>0.79613250000000002</v>
      </c>
      <c r="N5203">
        <v>-1.5995289999999999E-2</v>
      </c>
      <c r="O5203">
        <v>0.60491090000000003</v>
      </c>
      <c r="P5203">
        <v>0.72103490000000003</v>
      </c>
      <c r="Q5203">
        <v>0.19018180000000001</v>
      </c>
      <c r="R5203">
        <v>0.66628790000000004</v>
      </c>
      <c r="S5203">
        <v>1.4788669999999999</v>
      </c>
      <c r="T5203">
        <v>0.13768079999999999</v>
      </c>
      <c r="U5203">
        <v>2.877319</v>
      </c>
      <c r="V5203">
        <v>-0.10141360000000001</v>
      </c>
      <c r="W5203">
        <v>0.20237910000000001</v>
      </c>
      <c r="X5203">
        <v>0.97404210000000002</v>
      </c>
      <c r="Y5203">
        <v>-0.43203330000000001</v>
      </c>
      <c r="Z5203">
        <v>3.0596470000000001E-2</v>
      </c>
      <c r="AA5203">
        <v>0.90133850000000004</v>
      </c>
      <c r="AB5203">
        <v>36</v>
      </c>
      <c r="AC5203">
        <v>42.256700000000002</v>
      </c>
      <c r="AD5203">
        <v>3.9482849999999998</v>
      </c>
      <c r="AE5203">
        <v>82.392499999999998</v>
      </c>
      <c r="AF5203">
        <v>-39.966266787161999</v>
      </c>
      <c r="AG5203">
        <v>3.9482849999999998</v>
      </c>
      <c r="AH5203">
        <v>83.341209399070806</v>
      </c>
      <c r="AI5203">
        <v>87.553977455694806</v>
      </c>
      <c r="AJ5203">
        <v>115.620041399827</v>
      </c>
      <c r="AK5203">
        <v>92.512964601960604</v>
      </c>
      <c r="AL5203">
        <v>78.323883269061895</v>
      </c>
      <c r="AM5203">
        <v>95.944004756319401</v>
      </c>
      <c r="AN5203">
        <v>1.0000000154770801</v>
      </c>
    </row>
    <row r="5204" spans="1:40" x14ac:dyDescent="0.25">
      <c r="A5204" t="str">
        <f>"20190303170914891"</f>
        <v>20190303170914891</v>
      </c>
      <c r="B5204" t="str">
        <f>"1551604154878567"</f>
        <v>1551604154878567</v>
      </c>
      <c r="C5204" t="s">
        <v>40</v>
      </c>
      <c r="D5204">
        <v>4.7725710000000001</v>
      </c>
      <c r="E5204">
        <v>0.37674049999999998</v>
      </c>
      <c r="F5204" t="s">
        <v>117</v>
      </c>
      <c r="G5204">
        <v>-152.31729999999999</v>
      </c>
      <c r="H5204">
        <v>3.5111970000000001</v>
      </c>
      <c r="I5204">
        <v>25.184989999999999</v>
      </c>
      <c r="J5204">
        <v>-197.15960000000001</v>
      </c>
      <c r="K5204">
        <v>1.1349180000000001</v>
      </c>
      <c r="L5204">
        <v>-57.685760000000002</v>
      </c>
      <c r="M5204">
        <v>0.78879279999999996</v>
      </c>
      <c r="N5204">
        <v>-1.5993259999999999E-2</v>
      </c>
      <c r="O5204">
        <v>0.61445109999999903</v>
      </c>
      <c r="P5204">
        <v>0.71195050000000004</v>
      </c>
      <c r="Q5204">
        <v>0.18990080000000001</v>
      </c>
      <c r="R5204">
        <v>0.67606529999999998</v>
      </c>
      <c r="S5204">
        <v>1.531479</v>
      </c>
      <c r="T5204">
        <v>8.074605E-2</v>
      </c>
      <c r="U5204">
        <v>2.8222049999999999</v>
      </c>
      <c r="V5204">
        <v>-0.10292370000000001</v>
      </c>
      <c r="W5204">
        <v>0.20204430000000001</v>
      </c>
      <c r="X5204">
        <v>0.97395319999999996</v>
      </c>
      <c r="Y5204">
        <v>-0.4005243</v>
      </c>
      <c r="Z5204">
        <v>2.3764759999999999E-2</v>
      </c>
      <c r="AA5204">
        <v>0.91597799999999996</v>
      </c>
      <c r="AB5204">
        <v>36</v>
      </c>
      <c r="AC5204">
        <v>44.842300000000002</v>
      </c>
      <c r="AD5204">
        <v>2.3762789999999998</v>
      </c>
      <c r="AE5204">
        <v>82.870749999999902</v>
      </c>
      <c r="AF5204">
        <v>-37.7952491262702</v>
      </c>
      <c r="AG5204">
        <v>2.3762789999999998</v>
      </c>
      <c r="AH5204">
        <v>86.247490278997503</v>
      </c>
      <c r="AI5204">
        <v>88.5544376086184</v>
      </c>
      <c r="AJ5204">
        <v>113.66392375547299</v>
      </c>
      <c r="AK5204">
        <v>94.195313778491297</v>
      </c>
      <c r="AL5204">
        <v>78.3434704856178</v>
      </c>
      <c r="AM5204">
        <v>96.032412732282495</v>
      </c>
      <c r="AN5204">
        <v>1.0000000114872001</v>
      </c>
    </row>
    <row r="5205" spans="1:40" x14ac:dyDescent="0.25">
      <c r="A5205" t="str">
        <f>"20190303170914914"</f>
        <v>20190303170914914</v>
      </c>
      <c r="B5205" t="str">
        <f>"1551604154899064"</f>
        <v>1551604154899064</v>
      </c>
      <c r="C5205" t="s">
        <v>40</v>
      </c>
      <c r="D5205">
        <v>4.7787269999999999</v>
      </c>
      <c r="E5205">
        <v>0.37823250000000003</v>
      </c>
      <c r="F5205" t="s">
        <v>117</v>
      </c>
      <c r="G5205">
        <v>-153.19710000000001</v>
      </c>
      <c r="H5205">
        <v>3.3769049999999998</v>
      </c>
      <c r="I5205">
        <v>25.184979999999999</v>
      </c>
      <c r="J5205">
        <v>-196.8732</v>
      </c>
      <c r="K5205">
        <v>1.1348990000000001</v>
      </c>
      <c r="L5205">
        <v>-57.447600000000001</v>
      </c>
      <c r="M5205">
        <v>0.77926770000000001</v>
      </c>
      <c r="N5205">
        <v>-1.5989110000000001E-2</v>
      </c>
      <c r="O5205">
        <v>0.62648729999999997</v>
      </c>
      <c r="P5205">
        <v>0.70039030000000002</v>
      </c>
      <c r="Q5205">
        <v>0.1900519</v>
      </c>
      <c r="R5205">
        <v>0.68799259999999995</v>
      </c>
      <c r="S5205">
        <v>1.5029749999999999</v>
      </c>
      <c r="T5205">
        <v>7.6648350000000004E-2</v>
      </c>
      <c r="U5205">
        <v>2.8331599999999999</v>
      </c>
      <c r="V5205">
        <v>-0.1044462</v>
      </c>
      <c r="W5205">
        <v>0.2021395</v>
      </c>
      <c r="X5205">
        <v>0.97377130000000001</v>
      </c>
      <c r="Y5205">
        <v>-0.39508860000000001</v>
      </c>
      <c r="Z5205">
        <v>2.3715989999999999E-2</v>
      </c>
      <c r="AA5205">
        <v>0.91833679999999995</v>
      </c>
      <c r="AB5205">
        <v>36</v>
      </c>
      <c r="AC5205">
        <v>43.676099999999899</v>
      </c>
      <c r="AD5205">
        <v>2.2420059999999999</v>
      </c>
      <c r="AE5205">
        <v>82.632580000000004</v>
      </c>
      <c r="AF5205">
        <v>-37.013812476625603</v>
      </c>
      <c r="AG5205">
        <v>2.2420059999999999</v>
      </c>
      <c r="AH5205">
        <v>85.765250323934396</v>
      </c>
      <c r="AI5205">
        <v>88.625084908654301</v>
      </c>
      <c r="AJ5205">
        <v>113.343637034607</v>
      </c>
      <c r="AK5205">
        <v>93.438359724932894</v>
      </c>
      <c r="AL5205">
        <v>78.3379004653696</v>
      </c>
      <c r="AM5205">
        <v>96.122109455501601</v>
      </c>
      <c r="AN5205">
        <v>0.99999996542918901</v>
      </c>
    </row>
    <row r="5206" spans="1:40" x14ac:dyDescent="0.25">
      <c r="A5206" t="str">
        <f>"20190303170914926"</f>
        <v>20190303170914926</v>
      </c>
      <c r="B5206" t="str">
        <f>"1551604154918583"</f>
        <v>1551604154918583</v>
      </c>
      <c r="C5206" t="s">
        <v>40</v>
      </c>
      <c r="D5206">
        <v>4.7862349999999996</v>
      </c>
      <c r="E5206">
        <v>0.38708150000000002</v>
      </c>
      <c r="F5206" t="s">
        <v>117</v>
      </c>
      <c r="G5206">
        <v>-154.74279999999999</v>
      </c>
      <c r="H5206">
        <v>3.0912359999999999</v>
      </c>
      <c r="I5206">
        <v>24.52336</v>
      </c>
      <c r="J5206">
        <v>-196.71709999999999</v>
      </c>
      <c r="K5206">
        <v>1.134884</v>
      </c>
      <c r="L5206">
        <v>-57.315159999999999</v>
      </c>
      <c r="M5206">
        <v>0.77395760000000002</v>
      </c>
      <c r="N5206">
        <v>-1.5986210000000001E-2</v>
      </c>
      <c r="O5206">
        <v>0.63303569999999998</v>
      </c>
      <c r="P5206">
        <v>0.69404569999999999</v>
      </c>
      <c r="Q5206">
        <v>0.19064829999999999</v>
      </c>
      <c r="R5206">
        <v>0.69422899999999998</v>
      </c>
      <c r="S5206">
        <v>1.4649810000000001</v>
      </c>
      <c r="T5206">
        <v>6.8026899999999904E-2</v>
      </c>
      <c r="U5206">
        <v>2.8503419999999999</v>
      </c>
      <c r="V5206">
        <v>-0.1050635</v>
      </c>
      <c r="W5206">
        <v>0.20271249999999999</v>
      </c>
      <c r="X5206">
        <v>0.97358579999999995</v>
      </c>
      <c r="Y5206">
        <v>-0.39923710000000001</v>
      </c>
      <c r="Z5206">
        <v>2.270935E-2</v>
      </c>
      <c r="AA5206">
        <v>0.9165664</v>
      </c>
      <c r="AB5206">
        <v>36</v>
      </c>
      <c r="AC5206">
        <v>41.974299999999999</v>
      </c>
      <c r="AD5206">
        <v>1.9563520000000001</v>
      </c>
      <c r="AE5206">
        <v>81.838519999999903</v>
      </c>
      <c r="AF5206">
        <v>-36.756381183217798</v>
      </c>
      <c r="AG5206">
        <v>1.9563520000000001</v>
      </c>
      <c r="AH5206">
        <v>84.265676428697304</v>
      </c>
      <c r="AI5206">
        <v>88.780923014965595</v>
      </c>
      <c r="AJ5206">
        <v>113.566654445005</v>
      </c>
      <c r="AK5206">
        <v>91.954135822266494</v>
      </c>
      <c r="AL5206">
        <v>78.304376392112601</v>
      </c>
      <c r="AM5206">
        <v>96.159179560267305</v>
      </c>
      <c r="AN5206">
        <v>1.00000000332507</v>
      </c>
    </row>
    <row r="5207" spans="1:40" x14ac:dyDescent="0.25">
      <c r="A5207" t="str">
        <f>"20190303170914940"</f>
        <v>20190303170914940</v>
      </c>
      <c r="B5207" t="str">
        <f>"1551604154929319"</f>
        <v>1551604154929319</v>
      </c>
      <c r="C5207" t="s">
        <v>40</v>
      </c>
      <c r="D5207">
        <v>4.7739500000000001</v>
      </c>
      <c r="E5207">
        <v>0.38642270000000001</v>
      </c>
      <c r="F5207" t="s">
        <v>117</v>
      </c>
      <c r="G5207">
        <v>-153.06290000000001</v>
      </c>
      <c r="H5207">
        <v>1.772824</v>
      </c>
      <c r="I5207">
        <v>25.184979999999999</v>
      </c>
      <c r="J5207">
        <v>-196.56379999999999</v>
      </c>
      <c r="K5207">
        <v>1.134871</v>
      </c>
      <c r="L5207">
        <v>-57.181980000000003</v>
      </c>
      <c r="M5207">
        <v>0.76863680000000001</v>
      </c>
      <c r="N5207">
        <v>-1.5982670000000001E-2</v>
      </c>
      <c r="O5207">
        <v>0.63948579999999999</v>
      </c>
      <c r="P5207">
        <v>0.68752880000000005</v>
      </c>
      <c r="Q5207">
        <v>0.1908446</v>
      </c>
      <c r="R5207">
        <v>0.70063009999999903</v>
      </c>
      <c r="S5207">
        <v>1.4934080000000001</v>
      </c>
      <c r="T5207">
        <v>2.182388E-2</v>
      </c>
      <c r="U5207">
        <v>2.822327</v>
      </c>
      <c r="V5207">
        <v>-0.105979</v>
      </c>
      <c r="W5207">
        <v>0.202875</v>
      </c>
      <c r="X5207">
        <v>0.97345269999999995</v>
      </c>
      <c r="Y5207">
        <v>-0.38041360000000002</v>
      </c>
      <c r="Z5207">
        <v>1.5982119999999999E-2</v>
      </c>
      <c r="AA5207">
        <v>0.92467840000000001</v>
      </c>
      <c r="AB5207">
        <v>36</v>
      </c>
      <c r="AC5207">
        <v>43.500899999999902</v>
      </c>
      <c r="AD5207">
        <v>0.63795299999999999</v>
      </c>
      <c r="AE5207">
        <v>82.366959999999906</v>
      </c>
      <c r="AF5207">
        <v>-35.494936681527101</v>
      </c>
      <c r="AG5207">
        <v>0.63795299999999999</v>
      </c>
      <c r="AH5207">
        <v>86.115851964847707</v>
      </c>
      <c r="AI5207">
        <v>89.607581930767296</v>
      </c>
      <c r="AJ5207">
        <v>112.400309290121</v>
      </c>
      <c r="AK5207">
        <v>93.146322920915097</v>
      </c>
      <c r="AL5207">
        <v>78.294868064534896</v>
      </c>
      <c r="AM5207">
        <v>96.213274196899505</v>
      </c>
      <c r="AN5207">
        <v>0.99999998660164402</v>
      </c>
    </row>
    <row r="5208" spans="1:40" x14ac:dyDescent="0.25">
      <c r="A5208" t="str">
        <f>"20190303170914959"</f>
        <v>20190303170914959</v>
      </c>
      <c r="B5208" t="str">
        <f>"1551604154948839"</f>
        <v>1551604154948839</v>
      </c>
      <c r="C5208" t="s">
        <v>40</v>
      </c>
      <c r="D5208">
        <v>4.8137919999999896</v>
      </c>
      <c r="E5208">
        <v>0.38668599999999997</v>
      </c>
      <c r="F5208" t="s">
        <v>117</v>
      </c>
      <c r="G5208">
        <v>-154.45769999999999</v>
      </c>
      <c r="H5208">
        <v>1.9204479999999999</v>
      </c>
      <c r="I5208">
        <v>24.52337</v>
      </c>
      <c r="J5208">
        <v>-196.3313</v>
      </c>
      <c r="K5208">
        <v>1.1348579999999999</v>
      </c>
      <c r="L5208">
        <v>-56.976379999999999</v>
      </c>
      <c r="M5208">
        <v>0.76040659999999904</v>
      </c>
      <c r="N5208">
        <v>-1.5976750000000001E-2</v>
      </c>
      <c r="O5208">
        <v>0.64925080000000002</v>
      </c>
      <c r="P5208">
        <v>0.6772994</v>
      </c>
      <c r="Q5208">
        <v>0.19117219999999999</v>
      </c>
      <c r="R5208">
        <v>0.71043559999999994</v>
      </c>
      <c r="S5208">
        <v>1.462952</v>
      </c>
      <c r="T5208">
        <v>2.72944E-2</v>
      </c>
      <c r="U5208">
        <v>2.8388059999999999</v>
      </c>
      <c r="V5208">
        <v>-0.1075937</v>
      </c>
      <c r="W5208">
        <v>0.20314389999999999</v>
      </c>
      <c r="X5208">
        <v>0.97321950000000002</v>
      </c>
      <c r="Y5208">
        <v>-0.37864320000000001</v>
      </c>
      <c r="Z5208">
        <v>1.7033619999999999E-2</v>
      </c>
      <c r="AA5208">
        <v>0.92538600000000004</v>
      </c>
      <c r="AB5208">
        <v>36</v>
      </c>
      <c r="AC5208">
        <v>41.873600000000003</v>
      </c>
      <c r="AD5208">
        <v>0.78559000000000001</v>
      </c>
      <c r="AE5208">
        <v>81.499750000000006</v>
      </c>
      <c r="AF5208">
        <v>-34.788361874704101</v>
      </c>
      <c r="AG5208">
        <v>0.78559000000000001</v>
      </c>
      <c r="AH5208">
        <v>84.759325964084596</v>
      </c>
      <c r="AI5208">
        <v>89.508737297672496</v>
      </c>
      <c r="AJ5208">
        <v>112.31505997555399</v>
      </c>
      <c r="AK5208">
        <v>91.624181368563498</v>
      </c>
      <c r="AL5208">
        <v>78.279134004845304</v>
      </c>
      <c r="AM5208">
        <v>96.308681739548604</v>
      </c>
      <c r="AN5208">
        <v>1.0000000217835701</v>
      </c>
    </row>
    <row r="5209" spans="1:40" x14ac:dyDescent="0.25">
      <c r="A5209" t="str">
        <f>"20190303170914981"</f>
        <v>20190303170914981</v>
      </c>
      <c r="B5209" t="str">
        <f>"1551604154969335"</f>
        <v>1551604154969335</v>
      </c>
      <c r="C5209" t="s">
        <v>40</v>
      </c>
      <c r="D5209">
        <v>4.8176199999999998</v>
      </c>
      <c r="E5209">
        <v>0.387484</v>
      </c>
      <c r="F5209" t="s">
        <v>117</v>
      </c>
      <c r="G5209">
        <v>-155.715</v>
      </c>
      <c r="H5209">
        <v>1.9525140000000001</v>
      </c>
      <c r="I5209">
        <v>24.52336</v>
      </c>
      <c r="J5209">
        <v>-196.08330000000001</v>
      </c>
      <c r="K5209">
        <v>1.1348290000000001</v>
      </c>
      <c r="L5209">
        <v>-56.751190000000001</v>
      </c>
      <c r="M5209">
        <v>0.75139590000000001</v>
      </c>
      <c r="N5209">
        <v>-1.5969460000000001E-2</v>
      </c>
      <c r="O5209">
        <v>0.65965839999999998</v>
      </c>
      <c r="P5209">
        <v>0.66611809999999905</v>
      </c>
      <c r="Q5209">
        <v>0.19146270000000001</v>
      </c>
      <c r="R5209">
        <v>0.72085269999999901</v>
      </c>
      <c r="S5209">
        <v>1.424026</v>
      </c>
      <c r="T5209">
        <v>2.8667450000000001E-2</v>
      </c>
      <c r="U5209">
        <v>2.8574220000000001</v>
      </c>
      <c r="V5209">
        <v>-0.1093396</v>
      </c>
      <c r="W5209">
        <v>0.2033713</v>
      </c>
      <c r="X5209">
        <v>0.97297730000000004</v>
      </c>
      <c r="Y5209">
        <v>-0.37840610000000002</v>
      </c>
      <c r="Z5209">
        <v>1.7490550000000001E-2</v>
      </c>
      <c r="AA5209">
        <v>0.92547440000000003</v>
      </c>
      <c r="AB5209">
        <v>36</v>
      </c>
      <c r="AC5209">
        <v>40.368299999999998</v>
      </c>
      <c r="AD5209">
        <v>0.817684999999999</v>
      </c>
      <c r="AE5209">
        <v>81.274550000000005</v>
      </c>
      <c r="AF5209">
        <v>-34.441671043912301</v>
      </c>
      <c r="AG5209">
        <v>0.817684999999999</v>
      </c>
      <c r="AH5209">
        <v>83.949903892807399</v>
      </c>
      <c r="AI5209">
        <v>89.483706860486706</v>
      </c>
      <c r="AJ5209">
        <v>112.30660511633999</v>
      </c>
      <c r="AK5209">
        <v>90.744055875125397</v>
      </c>
      <c r="AL5209">
        <v>78.265826076916596</v>
      </c>
      <c r="AM5209">
        <v>96.411788368217103</v>
      </c>
      <c r="AN5209">
        <v>0.99999993005356702</v>
      </c>
    </row>
    <row r="5210" spans="1:40" x14ac:dyDescent="0.25">
      <c r="A5210" t="str">
        <f>"20190303170914993"</f>
        <v>20190303170914993</v>
      </c>
      <c r="B5210" t="str">
        <f>"1551604154988855"</f>
        <v>1551604154988855</v>
      </c>
      <c r="C5210" t="s">
        <v>40</v>
      </c>
      <c r="D5210">
        <v>4.8427850000000001</v>
      </c>
      <c r="E5210">
        <v>0.39565729999999999</v>
      </c>
      <c r="F5210" t="s">
        <v>117</v>
      </c>
      <c r="G5210">
        <v>-156.61369999999999</v>
      </c>
      <c r="H5210">
        <v>1.855032</v>
      </c>
      <c r="I5210">
        <v>25.18496</v>
      </c>
      <c r="J5210">
        <v>-195.93469999999999</v>
      </c>
      <c r="K5210">
        <v>1.134809</v>
      </c>
      <c r="L5210">
        <v>-56.613340000000001</v>
      </c>
      <c r="M5210">
        <v>0.74587789999999998</v>
      </c>
      <c r="N5210">
        <v>-1.596469E-2</v>
      </c>
      <c r="O5210">
        <v>0.66589140000000002</v>
      </c>
      <c r="P5210">
        <v>0.65973289999999996</v>
      </c>
      <c r="Q5210">
        <v>0.19123780000000001</v>
      </c>
      <c r="R5210">
        <v>0.72676039999999997</v>
      </c>
      <c r="S5210">
        <v>1.3850100000000001</v>
      </c>
      <c r="T5210">
        <v>2.527225E-2</v>
      </c>
      <c r="U5210">
        <v>2.8751829999999998</v>
      </c>
      <c r="V5210">
        <v>-0.10984910000000001</v>
      </c>
      <c r="W5210">
        <v>0.203129</v>
      </c>
      <c r="X5210">
        <v>0.97297060000000002</v>
      </c>
      <c r="Y5210">
        <v>-0.38310959999999999</v>
      </c>
      <c r="Z5210">
        <v>1.7099949999999999E-2</v>
      </c>
      <c r="AA5210">
        <v>0.92354460000000005</v>
      </c>
      <c r="AB5210">
        <v>36</v>
      </c>
      <c r="AC5210">
        <v>39.320999999999998</v>
      </c>
      <c r="AD5210">
        <v>0.72022299999999995</v>
      </c>
      <c r="AE5210">
        <v>81.798299999999998</v>
      </c>
      <c r="AF5210">
        <v>-34.830273064155797</v>
      </c>
      <c r="AG5210">
        <v>0.72022299999999995</v>
      </c>
      <c r="AH5210">
        <v>83.802849938508004</v>
      </c>
      <c r="AI5210">
        <v>89.545304555234793</v>
      </c>
      <c r="AJ5210">
        <v>112.568824912689</v>
      </c>
      <c r="AK5210">
        <v>90.755629581362498</v>
      </c>
      <c r="AL5210">
        <v>78.280005654482693</v>
      </c>
      <c r="AM5210">
        <v>96.441459422826696</v>
      </c>
      <c r="AN5210">
        <v>1.0000000019380799</v>
      </c>
    </row>
    <row r="5211" spans="1:40" x14ac:dyDescent="0.25">
      <c r="A5211" t="str">
        <f>"20190303170915006"</f>
        <v>20190303170915006</v>
      </c>
      <c r="B5211" t="str">
        <f>"1551604154998615"</f>
        <v>1551604154998615</v>
      </c>
      <c r="C5211" t="s">
        <v>40</v>
      </c>
      <c r="D5211">
        <v>4.8440659999999998</v>
      </c>
      <c r="E5211">
        <v>0.3964588</v>
      </c>
      <c r="F5211" t="s">
        <v>117</v>
      </c>
      <c r="G5211">
        <v>-155.7593</v>
      </c>
      <c r="H5211">
        <v>1.0776699999999999</v>
      </c>
      <c r="I5211">
        <v>24.52336</v>
      </c>
      <c r="J5211">
        <v>-195.78270000000001</v>
      </c>
      <c r="K5211">
        <v>1.1347860000000001</v>
      </c>
      <c r="L5211">
        <v>-56.47</v>
      </c>
      <c r="M5211">
        <v>0.74014169999999901</v>
      </c>
      <c r="N5211">
        <v>-1.595949E-2</v>
      </c>
      <c r="O5211">
        <v>0.67226149999999996</v>
      </c>
      <c r="P5211">
        <v>0.652887199999999</v>
      </c>
      <c r="Q5211">
        <v>0.1910434</v>
      </c>
      <c r="R5211">
        <v>0.73296709999999998</v>
      </c>
      <c r="S5211">
        <v>1.410309</v>
      </c>
      <c r="T5211">
        <v>-2.0058160000000001E-3</v>
      </c>
      <c r="U5211">
        <v>2.8482059999999998</v>
      </c>
      <c r="V5211">
        <v>-0.11065510000000001</v>
      </c>
      <c r="W5211">
        <v>0.20290630000000001</v>
      </c>
      <c r="X5211">
        <v>0.9729257</v>
      </c>
      <c r="Y5211">
        <v>-0.36502220000000002</v>
      </c>
      <c r="Z5211">
        <v>1.2627620000000001E-2</v>
      </c>
      <c r="AA5211">
        <v>0.9309132</v>
      </c>
      <c r="AB5211">
        <v>36</v>
      </c>
      <c r="AC5211">
        <v>40.023400000000002</v>
      </c>
      <c r="AD5211">
        <v>-5.7115999999999903E-2</v>
      </c>
      <c r="AE5211">
        <v>80.993359999999996</v>
      </c>
      <c r="AF5211">
        <v>-33.044568181019301</v>
      </c>
      <c r="AG5211">
        <v>-5.7115999999999903E-2</v>
      </c>
      <c r="AH5211">
        <v>84.082381631995602</v>
      </c>
      <c r="AI5211">
        <v>90.0362232689981</v>
      </c>
      <c r="AJ5211">
        <v>111.454940178295</v>
      </c>
      <c r="AK5211">
        <v>90.342645795969702</v>
      </c>
      <c r="AL5211">
        <v>78.293036390948402</v>
      </c>
      <c r="AM5211">
        <v>96.488617886559396</v>
      </c>
      <c r="AN5211">
        <v>0.99999996772809396</v>
      </c>
    </row>
    <row r="5212" spans="1:40" x14ac:dyDescent="0.25">
      <c r="A5212" t="str">
        <f>"20190303170915027"</f>
        <v>20190303170915027</v>
      </c>
      <c r="B5212" t="str">
        <f>"1551604155019111"</f>
        <v>1551604155019111</v>
      </c>
      <c r="C5212" t="s">
        <v>40</v>
      </c>
      <c r="D5212">
        <v>4.8754549999999997</v>
      </c>
      <c r="E5212">
        <v>0.397231</v>
      </c>
      <c r="F5212" t="s">
        <v>117</v>
      </c>
      <c r="G5212">
        <v>-156.42490000000001</v>
      </c>
      <c r="H5212">
        <v>1.0087029999999999</v>
      </c>
      <c r="I5212">
        <v>24.523350000000001</v>
      </c>
      <c r="J5212">
        <v>-195.5522</v>
      </c>
      <c r="K5212">
        <v>1.134757</v>
      </c>
      <c r="L5212">
        <v>-56.247410000000002</v>
      </c>
      <c r="M5212">
        <v>0.73124639999999996</v>
      </c>
      <c r="N5212">
        <v>-1.5951110000000001E-2</v>
      </c>
      <c r="O5212">
        <v>0.6819269</v>
      </c>
      <c r="P5212">
        <v>0.64288959999999995</v>
      </c>
      <c r="Q5212">
        <v>0.19091089999999999</v>
      </c>
      <c r="R5212">
        <v>0.74178580000000005</v>
      </c>
      <c r="S5212">
        <v>1.3884890000000001</v>
      </c>
      <c r="T5212">
        <v>-4.4480559999999997E-3</v>
      </c>
      <c r="U5212">
        <v>2.8573300000000001</v>
      </c>
      <c r="V5212">
        <v>-0.1110681</v>
      </c>
      <c r="W5212">
        <v>0.2027611</v>
      </c>
      <c r="X5212">
        <v>0.97290900000000002</v>
      </c>
      <c r="Y5212">
        <v>-0.35969659999999998</v>
      </c>
      <c r="Z5212">
        <v>1.228539E-2</v>
      </c>
      <c r="AA5212">
        <v>0.9329885</v>
      </c>
      <c r="AB5212">
        <v>36</v>
      </c>
      <c r="AC5212">
        <v>39.127299999999899</v>
      </c>
      <c r="AD5212">
        <v>-0.126053999999999</v>
      </c>
      <c r="AE5212">
        <v>80.770759999999996</v>
      </c>
      <c r="AF5212">
        <v>-32.385424981014197</v>
      </c>
      <c r="AG5212">
        <v>-0.126053999999999</v>
      </c>
      <c r="AH5212">
        <v>83.701933943839606</v>
      </c>
      <c r="AI5212">
        <v>90.080473113111694</v>
      </c>
      <c r="AJ5212">
        <v>111.15213683054399</v>
      </c>
      <c r="AK5212">
        <v>89.748790447285202</v>
      </c>
      <c r="AL5212">
        <v>78.3015333702714</v>
      </c>
      <c r="AM5212">
        <v>96.512738623067307</v>
      </c>
      <c r="AN5212">
        <v>1.0000000543959</v>
      </c>
    </row>
    <row r="5213" spans="1:40" x14ac:dyDescent="0.25">
      <c r="A5213" t="str">
        <f>"20190303170915048"</f>
        <v>20190303170915048</v>
      </c>
      <c r="B5213" t="str">
        <f>"1551604155038632"</f>
        <v>1551604155038632</v>
      </c>
      <c r="C5213" t="s">
        <v>40</v>
      </c>
      <c r="D5213">
        <v>4.9139039999999996</v>
      </c>
      <c r="E5213">
        <v>0.4045919</v>
      </c>
      <c r="F5213" t="s">
        <v>52</v>
      </c>
      <c r="G5213">
        <v>-165.53440000000001</v>
      </c>
      <c r="H5213">
        <v>0.95013999999999998</v>
      </c>
      <c r="I5213">
        <v>7.3802310000000002</v>
      </c>
      <c r="J5213">
        <v>-195.32069999999999</v>
      </c>
      <c r="K5213">
        <v>1.1347149999999999</v>
      </c>
      <c r="L5213">
        <v>-56.017940000000003</v>
      </c>
      <c r="M5213">
        <v>0.72208249999999996</v>
      </c>
      <c r="N5213">
        <v>-1.5942270000000001E-2</v>
      </c>
      <c r="O5213">
        <v>0.69162330000000005</v>
      </c>
      <c r="P5213">
        <v>0.633104</v>
      </c>
      <c r="Q5213">
        <v>0.1910222</v>
      </c>
      <c r="R5213">
        <v>0.75012650000000003</v>
      </c>
      <c r="S5213">
        <v>1.3549800000000001</v>
      </c>
      <c r="T5213">
        <v>-8.3335639999999999E-3</v>
      </c>
      <c r="U5213">
        <v>2.8721009999999998</v>
      </c>
      <c r="V5213">
        <v>-0.11081100000000001</v>
      </c>
      <c r="W5213">
        <v>0.20288249999999999</v>
      </c>
      <c r="X5213">
        <v>0.97291300000000003</v>
      </c>
      <c r="Y5213">
        <v>-0.35798809999999998</v>
      </c>
      <c r="Z5213">
        <v>1.169485E-2</v>
      </c>
      <c r="AA5213">
        <v>0.93365290000000001</v>
      </c>
      <c r="AB5213">
        <v>36</v>
      </c>
      <c r="AC5213">
        <v>29.786299999999901</v>
      </c>
      <c r="AD5213">
        <v>-0.18457499999999999</v>
      </c>
      <c r="AE5213">
        <v>63.398170999999998</v>
      </c>
      <c r="AF5213">
        <v>-25.180834995147901</v>
      </c>
      <c r="AG5213">
        <v>-0.18457499999999999</v>
      </c>
      <c r="AH5213">
        <v>65.363668560070494</v>
      </c>
      <c r="AI5213">
        <v>90.150976491163703</v>
      </c>
      <c r="AJ5213">
        <v>111.068783778998</v>
      </c>
      <c r="AK5213">
        <v>70.0465394335383</v>
      </c>
      <c r="AL5213">
        <v>78.294429925611993</v>
      </c>
      <c r="AM5213">
        <v>96.497765552668199</v>
      </c>
      <c r="AN5213">
        <v>1.00000004604812</v>
      </c>
    </row>
    <row r="5214" spans="1:40" x14ac:dyDescent="0.25">
      <c r="A5214" t="str">
        <f>"20190303170915070"</f>
        <v>20190303170915070</v>
      </c>
      <c r="B5214" t="str">
        <f>"1551604155059127"</f>
        <v>1551604155059127</v>
      </c>
      <c r="C5214" t="s">
        <v>40</v>
      </c>
      <c r="D5214">
        <v>4.9254290000000003</v>
      </c>
      <c r="E5214">
        <v>0.40571639999999998</v>
      </c>
      <c r="F5214" t="s">
        <v>117</v>
      </c>
      <c r="G5214">
        <v>-156.5668</v>
      </c>
      <c r="H5214">
        <v>0.12795599999999999</v>
      </c>
      <c r="I5214">
        <v>25.10894</v>
      </c>
      <c r="J5214">
        <v>-195.07470000000001</v>
      </c>
      <c r="K5214">
        <v>1.1346719999999999</v>
      </c>
      <c r="L5214">
        <v>-55.767029999999998</v>
      </c>
      <c r="M5214">
        <v>0.71207540000000003</v>
      </c>
      <c r="N5214">
        <v>-1.5932209999999999E-2</v>
      </c>
      <c r="O5214">
        <v>0.70192219999999905</v>
      </c>
      <c r="P5214">
        <v>0.62247359999999996</v>
      </c>
      <c r="Q5214">
        <v>0.1908714</v>
      </c>
      <c r="R5214">
        <v>0.75900909999999999</v>
      </c>
      <c r="S5214">
        <v>1.3645940000000001</v>
      </c>
      <c r="T5214">
        <v>-3.544986E-2</v>
      </c>
      <c r="U5214">
        <v>2.8566280000000002</v>
      </c>
      <c r="V5214">
        <v>-0.1105429</v>
      </c>
      <c r="W5214">
        <v>0.2027437</v>
      </c>
      <c r="X5214">
        <v>0.97297239999999996</v>
      </c>
      <c r="Y5214">
        <v>-0.33994839999999998</v>
      </c>
      <c r="Z5214">
        <v>6.7096439999999999E-3</v>
      </c>
      <c r="AA5214">
        <v>0.94042020000000004</v>
      </c>
      <c r="AB5214">
        <v>36</v>
      </c>
      <c r="AC5214">
        <v>38.507899999999999</v>
      </c>
      <c r="AD5214">
        <v>-1.0067159999999999</v>
      </c>
      <c r="AE5214">
        <v>80.875969999999995</v>
      </c>
      <c r="AF5214">
        <v>-30.560258356730198</v>
      </c>
      <c r="AG5214">
        <v>-1.0067159999999999</v>
      </c>
      <c r="AH5214">
        <v>84.189220953642106</v>
      </c>
      <c r="AI5214">
        <v>90.643986311863401</v>
      </c>
      <c r="AJ5214">
        <v>109.950639327205</v>
      </c>
      <c r="AK5214">
        <v>89.569904503219902</v>
      </c>
      <c r="AL5214">
        <v>78.302551005802499</v>
      </c>
      <c r="AM5214">
        <v>96.481786227461498</v>
      </c>
      <c r="AN5214">
        <v>1.0000000158959299</v>
      </c>
    </row>
    <row r="5215" spans="1:40" x14ac:dyDescent="0.25">
      <c r="A5215" t="str">
        <f>"20190303170915093"</f>
        <v>20190303170915093</v>
      </c>
      <c r="B5215" t="str">
        <f>"1551604155089383"</f>
        <v>1551604155089383</v>
      </c>
      <c r="C5215" t="s">
        <v>40</v>
      </c>
      <c r="D5215">
        <v>4.9595409999999998</v>
      </c>
      <c r="E5215">
        <v>0.407136</v>
      </c>
      <c r="F5215" t="s">
        <v>52</v>
      </c>
      <c r="G5215">
        <v>-165.77809999999999</v>
      </c>
      <c r="H5215">
        <v>0.31756499999999999</v>
      </c>
      <c r="I5215">
        <v>7.3802310000000002</v>
      </c>
      <c r="J5215">
        <v>-194.82689999999999</v>
      </c>
      <c r="K5215">
        <v>1.1346309999999999</v>
      </c>
      <c r="L5215">
        <v>-55.506529999999998</v>
      </c>
      <c r="M5215">
        <v>0.70170239999999995</v>
      </c>
      <c r="N5215">
        <v>-1.5921270000000001E-2</v>
      </c>
      <c r="O5215">
        <v>0.71229229999999999</v>
      </c>
      <c r="P5215">
        <v>0.61131369999999996</v>
      </c>
      <c r="Q5215">
        <v>0.1902711</v>
      </c>
      <c r="R5215">
        <v>0.76817480000000005</v>
      </c>
      <c r="S5215">
        <v>1.331467</v>
      </c>
      <c r="T5215">
        <v>-3.7135840000000003E-2</v>
      </c>
      <c r="U5215">
        <v>2.869904</v>
      </c>
      <c r="V5215">
        <v>-0.1105508</v>
      </c>
      <c r="W5215">
        <v>0.2021461</v>
      </c>
      <c r="X5215">
        <v>0.97309579999999996</v>
      </c>
      <c r="Y5215">
        <v>-0.3367348</v>
      </c>
      <c r="Z5215">
        <v>6.3477100000000003E-3</v>
      </c>
      <c r="AA5215">
        <v>0.94157809999999997</v>
      </c>
      <c r="AB5215">
        <v>36</v>
      </c>
      <c r="AC5215">
        <v>29.0488</v>
      </c>
      <c r="AD5215">
        <v>-0.81706599999999996</v>
      </c>
      <c r="AE5215">
        <v>62.886761</v>
      </c>
      <c r="AF5215">
        <v>-23.436264237422002</v>
      </c>
      <c r="AG5215">
        <v>-0.81706599999999996</v>
      </c>
      <c r="AH5215">
        <v>65.176560924863907</v>
      </c>
      <c r="AI5215">
        <v>90.675870960551407</v>
      </c>
      <c r="AJ5215">
        <v>109.777629705379</v>
      </c>
      <c r="AK5215">
        <v>69.266948628094795</v>
      </c>
      <c r="AL5215">
        <v>78.337514520948304</v>
      </c>
      <c r="AM5215">
        <v>96.481430479054396</v>
      </c>
      <c r="AN5215">
        <v>0.99999998055174399</v>
      </c>
    </row>
    <row r="5216" spans="1:40" x14ac:dyDescent="0.25">
      <c r="A5216" t="str">
        <f>"20190303170915116"</f>
        <v>20190303170915116</v>
      </c>
      <c r="B5216" t="str">
        <f>"1551604155108903"</f>
        <v>1551604155108903</v>
      </c>
      <c r="C5216" t="s">
        <v>40</v>
      </c>
      <c r="D5216">
        <v>5.0115660000000002</v>
      </c>
      <c r="E5216">
        <v>0.41349950000000002</v>
      </c>
      <c r="F5216" t="s">
        <v>52</v>
      </c>
      <c r="G5216">
        <v>-166.4924</v>
      </c>
      <c r="H5216">
        <v>0.18892100000000001</v>
      </c>
      <c r="I5216">
        <v>7.3802310000000002</v>
      </c>
      <c r="J5216">
        <v>-194.58369999999999</v>
      </c>
      <c r="K5216">
        <v>1.1345809999999901</v>
      </c>
      <c r="L5216">
        <v>-55.24335</v>
      </c>
      <c r="M5216">
        <v>0.69122819999999996</v>
      </c>
      <c r="N5216">
        <v>-1.591016E-2</v>
      </c>
      <c r="O5216">
        <v>0.72246140000000003</v>
      </c>
      <c r="P5216">
        <v>0.60024639999999996</v>
      </c>
      <c r="Q5216">
        <v>0.1900066</v>
      </c>
      <c r="R5216">
        <v>0.77691809999999994</v>
      </c>
      <c r="S5216">
        <v>1.298767</v>
      </c>
      <c r="T5216">
        <v>-4.334855E-2</v>
      </c>
      <c r="U5216">
        <v>2.8825379999999998</v>
      </c>
      <c r="V5216">
        <v>-0.11029360000000001</v>
      </c>
      <c r="W5216">
        <v>0.20189299999999999</v>
      </c>
      <c r="X5216">
        <v>0.97317759999999998</v>
      </c>
      <c r="Y5216">
        <v>-0.3333932</v>
      </c>
      <c r="Z5216">
        <v>5.1045020000000003E-3</v>
      </c>
      <c r="AA5216">
        <v>0.94277409999999995</v>
      </c>
      <c r="AB5216">
        <v>36</v>
      </c>
      <c r="AC5216">
        <v>28.091299999999901</v>
      </c>
      <c r="AD5216">
        <v>-0.94565999999999895</v>
      </c>
      <c r="AE5216">
        <v>62.623581000000001</v>
      </c>
      <c r="AF5216">
        <v>-22.9908510594463</v>
      </c>
      <c r="AG5216">
        <v>-0.94565999999999895</v>
      </c>
      <c r="AH5216">
        <v>64.656529167624896</v>
      </c>
      <c r="AI5216">
        <v>90.789521018518698</v>
      </c>
      <c r="AJ5216">
        <v>109.574591371956</v>
      </c>
      <c r="AK5216">
        <v>68.629004577344503</v>
      </c>
      <c r="AL5216">
        <v>78.352322215161195</v>
      </c>
      <c r="AM5216">
        <v>96.465940159399906</v>
      </c>
      <c r="AN5216">
        <v>1.00000005139585</v>
      </c>
    </row>
    <row r="5217" spans="1:40" x14ac:dyDescent="0.25">
      <c r="A5217" t="str">
        <f>"20190303170915138"</f>
        <v>20190303170915138</v>
      </c>
      <c r="B5217" t="str">
        <f>"1551604155128423"</f>
        <v>1551604155128423</v>
      </c>
      <c r="C5217" t="s">
        <v>40</v>
      </c>
      <c r="D5217">
        <v>5.0143319999999996</v>
      </c>
      <c r="E5217">
        <v>0.41422340000000002</v>
      </c>
      <c r="F5217" t="s">
        <v>46</v>
      </c>
      <c r="G5217">
        <v>-172.2467</v>
      </c>
      <c r="H5217">
        <v>-0.05</v>
      </c>
      <c r="I5217">
        <v>-5.7892609999999998</v>
      </c>
      <c r="J5217">
        <v>-194.35120000000001</v>
      </c>
      <c r="K5217">
        <v>1.1345339999999999</v>
      </c>
      <c r="L5217">
        <v>-54.984470000000002</v>
      </c>
      <c r="M5217">
        <v>0.68093139999999996</v>
      </c>
      <c r="N5217">
        <v>-1.5899460000000001E-2</v>
      </c>
      <c r="O5217">
        <v>0.73217460000000001</v>
      </c>
      <c r="P5217">
        <v>0.58978529999999996</v>
      </c>
      <c r="Q5217">
        <v>0.1900606</v>
      </c>
      <c r="R5217">
        <v>0.78487600000000002</v>
      </c>
      <c r="S5217">
        <v>1.2985530000000001</v>
      </c>
      <c r="T5217">
        <v>-6.8865300000000004E-2</v>
      </c>
      <c r="U5217">
        <v>2.875</v>
      </c>
      <c r="V5217">
        <v>-0.1095199</v>
      </c>
      <c r="W5217">
        <v>0.20197609999999999</v>
      </c>
      <c r="X5217">
        <v>0.97324770000000005</v>
      </c>
      <c r="Y5217">
        <v>-0.31911240000000002</v>
      </c>
      <c r="Z5217">
        <v>-1.3004E-4</v>
      </c>
      <c r="AA5217">
        <v>0.94771689999999997</v>
      </c>
      <c r="AB5217">
        <v>36</v>
      </c>
      <c r="AC5217">
        <v>22.104500000000002</v>
      </c>
      <c r="AD5217">
        <v>-1.184534</v>
      </c>
      <c r="AE5217">
        <v>49.195208999999899</v>
      </c>
      <c r="AF5217">
        <v>-17.308048915457199</v>
      </c>
      <c r="AG5217">
        <v>-1.184534</v>
      </c>
      <c r="AH5217">
        <v>51.052960140764</v>
      </c>
      <c r="AI5217">
        <v>91.258793437358506</v>
      </c>
      <c r="AJ5217">
        <v>108.72776151864799</v>
      </c>
      <c r="AK5217">
        <v>53.920092889306602</v>
      </c>
      <c r="AL5217">
        <v>78.347460409178296</v>
      </c>
      <c r="AM5217">
        <v>96.420503667116904</v>
      </c>
      <c r="AN5217">
        <v>1.0000000195112499</v>
      </c>
    </row>
    <row r="5218" spans="1:40" x14ac:dyDescent="0.25">
      <c r="A5218" t="str">
        <f>"20190303170915162"</f>
        <v>20190303170915162</v>
      </c>
      <c r="B5218" t="str">
        <f>"1551604155158679"</f>
        <v>1551604155158679</v>
      </c>
      <c r="C5218" t="s">
        <v>40</v>
      </c>
      <c r="D5218">
        <v>5.0525739999999999</v>
      </c>
      <c r="E5218">
        <v>0.41581780000000002</v>
      </c>
      <c r="F5218" t="s">
        <v>43</v>
      </c>
      <c r="G5218">
        <v>-176.5307</v>
      </c>
      <c r="H5218">
        <v>7.9985840000000002E-2</v>
      </c>
      <c r="I5218">
        <v>-14.24541</v>
      </c>
      <c r="J5218">
        <v>-194.10650000000001</v>
      </c>
      <c r="K5218">
        <v>1.1344860000000001</v>
      </c>
      <c r="L5218">
        <v>-54.703830000000004</v>
      </c>
      <c r="M5218">
        <v>0.66978059999999995</v>
      </c>
      <c r="N5218">
        <v>-1.5887930000000001E-2</v>
      </c>
      <c r="O5218">
        <v>0.74238909999999902</v>
      </c>
      <c r="P5218">
        <v>0.57832709999999998</v>
      </c>
      <c r="Q5218">
        <v>0.19007569999999999</v>
      </c>
      <c r="R5218">
        <v>0.79335299999999997</v>
      </c>
      <c r="S5218">
        <v>1.264313</v>
      </c>
      <c r="T5218">
        <v>-7.4817179999999997E-2</v>
      </c>
      <c r="U5218">
        <v>2.89032</v>
      </c>
      <c r="V5218">
        <v>-0.10890180000000001</v>
      </c>
      <c r="W5218">
        <v>0.20201479999999999</v>
      </c>
      <c r="X5218">
        <v>0.97330899999999998</v>
      </c>
      <c r="Y5218">
        <v>-0.31604260000000001</v>
      </c>
      <c r="Z5218">
        <v>-1.5062529999999999E-3</v>
      </c>
      <c r="AA5218">
        <v>0.94874380000000003</v>
      </c>
      <c r="AB5218">
        <v>36</v>
      </c>
      <c r="AC5218">
        <v>17.575800000000001</v>
      </c>
      <c r="AD5218">
        <v>-1.0545001599999999</v>
      </c>
      <c r="AE5218">
        <v>40.458419999999997</v>
      </c>
      <c r="AF5218">
        <v>-14.0439300049095</v>
      </c>
      <c r="AG5218">
        <v>-1.0545001599999999</v>
      </c>
      <c r="AH5218">
        <v>41.789214976059398</v>
      </c>
      <c r="AI5218">
        <v>91.370207480855996</v>
      </c>
      <c r="AJ5218">
        <v>108.57574103752199</v>
      </c>
      <c r="AK5218">
        <v>44.098553591762403</v>
      </c>
      <c r="AL5218">
        <v>78.345196109065398</v>
      </c>
      <c r="AM5218">
        <v>96.384169387517304</v>
      </c>
      <c r="AN5218">
        <v>0.99999999547163898</v>
      </c>
    </row>
    <row r="5219" spans="1:40" x14ac:dyDescent="0.25">
      <c r="A5219" t="str">
        <f>"20190303170915184"</f>
        <v>20190303170915184</v>
      </c>
      <c r="B5219" t="str">
        <f>"1551604155179175"</f>
        <v>1551604155179175</v>
      </c>
      <c r="C5219" t="s">
        <v>40</v>
      </c>
      <c r="D5219">
        <v>5.0814009999999996</v>
      </c>
      <c r="E5219">
        <v>0.41633989999999998</v>
      </c>
      <c r="F5219" t="s">
        <v>43</v>
      </c>
      <c r="G5219">
        <v>-176.96520000000001</v>
      </c>
      <c r="H5219">
        <v>7.9985799999999996E-2</v>
      </c>
      <c r="I5219">
        <v>-14.34756</v>
      </c>
      <c r="J5219">
        <v>-193.886</v>
      </c>
      <c r="K5219">
        <v>1.1344289999999999</v>
      </c>
      <c r="L5219">
        <v>-54.443480000000001</v>
      </c>
      <c r="M5219">
        <v>0.65944809999999998</v>
      </c>
      <c r="N5219">
        <v>-1.5876870000000001E-2</v>
      </c>
      <c r="O5219">
        <v>0.75158239999999998</v>
      </c>
      <c r="P5219">
        <v>0.56747309999999995</v>
      </c>
      <c r="Q5219">
        <v>0.18956010000000001</v>
      </c>
      <c r="R5219">
        <v>0.80127479999999995</v>
      </c>
      <c r="S5219">
        <v>1.232315</v>
      </c>
      <c r="T5219">
        <v>-7.5809719999999997E-2</v>
      </c>
      <c r="U5219">
        <v>2.9012760000000002</v>
      </c>
      <c r="V5219">
        <v>-0.1087258</v>
      </c>
      <c r="W5219">
        <v>0.20150950000000001</v>
      </c>
      <c r="X5219">
        <v>0.9734334</v>
      </c>
      <c r="Y5219">
        <v>-0.31306420000000001</v>
      </c>
      <c r="Z5219">
        <v>-1.9119849999999999E-3</v>
      </c>
      <c r="AA5219">
        <v>0.94972999999999996</v>
      </c>
      <c r="AB5219">
        <v>36</v>
      </c>
      <c r="AC5219">
        <v>16.9207999999999</v>
      </c>
      <c r="AD5219">
        <v>-1.0544431999999999</v>
      </c>
      <c r="AE5219">
        <v>40.09592</v>
      </c>
      <c r="AF5219">
        <v>-13.717480294724499</v>
      </c>
      <c r="AG5219">
        <v>-1.0544431999999999</v>
      </c>
      <c r="AH5219">
        <v>41.2747533402054</v>
      </c>
      <c r="AI5219">
        <v>91.388756405690799</v>
      </c>
      <c r="AJ5219">
        <v>108.38399712164799</v>
      </c>
      <c r="AK5219">
        <v>43.507314090770798</v>
      </c>
      <c r="AL5219">
        <v>78.374755402465794</v>
      </c>
      <c r="AM5219">
        <v>96.373128836518404</v>
      </c>
      <c r="AN5219">
        <v>0.99999998120572398</v>
      </c>
    </row>
    <row r="5220" spans="1:40" x14ac:dyDescent="0.25">
      <c r="A5220" t="str">
        <f>"20190303170915205"</f>
        <v>20190303170915205</v>
      </c>
      <c r="B5220" t="str">
        <f>"1551604155198696"</f>
        <v>1551604155198696</v>
      </c>
      <c r="C5220" t="s">
        <v>40</v>
      </c>
      <c r="D5220">
        <v>5.0944349999999998</v>
      </c>
      <c r="E5220">
        <v>0.42336230000000002</v>
      </c>
      <c r="F5220" t="s">
        <v>43</v>
      </c>
      <c r="G5220">
        <v>-177.94390000000001</v>
      </c>
      <c r="H5220">
        <v>7.9986860000000007E-2</v>
      </c>
      <c r="I5220">
        <v>-15.572699999999999</v>
      </c>
      <c r="J5220">
        <v>-193.6679</v>
      </c>
      <c r="K5220">
        <v>1.1343780000000001</v>
      </c>
      <c r="L5220">
        <v>-54.178559999999997</v>
      </c>
      <c r="M5220">
        <v>0.64894739999999995</v>
      </c>
      <c r="N5220">
        <v>-1.5865150000000001E-2</v>
      </c>
      <c r="O5220">
        <v>0.76066780000000001</v>
      </c>
      <c r="P5220">
        <v>0.55659650000000005</v>
      </c>
      <c r="Q5220">
        <v>0.18914929999999999</v>
      </c>
      <c r="R5220">
        <v>0.80896409999999996</v>
      </c>
      <c r="S5220">
        <v>1.195862</v>
      </c>
      <c r="T5220">
        <v>-7.9096559999999996E-2</v>
      </c>
      <c r="U5220">
        <v>2.9158019999999998</v>
      </c>
      <c r="V5220">
        <v>-0.1083784</v>
      </c>
      <c r="W5220">
        <v>0.20111390000000001</v>
      </c>
      <c r="X5220">
        <v>0.97355400000000003</v>
      </c>
      <c r="Y5220">
        <v>-0.31169629999999998</v>
      </c>
      <c r="Z5220">
        <v>-2.7708860000000002E-3</v>
      </c>
      <c r="AA5220">
        <v>0.95017770000000001</v>
      </c>
      <c r="AB5220">
        <v>35</v>
      </c>
      <c r="AC5220">
        <v>15.723999999999901</v>
      </c>
      <c r="AD5220">
        <v>-1.0543911399999999</v>
      </c>
      <c r="AE5220">
        <v>38.60586</v>
      </c>
      <c r="AF5220">
        <v>-13.0857082914834</v>
      </c>
      <c r="AG5220">
        <v>-1.0543911399999999</v>
      </c>
      <c r="AH5220">
        <v>39.549961966236097</v>
      </c>
      <c r="AI5220">
        <v>91.449864647026899</v>
      </c>
      <c r="AJ5220">
        <v>108.307585357401</v>
      </c>
      <c r="AK5220">
        <v>41.671896929425102</v>
      </c>
      <c r="AL5220">
        <v>78.397895980808201</v>
      </c>
      <c r="AM5220">
        <v>96.352151667624597</v>
      </c>
      <c r="AN5220">
        <v>1.0000000346378799</v>
      </c>
    </row>
    <row r="5221" spans="1:40" x14ac:dyDescent="0.25">
      <c r="A5221" t="str">
        <f>"20190303170915228"</f>
        <v>20190303170915228</v>
      </c>
      <c r="B5221" t="str">
        <f>"1551604155219191"</f>
        <v>1551604155219191</v>
      </c>
      <c r="C5221" t="s">
        <v>40</v>
      </c>
      <c r="D5221">
        <v>5.0971669999999998</v>
      </c>
      <c r="E5221">
        <v>0.42426229999999998</v>
      </c>
      <c r="F5221" t="s">
        <v>43</v>
      </c>
      <c r="G5221">
        <v>-180.6534</v>
      </c>
      <c r="H5221" s="1">
        <v>-5.0615840000000004E-6</v>
      </c>
      <c r="I5221">
        <v>-22.786059999999999</v>
      </c>
      <c r="J5221">
        <v>-193.44460000000001</v>
      </c>
      <c r="K5221">
        <v>1.1343299999999901</v>
      </c>
      <c r="L5221">
        <v>-53.899509999999999</v>
      </c>
      <c r="M5221">
        <v>0.63790380000000002</v>
      </c>
      <c r="N5221">
        <v>-1.5852330000000001E-2</v>
      </c>
      <c r="O5221">
        <v>0.76995279999999999</v>
      </c>
      <c r="P5221">
        <v>0.54479599999999995</v>
      </c>
      <c r="Q5221">
        <v>0.19000320000000001</v>
      </c>
      <c r="R5221">
        <v>0.81675949999999997</v>
      </c>
      <c r="S5221">
        <v>1.204132</v>
      </c>
      <c r="T5221">
        <v>-0.1049559</v>
      </c>
      <c r="U5221">
        <v>2.9045100000000001</v>
      </c>
      <c r="V5221">
        <v>-0.1083329</v>
      </c>
      <c r="W5221">
        <v>0.20197000000000001</v>
      </c>
      <c r="X5221">
        <v>0.97338179999999996</v>
      </c>
      <c r="Y5221">
        <v>-0.29432700000000001</v>
      </c>
      <c r="Z5221">
        <v>-8.7623459999999903E-3</v>
      </c>
      <c r="AA5221">
        <v>0.95566459999999998</v>
      </c>
      <c r="AB5221">
        <v>35</v>
      </c>
      <c r="AC5221">
        <v>12.7912</v>
      </c>
      <c r="AD5221">
        <v>-1.13433506158399</v>
      </c>
      <c r="AE5221">
        <v>31.11345</v>
      </c>
      <c r="AF5221">
        <v>-9.9886676878046501</v>
      </c>
      <c r="AG5221">
        <v>-1.13433506158399</v>
      </c>
      <c r="AH5221">
        <v>32.083002298765301</v>
      </c>
      <c r="AI5221">
        <v>91.933456166940701</v>
      </c>
      <c r="AJ5221">
        <v>107.29336632064501</v>
      </c>
      <c r="AK5221">
        <v>33.621112930893801</v>
      </c>
      <c r="AL5221">
        <v>78.3478171950632</v>
      </c>
      <c r="AM5221">
        <v>96.350620766533098</v>
      </c>
      <c r="AN5221">
        <v>1.0000000133468201</v>
      </c>
    </row>
    <row r="5222" spans="1:40" x14ac:dyDescent="0.25">
      <c r="A5222" t="str">
        <f>"20190303170915251"</f>
        <v>20190303170915251</v>
      </c>
      <c r="B5222" t="str">
        <f>"1551604155238711"</f>
        <v>1551604155238711</v>
      </c>
      <c r="C5222" t="s">
        <v>40</v>
      </c>
      <c r="D5222">
        <v>5.151624</v>
      </c>
      <c r="E5222">
        <v>0.42513469999999998</v>
      </c>
      <c r="F5222" t="s">
        <v>43</v>
      </c>
      <c r="G5222">
        <v>-181.03059999999999</v>
      </c>
      <c r="H5222" s="1">
        <v>-4.9173999999999997E-6</v>
      </c>
      <c r="I5222">
        <v>-22.91488</v>
      </c>
      <c r="J5222">
        <v>-193.23929999999999</v>
      </c>
      <c r="K5222">
        <v>1.1342760000000001</v>
      </c>
      <c r="L5222">
        <v>-53.634830000000001</v>
      </c>
      <c r="M5222">
        <v>0.62745819999999997</v>
      </c>
      <c r="N5222">
        <v>-1.583932E-2</v>
      </c>
      <c r="O5222">
        <v>0.77848909999999905</v>
      </c>
      <c r="P5222">
        <v>0.53427639999999998</v>
      </c>
      <c r="Q5222">
        <v>0.1911339</v>
      </c>
      <c r="R5222">
        <v>0.82341759999999997</v>
      </c>
      <c r="S5222">
        <v>1.1691279999999999</v>
      </c>
      <c r="T5222">
        <v>-0.10682899999999999</v>
      </c>
      <c r="U5222">
        <v>2.9180600000000001</v>
      </c>
      <c r="V5222">
        <v>-0.10752539999999999</v>
      </c>
      <c r="W5222">
        <v>0.20312810000000001</v>
      </c>
      <c r="X5222">
        <v>0.97323040000000005</v>
      </c>
      <c r="Y5222">
        <v>-0.29284280000000001</v>
      </c>
      <c r="Z5222">
        <v>-9.4374790000000004E-3</v>
      </c>
      <c r="AA5222">
        <v>0.95611409999999997</v>
      </c>
      <c r="AB5222">
        <v>35</v>
      </c>
      <c r="AC5222">
        <v>12.208699999999901</v>
      </c>
      <c r="AD5222">
        <v>-1.1342809173999999</v>
      </c>
      <c r="AE5222">
        <v>30.719950000000001</v>
      </c>
      <c r="AF5222">
        <v>-9.7608786382968393</v>
      </c>
      <c r="AG5222">
        <v>-1.1342809173999999</v>
      </c>
      <c r="AH5222">
        <v>31.5424203695862</v>
      </c>
      <c r="AI5222">
        <v>91.967522037463098</v>
      </c>
      <c r="AJ5222">
        <v>107.194808972525</v>
      </c>
      <c r="AK5222">
        <v>33.037639561004099</v>
      </c>
      <c r="AL5222">
        <v>78.280059175988796</v>
      </c>
      <c r="AM5222">
        <v>96.304639232565407</v>
      </c>
      <c r="AN5222">
        <v>1.0000000740694599</v>
      </c>
    </row>
    <row r="5223" spans="1:40" x14ac:dyDescent="0.25">
      <c r="A5223" t="str">
        <f>"20190303170915272"</f>
        <v>20190303170915272</v>
      </c>
      <c r="B5223" t="str">
        <f>"1551604155259208"</f>
        <v>1551604155259208</v>
      </c>
      <c r="C5223" t="s">
        <v>40</v>
      </c>
      <c r="D5223">
        <v>5.1377829999999998</v>
      </c>
      <c r="E5223">
        <v>0.43036249999999998</v>
      </c>
      <c r="F5223" t="s">
        <v>43</v>
      </c>
      <c r="G5223">
        <v>-180.56710000000001</v>
      </c>
      <c r="H5223" s="1">
        <v>-5.6912230000000002E-6</v>
      </c>
      <c r="I5223">
        <v>-21.003319999999999</v>
      </c>
      <c r="J5223">
        <v>-193.03460000000001</v>
      </c>
      <c r="K5223">
        <v>1.134223</v>
      </c>
      <c r="L5223">
        <v>-53.363399999999999</v>
      </c>
      <c r="M5223">
        <v>0.61677059999999995</v>
      </c>
      <c r="N5223">
        <v>-1.5825430000000001E-2</v>
      </c>
      <c r="O5223">
        <v>0.78698389999999996</v>
      </c>
      <c r="P5223">
        <v>0.52333699999999905</v>
      </c>
      <c r="Q5223">
        <v>0.191582</v>
      </c>
      <c r="R5223">
        <v>0.83030999999999999</v>
      </c>
      <c r="S5223">
        <v>1.1374359999999999</v>
      </c>
      <c r="T5223">
        <v>-0.1018114</v>
      </c>
      <c r="U5223">
        <v>2.9289550000000002</v>
      </c>
      <c r="V5223">
        <v>-0.1070289</v>
      </c>
      <c r="W5223">
        <v>0.2035949</v>
      </c>
      <c r="X5223">
        <v>0.97318749999999998</v>
      </c>
      <c r="Y5223">
        <v>-0.28997469999999997</v>
      </c>
      <c r="Z5223">
        <v>-8.6318899999999997E-3</v>
      </c>
      <c r="AA5223">
        <v>0.95699540000000005</v>
      </c>
      <c r="AB5223">
        <v>35</v>
      </c>
      <c r="AC5223">
        <v>12.467499999999999</v>
      </c>
      <c r="AD5223">
        <v>-1.134228691223</v>
      </c>
      <c r="AE5223">
        <v>32.360080000000004</v>
      </c>
      <c r="AF5223">
        <v>-10.1374503072613</v>
      </c>
      <c r="AG5223">
        <v>-1.134228691223</v>
      </c>
      <c r="AH5223">
        <v>33.125165785961798</v>
      </c>
      <c r="AI5223">
        <v>91.875294437923998</v>
      </c>
      <c r="AJ5223">
        <v>107.01592884057899</v>
      </c>
      <c r="AK5223">
        <v>34.660221894899102</v>
      </c>
      <c r="AL5223">
        <v>78.252741686912202</v>
      </c>
      <c r="AM5223">
        <v>96.276034732742801</v>
      </c>
      <c r="AN5223">
        <v>0.99999998944873403</v>
      </c>
    </row>
    <row r="5224" spans="1:40" x14ac:dyDescent="0.25">
      <c r="A5224" t="str">
        <f>"20190303170915295"</f>
        <v>20190303170915295</v>
      </c>
      <c r="B5224" t="str">
        <f>"1551604155288487"</f>
        <v>1551604155288487</v>
      </c>
      <c r="C5224" t="s">
        <v>40</v>
      </c>
      <c r="D5224">
        <v>5.181127</v>
      </c>
      <c r="E5224">
        <v>0.43184420000000001</v>
      </c>
      <c r="F5224" t="s">
        <v>43</v>
      </c>
      <c r="G5224">
        <v>-181.25360000000001</v>
      </c>
      <c r="H5224" s="1">
        <v>-4.8349479999999997E-6</v>
      </c>
      <c r="I5224">
        <v>-22.982790000000001</v>
      </c>
      <c r="J5224">
        <v>-192.8246</v>
      </c>
      <c r="K5224">
        <v>1.134161</v>
      </c>
      <c r="L5224">
        <v>-53.076509999999999</v>
      </c>
      <c r="M5224">
        <v>0.60549449999999905</v>
      </c>
      <c r="N5224">
        <v>-1.5810459999999998E-2</v>
      </c>
      <c r="O5224">
        <v>0.79569250000000002</v>
      </c>
      <c r="P5224">
        <v>0.51121170000000005</v>
      </c>
      <c r="Q5224">
        <v>0.19148709999999999</v>
      </c>
      <c r="R5224">
        <v>0.83785159999999903</v>
      </c>
      <c r="S5224">
        <v>1.133759</v>
      </c>
      <c r="T5224">
        <v>-0.109153399999999</v>
      </c>
      <c r="U5224">
        <v>2.9237060000000001</v>
      </c>
      <c r="V5224">
        <v>-0.1072864</v>
      </c>
      <c r="W5224">
        <v>0.20349320000000001</v>
      </c>
      <c r="X5224">
        <v>0.97318039999999995</v>
      </c>
      <c r="Y5224">
        <v>-0.27678659999999999</v>
      </c>
      <c r="Z5224">
        <v>-1.0781829999999999E-2</v>
      </c>
      <c r="AA5224">
        <v>0.96087089999999997</v>
      </c>
      <c r="AB5224">
        <v>35</v>
      </c>
      <c r="AC5224">
        <v>11.5709999999999</v>
      </c>
      <c r="AD5224">
        <v>-1.1341658349479999</v>
      </c>
      <c r="AE5224">
        <v>30.093720000000001</v>
      </c>
      <c r="AF5224">
        <v>-9.0046078545088299</v>
      </c>
      <c r="AG5224">
        <v>-1.1341658349479999</v>
      </c>
      <c r="AH5224">
        <v>30.917133840475099</v>
      </c>
      <c r="AI5224">
        <v>92.017160040324498</v>
      </c>
      <c r="AJ5224">
        <v>106.238188064311</v>
      </c>
      <c r="AK5224">
        <v>32.221707894903602</v>
      </c>
      <c r="AL5224">
        <v>78.258693057482802</v>
      </c>
      <c r="AM5224">
        <v>96.291058803470193</v>
      </c>
      <c r="AN5224">
        <v>0.99999997250767902</v>
      </c>
    </row>
    <row r="5225" spans="1:40" x14ac:dyDescent="0.25">
      <c r="A5225" t="str">
        <f>"20190303170915318"</f>
        <v>20190303170915318</v>
      </c>
      <c r="B5225" t="str">
        <f>"1551604155308983"</f>
        <v>1551604155308983</v>
      </c>
      <c r="C5225" t="s">
        <v>40</v>
      </c>
      <c r="D5225">
        <v>5.179583</v>
      </c>
      <c r="E5225">
        <v>0.43610719999999997</v>
      </c>
      <c r="F5225" t="s">
        <v>43</v>
      </c>
      <c r="G5225">
        <v>-182.44120000000001</v>
      </c>
      <c r="H5225" s="1">
        <v>-3.6913160000000002E-6</v>
      </c>
      <c r="I5225">
        <v>-25.414860000000001</v>
      </c>
      <c r="J5225">
        <v>-192.61770000000001</v>
      </c>
      <c r="K5225">
        <v>1.1340980000000001</v>
      </c>
      <c r="L5225">
        <v>-52.785490000000003</v>
      </c>
      <c r="M5225">
        <v>0.59407869999999996</v>
      </c>
      <c r="N5225">
        <v>-1.5795409999999999E-2</v>
      </c>
      <c r="O5225">
        <v>0.80425179999999996</v>
      </c>
      <c r="P5225">
        <v>0.49847219999999998</v>
      </c>
      <c r="Q5225">
        <v>0.19130730000000001</v>
      </c>
      <c r="R5225">
        <v>0.84553349999999905</v>
      </c>
      <c r="S5225">
        <v>1.10199</v>
      </c>
      <c r="T5225">
        <v>-0.1203688</v>
      </c>
      <c r="U5225">
        <v>2.93573</v>
      </c>
      <c r="V5225">
        <v>-0.1081139</v>
      </c>
      <c r="W5225">
        <v>0.2032873</v>
      </c>
      <c r="X5225">
        <v>0.97313190000000005</v>
      </c>
      <c r="Y5225">
        <v>-0.27348820000000001</v>
      </c>
      <c r="Z5225">
        <v>-1.3669880000000001E-2</v>
      </c>
      <c r="AA5225">
        <v>0.96177820000000003</v>
      </c>
      <c r="AB5225">
        <v>35</v>
      </c>
      <c r="AC5225">
        <v>10.176500000000001</v>
      </c>
      <c r="AD5225">
        <v>-1.134101691316</v>
      </c>
      <c r="AE5225">
        <v>27.370629999999998</v>
      </c>
      <c r="AF5225">
        <v>-8.0646833154522408</v>
      </c>
      <c r="AG5225">
        <v>-1.134101691316</v>
      </c>
      <c r="AH5225">
        <v>28.0197583312464</v>
      </c>
      <c r="AI5225">
        <v>92.2274553534549</v>
      </c>
      <c r="AJ5225">
        <v>106.056945617427</v>
      </c>
      <c r="AK5225">
        <v>29.179310488190598</v>
      </c>
      <c r="AL5225">
        <v>78.270742655384694</v>
      </c>
      <c r="AM5225">
        <v>96.339501583320995</v>
      </c>
      <c r="AN5225">
        <v>1.00000001825605</v>
      </c>
    </row>
    <row r="5226" spans="1:40" x14ac:dyDescent="0.25">
      <c r="A5226" t="str">
        <f>"20190303170915341"</f>
        <v>20190303170915341</v>
      </c>
      <c r="B5226" t="str">
        <f>"1551604155328503"</f>
        <v>1551604155328503</v>
      </c>
      <c r="C5226" t="s">
        <v>40</v>
      </c>
      <c r="D5226">
        <v>5.2020920000000004</v>
      </c>
      <c r="E5226">
        <v>0.43797750000000002</v>
      </c>
      <c r="F5226" t="s">
        <v>43</v>
      </c>
      <c r="G5226">
        <v>-183.51140000000001</v>
      </c>
      <c r="H5226" s="1">
        <v>-2.4546939999999998E-6</v>
      </c>
      <c r="I5226">
        <v>-28.211929999999999</v>
      </c>
      <c r="J5226">
        <v>-192.42080000000001</v>
      </c>
      <c r="K5226">
        <v>1.134034</v>
      </c>
      <c r="L5226">
        <v>-52.50018</v>
      </c>
      <c r="M5226">
        <v>0.58291510000000002</v>
      </c>
      <c r="N5226">
        <v>-1.578061E-2</v>
      </c>
      <c r="O5226">
        <v>0.81237979999999999</v>
      </c>
      <c r="P5226">
        <v>0.48717179999999999</v>
      </c>
      <c r="Q5226">
        <v>0.19264690000000001</v>
      </c>
      <c r="R5226">
        <v>0.85179280000000002</v>
      </c>
      <c r="S5226">
        <v>1.0883940000000001</v>
      </c>
      <c r="T5226">
        <v>-0.13554949999999999</v>
      </c>
      <c r="U5226">
        <v>2.9370729999999998</v>
      </c>
      <c r="V5226">
        <v>-0.1074614</v>
      </c>
      <c r="W5226">
        <v>0.204648</v>
      </c>
      <c r="X5226">
        <v>0.97291890000000003</v>
      </c>
      <c r="Y5226">
        <v>-0.26426369999999999</v>
      </c>
      <c r="Z5226">
        <v>-1.7687999999999999E-2</v>
      </c>
      <c r="AA5226">
        <v>0.96428820000000004</v>
      </c>
      <c r="AB5226">
        <v>35</v>
      </c>
      <c r="AC5226">
        <v>8.9093999999999998</v>
      </c>
      <c r="AD5226">
        <v>-1.1340364546940001</v>
      </c>
      <c r="AE5226">
        <v>24.288250000000001</v>
      </c>
      <c r="AF5226">
        <v>-6.9077598609494499</v>
      </c>
      <c r="AG5226">
        <v>-1.1340364546940001</v>
      </c>
      <c r="AH5226">
        <v>24.880005367842401</v>
      </c>
      <c r="AI5226">
        <v>92.514751405644205</v>
      </c>
      <c r="AJ5226">
        <v>105.51694285028</v>
      </c>
      <c r="AK5226">
        <v>25.846041323208201</v>
      </c>
      <c r="AL5226">
        <v>78.191105570227293</v>
      </c>
      <c r="AM5226">
        <v>96.302917985214606</v>
      </c>
      <c r="AN5226">
        <v>0.99999997118558404</v>
      </c>
    </row>
    <row r="5227" spans="1:40" x14ac:dyDescent="0.25">
      <c r="A5227" t="str">
        <f>"20190303170915364"</f>
        <v>20190303170915364</v>
      </c>
      <c r="B5227" t="str">
        <f>"1551604155358760"</f>
        <v>1551604155358760</v>
      </c>
      <c r="C5227" t="s">
        <v>40</v>
      </c>
      <c r="D5227">
        <v>5.1726449999999904</v>
      </c>
      <c r="E5227">
        <v>0.41519600000000001</v>
      </c>
      <c r="F5227" t="s">
        <v>43</v>
      </c>
      <c r="G5227">
        <v>-183.67660000000001</v>
      </c>
      <c r="H5227" s="1">
        <v>-2.3950949999999998E-6</v>
      </c>
      <c r="I5227">
        <v>-28.257930000000002</v>
      </c>
      <c r="J5227">
        <v>-192.2276</v>
      </c>
      <c r="K5227">
        <v>1.1339649999999999</v>
      </c>
      <c r="L5227">
        <v>-52.211880000000001</v>
      </c>
      <c r="M5227">
        <v>0.57166569999999906</v>
      </c>
      <c r="N5227">
        <v>-1.5765089999999999E-2</v>
      </c>
      <c r="O5227">
        <v>0.82033509999999998</v>
      </c>
      <c r="P5227">
        <v>0.47667549999999997</v>
      </c>
      <c r="Q5227">
        <v>0.19362860000000001</v>
      </c>
      <c r="R5227">
        <v>0.85748959999999996</v>
      </c>
      <c r="S5227">
        <v>1.0624389999999999</v>
      </c>
      <c r="T5227">
        <v>-0.137788299999999</v>
      </c>
      <c r="U5227">
        <v>2.9454959999999999</v>
      </c>
      <c r="V5227">
        <v>-0.1058669</v>
      </c>
      <c r="W5227">
        <v>0.20568359999999999</v>
      </c>
      <c r="X5227">
        <v>0.97287539999999995</v>
      </c>
      <c r="Y5227">
        <v>-0.25937490000000002</v>
      </c>
      <c r="Z5227">
        <v>-1.8638600000000002E-2</v>
      </c>
      <c r="AA5227">
        <v>0.96559689999999998</v>
      </c>
      <c r="AB5227">
        <v>35</v>
      </c>
      <c r="AC5227">
        <v>8.5509999999999806</v>
      </c>
      <c r="AD5227">
        <v>-1.133967395095</v>
      </c>
      <c r="AE5227">
        <v>23.953949999999999</v>
      </c>
      <c r="AF5227">
        <v>-6.6665454140908302</v>
      </c>
      <c r="AG5227">
        <v>-1.133967395095</v>
      </c>
      <c r="AH5227">
        <v>24.492945462056898</v>
      </c>
      <c r="AI5227">
        <v>92.557847081686504</v>
      </c>
      <c r="AJ5227">
        <v>105.22604997668</v>
      </c>
      <c r="AK5227">
        <v>25.409311033921501</v>
      </c>
      <c r="AL5227">
        <v>78.1304812660062</v>
      </c>
      <c r="AM5227">
        <v>96.210407675284202</v>
      </c>
      <c r="AN5227">
        <v>1.00000004387486</v>
      </c>
    </row>
    <row r="5228" spans="1:40" x14ac:dyDescent="0.25">
      <c r="A5228" t="str">
        <f>"20190303170915389"</f>
        <v>20190303170915389</v>
      </c>
      <c r="B5228" t="str">
        <f>"1551604155379255"</f>
        <v>1551604155379255</v>
      </c>
      <c r="C5228" t="s">
        <v>40</v>
      </c>
      <c r="D5228">
        <v>5.1470599999999997</v>
      </c>
      <c r="E5228">
        <v>0.40497420000000001</v>
      </c>
      <c r="F5228" t="s">
        <v>43</v>
      </c>
      <c r="G5228">
        <v>-178.58019999999999</v>
      </c>
      <c r="H5228">
        <v>7.9985760000000003E-2</v>
      </c>
      <c r="I5228">
        <v>-4.2357550000000002</v>
      </c>
      <c r="J5228">
        <v>-192.01580000000001</v>
      </c>
      <c r="K5228">
        <v>1.1338870000000001</v>
      </c>
      <c r="L5228">
        <v>-51.88608</v>
      </c>
      <c r="M5228">
        <v>0.55898199999999998</v>
      </c>
      <c r="N5228">
        <v>-1.5747009999999999E-2</v>
      </c>
      <c r="O5228">
        <v>0.8290303</v>
      </c>
      <c r="P5228">
        <v>0.46423130000000001</v>
      </c>
      <c r="Q5228">
        <v>0.1933396</v>
      </c>
      <c r="R5228">
        <v>0.86435479999999998</v>
      </c>
      <c r="S5228">
        <v>0.86302190000000001</v>
      </c>
      <c r="T5228">
        <v>-6.6650630000000002E-2</v>
      </c>
      <c r="U5228">
        <v>3.0338750000000001</v>
      </c>
      <c r="V5228">
        <v>-0.1049499</v>
      </c>
      <c r="W5228">
        <v>0.20542840000000001</v>
      </c>
      <c r="X5228">
        <v>0.97302860000000002</v>
      </c>
      <c r="Y5228">
        <v>-0.31076310000000001</v>
      </c>
      <c r="Z5228">
        <v>-1.176032E-3</v>
      </c>
      <c r="AA5228">
        <v>0.95048670000000002</v>
      </c>
      <c r="AB5228">
        <v>35</v>
      </c>
      <c r="AC5228">
        <v>13.435600000000001</v>
      </c>
      <c r="AD5228">
        <v>-1.0539012400000001</v>
      </c>
      <c r="AE5228">
        <v>47.650325000000002</v>
      </c>
      <c r="AF5228">
        <v>-15.4920553237642</v>
      </c>
      <c r="AG5228">
        <v>-1.0539012400000001</v>
      </c>
      <c r="AH5228">
        <v>46.998352473376997</v>
      </c>
      <c r="AI5228">
        <v>91.220045156538404</v>
      </c>
      <c r="AJ5228">
        <v>108.243757541329</v>
      </c>
      <c r="AK5228">
        <v>49.497066793801402</v>
      </c>
      <c r="AL5228">
        <v>78.145421471398905</v>
      </c>
      <c r="AM5228">
        <v>96.156067240545894</v>
      </c>
      <c r="AN5228">
        <v>0.99999998272726398</v>
      </c>
    </row>
    <row r="5229" spans="1:40" x14ac:dyDescent="0.25">
      <c r="A5229" t="str">
        <f>"20190303170915409"</f>
        <v>20190303170915409</v>
      </c>
      <c r="B5229" t="str">
        <f>"1551604155398775"</f>
        <v>1551604155398775</v>
      </c>
      <c r="C5229" t="s">
        <v>40</v>
      </c>
      <c r="D5229">
        <v>5.143567</v>
      </c>
      <c r="E5229">
        <v>0.40111560000000002</v>
      </c>
      <c r="F5229" t="s">
        <v>117</v>
      </c>
      <c r="G5229">
        <v>-168.50020000000001</v>
      </c>
      <c r="H5229">
        <v>0.26998339999999998</v>
      </c>
      <c r="I5229">
        <v>45.137909999999998</v>
      </c>
      <c r="J5229">
        <v>-191.84469999999999</v>
      </c>
      <c r="K5229">
        <v>1.1338170000000001</v>
      </c>
      <c r="L5229">
        <v>-51.614109999999997</v>
      </c>
      <c r="M5229">
        <v>0.5484369</v>
      </c>
      <c r="N5229">
        <v>-1.5731470000000001E-2</v>
      </c>
      <c r="O5229">
        <v>0.83604400000000001</v>
      </c>
      <c r="P5229">
        <v>0.45323049999999998</v>
      </c>
      <c r="Q5229">
        <v>0.1916506</v>
      </c>
      <c r="R5229">
        <v>0.87054709999999902</v>
      </c>
      <c r="S5229">
        <v>0.74563599999999997</v>
      </c>
      <c r="T5229">
        <v>-2.739275E-2</v>
      </c>
      <c r="U5229">
        <v>3.0764469999999999</v>
      </c>
      <c r="V5229">
        <v>-0.1050833</v>
      </c>
      <c r="W5229">
        <v>0.20374110000000001</v>
      </c>
      <c r="X5229">
        <v>0.97336889999999998</v>
      </c>
      <c r="Y5229">
        <v>-0.33605849999999998</v>
      </c>
      <c r="Z5229">
        <v>8.2338680000000001E-3</v>
      </c>
      <c r="AA5229">
        <v>0.94180509999999995</v>
      </c>
      <c r="AB5229">
        <v>35</v>
      </c>
      <c r="AC5229">
        <v>23.344499999999901</v>
      </c>
      <c r="AD5229">
        <v>-0.86383359999999998</v>
      </c>
      <c r="AE5229">
        <v>96.752020000000002</v>
      </c>
      <c r="AF5229">
        <v>-33.5469719567837</v>
      </c>
      <c r="AG5229">
        <v>-0.86383359999999998</v>
      </c>
      <c r="AH5229">
        <v>93.696464599801701</v>
      </c>
      <c r="AI5229">
        <v>90.4973099461087</v>
      </c>
      <c r="AJ5229">
        <v>109.699339088537</v>
      </c>
      <c r="AK5229">
        <v>99.5247356914834</v>
      </c>
      <c r="AL5229">
        <v>78.244185545893401</v>
      </c>
      <c r="AM5229">
        <v>96.161693554396294</v>
      </c>
      <c r="AN5229">
        <v>0.99999997562765397</v>
      </c>
    </row>
    <row r="5230" spans="1:40" x14ac:dyDescent="0.25">
      <c r="A5230" t="str">
        <f>"20190303170915431"</f>
        <v>20190303170915431</v>
      </c>
      <c r="B5230" t="str">
        <f>"1551604155419272"</f>
        <v>1551604155419272</v>
      </c>
      <c r="C5230" t="s">
        <v>40</v>
      </c>
      <c r="D5230">
        <v>5.1563470000000002</v>
      </c>
      <c r="E5230">
        <v>0.3997849</v>
      </c>
      <c r="F5230" t="s">
        <v>117</v>
      </c>
      <c r="G5230">
        <v>-169.0822</v>
      </c>
      <c r="H5230">
        <v>0.54257739999999999</v>
      </c>
      <c r="I5230">
        <v>52.28931</v>
      </c>
      <c r="J5230">
        <v>-191.66679999999999</v>
      </c>
      <c r="K5230">
        <v>1.133737</v>
      </c>
      <c r="L5230">
        <v>-51.322569999999999</v>
      </c>
      <c r="M5230">
        <v>0.53718169999999899</v>
      </c>
      <c r="N5230">
        <v>-1.57143E-2</v>
      </c>
      <c r="O5230">
        <v>0.84332009999999902</v>
      </c>
      <c r="P5230">
        <v>0.44191439999999999</v>
      </c>
      <c r="Q5230">
        <v>0.1900847</v>
      </c>
      <c r="R5230">
        <v>0.87668670000000004</v>
      </c>
      <c r="S5230">
        <v>0.67842100000000005</v>
      </c>
      <c r="T5230">
        <v>-1.7621520000000002E-2</v>
      </c>
      <c r="U5230">
        <v>3.0967709999999999</v>
      </c>
      <c r="V5230">
        <v>-0.1047389</v>
      </c>
      <c r="W5230">
        <v>0.20219280000000001</v>
      </c>
      <c r="X5230">
        <v>0.97372879999999995</v>
      </c>
      <c r="Y5230">
        <v>-0.34426479999999998</v>
      </c>
      <c r="Z5230">
        <v>1.059561E-2</v>
      </c>
      <c r="AA5230">
        <v>0.9388128</v>
      </c>
      <c r="AB5230">
        <v>35</v>
      </c>
      <c r="AC5230">
        <v>22.584599999999899</v>
      </c>
      <c r="AD5230">
        <v>-0.59115960000000001</v>
      </c>
      <c r="AE5230">
        <v>103.61188</v>
      </c>
      <c r="AF5230">
        <v>-36.615743836858002</v>
      </c>
      <c r="AG5230">
        <v>-0.59115960000000001</v>
      </c>
      <c r="AH5230">
        <v>99.5192153847794</v>
      </c>
      <c r="AI5230">
        <v>90.319409085028994</v>
      </c>
      <c r="AJ5230">
        <v>110.199899650501</v>
      </c>
      <c r="AK5230">
        <v>106.043087456001</v>
      </c>
      <c r="AL5230">
        <v>78.334782275050898</v>
      </c>
      <c r="AM5230">
        <v>96.139401128247599</v>
      </c>
      <c r="AN5230">
        <v>0.999999970747244</v>
      </c>
    </row>
    <row r="5231" spans="1:40" x14ac:dyDescent="0.25">
      <c r="A5231" t="str">
        <f>"20190303170915454"</f>
        <v>20190303170915454</v>
      </c>
      <c r="B5231" t="str">
        <f>"1551604155448553"</f>
        <v>1551604155448553</v>
      </c>
      <c r="C5231" t="s">
        <v>40</v>
      </c>
      <c r="D5231">
        <v>5.1535520000000004</v>
      </c>
      <c r="E5231">
        <v>0.39969369999999999</v>
      </c>
      <c r="F5231" t="s">
        <v>55</v>
      </c>
      <c r="G5231">
        <v>-167.27930000000001</v>
      </c>
      <c r="H5231">
        <v>0.4365253</v>
      </c>
      <c r="I5231">
        <v>69.300129999999996</v>
      </c>
      <c r="J5231">
        <v>-191.48920000000001</v>
      </c>
      <c r="K5231">
        <v>1.1336710000000001</v>
      </c>
      <c r="L5231">
        <v>-51.022460000000002</v>
      </c>
      <c r="M5231">
        <v>0.52563709999999997</v>
      </c>
      <c r="N5231">
        <v>-1.569568E-2</v>
      </c>
      <c r="O5231">
        <v>0.85056409999999905</v>
      </c>
      <c r="P5231">
        <v>0.43090050000000002</v>
      </c>
      <c r="Q5231">
        <v>0.19108849999999999</v>
      </c>
      <c r="R5231">
        <v>0.88193539999999904</v>
      </c>
      <c r="S5231">
        <v>0.62858579999999997</v>
      </c>
      <c r="T5231">
        <v>-1.7970320000000001E-2</v>
      </c>
      <c r="U5231">
        <v>3.1090390000000001</v>
      </c>
      <c r="V5231">
        <v>-0.1035343</v>
      </c>
      <c r="W5231">
        <v>0.20323540000000001</v>
      </c>
      <c r="X5231">
        <v>0.97364059999999997</v>
      </c>
      <c r="Y5231">
        <v>-0.34665109999999999</v>
      </c>
      <c r="Z5231">
        <v>1.0541750000000001E-2</v>
      </c>
      <c r="AA5231">
        <v>0.93793490000000002</v>
      </c>
      <c r="AB5231">
        <v>35</v>
      </c>
      <c r="AC5231">
        <v>24.209900000000001</v>
      </c>
      <c r="AD5231">
        <v>-0.69714569999999898</v>
      </c>
      <c r="AE5231">
        <v>120.322589999999</v>
      </c>
      <c r="AF5231">
        <v>-42.657824048927203</v>
      </c>
      <c r="AG5231">
        <v>-0.69714569999999898</v>
      </c>
      <c r="AH5231">
        <v>115.078160362923</v>
      </c>
      <c r="AI5231">
        <v>90.325454657708903</v>
      </c>
      <c r="AJ5231">
        <v>110.33902095782</v>
      </c>
      <c r="AK5231">
        <v>122.73206165151301</v>
      </c>
      <c r="AL5231">
        <v>78.273779471572993</v>
      </c>
      <c r="AM5231">
        <v>96.069867753270003</v>
      </c>
      <c r="AN5231">
        <v>0.99999999852900401</v>
      </c>
    </row>
    <row r="5232" spans="1:40" x14ac:dyDescent="0.25">
      <c r="A5232" t="str">
        <f>"20190303170915476"</f>
        <v>20190303170915476</v>
      </c>
      <c r="B5232" t="str">
        <f>"1551604155469048"</f>
        <v>1551604155469048</v>
      </c>
      <c r="C5232" t="s">
        <v>40</v>
      </c>
      <c r="D5232">
        <v>5.1871749999999999</v>
      </c>
      <c r="E5232">
        <v>0.40005489999999999</v>
      </c>
      <c r="F5232" t="s">
        <v>55</v>
      </c>
      <c r="G5232">
        <v>-168.87989999999999</v>
      </c>
      <c r="H5232">
        <v>0.67734910000000004</v>
      </c>
      <c r="I5232">
        <v>68.71857</v>
      </c>
      <c r="J5232">
        <v>-191.31819999999999</v>
      </c>
      <c r="K5232">
        <v>1.133602</v>
      </c>
      <c r="L5232">
        <v>-50.724580000000003</v>
      </c>
      <c r="M5232">
        <v>0.51422679999999998</v>
      </c>
      <c r="N5232">
        <v>-1.5676860000000001E-2</v>
      </c>
      <c r="O5232">
        <v>0.85751100000000002</v>
      </c>
      <c r="P5232">
        <v>0.4198076</v>
      </c>
      <c r="Q5232">
        <v>0.19291349999999999</v>
      </c>
      <c r="R5232">
        <v>0.8868743</v>
      </c>
      <c r="S5232">
        <v>0.5884857</v>
      </c>
      <c r="T5232">
        <v>-1.187706E-2</v>
      </c>
      <c r="U5232">
        <v>3.1166689999999999</v>
      </c>
      <c r="V5232">
        <v>-0.1025443</v>
      </c>
      <c r="W5232">
        <v>0.20508999999999999</v>
      </c>
      <c r="X5232">
        <v>0.97335640000000001</v>
      </c>
      <c r="Y5232">
        <v>-0.34619909999999998</v>
      </c>
      <c r="Z5232">
        <v>1.201789E-2</v>
      </c>
      <c r="AA5232">
        <v>0.93808409999999998</v>
      </c>
      <c r="AB5232">
        <v>35</v>
      </c>
      <c r="AC5232">
        <v>22.438300000000002</v>
      </c>
      <c r="AD5232">
        <v>-0.45625290000000002</v>
      </c>
      <c r="AE5232">
        <v>119.44315</v>
      </c>
      <c r="AF5232">
        <v>-42.184367582397499</v>
      </c>
      <c r="AG5232">
        <v>-0.45625290000000002</v>
      </c>
      <c r="AH5232">
        <v>113.97458574554901</v>
      </c>
      <c r="AI5232">
        <v>90.215099794287696</v>
      </c>
      <c r="AJ5232">
        <v>110.31056257319401</v>
      </c>
      <c r="AK5232">
        <v>121.531622349515</v>
      </c>
      <c r="AL5232">
        <v>78.165231925271101</v>
      </c>
      <c r="AM5232">
        <v>96.013997122411197</v>
      </c>
      <c r="AN5232">
        <v>0.99999996149172399</v>
      </c>
    </row>
    <row r="5233" spans="1:40" x14ac:dyDescent="0.25">
      <c r="A5233" t="str">
        <f>"20190303170915498"</f>
        <v>20190303170915498</v>
      </c>
      <c r="B5233" t="str">
        <f>"1551604155488568"</f>
        <v>1551604155488568</v>
      </c>
      <c r="C5233" t="s">
        <v>40</v>
      </c>
      <c r="D5233">
        <v>5.174213</v>
      </c>
      <c r="E5233">
        <v>0.40068809999999999</v>
      </c>
      <c r="F5233" t="s">
        <v>55</v>
      </c>
      <c r="G5233">
        <v>-168.85849999999999</v>
      </c>
      <c r="H5233">
        <v>0.87602039999999903</v>
      </c>
      <c r="I5233">
        <v>76.254219999999904</v>
      </c>
      <c r="J5233">
        <v>-191.15639999999999</v>
      </c>
      <c r="K5233">
        <v>1.1335109999999999</v>
      </c>
      <c r="L5233">
        <v>-50.433900000000001</v>
      </c>
      <c r="M5233">
        <v>0.50315019999999999</v>
      </c>
      <c r="N5233">
        <v>-1.5657799999999999E-2</v>
      </c>
      <c r="O5233">
        <v>0.86405710000000002</v>
      </c>
      <c r="P5233">
        <v>0.40817199999999998</v>
      </c>
      <c r="Q5233">
        <v>0.1927835</v>
      </c>
      <c r="R5233">
        <v>0.89231729999999998</v>
      </c>
      <c r="S5233">
        <v>0.55232239999999999</v>
      </c>
      <c r="T5233">
        <v>-6.3341860000000003E-3</v>
      </c>
      <c r="U5233">
        <v>3.12262</v>
      </c>
      <c r="V5233">
        <v>-0.10271569999999999</v>
      </c>
      <c r="W5233">
        <v>0.20495749999999999</v>
      </c>
      <c r="X5233">
        <v>0.97336630000000002</v>
      </c>
      <c r="Y5233">
        <v>-0.34497440000000001</v>
      </c>
      <c r="Z5233">
        <v>1.338605E-2</v>
      </c>
      <c r="AA5233">
        <v>0.93851660000000003</v>
      </c>
      <c r="AB5233">
        <v>35</v>
      </c>
      <c r="AC5233">
        <v>22.297899999999998</v>
      </c>
      <c r="AD5233">
        <v>-0.25749060000000001</v>
      </c>
      <c r="AE5233">
        <v>126.68812</v>
      </c>
      <c r="AF5233">
        <v>-44.481769788542898</v>
      </c>
      <c r="AG5233">
        <v>-0.25749060000000001</v>
      </c>
      <c r="AH5233">
        <v>120.69927774432701</v>
      </c>
      <c r="AI5233">
        <v>90.114689732474204</v>
      </c>
      <c r="AJ5233">
        <v>110.23054976361701</v>
      </c>
      <c r="AK5233">
        <v>128.63518100788801</v>
      </c>
      <c r="AL5233">
        <v>78.172989123716206</v>
      </c>
      <c r="AM5233">
        <v>96.023914681879901</v>
      </c>
      <c r="AN5233">
        <v>1.0000000229042101</v>
      </c>
    </row>
    <row r="5234" spans="1:40" x14ac:dyDescent="0.25">
      <c r="A5234" t="str">
        <f>"20190303170915521"</f>
        <v>20190303170915521</v>
      </c>
      <c r="B5234" t="str">
        <f>"1551604155509063"</f>
        <v>1551604155509063</v>
      </c>
      <c r="C5234" t="s">
        <v>40</v>
      </c>
      <c r="D5234">
        <v>5.189565</v>
      </c>
      <c r="E5234">
        <v>0.4012752</v>
      </c>
      <c r="F5234" t="s">
        <v>41</v>
      </c>
      <c r="G5234">
        <v>-177.48330000000001</v>
      </c>
      <c r="H5234">
        <v>0.91798139999999995</v>
      </c>
      <c r="I5234">
        <v>32.402439999999999</v>
      </c>
      <c r="J5234">
        <v>-190.98570000000001</v>
      </c>
      <c r="K5234">
        <v>1.1334200000000001</v>
      </c>
      <c r="L5234">
        <v>-50.117829999999998</v>
      </c>
      <c r="M5234">
        <v>0.4911837</v>
      </c>
      <c r="N5234">
        <v>-1.5635019999999999E-2</v>
      </c>
      <c r="O5234">
        <v>0.87091569999999996</v>
      </c>
      <c r="P5234">
        <v>0.39469949999999998</v>
      </c>
      <c r="Q5234">
        <v>0.19165940000000001</v>
      </c>
      <c r="R5234">
        <v>0.89859829999999996</v>
      </c>
      <c r="S5234">
        <v>0.516250599999999</v>
      </c>
      <c r="T5234">
        <v>-8.1377029999999996E-3</v>
      </c>
      <c r="U5234">
        <v>3.1276250000000001</v>
      </c>
      <c r="V5234">
        <v>-0.10396759999999999</v>
      </c>
      <c r="W5234">
        <v>0.20379849999999999</v>
      </c>
      <c r="X5234">
        <v>0.97347669999999997</v>
      </c>
      <c r="Y5234">
        <v>-0.342798299999999</v>
      </c>
      <c r="Z5234">
        <v>1.2963290000000001E-2</v>
      </c>
      <c r="AA5234">
        <v>0.93931960000000003</v>
      </c>
      <c r="AB5234">
        <v>35</v>
      </c>
      <c r="AC5234">
        <v>13.5023999999999</v>
      </c>
      <c r="AD5234">
        <v>-0.21543860000000001</v>
      </c>
      <c r="AE5234">
        <v>82.520269999999996</v>
      </c>
      <c r="AF5234">
        <v>-28.776485331445699</v>
      </c>
      <c r="AG5234">
        <v>-0.21543860000000001</v>
      </c>
      <c r="AH5234">
        <v>78.509431484029705</v>
      </c>
      <c r="AI5234">
        <v>90.147621687346302</v>
      </c>
      <c r="AJ5234">
        <v>110.12967309902101</v>
      </c>
      <c r="AK5234">
        <v>83.617362753000194</v>
      </c>
      <c r="AL5234">
        <v>78.240826433818697</v>
      </c>
      <c r="AM5234">
        <v>96.096098328426905</v>
      </c>
      <c r="AN5234">
        <v>0.99999998794744904</v>
      </c>
    </row>
    <row r="5235" spans="1:40" x14ac:dyDescent="0.25">
      <c r="A5235" t="str">
        <f>"20190303170915545"</f>
        <v>20190303170915545</v>
      </c>
      <c r="B5235" t="str">
        <f>"1551604155539319"</f>
        <v>1551604155539319</v>
      </c>
      <c r="C5235" t="s">
        <v>40</v>
      </c>
      <c r="D5235">
        <v>5.1983329999999999</v>
      </c>
      <c r="E5235">
        <v>0.40216879999999999</v>
      </c>
      <c r="F5235" t="s">
        <v>55</v>
      </c>
      <c r="G5235">
        <v>-169.4931</v>
      </c>
      <c r="H5235">
        <v>0.48678779999999999</v>
      </c>
      <c r="I5235">
        <v>91.964849999999998</v>
      </c>
      <c r="J5235">
        <v>-190.82230000000001</v>
      </c>
      <c r="K5235">
        <v>1.1333089999999999</v>
      </c>
      <c r="L5235">
        <v>-49.80518</v>
      </c>
      <c r="M5235">
        <v>0.47943639999999998</v>
      </c>
      <c r="N5235">
        <v>-1.561013E-2</v>
      </c>
      <c r="O5235">
        <v>0.87743780000000005</v>
      </c>
      <c r="P5235">
        <v>0.38209530000000003</v>
      </c>
      <c r="Q5235">
        <v>0.19245889999999999</v>
      </c>
      <c r="R5235">
        <v>0.90386</v>
      </c>
      <c r="S5235">
        <v>0.47398380000000001</v>
      </c>
      <c r="T5235">
        <v>-1.4260170000000001E-2</v>
      </c>
      <c r="U5235">
        <v>3.1333920000000002</v>
      </c>
      <c r="V5235">
        <v>-0.10438500000000001</v>
      </c>
      <c r="W5235">
        <v>0.2045855</v>
      </c>
      <c r="X5235">
        <v>0.97326699999999999</v>
      </c>
      <c r="Y5235">
        <v>-0.34280539999999998</v>
      </c>
      <c r="Z5235">
        <v>1.145474E-2</v>
      </c>
      <c r="AA5235">
        <v>0.93933659999999997</v>
      </c>
      <c r="AB5235">
        <v>35</v>
      </c>
      <c r="AC5235">
        <v>21.3292</v>
      </c>
      <c r="AD5235">
        <v>-0.64652120000000002</v>
      </c>
      <c r="AE5235">
        <v>141.77002999999999</v>
      </c>
      <c r="AF5235">
        <v>-49.259666153818401</v>
      </c>
      <c r="AG5235">
        <v>-0.64652120000000002</v>
      </c>
      <c r="AH5235">
        <v>134.63404292908899</v>
      </c>
      <c r="AI5235">
        <v>90.258384546410298</v>
      </c>
      <c r="AJ5235">
        <v>110.09647314121</v>
      </c>
      <c r="AK5235">
        <v>143.36407574660899</v>
      </c>
      <c r="AL5235">
        <v>78.194764953821405</v>
      </c>
      <c r="AM5235">
        <v>96.121695708908504</v>
      </c>
      <c r="AN5235">
        <v>1.0000000541621199</v>
      </c>
    </row>
    <row r="5236" spans="1:40" x14ac:dyDescent="0.25">
      <c r="A5236" t="str">
        <f>"20190303170915566"</f>
        <v>20190303170915566</v>
      </c>
      <c r="B5236" t="str">
        <f>"1551604155558840"</f>
        <v>1551604155558840</v>
      </c>
      <c r="C5236" t="s">
        <v>40</v>
      </c>
      <c r="D5236">
        <v>5.1827269999999999</v>
      </c>
      <c r="E5236">
        <v>0.40299190000000001</v>
      </c>
      <c r="F5236" t="s">
        <v>55</v>
      </c>
      <c r="G5236">
        <v>-169.34030000000001</v>
      </c>
      <c r="H5236">
        <v>0.4330812</v>
      </c>
      <c r="I5236">
        <v>104.27630000000001</v>
      </c>
      <c r="J5236">
        <v>-190.6722</v>
      </c>
      <c r="K5236">
        <v>1.1331910000000001</v>
      </c>
      <c r="L5236">
        <v>-49.508670000000002</v>
      </c>
      <c r="M5236">
        <v>0.4683949</v>
      </c>
      <c r="N5236">
        <v>-1.558447E-2</v>
      </c>
      <c r="O5236">
        <v>0.88338169999999905</v>
      </c>
      <c r="P5236">
        <v>0.37168420000000002</v>
      </c>
      <c r="Q5236">
        <v>0.1932584</v>
      </c>
      <c r="R5236">
        <v>0.90802099999999997</v>
      </c>
      <c r="S5236">
        <v>0.43739319999999998</v>
      </c>
      <c r="T5236">
        <v>-1.425707E-2</v>
      </c>
      <c r="U5236">
        <v>3.137238</v>
      </c>
      <c r="V5236">
        <v>-0.1032434</v>
      </c>
      <c r="W5236">
        <v>0.2054232</v>
      </c>
      <c r="X5236">
        <v>0.97321219999999997</v>
      </c>
      <c r="Y5236">
        <v>-0.3419237</v>
      </c>
      <c r="Z5236">
        <v>1.1451299999999999E-2</v>
      </c>
      <c r="AA5236">
        <v>0.93965799999999999</v>
      </c>
      <c r="AB5236">
        <v>35</v>
      </c>
      <c r="AC5236">
        <v>21.331899999999901</v>
      </c>
      <c r="AD5236">
        <v>-0.7001098</v>
      </c>
      <c r="AE5236">
        <v>153.78496999999999</v>
      </c>
      <c r="AF5236">
        <v>-53.193267148332303</v>
      </c>
      <c r="AG5236">
        <v>-0.7001098</v>
      </c>
      <c r="AH5236">
        <v>145.85733786146201</v>
      </c>
      <c r="AI5236">
        <v>90.2583701319829</v>
      </c>
      <c r="AJ5236">
        <v>110.036599288026</v>
      </c>
      <c r="AK5236">
        <v>155.255843148265</v>
      </c>
      <c r="AL5236">
        <v>78.145725370075695</v>
      </c>
      <c r="AM5236">
        <v>96.0555847113135</v>
      </c>
      <c r="AN5236">
        <v>0.99999993848531799</v>
      </c>
    </row>
    <row r="5237" spans="1:40" x14ac:dyDescent="0.25">
      <c r="A5237" t="str">
        <f>"20190303170915591"</f>
        <v>20190303170915591</v>
      </c>
      <c r="B5237" t="str">
        <f>"1551604155578866"</f>
        <v>1551604155578866</v>
      </c>
      <c r="C5237" t="s">
        <v>40</v>
      </c>
      <c r="D5237">
        <v>5.170388</v>
      </c>
      <c r="E5237">
        <v>0.41319270000000002</v>
      </c>
      <c r="F5237" t="s">
        <v>54</v>
      </c>
      <c r="G5237">
        <v>-162.5556</v>
      </c>
      <c r="H5237">
        <v>0.16856579999999999</v>
      </c>
      <c r="I5237">
        <v>167.09809999999999</v>
      </c>
      <c r="J5237">
        <v>-190.51349999999999</v>
      </c>
      <c r="K5237">
        <v>1.1330530000000001</v>
      </c>
      <c r="L5237">
        <v>-49.18497</v>
      </c>
      <c r="M5237">
        <v>0.45645849999999999</v>
      </c>
      <c r="N5237">
        <v>-1.555466E-2</v>
      </c>
      <c r="O5237">
        <v>0.88960869999999903</v>
      </c>
      <c r="P5237">
        <v>0.3606973</v>
      </c>
      <c r="Q5237">
        <v>0.19365640000000001</v>
      </c>
      <c r="R5237">
        <v>0.91235659999999996</v>
      </c>
      <c r="S5237">
        <v>0.40759279999999998</v>
      </c>
      <c r="T5237">
        <v>-1.3983249999999999E-2</v>
      </c>
      <c r="U5237">
        <v>3.1400450000000002</v>
      </c>
      <c r="V5237">
        <v>-0.1017837</v>
      </c>
      <c r="W5237">
        <v>0.20587069999999999</v>
      </c>
      <c r="X5237">
        <v>0.97327140000000001</v>
      </c>
      <c r="Y5237">
        <v>-0.33814280000000002</v>
      </c>
      <c r="Z5237">
        <v>1.149884E-2</v>
      </c>
      <c r="AA5237">
        <v>0.94102450000000004</v>
      </c>
      <c r="AB5237">
        <v>35</v>
      </c>
      <c r="AC5237">
        <v>27.957899999999899</v>
      </c>
      <c r="AD5237">
        <v>-0.96448719999999999</v>
      </c>
      <c r="AE5237">
        <v>216.28307000000001</v>
      </c>
      <c r="AF5237">
        <v>-73.860147732802602</v>
      </c>
      <c r="AG5237">
        <v>-0.96448719999999999</v>
      </c>
      <c r="AH5237">
        <v>205.18973829455501</v>
      </c>
      <c r="AI5237">
        <v>90.253398355727896</v>
      </c>
      <c r="AJ5237">
        <v>109.79685968679399</v>
      </c>
      <c r="AK5237">
        <v>218.08044469887301</v>
      </c>
      <c r="AL5237">
        <v>78.119525564636803</v>
      </c>
      <c r="AM5237">
        <v>95.970230527368599</v>
      </c>
      <c r="AN5237">
        <v>0.99999994238106804</v>
      </c>
    </row>
    <row r="5238" spans="1:40" x14ac:dyDescent="0.25">
      <c r="A5238" t="str">
        <f>"20190303170915612"</f>
        <v>20190303170915612</v>
      </c>
      <c r="B5238" t="str">
        <f>"1551604155599362"</f>
        <v>1551604155599362</v>
      </c>
      <c r="C5238" t="s">
        <v>40</v>
      </c>
      <c r="D5238">
        <v>5.1733060000000002</v>
      </c>
      <c r="E5238">
        <v>0.41346699999999997</v>
      </c>
      <c r="F5238" t="s">
        <v>43</v>
      </c>
      <c r="G5238">
        <v>-179.18049999999999</v>
      </c>
      <c r="H5238">
        <v>7.9985550000000002E-2</v>
      </c>
      <c r="I5238">
        <v>30.18655</v>
      </c>
      <c r="J5238">
        <v>-190.37020000000001</v>
      </c>
      <c r="K5238">
        <v>1.132933</v>
      </c>
      <c r="L5238">
        <v>-48.882510000000003</v>
      </c>
      <c r="M5238">
        <v>0.44542890000000002</v>
      </c>
      <c r="N5238">
        <v>-1.552516E-2</v>
      </c>
      <c r="O5238">
        <v>0.895182699999999</v>
      </c>
      <c r="P5238">
        <v>0.35034900000000002</v>
      </c>
      <c r="Q5238">
        <v>0.19313359999999999</v>
      </c>
      <c r="R5238">
        <v>0.91649060000000004</v>
      </c>
      <c r="S5238">
        <v>0.44560240000000001</v>
      </c>
      <c r="T5238">
        <v>-4.140568E-2</v>
      </c>
      <c r="U5238">
        <v>3.120819</v>
      </c>
      <c r="V5238">
        <v>-0.10073</v>
      </c>
      <c r="W5238">
        <v>0.2053854</v>
      </c>
      <c r="X5238">
        <v>0.9734836</v>
      </c>
      <c r="Y5238">
        <v>-0.31438850000000002</v>
      </c>
      <c r="Z5238">
        <v>4.2009300000000003E-3</v>
      </c>
      <c r="AA5238">
        <v>0.94928509999999999</v>
      </c>
      <c r="AB5238">
        <v>35</v>
      </c>
      <c r="AC5238">
        <v>11.1897</v>
      </c>
      <c r="AD5238">
        <v>-1.05294745</v>
      </c>
      <c r="AE5238">
        <v>79.069059999999993</v>
      </c>
      <c r="AF5238">
        <v>-25.2014749967699</v>
      </c>
      <c r="AG5238">
        <v>-1.05294745</v>
      </c>
      <c r="AH5238">
        <v>75.7614313145002</v>
      </c>
      <c r="AI5238">
        <v>90.755556882396604</v>
      </c>
      <c r="AJ5238">
        <v>108.39931988980899</v>
      </c>
      <c r="AK5238">
        <v>79.849968786261897</v>
      </c>
      <c r="AL5238">
        <v>78.147939166573295</v>
      </c>
      <c r="AM5238">
        <v>95.907585294718302</v>
      </c>
      <c r="AN5238">
        <v>1.00000000745106</v>
      </c>
    </row>
    <row r="5239" spans="1:40" x14ac:dyDescent="0.25">
      <c r="A5239" t="str">
        <f>"20190303170915636"</f>
        <v>20190303170915636</v>
      </c>
      <c r="B5239" t="str">
        <f>"1551604155628642"</f>
        <v>1551604155628642</v>
      </c>
      <c r="C5239" t="s">
        <v>40</v>
      </c>
      <c r="D5239">
        <v>5.1874399999999996</v>
      </c>
      <c r="E5239">
        <v>0.4151821</v>
      </c>
      <c r="F5239" t="s">
        <v>43</v>
      </c>
      <c r="G5239">
        <v>-179.94739999999999</v>
      </c>
      <c r="H5239">
        <v>6.0330969999999998E-2</v>
      </c>
      <c r="I5239">
        <v>30.057790000000001</v>
      </c>
      <c r="J5239">
        <v>-190.21950000000001</v>
      </c>
      <c r="K5239">
        <v>1.1328</v>
      </c>
      <c r="L5239">
        <v>-48.553620000000002</v>
      </c>
      <c r="M5239">
        <v>0.43354910000000002</v>
      </c>
      <c r="N5239">
        <v>-1.549325E-2</v>
      </c>
      <c r="O5239">
        <v>0.90099669999999998</v>
      </c>
      <c r="P5239">
        <v>0.33864499999999997</v>
      </c>
      <c r="Q5239">
        <v>0.19247449999999999</v>
      </c>
      <c r="R5239">
        <v>0.92101739999999999</v>
      </c>
      <c r="S5239">
        <v>0.41255190000000003</v>
      </c>
      <c r="T5239">
        <v>-4.2455550000000002E-2</v>
      </c>
      <c r="U5239">
        <v>3.124603</v>
      </c>
      <c r="V5239">
        <v>-0.10022200000000001</v>
      </c>
      <c r="W5239">
        <v>0.20474510000000001</v>
      </c>
      <c r="X5239">
        <v>0.97367090000000001</v>
      </c>
      <c r="Y5239">
        <v>-0.31184610000000001</v>
      </c>
      <c r="Z5239">
        <v>3.8322540000000002E-3</v>
      </c>
      <c r="AA5239">
        <v>0.95012490000000005</v>
      </c>
      <c r="AB5239">
        <v>35</v>
      </c>
      <c r="AC5239">
        <v>10.2721</v>
      </c>
      <c r="AD5239">
        <v>-1.0724690299999999</v>
      </c>
      <c r="AE5239">
        <v>78.611409999999907</v>
      </c>
      <c r="AF5239">
        <v>-24.825216191555999</v>
      </c>
      <c r="AG5239">
        <v>-1.0724690299999999</v>
      </c>
      <c r="AH5239">
        <v>75.277345285896999</v>
      </c>
      <c r="AI5239">
        <v>90.775172571681694</v>
      </c>
      <c r="AJ5239">
        <v>108.25169587093301</v>
      </c>
      <c r="AK5239">
        <v>79.272443270470504</v>
      </c>
      <c r="AL5239">
        <v>78.185422304465604</v>
      </c>
      <c r="AM5239">
        <v>95.876878572083996</v>
      </c>
      <c r="AN5239">
        <v>1.0000000133824001</v>
      </c>
    </row>
    <row r="5240" spans="1:40" x14ac:dyDescent="0.25">
      <c r="A5240" t="str">
        <f>"20190303170915654"</f>
        <v>20190303170915654</v>
      </c>
      <c r="B5240" t="str">
        <f>"1551604155649138"</f>
        <v>1551604155649138</v>
      </c>
      <c r="C5240" t="s">
        <v>40</v>
      </c>
      <c r="D5240">
        <v>5.2058470000000003</v>
      </c>
      <c r="E5240">
        <v>0.41572730000000002</v>
      </c>
      <c r="F5240" t="s">
        <v>43</v>
      </c>
      <c r="G5240">
        <v>-181.3253</v>
      </c>
      <c r="H5240" s="1">
        <v>-3.5793339999999999E-6</v>
      </c>
      <c r="I5240">
        <v>23.38355</v>
      </c>
      <c r="J5240">
        <v>-190.0967</v>
      </c>
      <c r="K5240">
        <v>1.132695</v>
      </c>
      <c r="L5240">
        <v>-48.277189999999997</v>
      </c>
      <c r="M5240">
        <v>0.42364960000000002</v>
      </c>
      <c r="N5240">
        <v>-1.54678E-2</v>
      </c>
      <c r="O5240">
        <v>0.90569409999999895</v>
      </c>
      <c r="P5240">
        <v>0.3288372</v>
      </c>
      <c r="Q5240">
        <v>0.19288640000000001</v>
      </c>
      <c r="R5240">
        <v>0.92447880000000004</v>
      </c>
      <c r="S5240">
        <v>0.38642880000000002</v>
      </c>
      <c r="T5240">
        <v>-4.9216990000000002E-2</v>
      </c>
      <c r="U5240">
        <v>3.1254580000000001</v>
      </c>
      <c r="V5240">
        <v>-9.98164E-2</v>
      </c>
      <c r="W5240">
        <v>0.20516989999999999</v>
      </c>
      <c r="X5240">
        <v>0.97362320000000002</v>
      </c>
      <c r="Y5240">
        <v>-0.30927460000000001</v>
      </c>
      <c r="Z5240">
        <v>1.9450629999999999E-3</v>
      </c>
      <c r="AA5240">
        <v>0.9509708</v>
      </c>
      <c r="AB5240">
        <v>35</v>
      </c>
      <c r="AC5240">
        <v>8.7713999999999999</v>
      </c>
      <c r="AD5240">
        <v>-1.1326985793340001</v>
      </c>
      <c r="AE5240">
        <v>71.660740000000004</v>
      </c>
      <c r="AF5240">
        <v>-22.4120032420646</v>
      </c>
      <c r="AG5240">
        <v>-1.1326985793340001</v>
      </c>
      <c r="AH5240">
        <v>68.610029594689493</v>
      </c>
      <c r="AI5240">
        <v>90.899078746148007</v>
      </c>
      <c r="AJ5240">
        <v>108.090031775696</v>
      </c>
      <c r="AK5240">
        <v>72.186681987594596</v>
      </c>
      <c r="AL5240">
        <v>78.160555812409299</v>
      </c>
      <c r="AM5240">
        <v>95.853544990835601</v>
      </c>
      <c r="AN5240">
        <v>1.0000000685766</v>
      </c>
    </row>
    <row r="5241" spans="1:40" x14ac:dyDescent="0.25">
      <c r="A5241" t="str">
        <f>"20190303170915679"</f>
        <v>20190303170915679</v>
      </c>
      <c r="B5241" t="str">
        <f>"1551604155668658"</f>
        <v>1551604155668658</v>
      </c>
      <c r="C5241" t="s">
        <v>40</v>
      </c>
      <c r="D5241">
        <v>5.2303509999999998</v>
      </c>
      <c r="E5241">
        <v>0.42209580000000002</v>
      </c>
      <c r="F5241" t="s">
        <v>43</v>
      </c>
      <c r="G5241">
        <v>-181.77889999999999</v>
      </c>
      <c r="H5241" s="1">
        <v>-3.837188E-6</v>
      </c>
      <c r="I5241">
        <v>24.49597</v>
      </c>
      <c r="J5241">
        <v>-189.95609999999999</v>
      </c>
      <c r="K5241">
        <v>1.1325689999999999</v>
      </c>
      <c r="L5241">
        <v>-47.950200000000002</v>
      </c>
      <c r="M5241">
        <v>0.41204560000000001</v>
      </c>
      <c r="N5241">
        <v>-1.54386E-2</v>
      </c>
      <c r="O5241">
        <v>0.91103239999999996</v>
      </c>
      <c r="P5241">
        <v>0.3177893</v>
      </c>
      <c r="Q5241">
        <v>0.1935077</v>
      </c>
      <c r="R5241">
        <v>0.92820510000000001</v>
      </c>
      <c r="S5241">
        <v>0.35752869999999998</v>
      </c>
      <c r="T5241">
        <v>-4.8687460000000002E-2</v>
      </c>
      <c r="U5241">
        <v>3.1280519999999998</v>
      </c>
      <c r="V5241">
        <v>-9.8884250000000007E-2</v>
      </c>
      <c r="W5241">
        <v>0.20581940000000001</v>
      </c>
      <c r="X5241">
        <v>0.97358109999999998</v>
      </c>
      <c r="Y5241">
        <v>-0.30588549999999998</v>
      </c>
      <c r="Z5241">
        <v>1.973959E-3</v>
      </c>
      <c r="AA5241">
        <v>0.95206630000000003</v>
      </c>
      <c r="AB5241">
        <v>35</v>
      </c>
      <c r="AC5241">
        <v>8.1771999999999991</v>
      </c>
      <c r="AD5241">
        <v>-1.1325728371879999</v>
      </c>
      <c r="AE5241">
        <v>72.446169999999995</v>
      </c>
      <c r="AF5241">
        <v>-22.398696678193801</v>
      </c>
      <c r="AG5241">
        <v>-1.1325728371879999</v>
      </c>
      <c r="AH5241">
        <v>69.361718696451504</v>
      </c>
      <c r="AI5241">
        <v>90.890213447377306</v>
      </c>
      <c r="AJ5241">
        <v>107.896612928617</v>
      </c>
      <c r="AK5241">
        <v>72.897409793757006</v>
      </c>
      <c r="AL5241">
        <v>78.122529124359104</v>
      </c>
      <c r="AM5241">
        <v>95.799504190191598</v>
      </c>
      <c r="AN5241">
        <v>0.99999993929581399</v>
      </c>
    </row>
    <row r="5242" spans="1:40" x14ac:dyDescent="0.25">
      <c r="A5242" t="str">
        <f>"20190303170915700"</f>
        <v>20190303170915700</v>
      </c>
      <c r="B5242" t="str">
        <f>"1551604155689154"</f>
        <v>1551604155689154</v>
      </c>
      <c r="C5242" t="s">
        <v>40</v>
      </c>
      <c r="D5242">
        <v>5.2014860000000001</v>
      </c>
      <c r="E5242">
        <v>0.42326049999999998</v>
      </c>
      <c r="F5242" t="s">
        <v>43</v>
      </c>
      <c r="G5242">
        <v>-183.73949999999999</v>
      </c>
      <c r="H5242" s="1">
        <v>-3.4119919999999999E-6</v>
      </c>
      <c r="I5242">
        <v>4.7794439999999998</v>
      </c>
      <c r="J5242">
        <v>-189.83009999999999</v>
      </c>
      <c r="K5242">
        <v>1.132452</v>
      </c>
      <c r="L5242">
        <v>-47.64743</v>
      </c>
      <c r="M5242">
        <v>0.40140009999999998</v>
      </c>
      <c r="N5242">
        <v>-1.541183E-2</v>
      </c>
      <c r="O5242">
        <v>0.91577319999999995</v>
      </c>
      <c r="P5242">
        <v>0.3068727</v>
      </c>
      <c r="Q5242">
        <v>0.19378880000000001</v>
      </c>
      <c r="R5242">
        <v>0.9318128</v>
      </c>
      <c r="S5242">
        <v>0.36784359999999999</v>
      </c>
      <c r="T5242">
        <v>-6.7015889999999995E-2</v>
      </c>
      <c r="U5242">
        <v>3.1200869999999998</v>
      </c>
      <c r="V5242">
        <v>-9.8888009999999998E-2</v>
      </c>
      <c r="W5242">
        <v>0.2061008</v>
      </c>
      <c r="X5242">
        <v>0.97352119999999998</v>
      </c>
      <c r="Y5242">
        <v>-0.29136479999999998</v>
      </c>
      <c r="Z5242">
        <v>-3.2216150000000002E-3</v>
      </c>
      <c r="AA5242">
        <v>0.95660659999999997</v>
      </c>
      <c r="AB5242">
        <v>35</v>
      </c>
      <c r="AC5242">
        <v>6.0905999999999896</v>
      </c>
      <c r="AD5242">
        <v>-1.1324554119920001</v>
      </c>
      <c r="AE5242">
        <v>52.426873999999998</v>
      </c>
      <c r="AF5242">
        <v>-15.4612624798408</v>
      </c>
      <c r="AG5242">
        <v>-1.1324554119920001</v>
      </c>
      <c r="AH5242">
        <v>50.438663225022097</v>
      </c>
      <c r="AI5242">
        <v>91.229736070311205</v>
      </c>
      <c r="AJ5242">
        <v>107.042183899601</v>
      </c>
      <c r="AK5242">
        <v>52.767336872897801</v>
      </c>
      <c r="AL5242">
        <v>78.106053006079193</v>
      </c>
      <c r="AM5242">
        <v>95.800077628359503</v>
      </c>
      <c r="AN5242">
        <v>0.999999952565918</v>
      </c>
    </row>
    <row r="5243" spans="1:40" x14ac:dyDescent="0.25">
      <c r="A5243" t="str">
        <f>"20190303170915724"</f>
        <v>20190303170915724</v>
      </c>
      <c r="B5243" t="str">
        <f>"1551604155719410"</f>
        <v>1551604155719410</v>
      </c>
      <c r="C5243" t="s">
        <v>40</v>
      </c>
      <c r="D5243">
        <v>5.2031039999999997</v>
      </c>
      <c r="E5243">
        <v>0.42453639999999998</v>
      </c>
      <c r="F5243" t="s">
        <v>43</v>
      </c>
      <c r="G5243">
        <v>-184.48339999999999</v>
      </c>
      <c r="H5243" s="1">
        <v>-2.047428E-6</v>
      </c>
      <c r="I5243">
        <v>1.3512249999999999</v>
      </c>
      <c r="J5243">
        <v>-189.69470000000001</v>
      </c>
      <c r="K5243">
        <v>1.1323319999999999</v>
      </c>
      <c r="L5243">
        <v>-47.310609999999997</v>
      </c>
      <c r="M5243">
        <v>0.3896598</v>
      </c>
      <c r="N5243">
        <v>-1.538232E-2</v>
      </c>
      <c r="O5243">
        <v>0.92083040000000005</v>
      </c>
      <c r="P5243">
        <v>0.29496470000000002</v>
      </c>
      <c r="Q5243">
        <v>0.1937739</v>
      </c>
      <c r="R5243">
        <v>0.93565350000000003</v>
      </c>
      <c r="S5243">
        <v>0.3407135</v>
      </c>
      <c r="T5243">
        <v>-7.2163459999999999E-2</v>
      </c>
      <c r="U5243">
        <v>3.1223450000000001</v>
      </c>
      <c r="V5243">
        <v>-9.8789829999999995E-2</v>
      </c>
      <c r="W5243">
        <v>0.20609050000000001</v>
      </c>
      <c r="X5243">
        <v>0.97353339999999999</v>
      </c>
      <c r="Y5243">
        <v>-0.28741729999999999</v>
      </c>
      <c r="Z5243">
        <v>-4.7945059999999996E-3</v>
      </c>
      <c r="AA5243">
        <v>0.95779349999999996</v>
      </c>
      <c r="AB5243">
        <v>35</v>
      </c>
      <c r="AC5243">
        <v>5.21130000000002</v>
      </c>
      <c r="AD5243">
        <v>-1.1323340474279999</v>
      </c>
      <c r="AE5243">
        <v>48.661835000000004</v>
      </c>
      <c r="AF5243">
        <v>-14.1569346962143</v>
      </c>
      <c r="AG5243">
        <v>-1.1323340474279999</v>
      </c>
      <c r="AH5243">
        <v>46.820409333597702</v>
      </c>
      <c r="AI5243">
        <v>91.326133826566803</v>
      </c>
      <c r="AJ5243">
        <v>106.823570768067</v>
      </c>
      <c r="AK5243">
        <v>48.927003899211797</v>
      </c>
      <c r="AL5243">
        <v>78.106656706233395</v>
      </c>
      <c r="AM5243">
        <v>95.7942861610954</v>
      </c>
      <c r="AN5243">
        <v>1.00000000280861</v>
      </c>
    </row>
    <row r="5244" spans="1:40" x14ac:dyDescent="0.25">
      <c r="A5244" t="str">
        <f>"20190303170915744"</f>
        <v>20190303170915744</v>
      </c>
      <c r="B5244" t="str">
        <f>"1551604155738930"</f>
        <v>1551604155738930</v>
      </c>
      <c r="C5244" t="s">
        <v>40</v>
      </c>
      <c r="D5244">
        <v>5.2071440000000004</v>
      </c>
      <c r="E5244">
        <v>0.43045169999999999</v>
      </c>
      <c r="F5244" t="s">
        <v>43</v>
      </c>
      <c r="G5244">
        <v>-185.12780000000001</v>
      </c>
      <c r="H5244" s="1">
        <v>-4.7346730000000001E-6</v>
      </c>
      <c r="I5244">
        <v>-1.345151</v>
      </c>
      <c r="J5244">
        <v>-189.58330000000001</v>
      </c>
      <c r="K5244">
        <v>1.1322289999999999</v>
      </c>
      <c r="L5244">
        <v>-47.023679999999999</v>
      </c>
      <c r="M5244">
        <v>0.37974469999999999</v>
      </c>
      <c r="N5244">
        <v>-1.5357529999999999E-2</v>
      </c>
      <c r="O5244">
        <v>0.9249638</v>
      </c>
      <c r="P5244">
        <v>0.28486159999999999</v>
      </c>
      <c r="Q5244">
        <v>0.19387879999999999</v>
      </c>
      <c r="R5244">
        <v>0.93875710000000001</v>
      </c>
      <c r="S5244">
        <v>0.3104248</v>
      </c>
      <c r="T5244">
        <v>-7.6967839999999996E-2</v>
      </c>
      <c r="U5244">
        <v>3.12439</v>
      </c>
      <c r="V5244">
        <v>-9.876248E-2</v>
      </c>
      <c r="W5244">
        <v>0.2061973</v>
      </c>
      <c r="X5244">
        <v>0.97351350000000003</v>
      </c>
      <c r="Y5244">
        <v>-0.28637770000000001</v>
      </c>
      <c r="Z5244">
        <v>-6.250935E-3</v>
      </c>
      <c r="AA5244">
        <v>0.95809639999999996</v>
      </c>
      <c r="AB5244">
        <v>34</v>
      </c>
      <c r="AC5244">
        <v>4.4554999999999998</v>
      </c>
      <c r="AD5244">
        <v>-1.132233734673</v>
      </c>
      <c r="AE5244">
        <v>45.678528999999997</v>
      </c>
      <c r="AF5244">
        <v>-13.218518596855899</v>
      </c>
      <c r="AG5244">
        <v>-1.132233734673</v>
      </c>
      <c r="AH5244">
        <v>43.921392170676199</v>
      </c>
      <c r="AI5244">
        <v>91.414055511343093</v>
      </c>
      <c r="AJ5244">
        <v>106.749617164223</v>
      </c>
      <c r="AK5244">
        <v>45.881367430970201</v>
      </c>
      <c r="AL5244">
        <v>78.100402496261495</v>
      </c>
      <c r="AM5244">
        <v>95.792810526906194</v>
      </c>
      <c r="AN5244">
        <v>0.99999994433264305</v>
      </c>
    </row>
    <row r="5245" spans="1:40" x14ac:dyDescent="0.25">
      <c r="A5245" t="str">
        <f>"20190303170915773"</f>
        <v>20190303170915773</v>
      </c>
      <c r="B5245" t="str">
        <f>"1551604155759426"</f>
        <v>1551604155759426</v>
      </c>
      <c r="C5245" t="s">
        <v>40</v>
      </c>
      <c r="D5245">
        <v>5.2068680000000001</v>
      </c>
      <c r="E5245">
        <v>0.43153429999999998</v>
      </c>
      <c r="F5245" t="s">
        <v>43</v>
      </c>
      <c r="G5245">
        <v>-185.78229999999999</v>
      </c>
      <c r="H5245" s="1">
        <v>-1.161784E-6</v>
      </c>
      <c r="I5245">
        <v>-10.235709999999999</v>
      </c>
      <c r="J5245">
        <v>-189.4435</v>
      </c>
      <c r="K5245">
        <v>1.1320920000000001</v>
      </c>
      <c r="L5245">
        <v>-46.650419999999997</v>
      </c>
      <c r="M5245">
        <v>0.36693949999999997</v>
      </c>
      <c r="N5245">
        <v>-1.53267E-2</v>
      </c>
      <c r="O5245">
        <v>0.93011860000000002</v>
      </c>
      <c r="P5245">
        <v>0.27190150000000002</v>
      </c>
      <c r="Q5245">
        <v>0.1940934</v>
      </c>
      <c r="R5245">
        <v>0.94254830000000001</v>
      </c>
      <c r="S5245">
        <v>0.32214359999999997</v>
      </c>
      <c r="T5245">
        <v>-9.5957039999999993E-2</v>
      </c>
      <c r="U5245">
        <v>3.1177980000000001</v>
      </c>
      <c r="V5245">
        <v>-9.8653389999999994E-2</v>
      </c>
      <c r="W5245">
        <v>0.20641619999999999</v>
      </c>
      <c r="X5245">
        <v>0.97347819999999996</v>
      </c>
      <c r="Y5245">
        <v>-0.26934049999999998</v>
      </c>
      <c r="Z5245">
        <v>-1.1898789999999999E-2</v>
      </c>
      <c r="AA5245">
        <v>0.96297149999999998</v>
      </c>
      <c r="AB5245">
        <v>34</v>
      </c>
      <c r="AC5245">
        <v>3.6612</v>
      </c>
      <c r="AD5245">
        <v>-1.132093161784</v>
      </c>
      <c r="AE5245">
        <v>36.414709999999999</v>
      </c>
      <c r="AF5245">
        <v>-9.9482953469899993</v>
      </c>
      <c r="AG5245">
        <v>-1.132093161784</v>
      </c>
      <c r="AH5245">
        <v>35.183907030872703</v>
      </c>
      <c r="AI5245">
        <v>91.773456449064696</v>
      </c>
      <c r="AJ5245">
        <v>105.78831919133999</v>
      </c>
      <c r="AK5245">
        <v>36.580835545337003</v>
      </c>
      <c r="AL5245">
        <v>78.087585044501694</v>
      </c>
      <c r="AM5245">
        <v>95.786663812639006</v>
      </c>
      <c r="AN5245">
        <v>0.99999997242808503</v>
      </c>
    </row>
    <row r="5246" spans="1:40" x14ac:dyDescent="0.25">
      <c r="A5246" t="str">
        <f>"20190303170915816"</f>
        <v>20190303170915816</v>
      </c>
      <c r="B5246" t="str">
        <f>"1551604155809202"</f>
        <v>1551604155809202</v>
      </c>
      <c r="C5246" t="s">
        <v>40</v>
      </c>
      <c r="D5246">
        <v>5.2283339999999896</v>
      </c>
      <c r="E5246">
        <v>0.4371988</v>
      </c>
      <c r="F5246" t="s">
        <v>43</v>
      </c>
      <c r="G5246">
        <v>-186.11009999999999</v>
      </c>
      <c r="H5246" s="1">
        <v>-4.8891649999999998E-6</v>
      </c>
      <c r="I5246">
        <v>-10.57887</v>
      </c>
      <c r="J5246">
        <v>-189.21969999999999</v>
      </c>
      <c r="K5246">
        <v>1.131896</v>
      </c>
      <c r="L5246">
        <v>-46.016019999999997</v>
      </c>
      <c r="M5246">
        <v>0.3453734</v>
      </c>
      <c r="N5246">
        <v>-1.5280200000000001E-2</v>
      </c>
      <c r="O5246">
        <v>0.93834099999999998</v>
      </c>
      <c r="P5246">
        <v>0.25220490000000001</v>
      </c>
      <c r="Q5246">
        <v>0.19272690000000001</v>
      </c>
      <c r="R5246">
        <v>0.9482874</v>
      </c>
      <c r="S5246">
        <v>0.28831479999999998</v>
      </c>
      <c r="T5246">
        <v>-9.791648E-2</v>
      </c>
      <c r="U5246">
        <v>3.1198730000000001</v>
      </c>
      <c r="V5246">
        <v>-9.6415699999999993E-2</v>
      </c>
      <c r="W5246">
        <v>0.20511750000000001</v>
      </c>
      <c r="X5246">
        <v>0.97397679999999998</v>
      </c>
      <c r="Y5246">
        <v>-0.25750319999999999</v>
      </c>
      <c r="Z5246">
        <v>-1.2873880000000001E-2</v>
      </c>
      <c r="AA5246">
        <v>0.96619160000000004</v>
      </c>
      <c r="AB5246">
        <v>34</v>
      </c>
      <c r="AC5246">
        <v>3.1095999999999999</v>
      </c>
      <c r="AD5246">
        <v>-1.131900889165</v>
      </c>
      <c r="AE5246">
        <v>35.437150000000003</v>
      </c>
      <c r="AF5246">
        <v>-9.3128430323515907</v>
      </c>
      <c r="AG5246">
        <v>-1.131900889165</v>
      </c>
      <c r="AH5246">
        <v>34.295388229999404</v>
      </c>
      <c r="AI5246">
        <v>91.8243127361511</v>
      </c>
      <c r="AJ5246">
        <v>105.192208651058</v>
      </c>
      <c r="AK5246">
        <v>35.555363854339802</v>
      </c>
      <c r="AL5246">
        <v>78.163622426081204</v>
      </c>
      <c r="AM5246">
        <v>95.653392812058101</v>
      </c>
      <c r="AN5246">
        <v>0.99999999147549001</v>
      </c>
    </row>
    <row r="5247" spans="1:40" x14ac:dyDescent="0.25">
      <c r="A5247" t="str">
        <f>"20190303170915836"</f>
        <v>20190303170915836</v>
      </c>
      <c r="B5247" t="str">
        <f>"1551604155828722"</f>
        <v>1551604155828722</v>
      </c>
      <c r="C5247" t="s">
        <v>40</v>
      </c>
      <c r="D5247">
        <v>5.1968459999999999</v>
      </c>
      <c r="E5247">
        <v>0.41514259999999997</v>
      </c>
      <c r="F5247" t="s">
        <v>43</v>
      </c>
      <c r="G5247">
        <v>-186.53440000000001</v>
      </c>
      <c r="H5247" s="1">
        <v>-3.151331E-6</v>
      </c>
      <c r="I5247">
        <v>-14.45434</v>
      </c>
      <c r="J5247">
        <v>-189.11770000000001</v>
      </c>
      <c r="K5247">
        <v>1.131821</v>
      </c>
      <c r="L5247">
        <v>-45.710659999999997</v>
      </c>
      <c r="M5247">
        <v>0.33504689999999998</v>
      </c>
      <c r="N5247">
        <v>-1.5261200000000001E-2</v>
      </c>
      <c r="O5247">
        <v>0.94207790000000002</v>
      </c>
      <c r="P5247">
        <v>0.24278459999999999</v>
      </c>
      <c r="Q5247">
        <v>0.19213730000000001</v>
      </c>
      <c r="R5247">
        <v>0.95086219999999999</v>
      </c>
      <c r="S5247">
        <v>0.26509090000000002</v>
      </c>
      <c r="T5247">
        <v>-0.1117427</v>
      </c>
      <c r="U5247">
        <v>3.1158139999999999</v>
      </c>
      <c r="V5247">
        <v>-9.5361169999999995E-2</v>
      </c>
      <c r="W5247">
        <v>0.2045584</v>
      </c>
      <c r="X5247">
        <v>0.97419820000000001</v>
      </c>
      <c r="Y5247">
        <v>-0.25391619999999998</v>
      </c>
      <c r="Z5247">
        <v>-1.70690999999999E-2</v>
      </c>
      <c r="AA5247">
        <v>0.96707560000000004</v>
      </c>
      <c r="AB5247">
        <v>34</v>
      </c>
      <c r="AC5247">
        <v>2.5832999999999999</v>
      </c>
      <c r="AD5247">
        <v>-1.1318241513309999</v>
      </c>
      <c r="AE5247">
        <v>31.256319999999899</v>
      </c>
      <c r="AF5247">
        <v>-8.0291424612245592</v>
      </c>
      <c r="AG5247">
        <v>-1.1318241513309999</v>
      </c>
      <c r="AH5247">
        <v>30.275514771561902</v>
      </c>
      <c r="AI5247">
        <v>92.069482722287006</v>
      </c>
      <c r="AJ5247">
        <v>104.853068045603</v>
      </c>
      <c r="AK5247">
        <v>31.342542163252201</v>
      </c>
      <c r="AL5247">
        <v>78.1963507153731</v>
      </c>
      <c r="AM5247">
        <v>95.590691064071294</v>
      </c>
      <c r="AN5247">
        <v>1.00000001231878</v>
      </c>
    </row>
    <row r="5248" spans="1:40" x14ac:dyDescent="0.25">
      <c r="A5248" t="str">
        <f>"20190303170915859"</f>
        <v>20190303170915859</v>
      </c>
      <c r="B5248" t="str">
        <f>"1551604155849218"</f>
        <v>1551604155849218</v>
      </c>
      <c r="C5248" t="s">
        <v>40</v>
      </c>
      <c r="D5248">
        <v>5.1865019999999999</v>
      </c>
      <c r="E5248">
        <v>0.41061439999999999</v>
      </c>
      <c r="F5248" t="s">
        <v>43</v>
      </c>
      <c r="G5248">
        <v>-185.7868</v>
      </c>
      <c r="H5248" s="1">
        <v>-3.5895099999999898E-6</v>
      </c>
      <c r="I5248">
        <v>116.25790000000001</v>
      </c>
      <c r="J5248">
        <v>-189.0137</v>
      </c>
      <c r="K5248">
        <v>1.131756</v>
      </c>
      <c r="L5248">
        <v>-45.387360000000001</v>
      </c>
      <c r="M5248">
        <v>0.3241386</v>
      </c>
      <c r="N5248">
        <v>-1.524315E-2</v>
      </c>
      <c r="O5248">
        <v>0.94588680000000003</v>
      </c>
      <c r="P5248">
        <v>0.23217769999999999</v>
      </c>
      <c r="Q5248">
        <v>0.1923716</v>
      </c>
      <c r="R5248">
        <v>0.95346039999999999</v>
      </c>
      <c r="S5248">
        <v>6.4636230000000003E-2</v>
      </c>
      <c r="T5248">
        <v>-2.1962880000000001E-2</v>
      </c>
      <c r="U5248">
        <v>3.1429749999999999</v>
      </c>
      <c r="V5248">
        <v>-9.4908380000000001E-2</v>
      </c>
      <c r="W5248">
        <v>0.2048035</v>
      </c>
      <c r="X5248">
        <v>0.97419089999999997</v>
      </c>
      <c r="Y5248">
        <v>-0.30460569999999998</v>
      </c>
      <c r="Z5248">
        <v>8.9357369999999992E-3</v>
      </c>
      <c r="AA5248">
        <v>0.95243659999999997</v>
      </c>
      <c r="AB5248">
        <v>34</v>
      </c>
      <c r="AC5248">
        <v>3.2269000000000001</v>
      </c>
      <c r="AD5248">
        <v>-1.1317595895100001</v>
      </c>
      <c r="AE5248">
        <v>161.64526000000001</v>
      </c>
      <c r="AF5248">
        <v>-49.346501045241197</v>
      </c>
      <c r="AG5248">
        <v>-1.1317595895100001</v>
      </c>
      <c r="AH5248">
        <v>153.954422565301</v>
      </c>
      <c r="AI5248">
        <v>90.401089699005496</v>
      </c>
      <c r="AJ5248">
        <v>107.77204130822599</v>
      </c>
      <c r="AK5248">
        <v>161.67350516578699</v>
      </c>
      <c r="AL5248">
        <v>78.182003532748396</v>
      </c>
      <c r="AM5248">
        <v>95.5643539946484</v>
      </c>
      <c r="AN5248">
        <v>0.99999999192464195</v>
      </c>
    </row>
    <row r="5249" spans="1:40" x14ac:dyDescent="0.25">
      <c r="A5249" t="str">
        <f>"20190303170915881"</f>
        <v>20190303170915881</v>
      </c>
      <c r="B5249" t="str">
        <f>"1551604155868739"</f>
        <v>1551604155868739</v>
      </c>
      <c r="C5249" t="s">
        <v>40</v>
      </c>
      <c r="D5249">
        <v>5.5156929999999997</v>
      </c>
      <c r="E5249">
        <v>0.40911750000000002</v>
      </c>
      <c r="F5249" t="s">
        <v>50</v>
      </c>
      <c r="G5249">
        <v>-189.6816</v>
      </c>
      <c r="H5249">
        <v>1.6461410000000001</v>
      </c>
      <c r="I5249">
        <v>391.87</v>
      </c>
      <c r="J5249">
        <v>-188.91739999999999</v>
      </c>
      <c r="K5249">
        <v>1.1316919999999999</v>
      </c>
      <c r="L5249">
        <v>-45.075899999999997</v>
      </c>
      <c r="M5249">
        <v>0.31364370000000003</v>
      </c>
      <c r="N5249">
        <v>-1.52274E-2</v>
      </c>
      <c r="O5249">
        <v>0.9494186</v>
      </c>
      <c r="P5249">
        <v>0.22197919999999999</v>
      </c>
      <c r="Q5249">
        <v>0.1926977</v>
      </c>
      <c r="R5249">
        <v>0.95582049999999996</v>
      </c>
      <c r="S5249">
        <v>-4.8065190000000004E-3</v>
      </c>
      <c r="T5249">
        <v>3.701925E-3</v>
      </c>
      <c r="U5249">
        <v>3.1468509999999998</v>
      </c>
      <c r="V5249">
        <v>-9.4481659999999995E-2</v>
      </c>
      <c r="W5249">
        <v>0.2051385</v>
      </c>
      <c r="X5249">
        <v>0.97416190000000003</v>
      </c>
      <c r="Y5249">
        <v>-0.31509619999999999</v>
      </c>
      <c r="Z5249">
        <v>1.6288360000000002E-2</v>
      </c>
      <c r="AA5249">
        <v>0.94891999999999999</v>
      </c>
      <c r="AB5249">
        <v>34</v>
      </c>
      <c r="AC5249">
        <v>-0.76420000000001598</v>
      </c>
      <c r="AD5249">
        <v>0.51444900000000005</v>
      </c>
      <c r="AE5249">
        <v>436.94589999999999</v>
      </c>
      <c r="AF5249">
        <v>-137.786664324578</v>
      </c>
      <c r="AG5249">
        <v>0.51444900000000005</v>
      </c>
      <c r="AH5249">
        <v>414.65239580678798</v>
      </c>
      <c r="AI5249">
        <v>89.932541445901194</v>
      </c>
      <c r="AJ5249">
        <v>108.38135769886701</v>
      </c>
      <c r="AK5249">
        <v>436.94626542834402</v>
      </c>
      <c r="AL5249">
        <v>78.162393149063902</v>
      </c>
      <c r="AM5249">
        <v>95.539655800827504</v>
      </c>
      <c r="AN5249">
        <v>0.99999999783510696</v>
      </c>
    </row>
    <row r="5250" spans="1:40" x14ac:dyDescent="0.25">
      <c r="A5250" t="str">
        <f>"20190303170915903"</f>
        <v>20190303170915903</v>
      </c>
      <c r="B5250" t="str">
        <f>"1551604155898994"</f>
        <v>1551604155898994</v>
      </c>
      <c r="C5250" t="s">
        <v>40</v>
      </c>
      <c r="D5250">
        <v>5.1575730000000002</v>
      </c>
      <c r="E5250">
        <v>0.40892070000000003</v>
      </c>
      <c r="F5250" t="s">
        <v>50</v>
      </c>
      <c r="G5250">
        <v>-195.84389999999999</v>
      </c>
      <c r="H5250">
        <v>2.288996</v>
      </c>
      <c r="I5250">
        <v>391.87</v>
      </c>
      <c r="J5250">
        <v>-188.81979999999999</v>
      </c>
      <c r="K5250">
        <v>1.1316440000000001</v>
      </c>
      <c r="L5250">
        <v>-44.74689</v>
      </c>
      <c r="M5250">
        <v>0.302566</v>
      </c>
      <c r="N5250">
        <v>-1.521219E-2</v>
      </c>
      <c r="O5250">
        <v>0.95300700000000005</v>
      </c>
      <c r="P5250">
        <v>0.21107090000000001</v>
      </c>
      <c r="Q5250">
        <v>0.1927584</v>
      </c>
      <c r="R5250">
        <v>0.95827620000000002</v>
      </c>
      <c r="S5250">
        <v>-4.9911499999999998E-2</v>
      </c>
      <c r="T5250">
        <v>8.3394049999999994E-3</v>
      </c>
      <c r="U5250">
        <v>3.14859</v>
      </c>
      <c r="V5250">
        <v>-9.4206269999999995E-2</v>
      </c>
      <c r="W5250">
        <v>0.20520479999999999</v>
      </c>
      <c r="X5250">
        <v>0.9741746</v>
      </c>
      <c r="Y5250">
        <v>-0.31763720000000001</v>
      </c>
      <c r="Z5250">
        <v>1.7642720000000001E-2</v>
      </c>
      <c r="AA5250">
        <v>0.94804820000000001</v>
      </c>
      <c r="AB5250">
        <v>34</v>
      </c>
      <c r="AC5250">
        <v>-7.0240999999999998</v>
      </c>
      <c r="AD5250">
        <v>1.1573519999999999</v>
      </c>
      <c r="AE5250">
        <v>436.61689000000001</v>
      </c>
      <c r="AF5250">
        <v>-138.81453429342801</v>
      </c>
      <c r="AG5250">
        <v>1.1573519999999999</v>
      </c>
      <c r="AH5250">
        <v>414.01871066885798</v>
      </c>
      <c r="AI5250">
        <v>89.8481434922017</v>
      </c>
      <c r="AJ5250">
        <v>108.535563565537</v>
      </c>
      <c r="AK5250">
        <v>436.67185297275199</v>
      </c>
      <c r="AL5250">
        <v>78.158511789638794</v>
      </c>
      <c r="AM5250">
        <v>95.523537552553407</v>
      </c>
      <c r="AN5250">
        <v>0.99999999126775596</v>
      </c>
    </row>
    <row r="5251" spans="1:40" x14ac:dyDescent="0.25">
      <c r="A5251" t="str">
        <f>"20190303170915924"</f>
        <v>20190303170915924</v>
      </c>
      <c r="B5251" t="str">
        <f>"1551604155918514"</f>
        <v>1551604155918514</v>
      </c>
      <c r="C5251" t="s">
        <v>40</v>
      </c>
      <c r="D5251">
        <v>5.2042419999999998</v>
      </c>
      <c r="E5251">
        <v>0.40927770000000002</v>
      </c>
      <c r="F5251" t="s">
        <v>50</v>
      </c>
      <c r="G5251">
        <v>-200.94540000000001</v>
      </c>
      <c r="H5251">
        <v>2.2339120000000001</v>
      </c>
      <c r="I5251">
        <v>391.87</v>
      </c>
      <c r="J5251">
        <v>-188.73509999999999</v>
      </c>
      <c r="K5251">
        <v>1.1316079999999999</v>
      </c>
      <c r="L5251">
        <v>-44.449370000000002</v>
      </c>
      <c r="M5251">
        <v>0.29255029999999999</v>
      </c>
      <c r="N5251">
        <v>-1.519945E-2</v>
      </c>
      <c r="O5251">
        <v>0.95612929999999996</v>
      </c>
      <c r="P5251">
        <v>0.1999668</v>
      </c>
      <c r="Q5251">
        <v>0.19293669999999999</v>
      </c>
      <c r="R5251">
        <v>0.96061890000000005</v>
      </c>
      <c r="S5251">
        <v>-8.7432860000000001E-2</v>
      </c>
      <c r="T5251">
        <v>7.9480409999999994E-3</v>
      </c>
      <c r="U5251">
        <v>3.148285</v>
      </c>
      <c r="V5251">
        <v>-9.5231179999999999E-2</v>
      </c>
      <c r="W5251">
        <v>0.2053528</v>
      </c>
      <c r="X5251">
        <v>0.97404380000000002</v>
      </c>
      <c r="Y5251">
        <v>-0.3189824</v>
      </c>
      <c r="Z5251">
        <v>1.7554609999999998E-2</v>
      </c>
      <c r="AA5251">
        <v>0.94759800000000005</v>
      </c>
      <c r="AB5251">
        <v>34</v>
      </c>
      <c r="AC5251">
        <v>-12.2103</v>
      </c>
      <c r="AD5251">
        <v>1.102304</v>
      </c>
      <c r="AE5251">
        <v>436.31936999999999</v>
      </c>
      <c r="AF5251">
        <v>-139.33519964024799</v>
      </c>
      <c r="AG5251">
        <v>1.102304</v>
      </c>
      <c r="AH5251">
        <v>413.65076583940902</v>
      </c>
      <c r="AI5251">
        <v>89.8553057153933</v>
      </c>
      <c r="AJ5251">
        <v>108.615717487903</v>
      </c>
      <c r="AK5251">
        <v>436.48879597582498</v>
      </c>
      <c r="AL5251">
        <v>78.1498480477496</v>
      </c>
      <c r="AM5251">
        <v>95.583997800532799</v>
      </c>
      <c r="AN5251">
        <v>1.00000003721523</v>
      </c>
    </row>
    <row r="5252" spans="1:40" x14ac:dyDescent="0.25">
      <c r="A5252" t="str">
        <f>"20190303170915947"</f>
        <v>20190303170915947</v>
      </c>
      <c r="B5252" t="str">
        <f>"1551604155939011"</f>
        <v>1551604155939011</v>
      </c>
      <c r="C5252" t="s">
        <v>40</v>
      </c>
      <c r="D5252">
        <v>5.2177040000000003</v>
      </c>
      <c r="E5252">
        <v>0.40999639999999998</v>
      </c>
      <c r="F5252" t="s">
        <v>41</v>
      </c>
      <c r="G5252">
        <v>-203.29490000000001</v>
      </c>
      <c r="H5252">
        <v>2.2457229999999999</v>
      </c>
      <c r="I5252">
        <v>336.09210000000002</v>
      </c>
      <c r="J5252">
        <v>-188.6421</v>
      </c>
      <c r="K5252">
        <v>1.131572</v>
      </c>
      <c r="L5252">
        <v>-44.108669999999996</v>
      </c>
      <c r="M5252">
        <v>0.28107910000000003</v>
      </c>
      <c r="N5252">
        <v>-1.5185860000000001E-2</v>
      </c>
      <c r="O5252">
        <v>0.95956439999999998</v>
      </c>
      <c r="P5252">
        <v>0.18813540000000001</v>
      </c>
      <c r="Q5252">
        <v>0.1940703</v>
      </c>
      <c r="R5252">
        <v>0.96277820000000003</v>
      </c>
      <c r="S5252">
        <v>-0.1203766</v>
      </c>
      <c r="T5252">
        <v>9.2111829999999995E-3</v>
      </c>
      <c r="U5252">
        <v>3.14621</v>
      </c>
      <c r="V5252">
        <v>-9.5487269999999999E-2</v>
      </c>
      <c r="W5252">
        <v>0.20647450000000001</v>
      </c>
      <c r="X5252">
        <v>0.97378149999999997</v>
      </c>
      <c r="Y5252">
        <v>-0.31756129999999999</v>
      </c>
      <c r="Z5252">
        <v>1.7942550000000002E-2</v>
      </c>
      <c r="AA5252">
        <v>0.94806800000000002</v>
      </c>
      <c r="AB5252">
        <v>34</v>
      </c>
      <c r="AC5252">
        <v>-14.652799999999999</v>
      </c>
      <c r="AD5252">
        <v>1.1141509999999999</v>
      </c>
      <c r="AE5252">
        <v>380.20076999999998</v>
      </c>
      <c r="AF5252">
        <v>-120.939709901269</v>
      </c>
      <c r="AG5252">
        <v>1.1141509999999999</v>
      </c>
      <c r="AH5252">
        <v>360.74704987353601</v>
      </c>
      <c r="AI5252">
        <v>89.832222435021507</v>
      </c>
      <c r="AJ5252">
        <v>108.533621695565</v>
      </c>
      <c r="AK5252">
        <v>380.48139081420697</v>
      </c>
      <c r="AL5252">
        <v>78.084171175726496</v>
      </c>
      <c r="AM5252">
        <v>95.600417219932496</v>
      </c>
      <c r="AN5252">
        <v>0.99999997381227601</v>
      </c>
    </row>
    <row r="5253" spans="1:40" x14ac:dyDescent="0.25">
      <c r="A5253" t="str">
        <f>"20190303170915973"</f>
        <v>20190303170915973</v>
      </c>
      <c r="B5253" t="str">
        <f>"1551604155969266"</f>
        <v>1551604155969266</v>
      </c>
      <c r="C5253" t="s">
        <v>40</v>
      </c>
      <c r="D5253">
        <v>5.2309460000000003</v>
      </c>
      <c r="E5253">
        <v>0.41130230000000001</v>
      </c>
      <c r="F5253" t="s">
        <v>50</v>
      </c>
      <c r="G5253">
        <v>-209.8348</v>
      </c>
      <c r="H5253">
        <v>2.770051</v>
      </c>
      <c r="I5253">
        <v>391.87</v>
      </c>
      <c r="J5253">
        <v>-188.5504</v>
      </c>
      <c r="K5253">
        <v>1.1315390000000001</v>
      </c>
      <c r="L5253">
        <v>-43.754429999999999</v>
      </c>
      <c r="M5253">
        <v>0.269150099999999</v>
      </c>
      <c r="N5253">
        <v>-1.5172710000000001E-2</v>
      </c>
      <c r="O5253">
        <v>0.96297869999999997</v>
      </c>
      <c r="P5253">
        <v>0.17674479999999901</v>
      </c>
      <c r="Q5253">
        <v>0.19601669999999999</v>
      </c>
      <c r="R5253">
        <v>0.96454070000000003</v>
      </c>
      <c r="S5253">
        <v>-0.15280150000000001</v>
      </c>
      <c r="T5253">
        <v>1.181364E-2</v>
      </c>
      <c r="U5253">
        <v>3.1434630000000001</v>
      </c>
      <c r="V5253">
        <v>-9.4828049999999997E-2</v>
      </c>
      <c r="W5253">
        <v>0.2084318</v>
      </c>
      <c r="X5253">
        <v>0.97342890000000004</v>
      </c>
      <c r="Y5253">
        <v>-0.31558760000000002</v>
      </c>
      <c r="Z5253">
        <v>1.872513E-2</v>
      </c>
      <c r="AA5253">
        <v>0.94871159999999999</v>
      </c>
      <c r="AB5253">
        <v>34</v>
      </c>
      <c r="AC5253">
        <v>-21.284400000000002</v>
      </c>
      <c r="AD5253">
        <v>1.638512</v>
      </c>
      <c r="AE5253">
        <v>435.62442999999899</v>
      </c>
      <c r="AF5253">
        <v>-137.75869886304901</v>
      </c>
      <c r="AG5253">
        <v>1.638512</v>
      </c>
      <c r="AH5253">
        <v>413.81015122187</v>
      </c>
      <c r="AI5253">
        <v>89.784748418841502</v>
      </c>
      <c r="AJ5253">
        <v>108.412762544195</v>
      </c>
      <c r="AK5253">
        <v>436.14101514106801</v>
      </c>
      <c r="AL5253">
        <v>77.969532450385202</v>
      </c>
      <c r="AM5253">
        <v>95.563998684504696</v>
      </c>
      <c r="AN5253">
        <v>0.99999999883662605</v>
      </c>
    </row>
    <row r="5254" spans="1:40" x14ac:dyDescent="0.25">
      <c r="A5254" t="str">
        <f>"20190303170915996"</f>
        <v>20190303170915996</v>
      </c>
      <c r="B5254" t="str">
        <f>"1551604155988786"</f>
        <v>1551604155988786</v>
      </c>
      <c r="C5254" t="s">
        <v>40</v>
      </c>
      <c r="D5254">
        <v>5.2416980000000004</v>
      </c>
      <c r="E5254">
        <v>0.41231020000000002</v>
      </c>
      <c r="F5254" t="s">
        <v>50</v>
      </c>
      <c r="G5254">
        <v>-213.61160000000001</v>
      </c>
      <c r="H5254">
        <v>3.5407419999999998</v>
      </c>
      <c r="I5254">
        <v>391.87</v>
      </c>
      <c r="J5254">
        <v>-188.46369999999999</v>
      </c>
      <c r="K5254">
        <v>1.1315090000000001</v>
      </c>
      <c r="L5254">
        <v>-43.401249999999997</v>
      </c>
      <c r="M5254">
        <v>0.25724940000000002</v>
      </c>
      <c r="N5254">
        <v>-1.5160430000000001E-2</v>
      </c>
      <c r="O5254">
        <v>0.96622609999999998</v>
      </c>
      <c r="P5254">
        <v>0.1657641</v>
      </c>
      <c r="Q5254">
        <v>0.1976088</v>
      </c>
      <c r="R5254">
        <v>0.96616409999999997</v>
      </c>
      <c r="S5254">
        <v>-0.1806335</v>
      </c>
      <c r="T5254">
        <v>1.7364859999999999E-2</v>
      </c>
      <c r="U5254">
        <v>3.1398619999999999</v>
      </c>
      <c r="V5254">
        <v>-9.3820139999999996E-2</v>
      </c>
      <c r="W5254">
        <v>0.2100447</v>
      </c>
      <c r="X5254">
        <v>0.97317989999999999</v>
      </c>
      <c r="Y5254">
        <v>-0.31232009999999899</v>
      </c>
      <c r="Z5254">
        <v>2.0381900000000001E-2</v>
      </c>
      <c r="AA5254">
        <v>0.9497582</v>
      </c>
      <c r="AB5254">
        <v>34</v>
      </c>
      <c r="AC5254">
        <v>-25.1479</v>
      </c>
      <c r="AD5254">
        <v>2.4092329999999902</v>
      </c>
      <c r="AE5254">
        <v>435.27125000000001</v>
      </c>
      <c r="AF5254">
        <v>-136.283328995386</v>
      </c>
      <c r="AG5254">
        <v>2.4092329999999902</v>
      </c>
      <c r="AH5254">
        <v>414.13611761508099</v>
      </c>
      <c r="AI5254">
        <v>89.683388512961798</v>
      </c>
      <c r="AJ5254">
        <v>108.21526845867901</v>
      </c>
      <c r="AK5254">
        <v>435.99045182091498</v>
      </c>
      <c r="AL5254">
        <v>77.8750289010176</v>
      </c>
      <c r="AM5254">
        <v>95.506625130082</v>
      </c>
      <c r="AN5254">
        <v>1.00000005621585</v>
      </c>
    </row>
    <row r="5255" spans="1:40" x14ac:dyDescent="0.25">
      <c r="A5255" t="str">
        <f>"20190303170916038"</f>
        <v>20190303170916038</v>
      </c>
      <c r="B5255" t="str">
        <f>"1551604156028802"</f>
        <v>1551604156028802</v>
      </c>
      <c r="C5255" t="s">
        <v>40</v>
      </c>
      <c r="D5255">
        <v>5.2317739999999997</v>
      </c>
      <c r="E5255">
        <v>0.42458649999999998</v>
      </c>
      <c r="F5255" t="s">
        <v>50</v>
      </c>
      <c r="G5255">
        <v>-217.453</v>
      </c>
      <c r="H5255">
        <v>4.1082780000000003</v>
      </c>
      <c r="I5255">
        <v>391.87</v>
      </c>
      <c r="J5255">
        <v>-188.3263</v>
      </c>
      <c r="K5255">
        <v>1.131451</v>
      </c>
      <c r="L5255">
        <v>-42.799349999999997</v>
      </c>
      <c r="M5255">
        <v>0.23695189999999999</v>
      </c>
      <c r="N5255">
        <v>-1.514132E-2</v>
      </c>
      <c r="O5255">
        <v>0.97140340000000003</v>
      </c>
      <c r="P5255">
        <v>0.14718539999999999</v>
      </c>
      <c r="Q5255">
        <v>0.19911799999999999</v>
      </c>
      <c r="R5255">
        <v>0.96885940000000004</v>
      </c>
      <c r="S5255">
        <v>-0.20889279999999999</v>
      </c>
      <c r="T5255">
        <v>2.1450159999999999E-2</v>
      </c>
      <c r="U5255">
        <v>3.1365050000000001</v>
      </c>
      <c r="V5255">
        <v>-9.2040460000000004E-2</v>
      </c>
      <c r="W5255">
        <v>0.21159359999999999</v>
      </c>
      <c r="X5255">
        <v>0.97301420000000005</v>
      </c>
      <c r="Y5255">
        <v>-0.3009809</v>
      </c>
      <c r="Z5255">
        <v>2.1641870000000001E-2</v>
      </c>
      <c r="AA5255">
        <v>0.95338460000000003</v>
      </c>
      <c r="AB5255">
        <v>34</v>
      </c>
      <c r="AC5255">
        <v>-29.1267</v>
      </c>
      <c r="AD5255">
        <v>2.9768270000000001</v>
      </c>
      <c r="AE5255">
        <v>434.66935000000001</v>
      </c>
      <c r="AF5255">
        <v>-131.29842360131701</v>
      </c>
      <c r="AG5255">
        <v>2.9768270000000001</v>
      </c>
      <c r="AH5255">
        <v>415.36587568715203</v>
      </c>
      <c r="AI5255">
        <v>89.608476459627994</v>
      </c>
      <c r="AJ5255">
        <v>107.54190471896101</v>
      </c>
      <c r="AK5255">
        <v>435.63396128462398</v>
      </c>
      <c r="AL5255">
        <v>77.784241934626806</v>
      </c>
      <c r="AM5255">
        <v>95.403708264518599</v>
      </c>
      <c r="AN5255">
        <v>0.99999996561980498</v>
      </c>
    </row>
    <row r="5256" spans="1:40" x14ac:dyDescent="0.25">
      <c r="A5256" t="str">
        <f>"20190303170916059"</f>
        <v>20190303170916059</v>
      </c>
      <c r="B5256" t="str">
        <f>"1551604156049298"</f>
        <v>1551604156049298</v>
      </c>
      <c r="C5256" t="s">
        <v>40</v>
      </c>
      <c r="D5256">
        <v>5.234197</v>
      </c>
      <c r="E5256">
        <v>0.42581750000000002</v>
      </c>
      <c r="F5256" t="s">
        <v>43</v>
      </c>
      <c r="G5256">
        <v>-211.61490000000001</v>
      </c>
      <c r="H5256">
        <v>5.8884449999999998E-2</v>
      </c>
      <c r="I5256">
        <v>379.62540000000001</v>
      </c>
      <c r="J5256">
        <v>-188.26130000000001</v>
      </c>
      <c r="K5256">
        <v>1.131426</v>
      </c>
      <c r="L5256">
        <v>-42.492339999999999</v>
      </c>
      <c r="M5256">
        <v>0.22659209999999999</v>
      </c>
      <c r="N5256">
        <v>-1.513224E-2</v>
      </c>
      <c r="O5256">
        <v>0.97387219999999997</v>
      </c>
      <c r="P5256">
        <v>0.13963210000000001</v>
      </c>
      <c r="Q5256">
        <v>0.20009769999999999</v>
      </c>
      <c r="R5256">
        <v>0.9697751</v>
      </c>
      <c r="S5256">
        <v>-0.17224120000000001</v>
      </c>
      <c r="T5256">
        <v>-7.9326629999999995E-3</v>
      </c>
      <c r="U5256">
        <v>3.1242369999999999</v>
      </c>
      <c r="V5256">
        <v>-8.9213189999999998E-2</v>
      </c>
      <c r="W5256">
        <v>0.212644</v>
      </c>
      <c r="X5256">
        <v>0.97304860000000004</v>
      </c>
      <c r="Y5256">
        <v>-0.27984730000000002</v>
      </c>
      <c r="Z5256">
        <v>1.284123E-2</v>
      </c>
      <c r="AA5256">
        <v>0.9599586</v>
      </c>
      <c r="AB5256">
        <v>34</v>
      </c>
      <c r="AC5256">
        <v>-23.3536</v>
      </c>
      <c r="AD5256">
        <v>-1.07254155</v>
      </c>
      <c r="AE5256">
        <v>422.11774000000003</v>
      </c>
      <c r="AF5256">
        <v>-118.40476061827999</v>
      </c>
      <c r="AG5256">
        <v>-1.07254155</v>
      </c>
      <c r="AH5256">
        <v>405.84084201821503</v>
      </c>
      <c r="AI5256">
        <v>90.145358816947194</v>
      </c>
      <c r="AJ5256">
        <v>106.264695342411</v>
      </c>
      <c r="AK5256">
        <v>422.76190312338002</v>
      </c>
      <c r="AL5256">
        <v>77.7226576991455</v>
      </c>
      <c r="AM5256">
        <v>95.238472720987005</v>
      </c>
      <c r="AN5256">
        <v>1.0000000209839599</v>
      </c>
    </row>
    <row r="5257" spans="1:40" x14ac:dyDescent="0.25">
      <c r="A5257" t="str">
        <f>"20190303170916083"</f>
        <v>20190303170916083</v>
      </c>
      <c r="B5257" t="str">
        <f>"1551604156078858"</f>
        <v>1551604156078858</v>
      </c>
      <c r="C5257" t="s">
        <v>40</v>
      </c>
      <c r="D5257">
        <v>5.2340809999999998</v>
      </c>
      <c r="E5257">
        <v>0.43364599999999998</v>
      </c>
      <c r="F5257" t="s">
        <v>50</v>
      </c>
      <c r="G5257">
        <v>-214.40010000000001</v>
      </c>
      <c r="H5257">
        <v>0.58943650000000003</v>
      </c>
      <c r="I5257">
        <v>391.87</v>
      </c>
      <c r="J5257">
        <v>-188.19130000000001</v>
      </c>
      <c r="K5257">
        <v>1.1314</v>
      </c>
      <c r="L5257">
        <v>-42.142090000000003</v>
      </c>
      <c r="M5257">
        <v>0.21476500000000001</v>
      </c>
      <c r="N5257">
        <v>-1.512232E-2</v>
      </c>
      <c r="O5257">
        <v>0.97654870000000005</v>
      </c>
      <c r="P5257">
        <v>0.13061889999999901</v>
      </c>
      <c r="Q5257">
        <v>0.20108980000000001</v>
      </c>
      <c r="R5257">
        <v>0.97082520000000005</v>
      </c>
      <c r="S5257">
        <v>-0.18783569999999999</v>
      </c>
      <c r="T5257">
        <v>-3.8948059999999998E-3</v>
      </c>
      <c r="U5257">
        <v>3.1213679999999999</v>
      </c>
      <c r="V5257">
        <v>-8.6405629999999997E-2</v>
      </c>
      <c r="W5257">
        <v>0.21370520000000001</v>
      </c>
      <c r="X5257">
        <v>0.97306939999999997</v>
      </c>
      <c r="Y5257">
        <v>-0.27302859999999901</v>
      </c>
      <c r="Z5257">
        <v>1.404232E-2</v>
      </c>
      <c r="AA5257">
        <v>0.96190339999999996</v>
      </c>
      <c r="AB5257">
        <v>34</v>
      </c>
      <c r="AC5257">
        <v>-26.2088</v>
      </c>
      <c r="AD5257">
        <v>-0.54196349999999904</v>
      </c>
      <c r="AE5257">
        <v>434.01209</v>
      </c>
      <c r="AF5257">
        <v>-118.818175049193</v>
      </c>
      <c r="AG5257">
        <v>-0.54196349999999904</v>
      </c>
      <c r="AH5257">
        <v>418.252375120674</v>
      </c>
      <c r="AI5257">
        <v>90.071416881137495</v>
      </c>
      <c r="AJ5257">
        <v>105.85891976902199</v>
      </c>
      <c r="AK5257">
        <v>434.80237090032199</v>
      </c>
      <c r="AL5257">
        <v>77.660424067817999</v>
      </c>
      <c r="AM5257">
        <v>95.074383455483499</v>
      </c>
      <c r="AN5257">
        <v>0.999999951309547</v>
      </c>
    </row>
    <row r="5258" spans="1:40" x14ac:dyDescent="0.25">
      <c r="A5258" t="str">
        <f>"20190303170916107"</f>
        <v>20190303170916107</v>
      </c>
      <c r="B5258" t="str">
        <f>"1551604156099355"</f>
        <v>1551604156099355</v>
      </c>
      <c r="C5258" t="s">
        <v>40</v>
      </c>
      <c r="D5258">
        <v>5.2571279999999998</v>
      </c>
      <c r="E5258">
        <v>0.43500299999999997</v>
      </c>
      <c r="F5258" t="s">
        <v>43</v>
      </c>
      <c r="G5258">
        <v>-199.38059999999999</v>
      </c>
      <c r="H5258" s="1">
        <v>-2.555603E-6</v>
      </c>
      <c r="I5258">
        <v>179.72819999999999</v>
      </c>
      <c r="J5258">
        <v>-188.12309999999999</v>
      </c>
      <c r="K5258">
        <v>1.131383</v>
      </c>
      <c r="L5258">
        <v>-41.778689999999997</v>
      </c>
      <c r="M5258">
        <v>0.2024861</v>
      </c>
      <c r="N5258">
        <v>-1.5112560000000001E-2</v>
      </c>
      <c r="O5258">
        <v>0.9791685</v>
      </c>
      <c r="P5258">
        <v>0.11983829999999999</v>
      </c>
      <c r="Q5258">
        <v>0.2017022</v>
      </c>
      <c r="R5258">
        <v>0.97208799999999995</v>
      </c>
      <c r="S5258">
        <v>-0.15707399999999999</v>
      </c>
      <c r="T5258">
        <v>-1.588237E-2</v>
      </c>
      <c r="U5258">
        <v>3.114563</v>
      </c>
      <c r="V5258">
        <v>-8.4953920000000002E-2</v>
      </c>
      <c r="W5258">
        <v>0.21435080000000001</v>
      </c>
      <c r="X5258">
        <v>0.97305529999999996</v>
      </c>
      <c r="Y5258">
        <v>-0.25153540000000002</v>
      </c>
      <c r="Z5258">
        <v>1.0335550000000001E-2</v>
      </c>
      <c r="AA5258">
        <v>0.96779289999999996</v>
      </c>
      <c r="AB5258">
        <v>34</v>
      </c>
      <c r="AC5258">
        <v>-11.257499999999901</v>
      </c>
      <c r="AD5258">
        <v>-1.1313855556029999</v>
      </c>
      <c r="AE5258">
        <v>221.50689</v>
      </c>
      <c r="AF5258">
        <v>-55.879984411283701</v>
      </c>
      <c r="AG5258">
        <v>-1.1313855556029999</v>
      </c>
      <c r="AH5258">
        <v>214.63201298801201</v>
      </c>
      <c r="AI5258">
        <v>90.292276169776002</v>
      </c>
      <c r="AJ5258">
        <v>104.59313329737699</v>
      </c>
      <c r="AK5258">
        <v>221.789886357261</v>
      </c>
      <c r="AL5258">
        <v>77.622557354734397</v>
      </c>
      <c r="AM5258">
        <v>94.989634171559103</v>
      </c>
      <c r="AN5258">
        <v>1.0000000254210399</v>
      </c>
    </row>
    <row r="5259" spans="1:40" x14ac:dyDescent="0.25">
      <c r="A5259" t="str">
        <f>"20190303170916127"</f>
        <v>20190303170916127</v>
      </c>
      <c r="B5259" t="str">
        <f>"1551604156118876"</f>
        <v>1551604156118876</v>
      </c>
      <c r="C5259" t="s">
        <v>40</v>
      </c>
      <c r="D5259">
        <v>5.2349399999999999</v>
      </c>
      <c r="E5259">
        <v>0.43622850000000002</v>
      </c>
      <c r="F5259" t="s">
        <v>58</v>
      </c>
      <c r="G5259">
        <v>-197.8492</v>
      </c>
      <c r="H5259" s="1">
        <v>-4.835402E-6</v>
      </c>
      <c r="I5259">
        <v>125.4327</v>
      </c>
      <c r="J5259">
        <v>-188.0711</v>
      </c>
      <c r="K5259">
        <v>1.1313709999999999</v>
      </c>
      <c r="L5259">
        <v>-41.482089999999999</v>
      </c>
      <c r="M5259">
        <v>0.19246820000000001</v>
      </c>
      <c r="N5259">
        <v>-1.5104859999999999E-2</v>
      </c>
      <c r="O5259">
        <v>0.98118700000000003</v>
      </c>
      <c r="P5259">
        <v>0.1116771</v>
      </c>
      <c r="Q5259">
        <v>0.202902</v>
      </c>
      <c r="R5259">
        <v>0.97280990000000001</v>
      </c>
      <c r="S5259">
        <v>-0.18106079999999999</v>
      </c>
      <c r="T5259">
        <v>-2.1062020000000001E-2</v>
      </c>
      <c r="U5259">
        <v>3.1128230000000001</v>
      </c>
      <c r="V5259">
        <v>-8.3136719999999997E-2</v>
      </c>
      <c r="W5259">
        <v>0.21559320000000001</v>
      </c>
      <c r="X5259">
        <v>0.97293779999999996</v>
      </c>
      <c r="Y5259">
        <v>-0.24910399999999999</v>
      </c>
      <c r="Z5259">
        <v>8.7269940000000001E-3</v>
      </c>
      <c r="AA5259">
        <v>0.9684374</v>
      </c>
      <c r="AB5259">
        <v>34</v>
      </c>
      <c r="AC5259">
        <v>-9.7780999999999896</v>
      </c>
      <c r="AD5259">
        <v>-1.13137583540199</v>
      </c>
      <c r="AE5259">
        <v>166.91478999999899</v>
      </c>
      <c r="AF5259">
        <v>-41.722781655190801</v>
      </c>
      <c r="AG5259">
        <v>-1.13137583540199</v>
      </c>
      <c r="AH5259">
        <v>161.90369978649599</v>
      </c>
      <c r="AI5259">
        <v>90.387707355673797</v>
      </c>
      <c r="AJ5259">
        <v>104.450776971073</v>
      </c>
      <c r="AK5259">
        <v>167.19712475064699</v>
      </c>
      <c r="AL5259">
        <v>77.549669300544593</v>
      </c>
      <c r="AM5259">
        <v>94.884012451787797</v>
      </c>
      <c r="AN5259">
        <v>1.00000005238371</v>
      </c>
    </row>
    <row r="5260" spans="1:40" x14ac:dyDescent="0.25">
      <c r="A5260" t="str">
        <f>"20190303170916150"</f>
        <v>20190303170916150</v>
      </c>
      <c r="B5260" t="str">
        <f>"1551604156139371"</f>
        <v>1551604156139371</v>
      </c>
      <c r="C5260" t="s">
        <v>40</v>
      </c>
      <c r="D5260">
        <v>5.243036</v>
      </c>
      <c r="E5260">
        <v>0.43684529999999999</v>
      </c>
      <c r="F5260" t="s">
        <v>58</v>
      </c>
      <c r="G5260">
        <v>-198.65600000000001</v>
      </c>
      <c r="H5260" s="1">
        <v>-4.9429249999999998E-6</v>
      </c>
      <c r="I5260">
        <v>125.2636</v>
      </c>
      <c r="J5260">
        <v>-188.01740000000001</v>
      </c>
      <c r="K5260">
        <v>1.1313489999999999</v>
      </c>
      <c r="L5260">
        <v>-41.154629999999997</v>
      </c>
      <c r="M5260">
        <v>0.18143210000000001</v>
      </c>
      <c r="N5260">
        <v>-1.509546E-2</v>
      </c>
      <c r="O5260">
        <v>0.98328760000000004</v>
      </c>
      <c r="P5260">
        <v>0.1043565</v>
      </c>
      <c r="Q5260">
        <v>0.2047477</v>
      </c>
      <c r="R5260">
        <v>0.97323590000000004</v>
      </c>
      <c r="S5260">
        <v>-0.19747919999999999</v>
      </c>
      <c r="T5260">
        <v>-2.1107790000000001E-2</v>
      </c>
      <c r="U5260">
        <v>3.1109309999999999</v>
      </c>
      <c r="V5260">
        <v>-7.9467220000000005E-2</v>
      </c>
      <c r="W5260">
        <v>0.21752840000000001</v>
      </c>
      <c r="X5260">
        <v>0.97281359999999995</v>
      </c>
      <c r="Y5260">
        <v>-0.2433457</v>
      </c>
      <c r="Z5260">
        <v>8.6766080000000006E-3</v>
      </c>
      <c r="AA5260">
        <v>0.96990080000000001</v>
      </c>
      <c r="AB5260">
        <v>34</v>
      </c>
      <c r="AC5260">
        <v>-10.638599999999901</v>
      </c>
      <c r="AD5260">
        <v>-1.1313539429249999</v>
      </c>
      <c r="AE5260">
        <v>166.41822999999999</v>
      </c>
      <c r="AF5260">
        <v>-40.657174165992203</v>
      </c>
      <c r="AG5260">
        <v>-1.1313539429249999</v>
      </c>
      <c r="AH5260">
        <v>161.71778358725001</v>
      </c>
      <c r="AI5260">
        <v>90.388729910451602</v>
      </c>
      <c r="AJ5260">
        <v>104.112155170199</v>
      </c>
      <c r="AK5260">
        <v>166.75409230744799</v>
      </c>
      <c r="AL5260">
        <v>77.436094258265101</v>
      </c>
      <c r="AM5260">
        <v>94.670009835795994</v>
      </c>
      <c r="AN5260">
        <v>0.99999997210302305</v>
      </c>
    </row>
    <row r="5261" spans="1:40" x14ac:dyDescent="0.25">
      <c r="A5261" t="str">
        <f>"20190303170916173"</f>
        <v>20190303170916173</v>
      </c>
      <c r="B5261" t="str">
        <f>"1551604156158890"</f>
        <v>1551604156158890</v>
      </c>
      <c r="C5261" t="s">
        <v>40</v>
      </c>
      <c r="D5261">
        <v>5.2348699999999999</v>
      </c>
      <c r="E5261">
        <v>0.44220359999999997</v>
      </c>
      <c r="F5261" t="s">
        <v>43</v>
      </c>
      <c r="G5261">
        <v>-204.00380000000001</v>
      </c>
      <c r="H5261">
        <v>7.9986329999999994E-2</v>
      </c>
      <c r="I5261">
        <v>186.87110000000001</v>
      </c>
      <c r="J5261">
        <v>-187.9667</v>
      </c>
      <c r="K5261">
        <v>1.1312960000000001</v>
      </c>
      <c r="L5261">
        <v>-40.82159</v>
      </c>
      <c r="M5261">
        <v>0.17026250000000001</v>
      </c>
      <c r="N5261">
        <v>-1.507794E-2</v>
      </c>
      <c r="O5261">
        <v>0.98528340000000003</v>
      </c>
      <c r="P5261">
        <v>9.619925E-2</v>
      </c>
      <c r="Q5261">
        <v>0.20502039999999999</v>
      </c>
      <c r="R5261">
        <v>0.97401859999999996</v>
      </c>
      <c r="S5261">
        <v>-0.2179565</v>
      </c>
      <c r="T5261">
        <v>-1.43342E-2</v>
      </c>
      <c r="U5261">
        <v>3.1088870000000002</v>
      </c>
      <c r="V5261">
        <v>-7.6535220000000001E-2</v>
      </c>
      <c r="W5261">
        <v>0.21787039999999999</v>
      </c>
      <c r="X5261">
        <v>0.97297219999999995</v>
      </c>
      <c r="Y5261">
        <v>-0.23874000000000001</v>
      </c>
      <c r="Z5261">
        <v>1.073176E-2</v>
      </c>
      <c r="AA5261">
        <v>0.9710242</v>
      </c>
      <c r="AB5261">
        <v>34</v>
      </c>
      <c r="AC5261">
        <v>-16.037099999999999</v>
      </c>
      <c r="AD5261">
        <v>-1.05130966999999</v>
      </c>
      <c r="AE5261">
        <v>227.69269</v>
      </c>
      <c r="AF5261">
        <v>-54.573660198802799</v>
      </c>
      <c r="AG5261">
        <v>-1.05130966999999</v>
      </c>
      <c r="AH5261">
        <v>221.63180014303899</v>
      </c>
      <c r="AI5261">
        <v>90.263897806266499</v>
      </c>
      <c r="AJ5261">
        <v>103.83307252977301</v>
      </c>
      <c r="AK5261">
        <v>228.25434163266399</v>
      </c>
      <c r="AL5261">
        <v>77.416018275426197</v>
      </c>
      <c r="AM5261">
        <v>94.497696873085701</v>
      </c>
      <c r="AN5261">
        <v>1.00000002653472</v>
      </c>
    </row>
    <row r="5262" spans="1:40" x14ac:dyDescent="0.25">
      <c r="A5262" t="str">
        <f>"20190303170916200"</f>
        <v>20190303170916200</v>
      </c>
      <c r="B5262" t="str">
        <f>"1551604156188677"</f>
        <v>1551604156188677</v>
      </c>
      <c r="C5262" t="s">
        <v>40</v>
      </c>
      <c r="D5262">
        <v>5.2593480000000001</v>
      </c>
      <c r="E5262">
        <v>0.44346869999999999</v>
      </c>
      <c r="F5262" t="s">
        <v>58</v>
      </c>
      <c r="G5262">
        <v>-199.0395</v>
      </c>
      <c r="H5262" s="1">
        <v>-5.8493440000000004E-6</v>
      </c>
      <c r="I5262">
        <v>128.17070000000001</v>
      </c>
      <c r="J5262">
        <v>-187.91159999999999</v>
      </c>
      <c r="K5262">
        <v>1.1311979999999999</v>
      </c>
      <c r="L5262">
        <v>-40.426819999999999</v>
      </c>
      <c r="M5262">
        <v>0.15710299999999999</v>
      </c>
      <c r="N5262">
        <v>-1.504902E-2</v>
      </c>
      <c r="O5262">
        <v>0.9874676</v>
      </c>
      <c r="P5262">
        <v>8.4471580000000004E-2</v>
      </c>
      <c r="Q5262">
        <v>0.20418700000000001</v>
      </c>
      <c r="R5262">
        <v>0.97528060000000005</v>
      </c>
      <c r="S5262">
        <v>-0.20341490000000001</v>
      </c>
      <c r="T5262">
        <v>-2.0782709999999999E-2</v>
      </c>
      <c r="U5262">
        <v>3.104492</v>
      </c>
      <c r="V5262">
        <v>-7.5218919999999995E-2</v>
      </c>
      <c r="W5262">
        <v>0.21706020000000001</v>
      </c>
      <c r="X5262">
        <v>0.97325589999999995</v>
      </c>
      <c r="Y5262">
        <v>-0.2213164</v>
      </c>
      <c r="Z5262">
        <v>8.6481189999999993E-3</v>
      </c>
      <c r="AA5262">
        <v>0.97516369999999997</v>
      </c>
      <c r="AB5262">
        <v>34</v>
      </c>
      <c r="AC5262">
        <v>-11.1279</v>
      </c>
      <c r="AD5262">
        <v>-1.131203849344</v>
      </c>
      <c r="AE5262">
        <v>168.59752</v>
      </c>
      <c r="AF5262">
        <v>-37.478179746675799</v>
      </c>
      <c r="AG5262">
        <v>-1.131203849344</v>
      </c>
      <c r="AH5262">
        <v>164.74762784087099</v>
      </c>
      <c r="AI5262">
        <v>90.383602459838698</v>
      </c>
      <c r="AJ5262">
        <v>102.816017536262</v>
      </c>
      <c r="AK5262">
        <v>168.96057072129901</v>
      </c>
      <c r="AL5262">
        <v>77.463577565869002</v>
      </c>
      <c r="AM5262">
        <v>94.419368494783996</v>
      </c>
      <c r="AN5262">
        <v>1.0000000316174</v>
      </c>
    </row>
    <row r="5263" spans="1:40" x14ac:dyDescent="0.25">
      <c r="A5263" t="str">
        <f>"20190303170916240"</f>
        <v>20190303170916240</v>
      </c>
      <c r="B5263" t="str">
        <f>"1551604156228693"</f>
        <v>1551604156228693</v>
      </c>
      <c r="C5263" t="s">
        <v>40</v>
      </c>
      <c r="D5263">
        <v>5.2814360000000002</v>
      </c>
      <c r="E5263">
        <v>0.44478220000000002</v>
      </c>
      <c r="F5263" t="s">
        <v>43</v>
      </c>
      <c r="G5263">
        <v>-196.1181</v>
      </c>
      <c r="H5263" s="1">
        <v>-1.988917E-6</v>
      </c>
      <c r="I5263">
        <v>70.430689999999998</v>
      </c>
      <c r="J5263">
        <v>-187.8391</v>
      </c>
      <c r="K5263">
        <v>1.131008</v>
      </c>
      <c r="L5263">
        <v>-39.839939999999999</v>
      </c>
      <c r="M5263">
        <v>0.13781599999999999</v>
      </c>
      <c r="N5263">
        <v>-1.49909E-2</v>
      </c>
      <c r="O5263">
        <v>0.99034440000000001</v>
      </c>
      <c r="P5263">
        <v>6.7671439999999999E-2</v>
      </c>
      <c r="Q5263">
        <v>0.20507690000000001</v>
      </c>
      <c r="R5263">
        <v>0.97640360000000004</v>
      </c>
      <c r="S5263">
        <v>-0.2296753</v>
      </c>
      <c r="T5263">
        <v>-3.1658890000000002E-2</v>
      </c>
      <c r="U5263">
        <v>3.1025700000000001</v>
      </c>
      <c r="V5263">
        <v>-7.2882489999999994E-2</v>
      </c>
      <c r="W5263">
        <v>0.21798120000000001</v>
      </c>
      <c r="X5263">
        <v>0.97322779999999998</v>
      </c>
      <c r="Y5263">
        <v>-0.21053549999999999</v>
      </c>
      <c r="Z5263">
        <v>5.1388809999999997E-3</v>
      </c>
      <c r="AA5263">
        <v>0.97757269999999996</v>
      </c>
      <c r="AB5263">
        <v>34</v>
      </c>
      <c r="AC5263">
        <v>-8.2789999999999893</v>
      </c>
      <c r="AD5263">
        <v>-1.131009988917</v>
      </c>
      <c r="AE5263">
        <v>110.27063</v>
      </c>
      <c r="AF5263">
        <v>-23.396300177069701</v>
      </c>
      <c r="AG5263">
        <v>-1.131009988917</v>
      </c>
      <c r="AH5263">
        <v>108.065761709342</v>
      </c>
      <c r="AI5263">
        <v>90.586055723411405</v>
      </c>
      <c r="AJ5263">
        <v>102.216033038757</v>
      </c>
      <c r="AK5263">
        <v>110.57520020054601</v>
      </c>
      <c r="AL5263">
        <v>77.409513299343701</v>
      </c>
      <c r="AM5263">
        <v>94.282737297848598</v>
      </c>
      <c r="AN5263">
        <v>1.0000000057974401</v>
      </c>
    </row>
    <row r="5264" spans="1:40" x14ac:dyDescent="0.25">
      <c r="A5264" t="str">
        <f>"20190303170916261"</f>
        <v>20190303170916261</v>
      </c>
      <c r="B5264" t="str">
        <f>"1551604156249190"</f>
        <v>1551604156249190</v>
      </c>
      <c r="C5264" t="s">
        <v>40</v>
      </c>
      <c r="D5264">
        <v>5.2524839999999999</v>
      </c>
      <c r="E5264">
        <v>0.45105289999999998</v>
      </c>
      <c r="F5264" t="s">
        <v>43</v>
      </c>
      <c r="G5264">
        <v>-197.24719999999999</v>
      </c>
      <c r="H5264" s="1">
        <v>-4.8208319999999997E-6</v>
      </c>
      <c r="I5264">
        <v>67.375429999999994</v>
      </c>
      <c r="J5264">
        <v>-187.804</v>
      </c>
      <c r="K5264">
        <v>1.13087</v>
      </c>
      <c r="L5264">
        <v>-39.51831</v>
      </c>
      <c r="M5264">
        <v>0.1274438</v>
      </c>
      <c r="N5264">
        <v>-1.495004E-2</v>
      </c>
      <c r="O5264">
        <v>0.99173310000000003</v>
      </c>
      <c r="P5264">
        <v>5.9504990000000001E-2</v>
      </c>
      <c r="Q5264">
        <v>0.2052678</v>
      </c>
      <c r="R5264">
        <v>0.97689519999999996</v>
      </c>
      <c r="S5264">
        <v>-0.27186579999999999</v>
      </c>
      <c r="T5264">
        <v>-3.2682900000000001E-2</v>
      </c>
      <c r="U5264">
        <v>3.0982059999999998</v>
      </c>
      <c r="V5264">
        <v>-7.0756940000000004E-2</v>
      </c>
      <c r="W5264">
        <v>0.21820690000000001</v>
      </c>
      <c r="X5264">
        <v>0.97333409999999998</v>
      </c>
      <c r="Y5264">
        <v>-0.21362909999999999</v>
      </c>
      <c r="Z5264">
        <v>4.7567750000000004E-3</v>
      </c>
      <c r="AA5264">
        <v>0.97690330000000003</v>
      </c>
      <c r="AB5264">
        <v>34</v>
      </c>
      <c r="AC5264">
        <v>-9.4431999999999903</v>
      </c>
      <c r="AD5264">
        <v>-1.1308748208319901</v>
      </c>
      <c r="AE5264">
        <v>106.89373999999999</v>
      </c>
      <c r="AF5264">
        <v>-22.988095193602501</v>
      </c>
      <c r="AG5264">
        <v>-1.1308748208319901</v>
      </c>
      <c r="AH5264">
        <v>104.806659268869</v>
      </c>
      <c r="AI5264">
        <v>90.603849818990099</v>
      </c>
      <c r="AJ5264">
        <v>102.371241095371</v>
      </c>
      <c r="AK5264">
        <v>107.30408764623699</v>
      </c>
      <c r="AL5264">
        <v>77.396263017983003</v>
      </c>
      <c r="AM5264">
        <v>94.157827380240406</v>
      </c>
      <c r="AN5264">
        <v>1.00000003299429</v>
      </c>
    </row>
    <row r="5265" spans="1:40" x14ac:dyDescent="0.25">
      <c r="A5265" t="str">
        <f>"20190303170916285"</f>
        <v>20190303170916285</v>
      </c>
      <c r="B5265" t="str">
        <f>"1551604156279446"</f>
        <v>1551604156279446</v>
      </c>
      <c r="C5265" t="s">
        <v>40</v>
      </c>
      <c r="D5265">
        <v>5.298127</v>
      </c>
      <c r="E5265">
        <v>0.4526269</v>
      </c>
      <c r="F5265" t="s">
        <v>43</v>
      </c>
      <c r="G5265">
        <v>-193.0291</v>
      </c>
      <c r="H5265" s="1">
        <v>-3.2371630000000001E-6</v>
      </c>
      <c r="I5265">
        <v>25.25628</v>
      </c>
      <c r="J5265">
        <v>-187.76929999999999</v>
      </c>
      <c r="K5265">
        <v>1.1306959999999999</v>
      </c>
      <c r="L5265">
        <v>-39.165410000000001</v>
      </c>
      <c r="M5265">
        <v>0.1162595</v>
      </c>
      <c r="N5265">
        <v>-1.48989E-2</v>
      </c>
      <c r="O5265">
        <v>0.99310710000000002</v>
      </c>
      <c r="P5265">
        <v>4.9042059999999998E-2</v>
      </c>
      <c r="Q5265">
        <v>0.20378350000000001</v>
      </c>
      <c r="R5265">
        <v>0.97778690000000001</v>
      </c>
      <c r="S5265">
        <v>-0.24986269999999999</v>
      </c>
      <c r="T5265">
        <v>-5.4078580000000001E-2</v>
      </c>
      <c r="U5265">
        <v>3.097534</v>
      </c>
      <c r="V5265">
        <v>-7.0118410000000006E-2</v>
      </c>
      <c r="W5265">
        <v>0.21671940000000001</v>
      </c>
      <c r="X5265">
        <v>0.97371260000000004</v>
      </c>
      <c r="Y5265">
        <v>-0.19570709999999999</v>
      </c>
      <c r="Z5265">
        <v>-2.112867E-3</v>
      </c>
      <c r="AA5265">
        <v>0.98066010000000003</v>
      </c>
      <c r="AB5265">
        <v>34</v>
      </c>
      <c r="AC5265">
        <v>-5.25980000000001</v>
      </c>
      <c r="AD5265">
        <v>-1.130699237163</v>
      </c>
      <c r="AE5265">
        <v>64.421689999999998</v>
      </c>
      <c r="AF5265">
        <v>-12.7107000154489</v>
      </c>
      <c r="AG5265">
        <v>-1.130699237163</v>
      </c>
      <c r="AH5265">
        <v>63.3537840646676</v>
      </c>
      <c r="AI5265">
        <v>91.0024978439764</v>
      </c>
      <c r="AJ5265">
        <v>101.34466264400299</v>
      </c>
      <c r="AK5265">
        <v>64.626173729845604</v>
      </c>
      <c r="AL5265">
        <v>77.483580448483096</v>
      </c>
      <c r="AM5265">
        <v>94.118839651727995</v>
      </c>
      <c r="AN5265">
        <v>1.00000005857802</v>
      </c>
    </row>
    <row r="5266" spans="1:40" x14ac:dyDescent="0.25">
      <c r="A5266" t="str">
        <f>"20190303170916329"</f>
        <v>20190303170916329</v>
      </c>
      <c r="B5266" t="str">
        <f>"1551604156319462"</f>
        <v>1551604156319462</v>
      </c>
      <c r="C5266" t="s">
        <v>40</v>
      </c>
      <c r="D5266">
        <v>5.2975300000000001</v>
      </c>
      <c r="E5266">
        <v>0.45393879999999998</v>
      </c>
      <c r="F5266" t="s">
        <v>43</v>
      </c>
      <c r="G5266">
        <v>-192.9049</v>
      </c>
      <c r="H5266" s="1">
        <v>-8.1302710000000004E-7</v>
      </c>
      <c r="I5266">
        <v>19.682590000000001</v>
      </c>
      <c r="J5266">
        <v>-187.7159</v>
      </c>
      <c r="K5266">
        <v>1.1303049999999999</v>
      </c>
      <c r="L5266">
        <v>-38.527279999999998</v>
      </c>
      <c r="M5266">
        <v>9.6746890000000002E-2</v>
      </c>
      <c r="N5266">
        <v>-1.4785090000000001E-2</v>
      </c>
      <c r="O5266">
        <v>0.99519919999999995</v>
      </c>
      <c r="P5266">
        <v>3.1288959999999998E-2</v>
      </c>
      <c r="Q5266">
        <v>0.20137189999999999</v>
      </c>
      <c r="R5266">
        <v>0.97901499999999997</v>
      </c>
      <c r="S5266">
        <v>-0.27001950000000002</v>
      </c>
      <c r="T5266">
        <v>-5.944932E-2</v>
      </c>
      <c r="U5266">
        <v>3.0940859999999999</v>
      </c>
      <c r="V5266">
        <v>-6.846236E-2</v>
      </c>
      <c r="W5266">
        <v>0.2143042</v>
      </c>
      <c r="X5266">
        <v>0.97436480000000003</v>
      </c>
      <c r="Y5266">
        <v>-0.1828757</v>
      </c>
      <c r="Z5266">
        <v>-4.0300750000000002E-3</v>
      </c>
      <c r="AA5266">
        <v>0.9831278</v>
      </c>
      <c r="AB5266">
        <v>34</v>
      </c>
      <c r="AC5266">
        <v>-5.1889999999999903</v>
      </c>
      <c r="AD5266">
        <v>-1.1303058130271</v>
      </c>
      <c r="AE5266">
        <v>58.209870000000002</v>
      </c>
      <c r="AF5266">
        <v>-10.7928552973931</v>
      </c>
      <c r="AG5266">
        <v>-1.1303058130271</v>
      </c>
      <c r="AH5266">
        <v>57.4131971895211</v>
      </c>
      <c r="AI5266">
        <v>91.108438176030702</v>
      </c>
      <c r="AJ5266">
        <v>100.646531755052</v>
      </c>
      <c r="AK5266">
        <v>58.429774329739303</v>
      </c>
      <c r="AL5266">
        <v>77.625291472465605</v>
      </c>
      <c r="AM5266">
        <v>94.019201101114206</v>
      </c>
      <c r="AN5266">
        <v>1.0000000741767201</v>
      </c>
    </row>
    <row r="5267" spans="1:40" x14ac:dyDescent="0.25">
      <c r="A5267" t="str">
        <f>"20190303170916351"</f>
        <v>20190303170916351</v>
      </c>
      <c r="B5267" t="str">
        <f>"1551604156338982"</f>
        <v>1551604156338982</v>
      </c>
      <c r="C5267" t="s">
        <v>40</v>
      </c>
      <c r="D5267">
        <v>5.2880940000000001</v>
      </c>
      <c r="E5267">
        <v>0.4589839</v>
      </c>
      <c r="F5267" t="s">
        <v>43</v>
      </c>
      <c r="G5267">
        <v>-192.72219999999999</v>
      </c>
      <c r="H5267" s="1">
        <v>-1.2073249999999999E-6</v>
      </c>
      <c r="I5267">
        <v>10.715009999999999</v>
      </c>
      <c r="J5267">
        <v>-187.69290000000001</v>
      </c>
      <c r="K5267">
        <v>1.130085</v>
      </c>
      <c r="L5267">
        <v>-38.193939999999998</v>
      </c>
      <c r="M5267">
        <v>8.6942190000000003E-2</v>
      </c>
      <c r="N5267">
        <v>-1.471486E-2</v>
      </c>
      <c r="O5267">
        <v>0.99610469999999895</v>
      </c>
      <c r="P5267">
        <v>2.352417E-2</v>
      </c>
      <c r="Q5267">
        <v>0.20135600000000001</v>
      </c>
      <c r="R5267">
        <v>0.97923559999999998</v>
      </c>
      <c r="S5267">
        <v>-0.31404110000000002</v>
      </c>
      <c r="T5267">
        <v>-7.0903179999999996E-2</v>
      </c>
      <c r="U5267">
        <v>3.0889280000000001</v>
      </c>
      <c r="V5267">
        <v>-6.6471879999999997E-2</v>
      </c>
      <c r="W5267">
        <v>0.21429999999999999</v>
      </c>
      <c r="X5267">
        <v>0.97450349999999997</v>
      </c>
      <c r="Y5267">
        <v>-0.18721299999999999</v>
      </c>
      <c r="Z5267">
        <v>-7.7778279999999997E-3</v>
      </c>
      <c r="AA5267">
        <v>0.98228850000000001</v>
      </c>
      <c r="AB5267">
        <v>33</v>
      </c>
      <c r="AC5267">
        <v>-5.0292999999999699</v>
      </c>
      <c r="AD5267">
        <v>-1.130086207325</v>
      </c>
      <c r="AE5267">
        <v>48.908949999999997</v>
      </c>
      <c r="AF5267">
        <v>-9.2580722648600897</v>
      </c>
      <c r="AG5267">
        <v>-1.130086207325</v>
      </c>
      <c r="AH5267">
        <v>48.260907362910899</v>
      </c>
      <c r="AI5267">
        <v>91.317390859439897</v>
      </c>
      <c r="AJ5267">
        <v>100.85933992894201</v>
      </c>
      <c r="AK5267">
        <v>49.153882617640903</v>
      </c>
      <c r="AL5267">
        <v>77.625537360690103</v>
      </c>
      <c r="AM5267">
        <v>93.902159270906395</v>
      </c>
      <c r="AN5267">
        <v>1.00000003617149</v>
      </c>
    </row>
    <row r="5268" spans="1:40" x14ac:dyDescent="0.25">
      <c r="A5268" t="str">
        <f>"20190303170916377"</f>
        <v>20190303170916377</v>
      </c>
      <c r="B5268" t="str">
        <f>"1551604156369237"</f>
        <v>1551604156369237</v>
      </c>
      <c r="C5268" t="s">
        <v>40</v>
      </c>
      <c r="D5268">
        <v>5.298197</v>
      </c>
      <c r="E5268">
        <v>0.46058320000000003</v>
      </c>
      <c r="F5268" t="s">
        <v>43</v>
      </c>
      <c r="G5268">
        <v>-191.27860000000001</v>
      </c>
      <c r="H5268" s="1">
        <v>-4.2639129999999997E-6</v>
      </c>
      <c r="I5268">
        <v>-1.1499699999999999</v>
      </c>
      <c r="J5268">
        <v>-187.6705</v>
      </c>
      <c r="K5268">
        <v>1.129815</v>
      </c>
      <c r="L5268">
        <v>-37.815579999999997</v>
      </c>
      <c r="M5268">
        <v>7.6187019999999994E-2</v>
      </c>
      <c r="N5268">
        <v>-1.4623590000000001E-2</v>
      </c>
      <c r="O5268">
        <v>0.99698629999999999</v>
      </c>
      <c r="P5268">
        <v>1.469754E-2</v>
      </c>
      <c r="Q5268">
        <v>0.20113890000000001</v>
      </c>
      <c r="R5268">
        <v>0.97945249999999995</v>
      </c>
      <c r="S5268">
        <v>-0.29911799999999999</v>
      </c>
      <c r="T5268">
        <v>-9.4271179999999996E-2</v>
      </c>
      <c r="U5268">
        <v>3.090179</v>
      </c>
      <c r="V5268">
        <v>-6.4588839999999995E-2</v>
      </c>
      <c r="W5268">
        <v>0.2140774</v>
      </c>
      <c r="X5268">
        <v>0.97467899999999996</v>
      </c>
      <c r="Y5268">
        <v>-0.17183850000000001</v>
      </c>
      <c r="Z5268">
        <v>-1.538844E-2</v>
      </c>
      <c r="AA5268">
        <v>0.98500500000000002</v>
      </c>
      <c r="AB5268">
        <v>33</v>
      </c>
      <c r="AC5268">
        <v>-3.6080999999999999</v>
      </c>
      <c r="AD5268">
        <v>-1.129819263913</v>
      </c>
      <c r="AE5268">
        <v>36.665610000000001</v>
      </c>
      <c r="AF5268">
        <v>-6.3853484695106699</v>
      </c>
      <c r="AG5268">
        <v>-1.129819263913</v>
      </c>
      <c r="AH5268">
        <v>36.250010769827803</v>
      </c>
      <c r="AI5268">
        <v>91.758133757630802</v>
      </c>
      <c r="AJ5268">
        <v>99.990025828118405</v>
      </c>
      <c r="AK5268">
        <v>36.825432074299201</v>
      </c>
      <c r="AL5268">
        <v>77.638593999124794</v>
      </c>
      <c r="AM5268">
        <v>93.791263858016706</v>
      </c>
      <c r="AN5268">
        <v>1.00000000224215</v>
      </c>
    </row>
    <row r="5269" spans="1:40" x14ac:dyDescent="0.25">
      <c r="A5269" t="str">
        <f>"20190303170916421"</f>
        <v>20190303170916421</v>
      </c>
      <c r="B5269" t="str">
        <f>"1551604156408784"</f>
        <v>1551604156408784</v>
      </c>
      <c r="C5269" t="s">
        <v>40</v>
      </c>
      <c r="D5269">
        <v>5.3164069999999999</v>
      </c>
      <c r="E5269">
        <v>0.46230909999999897</v>
      </c>
      <c r="F5269" t="s">
        <v>43</v>
      </c>
      <c r="G5269">
        <v>-191.43639999999999</v>
      </c>
      <c r="H5269" s="1">
        <v>-4.388399E-6</v>
      </c>
      <c r="I5269">
        <v>-0.86641789999999996</v>
      </c>
      <c r="J5269">
        <v>-187.6405</v>
      </c>
      <c r="K5269">
        <v>1.1293329999999999</v>
      </c>
      <c r="L5269">
        <v>-37.166780000000003</v>
      </c>
      <c r="M5269">
        <v>5.8579970000000002E-2</v>
      </c>
      <c r="N5269">
        <v>-1.443668E-2</v>
      </c>
      <c r="O5269">
        <v>0.99817829999999996</v>
      </c>
      <c r="P5269">
        <v>9.5387270000000005E-4</v>
      </c>
      <c r="Q5269">
        <v>0.20044960000000001</v>
      </c>
      <c r="R5269">
        <v>0.97970349999999995</v>
      </c>
      <c r="S5269">
        <v>-0.31463619999999998</v>
      </c>
      <c r="T5269">
        <v>-9.4394329999999999E-2</v>
      </c>
      <c r="U5269">
        <v>3.0870359999999999</v>
      </c>
      <c r="V5269">
        <v>-6.0796879999999998E-2</v>
      </c>
      <c r="W5269">
        <v>0.21335670000000001</v>
      </c>
      <c r="X5269">
        <v>0.97508079999999997</v>
      </c>
      <c r="Y5269">
        <v>-0.15944220000000001</v>
      </c>
      <c r="Z5269">
        <v>-1.5734689999999999E-2</v>
      </c>
      <c r="AA5269">
        <v>0.98708189999999996</v>
      </c>
      <c r="AB5269">
        <v>33</v>
      </c>
      <c r="AC5269">
        <v>-3.7958999999999801</v>
      </c>
      <c r="AD5269">
        <v>-1.1293373883990001</v>
      </c>
      <c r="AE5269">
        <v>36.300362100000001</v>
      </c>
      <c r="AF5269">
        <v>-5.9104170716223701</v>
      </c>
      <c r="AG5269">
        <v>-1.1293373883990001</v>
      </c>
      <c r="AH5269">
        <v>35.981175191814103</v>
      </c>
      <c r="AI5269">
        <v>91.773987765371004</v>
      </c>
      <c r="AJ5269">
        <v>99.328336431349697</v>
      </c>
      <c r="AK5269">
        <v>36.480863491444197</v>
      </c>
      <c r="AL5269">
        <v>77.680863083903006</v>
      </c>
      <c r="AM5269">
        <v>93.567808027557803</v>
      </c>
      <c r="AN5269">
        <v>0.99999995429063104</v>
      </c>
    </row>
    <row r="5270" spans="1:40" x14ac:dyDescent="0.25">
      <c r="A5270" t="str">
        <f>"20190303170916441"</f>
        <v>20190303170916441</v>
      </c>
      <c r="B5270" t="str">
        <f>"1551604156429279"</f>
        <v>1551604156429279</v>
      </c>
      <c r="C5270" t="s">
        <v>40</v>
      </c>
      <c r="D5270">
        <v>5.268656</v>
      </c>
      <c r="E5270">
        <v>0.46309840000000002</v>
      </c>
      <c r="F5270" t="s">
        <v>43</v>
      </c>
      <c r="G5270">
        <v>-191.5883</v>
      </c>
      <c r="H5270" s="1">
        <v>-4.1502709999999997E-6</v>
      </c>
      <c r="I5270">
        <v>-1.645343</v>
      </c>
      <c r="J5270">
        <v>-187.62989999999999</v>
      </c>
      <c r="K5270">
        <v>1.1291</v>
      </c>
      <c r="L5270">
        <v>-36.85736</v>
      </c>
      <c r="M5270">
        <v>5.056977E-2</v>
      </c>
      <c r="N5270">
        <v>-1.433124E-2</v>
      </c>
      <c r="O5270">
        <v>0.99861770000000005</v>
      </c>
      <c r="P5270">
        <v>-4.8140980000000002E-3</v>
      </c>
      <c r="Q5270">
        <v>0.2002669</v>
      </c>
      <c r="R5270">
        <v>0.97972950000000003</v>
      </c>
      <c r="S5270">
        <v>-0.34259030000000001</v>
      </c>
      <c r="T5270">
        <v>-9.8003859999999998E-2</v>
      </c>
      <c r="U5270">
        <v>3.0825499999999999</v>
      </c>
      <c r="V5270">
        <v>-5.8586729999999997E-2</v>
      </c>
      <c r="W5270">
        <v>0.21314849999999999</v>
      </c>
      <c r="X5270">
        <v>0.97526170000000001</v>
      </c>
      <c r="Y5270">
        <v>-0.16051370000000001</v>
      </c>
      <c r="Z5270">
        <v>-1.7045910000000001E-2</v>
      </c>
      <c r="AA5270">
        <v>0.98688640000000005</v>
      </c>
      <c r="AB5270">
        <v>33</v>
      </c>
      <c r="AC5270">
        <v>-3.9584000000000099</v>
      </c>
      <c r="AD5270">
        <v>-1.129104150271</v>
      </c>
      <c r="AE5270">
        <v>35.212016999999904</v>
      </c>
      <c r="AF5270">
        <v>-5.7283642844636002</v>
      </c>
      <c r="AG5270">
        <v>-1.129104150271</v>
      </c>
      <c r="AH5270">
        <v>34.931290274785198</v>
      </c>
      <c r="AI5270">
        <v>91.826973636228004</v>
      </c>
      <c r="AJ5270">
        <v>99.313012193809499</v>
      </c>
      <c r="AK5270">
        <v>35.415873190124501</v>
      </c>
      <c r="AL5270">
        <v>77.693073945681704</v>
      </c>
      <c r="AM5270">
        <v>93.437788209457594</v>
      </c>
      <c r="AN5270">
        <v>1.00000003573561</v>
      </c>
    </row>
    <row r="5271" spans="1:40" x14ac:dyDescent="0.25">
      <c r="A5271" t="str">
        <f>"20190303170916489"</f>
        <v>20190303170916489</v>
      </c>
      <c r="B5271" t="str">
        <f>"1551604156479346"</f>
        <v>1551604156479346</v>
      </c>
      <c r="C5271" t="s">
        <v>40</v>
      </c>
      <c r="D5271">
        <v>5.2724199999999897</v>
      </c>
      <c r="E5271">
        <v>0.47070909999999999</v>
      </c>
      <c r="F5271" t="s">
        <v>43</v>
      </c>
      <c r="G5271">
        <v>-191.79830000000001</v>
      </c>
      <c r="H5271" s="1">
        <v>-4.5384749999999998E-6</v>
      </c>
      <c r="I5271">
        <v>-0.61406139999999998</v>
      </c>
      <c r="J5271">
        <v>-187.614</v>
      </c>
      <c r="K5271">
        <v>1.1285130000000001</v>
      </c>
      <c r="L5271">
        <v>-36.165770000000002</v>
      </c>
      <c r="M5271">
        <v>3.3671670000000001E-2</v>
      </c>
      <c r="N5271">
        <v>-1.405119E-2</v>
      </c>
      <c r="O5271">
        <v>0.99933419999999895</v>
      </c>
      <c r="P5271">
        <v>-1.7175650000000001E-2</v>
      </c>
      <c r="Q5271">
        <v>0.20002629999999999</v>
      </c>
      <c r="R5271">
        <v>0.97963999999999996</v>
      </c>
      <c r="S5271">
        <v>-0.35423280000000001</v>
      </c>
      <c r="T5271">
        <v>-9.5951320000000007E-2</v>
      </c>
      <c r="U5271">
        <v>3.0799560000000001</v>
      </c>
      <c r="V5271">
        <v>-5.4079000000000002E-2</v>
      </c>
      <c r="W5271">
        <v>0.21279719999999999</v>
      </c>
      <c r="X5271">
        <v>0.97559870000000004</v>
      </c>
      <c r="Y5271">
        <v>-0.1475861</v>
      </c>
      <c r="Z5271">
        <v>-1.6765209999999999E-2</v>
      </c>
      <c r="AA5271">
        <v>0.98890710000000004</v>
      </c>
      <c r="AB5271">
        <v>33</v>
      </c>
      <c r="AC5271">
        <v>-4.1843000000000004</v>
      </c>
      <c r="AD5271">
        <v>-1.1285175384749999</v>
      </c>
      <c r="AE5271">
        <v>35.551708599999998</v>
      </c>
      <c r="AF5271">
        <v>-5.3737896309893802</v>
      </c>
      <c r="AG5271">
        <v>-1.1285175384749999</v>
      </c>
      <c r="AH5271">
        <v>35.355500623463598</v>
      </c>
      <c r="AI5271">
        <v>91.807467155250393</v>
      </c>
      <c r="AJ5271">
        <v>98.642412189353905</v>
      </c>
      <c r="AK5271">
        <v>35.779359848500803</v>
      </c>
      <c r="AL5271">
        <v>77.713674186025003</v>
      </c>
      <c r="AM5271">
        <v>93.172749975384804</v>
      </c>
      <c r="AN5271">
        <v>1.00000000500526</v>
      </c>
    </row>
    <row r="5272" spans="1:40" x14ac:dyDescent="0.25">
      <c r="A5272" t="str">
        <f>"20190303170916532"</f>
        <v>20190303170916532</v>
      </c>
      <c r="B5272" t="str">
        <f>"1551604156519364"</f>
        <v>1551604156519364</v>
      </c>
      <c r="C5272" t="s">
        <v>40</v>
      </c>
      <c r="D5272">
        <v>5.2581100000000003</v>
      </c>
      <c r="E5272">
        <v>0.47137879999999899</v>
      </c>
      <c r="F5272" t="s">
        <v>43</v>
      </c>
      <c r="G5272">
        <v>-192.0806</v>
      </c>
      <c r="H5272" s="1">
        <v>-3.0475909999999998E-6</v>
      </c>
      <c r="I5272">
        <v>5.4027059999999896</v>
      </c>
      <c r="J5272">
        <v>-187.6087</v>
      </c>
      <c r="K5272">
        <v>1.127875</v>
      </c>
      <c r="L5272">
        <v>-35.536799999999999</v>
      </c>
      <c r="M5272">
        <v>1.9649819999999998E-2</v>
      </c>
      <c r="N5272">
        <v>-1.373329E-2</v>
      </c>
      <c r="O5272">
        <v>0.99971259999999995</v>
      </c>
      <c r="P5272">
        <v>-2.5916109999999999E-2</v>
      </c>
      <c r="Q5272">
        <v>0.19694010000000001</v>
      </c>
      <c r="R5272">
        <v>0.98007290000000002</v>
      </c>
      <c r="S5272">
        <v>-0.33026119999999998</v>
      </c>
      <c r="T5272">
        <v>-8.3443400000000001E-2</v>
      </c>
      <c r="U5272">
        <v>3.0736080000000001</v>
      </c>
      <c r="V5272">
        <v>-4.8730500000000003E-2</v>
      </c>
      <c r="W5272">
        <v>0.2095756</v>
      </c>
      <c r="X5272">
        <v>0.97657740000000004</v>
      </c>
      <c r="Y5272">
        <v>-0.1263097</v>
      </c>
      <c r="Z5272">
        <v>-1.319906E-2</v>
      </c>
      <c r="AA5272">
        <v>0.99190310000000004</v>
      </c>
      <c r="AB5272">
        <v>33</v>
      </c>
      <c r="AC5272">
        <v>-4.4718999999999998</v>
      </c>
      <c r="AD5272">
        <v>-1.127878047591</v>
      </c>
      <c r="AE5272">
        <v>40.939506000000002</v>
      </c>
      <c r="AF5272">
        <v>-5.2716122623169603</v>
      </c>
      <c r="AG5272">
        <v>-1.127878047591</v>
      </c>
      <c r="AH5272">
        <v>40.813108030021297</v>
      </c>
      <c r="AI5272">
        <v>91.569941640247094</v>
      </c>
      <c r="AJ5272">
        <v>97.359842508173401</v>
      </c>
      <c r="AK5272">
        <v>41.167606097569497</v>
      </c>
      <c r="AL5272">
        <v>77.902517585742203</v>
      </c>
      <c r="AM5272">
        <v>92.856648223409493</v>
      </c>
      <c r="AN5272">
        <v>1.00000000596818</v>
      </c>
    </row>
    <row r="5273" spans="1:40" x14ac:dyDescent="0.25">
      <c r="A5273" t="str">
        <f>"20190303170916553"</f>
        <v>20190303170916553</v>
      </c>
      <c r="B5273" t="str">
        <f>"1551604156539859"</f>
        <v>1551604156539859</v>
      </c>
      <c r="C5273" t="s">
        <v>40</v>
      </c>
      <c r="D5273">
        <v>5.1996560000000001</v>
      </c>
      <c r="E5273">
        <v>0.47173290000000001</v>
      </c>
      <c r="F5273" t="s">
        <v>43</v>
      </c>
      <c r="G5273">
        <v>-191.62289999999999</v>
      </c>
      <c r="H5273" s="1">
        <v>-4.4937660000000004E-6</v>
      </c>
      <c r="I5273">
        <v>-0.65398789999999996</v>
      </c>
      <c r="J5273">
        <v>-187.60890000000001</v>
      </c>
      <c r="K5273">
        <v>1.1275389999999901</v>
      </c>
      <c r="L5273">
        <v>-35.205779999999997</v>
      </c>
      <c r="M5273">
        <v>1.279624E-2</v>
      </c>
      <c r="N5273">
        <v>-1.354114E-2</v>
      </c>
      <c r="O5273">
        <v>0.9998264</v>
      </c>
      <c r="P5273">
        <v>-3.1153730000000001E-2</v>
      </c>
      <c r="Q5273">
        <v>0.19481470000000001</v>
      </c>
      <c r="R5273">
        <v>0.98034520000000003</v>
      </c>
      <c r="S5273">
        <v>-0.3534698</v>
      </c>
      <c r="T5273">
        <v>-9.9315050000000002E-2</v>
      </c>
      <c r="U5273">
        <v>3.0715940000000002</v>
      </c>
      <c r="V5273">
        <v>-4.7056540000000001E-2</v>
      </c>
      <c r="W5273">
        <v>0.2073315</v>
      </c>
      <c r="X5273">
        <v>0.97713830000000002</v>
      </c>
      <c r="Y5273">
        <v>-0.12696789999999999</v>
      </c>
      <c r="Z5273">
        <v>-1.852904E-2</v>
      </c>
      <c r="AA5273">
        <v>0.99173370000000005</v>
      </c>
      <c r="AB5273">
        <v>33</v>
      </c>
      <c r="AC5273">
        <v>-4.0139999999999798</v>
      </c>
      <c r="AD5273">
        <v>-1.1275434937659901</v>
      </c>
      <c r="AE5273">
        <v>34.5517921</v>
      </c>
      <c r="AF5273">
        <v>-4.4511677650890897</v>
      </c>
      <c r="AG5273">
        <v>-1.1275434937659901</v>
      </c>
      <c r="AH5273">
        <v>34.461383202698599</v>
      </c>
      <c r="AI5273">
        <v>91.858566127293003</v>
      </c>
      <c r="AJ5273">
        <v>97.359800059006801</v>
      </c>
      <c r="AK5273">
        <v>34.765948585455597</v>
      </c>
      <c r="AL5273">
        <v>78.033982553702103</v>
      </c>
      <c r="AM5273">
        <v>92.7570915892355</v>
      </c>
      <c r="AN5273">
        <v>0.99999996308795502</v>
      </c>
    </row>
    <row r="5274" spans="1:40" x14ac:dyDescent="0.25">
      <c r="A5274" t="str">
        <f>"20190303170916666"</f>
        <v>20190303170916666</v>
      </c>
      <c r="B5274" t="str">
        <f>"1551604156659438"</f>
        <v>1551604156659438</v>
      </c>
      <c r="C5274" t="s">
        <v>40</v>
      </c>
      <c r="D5274">
        <v>5.2579310000000001</v>
      </c>
      <c r="E5274">
        <v>0.48134510000000003</v>
      </c>
      <c r="F5274" t="s">
        <v>43</v>
      </c>
      <c r="G5274">
        <v>-191.42269999999999</v>
      </c>
      <c r="H5274" s="1">
        <v>-3.4832789999999998E-6</v>
      </c>
      <c r="I5274">
        <v>-3.173664</v>
      </c>
      <c r="J5274">
        <v>-187.63669999999999</v>
      </c>
      <c r="K5274">
        <v>1.1258709999999901</v>
      </c>
      <c r="L5274">
        <v>-33.541049999999998</v>
      </c>
      <c r="M5274">
        <v>-1.6435700000000001E-2</v>
      </c>
      <c r="N5274">
        <v>-1.2457859999999999E-2</v>
      </c>
      <c r="O5274">
        <v>0.99978730000000005</v>
      </c>
      <c r="P5274">
        <v>-4.9930860000000001E-2</v>
      </c>
      <c r="Q5274">
        <v>0.19255829999999999</v>
      </c>
      <c r="R5274">
        <v>0.98001439999999995</v>
      </c>
      <c r="S5274">
        <v>-0.36552430000000002</v>
      </c>
      <c r="T5274">
        <v>-0.10806540000000001</v>
      </c>
      <c r="U5274">
        <v>3.0700069999999999</v>
      </c>
      <c r="V5274">
        <v>-3.6350159999999999E-2</v>
      </c>
      <c r="W5274">
        <v>0.20432600000000001</v>
      </c>
      <c r="X5274">
        <v>0.97822779999999998</v>
      </c>
      <c r="Y5274">
        <v>-0.1018303</v>
      </c>
      <c r="Z5274">
        <v>-2.251595E-2</v>
      </c>
      <c r="AA5274">
        <v>0.99454690000000001</v>
      </c>
      <c r="AB5274">
        <v>33</v>
      </c>
      <c r="AC5274">
        <v>-3.786</v>
      </c>
      <c r="AD5274">
        <v>-1.12587448327899</v>
      </c>
      <c r="AE5274">
        <v>30.367386</v>
      </c>
      <c r="AF5274">
        <v>-3.2818984034596301</v>
      </c>
      <c r="AG5274">
        <v>-1.12587448327899</v>
      </c>
      <c r="AH5274">
        <v>30.3843878089864</v>
      </c>
      <c r="AI5274">
        <v>92.109827871932097</v>
      </c>
      <c r="AJ5274">
        <v>96.164769170700595</v>
      </c>
      <c r="AK5274">
        <v>30.581848750682301</v>
      </c>
      <c r="AL5274">
        <v>78.209953878830007</v>
      </c>
      <c r="AM5274">
        <v>92.128086054762505</v>
      </c>
      <c r="AN5274">
        <v>1.00000003855043</v>
      </c>
    </row>
    <row r="5275" spans="1:40" x14ac:dyDescent="0.25">
      <c r="A5275" t="str">
        <f>"20190303170916688"</f>
        <v>20190303170916688</v>
      </c>
      <c r="B5275" t="str">
        <f>"1551604156678959"</f>
        <v>1551604156678959</v>
      </c>
      <c r="C5275" t="s">
        <v>40</v>
      </c>
      <c r="D5275">
        <v>5.1543650000000003</v>
      </c>
      <c r="E5275">
        <v>0.48113260000000002</v>
      </c>
      <c r="F5275" t="s">
        <v>43</v>
      </c>
      <c r="G5275">
        <v>-191.47900000000001</v>
      </c>
      <c r="H5275" s="1">
        <v>-8.7666469999999901E-7</v>
      </c>
      <c r="I5275">
        <v>0.71535269999999995</v>
      </c>
      <c r="J5275">
        <v>-187.64670000000001</v>
      </c>
      <c r="K5275">
        <v>1.125518</v>
      </c>
      <c r="L5275">
        <v>-33.212980000000002</v>
      </c>
      <c r="M5275">
        <v>-2.109751E-2</v>
      </c>
      <c r="N5275">
        <v>-1.2240239999999999E-2</v>
      </c>
      <c r="O5275">
        <v>0.99970250000000005</v>
      </c>
      <c r="P5275">
        <v>-5.1938049999999999E-2</v>
      </c>
      <c r="Q5275">
        <v>0.1926282</v>
      </c>
      <c r="R5275">
        <v>0.97989630000000005</v>
      </c>
      <c r="S5275">
        <v>-0.3435974</v>
      </c>
      <c r="T5275">
        <v>-0.1006833</v>
      </c>
      <c r="U5275">
        <v>3.0634459999999999</v>
      </c>
      <c r="V5275">
        <v>-3.3621390000000001E-2</v>
      </c>
      <c r="W5275">
        <v>0.20424239999999999</v>
      </c>
      <c r="X5275">
        <v>0.97834279999999996</v>
      </c>
      <c r="Y5275">
        <v>-9.0421039999999994E-2</v>
      </c>
      <c r="Z5275">
        <v>-2.0446059999999999E-2</v>
      </c>
      <c r="AA5275">
        <v>0.99569370000000001</v>
      </c>
      <c r="AB5275">
        <v>33</v>
      </c>
      <c r="AC5275">
        <v>-3.8323</v>
      </c>
      <c r="AD5275">
        <v>-1.1255188766647</v>
      </c>
      <c r="AE5275">
        <v>33.928332699999999</v>
      </c>
      <c r="AF5275">
        <v>-3.1122081646279498</v>
      </c>
      <c r="AG5275">
        <v>-1.1255188766647</v>
      </c>
      <c r="AH5275">
        <v>33.964731435890698</v>
      </c>
      <c r="AI5275">
        <v>91.890053368353705</v>
      </c>
      <c r="AJ5275">
        <v>95.235425882107293</v>
      </c>
      <c r="AK5275">
        <v>34.125585913122201</v>
      </c>
      <c r="AL5275">
        <v>78.214846473852802</v>
      </c>
      <c r="AM5275">
        <v>91.968232342749005</v>
      </c>
      <c r="AN5275">
        <v>0.99999999506756598</v>
      </c>
    </row>
    <row r="5276" spans="1:40" x14ac:dyDescent="0.25">
      <c r="A5276" t="str">
        <f>"20190303170916777"</f>
        <v>20190303170916777</v>
      </c>
      <c r="B5276" t="str">
        <f>"1551604156768750"</f>
        <v>1551604156768750</v>
      </c>
      <c r="C5276" t="s">
        <v>40</v>
      </c>
      <c r="D5276">
        <v>5.0728239999999998</v>
      </c>
      <c r="E5276">
        <v>0.48826419999999998</v>
      </c>
      <c r="F5276" t="s">
        <v>43</v>
      </c>
      <c r="G5276">
        <v>-191.3802</v>
      </c>
      <c r="H5276" s="1">
        <v>-4.3660199999999999E-6</v>
      </c>
      <c r="I5276">
        <v>-0.90285680000000001</v>
      </c>
      <c r="J5276">
        <v>-187.69759999999999</v>
      </c>
      <c r="K5276">
        <v>1.1240520000000001</v>
      </c>
      <c r="L5276">
        <v>-31.879670000000001</v>
      </c>
      <c r="M5276">
        <v>-3.5825379999999997E-2</v>
      </c>
      <c r="N5276">
        <v>-1.1473769999999999E-2</v>
      </c>
      <c r="O5276">
        <v>0.99929219999999996</v>
      </c>
      <c r="P5276">
        <v>-5.3525379999999997E-2</v>
      </c>
      <c r="Q5276">
        <v>0.1863891</v>
      </c>
      <c r="R5276">
        <v>0.98101689999999997</v>
      </c>
      <c r="S5276">
        <v>-0.35401919999999998</v>
      </c>
      <c r="T5276">
        <v>-0.10672570000000001</v>
      </c>
      <c r="U5276">
        <v>3.0637509999999999</v>
      </c>
      <c r="V5276">
        <v>-1.9958380000000001E-2</v>
      </c>
      <c r="W5276">
        <v>0.19749120000000001</v>
      </c>
      <c r="X5276">
        <v>0.98010149999999996</v>
      </c>
      <c r="Y5276">
        <v>-7.9070870000000001E-2</v>
      </c>
      <c r="Z5276">
        <v>-2.3165370000000001E-2</v>
      </c>
      <c r="AA5276">
        <v>0.99659980000000004</v>
      </c>
      <c r="AB5276">
        <v>34</v>
      </c>
      <c r="AC5276">
        <v>-3.6825999999999999</v>
      </c>
      <c r="AD5276">
        <v>-1.12405636602</v>
      </c>
      <c r="AE5276">
        <v>30.976813199999999</v>
      </c>
      <c r="AF5276">
        <v>-2.5670734603196199</v>
      </c>
      <c r="AG5276">
        <v>-1.12405636602</v>
      </c>
      <c r="AH5276">
        <v>31.048551339636699</v>
      </c>
      <c r="AI5276">
        <v>92.066339584930205</v>
      </c>
      <c r="AJ5276">
        <v>94.726426545768703</v>
      </c>
      <c r="AK5276">
        <v>31.174763979134202</v>
      </c>
      <c r="AL5276">
        <v>78.609710911681901</v>
      </c>
      <c r="AM5276">
        <v>91.166586230555296</v>
      </c>
      <c r="AN5276">
        <v>1.00000003065595</v>
      </c>
    </row>
    <row r="5277" spans="1:40" x14ac:dyDescent="0.25">
      <c r="A5277" t="str">
        <f>"20190303170916800"</f>
        <v>20190303170916800</v>
      </c>
      <c r="B5277" t="str">
        <f>"1551604156789246"</f>
        <v>1551604156789246</v>
      </c>
      <c r="C5277" t="s">
        <v>40</v>
      </c>
      <c r="D5277">
        <v>5.2350979999999998</v>
      </c>
      <c r="E5277">
        <v>0.4880526</v>
      </c>
      <c r="F5277" t="s">
        <v>43</v>
      </c>
      <c r="G5277">
        <v>-189.98589999999999</v>
      </c>
      <c r="H5277" s="1">
        <v>-7.7166319999999998E-7</v>
      </c>
      <c r="I5277">
        <v>-8.6033880000000007</v>
      </c>
      <c r="J5277">
        <v>-187.71279999999999</v>
      </c>
      <c r="K5277">
        <v>1.123704</v>
      </c>
      <c r="L5277">
        <v>-31.535309999999999</v>
      </c>
      <c r="M5277">
        <v>-3.8623249999999998E-2</v>
      </c>
      <c r="N5277">
        <v>-1.131276E-2</v>
      </c>
      <c r="O5277">
        <v>0.99918980000000002</v>
      </c>
      <c r="P5277">
        <v>-5.4231300000000003E-2</v>
      </c>
      <c r="Q5277">
        <v>0.18528439999999999</v>
      </c>
      <c r="R5277">
        <v>0.98118729999999998</v>
      </c>
      <c r="S5277">
        <v>-0.30178829999999901</v>
      </c>
      <c r="T5277">
        <v>-0.14824279999999901</v>
      </c>
      <c r="U5277">
        <v>3.0697329999999998</v>
      </c>
      <c r="V5277">
        <v>-1.7735870000000001E-2</v>
      </c>
      <c r="W5277">
        <v>0.19626299999999999</v>
      </c>
      <c r="X5277">
        <v>0.98039080000000001</v>
      </c>
      <c r="Y5277">
        <v>-5.923991E-2</v>
      </c>
      <c r="Z5277">
        <v>-3.6742480000000001E-2</v>
      </c>
      <c r="AA5277">
        <v>0.99756739999999999</v>
      </c>
      <c r="AB5277">
        <v>34</v>
      </c>
      <c r="AC5277">
        <v>-2.2730999999999901</v>
      </c>
      <c r="AD5277">
        <v>-1.1237047716632</v>
      </c>
      <c r="AE5277">
        <v>22.931922</v>
      </c>
      <c r="AF5277">
        <v>-1.3823546765918799</v>
      </c>
      <c r="AG5277">
        <v>-1.1237047716632</v>
      </c>
      <c r="AH5277">
        <v>22.9480430525822</v>
      </c>
      <c r="AI5277">
        <v>92.798318650006493</v>
      </c>
      <c r="AJ5277">
        <v>93.447243669142196</v>
      </c>
      <c r="AK5277">
        <v>23.017087061766102</v>
      </c>
      <c r="AL5277">
        <v>78.681485138616196</v>
      </c>
      <c r="AM5277">
        <v>91.036402690076997</v>
      </c>
      <c r="AN5277">
        <v>0.99999992348914502</v>
      </c>
    </row>
    <row r="5278" spans="1:40" x14ac:dyDescent="0.25">
      <c r="A5278" t="str">
        <f>"20190303170916868"</f>
        <v>20190303170916868</v>
      </c>
      <c r="B5278" t="str">
        <f>"1551604156859518"</f>
        <v>1551604156859518</v>
      </c>
      <c r="C5278" t="s">
        <v>40</v>
      </c>
      <c r="D5278">
        <v>5.0767810000000004</v>
      </c>
      <c r="E5278">
        <v>0.48834149999999998</v>
      </c>
      <c r="F5278" t="s">
        <v>43</v>
      </c>
      <c r="G5278">
        <v>-189.98509999999999</v>
      </c>
      <c r="H5278" s="1">
        <v>-7.6118089999999997E-7</v>
      </c>
      <c r="I5278">
        <v>-8.6273079999999993</v>
      </c>
      <c r="J5278">
        <v>-187.7603</v>
      </c>
      <c r="K5278">
        <v>1.1222460000000001</v>
      </c>
      <c r="L5278">
        <v>-30.50873</v>
      </c>
      <c r="M5278">
        <v>-4.3552529999999999E-2</v>
      </c>
      <c r="N5278">
        <v>-1.0871189999999999E-2</v>
      </c>
      <c r="O5278">
        <v>0.99899199999999999</v>
      </c>
      <c r="P5278">
        <v>-5.4434660000000003E-2</v>
      </c>
      <c r="Q5278">
        <v>0.18389130000000001</v>
      </c>
      <c r="R5278">
        <v>0.98143820000000004</v>
      </c>
      <c r="S5278">
        <v>-0.30442809999999998</v>
      </c>
      <c r="T5278">
        <v>-0.1505494</v>
      </c>
      <c r="U5278">
        <v>3.0691220000000001</v>
      </c>
      <c r="V5278">
        <v>-1.239151E-2</v>
      </c>
      <c r="W5278">
        <v>0.19451869999999999</v>
      </c>
      <c r="X5278">
        <v>0.98082049999999998</v>
      </c>
      <c r="Y5278">
        <v>-5.5181210000000001E-2</v>
      </c>
      <c r="Z5278">
        <v>-3.7929999999999998E-2</v>
      </c>
      <c r="AA5278">
        <v>0.99775559999999996</v>
      </c>
      <c r="AB5278">
        <v>34</v>
      </c>
      <c r="AC5278">
        <v>-2.2247999999999801</v>
      </c>
      <c r="AD5278">
        <v>-1.1222467611808999</v>
      </c>
      <c r="AE5278">
        <v>21.881422000000001</v>
      </c>
      <c r="AF5278">
        <v>-1.2663441888732301</v>
      </c>
      <c r="AG5278">
        <v>-1.1222467611808999</v>
      </c>
      <c r="AH5278">
        <v>21.9005402542087</v>
      </c>
      <c r="AI5278">
        <v>92.928551891991205</v>
      </c>
      <c r="AJ5278">
        <v>93.309300864294698</v>
      </c>
      <c r="AK5278">
        <v>21.965808175978601</v>
      </c>
      <c r="AL5278">
        <v>78.783390823360094</v>
      </c>
      <c r="AM5278">
        <v>90.723826076468498</v>
      </c>
      <c r="AN5278">
        <v>0.99999996369500899</v>
      </c>
    </row>
    <row r="5279" spans="1:40" x14ac:dyDescent="0.25">
      <c r="A5279" t="str">
        <f>"20190303170916910"</f>
        <v>20190303170916910</v>
      </c>
      <c r="B5279" t="str">
        <f>"1551604156899534"</f>
        <v>1551604156899534</v>
      </c>
      <c r="C5279" t="s">
        <v>40</v>
      </c>
      <c r="D5279">
        <v>5.2237739999999997</v>
      </c>
      <c r="E5279">
        <v>0.48859269999999999</v>
      </c>
      <c r="F5279" t="s">
        <v>43</v>
      </c>
      <c r="G5279">
        <v>-190.0343</v>
      </c>
      <c r="H5279" s="1">
        <v>-1.418552E-6</v>
      </c>
      <c r="I5279">
        <v>-7.1254850000000003</v>
      </c>
      <c r="J5279">
        <v>-187.7884</v>
      </c>
      <c r="K5279">
        <v>1.121068</v>
      </c>
      <c r="L5279">
        <v>-29.878019999999999</v>
      </c>
      <c r="M5279">
        <v>-4.3425690000000003E-2</v>
      </c>
      <c r="N5279">
        <v>-1.0644890000000001E-2</v>
      </c>
      <c r="O5279">
        <v>0.999</v>
      </c>
      <c r="P5279">
        <v>-5.7324760000000002E-2</v>
      </c>
      <c r="Q5279">
        <v>0.184116</v>
      </c>
      <c r="R5279">
        <v>0.98123150000000003</v>
      </c>
      <c r="S5279">
        <v>-0.29833979999999999</v>
      </c>
      <c r="T5279">
        <v>-0.147234</v>
      </c>
      <c r="U5279">
        <v>3.06778</v>
      </c>
      <c r="V5279">
        <v>-1.4857510000000001E-2</v>
      </c>
      <c r="W5279">
        <v>0.19455239999999999</v>
      </c>
      <c r="X5279">
        <v>0.98077959999999997</v>
      </c>
      <c r="Y5279">
        <v>-5.3393969999999999E-2</v>
      </c>
      <c r="Z5279">
        <v>-3.711122E-2</v>
      </c>
      <c r="AA5279">
        <v>0.99788370000000004</v>
      </c>
      <c r="AB5279">
        <v>34</v>
      </c>
      <c r="AC5279">
        <v>-2.2458999999999998</v>
      </c>
      <c r="AD5279">
        <v>-1.12106941855199</v>
      </c>
      <c r="AE5279">
        <v>22.752535000000002</v>
      </c>
      <c r="AF5279">
        <v>-1.2526688170514699</v>
      </c>
      <c r="AG5279">
        <v>-1.12106941855199</v>
      </c>
      <c r="AH5279">
        <v>22.7738485895735</v>
      </c>
      <c r="AI5279">
        <v>92.813930362037596</v>
      </c>
      <c r="AJ5279">
        <v>93.148364847241893</v>
      </c>
      <c r="AK5279">
        <v>22.8358086212694</v>
      </c>
      <c r="AL5279">
        <v>78.781422793839695</v>
      </c>
      <c r="AM5279">
        <v>90.867888676214406</v>
      </c>
      <c r="AN5279">
        <v>1.0000000028626601</v>
      </c>
    </row>
    <row r="5280" spans="1:40" x14ac:dyDescent="0.25">
      <c r="A5280" t="str">
        <f>"20190303170916954"</f>
        <v>20190303170916954</v>
      </c>
      <c r="B5280" t="str">
        <f>"1551604156949310"</f>
        <v>1551604156949310</v>
      </c>
      <c r="C5280" t="s">
        <v>40</v>
      </c>
      <c r="D5280">
        <v>5.3520539999999999</v>
      </c>
      <c r="E5280">
        <v>0.48934070000000002</v>
      </c>
      <c r="F5280" t="s">
        <v>43</v>
      </c>
      <c r="G5280">
        <v>-190.10140000000001</v>
      </c>
      <c r="H5280" s="1">
        <v>-1.8247099999999999E-6</v>
      </c>
      <c r="I5280">
        <v>-6.2203489999999997</v>
      </c>
      <c r="J5280">
        <v>-187.81479999999999</v>
      </c>
      <c r="K5280">
        <v>1.119885</v>
      </c>
      <c r="L5280">
        <v>-29.208130000000001</v>
      </c>
      <c r="M5280">
        <v>-4.0559449999999997E-2</v>
      </c>
      <c r="N5280">
        <v>-1.045045E-2</v>
      </c>
      <c r="O5280">
        <v>0.99912250000000002</v>
      </c>
      <c r="P5280">
        <v>-5.4294670000000003E-2</v>
      </c>
      <c r="Q5280">
        <v>0.1874353</v>
      </c>
      <c r="R5280">
        <v>0.98077519999999996</v>
      </c>
      <c r="S5280">
        <v>-0.29988100000000001</v>
      </c>
      <c r="T5280">
        <v>-0.1453429</v>
      </c>
      <c r="U5280">
        <v>3.0671390000000001</v>
      </c>
      <c r="V5280">
        <v>-1.409966E-2</v>
      </c>
      <c r="W5280">
        <v>0.197716</v>
      </c>
      <c r="X5280">
        <v>0.98015790000000003</v>
      </c>
      <c r="Y5280">
        <v>-5.6776310000000003E-2</v>
      </c>
      <c r="Z5280">
        <v>-3.67047E-2</v>
      </c>
      <c r="AA5280">
        <v>0.99771200000000004</v>
      </c>
      <c r="AB5280">
        <v>34</v>
      </c>
      <c r="AC5280">
        <v>-2.2866000000000199</v>
      </c>
      <c r="AD5280">
        <v>-1.11988682471</v>
      </c>
      <c r="AE5280">
        <v>22.987780999999998</v>
      </c>
      <c r="AF5280">
        <v>-1.3491250458230499</v>
      </c>
      <c r="AG5280">
        <v>-1.11988682471</v>
      </c>
      <c r="AH5280">
        <v>23.007542193683499</v>
      </c>
      <c r="AI5280">
        <v>92.781888454315094</v>
      </c>
      <c r="AJ5280">
        <v>93.355888957920598</v>
      </c>
      <c r="AK5280">
        <v>23.074255842465501</v>
      </c>
      <c r="AL5280">
        <v>78.596570960955901</v>
      </c>
      <c r="AM5280">
        <v>90.824148123883504</v>
      </c>
      <c r="AN5280">
        <v>0.99999996300026195</v>
      </c>
    </row>
    <row r="5281" spans="1:40" x14ac:dyDescent="0.25">
      <c r="A5281" t="str">
        <f>"20190303170916978"</f>
        <v>20190303170916978</v>
      </c>
      <c r="B5281" t="str">
        <f>"1551604156968831"</f>
        <v>1551604156968831</v>
      </c>
      <c r="C5281" t="s">
        <v>40</v>
      </c>
      <c r="D5281">
        <v>5.3631080000000004</v>
      </c>
      <c r="E5281">
        <v>0.48976599999999998</v>
      </c>
      <c r="F5281" t="s">
        <v>43</v>
      </c>
      <c r="G5281">
        <v>-190.2047</v>
      </c>
      <c r="H5281" s="1">
        <v>-3.1051600000000001E-6</v>
      </c>
      <c r="I5281">
        <v>-3.299655</v>
      </c>
      <c r="J5281">
        <v>-187.8279</v>
      </c>
      <c r="K5281">
        <v>1.1192979999999999</v>
      </c>
      <c r="L5281">
        <v>-28.82816</v>
      </c>
      <c r="M5281">
        <v>-3.7883960000000001E-2</v>
      </c>
      <c r="N5281">
        <v>-1.0349219999999999E-2</v>
      </c>
      <c r="O5281">
        <v>0.99922849999999996</v>
      </c>
      <c r="P5281">
        <v>-5.0980579999999998E-2</v>
      </c>
      <c r="Q5281">
        <v>0.1865908</v>
      </c>
      <c r="R5281">
        <v>0.98111409999999999</v>
      </c>
      <c r="S5281">
        <v>-0.28305049999999998</v>
      </c>
      <c r="T5281">
        <v>-0.13263440000000001</v>
      </c>
      <c r="U5281">
        <v>3.0684809999999998</v>
      </c>
      <c r="V5281">
        <v>-1.31272E-2</v>
      </c>
      <c r="W5281">
        <v>0.19679140000000001</v>
      </c>
      <c r="X5281">
        <v>0.98035749999999999</v>
      </c>
      <c r="Y5281">
        <v>-5.399876E-2</v>
      </c>
      <c r="Z5281">
        <v>-3.2691480000000002E-2</v>
      </c>
      <c r="AA5281">
        <v>0.9980057</v>
      </c>
      <c r="AB5281">
        <v>34</v>
      </c>
      <c r="AC5281">
        <v>-2.3767999999999998</v>
      </c>
      <c r="AD5281">
        <v>-1.1193011051599999</v>
      </c>
      <c r="AE5281">
        <v>25.528504999999999</v>
      </c>
      <c r="AF5281">
        <v>-1.4052426915732501</v>
      </c>
      <c r="AG5281">
        <v>-1.1193011051599999</v>
      </c>
      <c r="AH5281">
        <v>25.551526645401299</v>
      </c>
      <c r="AI5281">
        <v>92.504495124590804</v>
      </c>
      <c r="AJ5281">
        <v>93.147892047576093</v>
      </c>
      <c r="AK5281">
        <v>25.614606299861101</v>
      </c>
      <c r="AL5281">
        <v>78.650608805421896</v>
      </c>
      <c r="AM5281">
        <v>90.767157092886094</v>
      </c>
      <c r="AN5281">
        <v>1.00000000315002</v>
      </c>
    </row>
    <row r="5282" spans="1:40" x14ac:dyDescent="0.25">
      <c r="A5282" t="str">
        <f>"20190303170917002"</f>
        <v>20190303170917002</v>
      </c>
      <c r="B5282" t="str">
        <f>"1551604156989326"</f>
        <v>1551604156989326</v>
      </c>
      <c r="C5282" t="s">
        <v>40</v>
      </c>
      <c r="D5282">
        <v>5.2287860000000004</v>
      </c>
      <c r="E5282">
        <v>0.489867</v>
      </c>
      <c r="F5282" t="s">
        <v>43</v>
      </c>
      <c r="G5282">
        <v>-190.03399999999999</v>
      </c>
      <c r="H5282" s="1">
        <v>-3.0346699999999999E-6</v>
      </c>
      <c r="I5282">
        <v>-3.3580749999999999</v>
      </c>
      <c r="J5282">
        <v>-187.83869999999999</v>
      </c>
      <c r="K5282">
        <v>1.118776</v>
      </c>
      <c r="L5282">
        <v>-28.473849999999999</v>
      </c>
      <c r="M5282">
        <v>-3.4787329999999998E-2</v>
      </c>
      <c r="N5282">
        <v>-1.0264819999999999E-2</v>
      </c>
      <c r="O5282">
        <v>0.99934199999999995</v>
      </c>
      <c r="P5282">
        <v>-4.8866659999999999E-2</v>
      </c>
      <c r="Q5282">
        <v>0.1856264</v>
      </c>
      <c r="R5282">
        <v>0.98140450000000001</v>
      </c>
      <c r="S5282">
        <v>-0.26586910000000002</v>
      </c>
      <c r="T5282">
        <v>-0.13489479999999901</v>
      </c>
      <c r="U5282">
        <v>3.0695800000000002</v>
      </c>
      <c r="V5282">
        <v>-1.380604E-2</v>
      </c>
      <c r="W5282">
        <v>0.19576689999999999</v>
      </c>
      <c r="X5282">
        <v>0.98055329999999996</v>
      </c>
      <c r="Y5282">
        <v>-5.1516720000000002E-2</v>
      </c>
      <c r="Z5282">
        <v>-3.3510770000000002E-2</v>
      </c>
      <c r="AA5282">
        <v>0.99810980000000005</v>
      </c>
      <c r="AB5282">
        <v>34</v>
      </c>
      <c r="AC5282">
        <v>-2.1953000000000298</v>
      </c>
      <c r="AD5282">
        <v>-1.1187790346699999</v>
      </c>
      <c r="AE5282">
        <v>25.115774999999999</v>
      </c>
      <c r="AF5282">
        <v>-1.3176196642959701</v>
      </c>
      <c r="AG5282">
        <v>-1.1187790346699999</v>
      </c>
      <c r="AH5282">
        <v>25.127463387423401</v>
      </c>
      <c r="AI5282">
        <v>92.545869193631106</v>
      </c>
      <c r="AJ5282">
        <v>93.001694345668398</v>
      </c>
      <c r="AK5282">
        <v>25.186845860378401</v>
      </c>
      <c r="AL5282">
        <v>78.710473112554098</v>
      </c>
      <c r="AM5282">
        <v>90.806662481619895</v>
      </c>
      <c r="AN5282">
        <v>1.0000000300084899</v>
      </c>
    </row>
    <row r="5283" spans="1:40" x14ac:dyDescent="0.25">
      <c r="A5283" t="str">
        <f>"20190303170917035"</f>
        <v>20190303170917035</v>
      </c>
      <c r="B5283" t="str">
        <f>"1551604157029343"</f>
        <v>1551604157029343</v>
      </c>
      <c r="C5283" t="s">
        <v>40</v>
      </c>
      <c r="D5283">
        <v>5.372592</v>
      </c>
      <c r="E5283">
        <v>0.51538419999999996</v>
      </c>
      <c r="F5283" t="s">
        <v>43</v>
      </c>
      <c r="G5283">
        <v>-189.911</v>
      </c>
      <c r="H5283" s="1">
        <v>-2.930924E-6</v>
      </c>
      <c r="I5283">
        <v>-3.5719729999999998</v>
      </c>
      <c r="J5283">
        <v>-187.85140000000001</v>
      </c>
      <c r="K5283">
        <v>1.118055</v>
      </c>
      <c r="L5283">
        <v>-27.96622</v>
      </c>
      <c r="M5283">
        <v>-2.944542E-2</v>
      </c>
      <c r="N5283">
        <v>-1.0166990000000001E-2</v>
      </c>
      <c r="O5283">
        <v>0.99951469999999998</v>
      </c>
      <c r="P5283">
        <v>-4.3154739999999997E-2</v>
      </c>
      <c r="Q5283">
        <v>0.18794549999999999</v>
      </c>
      <c r="R5283">
        <v>0.98123099999999996</v>
      </c>
      <c r="S5283">
        <v>-0.25549319999999998</v>
      </c>
      <c r="T5283">
        <v>-0.13793729999999901</v>
      </c>
      <c r="U5283">
        <v>3.0702210000000001</v>
      </c>
      <c r="V5283">
        <v>-1.300335E-2</v>
      </c>
      <c r="W5283">
        <v>0.1980053</v>
      </c>
      <c r="X5283">
        <v>0.98011470000000001</v>
      </c>
      <c r="Y5283">
        <v>-5.3483849999999999E-2</v>
      </c>
      <c r="Z5283">
        <v>-3.459711E-2</v>
      </c>
      <c r="AA5283">
        <v>0.9979692</v>
      </c>
      <c r="AB5283">
        <v>34</v>
      </c>
      <c r="AC5283">
        <v>-2.0595999999999601</v>
      </c>
      <c r="AD5283">
        <v>-1.118057930924</v>
      </c>
      <c r="AE5283">
        <v>24.394247</v>
      </c>
      <c r="AF5283">
        <v>-1.3375809783107699</v>
      </c>
      <c r="AG5283">
        <v>-1.118057930924</v>
      </c>
      <c r="AH5283">
        <v>24.393437831328701</v>
      </c>
      <c r="AI5283">
        <v>92.620348595308002</v>
      </c>
      <c r="AJ5283">
        <v>93.138593009954207</v>
      </c>
      <c r="AK5283">
        <v>24.455653449485698</v>
      </c>
      <c r="AL5283">
        <v>78.579661476107304</v>
      </c>
      <c r="AM5283">
        <v>90.760108348414803</v>
      </c>
      <c r="AN5283">
        <v>1.0000000055477001</v>
      </c>
    </row>
    <row r="5284" spans="1:40" x14ac:dyDescent="0.25">
      <c r="A5284" t="str">
        <f>"20190303170917067"</f>
        <v>20190303170917067</v>
      </c>
      <c r="B5284" t="str">
        <f>"1551604157058623"</f>
        <v>1551604157058623</v>
      </c>
      <c r="C5284" t="s">
        <v>40</v>
      </c>
      <c r="D5284">
        <v>5.2604490000000004</v>
      </c>
      <c r="E5284">
        <v>0.51510370000000005</v>
      </c>
      <c r="F5284" t="s">
        <v>43</v>
      </c>
      <c r="G5284">
        <v>-188.3768</v>
      </c>
      <c r="H5284" s="1">
        <v>-1.0373880000000001E-6</v>
      </c>
      <c r="I5284">
        <v>21.379799999999999</v>
      </c>
      <c r="J5284">
        <v>-187.8604</v>
      </c>
      <c r="K5284">
        <v>1.1174519999999999</v>
      </c>
      <c r="L5284">
        <v>-27.466550000000002</v>
      </c>
      <c r="M5284">
        <v>-2.3462299999999998E-2</v>
      </c>
      <c r="N5284">
        <v>-1.008789E-2</v>
      </c>
      <c r="O5284">
        <v>0.99967379999999995</v>
      </c>
      <c r="P5284">
        <v>-3.6849750000000001E-2</v>
      </c>
      <c r="Q5284">
        <v>0.1849537</v>
      </c>
      <c r="R5284">
        <v>0.98205609999999999</v>
      </c>
      <c r="S5284">
        <v>-3.2684329999999998E-2</v>
      </c>
      <c r="T5284">
        <v>-6.9542049999999994E-2</v>
      </c>
      <c r="U5284">
        <v>3.0692750000000002</v>
      </c>
      <c r="V5284">
        <v>-1.23039E-2</v>
      </c>
      <c r="W5284">
        <v>0.19495689999999999</v>
      </c>
      <c r="X5284">
        <v>0.98073460000000001</v>
      </c>
      <c r="Y5284">
        <v>1.281554E-2</v>
      </c>
      <c r="Z5284">
        <v>-1.255556E-2</v>
      </c>
      <c r="AA5284">
        <v>0.99983909999999998</v>
      </c>
      <c r="AB5284">
        <v>34</v>
      </c>
      <c r="AC5284">
        <v>-0.51640000000000397</v>
      </c>
      <c r="AD5284">
        <v>-1.1174530373880001</v>
      </c>
      <c r="AE5284">
        <v>48.846350000000001</v>
      </c>
      <c r="AF5284">
        <v>0.629518808366056</v>
      </c>
      <c r="AG5284">
        <v>-1.1174530373880001</v>
      </c>
      <c r="AH5284">
        <v>48.819471931984701</v>
      </c>
      <c r="AI5284">
        <v>91.3111335035113</v>
      </c>
      <c r="AJ5284">
        <v>89.261221588760904</v>
      </c>
      <c r="AK5284">
        <v>48.836316762617301</v>
      </c>
      <c r="AL5284">
        <v>78.757793804695297</v>
      </c>
      <c r="AM5284">
        <v>90.718771989839396</v>
      </c>
      <c r="AN5284">
        <v>0.99999996722498896</v>
      </c>
    </row>
    <row r="5285" spans="1:40" x14ac:dyDescent="0.25">
      <c r="A5285" t="str">
        <f>"20190303170917090"</f>
        <v>20190303170917090</v>
      </c>
      <c r="B5285" t="str">
        <f>"1551604157079118"</f>
        <v>1551604157079118</v>
      </c>
      <c r="C5285" t="s">
        <v>40</v>
      </c>
      <c r="D5285">
        <v>5.4304990000000002</v>
      </c>
      <c r="E5285">
        <v>0.51553479999999996</v>
      </c>
      <c r="F5285" t="s">
        <v>43</v>
      </c>
      <c r="G5285">
        <v>-188.10059999999999</v>
      </c>
      <c r="H5285" s="1">
        <v>-3.9200120000000001E-6</v>
      </c>
      <c r="I5285">
        <v>17.985060000000001</v>
      </c>
      <c r="J5285">
        <v>-187.86449999999999</v>
      </c>
      <c r="K5285">
        <v>1.1171260000000001</v>
      </c>
      <c r="L5285">
        <v>-27.119050000000001</v>
      </c>
      <c r="M5285">
        <v>-1.9023459999999999E-2</v>
      </c>
      <c r="N5285">
        <v>-1.003647E-2</v>
      </c>
      <c r="O5285">
        <v>0.99976869999999995</v>
      </c>
      <c r="P5285">
        <v>-3.4242750000000002E-2</v>
      </c>
      <c r="Q5285">
        <v>0.18157870000000001</v>
      </c>
      <c r="R5285">
        <v>0.98277999999999999</v>
      </c>
      <c r="S5285">
        <v>-1.622009E-2</v>
      </c>
      <c r="T5285">
        <v>-7.5438980000000003E-2</v>
      </c>
      <c r="U5285">
        <v>3.0684200000000001</v>
      </c>
      <c r="V5285">
        <v>-1.3934719999999999E-2</v>
      </c>
      <c r="W5285">
        <v>0.19156129999999999</v>
      </c>
      <c r="X5285">
        <v>0.98138170000000002</v>
      </c>
      <c r="Y5285">
        <v>1.373722E-2</v>
      </c>
      <c r="Z5285">
        <v>-1.453601E-2</v>
      </c>
      <c r="AA5285">
        <v>0.99980000000000002</v>
      </c>
      <c r="AB5285">
        <v>34</v>
      </c>
      <c r="AC5285">
        <v>-0.23609999999999301</v>
      </c>
      <c r="AD5285">
        <v>-1.117129920012</v>
      </c>
      <c r="AE5285">
        <v>45.104109999999999</v>
      </c>
      <c r="AF5285">
        <v>0.62164081622960599</v>
      </c>
      <c r="AG5285">
        <v>-1.117129920012</v>
      </c>
      <c r="AH5285">
        <v>45.0727898075843</v>
      </c>
      <c r="AI5285">
        <v>91.419651308068197</v>
      </c>
      <c r="AJ5285">
        <v>89.2098306494063</v>
      </c>
      <c r="AK5285">
        <v>45.090917018855002</v>
      </c>
      <c r="AL5285">
        <v>78.956085798334698</v>
      </c>
      <c r="AM5285">
        <v>90.813492848857805</v>
      </c>
      <c r="AN5285">
        <v>0.99999997458702805</v>
      </c>
    </row>
    <row r="5286" spans="1:40" x14ac:dyDescent="0.25">
      <c r="A5286" t="str">
        <f>"20190303170917117"</f>
        <v>20190303170917117</v>
      </c>
      <c r="B5286" t="str">
        <f>"1551604157109375"</f>
        <v>1551604157109375</v>
      </c>
      <c r="C5286" t="s">
        <v>40</v>
      </c>
      <c r="D5286">
        <v>5.4357410000000002</v>
      </c>
      <c r="E5286">
        <v>0.51559829999999995</v>
      </c>
      <c r="F5286" t="s">
        <v>43</v>
      </c>
      <c r="G5286">
        <v>-187.9059</v>
      </c>
      <c r="H5286" s="1">
        <v>-1.3539240000000001E-6</v>
      </c>
      <c r="I5286">
        <v>11.92292</v>
      </c>
      <c r="J5286">
        <v>-187.8672</v>
      </c>
      <c r="K5286">
        <v>1.11686</v>
      </c>
      <c r="L5286">
        <v>-26.697939999999999</v>
      </c>
      <c r="M5286">
        <v>-1.3451039999999999E-2</v>
      </c>
      <c r="N5286">
        <v>-9.9741689999999997E-3</v>
      </c>
      <c r="O5286">
        <v>0.99985979999999997</v>
      </c>
      <c r="P5286">
        <v>-2.925724E-2</v>
      </c>
      <c r="Q5286">
        <v>0.1797956</v>
      </c>
      <c r="R5286">
        <v>0.98326880000000005</v>
      </c>
      <c r="S5286">
        <v>-3.2501219999999998E-3</v>
      </c>
      <c r="T5286">
        <v>-8.7805270000000005E-2</v>
      </c>
      <c r="U5286">
        <v>3.0686650000000002</v>
      </c>
      <c r="V5286">
        <v>-1.43255E-2</v>
      </c>
      <c r="W5286">
        <v>0.1897334</v>
      </c>
      <c r="X5286">
        <v>0.98173109999999997</v>
      </c>
      <c r="Y5286">
        <v>1.2390470000000001E-2</v>
      </c>
      <c r="Z5286">
        <v>-1.862538E-2</v>
      </c>
      <c r="AA5286">
        <v>0.99974980000000002</v>
      </c>
      <c r="AB5286">
        <v>34</v>
      </c>
      <c r="AC5286">
        <v>-3.8700000000005702E-2</v>
      </c>
      <c r="AD5286">
        <v>-1.116861353924</v>
      </c>
      <c r="AE5286">
        <v>38.62086</v>
      </c>
      <c r="AF5286">
        <v>0.48041830124513302</v>
      </c>
      <c r="AG5286">
        <v>-1.116861353924</v>
      </c>
      <c r="AH5286">
        <v>38.585617664161099</v>
      </c>
      <c r="AI5286">
        <v>91.657835963308401</v>
      </c>
      <c r="AJ5286">
        <v>89.286663775205795</v>
      </c>
      <c r="AK5286">
        <v>38.604767471814696</v>
      </c>
      <c r="AL5286">
        <v>79.0627735031686</v>
      </c>
      <c r="AM5286">
        <v>90.836005338108905</v>
      </c>
      <c r="AN5286">
        <v>0.99999996786650902</v>
      </c>
    </row>
    <row r="5287" spans="1:40" x14ac:dyDescent="0.25">
      <c r="A5287" t="str">
        <f>"20190303170917158"</f>
        <v>20190303170917158</v>
      </c>
      <c r="B5287" t="str">
        <f>"1551604157149390"</f>
        <v>1551604157149390</v>
      </c>
      <c r="C5287" t="s">
        <v>40</v>
      </c>
      <c r="D5287">
        <v>5.3748870000000002</v>
      </c>
      <c r="E5287">
        <v>0.51555359999999995</v>
      </c>
      <c r="F5287" t="s">
        <v>43</v>
      </c>
      <c r="G5287">
        <v>-187.7201</v>
      </c>
      <c r="H5287" s="1">
        <v>-8.364703E-7</v>
      </c>
      <c r="I5287">
        <v>10.32347</v>
      </c>
      <c r="J5287">
        <v>-187.86680000000001</v>
      </c>
      <c r="K5287">
        <v>1.116619</v>
      </c>
      <c r="L5287">
        <v>-26.071470000000001</v>
      </c>
      <c r="M5287">
        <v>-5.0170099999999997E-3</v>
      </c>
      <c r="N5287">
        <v>-9.8907519999999992E-3</v>
      </c>
      <c r="O5287">
        <v>0.99993849999999995</v>
      </c>
      <c r="P5287">
        <v>-2.300203E-2</v>
      </c>
      <c r="Q5287">
        <v>0.17819760000000001</v>
      </c>
      <c r="R5287">
        <v>0.98372579999999998</v>
      </c>
      <c r="S5287">
        <v>1.2191769999999999E-2</v>
      </c>
      <c r="T5287">
        <v>-9.2565300000000003E-2</v>
      </c>
      <c r="U5287">
        <v>3.0683289999999999</v>
      </c>
      <c r="V5287">
        <v>-1.627485E-2</v>
      </c>
      <c r="W5287">
        <v>0.18808330000000001</v>
      </c>
      <c r="X5287">
        <v>0.98201819999999895</v>
      </c>
      <c r="Y5287">
        <v>8.9879620000000004E-3</v>
      </c>
      <c r="Z5287">
        <v>-2.0265140000000001E-2</v>
      </c>
      <c r="AA5287">
        <v>0.99975429999999998</v>
      </c>
      <c r="AB5287">
        <v>34</v>
      </c>
      <c r="AC5287">
        <v>0.14670000000000899</v>
      </c>
      <c r="AD5287">
        <v>-1.1166198364702999</v>
      </c>
      <c r="AE5287">
        <v>36.394939999999998</v>
      </c>
      <c r="AF5287">
        <v>0.32899118853365</v>
      </c>
      <c r="AG5287">
        <v>-1.1166198364702999</v>
      </c>
      <c r="AH5287">
        <v>36.359521174764197</v>
      </c>
      <c r="AI5287">
        <v>91.758958416457403</v>
      </c>
      <c r="AJ5287">
        <v>89.481585796616599</v>
      </c>
      <c r="AK5287">
        <v>36.378150793016701</v>
      </c>
      <c r="AL5287">
        <v>79.159050826817094</v>
      </c>
      <c r="AM5287">
        <v>90.949468003445105</v>
      </c>
      <c r="AN5287">
        <v>0.99999997180632505</v>
      </c>
    </row>
    <row r="5288" spans="1:40" x14ac:dyDescent="0.25">
      <c r="A5288" t="str">
        <f>"20190303170917178"</f>
        <v>20190303170917178</v>
      </c>
      <c r="B5288" t="str">
        <f>"1551604157168911"</f>
        <v>1551604157168911</v>
      </c>
      <c r="C5288" t="s">
        <v>40</v>
      </c>
      <c r="D5288">
        <v>5.3183319999999998</v>
      </c>
      <c r="E5288">
        <v>0.51543220000000001</v>
      </c>
      <c r="F5288" t="s">
        <v>43</v>
      </c>
      <c r="G5288">
        <v>-187.4838</v>
      </c>
      <c r="H5288" s="1">
        <v>-1.0256599999999999E-6</v>
      </c>
      <c r="I5288">
        <v>10.69467</v>
      </c>
      <c r="J5288">
        <v>-187.86449999999999</v>
      </c>
      <c r="K5288">
        <v>1.11653</v>
      </c>
      <c r="L5288">
        <v>-25.747499999999999</v>
      </c>
      <c r="M5288">
        <v>-6.5618259999999896E-4</v>
      </c>
      <c r="N5288">
        <v>-9.8552029999999999E-3</v>
      </c>
      <c r="O5288">
        <v>0.99995120000000004</v>
      </c>
      <c r="P5288">
        <v>-2.066525E-2</v>
      </c>
      <c r="Q5288">
        <v>0.1784162</v>
      </c>
      <c r="R5288">
        <v>0.98373809999999995</v>
      </c>
      <c r="S5288">
        <v>3.1951899999999998E-2</v>
      </c>
      <c r="T5288">
        <v>-9.3155379999999996E-2</v>
      </c>
      <c r="U5288">
        <v>3.0672609999999998</v>
      </c>
      <c r="V5288">
        <v>-1.819163E-2</v>
      </c>
      <c r="W5288">
        <v>0.1882885</v>
      </c>
      <c r="X5288">
        <v>0.98194530000000002</v>
      </c>
      <c r="Y5288">
        <v>1.106831E-2</v>
      </c>
      <c r="Z5288">
        <v>-2.0502949999999999E-2</v>
      </c>
      <c r="AA5288">
        <v>0.99972850000000002</v>
      </c>
      <c r="AB5288">
        <v>34</v>
      </c>
      <c r="AC5288">
        <v>0.38069999999998999</v>
      </c>
      <c r="AD5288">
        <v>-1.1165310256600001</v>
      </c>
      <c r="AE5288">
        <v>36.442169999999997</v>
      </c>
      <c r="AF5288">
        <v>0.40423437882020702</v>
      </c>
      <c r="AG5288">
        <v>-1.1165310256600001</v>
      </c>
      <c r="AH5288">
        <v>36.407739620176102</v>
      </c>
      <c r="AI5288">
        <v>91.756454347326596</v>
      </c>
      <c r="AJ5288">
        <v>89.363872285874805</v>
      </c>
      <c r="AK5288">
        <v>36.427099132580203</v>
      </c>
      <c r="AL5288">
        <v>79.147080528920597</v>
      </c>
      <c r="AM5288">
        <v>91.061346696822397</v>
      </c>
      <c r="AN5288">
        <v>1.00000003341319</v>
      </c>
    </row>
    <row r="5289" spans="1:40" x14ac:dyDescent="0.25">
      <c r="A5289" t="str">
        <f>"20190303170917223"</f>
        <v>20190303170917223</v>
      </c>
      <c r="B5289" t="str">
        <f>"1551604157208927"</f>
        <v>1551604157208927</v>
      </c>
      <c r="C5289" t="s">
        <v>40</v>
      </c>
      <c r="D5289">
        <v>5.3241889999999996</v>
      </c>
      <c r="E5289">
        <v>0.51531899999999997</v>
      </c>
      <c r="F5289" t="s">
        <v>43</v>
      </c>
      <c r="G5289">
        <v>-187.38669999999999</v>
      </c>
      <c r="H5289" s="1">
        <v>-1.486818E-6</v>
      </c>
      <c r="I5289">
        <v>11.973890000000001</v>
      </c>
      <c r="J5289">
        <v>-187.85499999999999</v>
      </c>
      <c r="K5289">
        <v>1.1164160000000001</v>
      </c>
      <c r="L5289">
        <v>-25.048680000000001</v>
      </c>
      <c r="M5289">
        <v>8.6338969999999998E-3</v>
      </c>
      <c r="N5289">
        <v>-9.7940030000000008E-3</v>
      </c>
      <c r="O5289">
        <v>0.99991479999999999</v>
      </c>
      <c r="P5289">
        <v>-1.236754E-2</v>
      </c>
      <c r="Q5289">
        <v>0.1796065</v>
      </c>
      <c r="R5289">
        <v>0.9836608</v>
      </c>
      <c r="S5289">
        <v>3.8848880000000002E-2</v>
      </c>
      <c r="T5289">
        <v>-9.0777399999999994E-2</v>
      </c>
      <c r="U5289">
        <v>3.0668639999999998</v>
      </c>
      <c r="V5289">
        <v>-1.8973070000000002E-2</v>
      </c>
      <c r="W5289">
        <v>0.18942909999999999</v>
      </c>
      <c r="X5289">
        <v>0.98171109999999995</v>
      </c>
      <c r="Y5289">
        <v>4.0289330000000002E-3</v>
      </c>
      <c r="Z5289">
        <v>-1.979291E-2</v>
      </c>
      <c r="AA5289">
        <v>0.99979600000000002</v>
      </c>
      <c r="AB5289">
        <v>35</v>
      </c>
      <c r="AC5289">
        <v>0.46829999999999899</v>
      </c>
      <c r="AD5289">
        <v>-1.1164174868179999</v>
      </c>
      <c r="AE5289">
        <v>37.022570000000002</v>
      </c>
      <c r="AF5289">
        <v>0.14848316920393601</v>
      </c>
      <c r="AG5289">
        <v>-1.1164174868179999</v>
      </c>
      <c r="AH5289">
        <v>36.991601296732597</v>
      </c>
      <c r="AI5289">
        <v>91.728664954969801</v>
      </c>
      <c r="AJ5289">
        <v>89.770017708459804</v>
      </c>
      <c r="AK5289">
        <v>37.0087422341376</v>
      </c>
      <c r="AL5289">
        <v>79.080531239329801</v>
      </c>
      <c r="AM5289">
        <v>91.107190821517094</v>
      </c>
      <c r="AN5289">
        <v>1.00000002258762</v>
      </c>
    </row>
    <row r="5290" spans="1:40" x14ac:dyDescent="0.25">
      <c r="A5290" t="str">
        <f>"20190303170917267"</f>
        <v>20190303170917267</v>
      </c>
      <c r="B5290" t="str">
        <f>"1551604157258702"</f>
        <v>1551604157258702</v>
      </c>
      <c r="C5290" t="s">
        <v>40</v>
      </c>
      <c r="D5290">
        <v>5.3175879999999998</v>
      </c>
      <c r="E5290">
        <v>0.51522069999999998</v>
      </c>
      <c r="F5290" t="s">
        <v>43</v>
      </c>
      <c r="G5290">
        <v>-187.0505</v>
      </c>
      <c r="H5290" s="1">
        <v>-3.1618380000000002E-6</v>
      </c>
      <c r="I5290">
        <v>15.78351</v>
      </c>
      <c r="J5290">
        <v>-187.83940000000001</v>
      </c>
      <c r="K5290">
        <v>1.1163719999999999</v>
      </c>
      <c r="L5290">
        <v>-24.357790000000001</v>
      </c>
      <c r="M5290">
        <v>1.7617580000000001E-2</v>
      </c>
      <c r="N5290">
        <v>-9.7504189999999998E-3</v>
      </c>
      <c r="O5290">
        <v>0.99979720000000005</v>
      </c>
      <c r="P5290">
        <v>-8.4770829999999998E-3</v>
      </c>
      <c r="Q5290">
        <v>0.17903350000000001</v>
      </c>
      <c r="R5290">
        <v>0.98380650000000003</v>
      </c>
      <c r="S5290">
        <v>6.0409549999999999E-2</v>
      </c>
      <c r="T5290">
        <v>-8.3826419999999999E-2</v>
      </c>
      <c r="U5290">
        <v>3.065887</v>
      </c>
      <c r="V5290">
        <v>-2.390894E-2</v>
      </c>
      <c r="W5290">
        <v>0.1888649</v>
      </c>
      <c r="X5290">
        <v>0.98171200000000003</v>
      </c>
      <c r="Y5290">
        <v>2.078473E-3</v>
      </c>
      <c r="Z5290">
        <v>-1.757601E-2</v>
      </c>
      <c r="AA5290">
        <v>0.99984340000000005</v>
      </c>
      <c r="AB5290">
        <v>35</v>
      </c>
      <c r="AC5290">
        <v>0.78890000000001204</v>
      </c>
      <c r="AD5290">
        <v>-1.116375161838</v>
      </c>
      <c r="AE5290">
        <v>40.141300000000001</v>
      </c>
      <c r="AF5290">
        <v>8.1488324568224094E-2</v>
      </c>
      <c r="AG5290">
        <v>-1.116375161838</v>
      </c>
      <c r="AH5290">
        <v>40.117950961224601</v>
      </c>
      <c r="AI5290">
        <v>91.593973498982393</v>
      </c>
      <c r="AJ5290">
        <v>89.883619912174197</v>
      </c>
      <c r="AK5290">
        <v>40.133563549431202</v>
      </c>
      <c r="AL5290">
        <v>79.113451738493893</v>
      </c>
      <c r="AM5290">
        <v>91.395124649736402</v>
      </c>
      <c r="AN5290">
        <v>1.00000001940396</v>
      </c>
    </row>
    <row r="5291" spans="1:40" x14ac:dyDescent="0.25">
      <c r="A5291" t="str">
        <f>"20190303170917291"</f>
        <v>20190303170917291</v>
      </c>
      <c r="B5291" t="str">
        <f>"1551604157279199"</f>
        <v>1551604157279199</v>
      </c>
      <c r="C5291" t="s">
        <v>40</v>
      </c>
      <c r="D5291">
        <v>5.0862170000000004</v>
      </c>
      <c r="E5291">
        <v>0.51503909999999997</v>
      </c>
      <c r="F5291" t="s">
        <v>43</v>
      </c>
      <c r="G5291">
        <v>-186.81739999999999</v>
      </c>
      <c r="H5291" s="1">
        <v>-3.8089020000000001E-6</v>
      </c>
      <c r="I5291">
        <v>17.19548</v>
      </c>
      <c r="J5291">
        <v>-187.82859999999999</v>
      </c>
      <c r="K5291">
        <v>1.116384</v>
      </c>
      <c r="L5291">
        <v>-23.993099999999998</v>
      </c>
      <c r="M5291">
        <v>2.2266009999999999E-2</v>
      </c>
      <c r="N5291">
        <v>-9.7330239999999998E-3</v>
      </c>
      <c r="O5291">
        <v>0.9997047</v>
      </c>
      <c r="P5291">
        <v>-4.8619969999999998E-3</v>
      </c>
      <c r="Q5291">
        <v>0.1821142</v>
      </c>
      <c r="R5291">
        <v>0.98326539999999996</v>
      </c>
      <c r="S5291">
        <v>7.5378420000000002E-2</v>
      </c>
      <c r="T5291">
        <v>-8.2344769999999998E-2</v>
      </c>
      <c r="U5291">
        <v>3.0650019999999998</v>
      </c>
      <c r="V5291">
        <v>-2.4825440000000001E-2</v>
      </c>
      <c r="W5291">
        <v>0.19193199999999999</v>
      </c>
      <c r="X5291">
        <v>0.98109420000000003</v>
      </c>
      <c r="Y5291">
        <v>2.3153840000000002E-3</v>
      </c>
      <c r="Z5291">
        <v>-1.7114250000000001E-2</v>
      </c>
      <c r="AA5291">
        <v>0.99985089999999999</v>
      </c>
      <c r="AB5291">
        <v>35</v>
      </c>
      <c r="AC5291">
        <v>1.0112000000000001</v>
      </c>
      <c r="AD5291">
        <v>-1.1163878089020001</v>
      </c>
      <c r="AE5291">
        <v>41.188580000000002</v>
      </c>
      <c r="AF5291">
        <v>9.3731683919835398E-2</v>
      </c>
      <c r="AG5291">
        <v>-1.1163878089020001</v>
      </c>
      <c r="AH5291">
        <v>41.170656555542898</v>
      </c>
      <c r="AI5291">
        <v>91.553253678069893</v>
      </c>
      <c r="AJ5291">
        <v>89.869557081039204</v>
      </c>
      <c r="AK5291">
        <v>41.185896476620499</v>
      </c>
      <c r="AL5291">
        <v>78.9344451109326</v>
      </c>
      <c r="AM5291">
        <v>91.449493305288797</v>
      </c>
      <c r="AN5291">
        <v>1.0000000121844099</v>
      </c>
    </row>
    <row r="5292" spans="1:40" x14ac:dyDescent="0.25">
      <c r="A5292" t="str">
        <f>"20190303170917310"</f>
        <v>20190303170917310</v>
      </c>
      <c r="B5292" t="str">
        <f>"1551604157298719"</f>
        <v>1551604157298719</v>
      </c>
      <c r="C5292" t="s">
        <v>40</v>
      </c>
      <c r="D5292">
        <v>5.0388989999999998</v>
      </c>
      <c r="E5292">
        <v>0.5148703</v>
      </c>
      <c r="F5292" t="s">
        <v>43</v>
      </c>
      <c r="G5292">
        <v>-186.49799999999999</v>
      </c>
      <c r="H5292" s="1">
        <v>-2.4560759999999998E-6</v>
      </c>
      <c r="I5292">
        <v>23.909929999999999</v>
      </c>
      <c r="J5292">
        <v>-187.8184</v>
      </c>
      <c r="K5292">
        <v>1.116404</v>
      </c>
      <c r="L5292">
        <v>-23.688479999999998</v>
      </c>
      <c r="M5292">
        <v>2.607543E-2</v>
      </c>
      <c r="N5292">
        <v>-9.7204590000000007E-3</v>
      </c>
      <c r="O5292">
        <v>0.99961270000000002</v>
      </c>
      <c r="P5292">
        <v>-1.3946090000000001E-4</v>
      </c>
      <c r="Q5292">
        <v>0.18487809999999999</v>
      </c>
      <c r="R5292">
        <v>0.98276140000000001</v>
      </c>
      <c r="S5292">
        <v>8.5128780000000001E-2</v>
      </c>
      <c r="T5292">
        <v>-7.1423169999999994E-2</v>
      </c>
      <c r="U5292">
        <v>3.0646969999999998</v>
      </c>
      <c r="V5292">
        <v>-2.382008E-2</v>
      </c>
      <c r="W5292">
        <v>0.19466749999999999</v>
      </c>
      <c r="X5292">
        <v>0.98058000000000001</v>
      </c>
      <c r="Y5292">
        <v>1.6876370000000001E-3</v>
      </c>
      <c r="Z5292">
        <v>-1.3567020000000001E-2</v>
      </c>
      <c r="AA5292">
        <v>0.99990650000000003</v>
      </c>
      <c r="AB5292">
        <v>35</v>
      </c>
      <c r="AC5292">
        <v>1.3204</v>
      </c>
      <c r="AD5292">
        <v>-1.1164064560760001</v>
      </c>
      <c r="AE5292">
        <v>47.598410000000001</v>
      </c>
      <c r="AF5292">
        <v>7.8700061166587496E-2</v>
      </c>
      <c r="AG5292">
        <v>-1.1164064560760001</v>
      </c>
      <c r="AH5292">
        <v>47.590495102598403</v>
      </c>
      <c r="AI5292">
        <v>91.343830547765805</v>
      </c>
      <c r="AJ5292">
        <v>89.905250465830704</v>
      </c>
      <c r="AK5292">
        <v>47.603653023536303</v>
      </c>
      <c r="AL5292">
        <v>78.774699291588604</v>
      </c>
      <c r="AM5292">
        <v>91.391545509504297</v>
      </c>
      <c r="AN5292">
        <v>0.99999998408372803</v>
      </c>
    </row>
    <row r="5293" spans="1:40" x14ac:dyDescent="0.25">
      <c r="A5293" t="str">
        <f>"20190303170917358"</f>
        <v>20190303170917358</v>
      </c>
      <c r="B5293" t="str">
        <f>"1551604157349470"</f>
        <v>1551604157349470</v>
      </c>
      <c r="C5293" t="s">
        <v>40</v>
      </c>
      <c r="D5293">
        <v>5.3226559999999896</v>
      </c>
      <c r="E5293">
        <v>0.50981579999999904</v>
      </c>
      <c r="F5293" t="s">
        <v>43</v>
      </c>
      <c r="G5293">
        <v>-186.08199999999999</v>
      </c>
      <c r="H5293" s="1">
        <v>-1.5915919999999999E-6</v>
      </c>
      <c r="I5293">
        <v>31.26164</v>
      </c>
      <c r="J5293">
        <v>-187.78909999999999</v>
      </c>
      <c r="K5293">
        <v>1.1165080000000001</v>
      </c>
      <c r="L5293">
        <v>-22.952639999999999</v>
      </c>
      <c r="M5293">
        <v>3.4984410000000001E-2</v>
      </c>
      <c r="N5293">
        <v>-9.6958070000000007E-3</v>
      </c>
      <c r="O5293">
        <v>0.99934080000000003</v>
      </c>
      <c r="P5293">
        <v>8.3707069999999998E-3</v>
      </c>
      <c r="Q5293">
        <v>0.1821419</v>
      </c>
      <c r="R5293">
        <v>0.98323660000000002</v>
      </c>
      <c r="S5293">
        <v>9.6832280000000007E-2</v>
      </c>
      <c r="T5293">
        <v>-6.2257769999999997E-2</v>
      </c>
      <c r="U5293">
        <v>3.064362</v>
      </c>
      <c r="V5293">
        <v>-2.416544E-2</v>
      </c>
      <c r="W5293">
        <v>0.1919081</v>
      </c>
      <c r="X5293">
        <v>0.98111530000000002</v>
      </c>
      <c r="Y5293">
        <v>-3.405478E-3</v>
      </c>
      <c r="Z5293">
        <v>-1.059935E-2</v>
      </c>
      <c r="AA5293">
        <v>0.99993799999999999</v>
      </c>
      <c r="AB5293">
        <v>35</v>
      </c>
      <c r="AC5293">
        <v>1.7070999999999901</v>
      </c>
      <c r="AD5293">
        <v>-1.116509591592</v>
      </c>
      <c r="AE5293">
        <v>54.214280000000002</v>
      </c>
      <c r="AF5293">
        <v>-0.190608125395369</v>
      </c>
      <c r="AG5293">
        <v>-1.116509591592</v>
      </c>
      <c r="AH5293">
        <v>54.217842185177702</v>
      </c>
      <c r="AI5293">
        <v>91.179719611199502</v>
      </c>
      <c r="AJ5293">
        <v>90.201428085176801</v>
      </c>
      <c r="AK5293">
        <v>54.229672102479299</v>
      </c>
      <c r="AL5293">
        <v>78.935839829042905</v>
      </c>
      <c r="AM5293">
        <v>91.410943068660103</v>
      </c>
      <c r="AN5293">
        <v>0.99999995961504595</v>
      </c>
    </row>
    <row r="5294" spans="1:40" x14ac:dyDescent="0.25">
      <c r="A5294" t="str">
        <f>"20190303170917378"</f>
        <v>20190303170917378</v>
      </c>
      <c r="B5294" t="str">
        <f>"1551604157368990"</f>
        <v>1551604157368990</v>
      </c>
      <c r="C5294" t="s">
        <v>40</v>
      </c>
      <c r="D5294">
        <v>5.318365</v>
      </c>
      <c r="E5294">
        <v>0.50922709999999904</v>
      </c>
      <c r="F5294" t="s">
        <v>43</v>
      </c>
      <c r="G5294">
        <v>-186.20089999999999</v>
      </c>
      <c r="H5294" s="1">
        <v>-2.652622E-6</v>
      </c>
      <c r="I5294">
        <v>34.245220000000003</v>
      </c>
      <c r="J5294">
        <v>-187.77350000000001</v>
      </c>
      <c r="K5294">
        <v>1.116563</v>
      </c>
      <c r="L5294">
        <v>-22.612300000000001</v>
      </c>
      <c r="M5294">
        <v>3.8952189999999998E-2</v>
      </c>
      <c r="N5294">
        <v>-9.6869750000000004E-3</v>
      </c>
      <c r="O5294">
        <v>0.99919409999999997</v>
      </c>
      <c r="P5294">
        <v>1.367224E-2</v>
      </c>
      <c r="Q5294">
        <v>0.1824953</v>
      </c>
      <c r="R5294">
        <v>0.98311170000000003</v>
      </c>
      <c r="S5294">
        <v>8.5006709999999999E-2</v>
      </c>
      <c r="T5294">
        <v>-5.9760809999999998E-2</v>
      </c>
      <c r="U5294">
        <v>3.061493</v>
      </c>
      <c r="V5294">
        <v>-2.279459E-2</v>
      </c>
      <c r="W5294">
        <v>0.19223519999999999</v>
      </c>
      <c r="X5294">
        <v>0.98108410000000001</v>
      </c>
      <c r="Y5294">
        <v>-1.120411E-2</v>
      </c>
      <c r="Z5294">
        <v>-9.8090490000000002E-3</v>
      </c>
      <c r="AA5294">
        <v>0.99988909999999998</v>
      </c>
      <c r="AB5294">
        <v>35</v>
      </c>
      <c r="AC5294">
        <v>1.57260000000002</v>
      </c>
      <c r="AD5294">
        <v>-1.116565652622</v>
      </c>
      <c r="AE5294">
        <v>56.857520000000001</v>
      </c>
      <c r="AF5294">
        <v>-0.64317463210861403</v>
      </c>
      <c r="AG5294">
        <v>-1.116565652622</v>
      </c>
      <c r="AH5294">
        <v>56.853715626476799</v>
      </c>
      <c r="AI5294">
        <v>91.125030860228705</v>
      </c>
      <c r="AJ5294">
        <v>90.648147962885801</v>
      </c>
      <c r="AK5294">
        <v>56.8683160731904</v>
      </c>
      <c r="AL5294">
        <v>78.916743132115897</v>
      </c>
      <c r="AM5294">
        <v>91.330975468818096</v>
      </c>
      <c r="AN5294">
        <v>0.99999998836255899</v>
      </c>
    </row>
    <row r="5295" spans="1:40" x14ac:dyDescent="0.25">
      <c r="A5295" t="str">
        <f>"20190303170917401"</f>
        <v>20190303170917401</v>
      </c>
      <c r="B5295" t="str">
        <f>"1551604157389930"</f>
        <v>1551604157389930</v>
      </c>
      <c r="C5295" t="s">
        <v>40</v>
      </c>
      <c r="D5295">
        <v>5.3129920000000004</v>
      </c>
      <c r="E5295">
        <v>0.50893679999999997</v>
      </c>
      <c r="F5295" t="s">
        <v>43</v>
      </c>
      <c r="G5295">
        <v>-185.9187</v>
      </c>
      <c r="H5295" s="1">
        <v>-3.4133660000000001E-6</v>
      </c>
      <c r="I5295">
        <v>35.90184</v>
      </c>
      <c r="J5295">
        <v>-187.756</v>
      </c>
      <c r="K5295">
        <v>1.116635</v>
      </c>
      <c r="L5295">
        <v>-22.258759999999999</v>
      </c>
      <c r="M5295">
        <v>4.2954079999999999E-2</v>
      </c>
      <c r="N5295">
        <v>-9.6791689999999996E-3</v>
      </c>
      <c r="O5295">
        <v>0.99903019999999998</v>
      </c>
      <c r="P5295">
        <v>2.0193160000000002E-2</v>
      </c>
      <c r="Q5295">
        <v>0.18473680000000001</v>
      </c>
      <c r="R5295">
        <v>0.98258049999999997</v>
      </c>
      <c r="S5295">
        <v>9.7030640000000001E-2</v>
      </c>
      <c r="T5295">
        <v>-5.841064E-2</v>
      </c>
      <c r="U5295">
        <v>3.061035</v>
      </c>
      <c r="V5295">
        <v>-2.0210240000000001E-2</v>
      </c>
      <c r="W5295">
        <v>0.19443640000000001</v>
      </c>
      <c r="X5295">
        <v>0.98070690000000005</v>
      </c>
      <c r="Y5295">
        <v>-1.128088E-2</v>
      </c>
      <c r="Z5295">
        <v>-9.3750099999999996E-3</v>
      </c>
      <c r="AA5295">
        <v>0.99989240000000001</v>
      </c>
      <c r="AB5295">
        <v>35</v>
      </c>
      <c r="AC5295">
        <v>1.83729999999997</v>
      </c>
      <c r="AD5295">
        <v>-1.1166384133659999</v>
      </c>
      <c r="AE5295">
        <v>58.160600000000002</v>
      </c>
      <c r="AF5295">
        <v>-0.66250393600667401</v>
      </c>
      <c r="AG5295">
        <v>-1.1166384133659999</v>
      </c>
      <c r="AH5295">
        <v>58.164420106121099</v>
      </c>
      <c r="AI5295">
        <v>91.099755858767196</v>
      </c>
      <c r="AJ5295">
        <v>90.6525817322797</v>
      </c>
      <c r="AK5295">
        <v>58.178909916676702</v>
      </c>
      <c r="AL5295">
        <v>78.788198412817806</v>
      </c>
      <c r="AM5295">
        <v>91.180574516882501</v>
      </c>
      <c r="AN5295">
        <v>0.99999999557671304</v>
      </c>
    </row>
    <row r="5296" spans="1:40" x14ac:dyDescent="0.25">
      <c r="A5296" t="str">
        <f>"20190303170917446"</f>
        <v>20190303170917446</v>
      </c>
      <c r="B5296" t="str">
        <f>"1551604157438730"</f>
        <v>1551604157438730</v>
      </c>
      <c r="C5296" t="s">
        <v>40</v>
      </c>
      <c r="D5296">
        <v>5.2612300000000003</v>
      </c>
      <c r="E5296">
        <v>0.50828739999999994</v>
      </c>
      <c r="F5296" t="s">
        <v>43</v>
      </c>
      <c r="G5296">
        <v>-185.29849999999999</v>
      </c>
      <c r="H5296" s="1">
        <v>-3.2055419999999999E-6</v>
      </c>
      <c r="I5296">
        <v>45.16095</v>
      </c>
      <c r="J5296">
        <v>-187.71789999999999</v>
      </c>
      <c r="K5296">
        <v>1.11686</v>
      </c>
      <c r="L5296">
        <v>-21.563020000000002</v>
      </c>
      <c r="M5296">
        <v>5.0351020000000003E-2</v>
      </c>
      <c r="N5296">
        <v>-9.6648189999999998E-3</v>
      </c>
      <c r="O5296">
        <v>0.99868480000000004</v>
      </c>
      <c r="P5296">
        <v>2.553764E-2</v>
      </c>
      <c r="Q5296">
        <v>0.18423500000000001</v>
      </c>
      <c r="R5296">
        <v>0.98255040000000005</v>
      </c>
      <c r="S5296">
        <v>0.111557</v>
      </c>
      <c r="T5296">
        <v>-5.0688270000000001E-2</v>
      </c>
      <c r="U5296">
        <v>3.060425</v>
      </c>
      <c r="V5296">
        <v>-2.2255589999999999E-2</v>
      </c>
      <c r="W5296">
        <v>0.1939275</v>
      </c>
      <c r="X5296">
        <v>0.98076339999999995</v>
      </c>
      <c r="Y5296">
        <v>-1.3937969999999999E-2</v>
      </c>
      <c r="Z5296">
        <v>-6.8670340000000002E-3</v>
      </c>
      <c r="AA5296">
        <v>0.99987930000000003</v>
      </c>
      <c r="AB5296">
        <v>35</v>
      </c>
      <c r="AC5296">
        <v>2.4193999999999898</v>
      </c>
      <c r="AD5296">
        <v>-1.116863205542</v>
      </c>
      <c r="AE5296">
        <v>66.723969999999994</v>
      </c>
      <c r="AF5296">
        <v>-0.94318211081509495</v>
      </c>
      <c r="AG5296">
        <v>-1.116863205542</v>
      </c>
      <c r="AH5296">
        <v>66.742477900458397</v>
      </c>
      <c r="AI5296">
        <v>90.958597747572497</v>
      </c>
      <c r="AJ5296">
        <v>90.809630673553301</v>
      </c>
      <c r="AK5296">
        <v>66.758485095208897</v>
      </c>
      <c r="AL5296">
        <v>78.817922247217595</v>
      </c>
      <c r="AM5296">
        <v>91.299938979337995</v>
      </c>
      <c r="AN5296">
        <v>1.0000000166610199</v>
      </c>
    </row>
    <row r="5297" spans="1:40" x14ac:dyDescent="0.25">
      <c r="A5297" t="str">
        <f>"20190303170917471"</f>
        <v>20190303170917471</v>
      </c>
      <c r="B5297" t="str">
        <f>"1551604157459226"</f>
        <v>1551604157459226</v>
      </c>
      <c r="C5297" t="s">
        <v>40</v>
      </c>
      <c r="D5297">
        <v>5.201492</v>
      </c>
      <c r="E5297">
        <v>0.50797550000000002</v>
      </c>
      <c r="F5297" t="s">
        <v>43</v>
      </c>
      <c r="G5297">
        <v>-185.05350000000001</v>
      </c>
      <c r="H5297" s="1">
        <v>-3.2277890000000002E-6</v>
      </c>
      <c r="I5297">
        <v>45.111530000000002</v>
      </c>
      <c r="J5297">
        <v>-187.69380000000001</v>
      </c>
      <c r="K5297">
        <v>1.117</v>
      </c>
      <c r="L5297">
        <v>-21.160060000000001</v>
      </c>
      <c r="M5297">
        <v>5.4345980000000002E-2</v>
      </c>
      <c r="N5297">
        <v>-9.6576860000000004E-3</v>
      </c>
      <c r="O5297">
        <v>0.99847540000000001</v>
      </c>
      <c r="P5297">
        <v>2.6486889999999999E-2</v>
      </c>
      <c r="Q5297">
        <v>0.18455830000000001</v>
      </c>
      <c r="R5297">
        <v>0.98246460000000002</v>
      </c>
      <c r="S5297">
        <v>0.12226869999999999</v>
      </c>
      <c r="T5297">
        <v>-5.1253319999999998E-2</v>
      </c>
      <c r="U5297">
        <v>3.059723</v>
      </c>
      <c r="V5297">
        <v>-2.5300610000000001E-2</v>
      </c>
      <c r="W5297">
        <v>0.1942596</v>
      </c>
      <c r="X5297">
        <v>0.98062380000000005</v>
      </c>
      <c r="Y5297">
        <v>-1.4434509999999999E-2</v>
      </c>
      <c r="Z5297">
        <v>-7.0573379999999998E-3</v>
      </c>
      <c r="AA5297">
        <v>0.99987090000000001</v>
      </c>
      <c r="AB5297">
        <v>35</v>
      </c>
      <c r="AC5297">
        <v>2.6402999999999901</v>
      </c>
      <c r="AD5297">
        <v>-1.1170032277890001</v>
      </c>
      <c r="AE5297">
        <v>66.271590000000003</v>
      </c>
      <c r="AF5297">
        <v>-0.96509124778856503</v>
      </c>
      <c r="AG5297">
        <v>-1.1170032277890001</v>
      </c>
      <c r="AH5297">
        <v>66.298334013477799</v>
      </c>
      <c r="AI5297">
        <v>90.965133426721906</v>
      </c>
      <c r="AJ5297">
        <v>90.833984004892201</v>
      </c>
      <c r="AK5297">
        <v>66.314766004941305</v>
      </c>
      <c r="AL5297">
        <v>78.798524979005805</v>
      </c>
      <c r="AM5297">
        <v>91.477933378850494</v>
      </c>
      <c r="AN5297">
        <v>0.99999997509248495</v>
      </c>
    </row>
    <row r="5298" spans="1:40" x14ac:dyDescent="0.25">
      <c r="A5298" t="str">
        <f>"20190303170917516"</f>
        <v>20190303170917516</v>
      </c>
      <c r="B5298" t="str">
        <f>"1551604157509003"</f>
        <v>1551604157509003</v>
      </c>
      <c r="C5298" t="s">
        <v>40</v>
      </c>
      <c r="D5298">
        <v>5.0272360000000003</v>
      </c>
      <c r="E5298">
        <v>0.50758479999999995</v>
      </c>
      <c r="F5298" t="s">
        <v>43</v>
      </c>
      <c r="G5298">
        <v>-184.83619999999999</v>
      </c>
      <c r="H5298" s="1">
        <v>-5.0196850000000002E-6</v>
      </c>
      <c r="I5298">
        <v>49.198630000000001</v>
      </c>
      <c r="J5298">
        <v>-187.649</v>
      </c>
      <c r="K5298">
        <v>1.1173120000000001</v>
      </c>
      <c r="L5298">
        <v>-20.467099999999999</v>
      </c>
      <c r="M5298">
        <v>6.0600590000000003E-2</v>
      </c>
      <c r="N5298">
        <v>-9.6473129999999994E-3</v>
      </c>
      <c r="O5298">
        <v>0.99811550000000004</v>
      </c>
      <c r="P5298">
        <v>3.4858060000000003E-2</v>
      </c>
      <c r="Q5298">
        <v>0.18967719999999999</v>
      </c>
      <c r="R5298">
        <v>0.98122750000000003</v>
      </c>
      <c r="S5298">
        <v>0.1242523</v>
      </c>
      <c r="T5298">
        <v>-4.8569439999999998E-2</v>
      </c>
      <c r="U5298">
        <v>3.059326</v>
      </c>
      <c r="V5298">
        <v>-2.3125150000000001E-2</v>
      </c>
      <c r="W5298">
        <v>0.19932320000000001</v>
      </c>
      <c r="X5298">
        <v>0.97966089999999995</v>
      </c>
      <c r="Y5298">
        <v>-2.0045569999999999E-2</v>
      </c>
      <c r="Z5298">
        <v>-6.1870369999999899E-3</v>
      </c>
      <c r="AA5298">
        <v>0.99977990000000005</v>
      </c>
      <c r="AB5298">
        <v>35</v>
      </c>
      <c r="AC5298">
        <v>2.8128000000000002</v>
      </c>
      <c r="AD5298">
        <v>-1.117317019685</v>
      </c>
      <c r="AE5298">
        <v>69.665729999999996</v>
      </c>
      <c r="AF5298">
        <v>-1.41398772125957</v>
      </c>
      <c r="AG5298">
        <v>-1.117317019685</v>
      </c>
      <c r="AH5298">
        <v>69.6902474225394</v>
      </c>
      <c r="AI5298">
        <v>90.918333599769895</v>
      </c>
      <c r="AJ5298">
        <v>91.162349357072401</v>
      </c>
      <c r="AK5298">
        <v>69.713544913546798</v>
      </c>
      <c r="AL5298">
        <v>78.502615529601201</v>
      </c>
      <c r="AM5298">
        <v>91.352230636586498</v>
      </c>
      <c r="AN5298">
        <v>0.99999999480478596</v>
      </c>
    </row>
    <row r="5299" spans="1:40" x14ac:dyDescent="0.25">
      <c r="A5299" t="str">
        <f>"20190303170917540"</f>
        <v>20190303170917540</v>
      </c>
      <c r="B5299" t="str">
        <f>"1551604157529498"</f>
        <v>1551604157529498</v>
      </c>
      <c r="C5299" t="s">
        <v>40</v>
      </c>
      <c r="D5299">
        <v>5.1986230000000004</v>
      </c>
      <c r="E5299">
        <v>0.50746950000000002</v>
      </c>
      <c r="F5299" t="s">
        <v>43</v>
      </c>
      <c r="G5299">
        <v>-182.79320000000001</v>
      </c>
      <c r="H5299" s="1">
        <v>-3.6692130000000001E-6</v>
      </c>
      <c r="I5299">
        <v>84.795400000000001</v>
      </c>
      <c r="J5299">
        <v>-187.62260000000001</v>
      </c>
      <c r="K5299">
        <v>1.1174850000000001</v>
      </c>
      <c r="L5299">
        <v>-20.082149999999999</v>
      </c>
      <c r="M5299">
        <v>6.3761170000000006E-2</v>
      </c>
      <c r="N5299">
        <v>-9.6424619999999992E-3</v>
      </c>
      <c r="O5299">
        <v>0.99791859999999999</v>
      </c>
      <c r="P5299">
        <v>3.6975620000000001E-2</v>
      </c>
      <c r="Q5299">
        <v>0.18879969999999999</v>
      </c>
      <c r="R5299">
        <v>0.98131919999999995</v>
      </c>
      <c r="S5299">
        <v>0.141098</v>
      </c>
      <c r="T5299">
        <v>-3.2466290000000002E-2</v>
      </c>
      <c r="U5299">
        <v>3.0586549999999999</v>
      </c>
      <c r="V5299">
        <v>-2.4215199999999999E-2</v>
      </c>
      <c r="W5299">
        <v>0.19844000000000001</v>
      </c>
      <c r="X5299">
        <v>0.97981390000000002</v>
      </c>
      <c r="Y5299">
        <v>-1.7706719999999999E-2</v>
      </c>
      <c r="Z5299">
        <v>-9.4689630000000002E-4</v>
      </c>
      <c r="AA5299">
        <v>0.99984280000000003</v>
      </c>
      <c r="AB5299">
        <v>35</v>
      </c>
      <c r="AC5299">
        <v>4.8293999999999899</v>
      </c>
      <c r="AD5299">
        <v>-1.1174886692129999</v>
      </c>
      <c r="AE5299">
        <v>104.87755</v>
      </c>
      <c r="AF5299">
        <v>-1.86764245741569</v>
      </c>
      <c r="AG5299">
        <v>-1.1174886692129999</v>
      </c>
      <c r="AH5299">
        <v>104.960175173875</v>
      </c>
      <c r="AI5299">
        <v>90.609896397196195</v>
      </c>
      <c r="AJ5299">
        <v>91.019403204963893</v>
      </c>
      <c r="AK5299">
        <v>104.982737827726</v>
      </c>
      <c r="AL5299">
        <v>78.554251223530898</v>
      </c>
      <c r="AM5299">
        <v>91.415724342768101</v>
      </c>
      <c r="AN5299">
        <v>1.00000004407212</v>
      </c>
    </row>
    <row r="5300" spans="1:40" x14ac:dyDescent="0.25">
      <c r="A5300" t="str">
        <f>"20190303170917580"</f>
        <v>20190303170917580</v>
      </c>
      <c r="B5300" t="str">
        <f>"1551604157569514"</f>
        <v>1551604157569514</v>
      </c>
      <c r="C5300" t="s">
        <v>40</v>
      </c>
      <c r="D5300">
        <v>5.0187339999999896</v>
      </c>
      <c r="E5300">
        <v>0.50731440000000005</v>
      </c>
      <c r="F5300" t="s">
        <v>43</v>
      </c>
      <c r="G5300">
        <v>-182.79990000000001</v>
      </c>
      <c r="H5300" s="1">
        <v>-5.5022420000000003E-6</v>
      </c>
      <c r="I5300">
        <v>79.481489999999994</v>
      </c>
      <c r="J5300">
        <v>-187.577</v>
      </c>
      <c r="K5300">
        <v>1.117777</v>
      </c>
      <c r="L5300">
        <v>-19.448149999999998</v>
      </c>
      <c r="M5300">
        <v>6.8449019999999999E-2</v>
      </c>
      <c r="N5300">
        <v>-9.6285199999999998E-3</v>
      </c>
      <c r="O5300">
        <v>0.9976081</v>
      </c>
      <c r="P5300">
        <v>4.1698470000000001E-2</v>
      </c>
      <c r="Q5300">
        <v>0.19150039999999999</v>
      </c>
      <c r="R5300">
        <v>0.98060639999999999</v>
      </c>
      <c r="S5300">
        <v>0.14813229999999999</v>
      </c>
      <c r="T5300">
        <v>-3.4324170000000001E-2</v>
      </c>
      <c r="U5300">
        <v>3.0581360000000002</v>
      </c>
      <c r="V5300">
        <v>-2.4191509999999999E-2</v>
      </c>
      <c r="W5300">
        <v>0.2011037</v>
      </c>
      <c r="X5300">
        <v>0.97927120000000001</v>
      </c>
      <c r="Y5300">
        <v>-2.0101529999999999E-2</v>
      </c>
      <c r="Z5300">
        <v>-1.5635530000000001E-3</v>
      </c>
      <c r="AA5300">
        <v>0.99979669999999998</v>
      </c>
      <c r="AB5300">
        <v>35</v>
      </c>
      <c r="AC5300">
        <v>4.7770999999999901</v>
      </c>
      <c r="AD5300">
        <v>-1.117782502242</v>
      </c>
      <c r="AE5300">
        <v>98.929640000000006</v>
      </c>
      <c r="AF5300">
        <v>-2.0058008771878399</v>
      </c>
      <c r="AG5300">
        <v>-1.117782502242</v>
      </c>
      <c r="AH5300">
        <v>99.011982707443494</v>
      </c>
      <c r="AI5300">
        <v>90.646672872356405</v>
      </c>
      <c r="AJ5300">
        <v>91.1605484932563</v>
      </c>
      <c r="AK5300">
        <v>99.038605576514101</v>
      </c>
      <c r="AL5300">
        <v>78.3984922411328</v>
      </c>
      <c r="AM5300">
        <v>91.415123377767998</v>
      </c>
      <c r="AN5300">
        <v>1.0000000052296001</v>
      </c>
    </row>
    <row r="5301" spans="1:40" x14ac:dyDescent="0.25">
      <c r="A5301" t="str">
        <f>"20190303170917601"</f>
        <v>20190303170917601</v>
      </c>
      <c r="B5301" t="str">
        <f>"1551604157589034"</f>
        <v>1551604157589034</v>
      </c>
      <c r="C5301" t="s">
        <v>40</v>
      </c>
      <c r="D5301">
        <v>5.0772130000000004</v>
      </c>
      <c r="E5301">
        <v>0.50716399999999995</v>
      </c>
      <c r="F5301" t="s">
        <v>58</v>
      </c>
      <c r="G5301">
        <v>-179.95779999999999</v>
      </c>
      <c r="H5301">
        <v>1.4111830000000001E-3</v>
      </c>
      <c r="I5301">
        <v>123.81699999999999</v>
      </c>
      <c r="J5301">
        <v>-187.5515</v>
      </c>
      <c r="K5301">
        <v>1.117961</v>
      </c>
      <c r="L5301">
        <v>-19.1084</v>
      </c>
      <c r="M5301">
        <v>7.0676630000000004E-2</v>
      </c>
      <c r="N5301">
        <v>-9.6171680000000006E-3</v>
      </c>
      <c r="O5301">
        <v>0.99745289999999998</v>
      </c>
      <c r="P5301">
        <v>4.7001639999999997E-2</v>
      </c>
      <c r="Q5301">
        <v>0.1949507</v>
      </c>
      <c r="R5301">
        <v>0.97968619999999995</v>
      </c>
      <c r="S5301">
        <v>0.16258239999999999</v>
      </c>
      <c r="T5301">
        <v>-2.382159E-2</v>
      </c>
      <c r="U5301">
        <v>3.0570680000000001</v>
      </c>
      <c r="V5301">
        <v>-2.109105E-2</v>
      </c>
      <c r="W5301">
        <v>0.2045071</v>
      </c>
      <c r="X5301">
        <v>0.9786378</v>
      </c>
      <c r="Y5301">
        <v>-1.7604189999999999E-2</v>
      </c>
      <c r="Z5301">
        <v>1.842401E-3</v>
      </c>
      <c r="AA5301">
        <v>0.99984340000000005</v>
      </c>
      <c r="AB5301">
        <v>35</v>
      </c>
      <c r="AC5301">
        <v>7.5937000000000099</v>
      </c>
      <c r="AD5301">
        <v>-1.1165498170000001</v>
      </c>
      <c r="AE5301">
        <v>142.9254</v>
      </c>
      <c r="AF5301">
        <v>-2.52709065552455</v>
      </c>
      <c r="AG5301">
        <v>-1.1165498170000001</v>
      </c>
      <c r="AH5301">
        <v>143.09596401811001</v>
      </c>
      <c r="AI5301">
        <v>90.446988992400904</v>
      </c>
      <c r="AJ5301">
        <v>91.011744672904399</v>
      </c>
      <c r="AK5301">
        <v>143.12263199419999</v>
      </c>
      <c r="AL5301">
        <v>78.199352901001603</v>
      </c>
      <c r="AM5301">
        <v>91.234615209020802</v>
      </c>
      <c r="AN5301">
        <v>0.99999996496467503</v>
      </c>
    </row>
    <row r="5302" spans="1:40" x14ac:dyDescent="0.25">
      <c r="A5302" t="str">
        <f>"20190303170917627"</f>
        <v>20190303170917627</v>
      </c>
      <c r="B5302" t="str">
        <f>"1551604157619290"</f>
        <v>1551604157619290</v>
      </c>
      <c r="C5302" t="s">
        <v>40</v>
      </c>
      <c r="D5302">
        <v>5.0158370000000003</v>
      </c>
      <c r="E5302">
        <v>0.50698569999999998</v>
      </c>
      <c r="F5302" t="s">
        <v>46</v>
      </c>
      <c r="G5302">
        <v>-171.452</v>
      </c>
      <c r="H5302">
        <v>-0.05</v>
      </c>
      <c r="I5302">
        <v>262.01179999999999</v>
      </c>
      <c r="J5302">
        <v>-187.52080000000001</v>
      </c>
      <c r="K5302">
        <v>1.1181760000000001</v>
      </c>
      <c r="L5302">
        <v>-18.7074</v>
      </c>
      <c r="M5302">
        <v>7.3076660000000002E-2</v>
      </c>
      <c r="N5302">
        <v>-9.6041210000000002E-3</v>
      </c>
      <c r="O5302">
        <v>0.9972801</v>
      </c>
      <c r="P5302">
        <v>5.1160520000000001E-2</v>
      </c>
      <c r="Q5302">
        <v>0.19476199999999999</v>
      </c>
      <c r="R5302">
        <v>0.97951540000000004</v>
      </c>
      <c r="S5302">
        <v>0.17503360000000001</v>
      </c>
      <c r="T5302">
        <v>-1.2698050000000001E-2</v>
      </c>
      <c r="U5302">
        <v>3.0563349999999998</v>
      </c>
      <c r="V5302">
        <v>-1.939519E-2</v>
      </c>
      <c r="W5302">
        <v>0.20428540000000001</v>
      </c>
      <c r="X5302">
        <v>0.97871920000000001</v>
      </c>
      <c r="Y5302">
        <v>-1.5937750000000001E-2</v>
      </c>
      <c r="Z5302">
        <v>5.4498150000000002E-3</v>
      </c>
      <c r="AA5302">
        <v>0.99985809999999997</v>
      </c>
      <c r="AB5302">
        <v>35</v>
      </c>
      <c r="AC5302">
        <v>16.0688</v>
      </c>
      <c r="AD5302">
        <v>-1.1681760000000001</v>
      </c>
      <c r="AE5302">
        <v>280.7192</v>
      </c>
      <c r="AF5302">
        <v>-4.4890565425594096</v>
      </c>
      <c r="AG5302">
        <v>-1.1681760000000001</v>
      </c>
      <c r="AH5302">
        <v>281.13803505353798</v>
      </c>
      <c r="AI5302">
        <v>90.238041923729</v>
      </c>
      <c r="AJ5302">
        <v>90.914789556398006</v>
      </c>
      <c r="AK5302">
        <v>281.176298819039</v>
      </c>
      <c r="AL5302">
        <v>78.212329573713603</v>
      </c>
      <c r="AM5302">
        <v>91.135276692420803</v>
      </c>
      <c r="AN5302">
        <v>0.999999985248468</v>
      </c>
    </row>
    <row r="5303" spans="1:40" x14ac:dyDescent="0.25">
      <c r="A5303" t="str">
        <f>"20190303170917669"</f>
        <v>20190303170917669</v>
      </c>
      <c r="B5303" t="str">
        <f>"1551604157659306"</f>
        <v>1551604157659306</v>
      </c>
      <c r="C5303" t="s">
        <v>40</v>
      </c>
      <c r="D5303">
        <v>5.0681880000000001</v>
      </c>
      <c r="E5303">
        <v>0.50667359999999995</v>
      </c>
      <c r="F5303" t="s">
        <v>46</v>
      </c>
      <c r="G5303">
        <v>-170.63329999999999</v>
      </c>
      <c r="H5303">
        <v>-0.05</v>
      </c>
      <c r="I5303">
        <v>258.70929999999998</v>
      </c>
      <c r="J5303">
        <v>-187.46780000000001</v>
      </c>
      <c r="K5303">
        <v>1.118485</v>
      </c>
      <c r="L5303">
        <v>-18.037749999999999</v>
      </c>
      <c r="M5303">
        <v>7.6546690000000001E-2</v>
      </c>
      <c r="N5303">
        <v>-9.5715769999999995E-3</v>
      </c>
      <c r="O5303">
        <v>0.99702009999999996</v>
      </c>
      <c r="P5303">
        <v>5.4446439999999999E-2</v>
      </c>
      <c r="Q5303">
        <v>0.1908183</v>
      </c>
      <c r="R5303">
        <v>0.98011429999999999</v>
      </c>
      <c r="S5303">
        <v>0.18600459999999999</v>
      </c>
      <c r="T5303">
        <v>-1.286674E-2</v>
      </c>
      <c r="U5303">
        <v>3.0555729999999999</v>
      </c>
      <c r="V5303">
        <v>-1.9758069999999999E-2</v>
      </c>
      <c r="W5303">
        <v>0.20030249999999999</v>
      </c>
      <c r="X5303">
        <v>0.97953489999999999</v>
      </c>
      <c r="Y5303">
        <v>-1.5825450000000001E-2</v>
      </c>
      <c r="Z5303">
        <v>5.3611860000000004E-3</v>
      </c>
      <c r="AA5303">
        <v>0.99986039999999998</v>
      </c>
      <c r="AB5303">
        <v>35</v>
      </c>
      <c r="AC5303">
        <v>16.834499999999998</v>
      </c>
      <c r="AD5303">
        <v>-1.168485</v>
      </c>
      <c r="AE5303">
        <v>276.74705</v>
      </c>
      <c r="AF5303">
        <v>-4.3998589793427803</v>
      </c>
      <c r="AG5303">
        <v>-1.168485</v>
      </c>
      <c r="AH5303">
        <v>277.21875959839701</v>
      </c>
      <c r="AI5303">
        <v>90.2414715077187</v>
      </c>
      <c r="AJ5303">
        <v>90.909289782171101</v>
      </c>
      <c r="AK5303">
        <v>277.25613571119999</v>
      </c>
      <c r="AL5303">
        <v>78.4453515838904</v>
      </c>
      <c r="AM5303">
        <v>91.155548954034899</v>
      </c>
      <c r="AN5303">
        <v>1.0000000465771901</v>
      </c>
    </row>
    <row r="5304" spans="1:40" x14ac:dyDescent="0.25">
      <c r="A5304" t="str">
        <f>"20190303170917690"</f>
        <v>20190303170917690</v>
      </c>
      <c r="B5304" t="str">
        <f>"1551604157678827"</f>
        <v>1551604157678827</v>
      </c>
      <c r="C5304" t="s">
        <v>40</v>
      </c>
      <c r="D5304">
        <v>5.0134460000000001</v>
      </c>
      <c r="E5304">
        <v>0.50655969999999995</v>
      </c>
      <c r="F5304" t="s">
        <v>43</v>
      </c>
      <c r="G5304">
        <v>-179.33779999999999</v>
      </c>
      <c r="H5304">
        <v>7.998653E-2</v>
      </c>
      <c r="I5304">
        <v>108.5097</v>
      </c>
      <c r="J5304">
        <v>-187.43979999999999</v>
      </c>
      <c r="K5304">
        <v>1.1186179999999999</v>
      </c>
      <c r="L5304">
        <v>-17.693210000000001</v>
      </c>
      <c r="M5304">
        <v>7.8146060000000003E-2</v>
      </c>
      <c r="N5304">
        <v>-9.5476959999999996E-3</v>
      </c>
      <c r="O5304">
        <v>0.99689620000000001</v>
      </c>
      <c r="P5304">
        <v>5.7158430000000003E-2</v>
      </c>
      <c r="Q5304">
        <v>0.19131529999999999</v>
      </c>
      <c r="R5304">
        <v>0.97986289999999998</v>
      </c>
      <c r="S5304">
        <v>0.1962585</v>
      </c>
      <c r="T5304">
        <v>-2.506924E-2</v>
      </c>
      <c r="U5304">
        <v>3.05484</v>
      </c>
      <c r="V5304">
        <v>-1.8669359999999999E-2</v>
      </c>
      <c r="W5304">
        <v>0.200764</v>
      </c>
      <c r="X5304">
        <v>0.97946169999999999</v>
      </c>
      <c r="Y5304">
        <v>-1.4070859999999999E-2</v>
      </c>
      <c r="Z5304">
        <v>1.3641059999999999E-3</v>
      </c>
      <c r="AA5304">
        <v>0.99990000000000001</v>
      </c>
      <c r="AB5304">
        <v>36</v>
      </c>
      <c r="AC5304">
        <v>8.1020000000000003</v>
      </c>
      <c r="AD5304">
        <v>-1.0386314699999999</v>
      </c>
      <c r="AE5304">
        <v>126.20291</v>
      </c>
      <c r="AF5304">
        <v>-1.7853681212918899</v>
      </c>
      <c r="AG5304">
        <v>-1.0386314699999999</v>
      </c>
      <c r="AH5304">
        <v>126.44157569705099</v>
      </c>
      <c r="AI5304">
        <v>90.470588331879497</v>
      </c>
      <c r="AJ5304">
        <v>90.8089685699087</v>
      </c>
      <c r="AK5304">
        <v>126.458445188181</v>
      </c>
      <c r="AL5304">
        <v>78.418360489047998</v>
      </c>
      <c r="AM5304">
        <v>91.091973294313604</v>
      </c>
      <c r="AN5304">
        <v>0.999999975232849</v>
      </c>
    </row>
    <row r="5305" spans="1:40" x14ac:dyDescent="0.25">
      <c r="A5305" t="str">
        <f>"20190303170917712"</f>
        <v>20190303170917712</v>
      </c>
      <c r="B5305" t="str">
        <f>"1551604157700299"</f>
        <v>1551604157700299</v>
      </c>
      <c r="C5305" t="s">
        <v>40</v>
      </c>
      <c r="D5305">
        <v>4.8343420000000004</v>
      </c>
      <c r="E5305">
        <v>0.50643990000000005</v>
      </c>
      <c r="F5305" t="s">
        <v>43</v>
      </c>
      <c r="G5305">
        <v>-178.59639999999999</v>
      </c>
      <c r="H5305">
        <v>7.9985769999999998E-2</v>
      </c>
      <c r="I5305">
        <v>115.81059999999999</v>
      </c>
      <c r="J5305">
        <v>-187.40969999999999</v>
      </c>
      <c r="K5305">
        <v>1.1187199999999999</v>
      </c>
      <c r="L5305">
        <v>-17.329350000000002</v>
      </c>
      <c r="M5305">
        <v>7.974974E-2</v>
      </c>
      <c r="N5305">
        <v>-9.5184220000000003E-3</v>
      </c>
      <c r="O5305">
        <v>0.99676949999999997</v>
      </c>
      <c r="P5305">
        <v>5.8590450000000002E-2</v>
      </c>
      <c r="Q5305">
        <v>0.19291059999999999</v>
      </c>
      <c r="R5305">
        <v>0.97946549999999999</v>
      </c>
      <c r="S5305">
        <v>0.2023315</v>
      </c>
      <c r="T5305">
        <v>-2.3763179999999998E-2</v>
      </c>
      <c r="U5305">
        <v>3.0544739999999999</v>
      </c>
      <c r="V5305">
        <v>-1.8831319999999999E-2</v>
      </c>
      <c r="W5305">
        <v>0.20232349999999999</v>
      </c>
      <c r="X5305">
        <v>0.9791377</v>
      </c>
      <c r="Y5305">
        <v>-1.3692279999999999E-2</v>
      </c>
      <c r="Z5305">
        <v>1.759781E-3</v>
      </c>
      <c r="AA5305">
        <v>0.99990469999999998</v>
      </c>
      <c r="AB5305">
        <v>36</v>
      </c>
      <c r="AC5305">
        <v>8.8132999999999893</v>
      </c>
      <c r="AD5305">
        <v>-1.03873423</v>
      </c>
      <c r="AE5305">
        <v>133.13995</v>
      </c>
      <c r="AF5305">
        <v>-1.8330196658087801</v>
      </c>
      <c r="AG5305">
        <v>-1.03873423</v>
      </c>
      <c r="AH5305">
        <v>133.410654898123</v>
      </c>
      <c r="AI5305">
        <v>90.446053341179905</v>
      </c>
      <c r="AJ5305">
        <v>90.787176126655893</v>
      </c>
      <c r="AK5305">
        <v>133.427290200475</v>
      </c>
      <c r="AL5305">
        <v>78.327136337350794</v>
      </c>
      <c r="AM5305">
        <v>91.101808413848403</v>
      </c>
      <c r="AN5305">
        <v>1.00000002641324</v>
      </c>
    </row>
    <row r="5306" spans="1:40" x14ac:dyDescent="0.25">
      <c r="A5306" t="str">
        <f>"20190303170917737"</f>
        <v>20190303170917737</v>
      </c>
      <c r="B5306" t="str">
        <f>"1551604157729579"</f>
        <v>1551604157729579</v>
      </c>
      <c r="C5306" t="s">
        <v>40</v>
      </c>
      <c r="D5306">
        <v>5.1297490000000003</v>
      </c>
      <c r="E5306">
        <v>0.50626190000000004</v>
      </c>
      <c r="F5306" t="s">
        <v>58</v>
      </c>
      <c r="G5306">
        <v>-176.13890000000001</v>
      </c>
      <c r="H5306">
        <v>5.1397310000000002E-2</v>
      </c>
      <c r="I5306">
        <v>149.61850000000001</v>
      </c>
      <c r="J5306">
        <v>-187.37690000000001</v>
      </c>
      <c r="K5306">
        <v>1.1187929999999999</v>
      </c>
      <c r="L5306">
        <v>-16.939729999999901</v>
      </c>
      <c r="M5306">
        <v>8.140878E-2</v>
      </c>
      <c r="N5306">
        <v>-9.485973E-3</v>
      </c>
      <c r="O5306">
        <v>0.99663570000000001</v>
      </c>
      <c r="P5306">
        <v>5.8164899999999999E-2</v>
      </c>
      <c r="Q5306">
        <v>0.19347549999999999</v>
      </c>
      <c r="R5306">
        <v>0.97937940000000001</v>
      </c>
      <c r="S5306">
        <v>0.20620730000000001</v>
      </c>
      <c r="T5306">
        <v>-1.9527320000000001E-2</v>
      </c>
      <c r="U5306">
        <v>3.0544129999999998</v>
      </c>
      <c r="V5306">
        <v>-2.0917310000000001E-2</v>
      </c>
      <c r="W5306">
        <v>0.20286009999999999</v>
      </c>
      <c r="X5306">
        <v>0.97898430000000003</v>
      </c>
      <c r="Y5306">
        <v>-1.4092469999999999E-2</v>
      </c>
      <c r="Z5306">
        <v>3.106354E-3</v>
      </c>
      <c r="AA5306">
        <v>0.99989589999999995</v>
      </c>
      <c r="AB5306">
        <v>36</v>
      </c>
      <c r="AC5306">
        <v>11.238</v>
      </c>
      <c r="AD5306">
        <v>-1.0673956899999999</v>
      </c>
      <c r="AE5306">
        <v>166.55823000000001</v>
      </c>
      <c r="AF5306">
        <v>-2.3591198977734198</v>
      </c>
      <c r="AG5306">
        <v>-1.0673956899999999</v>
      </c>
      <c r="AH5306">
        <v>166.913428610924</v>
      </c>
      <c r="AI5306">
        <v>90.366359541086695</v>
      </c>
      <c r="AJ5306">
        <v>90.809752787208694</v>
      </c>
      <c r="AK5306">
        <v>166.933512006743</v>
      </c>
      <c r="AL5306">
        <v>78.295740140657301</v>
      </c>
      <c r="AM5306">
        <v>91.224014783297804</v>
      </c>
      <c r="AN5306">
        <v>1.0000000068380599</v>
      </c>
    </row>
    <row r="5307" spans="1:40" x14ac:dyDescent="0.25">
      <c r="A5307" t="str">
        <f>"20190303170917757"</f>
        <v>20190303170917757</v>
      </c>
      <c r="B5307" t="str">
        <f>"1551604157749099"</f>
        <v>1551604157749099</v>
      </c>
      <c r="C5307" t="s">
        <v>40</v>
      </c>
      <c r="D5307">
        <v>5.0101449999999996</v>
      </c>
      <c r="E5307">
        <v>0.50613609999999998</v>
      </c>
      <c r="F5307" t="s">
        <v>58</v>
      </c>
      <c r="G5307">
        <v>-175.77350000000001</v>
      </c>
      <c r="H5307">
        <v>7.9984680000000002E-2</v>
      </c>
      <c r="I5307">
        <v>157.0857</v>
      </c>
      <c r="J5307">
        <v>-187.34899999999999</v>
      </c>
      <c r="K5307">
        <v>1.118833</v>
      </c>
      <c r="L5307">
        <v>-16.613620000000001</v>
      </c>
      <c r="M5307">
        <v>8.2773570000000005E-2</v>
      </c>
      <c r="N5307">
        <v>-9.4585650000000004E-3</v>
      </c>
      <c r="O5307">
        <v>0.99652350000000001</v>
      </c>
      <c r="P5307">
        <v>5.9077890000000001E-2</v>
      </c>
      <c r="Q5307">
        <v>0.19301950000000001</v>
      </c>
      <c r="R5307">
        <v>0.97941480000000003</v>
      </c>
      <c r="S5307">
        <v>0.2036743</v>
      </c>
      <c r="T5307">
        <v>-1.8234130000000001E-2</v>
      </c>
      <c r="U5307">
        <v>3.0546570000000002</v>
      </c>
      <c r="V5307">
        <v>-2.1378359999999999E-2</v>
      </c>
      <c r="W5307">
        <v>0.20237769999999999</v>
      </c>
      <c r="X5307">
        <v>0.97907420000000001</v>
      </c>
      <c r="Y5307">
        <v>-1.6292480000000002E-2</v>
      </c>
      <c r="Z5307">
        <v>3.5010789999999998E-3</v>
      </c>
      <c r="AA5307">
        <v>0.99986109999999995</v>
      </c>
      <c r="AB5307">
        <v>36</v>
      </c>
      <c r="AC5307">
        <v>11.5755</v>
      </c>
      <c r="AD5307">
        <v>-1.03884832</v>
      </c>
      <c r="AE5307">
        <v>173.69932</v>
      </c>
      <c r="AF5307">
        <v>-2.84248096267731</v>
      </c>
      <c r="AG5307">
        <v>-1.03884832</v>
      </c>
      <c r="AH5307">
        <v>174.05518657688501</v>
      </c>
      <c r="AI5307">
        <v>90.341920188596902</v>
      </c>
      <c r="AJ5307">
        <v>90.935609502028299</v>
      </c>
      <c r="AK5307">
        <v>174.081494933176</v>
      </c>
      <c r="AL5307">
        <v>78.323965331306695</v>
      </c>
      <c r="AM5307">
        <v>91.250870658360697</v>
      </c>
      <c r="AN5307">
        <v>1.0000000284196</v>
      </c>
    </row>
    <row r="5308" spans="1:40" x14ac:dyDescent="0.25">
      <c r="A5308" t="str">
        <f>"20190303170917781"</f>
        <v>20190303170917781</v>
      </c>
      <c r="B5308" t="str">
        <f>"1551604157769595"</f>
        <v>1551604157769595</v>
      </c>
      <c r="C5308" t="s">
        <v>40</v>
      </c>
      <c r="D5308">
        <v>5.1251600000000002</v>
      </c>
      <c r="E5308">
        <v>0.50602539999999996</v>
      </c>
      <c r="F5308" t="s">
        <v>58</v>
      </c>
      <c r="G5308">
        <v>-176.20869999999999</v>
      </c>
      <c r="H5308">
        <v>2.9756970000000001E-2</v>
      </c>
      <c r="I5308">
        <v>149.61920000000001</v>
      </c>
      <c r="J5308">
        <v>-187.31700000000001</v>
      </c>
      <c r="K5308">
        <v>1.1188640000000001</v>
      </c>
      <c r="L5308">
        <v>-16.245909999999999</v>
      </c>
      <c r="M5308">
        <v>8.4303050000000004E-2</v>
      </c>
      <c r="N5308">
        <v>-9.4259459999999993E-3</v>
      </c>
      <c r="O5308">
        <v>0.99639560000000005</v>
      </c>
      <c r="P5308">
        <v>5.9945730000000003E-2</v>
      </c>
      <c r="Q5308">
        <v>0.193328</v>
      </c>
      <c r="R5308">
        <v>0.97930119999999998</v>
      </c>
      <c r="S5308">
        <v>0.2047119</v>
      </c>
      <c r="T5308">
        <v>-2.0012619999999998E-2</v>
      </c>
      <c r="U5308">
        <v>3.0546570000000002</v>
      </c>
      <c r="V5308">
        <v>-2.2028809999999999E-2</v>
      </c>
      <c r="W5308">
        <v>0.20265369999999999</v>
      </c>
      <c r="X5308">
        <v>0.9790027</v>
      </c>
      <c r="Y5308">
        <v>-1.7488790000000001E-2</v>
      </c>
      <c r="Z5308">
        <v>2.8908089999999998E-3</v>
      </c>
      <c r="AA5308">
        <v>0.99984289999999998</v>
      </c>
      <c r="AB5308">
        <v>36</v>
      </c>
      <c r="AC5308">
        <v>11.1083</v>
      </c>
      <c r="AD5308">
        <v>-1.0891070300000001</v>
      </c>
      <c r="AE5308">
        <v>165.86510999999999</v>
      </c>
      <c r="AF5308">
        <v>-2.9146777381762599</v>
      </c>
      <c r="AG5308">
        <v>-1.0891070300000001</v>
      </c>
      <c r="AH5308">
        <v>166.20397571168101</v>
      </c>
      <c r="AI5308">
        <v>90.375386630259598</v>
      </c>
      <c r="AJ5308">
        <v>91.004678835246096</v>
      </c>
      <c r="AK5308">
        <v>166.23309851774201</v>
      </c>
      <c r="AL5308">
        <v>78.307817209820101</v>
      </c>
      <c r="AM5308">
        <v>91.289010635095707</v>
      </c>
      <c r="AN5308">
        <v>1.0000000386004899</v>
      </c>
    </row>
    <row r="5309" spans="1:40" x14ac:dyDescent="0.25">
      <c r="A5309" t="str">
        <f>"20190303170917805"</f>
        <v>20190303170917805</v>
      </c>
      <c r="B5309" t="str">
        <f>"1551604157798874"</f>
        <v>1551604157798874</v>
      </c>
      <c r="C5309" t="s">
        <v>40</v>
      </c>
      <c r="D5309">
        <v>5.1303549999999998</v>
      </c>
      <c r="E5309">
        <v>0.50584569999999995</v>
      </c>
      <c r="F5309" t="s">
        <v>58</v>
      </c>
      <c r="G5309">
        <v>-176.09719999999999</v>
      </c>
      <c r="H5309">
        <v>5.8098909999999997E-2</v>
      </c>
      <c r="I5309">
        <v>149.6251</v>
      </c>
      <c r="J5309">
        <v>-187.28190000000001</v>
      </c>
      <c r="K5309">
        <v>1.1188899999999999</v>
      </c>
      <c r="L5309">
        <v>-15.850770000000001</v>
      </c>
      <c r="M5309">
        <v>8.5945729999999998E-2</v>
      </c>
      <c r="N5309">
        <v>-9.391379E-3</v>
      </c>
      <c r="O5309">
        <v>0.99625560000000002</v>
      </c>
      <c r="P5309">
        <v>6.0517120000000001E-2</v>
      </c>
      <c r="Q5309">
        <v>0.19285340000000001</v>
      </c>
      <c r="R5309">
        <v>0.9793596</v>
      </c>
      <c r="S5309">
        <v>0.20661930000000001</v>
      </c>
      <c r="T5309">
        <v>-1.953471E-2</v>
      </c>
      <c r="U5309">
        <v>3.0546259999999998</v>
      </c>
      <c r="V5309">
        <v>-2.3101219999999999E-2</v>
      </c>
      <c r="W5309">
        <v>0.20214789999999999</v>
      </c>
      <c r="X5309">
        <v>0.97908249999999997</v>
      </c>
      <c r="Y5309">
        <v>-1.851504E-2</v>
      </c>
      <c r="Z5309">
        <v>3.0124660000000001E-3</v>
      </c>
      <c r="AA5309">
        <v>0.99982400000000005</v>
      </c>
      <c r="AB5309">
        <v>36</v>
      </c>
      <c r="AC5309">
        <v>11.184699999999999</v>
      </c>
      <c r="AD5309">
        <v>-1.0607910899999999</v>
      </c>
      <c r="AE5309">
        <v>165.47586999999999</v>
      </c>
      <c r="AF5309">
        <v>-3.07913413453119</v>
      </c>
      <c r="AG5309">
        <v>-1.0607910899999999</v>
      </c>
      <c r="AH5309">
        <v>165.81806168794401</v>
      </c>
      <c r="AI5309">
        <v>90.366471220893104</v>
      </c>
      <c r="AJ5309">
        <v>91.063823294856604</v>
      </c>
      <c r="AK5309">
        <v>165.85004047844501</v>
      </c>
      <c r="AL5309">
        <v>78.337409335984503</v>
      </c>
      <c r="AM5309">
        <v>91.351629579175693</v>
      </c>
      <c r="AN5309">
        <v>0.999999990823074</v>
      </c>
    </row>
    <row r="5310" spans="1:40" x14ac:dyDescent="0.25">
      <c r="A5310" t="str">
        <f>"20190303170917832"</f>
        <v>20190303170917832</v>
      </c>
      <c r="B5310" t="str">
        <f>"1551604157819370"</f>
        <v>1551604157819370</v>
      </c>
      <c r="C5310" t="s">
        <v>40</v>
      </c>
      <c r="D5310">
        <v>5.1284900000000002</v>
      </c>
      <c r="E5310">
        <v>0.50571379999999999</v>
      </c>
      <c r="F5310" t="s">
        <v>41</v>
      </c>
      <c r="G5310">
        <v>-178.0574</v>
      </c>
      <c r="H5310">
        <v>0.13824210000000001</v>
      </c>
      <c r="I5310">
        <v>119.4286</v>
      </c>
      <c r="J5310">
        <v>-187.2432</v>
      </c>
      <c r="K5310">
        <v>1.1189169999999999</v>
      </c>
      <c r="L5310">
        <v>-15.423</v>
      </c>
      <c r="M5310">
        <v>8.7718039999999997E-2</v>
      </c>
      <c r="N5310">
        <v>-9.3529730000000005E-3</v>
      </c>
      <c r="O5310">
        <v>0.99610140000000003</v>
      </c>
      <c r="P5310">
        <v>6.214691E-2</v>
      </c>
      <c r="Q5310">
        <v>0.19089729999999999</v>
      </c>
      <c r="R5310">
        <v>0.97964070000000003</v>
      </c>
      <c r="S5310">
        <v>0.2082977</v>
      </c>
      <c r="T5310">
        <v>-2.2143840000000001E-2</v>
      </c>
      <c r="U5310">
        <v>3.0547179999999998</v>
      </c>
      <c r="V5310">
        <v>-2.32734E-2</v>
      </c>
      <c r="W5310">
        <v>0.20015669999999999</v>
      </c>
      <c r="X5310">
        <v>0.97948740000000001</v>
      </c>
      <c r="Y5310">
        <v>-1.974865E-2</v>
      </c>
      <c r="Z5310">
        <v>2.1271580000000001E-3</v>
      </c>
      <c r="AA5310">
        <v>0.99980270000000004</v>
      </c>
      <c r="AB5310">
        <v>36</v>
      </c>
      <c r="AC5310">
        <v>9.1858000000000004</v>
      </c>
      <c r="AD5310">
        <v>-0.98067490000000002</v>
      </c>
      <c r="AE5310">
        <v>134.85159999999999</v>
      </c>
      <c r="AF5310">
        <v>-2.6789060543782401</v>
      </c>
      <c r="AG5310">
        <v>-0.98067490000000002</v>
      </c>
      <c r="AH5310">
        <v>135.13042999969099</v>
      </c>
      <c r="AI5310">
        <v>90.415720639795296</v>
      </c>
      <c r="AJ5310">
        <v>91.135716858384598</v>
      </c>
      <c r="AK5310">
        <v>135.16053925909401</v>
      </c>
      <c r="AL5310">
        <v>78.453876977115101</v>
      </c>
      <c r="AM5310">
        <v>91.361137195047604</v>
      </c>
      <c r="AN5310">
        <v>0.99999996123060397</v>
      </c>
    </row>
    <row r="5311" spans="1:40" x14ac:dyDescent="0.25">
      <c r="A5311" t="str">
        <f>"20190303170917870"</f>
        <v>20190303170917870</v>
      </c>
      <c r="B5311" t="str">
        <f>"1551604157859386"</f>
        <v>1551604157859386</v>
      </c>
      <c r="C5311" t="s">
        <v>40</v>
      </c>
      <c r="D5311">
        <v>5.1179600000000001</v>
      </c>
      <c r="E5311">
        <v>0.50545050000000002</v>
      </c>
      <c r="F5311" t="s">
        <v>43</v>
      </c>
      <c r="G5311">
        <v>-179.5488</v>
      </c>
      <c r="H5311">
        <v>7.9985399999999998E-2</v>
      </c>
      <c r="I5311">
        <v>94.726370000000003</v>
      </c>
      <c r="J5311">
        <v>-187.1876</v>
      </c>
      <c r="K5311">
        <v>1.1189359999999999</v>
      </c>
      <c r="L5311">
        <v>-14.820589999999999</v>
      </c>
      <c r="M5311">
        <v>9.0176129999999993E-2</v>
      </c>
      <c r="N5311">
        <v>-9.2989969999999998E-3</v>
      </c>
      <c r="O5311">
        <v>0.99588239999999995</v>
      </c>
      <c r="P5311">
        <v>6.7494020000000002E-2</v>
      </c>
      <c r="Q5311">
        <v>0.18817790000000001</v>
      </c>
      <c r="R5311">
        <v>0.97981309999999999</v>
      </c>
      <c r="S5311">
        <v>0.21336359999999999</v>
      </c>
      <c r="T5311">
        <v>-2.8809310000000001E-2</v>
      </c>
      <c r="U5311">
        <v>3.0544129999999998</v>
      </c>
      <c r="V5311">
        <v>-2.0422010000000001E-2</v>
      </c>
      <c r="W5311">
        <v>0.1973762</v>
      </c>
      <c r="X5311">
        <v>0.98011510000000002</v>
      </c>
      <c r="Y5311">
        <v>-2.0558529999999998E-2</v>
      </c>
      <c r="Z5311" s="1">
        <v>-9.1899300000000003E-5</v>
      </c>
      <c r="AA5311">
        <v>0.99978860000000003</v>
      </c>
      <c r="AB5311">
        <v>36</v>
      </c>
      <c r="AC5311">
        <v>7.6387999999999998</v>
      </c>
      <c r="AD5311">
        <v>-1.0389505999999999</v>
      </c>
      <c r="AE5311">
        <v>109.546959999999</v>
      </c>
      <c r="AF5311">
        <v>-2.2710693874821599</v>
      </c>
      <c r="AG5311">
        <v>-1.0389505999999999</v>
      </c>
      <c r="AH5311">
        <v>109.77964933287601</v>
      </c>
      <c r="AI5311">
        <v>90.542112995094897</v>
      </c>
      <c r="AJ5311">
        <v>91.185138897857001</v>
      </c>
      <c r="AK5311">
        <v>109.808053357489</v>
      </c>
      <c r="AL5311">
        <v>78.616432058180493</v>
      </c>
      <c r="AM5311">
        <v>91.193661533072699</v>
      </c>
      <c r="AN5311">
        <v>1.0000000160334399</v>
      </c>
    </row>
    <row r="5312" spans="1:40" x14ac:dyDescent="0.25">
      <c r="A5312" t="str">
        <f>"20190303170917915"</f>
        <v>20190303170917915</v>
      </c>
      <c r="B5312" t="str">
        <f>"1551604157909519"</f>
        <v>1551604157909519</v>
      </c>
      <c r="C5312" t="s">
        <v>40</v>
      </c>
      <c r="D5312">
        <v>5.1844590000000004</v>
      </c>
      <c r="E5312">
        <v>0.50138570000000005</v>
      </c>
      <c r="F5312" t="s">
        <v>43</v>
      </c>
      <c r="G5312">
        <v>-180.5968</v>
      </c>
      <c r="H5312" s="1">
        <v>-4.057604E-6</v>
      </c>
      <c r="I5312">
        <v>74.219440000000006</v>
      </c>
      <c r="J5312">
        <v>-187.11699999999999</v>
      </c>
      <c r="K5312">
        <v>1.1189770000000001</v>
      </c>
      <c r="L5312">
        <v>-14.077640000000001</v>
      </c>
      <c r="M5312">
        <v>9.3090829999999999E-2</v>
      </c>
      <c r="N5312">
        <v>-9.2442170000000008E-3</v>
      </c>
      <c r="O5312">
        <v>0.99561469999999996</v>
      </c>
      <c r="P5312">
        <v>6.9382349999999995E-2</v>
      </c>
      <c r="Q5312">
        <v>0.1838591</v>
      </c>
      <c r="R5312">
        <v>0.98050090000000001</v>
      </c>
      <c r="S5312">
        <v>0.22602839999999999</v>
      </c>
      <c r="T5312">
        <v>-3.8373949999999997E-2</v>
      </c>
      <c r="U5312">
        <v>3.0536189999999999</v>
      </c>
      <c r="V5312">
        <v>-2.1528120000000001E-2</v>
      </c>
      <c r="W5312">
        <v>0.1930114</v>
      </c>
      <c r="X5312">
        <v>0.98096030000000001</v>
      </c>
      <c r="Y5312">
        <v>-1.934193E-2</v>
      </c>
      <c r="Z5312">
        <v>-3.253532E-3</v>
      </c>
      <c r="AA5312">
        <v>0.99980769999999997</v>
      </c>
      <c r="AB5312">
        <v>36</v>
      </c>
      <c r="AC5312">
        <v>6.5202000000000098</v>
      </c>
      <c r="AD5312">
        <v>-1.118981057604</v>
      </c>
      <c r="AE5312">
        <v>88.297079999999994</v>
      </c>
      <c r="AF5312">
        <v>-1.7278393557366201</v>
      </c>
      <c r="AG5312">
        <v>-1.118981057604</v>
      </c>
      <c r="AH5312">
        <v>88.506487210790695</v>
      </c>
      <c r="AI5312">
        <v>90.724209789907405</v>
      </c>
      <c r="AJ5312">
        <v>91.118396314355607</v>
      </c>
      <c r="AK5312">
        <v>88.530423165374998</v>
      </c>
      <c r="AL5312">
        <v>78.871421361803499</v>
      </c>
      <c r="AM5312">
        <v>91.2572093391652</v>
      </c>
      <c r="AN5312">
        <v>0.99999998532839196</v>
      </c>
    </row>
    <row r="5313" spans="1:40" x14ac:dyDescent="0.25">
      <c r="A5313" t="str">
        <f>"20190303170917936"</f>
        <v>20190303170917936</v>
      </c>
      <c r="B5313" t="str">
        <f>"1551604157929039"</f>
        <v>1551604157929039</v>
      </c>
      <c r="C5313" t="s">
        <v>40</v>
      </c>
      <c r="D5313">
        <v>5.1873889999999996</v>
      </c>
      <c r="E5313">
        <v>0.50118370000000001</v>
      </c>
      <c r="F5313" t="s">
        <v>43</v>
      </c>
      <c r="G5313">
        <v>-184.09399999999999</v>
      </c>
      <c r="H5313" s="1">
        <v>-2.478857E-6</v>
      </c>
      <c r="I5313">
        <v>32.314529999999998</v>
      </c>
      <c r="J5313">
        <v>-187.08260000000001</v>
      </c>
      <c r="K5313">
        <v>1.119014</v>
      </c>
      <c r="L5313">
        <v>-13.72311</v>
      </c>
      <c r="M5313">
        <v>9.4406939999999995E-2</v>
      </c>
      <c r="N5313">
        <v>-9.2229259999999993E-3</v>
      </c>
      <c r="O5313">
        <v>0.99549100000000001</v>
      </c>
      <c r="P5313">
        <v>6.9775069999999995E-2</v>
      </c>
      <c r="Q5313">
        <v>0.1828331</v>
      </c>
      <c r="R5313">
        <v>0.9806648</v>
      </c>
      <c r="S5313">
        <v>0.19935610000000001</v>
      </c>
      <c r="T5313">
        <v>-7.3792460000000004E-2</v>
      </c>
      <c r="U5313">
        <v>3.0593870000000001</v>
      </c>
      <c r="V5313">
        <v>-2.2474399999999999E-2</v>
      </c>
      <c r="W5313">
        <v>0.1919671</v>
      </c>
      <c r="X5313">
        <v>0.98114400000000002</v>
      </c>
      <c r="Y5313">
        <v>-2.9479950000000001E-2</v>
      </c>
      <c r="Z5313">
        <v>-1.4728110000000001E-2</v>
      </c>
      <c r="AA5313">
        <v>0.99945689999999998</v>
      </c>
      <c r="AB5313">
        <v>36</v>
      </c>
      <c r="AC5313">
        <v>2.9885999999999902</v>
      </c>
      <c r="AD5313">
        <v>-1.1190164788570001</v>
      </c>
      <c r="AE5313">
        <v>46.037640000000003</v>
      </c>
      <c r="AF5313">
        <v>-1.3704003444169199</v>
      </c>
      <c r="AG5313">
        <v>-1.1190164788570001</v>
      </c>
      <c r="AH5313">
        <v>46.087046360638404</v>
      </c>
      <c r="AI5313">
        <v>91.390282575991193</v>
      </c>
      <c r="AJ5313">
        <v>91.703190662861701</v>
      </c>
      <c r="AK5313">
        <v>46.120993454516601</v>
      </c>
      <c r="AL5313">
        <v>78.932395870838107</v>
      </c>
      <c r="AM5313">
        <v>91.312206079303095</v>
      </c>
      <c r="AN5313">
        <v>1.00000000743688</v>
      </c>
    </row>
    <row r="5314" spans="1:40" x14ac:dyDescent="0.25">
      <c r="A5314" t="str">
        <f>"20190303170917959"</f>
        <v>20190303170917959</v>
      </c>
      <c r="B5314" t="str">
        <f>"1551604157949535"</f>
        <v>1551604157949535</v>
      </c>
      <c r="C5314" t="s">
        <v>40</v>
      </c>
      <c r="D5314">
        <v>5.1900240000000002</v>
      </c>
      <c r="E5314">
        <v>0.50059370000000003</v>
      </c>
      <c r="F5314" t="s">
        <v>43</v>
      </c>
      <c r="G5314">
        <v>-183.83760000000001</v>
      </c>
      <c r="H5314" s="1">
        <v>-3.7755309999999999E-6</v>
      </c>
      <c r="I5314">
        <v>35.885590000000001</v>
      </c>
      <c r="J5314">
        <v>-187.04810000000001</v>
      </c>
      <c r="K5314">
        <v>1.119084</v>
      </c>
      <c r="L5314">
        <v>-13.371549999999999</v>
      </c>
      <c r="M5314">
        <v>9.5629500000000006E-2</v>
      </c>
      <c r="N5314">
        <v>-9.2045779999999997E-3</v>
      </c>
      <c r="O5314">
        <v>0.99537439999999999</v>
      </c>
      <c r="P5314">
        <v>7.1515380000000003E-2</v>
      </c>
      <c r="Q5314">
        <v>0.1834857</v>
      </c>
      <c r="R5314">
        <v>0.98041750000000005</v>
      </c>
      <c r="S5314">
        <v>0.2000122</v>
      </c>
      <c r="T5314">
        <v>-6.8973779999999998E-2</v>
      </c>
      <c r="U5314">
        <v>3.0577700000000001</v>
      </c>
      <c r="V5314">
        <v>-2.1949989999999999E-2</v>
      </c>
      <c r="W5314">
        <v>0.19259599999999999</v>
      </c>
      <c r="X5314">
        <v>0.98103260000000003</v>
      </c>
      <c r="Y5314">
        <v>-3.0458369999999999E-2</v>
      </c>
      <c r="Z5314">
        <v>-1.319275E-2</v>
      </c>
      <c r="AA5314">
        <v>0.99944900000000003</v>
      </c>
      <c r="AB5314">
        <v>36</v>
      </c>
      <c r="AC5314">
        <v>3.2104999999999899</v>
      </c>
      <c r="AD5314">
        <v>-1.119087775531</v>
      </c>
      <c r="AE5314">
        <v>49.25714</v>
      </c>
      <c r="AF5314">
        <v>-1.5140721838512701</v>
      </c>
      <c r="AG5314">
        <v>-1.119087775531</v>
      </c>
      <c r="AH5314">
        <v>49.313060658432001</v>
      </c>
      <c r="AI5314">
        <v>91.299408648634696</v>
      </c>
      <c r="AJ5314">
        <v>91.758615279718697</v>
      </c>
      <c r="AK5314">
        <v>49.348989083155999</v>
      </c>
      <c r="AL5314">
        <v>78.895677204180203</v>
      </c>
      <c r="AM5314">
        <v>91.281743324935107</v>
      </c>
      <c r="AN5314">
        <v>0.99999999176987997</v>
      </c>
    </row>
    <row r="5315" spans="1:40" x14ac:dyDescent="0.25">
      <c r="A5315" t="str">
        <f>"20190303170917979"</f>
        <v>20190303170917979</v>
      </c>
      <c r="B5315" t="str">
        <f>"1551604157969055"</f>
        <v>1551604157969055</v>
      </c>
      <c r="C5315" t="s">
        <v>40</v>
      </c>
      <c r="D5315">
        <v>5.1909890000000001</v>
      </c>
      <c r="E5315">
        <v>0.5003744</v>
      </c>
      <c r="F5315" t="s">
        <v>43</v>
      </c>
      <c r="G5315">
        <v>-183.5325</v>
      </c>
      <c r="H5315" s="1">
        <v>-2.033604E-6</v>
      </c>
      <c r="I5315">
        <v>40.567129999999999</v>
      </c>
      <c r="J5315">
        <v>-187.0136</v>
      </c>
      <c r="K5315">
        <v>1.119186</v>
      </c>
      <c r="L5315">
        <v>-13.02332</v>
      </c>
      <c r="M5315">
        <v>9.6691529999999998E-2</v>
      </c>
      <c r="N5315">
        <v>-9.1887540000000004E-3</v>
      </c>
      <c r="O5315">
        <v>0.99527200000000005</v>
      </c>
      <c r="P5315">
        <v>7.2535260000000004E-2</v>
      </c>
      <c r="Q5315">
        <v>0.18494360000000001</v>
      </c>
      <c r="R5315">
        <v>0.98006859999999996</v>
      </c>
      <c r="S5315">
        <v>0.19926450000000001</v>
      </c>
      <c r="T5315">
        <v>-6.3429949999999999E-2</v>
      </c>
      <c r="U5315">
        <v>3.0572509999999999</v>
      </c>
      <c r="V5315">
        <v>-2.1989959999999999E-2</v>
      </c>
      <c r="W5315">
        <v>0.19403090000000001</v>
      </c>
      <c r="X5315">
        <v>0.98074899999999998</v>
      </c>
      <c r="Y5315">
        <v>-3.1755869999999999E-2</v>
      </c>
      <c r="Z5315">
        <v>-1.141153E-2</v>
      </c>
      <c r="AA5315">
        <v>0.9994305</v>
      </c>
      <c r="AB5315">
        <v>36</v>
      </c>
      <c r="AC5315">
        <v>3.4810999999999899</v>
      </c>
      <c r="AD5315">
        <v>-1.1191880336040001</v>
      </c>
      <c r="AE5315">
        <v>53.590449999999997</v>
      </c>
      <c r="AF5315">
        <v>-1.71642823900792</v>
      </c>
      <c r="AG5315">
        <v>-1.1191880336040001</v>
      </c>
      <c r="AH5315">
        <v>53.652630223468897</v>
      </c>
      <c r="AI5315">
        <v>91.1943995471497</v>
      </c>
      <c r="AJ5315">
        <v>91.832353117054893</v>
      </c>
      <c r="AK5315">
        <v>53.691744594960902</v>
      </c>
      <c r="AL5315">
        <v>78.811883813312804</v>
      </c>
      <c r="AM5315">
        <v>91.284447732242498</v>
      </c>
      <c r="AN5315">
        <v>1.0000000747483</v>
      </c>
    </row>
    <row r="5316" spans="1:40" x14ac:dyDescent="0.25">
      <c r="A5316" t="str">
        <f>"20190303170918006"</f>
        <v>20190303170918006</v>
      </c>
      <c r="B5316" t="str">
        <f>"1551604157999311"</f>
        <v>1551604157999311</v>
      </c>
      <c r="C5316" t="s">
        <v>40</v>
      </c>
      <c r="D5316">
        <v>5.2410009999999998</v>
      </c>
      <c r="E5316">
        <v>0.50006569999999995</v>
      </c>
      <c r="F5316" t="s">
        <v>43</v>
      </c>
      <c r="G5316">
        <v>-183.32140000000001</v>
      </c>
      <c r="H5316" s="1">
        <v>-3.1660689999999998E-6</v>
      </c>
      <c r="I5316">
        <v>43.729849999999999</v>
      </c>
      <c r="J5316">
        <v>-186.9726</v>
      </c>
      <c r="K5316">
        <v>1.1193679999999999</v>
      </c>
      <c r="L5316">
        <v>-12.611969999999999</v>
      </c>
      <c r="M5316">
        <v>9.7693130000000003E-2</v>
      </c>
      <c r="N5316">
        <v>-9.1729589999999996E-3</v>
      </c>
      <c r="O5316">
        <v>0.99517429999999996</v>
      </c>
      <c r="P5316">
        <v>7.2066080000000005E-2</v>
      </c>
      <c r="Q5316">
        <v>0.1848621</v>
      </c>
      <c r="R5316">
        <v>0.98011859999999995</v>
      </c>
      <c r="S5316">
        <v>0.19892879999999999</v>
      </c>
      <c r="T5316">
        <v>-6.0298320000000002E-2</v>
      </c>
      <c r="U5316">
        <v>3.0576780000000001</v>
      </c>
      <c r="V5316">
        <v>-2.3534159999999998E-2</v>
      </c>
      <c r="W5316">
        <v>0.19392789999999999</v>
      </c>
      <c r="X5316">
        <v>0.98073350000000004</v>
      </c>
      <c r="Y5316">
        <v>-3.2879360000000003E-2</v>
      </c>
      <c r="Z5316">
        <v>-1.04063E-2</v>
      </c>
      <c r="AA5316">
        <v>0.99940510000000005</v>
      </c>
      <c r="AB5316">
        <v>36</v>
      </c>
      <c r="AC5316">
        <v>3.6511999999999798</v>
      </c>
      <c r="AD5316">
        <v>-1.119371166069</v>
      </c>
      <c r="AE5316">
        <v>56.341819999999998</v>
      </c>
      <c r="AF5316">
        <v>-1.8699720431431299</v>
      </c>
      <c r="AG5316">
        <v>-1.119371166069</v>
      </c>
      <c r="AH5316">
        <v>56.406831501601999</v>
      </c>
      <c r="AI5316">
        <v>91.136238725550797</v>
      </c>
      <c r="AJ5316">
        <v>91.898746633353696</v>
      </c>
      <c r="AK5316">
        <v>56.448918743406303</v>
      </c>
      <c r="AL5316">
        <v>78.817899178669705</v>
      </c>
      <c r="AM5316">
        <v>91.374633693233704</v>
      </c>
      <c r="AN5316">
        <v>1.0000000425537801</v>
      </c>
    </row>
    <row r="5317" spans="1:40" x14ac:dyDescent="0.25">
      <c r="A5317" t="str">
        <f>"20190303170918051"</f>
        <v>20190303170918051</v>
      </c>
      <c r="B5317" t="str">
        <f>"1551604158039327"</f>
        <v>1551604158039327</v>
      </c>
      <c r="C5317" t="s">
        <v>40</v>
      </c>
      <c r="D5317">
        <v>5.242362</v>
      </c>
      <c r="E5317">
        <v>0.50011549999999905</v>
      </c>
      <c r="F5317" t="s">
        <v>43</v>
      </c>
      <c r="G5317">
        <v>-183.26499999999999</v>
      </c>
      <c r="H5317" s="1">
        <v>-3.811122E-6</v>
      </c>
      <c r="I5317">
        <v>45.581299999999999</v>
      </c>
      <c r="J5317">
        <v>-186.9007</v>
      </c>
      <c r="K5317">
        <v>1.1198140000000001</v>
      </c>
      <c r="L5317">
        <v>-11.89099</v>
      </c>
      <c r="M5317">
        <v>9.8627900000000004E-2</v>
      </c>
      <c r="N5317">
        <v>-9.1548500000000008E-3</v>
      </c>
      <c r="O5317">
        <v>0.99508229999999998</v>
      </c>
      <c r="P5317">
        <v>7.2409570000000006E-2</v>
      </c>
      <c r="Q5317">
        <v>0.18940000000000001</v>
      </c>
      <c r="R5317">
        <v>0.9792265</v>
      </c>
      <c r="S5317">
        <v>0.19480900000000001</v>
      </c>
      <c r="T5317">
        <v>-5.8814529999999997E-2</v>
      </c>
      <c r="U5317">
        <v>3.057617</v>
      </c>
      <c r="V5317">
        <v>-2.42256E-2</v>
      </c>
      <c r="W5317">
        <v>0.19841520000000001</v>
      </c>
      <c r="X5317">
        <v>0.97981859999999998</v>
      </c>
      <c r="Y5317">
        <v>-3.5157330000000001E-2</v>
      </c>
      <c r="Z5317">
        <v>-9.9408780000000002E-3</v>
      </c>
      <c r="AA5317">
        <v>0.99933240000000001</v>
      </c>
      <c r="AB5317">
        <v>36</v>
      </c>
      <c r="AC5317">
        <v>3.6357000000000101</v>
      </c>
      <c r="AD5317">
        <v>-1.1198178111220001</v>
      </c>
      <c r="AE5317">
        <v>57.472290000000001</v>
      </c>
      <c r="AF5317">
        <v>-2.0498613108386698</v>
      </c>
      <c r="AG5317">
        <v>-1.1198178111220001</v>
      </c>
      <c r="AH5317">
        <v>57.528896555436603</v>
      </c>
      <c r="AI5317">
        <v>91.114432233513696</v>
      </c>
      <c r="AJ5317">
        <v>92.040691569881901</v>
      </c>
      <c r="AK5317">
        <v>57.576296009815501</v>
      </c>
      <c r="AL5317">
        <v>78.555700244485905</v>
      </c>
      <c r="AM5317">
        <v>91.416325332611805</v>
      </c>
      <c r="AN5317">
        <v>0.99999998009617896</v>
      </c>
    </row>
    <row r="5318" spans="1:40" x14ac:dyDescent="0.25">
      <c r="A5318" t="str">
        <f>"20190303170918073"</f>
        <v>20190303170918073</v>
      </c>
      <c r="B5318" t="str">
        <f>"1551604158069583"</f>
        <v>1551604158069583</v>
      </c>
      <c r="C5318" t="s">
        <v>40</v>
      </c>
      <c r="D5318">
        <v>5.1771190000000002</v>
      </c>
      <c r="E5318">
        <v>0.50014519999999996</v>
      </c>
      <c r="F5318" t="s">
        <v>43</v>
      </c>
      <c r="G5318">
        <v>-181.82509999999999</v>
      </c>
      <c r="H5318" s="1">
        <v>-4.8973069999999997E-6</v>
      </c>
      <c r="I5318">
        <v>67.647260000000003</v>
      </c>
      <c r="J5318">
        <v>-186.86250000000001</v>
      </c>
      <c r="K5318">
        <v>1.120069</v>
      </c>
      <c r="L5318">
        <v>-11.506320000000001</v>
      </c>
      <c r="M5318">
        <v>9.8676479999999997E-2</v>
      </c>
      <c r="N5318">
        <v>-9.1501780000000001E-3</v>
      </c>
      <c r="O5318">
        <v>0.99507749999999995</v>
      </c>
      <c r="P5318">
        <v>7.4885740000000006E-2</v>
      </c>
      <c r="Q5318">
        <v>0.19205849999999999</v>
      </c>
      <c r="R5318">
        <v>0.97852220000000001</v>
      </c>
      <c r="S5318">
        <v>0.19511410000000001</v>
      </c>
      <c r="T5318">
        <v>-4.3047309999999998E-2</v>
      </c>
      <c r="U5318">
        <v>3.0575559999999999</v>
      </c>
      <c r="V5318">
        <v>-2.185366E-2</v>
      </c>
      <c r="W5318">
        <v>0.20104849999999999</v>
      </c>
      <c r="X5318">
        <v>0.97933749999999997</v>
      </c>
      <c r="Y5318">
        <v>-3.5103929999999998E-2</v>
      </c>
      <c r="Z5318">
        <v>-4.8350590000000001E-3</v>
      </c>
      <c r="AA5318">
        <v>0.99937189999999998</v>
      </c>
      <c r="AB5318">
        <v>37</v>
      </c>
      <c r="AC5318">
        <v>5.0374000000000096</v>
      </c>
      <c r="AD5318">
        <v>-1.1200738973069999</v>
      </c>
      <c r="AE5318">
        <v>79.153580000000005</v>
      </c>
      <c r="AF5318">
        <v>-2.79755246443225</v>
      </c>
      <c r="AG5318">
        <v>-1.1200738973069999</v>
      </c>
      <c r="AH5318">
        <v>79.248532763198199</v>
      </c>
      <c r="AI5318">
        <v>90.809242655867394</v>
      </c>
      <c r="AJ5318">
        <v>92.0217587861993</v>
      </c>
      <c r="AK5318">
        <v>79.305805654103096</v>
      </c>
      <c r="AL5318">
        <v>78.401720972023398</v>
      </c>
      <c r="AM5318">
        <v>91.278328172408393</v>
      </c>
      <c r="AN5318">
        <v>1.00000001035694</v>
      </c>
    </row>
    <row r="5319" spans="1:40" x14ac:dyDescent="0.25">
      <c r="A5319" t="str">
        <f>"20190303170918098"</f>
        <v>20190303170918098</v>
      </c>
      <c r="B5319" t="str">
        <f>"1551604158088634"</f>
        <v>1551604158088634</v>
      </c>
      <c r="C5319" t="s">
        <v>40</v>
      </c>
      <c r="D5319">
        <v>5.1104440000000002</v>
      </c>
      <c r="E5319">
        <v>0.49829639999999997</v>
      </c>
      <c r="F5319" t="s">
        <v>43</v>
      </c>
      <c r="G5319">
        <v>-180.6978</v>
      </c>
      <c r="H5319" s="1">
        <v>-3.545494E-6</v>
      </c>
      <c r="I5319">
        <v>82.793549999999996</v>
      </c>
      <c r="J5319">
        <v>-186.8229</v>
      </c>
      <c r="K5319">
        <v>1.120301</v>
      </c>
      <c r="L5319">
        <v>-11.1051</v>
      </c>
      <c r="M5319">
        <v>9.8452369999999997E-2</v>
      </c>
      <c r="N5319">
        <v>-9.1472640000000004E-3</v>
      </c>
      <c r="O5319">
        <v>0.99509970000000003</v>
      </c>
      <c r="P5319">
        <v>7.4068949999999995E-2</v>
      </c>
      <c r="Q5319">
        <v>0.1930596</v>
      </c>
      <c r="R5319">
        <v>0.97838740000000002</v>
      </c>
      <c r="S5319">
        <v>0.19989009999999999</v>
      </c>
      <c r="T5319">
        <v>-3.6318419999999997E-2</v>
      </c>
      <c r="U5319">
        <v>3.0576780000000001</v>
      </c>
      <c r="V5319">
        <v>-2.2542469999999998E-2</v>
      </c>
      <c r="W5319">
        <v>0.20203260000000001</v>
      </c>
      <c r="X5319">
        <v>0.97911939999999997</v>
      </c>
      <c r="Y5319">
        <v>-3.3326830000000002E-2</v>
      </c>
      <c r="Z5319">
        <v>-2.656926E-3</v>
      </c>
      <c r="AA5319">
        <v>0.99944100000000002</v>
      </c>
      <c r="AB5319">
        <v>37</v>
      </c>
      <c r="AC5319">
        <v>6.1250999999999998</v>
      </c>
      <c r="AD5319">
        <v>-1.1203045454939999</v>
      </c>
      <c r="AE5319">
        <v>93.898650000000004</v>
      </c>
      <c r="AF5319">
        <v>-3.1491449238677198</v>
      </c>
      <c r="AG5319">
        <v>-1.1203045454939999</v>
      </c>
      <c r="AH5319">
        <v>94.032157143914503</v>
      </c>
      <c r="AI5319">
        <v>90.682210491844799</v>
      </c>
      <c r="AJ5319">
        <v>91.918123619916699</v>
      </c>
      <c r="AK5319">
        <v>94.0915446422473</v>
      </c>
      <c r="AL5319">
        <v>78.344155617150903</v>
      </c>
      <c r="AM5319">
        <v>91.318899669853593</v>
      </c>
      <c r="AN5319">
        <v>1.0000000669364</v>
      </c>
    </row>
    <row r="5320" spans="1:40" x14ac:dyDescent="0.25">
      <c r="A5320" t="str">
        <f>"20190303170918137"</f>
        <v>20190303170918137</v>
      </c>
      <c r="B5320" t="str">
        <f>"1551604158128649"</f>
        <v>1551604158128649</v>
      </c>
      <c r="C5320" t="s">
        <v>40</v>
      </c>
      <c r="D5320">
        <v>5.1054890000000004</v>
      </c>
      <c r="E5320">
        <v>0.4687616</v>
      </c>
      <c r="F5320" t="s">
        <v>43</v>
      </c>
      <c r="G5320">
        <v>-181.08320000000001</v>
      </c>
      <c r="H5320" s="1">
        <v>-4.3142210000000001E-6</v>
      </c>
      <c r="I5320">
        <v>85.353809999999996</v>
      </c>
      <c r="J5320">
        <v>-186.76070000000001</v>
      </c>
      <c r="K5320">
        <v>1.1207210000000001</v>
      </c>
      <c r="L5320">
        <v>-10.46613</v>
      </c>
      <c r="M5320">
        <v>9.7361069999999994E-2</v>
      </c>
      <c r="N5320">
        <v>-9.1469159999999997E-3</v>
      </c>
      <c r="O5320">
        <v>0.99520710000000001</v>
      </c>
      <c r="P5320">
        <v>7.018278E-2</v>
      </c>
      <c r="Q5320">
        <v>0.19464509999999999</v>
      </c>
      <c r="R5320">
        <v>0.97835970000000005</v>
      </c>
      <c r="S5320">
        <v>0.18205260000000001</v>
      </c>
      <c r="T5320">
        <v>-3.5534139999999999E-2</v>
      </c>
      <c r="U5320">
        <v>3.0595089999999998</v>
      </c>
      <c r="V5320">
        <v>-2.553178E-2</v>
      </c>
      <c r="W5320">
        <v>0.20359070000000001</v>
      </c>
      <c r="X5320">
        <v>0.97872309999999996</v>
      </c>
      <c r="Y5320">
        <v>-3.8073219999999998E-2</v>
      </c>
      <c r="Z5320">
        <v>-2.3961770000000002E-3</v>
      </c>
      <c r="AA5320">
        <v>0.9992721</v>
      </c>
      <c r="AB5320">
        <v>37</v>
      </c>
      <c r="AC5320">
        <v>5.6775000000000002</v>
      </c>
      <c r="AD5320">
        <v>-1.1207253142210001</v>
      </c>
      <c r="AE5320">
        <v>95.819940000000003</v>
      </c>
      <c r="AF5320">
        <v>-3.67849599476384</v>
      </c>
      <c r="AG5320">
        <v>-1.1207253142210001</v>
      </c>
      <c r="AH5320">
        <v>95.904390088185295</v>
      </c>
      <c r="AI5320">
        <v>90.669028103307099</v>
      </c>
      <c r="AJ5320">
        <v>92.196552530086294</v>
      </c>
      <c r="AK5320">
        <v>95.981453396998802</v>
      </c>
      <c r="AL5320">
        <v>78.252987313236503</v>
      </c>
      <c r="AM5320">
        <v>91.494326164113602</v>
      </c>
      <c r="AN5320">
        <v>0.99999997569503296</v>
      </c>
    </row>
    <row r="5321" spans="1:40" x14ac:dyDescent="0.25">
      <c r="A5321" t="str">
        <f>"20190303170918158"</f>
        <v>20190303170918158</v>
      </c>
      <c r="B5321" t="str">
        <f>"1551604158149146"</f>
        <v>1551604158149146</v>
      </c>
      <c r="C5321" t="s">
        <v>40</v>
      </c>
      <c r="D5321">
        <v>5.1202500000000004</v>
      </c>
      <c r="E5321">
        <v>0.46856340000000002</v>
      </c>
      <c r="F5321" t="s">
        <v>43</v>
      </c>
      <c r="G5321">
        <v>-188.29679999999999</v>
      </c>
      <c r="H5321" s="1">
        <v>-1.9797319999999999E-6</v>
      </c>
      <c r="I5321">
        <v>63.543329999999997</v>
      </c>
      <c r="J5321">
        <v>-186.72649999999999</v>
      </c>
      <c r="K5321">
        <v>1.12097</v>
      </c>
      <c r="L5321">
        <v>-10.10956</v>
      </c>
      <c r="M5321">
        <v>9.6396040000000002E-2</v>
      </c>
      <c r="N5321">
        <v>-9.1497699999999998E-3</v>
      </c>
      <c r="O5321">
        <v>0.99530099999999999</v>
      </c>
      <c r="P5321">
        <v>7.0599659999999995E-2</v>
      </c>
      <c r="Q5321">
        <v>0.1966099</v>
      </c>
      <c r="R5321">
        <v>0.97793669999999999</v>
      </c>
      <c r="S5321">
        <v>-6.3934329999999998E-2</v>
      </c>
      <c r="T5321">
        <v>-4.6643850000000001E-2</v>
      </c>
      <c r="U5321">
        <v>3.0802309999999999</v>
      </c>
      <c r="V5321">
        <v>-2.4246190000000001E-2</v>
      </c>
      <c r="W5321">
        <v>0.2055418</v>
      </c>
      <c r="X5321">
        <v>0.978348</v>
      </c>
      <c r="Y5321">
        <v>-0.1170211</v>
      </c>
      <c r="Z5321">
        <v>-5.8232739999999998E-3</v>
      </c>
      <c r="AA5321">
        <v>0.99311229999999995</v>
      </c>
      <c r="AB5321">
        <v>37</v>
      </c>
      <c r="AC5321">
        <v>-1.5703</v>
      </c>
      <c r="AD5321">
        <v>-1.1209719797319999</v>
      </c>
      <c r="AE5321">
        <v>73.652889999999999</v>
      </c>
      <c r="AF5321">
        <v>-8.6611254147354106</v>
      </c>
      <c r="AG5321">
        <v>-1.1209719797319999</v>
      </c>
      <c r="AH5321">
        <v>73.141552281733297</v>
      </c>
      <c r="AI5321">
        <v>90.871958721619194</v>
      </c>
      <c r="AJ5321">
        <v>96.753284959789596</v>
      </c>
      <c r="AK5321">
        <v>73.661104674113105</v>
      </c>
      <c r="AL5321">
        <v>78.138783375017695</v>
      </c>
      <c r="AM5321">
        <v>91.419658496603901</v>
      </c>
      <c r="AN5321">
        <v>1.0000000591903699</v>
      </c>
    </row>
    <row r="5322" spans="1:40" x14ac:dyDescent="0.25">
      <c r="A5322" t="str">
        <f>"20190303170918183"</f>
        <v>20190303170918183</v>
      </c>
      <c r="B5322" t="str">
        <f>"1551604158169641"</f>
        <v>1551604158169641</v>
      </c>
      <c r="C5322" t="s">
        <v>40</v>
      </c>
      <c r="D5322">
        <v>5.1055449999999896</v>
      </c>
      <c r="E5322">
        <v>0.4684991</v>
      </c>
      <c r="F5322" t="s">
        <v>43</v>
      </c>
      <c r="G5322">
        <v>-188.52440000000001</v>
      </c>
      <c r="H5322" s="1">
        <v>-1.8104639999999999E-6</v>
      </c>
      <c r="I5322">
        <v>73.24288</v>
      </c>
      <c r="J5322">
        <v>-186.68870000000001</v>
      </c>
      <c r="K5322">
        <v>1.121227</v>
      </c>
      <c r="L5322">
        <v>-9.7070310000000006</v>
      </c>
      <c r="M5322">
        <v>9.5078570000000001E-2</v>
      </c>
      <c r="N5322">
        <v>-9.15412E-3</v>
      </c>
      <c r="O5322">
        <v>0.99542770000000003</v>
      </c>
      <c r="P5322">
        <v>6.9660399999999997E-2</v>
      </c>
      <c r="Q5322">
        <v>0.1962333</v>
      </c>
      <c r="R5322">
        <v>0.9780797</v>
      </c>
      <c r="S5322">
        <v>-6.6452029999999995E-2</v>
      </c>
      <c r="T5322">
        <v>-4.1432499999999997E-2</v>
      </c>
      <c r="U5322">
        <v>3.0808110000000002</v>
      </c>
      <c r="V5322">
        <v>-2.4023780000000002E-2</v>
      </c>
      <c r="W5322">
        <v>0.20515530000000001</v>
      </c>
      <c r="X5322">
        <v>0.97843460000000004</v>
      </c>
      <c r="Y5322">
        <v>-0.1165151</v>
      </c>
      <c r="Z5322">
        <v>-4.1453330000000002E-3</v>
      </c>
      <c r="AA5322">
        <v>0.99318030000000002</v>
      </c>
      <c r="AB5322">
        <v>37</v>
      </c>
      <c r="AC5322">
        <v>-1.8357000000000001</v>
      </c>
      <c r="AD5322">
        <v>-1.121228810464</v>
      </c>
      <c r="AE5322">
        <v>82.949911</v>
      </c>
      <c r="AF5322">
        <v>-9.7126986817355601</v>
      </c>
      <c r="AG5322">
        <v>-1.121228810464</v>
      </c>
      <c r="AH5322">
        <v>82.384509431050105</v>
      </c>
      <c r="AI5322">
        <v>90.7743681715489</v>
      </c>
      <c r="AJ5322">
        <v>96.723832632972503</v>
      </c>
      <c r="AK5322">
        <v>82.962648607203803</v>
      </c>
      <c r="AL5322">
        <v>78.161410322510307</v>
      </c>
      <c r="AM5322">
        <v>91.406516793081096</v>
      </c>
      <c r="AN5322">
        <v>1.0000000528003601</v>
      </c>
    </row>
    <row r="5323" spans="1:40" x14ac:dyDescent="0.25">
      <c r="A5323" t="str">
        <f>"20190303170918207"</f>
        <v>20190303170918207</v>
      </c>
      <c r="B5323" t="str">
        <f>"1551604158198921"</f>
        <v>1551604158198921</v>
      </c>
      <c r="C5323" t="s">
        <v>40</v>
      </c>
      <c r="D5323">
        <v>5.1218820000000003</v>
      </c>
      <c r="E5323">
        <v>0.46842859999999997</v>
      </c>
      <c r="F5323" t="s">
        <v>43</v>
      </c>
      <c r="G5323">
        <v>-188.41659999999999</v>
      </c>
      <c r="H5323" s="1">
        <v>-3.0408799999999998E-6</v>
      </c>
      <c r="I5323">
        <v>66.066410000000005</v>
      </c>
      <c r="J5323">
        <v>-186.6514</v>
      </c>
      <c r="K5323">
        <v>1.121448</v>
      </c>
      <c r="L5323">
        <v>-9.3029170000000008</v>
      </c>
      <c r="M5323">
        <v>9.3545390000000006E-2</v>
      </c>
      <c r="N5323">
        <v>-9.1585650000000005E-3</v>
      </c>
      <c r="O5323">
        <v>0.99557289999999998</v>
      </c>
      <c r="P5323">
        <v>6.5742990000000001E-2</v>
      </c>
      <c r="Q5323">
        <v>0.19467599999999999</v>
      </c>
      <c r="R5323">
        <v>0.97866189999999997</v>
      </c>
      <c r="S5323">
        <v>-7.0266720000000005E-2</v>
      </c>
      <c r="T5323">
        <v>-4.5595770000000001E-2</v>
      </c>
      <c r="U5323">
        <v>3.0813899999999999</v>
      </c>
      <c r="V5323">
        <v>-2.6578580000000001E-2</v>
      </c>
      <c r="W5323">
        <v>0.20358609999999999</v>
      </c>
      <c r="X5323">
        <v>0.97869620000000002</v>
      </c>
      <c r="Y5323">
        <v>-0.1162096</v>
      </c>
      <c r="Z5323">
        <v>-5.4781669999999999E-3</v>
      </c>
      <c r="AA5323">
        <v>0.99320960000000003</v>
      </c>
      <c r="AB5323">
        <v>37</v>
      </c>
      <c r="AC5323">
        <v>-1.7651999999999901</v>
      </c>
      <c r="AD5323">
        <v>-1.12145104088</v>
      </c>
      <c r="AE5323">
        <v>75.369326999999998</v>
      </c>
      <c r="AF5323">
        <v>-8.8062591019070506</v>
      </c>
      <c r="AG5323">
        <v>-1.12145104088</v>
      </c>
      <c r="AH5323">
        <v>74.857108639362707</v>
      </c>
      <c r="AI5323">
        <v>90.852419309220195</v>
      </c>
      <c r="AJ5323">
        <v>96.709489860227805</v>
      </c>
      <c r="AK5323">
        <v>75.381659345309998</v>
      </c>
      <c r="AL5323">
        <v>78.253256640040107</v>
      </c>
      <c r="AM5323">
        <v>91.555606586750201</v>
      </c>
      <c r="AN5323">
        <v>0.999999986461233</v>
      </c>
    </row>
    <row r="5324" spans="1:40" x14ac:dyDescent="0.25">
      <c r="A5324" t="str">
        <f>"20190303170918230"</f>
        <v>20190303170918230</v>
      </c>
      <c r="B5324" t="str">
        <f>"1551604158219417"</f>
        <v>1551604158219417</v>
      </c>
      <c r="C5324" t="s">
        <v>40</v>
      </c>
      <c r="D5324">
        <v>5.1089949999999904</v>
      </c>
      <c r="E5324">
        <v>0.46851359999999997</v>
      </c>
      <c r="F5324" t="s">
        <v>43</v>
      </c>
      <c r="G5324">
        <v>-188.26929999999999</v>
      </c>
      <c r="H5324" s="1">
        <v>-1.3569300000000001E-6</v>
      </c>
      <c r="I5324">
        <v>52.080179999999999</v>
      </c>
      <c r="J5324">
        <v>-186.61949999999999</v>
      </c>
      <c r="K5324">
        <v>1.121597</v>
      </c>
      <c r="L5324">
        <v>-8.9509279999999993</v>
      </c>
      <c r="M5324">
        <v>9.2060279999999994E-2</v>
      </c>
      <c r="N5324">
        <v>-9.1624940000000002E-3</v>
      </c>
      <c r="O5324">
        <v>0.99571129999999997</v>
      </c>
      <c r="P5324">
        <v>6.1429499999999998E-2</v>
      </c>
      <c r="Q5324">
        <v>0.1930567</v>
      </c>
      <c r="R5324">
        <v>0.97926279999999999</v>
      </c>
      <c r="S5324">
        <v>-8.1237790000000004E-2</v>
      </c>
      <c r="T5324">
        <v>-5.6308270000000001E-2</v>
      </c>
      <c r="U5324">
        <v>3.0820620000000001</v>
      </c>
      <c r="V5324">
        <v>-2.9543659999999999E-2</v>
      </c>
      <c r="W5324">
        <v>0.2019542</v>
      </c>
      <c r="X5324">
        <v>0.97894930000000002</v>
      </c>
      <c r="Y5324">
        <v>-0.11825339999999999</v>
      </c>
      <c r="Z5324">
        <v>-8.9101270000000003E-3</v>
      </c>
      <c r="AA5324">
        <v>0.99294349999999998</v>
      </c>
      <c r="AB5324">
        <v>37</v>
      </c>
      <c r="AC5324">
        <v>-1.6497999999999899</v>
      </c>
      <c r="AD5324">
        <v>-1.1215983569300001</v>
      </c>
      <c r="AE5324">
        <v>61.031108000000003</v>
      </c>
      <c r="AF5324">
        <v>-7.2591202193423001</v>
      </c>
      <c r="AG5324">
        <v>-1.1215983569300001</v>
      </c>
      <c r="AH5324">
        <v>60.599574789926699</v>
      </c>
      <c r="AI5324">
        <v>91.052804626064201</v>
      </c>
      <c r="AJ5324">
        <v>96.830815945072402</v>
      </c>
      <c r="AK5324">
        <v>61.043109962984801</v>
      </c>
      <c r="AL5324">
        <v>78.348741704681601</v>
      </c>
      <c r="AM5324">
        <v>91.728601691253502</v>
      </c>
      <c r="AN5324">
        <v>1.00000002935716</v>
      </c>
    </row>
    <row r="5325" spans="1:40" x14ac:dyDescent="0.25">
      <c r="A5325" t="str">
        <f>"20190303170918297"</f>
        <v>20190303170918297</v>
      </c>
      <c r="B5325" t="str">
        <f>"1551604158289689"</f>
        <v>1551604158289689</v>
      </c>
      <c r="C5325" t="s">
        <v>40</v>
      </c>
      <c r="D5325">
        <v>5.0757690000000002</v>
      </c>
      <c r="E5325">
        <v>0.46870430000000002</v>
      </c>
      <c r="F5325" t="s">
        <v>43</v>
      </c>
      <c r="G5325">
        <v>-188.1617</v>
      </c>
      <c r="H5325" s="1">
        <v>-1.677507E-6</v>
      </c>
      <c r="I5325">
        <v>42.782980000000002</v>
      </c>
      <c r="J5325">
        <v>-186.52340000000001</v>
      </c>
      <c r="K5325">
        <v>1.1219269999999999</v>
      </c>
      <c r="L5325">
        <v>-7.8420719999999999</v>
      </c>
      <c r="M5325">
        <v>8.6887899999999907E-2</v>
      </c>
      <c r="N5325">
        <v>-9.1763790000000001E-3</v>
      </c>
      <c r="O5325">
        <v>0.99617579999999994</v>
      </c>
      <c r="P5325">
        <v>5.4382270000000003E-2</v>
      </c>
      <c r="Q5325">
        <v>0.19385240000000001</v>
      </c>
      <c r="R5325">
        <v>0.97952220000000001</v>
      </c>
      <c r="S5325">
        <v>-9.1888429999999993E-2</v>
      </c>
      <c r="T5325">
        <v>-6.6828129999999999E-2</v>
      </c>
      <c r="U5325">
        <v>3.0824579999999999</v>
      </c>
      <c r="V5325">
        <v>-3.165954E-2</v>
      </c>
      <c r="W5325">
        <v>0.2027303</v>
      </c>
      <c r="X5325">
        <v>0.97872269999999995</v>
      </c>
      <c r="Y5325">
        <v>-0.11651830000000001</v>
      </c>
      <c r="Z5325">
        <v>-1.2286409999999999E-2</v>
      </c>
      <c r="AA5325">
        <v>0.99311260000000001</v>
      </c>
      <c r="AB5325">
        <v>37</v>
      </c>
      <c r="AC5325">
        <v>-1.6382999999999801</v>
      </c>
      <c r="AD5325">
        <v>-1.1219286775069901</v>
      </c>
      <c r="AE5325">
        <v>50.625051999999997</v>
      </c>
      <c r="AF5325">
        <v>-6.0280359120733804</v>
      </c>
      <c r="AG5325">
        <v>-1.1219286775069901</v>
      </c>
      <c r="AH5325">
        <v>50.266560489788901</v>
      </c>
      <c r="AI5325">
        <v>91.2695127003918</v>
      </c>
      <c r="AJ5325">
        <v>96.838333408261093</v>
      </c>
      <c r="AK5325">
        <v>50.639145375768997</v>
      </c>
      <c r="AL5325">
        <v>78.303335008122701</v>
      </c>
      <c r="AM5325">
        <v>91.852747180724194</v>
      </c>
      <c r="AN5325">
        <v>1.00000001225319</v>
      </c>
    </row>
    <row r="5326" spans="1:40" x14ac:dyDescent="0.25">
      <c r="A5326" t="str">
        <f>"20190303170918320"</f>
        <v>20190303170918320</v>
      </c>
      <c r="B5326" t="str">
        <f>"1551604158309210"</f>
        <v>1551604158309210</v>
      </c>
      <c r="C5326" t="s">
        <v>40</v>
      </c>
      <c r="D5326">
        <v>5.0697640000000002</v>
      </c>
      <c r="E5326">
        <v>0.46894930000000001</v>
      </c>
      <c r="F5326" t="s">
        <v>43</v>
      </c>
      <c r="G5326">
        <v>-188.2884</v>
      </c>
      <c r="H5326" s="1">
        <v>-7.86024E-7</v>
      </c>
      <c r="I5326">
        <v>40.619590000000002</v>
      </c>
      <c r="J5326">
        <v>-186.48949999999999</v>
      </c>
      <c r="K5326">
        <v>1.1219889999999999</v>
      </c>
      <c r="L5326">
        <v>-7.4348140000000003</v>
      </c>
      <c r="M5326">
        <v>8.4916900000000003E-2</v>
      </c>
      <c r="N5326">
        <v>-9.1822090000000002E-3</v>
      </c>
      <c r="O5326">
        <v>0.9963457</v>
      </c>
      <c r="P5326">
        <v>5.1212630000000002E-2</v>
      </c>
      <c r="Q5326">
        <v>0.19204399999999999</v>
      </c>
      <c r="R5326">
        <v>0.98004919999999995</v>
      </c>
      <c r="S5326">
        <v>-0.1122894</v>
      </c>
      <c r="T5326">
        <v>-7.1375610000000006E-2</v>
      </c>
      <c r="U5326">
        <v>3.0830690000000001</v>
      </c>
      <c r="V5326">
        <v>-3.2953129999999997E-2</v>
      </c>
      <c r="W5326">
        <v>0.20092009999999999</v>
      </c>
      <c r="X5326">
        <v>0.97905319999999996</v>
      </c>
      <c r="Y5326">
        <v>-0.12110839999999901</v>
      </c>
      <c r="Z5326">
        <v>-1.3731449999999999E-2</v>
      </c>
      <c r="AA5326">
        <v>0.99254430000000005</v>
      </c>
      <c r="AB5326">
        <v>37</v>
      </c>
      <c r="AC5326">
        <v>-1.7988999999999999</v>
      </c>
      <c r="AD5326">
        <v>-1.121989786024</v>
      </c>
      <c r="AE5326">
        <v>48.054403999999998</v>
      </c>
      <c r="AF5326">
        <v>-5.8700095301959596</v>
      </c>
      <c r="AG5326">
        <v>-1.121989786024</v>
      </c>
      <c r="AH5326">
        <v>47.702087012739803</v>
      </c>
      <c r="AI5326">
        <v>91.337308905056901</v>
      </c>
      <c r="AJ5326">
        <v>97.015298949678296</v>
      </c>
      <c r="AK5326">
        <v>48.074993274420002</v>
      </c>
      <c r="AL5326">
        <v>78.409230661652103</v>
      </c>
      <c r="AM5326">
        <v>91.927742815797302</v>
      </c>
      <c r="AN5326">
        <v>0.99999998189552297</v>
      </c>
    </row>
    <row r="5327" spans="1:40" x14ac:dyDescent="0.25">
      <c r="A5327" t="str">
        <f>"20190303170918360"</f>
        <v>20190303170918360</v>
      </c>
      <c r="B5327" t="str">
        <f>"1551604158349226"</f>
        <v>1551604158349226</v>
      </c>
      <c r="C5327" t="s">
        <v>40</v>
      </c>
      <c r="D5327">
        <v>5.0687699999999998</v>
      </c>
      <c r="E5327">
        <v>0.46918700000000002</v>
      </c>
      <c r="F5327" t="s">
        <v>43</v>
      </c>
      <c r="G5327">
        <v>-188.18360000000001</v>
      </c>
      <c r="H5327" s="1">
        <v>-3.4202490000000002E-6</v>
      </c>
      <c r="I5327">
        <v>36.854390000000002</v>
      </c>
      <c r="J5327">
        <v>-186.43639999999999</v>
      </c>
      <c r="K5327">
        <v>1.1220779999999999</v>
      </c>
      <c r="L5327">
        <v>-6.7742310000000003</v>
      </c>
      <c r="M5327">
        <v>8.1711399999999906E-2</v>
      </c>
      <c r="N5327">
        <v>-9.1929239999999999E-3</v>
      </c>
      <c r="O5327">
        <v>0.99661359999999999</v>
      </c>
      <c r="P5327">
        <v>4.9640330000000003E-2</v>
      </c>
      <c r="Q5327">
        <v>0.19223789999999999</v>
      </c>
      <c r="R5327">
        <v>0.98009199999999996</v>
      </c>
      <c r="S5327">
        <v>-0.1179047</v>
      </c>
      <c r="T5327">
        <v>-7.8090430000000002E-2</v>
      </c>
      <c r="U5327">
        <v>3.0825200000000001</v>
      </c>
      <c r="V5327">
        <v>-3.1414879999999999E-2</v>
      </c>
      <c r="W5327">
        <v>0.2011232</v>
      </c>
      <c r="X5327">
        <v>0.97906210000000005</v>
      </c>
      <c r="Y5327">
        <v>-0.1197249</v>
      </c>
      <c r="Z5327">
        <v>-1.5892409999999999E-2</v>
      </c>
      <c r="AA5327">
        <v>0.99267989999999995</v>
      </c>
      <c r="AB5327">
        <v>37</v>
      </c>
      <c r="AC5327">
        <v>-1.7472000000000201</v>
      </c>
      <c r="AD5327">
        <v>-1.1220814202489999</v>
      </c>
      <c r="AE5327">
        <v>43.628621000000003</v>
      </c>
      <c r="AF5327">
        <v>-5.3029612995470599</v>
      </c>
      <c r="AG5327">
        <v>-1.1220814202489999</v>
      </c>
      <c r="AH5327">
        <v>43.311340760982297</v>
      </c>
      <c r="AI5327">
        <v>91.473053618056596</v>
      </c>
      <c r="AJ5327">
        <v>96.980447206626707</v>
      </c>
      <c r="AK5327">
        <v>43.649200494076503</v>
      </c>
      <c r="AL5327">
        <v>78.397351795454398</v>
      </c>
      <c r="AM5327">
        <v>91.837802429162593</v>
      </c>
      <c r="AN5327">
        <v>1.00000001596003</v>
      </c>
    </row>
    <row r="5328" spans="1:40" x14ac:dyDescent="0.25">
      <c r="A5328" t="str">
        <f>"20190303170918428"</f>
        <v>20190303170918428</v>
      </c>
      <c r="B5328" t="str">
        <f>"1551604158419497"</f>
        <v>1551604158419497</v>
      </c>
      <c r="C5328" t="s">
        <v>40</v>
      </c>
      <c r="D5328">
        <v>4.6728149999999999</v>
      </c>
      <c r="E5328">
        <v>0.46963189999999999</v>
      </c>
      <c r="F5328" t="s">
        <v>43</v>
      </c>
      <c r="G5328">
        <v>-188.1831</v>
      </c>
      <c r="H5328" s="1">
        <v>-3.8779889999999999E-6</v>
      </c>
      <c r="I5328">
        <v>37.921199999999999</v>
      </c>
      <c r="J5328">
        <v>-186.3503</v>
      </c>
      <c r="K5328">
        <v>1.122193</v>
      </c>
      <c r="L5328">
        <v>-5.6424260000000004</v>
      </c>
      <c r="M5328">
        <v>7.6234239999999995E-2</v>
      </c>
      <c r="N5328">
        <v>-9.2142860000000004E-3</v>
      </c>
      <c r="O5328">
        <v>0.99704740000000003</v>
      </c>
      <c r="P5328">
        <v>4.6240240000000002E-2</v>
      </c>
      <c r="Q5328">
        <v>0.19288930000000001</v>
      </c>
      <c r="R5328">
        <v>0.98013039999999996</v>
      </c>
      <c r="S5328">
        <v>-0.1204529</v>
      </c>
      <c r="T5328">
        <v>-7.7379229999999993E-2</v>
      </c>
      <c r="U5328">
        <v>3.082214</v>
      </c>
      <c r="V5328">
        <v>-2.9471810000000001E-2</v>
      </c>
      <c r="W5328">
        <v>0.20179530000000001</v>
      </c>
      <c r="X5328">
        <v>0.97898419999999997</v>
      </c>
      <c r="Y5328">
        <v>-0.1150928</v>
      </c>
      <c r="Z5328">
        <v>-1.566849E-2</v>
      </c>
      <c r="AA5328">
        <v>0.99323119999999998</v>
      </c>
      <c r="AB5328">
        <v>37</v>
      </c>
      <c r="AC5328">
        <v>-1.83279999999999</v>
      </c>
      <c r="AD5328">
        <v>-1.1221968779889999</v>
      </c>
      <c r="AE5328">
        <v>43.563625999999999</v>
      </c>
      <c r="AF5328">
        <v>-5.1452385410107997</v>
      </c>
      <c r="AG5328">
        <v>-1.1221968779889999</v>
      </c>
      <c r="AH5328">
        <v>43.268453116927503</v>
      </c>
      <c r="AI5328">
        <v>91.475282665241906</v>
      </c>
      <c r="AJ5328">
        <v>96.781443530755396</v>
      </c>
      <c r="AK5328">
        <v>43.587748744442202</v>
      </c>
      <c r="AL5328">
        <v>78.358037010606296</v>
      </c>
      <c r="AM5328">
        <v>91.724338847413605</v>
      </c>
      <c r="AN5328">
        <v>0.99999999726820299</v>
      </c>
    </row>
    <row r="5329" spans="1:40" x14ac:dyDescent="0.25">
      <c r="A5329" t="str">
        <f>"20190303170918451"</f>
        <v>20190303170918451</v>
      </c>
      <c r="B5329" t="str">
        <f>"1551604158439017"</f>
        <v>1551604158439017</v>
      </c>
      <c r="C5329" t="s">
        <v>40</v>
      </c>
      <c r="D5329">
        <v>5.0118039999999997</v>
      </c>
      <c r="E5329">
        <v>0.47001500000000002</v>
      </c>
      <c r="F5329" t="s">
        <v>43</v>
      </c>
      <c r="G5329">
        <v>-188.18530000000001</v>
      </c>
      <c r="H5329" s="1">
        <v>-4.0433559999999997E-6</v>
      </c>
      <c r="I5329">
        <v>38.307569999999998</v>
      </c>
      <c r="J5329">
        <v>-186.32220000000001</v>
      </c>
      <c r="K5329">
        <v>1.1222099999999999</v>
      </c>
      <c r="L5329">
        <v>-5.2537839999999996</v>
      </c>
      <c r="M5329">
        <v>7.435572E-2</v>
      </c>
      <c r="N5329">
        <v>-9.2222699999999994E-3</v>
      </c>
      <c r="O5329">
        <v>0.9971892</v>
      </c>
      <c r="P5329">
        <v>4.5615120000000002E-2</v>
      </c>
      <c r="Q5329">
        <v>0.1935433</v>
      </c>
      <c r="R5329">
        <v>0.98003079999999998</v>
      </c>
      <c r="S5329">
        <v>-0.12869259999999999</v>
      </c>
      <c r="T5329">
        <v>-7.8703640000000005E-2</v>
      </c>
      <c r="U5329">
        <v>3.0823670000000001</v>
      </c>
      <c r="V5329">
        <v>-2.825459E-2</v>
      </c>
      <c r="W5329">
        <v>0.2024599</v>
      </c>
      <c r="X5329">
        <v>0.97888280000000005</v>
      </c>
      <c r="Y5329">
        <v>-0.1158695</v>
      </c>
      <c r="Z5329">
        <v>-1.6087480000000001E-2</v>
      </c>
      <c r="AA5329">
        <v>0.99313410000000002</v>
      </c>
      <c r="AB5329">
        <v>38</v>
      </c>
      <c r="AC5329">
        <v>-1.8631</v>
      </c>
      <c r="AD5329">
        <v>-1.1222140433559999</v>
      </c>
      <c r="AE5329">
        <v>43.561354000000001</v>
      </c>
      <c r="AF5329">
        <v>-5.0937411203606597</v>
      </c>
      <c r="AG5329">
        <v>-1.1222140433559999</v>
      </c>
      <c r="AH5329">
        <v>43.273551705440703</v>
      </c>
      <c r="AI5329">
        <v>91.475338635550102</v>
      </c>
      <c r="AJ5329">
        <v>96.713408634558206</v>
      </c>
      <c r="AK5329">
        <v>43.586762212440298</v>
      </c>
      <c r="AL5329">
        <v>78.319154949999302</v>
      </c>
      <c r="AM5329">
        <v>91.653333170678295</v>
      </c>
      <c r="AN5329">
        <v>0.99999993454995695</v>
      </c>
    </row>
    <row r="5330" spans="1:40" x14ac:dyDescent="0.25">
      <c r="A5330" t="str">
        <f>"20190303170918500"</f>
        <v>20190303170918500</v>
      </c>
      <c r="B5330" t="str">
        <f>"1551604158488795"</f>
        <v>1551604158488795</v>
      </c>
      <c r="C5330" t="s">
        <v>40</v>
      </c>
      <c r="D5330">
        <v>4.9585839999999903</v>
      </c>
      <c r="E5330">
        <v>0.47069660000000002</v>
      </c>
      <c r="F5330" t="s">
        <v>43</v>
      </c>
      <c r="G5330">
        <v>-188.1808</v>
      </c>
      <c r="H5330" s="1">
        <v>-4.4272499999999998E-6</v>
      </c>
      <c r="I5330">
        <v>39.200589999999998</v>
      </c>
      <c r="J5330">
        <v>-186.26580000000001</v>
      </c>
      <c r="K5330">
        <v>1.1222379999999901</v>
      </c>
      <c r="L5330">
        <v>-4.4382929999999998</v>
      </c>
      <c r="M5330">
        <v>7.0412240000000001E-2</v>
      </c>
      <c r="N5330">
        <v>-9.241473E-3</v>
      </c>
      <c r="O5330">
        <v>0.99747509999999995</v>
      </c>
      <c r="P5330">
        <v>4.2850869999999999E-2</v>
      </c>
      <c r="Q5330">
        <v>0.19391430000000001</v>
      </c>
      <c r="R5330">
        <v>0.98008220000000001</v>
      </c>
      <c r="S5330">
        <v>-0.12887570000000001</v>
      </c>
      <c r="T5330">
        <v>-7.7814939999999999E-2</v>
      </c>
      <c r="U5330">
        <v>3.0824889999999998</v>
      </c>
      <c r="V5330">
        <v>-2.715588E-2</v>
      </c>
      <c r="W5330">
        <v>0.20285210000000001</v>
      </c>
      <c r="X5330">
        <v>0.97883279999999995</v>
      </c>
      <c r="Y5330">
        <v>-0.1119995</v>
      </c>
      <c r="Z5330">
        <v>-1.5798610000000001E-2</v>
      </c>
      <c r="AA5330">
        <v>0.99358270000000004</v>
      </c>
      <c r="AB5330">
        <v>38</v>
      </c>
      <c r="AC5330">
        <v>-1.91499999999999</v>
      </c>
      <c r="AD5330">
        <v>-1.12224242724999</v>
      </c>
      <c r="AE5330">
        <v>43.638883</v>
      </c>
      <c r="AF5330">
        <v>-4.9798024315148997</v>
      </c>
      <c r="AG5330">
        <v>-1.12224242724999</v>
      </c>
      <c r="AH5330">
        <v>43.367090493162401</v>
      </c>
      <c r="AI5330">
        <v>91.472681553800896</v>
      </c>
      <c r="AJ5330">
        <v>96.550530164038307</v>
      </c>
      <c r="AK5330">
        <v>43.666490563870298</v>
      </c>
      <c r="AL5330">
        <v>78.296208553711395</v>
      </c>
      <c r="AM5330">
        <v>91.589156299804202</v>
      </c>
      <c r="AN5330">
        <v>1.0000000333244099</v>
      </c>
    </row>
    <row r="5331" spans="1:40" x14ac:dyDescent="0.25">
      <c r="A5331" t="str">
        <f>"20190303170918540"</f>
        <v>20190303170918540</v>
      </c>
      <c r="B5331" t="str">
        <f>"1551604158528810"</f>
        <v>1551604158528810</v>
      </c>
      <c r="C5331" t="s">
        <v>40</v>
      </c>
      <c r="D5331">
        <v>4.9506420000000002</v>
      </c>
      <c r="E5331">
        <v>0.4713368</v>
      </c>
      <c r="F5331" t="s">
        <v>43</v>
      </c>
      <c r="G5331">
        <v>-188.167</v>
      </c>
      <c r="H5331" s="1">
        <v>-4.542747E-6</v>
      </c>
      <c r="I5331">
        <v>39.464100000000002</v>
      </c>
      <c r="J5331">
        <v>-186.22149999999999</v>
      </c>
      <c r="K5331">
        <v>1.1222749999999999</v>
      </c>
      <c r="L5331">
        <v>-3.7634889999999999</v>
      </c>
      <c r="M5331">
        <v>6.7148509999999995E-2</v>
      </c>
      <c r="N5331">
        <v>-9.2706049999999995E-3</v>
      </c>
      <c r="O5331">
        <v>0.99769989999999997</v>
      </c>
      <c r="P5331">
        <v>3.7775700000000002E-2</v>
      </c>
      <c r="Q5331">
        <v>0.19492139999999999</v>
      </c>
      <c r="R5331">
        <v>0.98009120000000005</v>
      </c>
      <c r="S5331">
        <v>-0.13348389999999999</v>
      </c>
      <c r="T5331">
        <v>-7.8792929999999997E-2</v>
      </c>
      <c r="U5331">
        <v>3.0823969999999998</v>
      </c>
      <c r="V5331">
        <v>-2.9025829999999999E-2</v>
      </c>
      <c r="W5331">
        <v>0.203876</v>
      </c>
      <c r="X5331">
        <v>0.9785663</v>
      </c>
      <c r="Y5331">
        <v>-0.1102321</v>
      </c>
      <c r="Z5331">
        <v>-1.6095410000000001E-2</v>
      </c>
      <c r="AA5331">
        <v>0.99377550000000003</v>
      </c>
      <c r="AB5331">
        <v>38</v>
      </c>
      <c r="AC5331">
        <v>-1.9455</v>
      </c>
      <c r="AD5331">
        <v>-1.12227954274699</v>
      </c>
      <c r="AE5331">
        <v>43.227589000000002</v>
      </c>
      <c r="AF5331">
        <v>-4.8406454577005302</v>
      </c>
      <c r="AG5331">
        <v>-1.12227954274699</v>
      </c>
      <c r="AH5331">
        <v>42.970467640414</v>
      </c>
      <c r="AI5331">
        <v>91.4866811224652</v>
      </c>
      <c r="AJ5331">
        <v>96.427302875389003</v>
      </c>
      <c r="AK5331">
        <v>43.256819682624503</v>
      </c>
      <c r="AL5331">
        <v>78.236290484334603</v>
      </c>
      <c r="AM5331">
        <v>91.698985636844</v>
      </c>
      <c r="AN5331">
        <v>0.99999996283943804</v>
      </c>
    </row>
    <row r="5332" spans="1:40" x14ac:dyDescent="0.25">
      <c r="A5332" t="str">
        <f>"20190303170918561"</f>
        <v>20190303170918561</v>
      </c>
      <c r="B5332" t="str">
        <f>"1551604158549306"</f>
        <v>1551604158549306</v>
      </c>
      <c r="C5332" t="s">
        <v>40</v>
      </c>
      <c r="D5332">
        <v>4.9180339999999996</v>
      </c>
      <c r="E5332">
        <v>0.4715858</v>
      </c>
      <c r="F5332" t="s">
        <v>43</v>
      </c>
      <c r="G5332">
        <v>-188.28219999999999</v>
      </c>
      <c r="H5332" s="1">
        <v>-7.558248E-7</v>
      </c>
      <c r="I5332">
        <v>40.52599</v>
      </c>
      <c r="J5332">
        <v>-186.19880000000001</v>
      </c>
      <c r="K5332">
        <v>1.1222920000000001</v>
      </c>
      <c r="L5332">
        <v>-3.4045100000000001</v>
      </c>
      <c r="M5332">
        <v>6.5412860000000003E-2</v>
      </c>
      <c r="N5332">
        <v>-9.2925500000000001E-3</v>
      </c>
      <c r="O5332">
        <v>0.99781500000000001</v>
      </c>
      <c r="P5332">
        <v>3.6380469999999998E-2</v>
      </c>
      <c r="Q5332">
        <v>0.1965508</v>
      </c>
      <c r="R5332">
        <v>0.97981850000000004</v>
      </c>
      <c r="S5332">
        <v>-0.1434021</v>
      </c>
      <c r="T5332">
        <v>-7.8096509999999994E-2</v>
      </c>
      <c r="U5332">
        <v>3.082001</v>
      </c>
      <c r="V5332">
        <v>-2.8705890000000001E-2</v>
      </c>
      <c r="W5332">
        <v>0.2055245</v>
      </c>
      <c r="X5332">
        <v>0.97823090000000001</v>
      </c>
      <c r="Y5332">
        <v>-0.1117002</v>
      </c>
      <c r="Z5332">
        <v>-1.585232E-2</v>
      </c>
      <c r="AA5332">
        <v>0.99361549999999998</v>
      </c>
      <c r="AB5332">
        <v>38</v>
      </c>
      <c r="AC5332">
        <v>-2.0833999999999802</v>
      </c>
      <c r="AD5332">
        <v>-1.1222927558247999</v>
      </c>
      <c r="AE5332">
        <v>43.930500000000002</v>
      </c>
      <c r="AF5332">
        <v>-4.9494583241985701</v>
      </c>
      <c r="AG5332">
        <v>-1.1222927558247999</v>
      </c>
      <c r="AH5332">
        <v>43.671679890922697</v>
      </c>
      <c r="AI5332">
        <v>91.462726578073401</v>
      </c>
      <c r="AJ5332">
        <v>96.465933743869599</v>
      </c>
      <c r="AK5332">
        <v>43.965580892648099</v>
      </c>
      <c r="AL5332">
        <v>78.139795756025194</v>
      </c>
      <c r="AM5332">
        <v>91.680844972760895</v>
      </c>
      <c r="AN5332">
        <v>1.0000000209678701</v>
      </c>
    </row>
    <row r="5333" spans="1:40" x14ac:dyDescent="0.25">
      <c r="A5333" t="str">
        <f>"20190303170918608"</f>
        <v>20190303170918608</v>
      </c>
      <c r="B5333" t="str">
        <f>"1551604158599082"</f>
        <v>1551604158599082</v>
      </c>
      <c r="C5333" t="s">
        <v>40</v>
      </c>
      <c r="D5333">
        <v>4.7615790000000002</v>
      </c>
      <c r="E5333">
        <v>0.47871029999999998</v>
      </c>
      <c r="F5333" t="s">
        <v>43</v>
      </c>
      <c r="G5333">
        <v>-188.43340000000001</v>
      </c>
      <c r="H5333" s="1">
        <v>-1.9866690000000002E-6</v>
      </c>
      <c r="I5333">
        <v>43.61598</v>
      </c>
      <c r="J5333">
        <v>-186.15129999999999</v>
      </c>
      <c r="K5333">
        <v>1.122317</v>
      </c>
      <c r="L5333">
        <v>-2.617432</v>
      </c>
      <c r="M5333">
        <v>6.1609419999999998E-2</v>
      </c>
      <c r="N5333">
        <v>-9.3645789999999996E-3</v>
      </c>
      <c r="O5333">
        <v>0.99805639999999995</v>
      </c>
      <c r="P5333">
        <v>3.1762289999999999E-2</v>
      </c>
      <c r="Q5333">
        <v>0.198098</v>
      </c>
      <c r="R5333">
        <v>0.97966750000000002</v>
      </c>
      <c r="S5333">
        <v>-0.14646909999999999</v>
      </c>
      <c r="T5333">
        <v>-7.3561790000000002E-2</v>
      </c>
      <c r="U5333">
        <v>3.082001</v>
      </c>
      <c r="V5333">
        <v>-2.9586080000000001E-2</v>
      </c>
      <c r="W5333">
        <v>0.2071337</v>
      </c>
      <c r="X5333">
        <v>0.97786519999999999</v>
      </c>
      <c r="Y5333">
        <v>-0.1089011</v>
      </c>
      <c r="Z5333">
        <v>-1.4332370000000001E-2</v>
      </c>
      <c r="AA5333">
        <v>0.99394930000000004</v>
      </c>
      <c r="AB5333">
        <v>38</v>
      </c>
      <c r="AC5333">
        <v>-2.28210000000001</v>
      </c>
      <c r="AD5333">
        <v>-1.122318986669</v>
      </c>
      <c r="AE5333">
        <v>46.233412000000001</v>
      </c>
      <c r="AF5333">
        <v>-5.1232912978121696</v>
      </c>
      <c r="AG5333">
        <v>-1.122318986669</v>
      </c>
      <c r="AH5333">
        <v>45.977943316854898</v>
      </c>
      <c r="AI5333">
        <v>91.3897113930675</v>
      </c>
      <c r="AJ5333">
        <v>96.358201218183098</v>
      </c>
      <c r="AK5333">
        <v>46.2761167912563</v>
      </c>
      <c r="AL5333">
        <v>78.045567923502503</v>
      </c>
      <c r="AM5333">
        <v>91.733000155936494</v>
      </c>
      <c r="AN5333">
        <v>1.0000000275882399</v>
      </c>
    </row>
    <row r="5334" spans="1:40" x14ac:dyDescent="0.25">
      <c r="A5334" t="str">
        <f>"20190303170918632"</f>
        <v>20190303170918632</v>
      </c>
      <c r="B5334" t="str">
        <f>"1551604158619578"</f>
        <v>1551604158619578</v>
      </c>
      <c r="C5334" t="s">
        <v>40</v>
      </c>
      <c r="D5334">
        <v>4.914371</v>
      </c>
      <c r="E5334">
        <v>0.4790124</v>
      </c>
      <c r="F5334" t="s">
        <v>43</v>
      </c>
      <c r="G5334">
        <v>-187.54660000000001</v>
      </c>
      <c r="H5334" s="1">
        <v>-4.4041069999999999E-6</v>
      </c>
      <c r="I5334">
        <v>38.884410000000003</v>
      </c>
      <c r="J5334">
        <v>-186.1285</v>
      </c>
      <c r="K5334">
        <v>1.1223270000000001</v>
      </c>
      <c r="L5334">
        <v>-2.221069</v>
      </c>
      <c r="M5334">
        <v>5.9693740000000002E-2</v>
      </c>
      <c r="N5334">
        <v>-9.4091899999999996E-3</v>
      </c>
      <c r="O5334">
        <v>0.99817239999999996</v>
      </c>
      <c r="P5334">
        <v>2.8762030000000001E-2</v>
      </c>
      <c r="Q5334">
        <v>0.19699150000000001</v>
      </c>
      <c r="R5334">
        <v>0.97998320000000005</v>
      </c>
      <c r="S5334">
        <v>-0.1036377</v>
      </c>
      <c r="T5334">
        <v>-8.3358760000000004E-2</v>
      </c>
      <c r="U5334">
        <v>3.0824889999999998</v>
      </c>
      <c r="V5334">
        <v>-3.0718269999999999E-2</v>
      </c>
      <c r="W5334">
        <v>0.20606769999999999</v>
      </c>
      <c r="X5334">
        <v>0.97805549999999997</v>
      </c>
      <c r="Y5334">
        <v>-9.3184030000000001E-2</v>
      </c>
      <c r="Z5334">
        <v>-1.7477670000000001E-2</v>
      </c>
      <c r="AA5334">
        <v>0.99549549999999998</v>
      </c>
      <c r="AB5334">
        <v>38</v>
      </c>
      <c r="AC5334">
        <v>-1.4180999999999999</v>
      </c>
      <c r="AD5334">
        <v>-1.1223314041069901</v>
      </c>
      <c r="AE5334">
        <v>41.105479000000003</v>
      </c>
      <c r="AF5334">
        <v>-3.8665402684530701</v>
      </c>
      <c r="AG5334">
        <v>-1.1223314041069901</v>
      </c>
      <c r="AH5334">
        <v>40.917048197625803</v>
      </c>
      <c r="AI5334">
        <v>91.564231696485905</v>
      </c>
      <c r="AJ5334">
        <v>95.398251870357697</v>
      </c>
      <c r="AK5334">
        <v>41.1146518243198</v>
      </c>
      <c r="AL5334">
        <v>78.107992094780101</v>
      </c>
      <c r="AM5334">
        <v>91.798925370138704</v>
      </c>
      <c r="AN5334">
        <v>1.0000000350876601</v>
      </c>
    </row>
    <row r="5335" spans="1:40" x14ac:dyDescent="0.25">
      <c r="A5335" t="str">
        <f>"20190303170918652"</f>
        <v>20190303170918652</v>
      </c>
      <c r="B5335" t="str">
        <f>"1551604158639098"</f>
        <v>1551604158639098</v>
      </c>
      <c r="C5335" t="s">
        <v>40</v>
      </c>
      <c r="D5335">
        <v>4.7748670000000004</v>
      </c>
      <c r="E5335">
        <v>0.4795449</v>
      </c>
      <c r="F5335" t="s">
        <v>43</v>
      </c>
      <c r="G5335">
        <v>-187.57509999999999</v>
      </c>
      <c r="H5335" s="1">
        <v>-4.166876E-6</v>
      </c>
      <c r="I5335">
        <v>38.34319</v>
      </c>
      <c r="J5335">
        <v>-186.108</v>
      </c>
      <c r="K5335">
        <v>1.1223479999999999</v>
      </c>
      <c r="L5335">
        <v>-1.8526609999999999</v>
      </c>
      <c r="M5335">
        <v>5.791234E-2</v>
      </c>
      <c r="N5335">
        <v>-9.4615069999999992E-3</v>
      </c>
      <c r="O5335">
        <v>0.99827679999999996</v>
      </c>
      <c r="P5335">
        <v>2.7227830000000001E-2</v>
      </c>
      <c r="Q5335">
        <v>0.19739660000000001</v>
      </c>
      <c r="R5335">
        <v>0.97994550000000002</v>
      </c>
      <c r="S5335">
        <v>-0.1098938</v>
      </c>
      <c r="T5335">
        <v>-8.5262660000000004E-2</v>
      </c>
      <c r="U5335">
        <v>3.0816349999999999</v>
      </c>
      <c r="V5335">
        <v>-3.0504940000000001E-2</v>
      </c>
      <c r="W5335">
        <v>0.20652300000000001</v>
      </c>
      <c r="X5335">
        <v>0.97796609999999995</v>
      </c>
      <c r="Y5335">
        <v>-9.343427E-2</v>
      </c>
      <c r="Z5335">
        <v>-1.8049630000000001E-2</v>
      </c>
      <c r="AA5335">
        <v>0.99546179999999995</v>
      </c>
      <c r="AB5335">
        <v>38</v>
      </c>
      <c r="AC5335">
        <v>-1.4670999999999801</v>
      </c>
      <c r="AD5335">
        <v>-1.1223521668759999</v>
      </c>
      <c r="AE5335">
        <v>40.195850999999998</v>
      </c>
      <c r="AF5335">
        <v>-3.7896269522439701</v>
      </c>
      <c r="AG5335">
        <v>-1.1223521668759999</v>
      </c>
      <c r="AH5335">
        <v>40.012262347086299</v>
      </c>
      <c r="AI5335">
        <v>91.599582454505097</v>
      </c>
      <c r="AJ5335">
        <v>95.410437969822695</v>
      </c>
      <c r="AK5335">
        <v>40.206990498615099</v>
      </c>
      <c r="AL5335">
        <v>78.081331396460797</v>
      </c>
      <c r="AM5335">
        <v>91.786603648125507</v>
      </c>
      <c r="AN5335">
        <v>0.99999999682130603</v>
      </c>
    </row>
    <row r="5336" spans="1:40" x14ac:dyDescent="0.25">
      <c r="A5336" t="str">
        <f>"20190303170918677"</f>
        <v>20190303170918677</v>
      </c>
      <c r="B5336" t="str">
        <f>"1551604158669354"</f>
        <v>1551604158669354</v>
      </c>
      <c r="C5336" t="s">
        <v>40</v>
      </c>
      <c r="D5336">
        <v>4.9484750000000002</v>
      </c>
      <c r="E5336">
        <v>0.48018549999999899</v>
      </c>
      <c r="F5336" t="s">
        <v>43</v>
      </c>
      <c r="G5336">
        <v>-187.57640000000001</v>
      </c>
      <c r="H5336" s="1">
        <v>-4.3384449999999996E-6</v>
      </c>
      <c r="I5336">
        <v>38.743679999999998</v>
      </c>
      <c r="J5336">
        <v>-186.0865</v>
      </c>
      <c r="K5336">
        <v>1.122366</v>
      </c>
      <c r="L5336">
        <v>-1.4513849999999999</v>
      </c>
      <c r="M5336">
        <v>5.5970209999999999E-2</v>
      </c>
      <c r="N5336">
        <v>-9.5279719999999991E-3</v>
      </c>
      <c r="O5336">
        <v>0.99838700000000002</v>
      </c>
      <c r="P5336">
        <v>2.6152870000000002E-2</v>
      </c>
      <c r="Q5336">
        <v>0.1982574</v>
      </c>
      <c r="R5336">
        <v>0.97980100000000003</v>
      </c>
      <c r="S5336">
        <v>-0.1114655</v>
      </c>
      <c r="T5336">
        <v>-8.5197690000000006E-2</v>
      </c>
      <c r="U5336">
        <v>3.0816650000000001</v>
      </c>
      <c r="V5336">
        <v>-2.9672170000000001E-2</v>
      </c>
      <c r="W5336">
        <v>0.20745050000000001</v>
      </c>
      <c r="X5336">
        <v>0.97779539999999998</v>
      </c>
      <c r="Y5336">
        <v>-9.2004219999999998E-2</v>
      </c>
      <c r="Z5336">
        <v>-1.7968250000000002E-2</v>
      </c>
      <c r="AA5336">
        <v>0.9955965</v>
      </c>
      <c r="AB5336">
        <v>38</v>
      </c>
      <c r="AC5336">
        <v>-1.4899</v>
      </c>
      <c r="AD5336">
        <v>-1.1223703384449999</v>
      </c>
      <c r="AE5336">
        <v>40.195065</v>
      </c>
      <c r="AF5336">
        <v>-3.7344847997555499</v>
      </c>
      <c r="AG5336">
        <v>-1.1223703384449999</v>
      </c>
      <c r="AH5336">
        <v>40.017498482438597</v>
      </c>
      <c r="AI5336">
        <v>91.599606285086097</v>
      </c>
      <c r="AJ5336">
        <v>95.331475118331198</v>
      </c>
      <c r="AK5336">
        <v>40.207042625492903</v>
      </c>
      <c r="AL5336">
        <v>78.0270132198456</v>
      </c>
      <c r="AM5336">
        <v>91.738163770223693</v>
      </c>
      <c r="AN5336">
        <v>0.99999999594195899</v>
      </c>
    </row>
    <row r="5337" spans="1:40" x14ac:dyDescent="0.25">
      <c r="A5337" t="str">
        <f>"20190303170918720"</f>
        <v>20190303170918720</v>
      </c>
      <c r="B5337" t="str">
        <f>"1551604158709369"</f>
        <v>1551604158709369</v>
      </c>
      <c r="C5337" t="s">
        <v>40</v>
      </c>
      <c r="D5337">
        <v>4.9554819999999999</v>
      </c>
      <c r="E5337">
        <v>0.48078159999999998</v>
      </c>
      <c r="F5337" t="s">
        <v>43</v>
      </c>
      <c r="G5337">
        <v>-187.57230000000001</v>
      </c>
      <c r="H5337" s="1">
        <v>-7.2390329999999997E-7</v>
      </c>
      <c r="I5337">
        <v>39.87715</v>
      </c>
      <c r="J5337">
        <v>-186.04910000000001</v>
      </c>
      <c r="K5337">
        <v>1.1223920000000001</v>
      </c>
      <c r="L5337">
        <v>-0.71783450000000004</v>
      </c>
      <c r="M5337">
        <v>5.241581E-2</v>
      </c>
      <c r="N5337">
        <v>-9.6577079999999992E-3</v>
      </c>
      <c r="O5337">
        <v>0.99857870000000004</v>
      </c>
      <c r="P5337">
        <v>2.4135400000000001E-2</v>
      </c>
      <c r="Q5337">
        <v>0.19718540000000001</v>
      </c>
      <c r="R5337">
        <v>0.98006910000000003</v>
      </c>
      <c r="S5337">
        <v>-0.11079410000000001</v>
      </c>
      <c r="T5337">
        <v>-8.3691000000000002E-2</v>
      </c>
      <c r="U5337">
        <v>3.0817260000000002</v>
      </c>
      <c r="V5337">
        <v>-2.8215230000000001E-2</v>
      </c>
      <c r="W5337">
        <v>0.20651369999999999</v>
      </c>
      <c r="X5337">
        <v>0.97803680000000004</v>
      </c>
      <c r="Y5337">
        <v>-8.8242609999999999E-2</v>
      </c>
      <c r="Z5337">
        <v>-1.736499E-2</v>
      </c>
      <c r="AA5337">
        <v>0.99594769999999999</v>
      </c>
      <c r="AB5337">
        <v>38</v>
      </c>
      <c r="AC5337">
        <v>-1.5232000000000001</v>
      </c>
      <c r="AD5337">
        <v>-1.1223927239033</v>
      </c>
      <c r="AE5337">
        <v>40.594984499999903</v>
      </c>
      <c r="AF5337">
        <v>-3.6462406277008999</v>
      </c>
      <c r="AG5337">
        <v>-1.1223927239033</v>
      </c>
      <c r="AH5337">
        <v>40.428469984489801</v>
      </c>
      <c r="AI5337">
        <v>91.583836508394</v>
      </c>
      <c r="AJ5337">
        <v>95.153558772912305</v>
      </c>
      <c r="AK5337">
        <v>40.608078277955499</v>
      </c>
      <c r="AL5337">
        <v>78.081875962934504</v>
      </c>
      <c r="AM5337">
        <v>91.652458621352807</v>
      </c>
      <c r="AN5337">
        <v>0.999999994822941</v>
      </c>
    </row>
    <row r="5338" spans="1:40" x14ac:dyDescent="0.25">
      <c r="A5338" t="str">
        <f>"20190303170918740"</f>
        <v>20190303170918740</v>
      </c>
      <c r="B5338" t="str">
        <f>"1551604158728890"</f>
        <v>1551604158728890</v>
      </c>
      <c r="C5338" t="s">
        <v>40</v>
      </c>
      <c r="D5338">
        <v>4.827248</v>
      </c>
      <c r="E5338">
        <v>0.48338229999999999</v>
      </c>
      <c r="F5338" t="s">
        <v>43</v>
      </c>
      <c r="G5338">
        <v>-187.50749999999999</v>
      </c>
      <c r="H5338" s="1">
        <v>-4.4971620000000001E-6</v>
      </c>
      <c r="I5338">
        <v>39.085140000000003</v>
      </c>
      <c r="J5338">
        <v>-186.03200000000001</v>
      </c>
      <c r="K5338">
        <v>1.1224080000000001</v>
      </c>
      <c r="L5338">
        <v>-0.3649597</v>
      </c>
      <c r="M5338">
        <v>5.070467E-2</v>
      </c>
      <c r="N5338">
        <v>-9.716499E-3</v>
      </c>
      <c r="O5338">
        <v>0.99866639999999995</v>
      </c>
      <c r="P5338">
        <v>2.4628890000000001E-2</v>
      </c>
      <c r="Q5338">
        <v>0.19753889999999999</v>
      </c>
      <c r="R5338">
        <v>0.97998560000000001</v>
      </c>
      <c r="S5338">
        <v>-0.11289979999999999</v>
      </c>
      <c r="T5338">
        <v>-8.6888069999999998E-2</v>
      </c>
      <c r="U5338">
        <v>3.0812680000000001</v>
      </c>
      <c r="V5338">
        <v>-2.6043739999999999E-2</v>
      </c>
      <c r="W5338">
        <v>0.20693400000000001</v>
      </c>
      <c r="X5338">
        <v>0.97800819999999999</v>
      </c>
      <c r="Y5338">
        <v>-8.72198E-2</v>
      </c>
      <c r="Z5338">
        <v>-1.8347080000000002E-2</v>
      </c>
      <c r="AA5338">
        <v>0.99602009999999996</v>
      </c>
      <c r="AB5338">
        <v>38</v>
      </c>
      <c r="AC5338">
        <v>-1.47549999999998</v>
      </c>
      <c r="AD5338">
        <v>-1.122412497162</v>
      </c>
      <c r="AE5338">
        <v>39.450099700000003</v>
      </c>
      <c r="AF5338">
        <v>-3.4711946826890099</v>
      </c>
      <c r="AG5338">
        <v>-1.122412497162</v>
      </c>
      <c r="AH5338">
        <v>39.292769134603098</v>
      </c>
      <c r="AI5338">
        <v>91.629885970417305</v>
      </c>
      <c r="AJ5338">
        <v>95.048507264451899</v>
      </c>
      <c r="AK5338">
        <v>39.4617626140056</v>
      </c>
      <c r="AL5338">
        <v>78.057262926158799</v>
      </c>
      <c r="AM5338">
        <v>91.525389887011201</v>
      </c>
      <c r="AN5338">
        <v>0.99999999800821304</v>
      </c>
    </row>
    <row r="5339" spans="1:40" x14ac:dyDescent="0.25">
      <c r="A5339" t="str">
        <f>"20190303170918763"</f>
        <v>20190303170918763</v>
      </c>
      <c r="B5339" t="str">
        <f>"1551604158759146"</f>
        <v>1551604158759146</v>
      </c>
      <c r="C5339" t="s">
        <v>40</v>
      </c>
      <c r="D5339">
        <v>4.8857140000000001</v>
      </c>
      <c r="E5339">
        <v>0.48337089999999999</v>
      </c>
      <c r="F5339" t="s">
        <v>43</v>
      </c>
      <c r="G5339">
        <v>-187.2379</v>
      </c>
      <c r="H5339" s="1">
        <v>-8.0703999999999905E-7</v>
      </c>
      <c r="I5339">
        <v>39.859960000000001</v>
      </c>
      <c r="J5339">
        <v>-186.01400000000001</v>
      </c>
      <c r="K5339">
        <v>1.12242</v>
      </c>
      <c r="L5339">
        <v>2.2766109999999999E-2</v>
      </c>
      <c r="M5339">
        <v>4.882388E-2</v>
      </c>
      <c r="N5339">
        <v>-9.7789139999999997E-3</v>
      </c>
      <c r="O5339">
        <v>0.99875950000000002</v>
      </c>
      <c r="P5339">
        <v>2.4186260000000001E-2</v>
      </c>
      <c r="Q5339">
        <v>0.19863939999999999</v>
      </c>
      <c r="R5339">
        <v>0.97977420000000004</v>
      </c>
      <c r="S5339">
        <v>-9.2361449999999998E-2</v>
      </c>
      <c r="T5339">
        <v>-8.5968260000000005E-2</v>
      </c>
      <c r="U5339">
        <v>3.0809329999999999</v>
      </c>
      <c r="V5339">
        <v>-2.4637969999999999E-2</v>
      </c>
      <c r="W5339">
        <v>0.20810020000000001</v>
      </c>
      <c r="X5339">
        <v>0.97779720000000003</v>
      </c>
      <c r="Y5339">
        <v>-7.8714119999999999E-2</v>
      </c>
      <c r="Z5339">
        <v>-1.800945E-2</v>
      </c>
      <c r="AA5339">
        <v>0.99673460000000003</v>
      </c>
      <c r="AB5339">
        <v>38</v>
      </c>
      <c r="AC5339">
        <v>-1.22389999999998</v>
      </c>
      <c r="AD5339">
        <v>-1.1224208070399999</v>
      </c>
      <c r="AE5339">
        <v>39.837193890000002</v>
      </c>
      <c r="AF5339">
        <v>-3.1650295171677101</v>
      </c>
      <c r="AG5339">
        <v>-1.1224208070399999</v>
      </c>
      <c r="AH5339">
        <v>39.698436666653002</v>
      </c>
      <c r="AI5339">
        <v>91.614410909407198</v>
      </c>
      <c r="AJ5339">
        <v>94.558367541126202</v>
      </c>
      <c r="AK5339">
        <v>39.840219804725997</v>
      </c>
      <c r="AL5339">
        <v>77.988958228439401</v>
      </c>
      <c r="AM5339">
        <v>91.443400587771805</v>
      </c>
      <c r="AN5339">
        <v>1.00000004356679</v>
      </c>
    </row>
    <row r="5340" spans="1:40" x14ac:dyDescent="0.25">
      <c r="A5340" t="str">
        <f>"20190303170918786"</f>
        <v>20190303170918786</v>
      </c>
      <c r="B5340" t="str">
        <f>"1551604158779643"</f>
        <v>1551604158779643</v>
      </c>
      <c r="C5340" t="s">
        <v>40</v>
      </c>
      <c r="D5340">
        <v>4.9607640000000002</v>
      </c>
      <c r="E5340">
        <v>0.48345460000000001</v>
      </c>
      <c r="F5340" t="s">
        <v>43</v>
      </c>
      <c r="G5340">
        <v>-187.32220000000001</v>
      </c>
      <c r="H5340" s="1">
        <v>-1.884643E-6</v>
      </c>
      <c r="I5340">
        <v>42.918669999999999</v>
      </c>
      <c r="J5340">
        <v>-185.99600000000001</v>
      </c>
      <c r="K5340">
        <v>1.1224240000000001</v>
      </c>
      <c r="L5340">
        <v>0.42550660000000001</v>
      </c>
      <c r="M5340">
        <v>4.6869750000000002E-2</v>
      </c>
      <c r="N5340">
        <v>-9.8459380000000003E-3</v>
      </c>
      <c r="O5340">
        <v>0.99885250000000003</v>
      </c>
      <c r="P5340">
        <v>2.1597390000000001E-2</v>
      </c>
      <c r="Q5340">
        <v>0.19901759999999999</v>
      </c>
      <c r="R5340">
        <v>0.97975789999999996</v>
      </c>
      <c r="S5340">
        <v>-9.3948359999999995E-2</v>
      </c>
      <c r="T5340">
        <v>-8.0607410000000004E-2</v>
      </c>
      <c r="U5340">
        <v>3.080597</v>
      </c>
      <c r="V5340">
        <v>-2.5309729999999999E-2</v>
      </c>
      <c r="W5340">
        <v>0.20853949999999999</v>
      </c>
      <c r="X5340">
        <v>0.97768639999999996</v>
      </c>
      <c r="Y5340">
        <v>-7.7281649999999993E-2</v>
      </c>
      <c r="Z5340">
        <v>-1.621804E-2</v>
      </c>
      <c r="AA5340">
        <v>0.99687740000000002</v>
      </c>
      <c r="AB5340">
        <v>38</v>
      </c>
      <c r="AC5340">
        <v>-1.32620000000002</v>
      </c>
      <c r="AD5340">
        <v>-1.122425884643</v>
      </c>
      <c r="AE5340">
        <v>42.493163399999901</v>
      </c>
      <c r="AF5340">
        <v>-3.31417274104429</v>
      </c>
      <c r="AG5340">
        <v>-1.122425884643</v>
      </c>
      <c r="AH5340">
        <v>42.354774860676997</v>
      </c>
      <c r="AI5340">
        <v>91.513391988390694</v>
      </c>
      <c r="AJ5340">
        <v>94.474158671589606</v>
      </c>
      <c r="AK5340">
        <v>42.499065099395203</v>
      </c>
      <c r="AL5340">
        <v>77.963223076384594</v>
      </c>
      <c r="AM5340">
        <v>91.482905868044199</v>
      </c>
      <c r="AN5340">
        <v>1.0000000011189401</v>
      </c>
    </row>
    <row r="5341" spans="1:40" x14ac:dyDescent="0.25">
      <c r="A5341" t="str">
        <f>"20190303170918807"</f>
        <v>20190303170918807</v>
      </c>
      <c r="B5341" t="str">
        <f>"1551604158799162"</f>
        <v>1551604158799162</v>
      </c>
      <c r="C5341" t="s">
        <v>40</v>
      </c>
      <c r="D5341">
        <v>4.8945339999999904</v>
      </c>
      <c r="E5341">
        <v>0.47917470000000001</v>
      </c>
      <c r="F5341" t="s">
        <v>43</v>
      </c>
      <c r="G5341">
        <v>-187.40729999999999</v>
      </c>
      <c r="H5341" s="1">
        <v>-2.2807119999999999E-6</v>
      </c>
      <c r="I5341">
        <v>43.877139999999997</v>
      </c>
      <c r="J5341">
        <v>-185.98060000000001</v>
      </c>
      <c r="K5341">
        <v>1.122433</v>
      </c>
      <c r="L5341">
        <v>0.78604130000000005</v>
      </c>
      <c r="M5341">
        <v>4.5119930000000003E-2</v>
      </c>
      <c r="N5341">
        <v>-9.9071260000000005E-3</v>
      </c>
      <c r="O5341">
        <v>0.99893240000000005</v>
      </c>
      <c r="P5341">
        <v>1.8842169999999998E-2</v>
      </c>
      <c r="Q5341">
        <v>0.19890530000000001</v>
      </c>
      <c r="R5341">
        <v>0.97983759999999998</v>
      </c>
      <c r="S5341">
        <v>-0.1000519</v>
      </c>
      <c r="T5341">
        <v>-7.957053E-2</v>
      </c>
      <c r="U5341">
        <v>3.0803530000000001</v>
      </c>
      <c r="V5341">
        <v>-2.6351059999999999E-2</v>
      </c>
      <c r="W5341">
        <v>0.2084821</v>
      </c>
      <c r="X5341">
        <v>0.97767110000000002</v>
      </c>
      <c r="Y5341">
        <v>-7.7511029999999995E-2</v>
      </c>
      <c r="Z5341">
        <v>-1.5825579999999999E-2</v>
      </c>
      <c r="AA5341">
        <v>0.99686589999999997</v>
      </c>
      <c r="AB5341">
        <v>38</v>
      </c>
      <c r="AC5341">
        <v>-1.4266999999999801</v>
      </c>
      <c r="AD5341">
        <v>-1.1224352807119999</v>
      </c>
      <c r="AE5341">
        <v>43.091098700000003</v>
      </c>
      <c r="AF5341">
        <v>-3.3673275343084001</v>
      </c>
      <c r="AG5341">
        <v>-1.1224352807119999</v>
      </c>
      <c r="AH5341">
        <v>42.953721640075401</v>
      </c>
      <c r="AI5341">
        <v>91.492294344849995</v>
      </c>
      <c r="AJ5341">
        <v>94.482495676741294</v>
      </c>
      <c r="AK5341">
        <v>43.100127127605802</v>
      </c>
      <c r="AL5341">
        <v>77.966585411147406</v>
      </c>
      <c r="AM5341">
        <v>91.543912957724999</v>
      </c>
      <c r="AN5341">
        <v>0.99999997207937097</v>
      </c>
    </row>
    <row r="5342" spans="1:40" x14ac:dyDescent="0.25">
      <c r="A5342" t="str">
        <f>"20190303170918851"</f>
        <v>20190303170918851</v>
      </c>
      <c r="B5342" t="str">
        <f>"1551604158839178"</f>
        <v>1551604158839178</v>
      </c>
      <c r="C5342" t="s">
        <v>40</v>
      </c>
      <c r="D5342">
        <v>4.8048719999999996</v>
      </c>
      <c r="E5342">
        <v>0.4790915</v>
      </c>
      <c r="F5342" t="s">
        <v>43</v>
      </c>
      <c r="G5342">
        <v>-188.65780000000001</v>
      </c>
      <c r="H5342" s="1">
        <v>-4.3623389999999997E-6</v>
      </c>
      <c r="I5342">
        <v>59.246490000000001</v>
      </c>
      <c r="J5342">
        <v>-185.95089999999999</v>
      </c>
      <c r="K5342">
        <v>1.122457</v>
      </c>
      <c r="L5342">
        <v>1.528564</v>
      </c>
      <c r="M5342">
        <v>4.1518529999999998E-2</v>
      </c>
      <c r="N5342">
        <v>-1.00342E-2</v>
      </c>
      <c r="O5342">
        <v>0.99908730000000001</v>
      </c>
      <c r="P5342">
        <v>1.531691E-2</v>
      </c>
      <c r="Q5342">
        <v>0.19852909999999999</v>
      </c>
      <c r="R5342">
        <v>0.97997529999999999</v>
      </c>
      <c r="S5342">
        <v>-0.14088439999999999</v>
      </c>
      <c r="T5342">
        <v>-5.906761E-2</v>
      </c>
      <c r="U5342">
        <v>3.0764469999999999</v>
      </c>
      <c r="V5342">
        <v>-2.6349250000000001E-2</v>
      </c>
      <c r="W5342">
        <v>0.20823079999999999</v>
      </c>
      <c r="X5342">
        <v>0.9777247</v>
      </c>
      <c r="Y5342">
        <v>-8.7169620000000003E-2</v>
      </c>
      <c r="Z5342">
        <v>-9.0821600000000006E-3</v>
      </c>
      <c r="AA5342">
        <v>0.99615209999999998</v>
      </c>
      <c r="AB5342">
        <v>38</v>
      </c>
      <c r="AC5342">
        <v>-2.7069000000000099</v>
      </c>
      <c r="AD5342">
        <v>-1.1224613623389901</v>
      </c>
      <c r="AE5342">
        <v>57.717925999999999</v>
      </c>
      <c r="AF5342">
        <v>-5.0991256432376897</v>
      </c>
      <c r="AG5342">
        <v>-1.1224613623389901</v>
      </c>
      <c r="AH5342">
        <v>57.534048994100701</v>
      </c>
      <c r="AI5342">
        <v>91.113308237971793</v>
      </c>
      <c r="AJ5342">
        <v>95.064774840714193</v>
      </c>
      <c r="AK5342">
        <v>57.770475119138901</v>
      </c>
      <c r="AL5342">
        <v>77.981306897542595</v>
      </c>
      <c r="AM5342">
        <v>91.543722368516896</v>
      </c>
      <c r="AN5342">
        <v>0.99999996901714505</v>
      </c>
    </row>
    <row r="5343" spans="1:40" x14ac:dyDescent="0.25">
      <c r="A5343" t="str">
        <f>"20190303170918877"</f>
        <v>20190303170918877</v>
      </c>
      <c r="B5343" t="str">
        <f>"1551604158869433"</f>
        <v>1551604158869433</v>
      </c>
      <c r="C5343" t="s">
        <v>40</v>
      </c>
      <c r="D5343">
        <v>4.9493510000000001</v>
      </c>
      <c r="E5343">
        <v>0.47943599999999997</v>
      </c>
      <c r="F5343" t="s">
        <v>43</v>
      </c>
      <c r="G5343">
        <v>-188.75489999999999</v>
      </c>
      <c r="H5343" s="1">
        <v>-3.6425849999999999E-6</v>
      </c>
      <c r="I5343">
        <v>57.608890000000002</v>
      </c>
      <c r="J5343">
        <v>-185.9349</v>
      </c>
      <c r="K5343">
        <v>1.122466</v>
      </c>
      <c r="L5343">
        <v>1.958923</v>
      </c>
      <c r="M5343">
        <v>3.9432689999999999E-2</v>
      </c>
      <c r="N5343">
        <v>-1.010222E-2</v>
      </c>
      <c r="O5343">
        <v>0.99917109999999998</v>
      </c>
      <c r="P5343">
        <v>1.1415349999999999E-2</v>
      </c>
      <c r="Q5343">
        <v>0.1986462</v>
      </c>
      <c r="R5343">
        <v>0.98000480000000001</v>
      </c>
      <c r="S5343">
        <v>-0.15380859999999999</v>
      </c>
      <c r="T5343">
        <v>-6.157029E-2</v>
      </c>
      <c r="U5343">
        <v>3.0761720000000001</v>
      </c>
      <c r="V5343">
        <v>-2.8206459999999999E-2</v>
      </c>
      <c r="W5343">
        <v>0.2084047</v>
      </c>
      <c r="X5343">
        <v>0.9776359</v>
      </c>
      <c r="Y5343">
        <v>-8.926829E-2</v>
      </c>
      <c r="Z5343">
        <v>-9.8243010000000006E-3</v>
      </c>
      <c r="AA5343">
        <v>0.99595919999999905</v>
      </c>
      <c r="AB5343">
        <v>38</v>
      </c>
      <c r="AC5343">
        <v>-2.8199999999999901</v>
      </c>
      <c r="AD5343">
        <v>-1.122469642585</v>
      </c>
      <c r="AE5343">
        <v>55.649966999999997</v>
      </c>
      <c r="AF5343">
        <v>-5.0103133211713597</v>
      </c>
      <c r="AG5343">
        <v>-1.122469642585</v>
      </c>
      <c r="AH5343">
        <v>55.472963183195802</v>
      </c>
      <c r="AI5343">
        <v>91.154497127245705</v>
      </c>
      <c r="AJ5343">
        <v>95.160946540730507</v>
      </c>
      <c r="AK5343">
        <v>55.7100782803169</v>
      </c>
      <c r="AL5343">
        <v>77.971120509774707</v>
      </c>
      <c r="AM5343">
        <v>91.652622319525904</v>
      </c>
      <c r="AN5343">
        <v>1.0000000381683101</v>
      </c>
    </row>
    <row r="5344" spans="1:40" x14ac:dyDescent="0.25">
      <c r="A5344" t="str">
        <f>"20190303170918899"</f>
        <v>20190303170918899</v>
      </c>
      <c r="B5344" t="str">
        <f>"1551604158888954"</f>
        <v>1551604158888954</v>
      </c>
      <c r="C5344" t="s">
        <v>40</v>
      </c>
      <c r="D5344">
        <v>4.8978359999999999</v>
      </c>
      <c r="E5344">
        <v>0.47966819999999999</v>
      </c>
      <c r="F5344" t="s">
        <v>43</v>
      </c>
      <c r="G5344">
        <v>-189.102</v>
      </c>
      <c r="H5344" s="1">
        <v>-1.1606890000000001E-6</v>
      </c>
      <c r="I5344">
        <v>61.967039999999997</v>
      </c>
      <c r="J5344">
        <v>-185.92070000000001</v>
      </c>
      <c r="K5344">
        <v>1.1224780000000001</v>
      </c>
      <c r="L5344">
        <v>2.3627929999999999</v>
      </c>
      <c r="M5344">
        <v>3.7475849999999998E-2</v>
      </c>
      <c r="N5344">
        <v>-1.0160270000000001E-2</v>
      </c>
      <c r="O5344">
        <v>0.99924590000000002</v>
      </c>
      <c r="P5344">
        <v>8.0415699999999996E-3</v>
      </c>
      <c r="Q5344">
        <v>0.19817409999999999</v>
      </c>
      <c r="R5344">
        <v>0.98013380000000005</v>
      </c>
      <c r="S5344">
        <v>-0.16227720000000001</v>
      </c>
      <c r="T5344">
        <v>-5.7514309999999999E-2</v>
      </c>
      <c r="U5344">
        <v>3.0747680000000002</v>
      </c>
      <c r="V5344">
        <v>-2.9664079999999999E-2</v>
      </c>
      <c r="W5344">
        <v>0.20798269999999999</v>
      </c>
      <c r="X5344">
        <v>0.97768259999999996</v>
      </c>
      <c r="Y5344">
        <v>-9.0077290000000004E-2</v>
      </c>
      <c r="Z5344">
        <v>-8.4617930000000004E-3</v>
      </c>
      <c r="AA5344">
        <v>0.99589879999999997</v>
      </c>
      <c r="AB5344">
        <v>38</v>
      </c>
      <c r="AC5344">
        <v>-3.18129999999999</v>
      </c>
      <c r="AD5344">
        <v>-1.1224791606890001</v>
      </c>
      <c r="AE5344">
        <v>59.604246999999901</v>
      </c>
      <c r="AF5344">
        <v>-5.4109865279927298</v>
      </c>
      <c r="AG5344">
        <v>-1.1224791606890001</v>
      </c>
      <c r="AH5344">
        <v>59.4221303227269</v>
      </c>
      <c r="AI5344">
        <v>91.077725922564198</v>
      </c>
      <c r="AJ5344">
        <v>95.203011392328193</v>
      </c>
      <c r="AK5344">
        <v>59.678541426239903</v>
      </c>
      <c r="AL5344">
        <v>77.995840715574104</v>
      </c>
      <c r="AM5344">
        <v>91.737890520154707</v>
      </c>
      <c r="AN5344">
        <v>1.0000000137421401</v>
      </c>
    </row>
    <row r="5345" spans="1:40" x14ac:dyDescent="0.25">
      <c r="A5345" t="str">
        <f>"20190303170918920"</f>
        <v>20190303170918920</v>
      </c>
      <c r="B5345" t="str">
        <f>"1551604158909452"</f>
        <v>1551604158909452</v>
      </c>
      <c r="C5345" t="s">
        <v>40</v>
      </c>
      <c r="D5345">
        <v>4.9422420000000002</v>
      </c>
      <c r="E5345">
        <v>0.47990630000000001</v>
      </c>
      <c r="F5345" t="s">
        <v>43</v>
      </c>
      <c r="G5345">
        <v>-189.14330000000001</v>
      </c>
      <c r="H5345" s="1">
        <v>-6.4856769999999996E-7</v>
      </c>
      <c r="I5345">
        <v>60.790370000000003</v>
      </c>
      <c r="J5345">
        <v>-185.90889999999999</v>
      </c>
      <c r="K5345">
        <v>1.1224809999999901</v>
      </c>
      <c r="L5345">
        <v>2.716583</v>
      </c>
      <c r="M5345">
        <v>3.5761800000000003E-2</v>
      </c>
      <c r="N5345">
        <v>-1.0206399999999999E-2</v>
      </c>
      <c r="O5345">
        <v>0.99930819999999998</v>
      </c>
      <c r="P5345">
        <v>6.3965319999999999E-3</v>
      </c>
      <c r="Q5345">
        <v>0.1973162</v>
      </c>
      <c r="R5345">
        <v>0.98031900000000005</v>
      </c>
      <c r="S5345">
        <v>-0.1695557</v>
      </c>
      <c r="T5345">
        <v>-5.9058430000000002E-2</v>
      </c>
      <c r="U5345">
        <v>3.0741269999999998</v>
      </c>
      <c r="V5345">
        <v>-2.963153E-2</v>
      </c>
      <c r="W5345">
        <v>0.207172</v>
      </c>
      <c r="X5345">
        <v>0.97785569999999999</v>
      </c>
      <c r="Y5345">
        <v>-9.0730370000000005E-2</v>
      </c>
      <c r="Z5345">
        <v>-8.9197340000000003E-3</v>
      </c>
      <c r="AA5345">
        <v>0.99583549999999998</v>
      </c>
      <c r="AB5345">
        <v>38</v>
      </c>
      <c r="AC5345">
        <v>-3.2344000000000199</v>
      </c>
      <c r="AD5345">
        <v>-1.1224816485676901</v>
      </c>
      <c r="AE5345">
        <v>58.073787000000003</v>
      </c>
      <c r="AF5345">
        <v>-5.3072856267487003</v>
      </c>
      <c r="AG5345">
        <v>-1.1224816485676901</v>
      </c>
      <c r="AH5345">
        <v>57.899397890909597</v>
      </c>
      <c r="AI5345">
        <v>91.106004716612205</v>
      </c>
      <c r="AJ5345">
        <v>95.237319858933006</v>
      </c>
      <c r="AK5345">
        <v>58.152966578714903</v>
      </c>
      <c r="AL5345">
        <v>78.043324718223801</v>
      </c>
      <c r="AM5345">
        <v>91.735677607525702</v>
      </c>
      <c r="AN5345">
        <v>1.0000000175883099</v>
      </c>
    </row>
    <row r="5346" spans="1:40" x14ac:dyDescent="0.25">
      <c r="A5346" t="str">
        <f>"20190303170918940"</f>
        <v>20190303170918940</v>
      </c>
      <c r="B5346" t="str">
        <f>"1551604158928970"</f>
        <v>1551604158928970</v>
      </c>
      <c r="C5346" t="s">
        <v>40</v>
      </c>
      <c r="D5346">
        <v>4.8418049999999999</v>
      </c>
      <c r="E5346">
        <v>0.48034769999999999</v>
      </c>
      <c r="F5346" t="s">
        <v>43</v>
      </c>
      <c r="G5346">
        <v>-189.03229999999999</v>
      </c>
      <c r="H5346" s="1">
        <v>-3.8772470000000001E-6</v>
      </c>
      <c r="I5346">
        <v>58.270609999999998</v>
      </c>
      <c r="J5346">
        <v>-185.89769999999999</v>
      </c>
      <c r="K5346">
        <v>1.122479</v>
      </c>
      <c r="L5346">
        <v>3.0718990000000002</v>
      </c>
      <c r="M5346">
        <v>3.4040340000000002E-2</v>
      </c>
      <c r="N5346">
        <v>-1.024854E-2</v>
      </c>
      <c r="O5346">
        <v>0.99936789999999998</v>
      </c>
      <c r="P5346">
        <v>5.9884550000000002E-3</v>
      </c>
      <c r="Q5346">
        <v>0.1968589</v>
      </c>
      <c r="R5346">
        <v>0.9804136</v>
      </c>
      <c r="S5346">
        <v>-0.172821</v>
      </c>
      <c r="T5346">
        <v>-6.2108040000000003E-2</v>
      </c>
      <c r="U5346">
        <v>3.0738530000000002</v>
      </c>
      <c r="V5346">
        <v>-2.835362E-2</v>
      </c>
      <c r="W5346">
        <v>0.2067629</v>
      </c>
      <c r="X5346">
        <v>0.97798010000000002</v>
      </c>
      <c r="Y5346">
        <v>-9.0073429999999996E-2</v>
      </c>
      <c r="Z5346">
        <v>-9.8693289999999996E-3</v>
      </c>
      <c r="AA5346">
        <v>0.99588620000000005</v>
      </c>
      <c r="AB5346">
        <v>39</v>
      </c>
      <c r="AC5346">
        <v>-3.1345999999999998</v>
      </c>
      <c r="AD5346">
        <v>-1.1224828772469999</v>
      </c>
      <c r="AE5346">
        <v>55.198711000000003</v>
      </c>
      <c r="AF5346">
        <v>-5.00979976154058</v>
      </c>
      <c r="AG5346">
        <v>-1.1224828772469999</v>
      </c>
      <c r="AH5346">
        <v>55.037323164875097</v>
      </c>
      <c r="AI5346">
        <v>91.163572779710094</v>
      </c>
      <c r="AJ5346">
        <v>95.201043816408699</v>
      </c>
      <c r="AK5346">
        <v>55.276260751025298</v>
      </c>
      <c r="AL5346">
        <v>78.067282359094193</v>
      </c>
      <c r="AM5346">
        <v>91.660655289813604</v>
      </c>
      <c r="AN5346">
        <v>0.99999995028976096</v>
      </c>
    </row>
    <row r="5347" spans="1:40" x14ac:dyDescent="0.25">
      <c r="A5347" t="str">
        <f>"20190303170918964"</f>
        <v>20190303170918964</v>
      </c>
      <c r="B5347" t="str">
        <f>"1551604158959226"</f>
        <v>1551604158959226</v>
      </c>
      <c r="C5347" t="s">
        <v>40</v>
      </c>
      <c r="D5347">
        <v>4.8394760000000003</v>
      </c>
      <c r="E5347">
        <v>0.48096919999999999</v>
      </c>
      <c r="F5347" t="s">
        <v>43</v>
      </c>
      <c r="G5347">
        <v>-188.98400000000001</v>
      </c>
      <c r="H5347" s="1">
        <v>-3.9580190000000004E-6</v>
      </c>
      <c r="I5347">
        <v>58.43891</v>
      </c>
      <c r="J5347">
        <v>-185.88589999999999</v>
      </c>
      <c r="K5347">
        <v>1.122476</v>
      </c>
      <c r="L5347">
        <v>3.4683229999999998</v>
      </c>
      <c r="M5347">
        <v>3.2119700000000001E-2</v>
      </c>
      <c r="N5347">
        <v>-1.028842E-2</v>
      </c>
      <c r="O5347">
        <v>0.99943110000000002</v>
      </c>
      <c r="P5347">
        <v>4.4904669999999997E-3</v>
      </c>
      <c r="Q5347">
        <v>0.19616539999999999</v>
      </c>
      <c r="R5347">
        <v>0.98056049999999995</v>
      </c>
      <c r="S5347">
        <v>-0.1713257</v>
      </c>
      <c r="T5347">
        <v>-6.2310339999999999E-2</v>
      </c>
      <c r="U5347">
        <v>3.0734859999999999</v>
      </c>
      <c r="V5347">
        <v>-2.7970479999999999E-2</v>
      </c>
      <c r="W5347">
        <v>0.2061115</v>
      </c>
      <c r="X5347">
        <v>0.97812869999999996</v>
      </c>
      <c r="Y5347">
        <v>-8.7683079999999997E-2</v>
      </c>
      <c r="Z5347">
        <v>-9.9023559999999993E-3</v>
      </c>
      <c r="AA5347">
        <v>0.99609919999999996</v>
      </c>
      <c r="AB5347">
        <v>39</v>
      </c>
      <c r="AC5347">
        <v>-3.0981000000000098</v>
      </c>
      <c r="AD5347">
        <v>-1.1224799580189999</v>
      </c>
      <c r="AE5347">
        <v>54.970587000000002</v>
      </c>
      <c r="AF5347">
        <v>-4.86021336857997</v>
      </c>
      <c r="AG5347">
        <v>-1.1224799580189999</v>
      </c>
      <c r="AH5347">
        <v>54.8199200331537</v>
      </c>
      <c r="AI5347">
        <v>91.168429388337998</v>
      </c>
      <c r="AJ5347">
        <v>95.066470827188994</v>
      </c>
      <c r="AK5347">
        <v>55.046391958834498</v>
      </c>
      <c r="AL5347">
        <v>78.105427375592598</v>
      </c>
      <c r="AM5347">
        <v>91.637978563042907</v>
      </c>
      <c r="AN5347">
        <v>1.0000000259736801</v>
      </c>
    </row>
    <row r="5348" spans="1:40" x14ac:dyDescent="0.25">
      <c r="A5348" t="str">
        <f>"20190303170918986"</f>
        <v>20190303170918986</v>
      </c>
      <c r="B5348" t="str">
        <f>"1551604158979723"</f>
        <v>1551604158979723</v>
      </c>
      <c r="C5348" t="s">
        <v>40</v>
      </c>
      <c r="D5348">
        <v>4.9004089999999998</v>
      </c>
      <c r="E5348">
        <v>0.48131079999999998</v>
      </c>
      <c r="F5348" t="s">
        <v>43</v>
      </c>
      <c r="G5348">
        <v>-188.88759999999999</v>
      </c>
      <c r="H5348" s="1">
        <v>-3.5671999999999999E-6</v>
      </c>
      <c r="I5348">
        <v>57.488050000000001</v>
      </c>
      <c r="J5348">
        <v>-185.87530000000001</v>
      </c>
      <c r="K5348">
        <v>1.1224780000000001</v>
      </c>
      <c r="L5348">
        <v>3.8462830000000001</v>
      </c>
      <c r="M5348">
        <v>3.0288579999999999E-2</v>
      </c>
      <c r="N5348">
        <v>-1.031816E-2</v>
      </c>
      <c r="O5348">
        <v>0.99948789999999998</v>
      </c>
      <c r="P5348">
        <v>2.5425619999999999E-3</v>
      </c>
      <c r="Q5348">
        <v>0.19615669999999999</v>
      </c>
      <c r="R5348">
        <v>0.98056920000000003</v>
      </c>
      <c r="S5348">
        <v>-0.1707611</v>
      </c>
      <c r="T5348">
        <v>-6.3854690000000006E-2</v>
      </c>
      <c r="U5348">
        <v>3.073029</v>
      </c>
      <c r="V5348">
        <v>-2.8122879999999999E-2</v>
      </c>
      <c r="W5348">
        <v>0.20613110000000001</v>
      </c>
      <c r="X5348">
        <v>0.97812010000000005</v>
      </c>
      <c r="Y5348">
        <v>-8.5683449999999994E-2</v>
      </c>
      <c r="Z5348">
        <v>-1.03804E-2</v>
      </c>
      <c r="AA5348">
        <v>0.9962683</v>
      </c>
      <c r="AB5348">
        <v>39</v>
      </c>
      <c r="AC5348">
        <v>-3.0122999999999802</v>
      </c>
      <c r="AD5348">
        <v>-1.1224815671999999</v>
      </c>
      <c r="AE5348">
        <v>53.641767000000002</v>
      </c>
      <c r="AF5348">
        <v>-4.6337146843438797</v>
      </c>
      <c r="AG5348">
        <v>-1.1224815671999999</v>
      </c>
      <c r="AH5348">
        <v>53.502556253189603</v>
      </c>
      <c r="AI5348">
        <v>91.197405856452306</v>
      </c>
      <c r="AJ5348">
        <v>94.949884276265706</v>
      </c>
      <c r="AK5348">
        <v>53.714567877535103</v>
      </c>
      <c r="AL5348">
        <v>78.104278556676306</v>
      </c>
      <c r="AM5348">
        <v>91.646912826077696</v>
      </c>
      <c r="AN5348">
        <v>0.99999992839535401</v>
      </c>
    </row>
    <row r="5349" spans="1:40" x14ac:dyDescent="0.25">
      <c r="A5349" t="str">
        <f>"20190303170919008"</f>
        <v>20190303170919008</v>
      </c>
      <c r="B5349" t="str">
        <f>"1551604158999242"</f>
        <v>1551604158999242</v>
      </c>
      <c r="C5349" t="s">
        <v>40</v>
      </c>
      <c r="D5349">
        <v>4.8991550000000004</v>
      </c>
      <c r="E5349">
        <v>0.48145359999999998</v>
      </c>
      <c r="F5349" t="s">
        <v>43</v>
      </c>
      <c r="G5349">
        <v>-188.9254</v>
      </c>
      <c r="H5349" s="1">
        <v>-3.8144120000000002E-6</v>
      </c>
      <c r="I5349">
        <v>58.079940000000001</v>
      </c>
      <c r="J5349">
        <v>-185.86510000000001</v>
      </c>
      <c r="K5349">
        <v>1.1224809999999901</v>
      </c>
      <c r="L5349">
        <v>4.2350159999999999</v>
      </c>
      <c r="M5349">
        <v>2.8405610000000001E-2</v>
      </c>
      <c r="N5349">
        <v>-1.0342789999999999E-2</v>
      </c>
      <c r="O5349">
        <v>0.99954299999999996</v>
      </c>
      <c r="P5349">
        <v>4.2153569999999998E-4</v>
      </c>
      <c r="Q5349">
        <v>0.19660759999999999</v>
      </c>
      <c r="R5349">
        <v>0.98048219999999997</v>
      </c>
      <c r="S5349">
        <v>-0.17280580000000001</v>
      </c>
      <c r="T5349">
        <v>-6.3594100000000001E-2</v>
      </c>
      <c r="U5349">
        <v>3.0726010000000001</v>
      </c>
      <c r="V5349">
        <v>-2.839703E-2</v>
      </c>
      <c r="W5349">
        <v>0.2066038</v>
      </c>
      <c r="X5349">
        <v>0.97801249999999995</v>
      </c>
      <c r="Y5349">
        <v>-8.447528E-2</v>
      </c>
      <c r="Z5349">
        <v>-1.027698E-2</v>
      </c>
      <c r="AA5349">
        <v>0.99637260000000005</v>
      </c>
      <c r="AB5349">
        <v>39</v>
      </c>
      <c r="AC5349">
        <v>-3.0602999999999798</v>
      </c>
      <c r="AD5349">
        <v>-1.1224848144120001</v>
      </c>
      <c r="AE5349">
        <v>53.844923999999999</v>
      </c>
      <c r="AF5349">
        <v>-4.58665779339906</v>
      </c>
      <c r="AG5349">
        <v>-1.1224848144120001</v>
      </c>
      <c r="AH5349">
        <v>53.712992274428998</v>
      </c>
      <c r="AI5349">
        <v>91.192843205532</v>
      </c>
      <c r="AJ5349">
        <v>94.880758853350599</v>
      </c>
      <c r="AK5349">
        <v>53.920153383917601</v>
      </c>
      <c r="AL5349">
        <v>78.076599720219903</v>
      </c>
      <c r="AM5349">
        <v>91.663141293610707</v>
      </c>
      <c r="AN5349">
        <v>0.99999998582175498</v>
      </c>
    </row>
    <row r="5350" spans="1:40" x14ac:dyDescent="0.25">
      <c r="A5350" t="str">
        <f>"20190303170919052"</f>
        <v>20190303170919052</v>
      </c>
      <c r="B5350" t="str">
        <f>"1551604159039258"</f>
        <v>1551604159039258</v>
      </c>
      <c r="C5350" t="s">
        <v>40</v>
      </c>
      <c r="D5350">
        <v>4.8959809999999999</v>
      </c>
      <c r="E5350">
        <v>0.48602669999999998</v>
      </c>
      <c r="F5350" t="s">
        <v>43</v>
      </c>
      <c r="G5350">
        <v>-189.10550000000001</v>
      </c>
      <c r="H5350" s="1">
        <v>-3.8121190000000002E-7</v>
      </c>
      <c r="I5350">
        <v>60.068919999999999</v>
      </c>
      <c r="J5350">
        <v>-185.84739999999999</v>
      </c>
      <c r="K5350">
        <v>1.1224809999999901</v>
      </c>
      <c r="L5350">
        <v>4.998596</v>
      </c>
      <c r="M5350">
        <v>2.4707779999999999E-2</v>
      </c>
      <c r="N5350">
        <v>-1.03807E-2</v>
      </c>
      <c r="O5350">
        <v>0.9996408</v>
      </c>
      <c r="P5350">
        <v>-1.393973E-3</v>
      </c>
      <c r="Q5350">
        <v>0.19575419999999999</v>
      </c>
      <c r="R5350">
        <v>0.98065199999999997</v>
      </c>
      <c r="S5350">
        <v>-0.17829900000000001</v>
      </c>
      <c r="T5350">
        <v>-6.1762810000000001E-2</v>
      </c>
      <c r="U5350">
        <v>3.072174</v>
      </c>
      <c r="V5350">
        <v>-2.658889E-2</v>
      </c>
      <c r="W5350">
        <v>0.20579749999999999</v>
      </c>
      <c r="X5350">
        <v>0.97823329999999997</v>
      </c>
      <c r="Y5350">
        <v>-8.257341E-2</v>
      </c>
      <c r="Z5350">
        <v>-9.6523800000000003E-3</v>
      </c>
      <c r="AA5350">
        <v>0.99653820000000004</v>
      </c>
      <c r="AB5350">
        <v>39</v>
      </c>
      <c r="AC5350">
        <v>-3.25810000000001</v>
      </c>
      <c r="AD5350">
        <v>-1.1224813812119001</v>
      </c>
      <c r="AE5350">
        <v>55.070323999999999</v>
      </c>
      <c r="AF5350">
        <v>-4.6159330217637402</v>
      </c>
      <c r="AG5350">
        <v>-1.1224813812119001</v>
      </c>
      <c r="AH5350">
        <v>54.950255673131402</v>
      </c>
      <c r="AI5350">
        <v>91.1661252644044</v>
      </c>
      <c r="AJ5350">
        <v>94.8016888414177</v>
      </c>
      <c r="AK5350">
        <v>55.1552119083508</v>
      </c>
      <c r="AL5350">
        <v>78.123811898073598</v>
      </c>
      <c r="AM5350">
        <v>91.556945755822497</v>
      </c>
      <c r="AN5350">
        <v>0.99999998465328499</v>
      </c>
    </row>
    <row r="5351" spans="1:40" x14ac:dyDescent="0.25">
      <c r="A5351" t="str">
        <f>"20190303170919077"</f>
        <v>20190303170919077</v>
      </c>
      <c r="B5351" t="str">
        <f>"1551604159069514"</f>
        <v>1551604159069514</v>
      </c>
      <c r="C5351" t="s">
        <v>40</v>
      </c>
      <c r="D5351">
        <v>4.8989969999999996</v>
      </c>
      <c r="E5351">
        <v>0.48592669999999999</v>
      </c>
      <c r="F5351" t="s">
        <v>43</v>
      </c>
      <c r="G5351">
        <v>-189.4444</v>
      </c>
      <c r="H5351" s="1">
        <v>-4.3490929999999996E-6</v>
      </c>
      <c r="I5351">
        <v>79.540899999999993</v>
      </c>
      <c r="J5351">
        <v>-185.83869999999999</v>
      </c>
      <c r="K5351">
        <v>1.1224829999999999</v>
      </c>
      <c r="L5351">
        <v>5.4283140000000003</v>
      </c>
      <c r="M5351">
        <v>2.2627640000000001E-2</v>
      </c>
      <c r="N5351">
        <v>-1.03979E-2</v>
      </c>
      <c r="O5351">
        <v>0.99968990000000002</v>
      </c>
      <c r="P5351">
        <v>-3.3996970000000001E-3</v>
      </c>
      <c r="Q5351">
        <v>0.19447159999999999</v>
      </c>
      <c r="R5351">
        <v>0.9809023</v>
      </c>
      <c r="S5351">
        <v>-0.14805599999999999</v>
      </c>
      <c r="T5351">
        <v>-4.6202180000000002E-2</v>
      </c>
      <c r="U5351">
        <v>3.0682070000000001</v>
      </c>
      <c r="V5351">
        <v>-2.655501E-2</v>
      </c>
      <c r="W5351">
        <v>0.20453460000000001</v>
      </c>
      <c r="X5351">
        <v>0.97849909999999996</v>
      </c>
      <c r="Y5351">
        <v>-7.0779170000000002E-2</v>
      </c>
      <c r="Z5351">
        <v>-4.6200490000000002E-3</v>
      </c>
      <c r="AA5351">
        <v>0.99748130000000002</v>
      </c>
      <c r="AB5351">
        <v>39</v>
      </c>
      <c r="AC5351">
        <v>-3.6057000000000099</v>
      </c>
      <c r="AD5351">
        <v>-1.1224873490930001</v>
      </c>
      <c r="AE5351">
        <v>74.112585999999993</v>
      </c>
      <c r="AF5351">
        <v>-5.28065178285968</v>
      </c>
      <c r="AG5351">
        <v>-1.1224873490930001</v>
      </c>
      <c r="AH5351">
        <v>73.995081606309</v>
      </c>
      <c r="AI5351">
        <v>90.866891968419907</v>
      </c>
      <c r="AJ5351">
        <v>94.081987319112002</v>
      </c>
      <c r="AK5351">
        <v>74.191760748920302</v>
      </c>
      <c r="AL5351">
        <v>78.1977440201116</v>
      </c>
      <c r="AM5351">
        <v>91.554540660984102</v>
      </c>
      <c r="AN5351">
        <v>1.00000002992703</v>
      </c>
    </row>
    <row r="5352" spans="1:40" x14ac:dyDescent="0.25">
      <c r="A5352" t="str">
        <f>"20190303170919120"</f>
        <v>20190303170919120</v>
      </c>
      <c r="B5352" t="str">
        <f>"1551604159109530"</f>
        <v>1551604159109530</v>
      </c>
      <c r="C5352" t="s">
        <v>40</v>
      </c>
      <c r="D5352">
        <v>4.9035960000000003</v>
      </c>
      <c r="E5352">
        <v>0.48642049999999998</v>
      </c>
      <c r="F5352" t="s">
        <v>43</v>
      </c>
      <c r="G5352">
        <v>-189.239</v>
      </c>
      <c r="H5352" s="1">
        <v>-1.6134009999999999E-6</v>
      </c>
      <c r="I5352">
        <v>73.078980000000001</v>
      </c>
      <c r="J5352">
        <v>-185.82570000000001</v>
      </c>
      <c r="K5352">
        <v>1.1224959999999999</v>
      </c>
      <c r="L5352">
        <v>6.1645200000000004</v>
      </c>
      <c r="M5352">
        <v>1.9065579999999999E-2</v>
      </c>
      <c r="N5352">
        <v>-1.0422529999999999E-2</v>
      </c>
      <c r="O5352">
        <v>0.99976390000000004</v>
      </c>
      <c r="P5352">
        <v>-8.4512069999999901E-3</v>
      </c>
      <c r="Q5352">
        <v>0.19709299999999999</v>
      </c>
      <c r="R5352">
        <v>0.98034829999999995</v>
      </c>
      <c r="S5352">
        <v>-0.15420529999999999</v>
      </c>
      <c r="T5352">
        <v>-5.0904749999999999E-2</v>
      </c>
      <c r="U5352">
        <v>3.0679630000000002</v>
      </c>
      <c r="V5352">
        <v>-2.8116599999999999E-2</v>
      </c>
      <c r="W5352">
        <v>0.20716680000000001</v>
      </c>
      <c r="X5352">
        <v>0.97790149999999998</v>
      </c>
      <c r="Y5352">
        <v>-6.9222519999999996E-2</v>
      </c>
      <c r="Z5352">
        <v>-6.1282250000000002E-3</v>
      </c>
      <c r="AA5352">
        <v>0.99758239999999998</v>
      </c>
      <c r="AB5352">
        <v>39</v>
      </c>
      <c r="AC5352">
        <v>-3.4132999999999898</v>
      </c>
      <c r="AD5352">
        <v>-1.1224976134009901</v>
      </c>
      <c r="AE5352">
        <v>66.914459999999906</v>
      </c>
      <c r="AF5352">
        <v>-4.6871962410448003</v>
      </c>
      <c r="AG5352">
        <v>-1.1224976134009901</v>
      </c>
      <c r="AH5352">
        <v>66.818461701443397</v>
      </c>
      <c r="AI5352">
        <v>90.9600746976094</v>
      </c>
      <c r="AJ5352">
        <v>94.012623900489402</v>
      </c>
      <c r="AK5352">
        <v>66.992063960154397</v>
      </c>
      <c r="AL5352">
        <v>78.043628867473302</v>
      </c>
      <c r="AM5352">
        <v>91.646913129366595</v>
      </c>
      <c r="AN5352">
        <v>0.99999998496002396</v>
      </c>
    </row>
    <row r="5353" spans="1:40" x14ac:dyDescent="0.25">
      <c r="A5353" t="str">
        <f>"20190303170919141"</f>
        <v>20190303170919141</v>
      </c>
      <c r="B5353" t="str">
        <f>"1551604159130026"</f>
        <v>1551604159130026</v>
      </c>
      <c r="C5353" t="s">
        <v>40</v>
      </c>
      <c r="D5353">
        <v>4.9632649999999998</v>
      </c>
      <c r="E5353">
        <v>0.48658030000000002</v>
      </c>
      <c r="F5353" t="s">
        <v>43</v>
      </c>
      <c r="G5353">
        <v>-190.48429999999999</v>
      </c>
      <c r="H5353" s="1">
        <v>-1.2480289999999999E-6</v>
      </c>
      <c r="I5353">
        <v>92.197900000000004</v>
      </c>
      <c r="J5353">
        <v>-185.82</v>
      </c>
      <c r="K5353">
        <v>1.122498</v>
      </c>
      <c r="L5353">
        <v>6.5466610000000003</v>
      </c>
      <c r="M5353">
        <v>1.721727E-2</v>
      </c>
      <c r="N5353">
        <v>-1.043345E-2</v>
      </c>
      <c r="O5353">
        <v>0.9997973</v>
      </c>
      <c r="P5353">
        <v>-1.142978E-2</v>
      </c>
      <c r="Q5353">
        <v>0.1973135</v>
      </c>
      <c r="R5353">
        <v>0.98027379999999997</v>
      </c>
      <c r="S5353">
        <v>-0.1660614</v>
      </c>
      <c r="T5353">
        <v>-4.0012480000000003E-2</v>
      </c>
      <c r="U5353">
        <v>3.0667420000000001</v>
      </c>
      <c r="V5353">
        <v>-2.928416E-2</v>
      </c>
      <c r="W5353">
        <v>0.2073912</v>
      </c>
      <c r="X5353">
        <v>0.97781969999999996</v>
      </c>
      <c r="Y5353">
        <v>-7.1246019999999993E-2</v>
      </c>
      <c r="Z5353">
        <v>-2.578973E-3</v>
      </c>
      <c r="AA5353">
        <v>0.99745539999999999</v>
      </c>
      <c r="AB5353">
        <v>39</v>
      </c>
      <c r="AC5353">
        <v>-4.6642999999999901</v>
      </c>
      <c r="AD5353">
        <v>-1.1224992480289999</v>
      </c>
      <c r="AE5353">
        <v>85.651239000000004</v>
      </c>
      <c r="AF5353">
        <v>-6.1373183854129403</v>
      </c>
      <c r="AG5353">
        <v>-1.1224992480289999</v>
      </c>
      <c r="AH5353">
        <v>85.543581862110301</v>
      </c>
      <c r="AI5353">
        <v>90.749862439530801</v>
      </c>
      <c r="AJ5353">
        <v>94.103650436505205</v>
      </c>
      <c r="AK5353">
        <v>85.7708055186921</v>
      </c>
      <c r="AL5353">
        <v>78.030486672362102</v>
      </c>
      <c r="AM5353">
        <v>91.715405627388407</v>
      </c>
      <c r="AN5353">
        <v>1.0000000187862099</v>
      </c>
    </row>
    <row r="5354" spans="1:40" x14ac:dyDescent="0.25">
      <c r="A5354" t="str">
        <f>"20190303170919165"</f>
        <v>20190303170919165</v>
      </c>
      <c r="B5354" t="str">
        <f>"1551604159159306"</f>
        <v>1551604159159306</v>
      </c>
      <c r="C5354" t="s">
        <v>40</v>
      </c>
      <c r="D5354">
        <v>4.7857250000000002</v>
      </c>
      <c r="E5354">
        <v>0.48701040000000001</v>
      </c>
      <c r="F5354" t="s">
        <v>43</v>
      </c>
      <c r="G5354">
        <v>-191.03360000000001</v>
      </c>
      <c r="H5354" s="1">
        <v>-3.8752169999999996E-6</v>
      </c>
      <c r="I5354">
        <v>97.98124</v>
      </c>
      <c r="J5354">
        <v>-185.81489999999999</v>
      </c>
      <c r="K5354">
        <v>1.122493</v>
      </c>
      <c r="L5354">
        <v>6.9396969999999998</v>
      </c>
      <c r="M5354">
        <v>1.5317290000000001E-2</v>
      </c>
      <c r="N5354">
        <v>-1.0449109999999999E-2</v>
      </c>
      <c r="O5354">
        <v>0.9998281</v>
      </c>
      <c r="P5354">
        <v>-1.4809859999999999E-2</v>
      </c>
      <c r="Q5354">
        <v>0.19546939999999999</v>
      </c>
      <c r="R5354">
        <v>0.98059799999999997</v>
      </c>
      <c r="S5354">
        <v>-0.174819899999999</v>
      </c>
      <c r="T5354">
        <v>-3.7638900000000003E-2</v>
      </c>
      <c r="U5354">
        <v>3.0659179999999999</v>
      </c>
      <c r="V5354">
        <v>-3.079952E-2</v>
      </c>
      <c r="W5354">
        <v>0.20555860000000001</v>
      </c>
      <c r="X5354">
        <v>0.97816000000000003</v>
      </c>
      <c r="Y5354">
        <v>-7.2205920000000007E-2</v>
      </c>
      <c r="Z5354">
        <v>-1.7939430000000001E-3</v>
      </c>
      <c r="AA5354">
        <v>0.9973881</v>
      </c>
      <c r="AB5354">
        <v>39</v>
      </c>
      <c r="AC5354">
        <v>-5.2187000000000099</v>
      </c>
      <c r="AD5354">
        <v>-1.1224968752169999</v>
      </c>
      <c r="AE5354">
        <v>91.041543000000004</v>
      </c>
      <c r="AF5354">
        <v>-6.6116717294726497</v>
      </c>
      <c r="AG5354">
        <v>-1.1224968752169999</v>
      </c>
      <c r="AH5354">
        <v>90.937141766209294</v>
      </c>
      <c r="AI5354">
        <v>90.705341898752295</v>
      </c>
      <c r="AJ5354">
        <v>94.158427297658207</v>
      </c>
      <c r="AK5354">
        <v>91.1840882769621</v>
      </c>
      <c r="AL5354">
        <v>78.137798694276</v>
      </c>
      <c r="AM5354">
        <v>91.803487833483402</v>
      </c>
      <c r="AN5354">
        <v>0.99999996703309402</v>
      </c>
    </row>
    <row r="5355" spans="1:40" x14ac:dyDescent="0.25">
      <c r="A5355" t="str">
        <f>"20190303170919187"</f>
        <v>20190303170919187</v>
      </c>
      <c r="B5355" t="str">
        <f>"1551604159178826"</f>
        <v>1551604159178826</v>
      </c>
      <c r="C5355" t="s">
        <v>40</v>
      </c>
      <c r="D5355">
        <v>4.7781859999999998</v>
      </c>
      <c r="E5355">
        <v>0.48997469999999999</v>
      </c>
      <c r="F5355" t="s">
        <v>43</v>
      </c>
      <c r="G5355">
        <v>-190.54349999999999</v>
      </c>
      <c r="H5355" s="1">
        <v>-3.3870189999999998E-6</v>
      </c>
      <c r="I5355">
        <v>87.147219999999905</v>
      </c>
      <c r="J5355">
        <v>-185.81039999999999</v>
      </c>
      <c r="K5355">
        <v>1.1225069999999999</v>
      </c>
      <c r="L5355">
        <v>7.3394779999999997</v>
      </c>
      <c r="M5355">
        <v>1.338522E-2</v>
      </c>
      <c r="N5355">
        <v>-1.047579E-2</v>
      </c>
      <c r="O5355">
        <v>0.99985550000000001</v>
      </c>
      <c r="P5355">
        <v>-1.667919E-2</v>
      </c>
      <c r="Q5355">
        <v>0.19522919999999999</v>
      </c>
      <c r="R5355">
        <v>0.98061580000000004</v>
      </c>
      <c r="S5355">
        <v>-0.1807098</v>
      </c>
      <c r="T5355">
        <v>-4.2896990000000003E-2</v>
      </c>
      <c r="U5355">
        <v>3.0651860000000002</v>
      </c>
      <c r="V5355">
        <v>-3.0775739999999999E-2</v>
      </c>
      <c r="W5355">
        <v>0.20534479999999999</v>
      </c>
      <c r="X5355">
        <v>0.97820569999999896</v>
      </c>
      <c r="Y5355">
        <v>-7.2201299999999996E-2</v>
      </c>
      <c r="Z5355">
        <v>-3.481615E-3</v>
      </c>
      <c r="AA5355">
        <v>0.99738400000000005</v>
      </c>
      <c r="AB5355">
        <v>39</v>
      </c>
      <c r="AC5355">
        <v>-4.7331000000000003</v>
      </c>
      <c r="AD5355">
        <v>-1.1225103870190001</v>
      </c>
      <c r="AE5355">
        <v>79.807741999999905</v>
      </c>
      <c r="AF5355">
        <v>-5.7998354212963497</v>
      </c>
      <c r="AG5355">
        <v>-1.1225103870190001</v>
      </c>
      <c r="AH5355">
        <v>79.721518510952194</v>
      </c>
      <c r="AI5355">
        <v>90.804567747307104</v>
      </c>
      <c r="AJ5355">
        <v>94.161005498016195</v>
      </c>
      <c r="AK5355">
        <v>79.940094034065197</v>
      </c>
      <c r="AL5355">
        <v>78.150316095296603</v>
      </c>
      <c r="AM5355">
        <v>91.802012161982105</v>
      </c>
      <c r="AN5355">
        <v>1.00000001228603</v>
      </c>
    </row>
    <row r="5356" spans="1:40" x14ac:dyDescent="0.25">
      <c r="A5356" t="str">
        <f>"20190303170919209"</f>
        <v>20190303170919209</v>
      </c>
      <c r="B5356" t="str">
        <f>"1551604159199322"</f>
        <v>1551604159199322</v>
      </c>
      <c r="C5356" t="s">
        <v>40</v>
      </c>
      <c r="D5356">
        <v>4.7862400000000003</v>
      </c>
      <c r="E5356">
        <v>0.48990800000000001</v>
      </c>
      <c r="F5356" t="s">
        <v>43</v>
      </c>
      <c r="G5356">
        <v>-191.16900000000001</v>
      </c>
      <c r="H5356" s="1">
        <v>-4.2141960000000001E-6</v>
      </c>
      <c r="I5356">
        <v>108.761</v>
      </c>
      <c r="J5356">
        <v>-185.80690000000001</v>
      </c>
      <c r="K5356">
        <v>1.122522</v>
      </c>
      <c r="L5356">
        <v>7.7086789999999903</v>
      </c>
      <c r="M5356">
        <v>1.160166E-2</v>
      </c>
      <c r="N5356">
        <v>-1.0510800000000001E-2</v>
      </c>
      <c r="O5356">
        <v>0.99987749999999997</v>
      </c>
      <c r="P5356">
        <v>-1.6322619999999999E-2</v>
      </c>
      <c r="Q5356">
        <v>0.19629260000000001</v>
      </c>
      <c r="R5356">
        <v>0.98040950000000004</v>
      </c>
      <c r="S5356">
        <v>-0.16184999999999999</v>
      </c>
      <c r="T5356">
        <v>-3.3903839999999998E-2</v>
      </c>
      <c r="U5356">
        <v>3.0632929999999998</v>
      </c>
      <c r="V5356">
        <v>-2.8674519999999998E-2</v>
      </c>
      <c r="W5356">
        <v>0.20645069999999999</v>
      </c>
      <c r="X5356">
        <v>0.97803680000000004</v>
      </c>
      <c r="Y5356">
        <v>-6.4336980000000002E-2</v>
      </c>
      <c r="Z5356">
        <v>-5.3282079999999999E-4</v>
      </c>
      <c r="AA5356">
        <v>0.99792809999999998</v>
      </c>
      <c r="AB5356">
        <v>39</v>
      </c>
      <c r="AC5356">
        <v>-5.3620999999999901</v>
      </c>
      <c r="AD5356">
        <v>-1.122526214196</v>
      </c>
      <c r="AE5356">
        <v>101.052320999999</v>
      </c>
      <c r="AF5356">
        <v>-6.5333745381892401</v>
      </c>
      <c r="AG5356">
        <v>-1.122526214196</v>
      </c>
      <c r="AH5356">
        <v>100.970882178536</v>
      </c>
      <c r="AI5356">
        <v>90.635620508621997</v>
      </c>
      <c r="AJ5356">
        <v>93.7021928011699</v>
      </c>
      <c r="AK5356">
        <v>101.18826066234</v>
      </c>
      <c r="AL5356">
        <v>78.085565774394198</v>
      </c>
      <c r="AM5356">
        <v>91.679342208779602</v>
      </c>
      <c r="AN5356">
        <v>1.0000000508909701</v>
      </c>
    </row>
    <row r="5357" spans="1:40" x14ac:dyDescent="0.25">
      <c r="A5357" t="str">
        <f>"20190303170919231"</f>
        <v>20190303170919231</v>
      </c>
      <c r="B5357" t="str">
        <f>"1551604159218842"</f>
        <v>1551604159218842</v>
      </c>
      <c r="C5357" t="s">
        <v>40</v>
      </c>
      <c r="D5357">
        <v>4.7837529999999999</v>
      </c>
      <c r="E5357">
        <v>0.49063390000000001</v>
      </c>
      <c r="F5357" t="s">
        <v>43</v>
      </c>
      <c r="G5357">
        <v>-191.48859999999999</v>
      </c>
      <c r="H5357" s="1">
        <v>-2.641086E-6</v>
      </c>
      <c r="I5357">
        <v>114.8223</v>
      </c>
      <c r="J5357">
        <v>-185.80410000000001</v>
      </c>
      <c r="K5357">
        <v>1.1225350000000001</v>
      </c>
      <c r="L5357">
        <v>8.0856630000000003</v>
      </c>
      <c r="M5357">
        <v>9.7811430000000008E-3</v>
      </c>
      <c r="N5357">
        <v>-1.055151E-2</v>
      </c>
      <c r="O5357">
        <v>0.99989649999999997</v>
      </c>
      <c r="P5357">
        <v>-1.6430119999999999E-2</v>
      </c>
      <c r="Q5357">
        <v>0.197521</v>
      </c>
      <c r="R5357">
        <v>0.98016099999999995</v>
      </c>
      <c r="S5357">
        <v>-0.16250609999999999</v>
      </c>
      <c r="T5357">
        <v>-3.21064E-2</v>
      </c>
      <c r="U5357">
        <v>3.06366</v>
      </c>
      <c r="V5357">
        <v>-2.7003510000000001E-2</v>
      </c>
      <c r="W5357">
        <v>0.2077243</v>
      </c>
      <c r="X5357">
        <v>0.97781459999999998</v>
      </c>
      <c r="Y5357">
        <v>-6.2727160000000004E-2</v>
      </c>
      <c r="Z5357" s="1">
        <v>9.349696E-5</v>
      </c>
      <c r="AA5357">
        <v>0.99803070000000005</v>
      </c>
      <c r="AB5357">
        <v>39</v>
      </c>
      <c r="AC5357">
        <v>-5.6844999999999803</v>
      </c>
      <c r="AD5357">
        <v>-1.122537641086</v>
      </c>
      <c r="AE5357">
        <v>106.736637</v>
      </c>
      <c r="AF5357">
        <v>-6.7275504700898701</v>
      </c>
      <c r="AG5357">
        <v>-1.122537641086</v>
      </c>
      <c r="AH5357">
        <v>106.664162296218</v>
      </c>
      <c r="AI5357">
        <v>90.601765003248005</v>
      </c>
      <c r="AJ5357">
        <v>93.608994081408397</v>
      </c>
      <c r="AK5357">
        <v>106.88200758049599</v>
      </c>
      <c r="AL5357">
        <v>78.0109761390991</v>
      </c>
      <c r="AM5357">
        <v>91.581888849107301</v>
      </c>
      <c r="AN5357">
        <v>0.999999983167984</v>
      </c>
    </row>
    <row r="5358" spans="1:40" x14ac:dyDescent="0.25">
      <c r="A5358" t="str">
        <f>"20190303170919254"</f>
        <v>20190303170919254</v>
      </c>
      <c r="B5358" t="str">
        <f>"1551604159239337"</f>
        <v>1551604159239337</v>
      </c>
      <c r="C5358" t="s">
        <v>40</v>
      </c>
      <c r="D5358">
        <v>4.8460720000000004</v>
      </c>
      <c r="E5358">
        <v>0.49100329999999898</v>
      </c>
      <c r="F5358" t="s">
        <v>58</v>
      </c>
      <c r="G5358">
        <v>-192.36349999999999</v>
      </c>
      <c r="H5358" s="1">
        <v>-7.141634E-6</v>
      </c>
      <c r="I5358">
        <v>135.69540000000001</v>
      </c>
      <c r="J5358">
        <v>-185.80189999999999</v>
      </c>
      <c r="K5358">
        <v>1.122544</v>
      </c>
      <c r="L5358">
        <v>8.4952089999999991</v>
      </c>
      <c r="M5358">
        <v>7.8040710000000001E-3</v>
      </c>
      <c r="N5358">
        <v>-1.0595429999999999E-2</v>
      </c>
      <c r="O5358">
        <v>0.99991339999999995</v>
      </c>
      <c r="P5358">
        <v>-1.750007E-2</v>
      </c>
      <c r="Q5358">
        <v>0.1967622</v>
      </c>
      <c r="R5358">
        <v>0.98029509999999997</v>
      </c>
      <c r="S5358">
        <v>-0.15747069999999999</v>
      </c>
      <c r="T5358">
        <v>-2.6948690000000001E-2</v>
      </c>
      <c r="U5358">
        <v>3.063507</v>
      </c>
      <c r="V5358">
        <v>-2.613563E-2</v>
      </c>
      <c r="W5358">
        <v>0.2070138</v>
      </c>
      <c r="X5358">
        <v>0.97798879999999999</v>
      </c>
      <c r="Y5358">
        <v>-5.9120850000000003E-2</v>
      </c>
      <c r="Z5358">
        <v>1.8151910000000001E-3</v>
      </c>
      <c r="AA5358">
        <v>0.99824919999999995</v>
      </c>
      <c r="AB5358">
        <v>39</v>
      </c>
      <c r="AC5358">
        <v>-6.5615999999999897</v>
      </c>
      <c r="AD5358">
        <v>-1.1225511416339999</v>
      </c>
      <c r="AE5358">
        <v>127.20019099999899</v>
      </c>
      <c r="AF5358">
        <v>-7.5535484984591603</v>
      </c>
      <c r="AG5358">
        <v>-1.1225511416339999</v>
      </c>
      <c r="AH5358">
        <v>127.135231708433</v>
      </c>
      <c r="AI5358">
        <v>90.504994247835</v>
      </c>
      <c r="AJ5358">
        <v>93.400145492594504</v>
      </c>
      <c r="AK5358">
        <v>127.364372402729</v>
      </c>
      <c r="AL5358">
        <v>78.0525888087369</v>
      </c>
      <c r="AM5358">
        <v>91.530799707266695</v>
      </c>
      <c r="AN5358">
        <v>0.99999993873568604</v>
      </c>
    </row>
    <row r="5359" spans="1:40" x14ac:dyDescent="0.25">
      <c r="A5359" t="str">
        <f>"20190303170919278"</f>
        <v>20190303170919278</v>
      </c>
      <c r="B5359" t="str">
        <f>"1551604159269595"</f>
        <v>1551604159269595</v>
      </c>
      <c r="C5359" t="s">
        <v>40</v>
      </c>
      <c r="D5359">
        <v>4.8416540000000001</v>
      </c>
      <c r="E5359">
        <v>0.49152459999999998</v>
      </c>
      <c r="F5359" t="s">
        <v>58</v>
      </c>
      <c r="G5359">
        <v>-192.0324</v>
      </c>
      <c r="H5359" s="1">
        <v>-4.9539850000000001E-6</v>
      </c>
      <c r="I5359">
        <v>128.85480000000001</v>
      </c>
      <c r="J5359">
        <v>-185.8004</v>
      </c>
      <c r="K5359">
        <v>1.122544</v>
      </c>
      <c r="L5359">
        <v>8.9107970000000005</v>
      </c>
      <c r="M5359">
        <v>5.7983740000000002E-3</v>
      </c>
      <c r="N5359">
        <v>-1.063908E-2</v>
      </c>
      <c r="O5359">
        <v>0.9999266</v>
      </c>
      <c r="P5359">
        <v>-1.934369E-2</v>
      </c>
      <c r="Q5359">
        <v>0.1948223</v>
      </c>
      <c r="R5359">
        <v>0.98064779999999996</v>
      </c>
      <c r="S5359">
        <v>-0.1585693</v>
      </c>
      <c r="T5359">
        <v>-2.8569339999999999E-2</v>
      </c>
      <c r="U5359">
        <v>3.063202</v>
      </c>
      <c r="V5359">
        <v>-2.600771E-2</v>
      </c>
      <c r="W5359">
        <v>0.20512130000000001</v>
      </c>
      <c r="X5359">
        <v>0.97839089999999995</v>
      </c>
      <c r="Y5359">
        <v>-5.74806E-2</v>
      </c>
      <c r="Z5359">
        <v>1.328702E-3</v>
      </c>
      <c r="AA5359">
        <v>0.9983457</v>
      </c>
      <c r="AB5359">
        <v>39</v>
      </c>
      <c r="AC5359">
        <v>-6.2319999999999904</v>
      </c>
      <c r="AD5359">
        <v>-1.122548953985</v>
      </c>
      <c r="AE5359">
        <v>119.944003</v>
      </c>
      <c r="AF5359">
        <v>-6.9268096861826001</v>
      </c>
      <c r="AG5359">
        <v>-1.122548953985</v>
      </c>
      <c r="AH5359">
        <v>119.895375578531</v>
      </c>
      <c r="AI5359">
        <v>90.535536717835399</v>
      </c>
      <c r="AJ5359">
        <v>93.306518488704995</v>
      </c>
      <c r="AK5359">
        <v>120.100549098244</v>
      </c>
      <c r="AL5359">
        <v>78.163399485417003</v>
      </c>
      <c r="AM5359">
        <v>91.522685039376398</v>
      </c>
      <c r="AN5359">
        <v>0.99999995094797001</v>
      </c>
    </row>
    <row r="5360" spans="1:40" x14ac:dyDescent="0.25">
      <c r="A5360" t="str">
        <f>"20190303170919321"</f>
        <v>20190303170919321</v>
      </c>
      <c r="B5360" t="str">
        <f>"1551604159309195"</f>
        <v>1551604159309195</v>
      </c>
      <c r="C5360" t="s">
        <v>40</v>
      </c>
      <c r="D5360">
        <v>4.8467549999999999</v>
      </c>
      <c r="E5360">
        <v>0.49185430000000002</v>
      </c>
      <c r="F5360" t="s">
        <v>43</v>
      </c>
      <c r="G5360">
        <v>-191.20429999999999</v>
      </c>
      <c r="H5360" s="1">
        <v>-1.4699760000000001E-6</v>
      </c>
      <c r="I5360">
        <v>112.2687</v>
      </c>
      <c r="J5360">
        <v>-185.79990000000001</v>
      </c>
      <c r="K5360">
        <v>1.1225560000000001</v>
      </c>
      <c r="L5360">
        <v>9.6711120000000008</v>
      </c>
      <c r="M5360">
        <v>2.129246E-3</v>
      </c>
      <c r="N5360">
        <v>-1.072851E-2</v>
      </c>
      <c r="O5360">
        <v>0.99994019999999995</v>
      </c>
      <c r="P5360">
        <v>-2.1477989999999999E-2</v>
      </c>
      <c r="Q5360">
        <v>0.19533429999999999</v>
      </c>
      <c r="R5360">
        <v>0.98050150000000003</v>
      </c>
      <c r="S5360">
        <v>-0.16012570000000001</v>
      </c>
      <c r="T5360">
        <v>-3.3262729999999997E-2</v>
      </c>
      <c r="U5360">
        <v>3.0626530000000001</v>
      </c>
      <c r="V5360">
        <v>-2.454891E-2</v>
      </c>
      <c r="W5360">
        <v>0.20572650000000001</v>
      </c>
      <c r="X5360">
        <v>0.97830159999999999</v>
      </c>
      <c r="Y5360">
        <v>-5.4332100000000001E-2</v>
      </c>
      <c r="Z5360">
        <v>-1.155561E-4</v>
      </c>
      <c r="AA5360">
        <v>0.99852289999999999</v>
      </c>
      <c r="AB5360">
        <v>39</v>
      </c>
      <c r="AC5360">
        <v>-5.4043999999999803</v>
      </c>
      <c r="AD5360">
        <v>-1.1225574699759999</v>
      </c>
      <c r="AE5360">
        <v>102.597588</v>
      </c>
      <c r="AF5360">
        <v>-5.6221846320029698</v>
      </c>
      <c r="AG5360">
        <v>-1.1225574699759999</v>
      </c>
      <c r="AH5360">
        <v>102.57360198138601</v>
      </c>
      <c r="AI5360">
        <v>90.626075823662205</v>
      </c>
      <c r="AJ5360">
        <v>93.137312516150701</v>
      </c>
      <c r="AK5360">
        <v>102.73369904147999</v>
      </c>
      <c r="AL5360">
        <v>78.127969408979794</v>
      </c>
      <c r="AM5360">
        <v>91.437444057711204</v>
      </c>
      <c r="AN5360">
        <v>1.00000003117349</v>
      </c>
    </row>
    <row r="5361" spans="1:40" x14ac:dyDescent="0.25">
      <c r="A5361" t="str">
        <f>"20190303170919345"</f>
        <v>20190303170919345</v>
      </c>
      <c r="B5361" t="str">
        <f>"1551604159339452"</f>
        <v>1551604159339452</v>
      </c>
      <c r="C5361" t="s">
        <v>40</v>
      </c>
      <c r="D5361">
        <v>4.7895139999999996</v>
      </c>
      <c r="E5361">
        <v>0.49221789999999999</v>
      </c>
      <c r="F5361" t="s">
        <v>58</v>
      </c>
      <c r="G5361">
        <v>-191.91909999999999</v>
      </c>
      <c r="H5361" s="1">
        <v>-2.843141E-6</v>
      </c>
      <c r="I5361">
        <v>123.8921</v>
      </c>
      <c r="J5361">
        <v>-185.80070000000001</v>
      </c>
      <c r="K5361">
        <v>1.122568</v>
      </c>
      <c r="L5361">
        <v>10.06836</v>
      </c>
      <c r="M5361">
        <v>2.11805E-4</v>
      </c>
      <c r="N5361">
        <v>-1.077725E-2</v>
      </c>
      <c r="O5361">
        <v>0.99994190000000005</v>
      </c>
      <c r="P5361">
        <v>-2.334439E-2</v>
      </c>
      <c r="Q5361">
        <v>0.19534119999999999</v>
      </c>
      <c r="R5361">
        <v>0.98045749999999998</v>
      </c>
      <c r="S5361">
        <v>-0.1640472</v>
      </c>
      <c r="T5361">
        <v>-3.0093910000000001E-2</v>
      </c>
      <c r="U5361">
        <v>3.0620729999999998</v>
      </c>
      <c r="V5361">
        <v>-2.4536499999999999E-2</v>
      </c>
      <c r="W5361">
        <v>0.20578160000000001</v>
      </c>
      <c r="X5361">
        <v>0.97829029999999995</v>
      </c>
      <c r="Y5361">
        <v>-5.3702739999999999E-2</v>
      </c>
      <c r="Z5361">
        <v>9.6401120000000004E-4</v>
      </c>
      <c r="AA5361">
        <v>0.99855649999999996</v>
      </c>
      <c r="AB5361">
        <v>39</v>
      </c>
      <c r="AC5361">
        <v>-6.1183999999999799</v>
      </c>
      <c r="AD5361">
        <v>-1.122570843141</v>
      </c>
      <c r="AE5361">
        <v>113.82373999999901</v>
      </c>
      <c r="AF5361">
        <v>-6.1419140209504599</v>
      </c>
      <c r="AG5361">
        <v>-1.122570843141</v>
      </c>
      <c r="AH5361">
        <v>113.81140335800499</v>
      </c>
      <c r="AI5361">
        <v>90.564293556338001</v>
      </c>
      <c r="AJ5361">
        <v>93.089011457928393</v>
      </c>
      <c r="AK5361">
        <v>113.982537291715</v>
      </c>
      <c r="AL5361">
        <v>78.124743118479202</v>
      </c>
      <c r="AM5361">
        <v>91.436734291815199</v>
      </c>
      <c r="AN5361">
        <v>1.0000000089024399</v>
      </c>
    </row>
    <row r="5362" spans="1:40" x14ac:dyDescent="0.25">
      <c r="A5362" t="str">
        <f>"20190303170919365"</f>
        <v>20190303170919365</v>
      </c>
      <c r="B5362" t="str">
        <f>"1551604159358971"</f>
        <v>1551604159358971</v>
      </c>
      <c r="C5362" t="s">
        <v>40</v>
      </c>
      <c r="D5362">
        <v>4.7913249999999996</v>
      </c>
      <c r="E5362">
        <v>0.49237769999999997</v>
      </c>
      <c r="F5362" t="s">
        <v>58</v>
      </c>
      <c r="G5362">
        <v>-192.40479999999999</v>
      </c>
      <c r="H5362" s="1">
        <v>-5.6379819999999898E-6</v>
      </c>
      <c r="I5362">
        <v>130.93170000000001</v>
      </c>
      <c r="J5362">
        <v>-185.8021</v>
      </c>
      <c r="K5362">
        <v>1.122574</v>
      </c>
      <c r="L5362">
        <v>10.436769999999999</v>
      </c>
      <c r="M5362">
        <v>-1.5658149999999999E-3</v>
      </c>
      <c r="N5362">
        <v>-1.0822679999999999E-2</v>
      </c>
      <c r="O5362">
        <v>0.99994019999999995</v>
      </c>
      <c r="P5362">
        <v>-2.529373E-2</v>
      </c>
      <c r="Q5362">
        <v>0.19548399999999999</v>
      </c>
      <c r="R5362">
        <v>0.98038069999999999</v>
      </c>
      <c r="S5362">
        <v>-0.16728209999999999</v>
      </c>
      <c r="T5362">
        <v>-2.8434750000000002E-2</v>
      </c>
      <c r="U5362">
        <v>3.0614620000000001</v>
      </c>
      <c r="V5362">
        <v>-2.474496E-2</v>
      </c>
      <c r="W5362">
        <v>0.20596739999999999</v>
      </c>
      <c r="X5362">
        <v>0.97824599999999995</v>
      </c>
      <c r="Y5362">
        <v>-5.2990389999999998E-2</v>
      </c>
      <c r="Z5362">
        <v>1.5481869999999999E-3</v>
      </c>
      <c r="AA5362">
        <v>0.99859379999999998</v>
      </c>
      <c r="AB5362">
        <v>39</v>
      </c>
      <c r="AC5362">
        <v>-6.6026999999999898</v>
      </c>
      <c r="AD5362">
        <v>-1.1225796379819999</v>
      </c>
      <c r="AE5362">
        <v>120.49493</v>
      </c>
      <c r="AF5362">
        <v>-6.41345309222298</v>
      </c>
      <c r="AG5362">
        <v>-1.1225796379819999</v>
      </c>
      <c r="AH5362">
        <v>120.49469440376301</v>
      </c>
      <c r="AI5362">
        <v>90.533021870397604</v>
      </c>
      <c r="AJ5362">
        <v>93.046751355468402</v>
      </c>
      <c r="AK5362">
        <v>120.670476691964</v>
      </c>
      <c r="AL5362">
        <v>78.113865138642595</v>
      </c>
      <c r="AM5362">
        <v>91.4490010688599</v>
      </c>
      <c r="AN5362">
        <v>1.00000005971207</v>
      </c>
    </row>
    <row r="5363" spans="1:40" x14ac:dyDescent="0.25">
      <c r="A5363" t="str">
        <f>"20190303170919387"</f>
        <v>20190303170919387</v>
      </c>
      <c r="B5363" t="str">
        <f>"1551604159379467"</f>
        <v>1551604159379467</v>
      </c>
      <c r="C5363" t="s">
        <v>40</v>
      </c>
      <c r="D5363">
        <v>4.8489649999999997</v>
      </c>
      <c r="E5363">
        <v>0.49358099999999999</v>
      </c>
      <c r="F5363" t="s">
        <v>58</v>
      </c>
      <c r="G5363">
        <v>-192.8244</v>
      </c>
      <c r="H5363" s="1">
        <v>-7.114375E-6</v>
      </c>
      <c r="I5363">
        <v>135.4033</v>
      </c>
      <c r="J5363">
        <v>-185.80420000000001</v>
      </c>
      <c r="K5363">
        <v>1.122576</v>
      </c>
      <c r="L5363">
        <v>10.809139999999999</v>
      </c>
      <c r="M5363">
        <v>-3.3623310000000001E-3</v>
      </c>
      <c r="N5363">
        <v>-1.0868869999999999E-2</v>
      </c>
      <c r="O5363">
        <v>0.99993529999999997</v>
      </c>
      <c r="P5363">
        <v>-2.7617010000000001E-2</v>
      </c>
      <c r="Q5363">
        <v>0.1949187</v>
      </c>
      <c r="R5363">
        <v>0.98043049999999998</v>
      </c>
      <c r="S5363">
        <v>-0.17201229999999901</v>
      </c>
      <c r="T5363">
        <v>-2.749801E-2</v>
      </c>
      <c r="U5363">
        <v>3.061096</v>
      </c>
      <c r="V5363">
        <v>-2.5304750000000001E-2</v>
      </c>
      <c r="W5363">
        <v>0.20544519999999999</v>
      </c>
      <c r="X5363">
        <v>0.97834140000000003</v>
      </c>
      <c r="Y5363">
        <v>-5.2741209999999997E-2</v>
      </c>
      <c r="Z5363">
        <v>1.898643E-3</v>
      </c>
      <c r="AA5363">
        <v>0.99860640000000001</v>
      </c>
      <c r="AB5363">
        <v>39</v>
      </c>
      <c r="AC5363">
        <v>-7.0201999999999796</v>
      </c>
      <c r="AD5363">
        <v>-1.122583114375</v>
      </c>
      <c r="AE5363">
        <v>124.59416</v>
      </c>
      <c r="AF5363">
        <v>-6.60067463025465</v>
      </c>
      <c r="AG5363">
        <v>-1.122583114375</v>
      </c>
      <c r="AH5363">
        <v>124.606977849443</v>
      </c>
      <c r="AI5363">
        <v>90.515440560787795</v>
      </c>
      <c r="AJ5363">
        <v>93.032235122088096</v>
      </c>
      <c r="AK5363">
        <v>124.78673017270199</v>
      </c>
      <c r="AL5363">
        <v>78.144437863901601</v>
      </c>
      <c r="AM5363">
        <v>91.481622050078002</v>
      </c>
      <c r="AN5363">
        <v>0.999999977764781</v>
      </c>
    </row>
    <row r="5364" spans="1:40" x14ac:dyDescent="0.25">
      <c r="A5364" t="str">
        <f>"20190303170919409"</f>
        <v>20190303170919409</v>
      </c>
      <c r="B5364" t="str">
        <f>"1551604159398987"</f>
        <v>1551604159398987</v>
      </c>
      <c r="C5364" t="s">
        <v>40</v>
      </c>
      <c r="D5364">
        <v>4.7208069999999998</v>
      </c>
      <c r="E5364">
        <v>0.54309300000000005</v>
      </c>
      <c r="F5364" t="s">
        <v>58</v>
      </c>
      <c r="G5364">
        <v>-192.50049999999999</v>
      </c>
      <c r="H5364" s="1">
        <v>-5.9623560000000003E-6</v>
      </c>
      <c r="I5364">
        <v>131.93860000000001</v>
      </c>
      <c r="J5364">
        <v>-185.80719999999999</v>
      </c>
      <c r="K5364">
        <v>1.1225849999999999</v>
      </c>
      <c r="L5364">
        <v>11.202299999999999</v>
      </c>
      <c r="M5364">
        <v>-5.2587559999999998E-3</v>
      </c>
      <c r="N5364">
        <v>-1.091605E-2</v>
      </c>
      <c r="O5364">
        <v>0.9999266</v>
      </c>
      <c r="P5364">
        <v>-2.918579E-2</v>
      </c>
      <c r="Q5364">
        <v>0.19555719999999999</v>
      </c>
      <c r="R5364">
        <v>0.98025790000000002</v>
      </c>
      <c r="S5364">
        <v>-0.16920470000000001</v>
      </c>
      <c r="T5364">
        <v>-2.8365970000000001E-2</v>
      </c>
      <c r="U5364">
        <v>3.0607600000000001</v>
      </c>
      <c r="V5364">
        <v>-2.501929E-2</v>
      </c>
      <c r="W5364">
        <v>0.20613020000000001</v>
      </c>
      <c r="X5364">
        <v>0.97820469999999904</v>
      </c>
      <c r="Y5364">
        <v>-4.994026E-2</v>
      </c>
      <c r="Z5364">
        <v>1.660365E-3</v>
      </c>
      <c r="AA5364">
        <v>0.99875080000000005</v>
      </c>
      <c r="AB5364">
        <v>39</v>
      </c>
      <c r="AC5364">
        <v>-6.69329999999999</v>
      </c>
      <c r="AD5364">
        <v>-1.122590962356</v>
      </c>
      <c r="AE5364">
        <v>120.7363</v>
      </c>
      <c r="AF5364">
        <v>-6.0577247819303901</v>
      </c>
      <c r="AG5364">
        <v>-1.122590962356</v>
      </c>
      <c r="AH5364">
        <v>120.759423143319</v>
      </c>
      <c r="AI5364">
        <v>90.531942789289502</v>
      </c>
      <c r="AJ5364">
        <v>92.8717541252432</v>
      </c>
      <c r="AK5364">
        <v>120.916477445837</v>
      </c>
      <c r="AL5364">
        <v>78.104332476857394</v>
      </c>
      <c r="AM5364">
        <v>91.465119991740195</v>
      </c>
      <c r="AN5364">
        <v>1.00000002966311</v>
      </c>
    </row>
    <row r="5365" spans="1:40" x14ac:dyDescent="0.25">
      <c r="A5365" t="str">
        <f>"20190303170919432"</f>
        <v>20190303170919432</v>
      </c>
      <c r="B5365" t="str">
        <f>"1551604159419483"</f>
        <v>1551604159419483</v>
      </c>
      <c r="C5365" t="s">
        <v>40</v>
      </c>
      <c r="D5365">
        <v>4.6827290000000001</v>
      </c>
      <c r="E5365">
        <v>0.55261669999999996</v>
      </c>
      <c r="F5365" t="s">
        <v>43</v>
      </c>
      <c r="G5365">
        <v>-181.54900000000001</v>
      </c>
      <c r="H5365" s="1">
        <v>-2.73044E-6</v>
      </c>
      <c r="I5365">
        <v>71.063999999999993</v>
      </c>
      <c r="J5365">
        <v>-185.8109</v>
      </c>
      <c r="K5365">
        <v>1.1225959999999999</v>
      </c>
      <c r="L5365">
        <v>11.59552</v>
      </c>
      <c r="M5365">
        <v>-7.1546980000000001E-3</v>
      </c>
      <c r="N5365">
        <v>-1.096368E-2</v>
      </c>
      <c r="O5365">
        <v>0.99991430000000003</v>
      </c>
      <c r="P5365">
        <v>-3.0357579999999999E-2</v>
      </c>
      <c r="Q5365">
        <v>0.1963772</v>
      </c>
      <c r="R5365">
        <v>0.9800584</v>
      </c>
      <c r="S5365">
        <v>0.2189789</v>
      </c>
      <c r="T5365">
        <v>-5.7730440000000001E-2</v>
      </c>
      <c r="U5365">
        <v>3.0784609999999999</v>
      </c>
      <c r="V5365">
        <v>-2.4338390000000001E-2</v>
      </c>
      <c r="W5365">
        <v>0.2069984</v>
      </c>
      <c r="X5365">
        <v>0.97803850000000003</v>
      </c>
      <c r="Y5365">
        <v>7.8073779999999995E-2</v>
      </c>
      <c r="Z5365">
        <v>-7.7311100000000002E-3</v>
      </c>
      <c r="AA5365">
        <v>0.99691759999999996</v>
      </c>
      <c r="AB5365">
        <v>39</v>
      </c>
      <c r="AC5365">
        <v>4.26189999999999</v>
      </c>
      <c r="AD5365">
        <v>-1.12259873044</v>
      </c>
      <c r="AE5365">
        <v>59.4684799999999</v>
      </c>
      <c r="AF5365">
        <v>4.6856343033420798</v>
      </c>
      <c r="AG5365">
        <v>-1.12259873044</v>
      </c>
      <c r="AH5365">
        <v>59.415398847449701</v>
      </c>
      <c r="AI5365">
        <v>91.079072184026401</v>
      </c>
      <c r="AJ5365">
        <v>85.4908561213052</v>
      </c>
      <c r="AK5365">
        <v>59.610443857899298</v>
      </c>
      <c r="AL5365">
        <v>78.053491455762398</v>
      </c>
      <c r="AM5365">
        <v>91.425505524431301</v>
      </c>
      <c r="AN5365">
        <v>1.0000000011562999</v>
      </c>
    </row>
    <row r="5366" spans="1:40" x14ac:dyDescent="0.25">
      <c r="A5366" t="str">
        <f>"20190303170919454"</f>
        <v>20190303170919454</v>
      </c>
      <c r="B5366" t="str">
        <f>"1551604159448762"</f>
        <v>1551604159448762</v>
      </c>
      <c r="C5366" t="s">
        <v>40</v>
      </c>
      <c r="D5366">
        <v>4.6865189999999997</v>
      </c>
      <c r="E5366">
        <v>0.55793409999999999</v>
      </c>
      <c r="F5366" t="s">
        <v>43</v>
      </c>
      <c r="G5366">
        <v>-180.8861</v>
      </c>
      <c r="H5366" s="1">
        <v>-3.8718409999999996E-6</v>
      </c>
      <c r="I5366">
        <v>63.899720000000002</v>
      </c>
      <c r="J5366">
        <v>-185.81540000000001</v>
      </c>
      <c r="K5366">
        <v>1.122609</v>
      </c>
      <c r="L5366">
        <v>11.98654</v>
      </c>
      <c r="M5366">
        <v>-9.0400169999999992E-3</v>
      </c>
      <c r="N5366">
        <v>-1.101046E-2</v>
      </c>
      <c r="O5366">
        <v>0.99989850000000002</v>
      </c>
      <c r="P5366">
        <v>-3.1796249999999998E-2</v>
      </c>
      <c r="Q5366">
        <v>0.19735539999999999</v>
      </c>
      <c r="R5366">
        <v>0.97981629999999997</v>
      </c>
      <c r="S5366">
        <v>0.29031370000000001</v>
      </c>
      <c r="T5366">
        <v>-6.6176180000000001E-2</v>
      </c>
      <c r="U5366">
        <v>3.0832820000000001</v>
      </c>
      <c r="V5366">
        <v>-2.3936659999999998E-2</v>
      </c>
      <c r="W5366">
        <v>0.20802180000000001</v>
      </c>
      <c r="X5366">
        <v>0.97783120000000001</v>
      </c>
      <c r="Y5366">
        <v>0.1027164</v>
      </c>
      <c r="Z5366">
        <v>-1.033879E-2</v>
      </c>
      <c r="AA5366">
        <v>0.99465700000000001</v>
      </c>
      <c r="AB5366">
        <v>39</v>
      </c>
      <c r="AC5366">
        <v>4.9293000000000102</v>
      </c>
      <c r="AD5366">
        <v>-1.122612871841</v>
      </c>
      <c r="AE5366">
        <v>51.913179999999997</v>
      </c>
      <c r="AF5366">
        <v>5.3959222809496596</v>
      </c>
      <c r="AG5366">
        <v>-1.122612871841</v>
      </c>
      <c r="AH5366">
        <v>51.842468216276004</v>
      </c>
      <c r="AI5366">
        <v>91.233843487122201</v>
      </c>
      <c r="AJ5366">
        <v>84.057876366608596</v>
      </c>
      <c r="AK5366">
        <v>52.134611801351902</v>
      </c>
      <c r="AL5366">
        <v>77.993549510886893</v>
      </c>
      <c r="AM5366">
        <v>91.402282670610802</v>
      </c>
      <c r="AN5366">
        <v>0.99999994433031603</v>
      </c>
    </row>
    <row r="5367" spans="1:40" x14ac:dyDescent="0.25">
      <c r="A5367" t="str">
        <f>"20190303170919502"</f>
        <v>20190303170919502</v>
      </c>
      <c r="B5367" t="str">
        <f>"1551604159489755"</f>
        <v>1551604159489755</v>
      </c>
      <c r="C5367" t="s">
        <v>40</v>
      </c>
      <c r="D5367">
        <v>4.715821</v>
      </c>
      <c r="E5367">
        <v>0.56104299999999996</v>
      </c>
      <c r="F5367" t="s">
        <v>43</v>
      </c>
      <c r="G5367">
        <v>-179.75749999999999</v>
      </c>
      <c r="H5367">
        <v>7.9986619999999994E-2</v>
      </c>
      <c r="I5367">
        <v>68.918080000000003</v>
      </c>
      <c r="J5367">
        <v>-185.8272</v>
      </c>
      <c r="K5367">
        <v>1.122622</v>
      </c>
      <c r="L5367">
        <v>12.81244</v>
      </c>
      <c r="M5367">
        <v>-1.302231E-2</v>
      </c>
      <c r="N5367">
        <v>-1.1099039999999999E-2</v>
      </c>
      <c r="O5367">
        <v>0.99985360000000001</v>
      </c>
      <c r="P5367">
        <v>-3.51857E-2</v>
      </c>
      <c r="Q5367">
        <v>0.1984987</v>
      </c>
      <c r="R5367">
        <v>0.97946940000000005</v>
      </c>
      <c r="S5367">
        <v>0.3281403</v>
      </c>
      <c r="T5367">
        <v>-5.6476119999999998E-2</v>
      </c>
      <c r="U5367">
        <v>3.0838320000000001</v>
      </c>
      <c r="V5367">
        <v>-2.3434259999999998E-2</v>
      </c>
      <c r="W5367">
        <v>0.20925160000000001</v>
      </c>
      <c r="X5367">
        <v>0.97758100000000003</v>
      </c>
      <c r="Y5367">
        <v>0.1187285</v>
      </c>
      <c r="Z5367">
        <v>-7.0861509999999997E-3</v>
      </c>
      <c r="AA5367">
        <v>0.99290149999999999</v>
      </c>
      <c r="AB5367">
        <v>39</v>
      </c>
      <c r="AC5367">
        <v>6.0697000000000099</v>
      </c>
      <c r="AD5367">
        <v>-1.0426353799999999</v>
      </c>
      <c r="AE5367">
        <v>56.105640000000001</v>
      </c>
      <c r="AF5367">
        <v>6.7975349786208996</v>
      </c>
      <c r="AG5367">
        <v>-1.0426353799999999</v>
      </c>
      <c r="AH5367">
        <v>56.002719146179601</v>
      </c>
      <c r="AI5367">
        <v>91.058816473291799</v>
      </c>
      <c r="AJ5367">
        <v>83.079369290660296</v>
      </c>
      <c r="AK5367">
        <v>56.423382760049698</v>
      </c>
      <c r="AL5367">
        <v>77.921502341986098</v>
      </c>
      <c r="AM5367">
        <v>91.373213161159001</v>
      </c>
      <c r="AN5367">
        <v>1.00000000410265</v>
      </c>
    </row>
    <row r="5368" spans="1:40" x14ac:dyDescent="0.25">
      <c r="A5368" t="str">
        <f>"20190303170919523"</f>
        <v>20190303170919523</v>
      </c>
      <c r="B5368" t="str">
        <f>"1551604159509276"</f>
        <v>1551604159509276</v>
      </c>
      <c r="C5368" t="s">
        <v>40</v>
      </c>
      <c r="D5368">
        <v>4.7171909999999997</v>
      </c>
      <c r="E5368">
        <v>0.56209299999999995</v>
      </c>
      <c r="F5368" t="s">
        <v>43</v>
      </c>
      <c r="G5368">
        <v>-178.7809</v>
      </c>
      <c r="H5368">
        <v>7.9985899999999999E-2</v>
      </c>
      <c r="I5368">
        <v>76.275970000000001</v>
      </c>
      <c r="J5368">
        <v>-185.83369999999999</v>
      </c>
      <c r="K5368">
        <v>1.1226210000000001</v>
      </c>
      <c r="L5368">
        <v>13.191739999999999</v>
      </c>
      <c r="M5368">
        <v>-1.485056E-2</v>
      </c>
      <c r="N5368">
        <v>-1.1134E-2</v>
      </c>
      <c r="O5368">
        <v>0.99982769999999999</v>
      </c>
      <c r="P5368">
        <v>-3.587535E-2</v>
      </c>
      <c r="Q5368">
        <v>0.1984033</v>
      </c>
      <c r="R5368">
        <v>0.97946369999999905</v>
      </c>
      <c r="S5368">
        <v>0.34257510000000002</v>
      </c>
      <c r="T5368">
        <v>-5.0690529999999998E-2</v>
      </c>
      <c r="U5368">
        <v>3.0854490000000001</v>
      </c>
      <c r="V5368">
        <v>-2.2332080000000001E-2</v>
      </c>
      <c r="W5368">
        <v>0.20919560000000001</v>
      </c>
      <c r="X5368">
        <v>0.97761880000000001</v>
      </c>
      <c r="Y5368">
        <v>0.1250792</v>
      </c>
      <c r="Z5368">
        <v>-5.1666910000000002E-3</v>
      </c>
      <c r="AA5368">
        <v>0.9921333</v>
      </c>
      <c r="AB5368">
        <v>39</v>
      </c>
      <c r="AC5368">
        <v>7.0527999999999897</v>
      </c>
      <c r="AD5368">
        <v>-1.04263509999999</v>
      </c>
      <c r="AE5368">
        <v>63.084229999999998</v>
      </c>
      <c r="AF5368">
        <v>7.9867616369274002</v>
      </c>
      <c r="AG5368">
        <v>-1.04263509999999</v>
      </c>
      <c r="AH5368">
        <v>62.955543081840098</v>
      </c>
      <c r="AI5368">
        <v>90.941271496089698</v>
      </c>
      <c r="AJ5368">
        <v>82.769878833077698</v>
      </c>
      <c r="AK5368">
        <v>63.468699798611503</v>
      </c>
      <c r="AL5368">
        <v>77.924783713891003</v>
      </c>
      <c r="AM5368">
        <v>91.308599466397794</v>
      </c>
      <c r="AN5368">
        <v>1.0000000194849601</v>
      </c>
    </row>
    <row r="5369" spans="1:40" x14ac:dyDescent="0.25">
      <c r="A5369" t="str">
        <f>"20190303170919545"</f>
        <v>20190303170919545</v>
      </c>
      <c r="B5369" t="str">
        <f>"1551604159539531"</f>
        <v>1551604159539531</v>
      </c>
      <c r="C5369" t="s">
        <v>40</v>
      </c>
      <c r="D5369">
        <v>4.7338139999999997</v>
      </c>
      <c r="E5369">
        <v>0.56333040000000001</v>
      </c>
      <c r="F5369" t="s">
        <v>43</v>
      </c>
      <c r="G5369">
        <v>-178.88399999999999</v>
      </c>
      <c r="H5369">
        <v>7.9985479999999998E-2</v>
      </c>
      <c r="I5369">
        <v>74.872699999999995</v>
      </c>
      <c r="J5369">
        <v>-185.84119999999999</v>
      </c>
      <c r="K5369">
        <v>1.122617</v>
      </c>
      <c r="L5369">
        <v>13.586360000000001</v>
      </c>
      <c r="M5369">
        <v>-1.6752719999999999E-2</v>
      </c>
      <c r="N5369">
        <v>-1.116674E-2</v>
      </c>
      <c r="O5369">
        <v>0.9997973</v>
      </c>
      <c r="P5369">
        <v>-3.721671E-2</v>
      </c>
      <c r="Q5369">
        <v>0.19767779999999999</v>
      </c>
      <c r="R5369">
        <v>0.97956030000000005</v>
      </c>
      <c r="S5369">
        <v>0.3477325</v>
      </c>
      <c r="T5369">
        <v>-5.2168369999999999E-2</v>
      </c>
      <c r="U5369">
        <v>3.0862120000000002</v>
      </c>
      <c r="V5369">
        <v>-2.1804859999999999E-2</v>
      </c>
      <c r="W5369">
        <v>0.2085069</v>
      </c>
      <c r="X5369">
        <v>0.97777780000000003</v>
      </c>
      <c r="Y5369">
        <v>0.12857539999999901</v>
      </c>
      <c r="Z5369">
        <v>-5.5978019999999998E-3</v>
      </c>
      <c r="AA5369">
        <v>0.99168400000000001</v>
      </c>
      <c r="AB5369">
        <v>39</v>
      </c>
      <c r="AC5369">
        <v>6.9571999999999701</v>
      </c>
      <c r="AD5369">
        <v>-1.04263152</v>
      </c>
      <c r="AE5369">
        <v>61.286340000000003</v>
      </c>
      <c r="AF5369">
        <v>7.98072002245104</v>
      </c>
      <c r="AG5369">
        <v>-1.04263152</v>
      </c>
      <c r="AH5369">
        <v>61.143707614956298</v>
      </c>
      <c r="AI5369">
        <v>90.968706150390801</v>
      </c>
      <c r="AJ5369">
        <v>82.563566989821098</v>
      </c>
      <c r="AK5369">
        <v>61.671159819371901</v>
      </c>
      <c r="AL5369">
        <v>77.965132921238194</v>
      </c>
      <c r="AM5369">
        <v>91.277508460762903</v>
      </c>
      <c r="AN5369">
        <v>1.00000000272003</v>
      </c>
    </row>
    <row r="5370" spans="1:40" x14ac:dyDescent="0.25">
      <c r="A5370" t="str">
        <f>"20190303170919567"</f>
        <v>20190303170919567</v>
      </c>
      <c r="B5370" t="str">
        <f>"1551604159559051"</f>
        <v>1551604159559051</v>
      </c>
      <c r="C5370" t="s">
        <v>40</v>
      </c>
      <c r="D5370">
        <v>4.7465989999999998</v>
      </c>
      <c r="E5370">
        <v>0.563998</v>
      </c>
      <c r="F5370" t="s">
        <v>43</v>
      </c>
      <c r="G5370">
        <v>-179.33150000000001</v>
      </c>
      <c r="H5370">
        <v>7.9985650000000005E-2</v>
      </c>
      <c r="I5370">
        <v>70.513260000000002</v>
      </c>
      <c r="J5370">
        <v>-185.8493</v>
      </c>
      <c r="K5370">
        <v>1.1226179999999999</v>
      </c>
      <c r="L5370">
        <v>13.972110000000001</v>
      </c>
      <c r="M5370">
        <v>-1.8611780000000001E-2</v>
      </c>
      <c r="N5370">
        <v>-1.119536E-2</v>
      </c>
      <c r="O5370">
        <v>0.99976410000000004</v>
      </c>
      <c r="P5370">
        <v>-3.9333180000000002E-2</v>
      </c>
      <c r="Q5370">
        <v>0.19725480000000001</v>
      </c>
      <c r="R5370">
        <v>0.97956290000000001</v>
      </c>
      <c r="S5370">
        <v>0.35305789999999998</v>
      </c>
      <c r="T5370">
        <v>-5.6547159999999999E-2</v>
      </c>
      <c r="U5370">
        <v>3.0874329999999999</v>
      </c>
      <c r="V5370">
        <v>-2.2097229999999999E-2</v>
      </c>
      <c r="W5370">
        <v>0.2081114</v>
      </c>
      <c r="X5370">
        <v>0.97785549999999999</v>
      </c>
      <c r="Y5370">
        <v>0.13206109999999999</v>
      </c>
      <c r="Z5370">
        <v>-6.9615450000000004E-3</v>
      </c>
      <c r="AA5370">
        <v>0.99121709999999996</v>
      </c>
      <c r="AB5370">
        <v>39</v>
      </c>
      <c r="AC5370">
        <v>6.5177999999999896</v>
      </c>
      <c r="AD5370">
        <v>-1.0426323500000001</v>
      </c>
      <c r="AE5370">
        <v>56.541150000000002</v>
      </c>
      <c r="AF5370">
        <v>7.5665290877257299</v>
      </c>
      <c r="AG5370">
        <v>-1.0426323500000001</v>
      </c>
      <c r="AH5370">
        <v>56.391115676338998</v>
      </c>
      <c r="AI5370">
        <v>91.049831902178397</v>
      </c>
      <c r="AJ5370">
        <v>82.357729599855702</v>
      </c>
      <c r="AK5370">
        <v>56.906039854086799</v>
      </c>
      <c r="AL5370">
        <v>77.988301750304203</v>
      </c>
      <c r="AM5370">
        <v>91.294529278489705</v>
      </c>
      <c r="AN5370">
        <v>1.00000001063194</v>
      </c>
    </row>
    <row r="5371" spans="1:40" x14ac:dyDescent="0.25">
      <c r="A5371" t="str">
        <f>"20190303170919587"</f>
        <v>20190303170919587</v>
      </c>
      <c r="B5371" t="str">
        <f>"1551604159579547"</f>
        <v>1551604159579547</v>
      </c>
      <c r="C5371" t="s">
        <v>40</v>
      </c>
      <c r="D5371">
        <v>4.7314660000000002</v>
      </c>
      <c r="E5371">
        <v>0.564648699999999</v>
      </c>
      <c r="F5371" t="s">
        <v>43</v>
      </c>
      <c r="G5371">
        <v>-179.5617</v>
      </c>
      <c r="H5371">
        <v>7.9986630000000003E-2</v>
      </c>
      <c r="I5371">
        <v>68.943129999999996</v>
      </c>
      <c r="J5371">
        <v>-185.85730000000001</v>
      </c>
      <c r="K5371">
        <v>1.122622</v>
      </c>
      <c r="L5371">
        <v>14.32404</v>
      </c>
      <c r="M5371">
        <v>-2.030765E-2</v>
      </c>
      <c r="N5371">
        <v>-1.121868E-2</v>
      </c>
      <c r="O5371">
        <v>0.99973080000000003</v>
      </c>
      <c r="P5371">
        <v>-4.0946959999999998E-2</v>
      </c>
      <c r="Q5371">
        <v>0.1978685</v>
      </c>
      <c r="R5371">
        <v>0.97937300000000005</v>
      </c>
      <c r="S5371">
        <v>0.35327150000000002</v>
      </c>
      <c r="T5371">
        <v>-5.8580519999999997E-2</v>
      </c>
      <c r="U5371">
        <v>3.088562</v>
      </c>
      <c r="V5371">
        <v>-2.2055020000000002E-2</v>
      </c>
      <c r="W5371">
        <v>0.20874609999999999</v>
      </c>
      <c r="X5371">
        <v>0.97772119999999996</v>
      </c>
      <c r="Y5371">
        <v>0.13376779999999999</v>
      </c>
      <c r="Z5371">
        <v>-7.580275E-3</v>
      </c>
      <c r="AA5371">
        <v>0.99098370000000002</v>
      </c>
      <c r="AB5371">
        <v>39</v>
      </c>
      <c r="AC5371">
        <v>6.2956000000000003</v>
      </c>
      <c r="AD5371">
        <v>-1.04263537</v>
      </c>
      <c r="AE5371">
        <v>54.61909</v>
      </c>
      <c r="AF5371">
        <v>7.4008952442802602</v>
      </c>
      <c r="AG5371">
        <v>-1.04263537</v>
      </c>
      <c r="AH5371">
        <v>54.460383000825097</v>
      </c>
      <c r="AI5371">
        <v>91.086797739816404</v>
      </c>
      <c r="AJ5371">
        <v>82.261194795221698</v>
      </c>
      <c r="AK5371">
        <v>54.970843685795302</v>
      </c>
      <c r="AL5371">
        <v>77.951120006096602</v>
      </c>
      <c r="AM5371">
        <v>91.292234732356803</v>
      </c>
      <c r="AN5371">
        <v>1.00000005155092</v>
      </c>
    </row>
    <row r="5372" spans="1:40" x14ac:dyDescent="0.25">
      <c r="A5372" t="str">
        <f>"20190303170919610"</f>
        <v>20190303170919610</v>
      </c>
      <c r="B5372" t="str">
        <f>"1551604159599067"</f>
        <v>1551604159599067</v>
      </c>
      <c r="C5372" t="s">
        <v>40</v>
      </c>
      <c r="D5372">
        <v>4.7382160000000004</v>
      </c>
      <c r="E5372">
        <v>0.56517629999999996</v>
      </c>
      <c r="F5372" t="s">
        <v>43</v>
      </c>
      <c r="G5372">
        <v>-179.3887</v>
      </c>
      <c r="H5372">
        <v>7.9985719999999996E-2</v>
      </c>
      <c r="I5372">
        <v>70.80641</v>
      </c>
      <c r="J5372">
        <v>-185.86689999999999</v>
      </c>
      <c r="K5372">
        <v>1.122625</v>
      </c>
      <c r="L5372">
        <v>14.71747</v>
      </c>
      <c r="M5372">
        <v>-2.2203319999999999E-2</v>
      </c>
      <c r="N5372">
        <v>-1.124196E-2</v>
      </c>
      <c r="O5372">
        <v>0.99969030000000003</v>
      </c>
      <c r="P5372">
        <v>-4.2523949999999998E-2</v>
      </c>
      <c r="Q5372">
        <v>0.198772</v>
      </c>
      <c r="R5372">
        <v>0.97912279999999996</v>
      </c>
      <c r="S5372">
        <v>0.35382079999999999</v>
      </c>
      <c r="T5372">
        <v>-5.70308E-2</v>
      </c>
      <c r="U5372">
        <v>3.0895079999999999</v>
      </c>
      <c r="V5372">
        <v>-2.178393E-2</v>
      </c>
      <c r="W5372">
        <v>0.20967169999999999</v>
      </c>
      <c r="X5372">
        <v>0.97752919999999999</v>
      </c>
      <c r="Y5372">
        <v>0.13578680000000001</v>
      </c>
      <c r="Z5372">
        <v>-7.0487969999999999E-3</v>
      </c>
      <c r="AA5372">
        <v>0.99071299999999995</v>
      </c>
      <c r="AB5372">
        <v>39</v>
      </c>
      <c r="AC5372">
        <v>6.4781999999999798</v>
      </c>
      <c r="AD5372">
        <v>-1.0426392799999999</v>
      </c>
      <c r="AE5372">
        <v>56.088940000000001</v>
      </c>
      <c r="AF5372">
        <v>7.7194097675360904</v>
      </c>
      <c r="AG5372">
        <v>-1.0426392799999999</v>
      </c>
      <c r="AH5372">
        <v>55.912198102678502</v>
      </c>
      <c r="AI5372">
        <v>91.058279975465197</v>
      </c>
      <c r="AJ5372">
        <v>82.139262943886905</v>
      </c>
      <c r="AK5372">
        <v>56.452194647334103</v>
      </c>
      <c r="AL5372">
        <v>77.896886877510298</v>
      </c>
      <c r="AM5372">
        <v>91.276607084576995</v>
      </c>
      <c r="AN5372">
        <v>1.0000000491198799</v>
      </c>
    </row>
    <row r="5373" spans="1:40" x14ac:dyDescent="0.25">
      <c r="A5373" t="str">
        <f>"20190303170919633"</f>
        <v>20190303170919633</v>
      </c>
      <c r="B5373" t="str">
        <f>"1551604159619563"</f>
        <v>1551604159619563</v>
      </c>
      <c r="C5373" t="s">
        <v>40</v>
      </c>
      <c r="D5373">
        <v>4.7681829999999996</v>
      </c>
      <c r="E5373">
        <v>0.56553949999999997</v>
      </c>
      <c r="F5373" t="s">
        <v>43</v>
      </c>
      <c r="G5373">
        <v>-179.26320000000001</v>
      </c>
      <c r="H5373">
        <v>7.9986269999999998E-2</v>
      </c>
      <c r="I5373">
        <v>72.625369999999904</v>
      </c>
      <c r="J5373">
        <v>-185.8776</v>
      </c>
      <c r="K5373">
        <v>1.122633</v>
      </c>
      <c r="L5373">
        <v>15.120480000000001</v>
      </c>
      <c r="M5373">
        <v>-2.414521E-2</v>
      </c>
      <c r="N5373">
        <v>-1.1262980000000001E-2</v>
      </c>
      <c r="O5373">
        <v>0.99964500000000001</v>
      </c>
      <c r="P5373">
        <v>-4.3535900000000002E-2</v>
      </c>
      <c r="Q5373">
        <v>0.19864780000000001</v>
      </c>
      <c r="R5373">
        <v>0.97910350000000002</v>
      </c>
      <c r="S5373">
        <v>0.35244750000000002</v>
      </c>
      <c r="T5373">
        <v>-5.5646180000000003E-2</v>
      </c>
      <c r="U5373">
        <v>3.090576</v>
      </c>
      <c r="V5373">
        <v>-2.0893149999999999E-2</v>
      </c>
      <c r="W5373">
        <v>0.2095728</v>
      </c>
      <c r="X5373">
        <v>0.97756980000000004</v>
      </c>
      <c r="Y5373">
        <v>0.13723829999999901</v>
      </c>
      <c r="Z5373">
        <v>-6.5735560000000004E-3</v>
      </c>
      <c r="AA5373">
        <v>0.99051619999999996</v>
      </c>
      <c r="AB5373">
        <v>39</v>
      </c>
      <c r="AC5373">
        <v>6.6143999999999803</v>
      </c>
      <c r="AD5373">
        <v>-1.04264673</v>
      </c>
      <c r="AE5373">
        <v>57.504889999999897</v>
      </c>
      <c r="AF5373">
        <v>7.9984320014443204</v>
      </c>
      <c r="AG5373">
        <v>-1.04264673</v>
      </c>
      <c r="AH5373">
        <v>57.309812249629999</v>
      </c>
      <c r="AI5373">
        <v>91.032273643342606</v>
      </c>
      <c r="AJ5373">
        <v>82.0548473293086</v>
      </c>
      <c r="AK5373">
        <v>57.874662908505599</v>
      </c>
      <c r="AL5373">
        <v>77.902681560200307</v>
      </c>
      <c r="AM5373">
        <v>91.224369957691295</v>
      </c>
      <c r="AN5373">
        <v>0.99999999804440098</v>
      </c>
    </row>
    <row r="5374" spans="1:40" x14ac:dyDescent="0.25">
      <c r="A5374" t="str">
        <f>"20190303170919655"</f>
        <v>20190303170919655</v>
      </c>
      <c r="B5374" t="str">
        <f>"1551604159648843"</f>
        <v>1551604159648843</v>
      </c>
      <c r="C5374" t="s">
        <v>40</v>
      </c>
      <c r="D5374">
        <v>4.753196</v>
      </c>
      <c r="E5374">
        <v>0.56625760000000003</v>
      </c>
      <c r="F5374" t="s">
        <v>43</v>
      </c>
      <c r="G5374">
        <v>-179.42590000000001</v>
      </c>
      <c r="H5374">
        <v>7.9986009999999996E-2</v>
      </c>
      <c r="I5374">
        <v>71.782690000000002</v>
      </c>
      <c r="J5374">
        <v>-185.8886</v>
      </c>
      <c r="K5374">
        <v>1.1226419999999999</v>
      </c>
      <c r="L5374">
        <v>15.50665</v>
      </c>
      <c r="M5374">
        <v>-2.6005239999999999E-2</v>
      </c>
      <c r="N5374">
        <v>-1.128086E-2</v>
      </c>
      <c r="O5374">
        <v>0.99959810000000004</v>
      </c>
      <c r="P5374">
        <v>-4.5870319999999999E-2</v>
      </c>
      <c r="Q5374">
        <v>0.1973229</v>
      </c>
      <c r="R5374">
        <v>0.97926480000000005</v>
      </c>
      <c r="S5374">
        <v>0.35197450000000002</v>
      </c>
      <c r="T5374">
        <v>-5.6881790000000002E-2</v>
      </c>
      <c r="U5374">
        <v>3.0912169999999999</v>
      </c>
      <c r="V5374">
        <v>-2.139336E-2</v>
      </c>
      <c r="W5374">
        <v>0.20826620000000001</v>
      </c>
      <c r="X5374">
        <v>0.97783819999999999</v>
      </c>
      <c r="Y5374">
        <v>0.13890759999999999</v>
      </c>
      <c r="Z5374">
        <v>-6.9437730000000003E-3</v>
      </c>
      <c r="AA5374">
        <v>0.99028099999999997</v>
      </c>
      <c r="AB5374">
        <v>39</v>
      </c>
      <c r="AC5374">
        <v>6.4626999999999803</v>
      </c>
      <c r="AD5374">
        <v>-1.0426559900000001</v>
      </c>
      <c r="AE5374">
        <v>56.276040000000002</v>
      </c>
      <c r="AF5374">
        <v>7.9213954339842196</v>
      </c>
      <c r="AG5374">
        <v>-1.0426559900000001</v>
      </c>
      <c r="AH5374">
        <v>56.069934057287597</v>
      </c>
      <c r="AI5374">
        <v>91.054855947019504</v>
      </c>
      <c r="AJ5374">
        <v>81.958638646884793</v>
      </c>
      <c r="AK5374">
        <v>56.636323524074299</v>
      </c>
      <c r="AL5374">
        <v>77.979233731099797</v>
      </c>
      <c r="AM5374">
        <v>91.253329766404306</v>
      </c>
      <c r="AN5374">
        <v>1.00000001564688</v>
      </c>
    </row>
    <row r="5375" spans="1:40" x14ac:dyDescent="0.25">
      <c r="A5375" t="str">
        <f>"20190303170919679"</f>
        <v>20190303170919679</v>
      </c>
      <c r="B5375" t="str">
        <f>"1551604159669339"</f>
        <v>1551604159669339</v>
      </c>
      <c r="C5375" t="s">
        <v>40</v>
      </c>
      <c r="D5375">
        <v>4.7628029999999999</v>
      </c>
      <c r="E5375">
        <v>0.56666719999999904</v>
      </c>
      <c r="F5375" t="s">
        <v>43</v>
      </c>
      <c r="G5375">
        <v>-179.815</v>
      </c>
      <c r="H5375">
        <v>7.9986619999999994E-2</v>
      </c>
      <c r="I5375">
        <v>68.970690000000005</v>
      </c>
      <c r="J5375">
        <v>-185.90129999999999</v>
      </c>
      <c r="K5375">
        <v>1.1226389999999999</v>
      </c>
      <c r="L5375">
        <v>15.9245</v>
      </c>
      <c r="M5375">
        <v>-2.8015600000000002E-2</v>
      </c>
      <c r="N5375">
        <v>-1.1297929999999999E-2</v>
      </c>
      <c r="O5375">
        <v>0.99954370000000003</v>
      </c>
      <c r="P5375">
        <v>-4.8199939999999997E-2</v>
      </c>
      <c r="Q5375">
        <v>0.19662669999999999</v>
      </c>
      <c r="R5375">
        <v>0.97929299999999997</v>
      </c>
      <c r="S5375">
        <v>0.35127259999999999</v>
      </c>
      <c r="T5375">
        <v>-6.0302729999999999E-2</v>
      </c>
      <c r="U5375">
        <v>3.092133</v>
      </c>
      <c r="V5375">
        <v>-2.1746729999999999E-2</v>
      </c>
      <c r="W5375">
        <v>0.20758660000000001</v>
      </c>
      <c r="X5375">
        <v>0.97797489999999998</v>
      </c>
      <c r="Y5375">
        <v>0.14064209999999999</v>
      </c>
      <c r="Z5375">
        <v>-8.0127949999999996E-3</v>
      </c>
      <c r="AA5375">
        <v>0.99002809999999997</v>
      </c>
      <c r="AB5375">
        <v>39</v>
      </c>
      <c r="AC5375">
        <v>6.0862999999999898</v>
      </c>
      <c r="AD5375">
        <v>-1.04265238</v>
      </c>
      <c r="AE5375">
        <v>53.046190000000003</v>
      </c>
      <c r="AF5375">
        <v>7.5672407924161398</v>
      </c>
      <c r="AG5375">
        <v>-1.04265238</v>
      </c>
      <c r="AH5375">
        <v>52.834696772315098</v>
      </c>
      <c r="AI5375">
        <v>91.119124416871301</v>
      </c>
      <c r="AJ5375">
        <v>81.849252776687806</v>
      </c>
      <c r="AK5375">
        <v>53.3840373165838</v>
      </c>
      <c r="AL5375">
        <v>78.019041915431004</v>
      </c>
      <c r="AM5375">
        <v>91.273847153383599</v>
      </c>
      <c r="AN5375">
        <v>1.0000000108976299</v>
      </c>
    </row>
    <row r="5376" spans="1:40" x14ac:dyDescent="0.25">
      <c r="A5376" t="str">
        <f>"20190303170919702"</f>
        <v>20190303170919702</v>
      </c>
      <c r="B5376" t="str">
        <f>"1551604159688860"</f>
        <v>1551604159688860</v>
      </c>
      <c r="C5376" t="s">
        <v>40</v>
      </c>
      <c r="D5376">
        <v>4.7722579999999999</v>
      </c>
      <c r="E5376">
        <v>0.56725289999999995</v>
      </c>
      <c r="F5376" t="s">
        <v>43</v>
      </c>
      <c r="G5376">
        <v>-179.94409999999999</v>
      </c>
      <c r="H5376">
        <v>6.3621899999999995E-2</v>
      </c>
      <c r="I5376">
        <v>68.81465</v>
      </c>
      <c r="J5376">
        <v>-185.91419999999999</v>
      </c>
      <c r="K5376">
        <v>1.122641</v>
      </c>
      <c r="L5376">
        <v>16.326689999999999</v>
      </c>
      <c r="M5376">
        <v>-2.9948510000000001E-2</v>
      </c>
      <c r="N5376">
        <v>-1.131247E-2</v>
      </c>
      <c r="O5376">
        <v>0.99948740000000003</v>
      </c>
      <c r="P5376">
        <v>-4.9821030000000002E-2</v>
      </c>
      <c r="Q5376">
        <v>0.1976542</v>
      </c>
      <c r="R5376">
        <v>0.97900489999999996</v>
      </c>
      <c r="S5376">
        <v>0.3483734</v>
      </c>
      <c r="T5376">
        <v>-6.1931369999999999E-2</v>
      </c>
      <c r="U5376">
        <v>3.0930179999999998</v>
      </c>
      <c r="V5376">
        <v>-2.1484920000000001E-2</v>
      </c>
      <c r="W5376">
        <v>0.20862720000000001</v>
      </c>
      <c r="X5376">
        <v>0.97775919999999905</v>
      </c>
      <c r="Y5376">
        <v>0.1416076</v>
      </c>
      <c r="Z5376">
        <v>-8.5113789999999995E-3</v>
      </c>
      <c r="AA5376">
        <v>0.9898863</v>
      </c>
      <c r="AB5376">
        <v>39</v>
      </c>
      <c r="AC5376">
        <v>5.9701000000000004</v>
      </c>
      <c r="AD5376">
        <v>-1.0590191</v>
      </c>
      <c r="AE5376">
        <v>52.487960000000001</v>
      </c>
      <c r="AF5376">
        <v>7.53642974809223</v>
      </c>
      <c r="AG5376">
        <v>-1.0590191</v>
      </c>
      <c r="AH5376">
        <v>52.264601540344898</v>
      </c>
      <c r="AI5376">
        <v>91.1489251480901</v>
      </c>
      <c r="AJ5376">
        <v>81.794645710631002</v>
      </c>
      <c r="AK5376">
        <v>52.815791852182997</v>
      </c>
      <c r="AL5376">
        <v>77.958084991034596</v>
      </c>
      <c r="AM5376">
        <v>91.258793751859002</v>
      </c>
      <c r="AN5376">
        <v>0.99999998177594196</v>
      </c>
    </row>
    <row r="5377" spans="1:40" x14ac:dyDescent="0.25">
      <c r="A5377" t="str">
        <f>"20190303170919745"</f>
        <v>20190303170919745</v>
      </c>
      <c r="B5377" t="str">
        <f>"1551604159739249"</f>
        <v>1551604159739249</v>
      </c>
      <c r="C5377" t="s">
        <v>40</v>
      </c>
      <c r="D5377">
        <v>4.8462500000000004</v>
      </c>
      <c r="E5377">
        <v>0.54626889999999995</v>
      </c>
      <c r="F5377" t="s">
        <v>43</v>
      </c>
      <c r="G5377">
        <v>-179.72130000000001</v>
      </c>
      <c r="H5377">
        <v>7.9985890000000004E-2</v>
      </c>
      <c r="I5377">
        <v>71.435900000000004</v>
      </c>
      <c r="J5377">
        <v>-185.9408</v>
      </c>
      <c r="K5377">
        <v>1.1226449999999999</v>
      </c>
      <c r="L5377">
        <v>17.08691</v>
      </c>
      <c r="M5377">
        <v>-3.3574640000000003E-2</v>
      </c>
      <c r="N5377">
        <v>-1.133546E-2</v>
      </c>
      <c r="O5377">
        <v>0.99937189999999998</v>
      </c>
      <c r="P5377">
        <v>-5.3212530000000001E-2</v>
      </c>
      <c r="Q5377">
        <v>0.2002758</v>
      </c>
      <c r="R5377">
        <v>0.97829339999999998</v>
      </c>
      <c r="S5377">
        <v>0.34767150000000002</v>
      </c>
      <c r="T5377">
        <v>-5.8534860000000001E-2</v>
      </c>
      <c r="U5377">
        <v>3.093842</v>
      </c>
      <c r="V5377">
        <v>-2.134993E-2</v>
      </c>
      <c r="W5377">
        <v>0.21126639999999999</v>
      </c>
      <c r="X5377">
        <v>0.97719529999999999</v>
      </c>
      <c r="Y5377">
        <v>0.14494849999999901</v>
      </c>
      <c r="Z5377">
        <v>-7.3855700000000002E-3</v>
      </c>
      <c r="AA5377">
        <v>0.98941170000000001</v>
      </c>
      <c r="AB5377">
        <v>39</v>
      </c>
      <c r="AC5377">
        <v>6.2194999999999796</v>
      </c>
      <c r="AD5377">
        <v>-1.04265911</v>
      </c>
      <c r="AE5377">
        <v>54.348990000000001</v>
      </c>
      <c r="AF5377">
        <v>8.0379380566920897</v>
      </c>
      <c r="AG5377">
        <v>-1.04265911</v>
      </c>
      <c r="AH5377">
        <v>54.089863692627901</v>
      </c>
      <c r="AI5377">
        <v>91.092328813422696</v>
      </c>
      <c r="AJ5377">
        <v>81.547508427124498</v>
      </c>
      <c r="AK5377">
        <v>54.6937742390297</v>
      </c>
      <c r="AL5377">
        <v>77.803422944909897</v>
      </c>
      <c r="AM5377">
        <v>91.251608864123199</v>
      </c>
      <c r="AN5377">
        <v>0.99999998281102698</v>
      </c>
    </row>
    <row r="5378" spans="1:40" x14ac:dyDescent="0.25">
      <c r="A5378" t="str">
        <f>"20190303170919766"</f>
        <v>20190303170919766</v>
      </c>
      <c r="B5378" t="str">
        <f>"1551604159758770"</f>
        <v>1551604159758770</v>
      </c>
      <c r="C5378" t="s">
        <v>40</v>
      </c>
      <c r="D5378">
        <v>4.7174209999999999</v>
      </c>
      <c r="E5378">
        <v>0.541678199999999</v>
      </c>
      <c r="F5378" t="s">
        <v>43</v>
      </c>
      <c r="G5378">
        <v>-182.12719999999999</v>
      </c>
      <c r="H5378" s="1">
        <v>-4.5078700000000001E-6</v>
      </c>
      <c r="I5378">
        <v>86.739149999999995</v>
      </c>
      <c r="J5378">
        <v>-185.95519999999999</v>
      </c>
      <c r="K5378">
        <v>1.1226320000000001</v>
      </c>
      <c r="L5378">
        <v>17.469729999999998</v>
      </c>
      <c r="M5378">
        <v>-3.5372550000000003E-2</v>
      </c>
      <c r="N5378">
        <v>-1.1345040000000001E-2</v>
      </c>
      <c r="O5378">
        <v>0.99930980000000003</v>
      </c>
      <c r="P5378">
        <v>-5.5586080000000003E-2</v>
      </c>
      <c r="Q5378">
        <v>0.1993654</v>
      </c>
      <c r="R5378">
        <v>0.97834739999999998</v>
      </c>
      <c r="S5378">
        <v>0.16896059999999999</v>
      </c>
      <c r="T5378">
        <v>-4.9738879999999999E-2</v>
      </c>
      <c r="U5378">
        <v>3.0859380000000001</v>
      </c>
      <c r="V5378">
        <v>-2.1947459999999998E-2</v>
      </c>
      <c r="W5378">
        <v>0.21036489999999999</v>
      </c>
      <c r="X5378">
        <v>0.97737649999999998</v>
      </c>
      <c r="Y5378">
        <v>8.9943010000000004E-2</v>
      </c>
      <c r="Z5378">
        <v>-4.7004239999999999E-3</v>
      </c>
      <c r="AA5378">
        <v>0.99593580000000004</v>
      </c>
      <c r="AB5378">
        <v>39</v>
      </c>
      <c r="AC5378">
        <v>3.8279999999999998</v>
      </c>
      <c r="AD5378">
        <v>-1.12263650787</v>
      </c>
      <c r="AE5378">
        <v>69.269419999999997</v>
      </c>
      <c r="AF5378">
        <v>6.2743548209024302</v>
      </c>
      <c r="AG5378">
        <v>-1.12263650787</v>
      </c>
      <c r="AH5378">
        <v>69.072563055059305</v>
      </c>
      <c r="AI5378">
        <v>90.927329090811298</v>
      </c>
      <c r="AJ5378">
        <v>84.809659202130604</v>
      </c>
      <c r="AK5378">
        <v>69.3660349749251</v>
      </c>
      <c r="AL5378">
        <v>77.856262246359904</v>
      </c>
      <c r="AM5378">
        <v>91.286388131147902</v>
      </c>
      <c r="AN5378">
        <v>0.99999995245235396</v>
      </c>
    </row>
    <row r="5379" spans="1:40" x14ac:dyDescent="0.25">
      <c r="A5379" t="str">
        <f>"20190303170919790"</f>
        <v>20190303170919790</v>
      </c>
      <c r="B5379" t="str">
        <f>"1551604159779265"</f>
        <v>1551604159779265</v>
      </c>
      <c r="C5379" t="s">
        <v>40</v>
      </c>
      <c r="D5379">
        <v>4.8431670000000002</v>
      </c>
      <c r="E5379">
        <v>0.54022099999999995</v>
      </c>
      <c r="F5379" t="s">
        <v>43</v>
      </c>
      <c r="G5379">
        <v>-182.94200000000001</v>
      </c>
      <c r="H5379" s="1">
        <v>-2.4166580000000002E-6</v>
      </c>
      <c r="I5379">
        <v>91.231080000000006</v>
      </c>
      <c r="J5379">
        <v>-185.9717</v>
      </c>
      <c r="K5379">
        <v>1.1225959999999999</v>
      </c>
      <c r="L5379">
        <v>17.888670000000001</v>
      </c>
      <c r="M5379">
        <v>-3.7282339999999997E-2</v>
      </c>
      <c r="N5379">
        <v>-1.1354019999999999E-2</v>
      </c>
      <c r="O5379">
        <v>0.99924029999999997</v>
      </c>
      <c r="P5379">
        <v>-5.8256229999999999E-2</v>
      </c>
      <c r="Q5379">
        <v>0.1987959</v>
      </c>
      <c r="R5379">
        <v>0.97830799999999996</v>
      </c>
      <c r="S5379">
        <v>0.125946</v>
      </c>
      <c r="T5379">
        <v>-4.6924229999999997E-2</v>
      </c>
      <c r="U5379">
        <v>3.0830989999999998</v>
      </c>
      <c r="V5379">
        <v>-2.2725289999999999E-2</v>
      </c>
      <c r="W5379">
        <v>0.20980360000000001</v>
      </c>
      <c r="X5379">
        <v>0.9774794</v>
      </c>
      <c r="Y5379">
        <v>7.8029660000000001E-2</v>
      </c>
      <c r="Z5379">
        <v>-3.8103289999999999E-3</v>
      </c>
      <c r="AA5379">
        <v>0.99694380000000005</v>
      </c>
      <c r="AB5379">
        <v>39</v>
      </c>
      <c r="AC5379">
        <v>3.0296999999999898</v>
      </c>
      <c r="AD5379">
        <v>-1.1225984166580001</v>
      </c>
      <c r="AE5379">
        <v>73.342410000000001</v>
      </c>
      <c r="AF5379">
        <v>5.7607988901209097</v>
      </c>
      <c r="AG5379">
        <v>-1.1225984166580001</v>
      </c>
      <c r="AH5379">
        <v>73.161340969091995</v>
      </c>
      <c r="AI5379">
        <v>90.876373711756202</v>
      </c>
      <c r="AJ5379">
        <v>85.497761177636093</v>
      </c>
      <c r="AK5379">
        <v>73.3963816782084</v>
      </c>
      <c r="AL5379">
        <v>77.889156840767598</v>
      </c>
      <c r="AM5379">
        <v>91.331822121861094</v>
      </c>
      <c r="AN5379">
        <v>0.99999998340145102</v>
      </c>
    </row>
    <row r="5380" spans="1:40" x14ac:dyDescent="0.25">
      <c r="A5380" t="str">
        <f>"20190303170919813"</f>
        <v>20190303170919813</v>
      </c>
      <c r="B5380" t="str">
        <f>"1551604159800466"</f>
        <v>1551604159800466</v>
      </c>
      <c r="C5380" t="s">
        <v>40</v>
      </c>
      <c r="D5380">
        <v>4.7094139999999998</v>
      </c>
      <c r="E5380">
        <v>0.53998639999999998</v>
      </c>
      <c r="F5380" t="s">
        <v>43</v>
      </c>
      <c r="G5380">
        <v>-183.48830000000001</v>
      </c>
      <c r="H5380" s="1">
        <v>-5.3153989999999997E-6</v>
      </c>
      <c r="I5380">
        <v>89.330600000000004</v>
      </c>
      <c r="J5380">
        <v>-185.9881</v>
      </c>
      <c r="K5380">
        <v>1.1225419999999999</v>
      </c>
      <c r="L5380">
        <v>18.286650000000002</v>
      </c>
      <c r="M5380">
        <v>-3.9008189999999998E-2</v>
      </c>
      <c r="N5380">
        <v>-1.136101E-2</v>
      </c>
      <c r="O5380">
        <v>0.99917429999999996</v>
      </c>
      <c r="P5380">
        <v>-5.9635769999999998E-2</v>
      </c>
      <c r="Q5380">
        <v>0.1987498</v>
      </c>
      <c r="R5380">
        <v>0.97823419999999905</v>
      </c>
      <c r="S5380">
        <v>0.10716249999999999</v>
      </c>
      <c r="T5380">
        <v>-4.8440459999999998E-2</v>
      </c>
      <c r="U5380">
        <v>3.0827330000000002</v>
      </c>
      <c r="V5380">
        <v>-2.2386139999999999E-2</v>
      </c>
      <c r="W5380">
        <v>0.2097687</v>
      </c>
      <c r="X5380">
        <v>0.97749470000000005</v>
      </c>
      <c r="Y5380">
        <v>7.3690240000000004E-2</v>
      </c>
      <c r="Z5380">
        <v>-4.2991779999999999E-3</v>
      </c>
      <c r="AA5380">
        <v>0.99727189999999999</v>
      </c>
      <c r="AB5380">
        <v>39</v>
      </c>
      <c r="AC5380">
        <v>2.4997999999999898</v>
      </c>
      <c r="AD5380">
        <v>-1.122547315399</v>
      </c>
      <c r="AE5380">
        <v>71.043949999999995</v>
      </c>
      <c r="AF5380">
        <v>5.2680582939159697</v>
      </c>
      <c r="AG5380">
        <v>-1.122547315399</v>
      </c>
      <c r="AH5380">
        <v>70.874678911694403</v>
      </c>
      <c r="AI5380">
        <v>90.904906425384397</v>
      </c>
      <c r="AJ5380">
        <v>85.749067515963006</v>
      </c>
      <c r="AK5380">
        <v>71.079059233357796</v>
      </c>
      <c r="AL5380">
        <v>77.891201779566302</v>
      </c>
      <c r="AM5380">
        <v>91.311932610597793</v>
      </c>
      <c r="AN5380">
        <v>0.99999996764593901</v>
      </c>
    </row>
    <row r="5381" spans="1:40" x14ac:dyDescent="0.25">
      <c r="A5381" t="str">
        <f>"20190303170919836"</f>
        <v>20190303170919836</v>
      </c>
      <c r="B5381" t="str">
        <f>"1551604159828770"</f>
        <v>1551604159828770</v>
      </c>
      <c r="C5381" t="s">
        <v>40</v>
      </c>
      <c r="D5381">
        <v>4.6689379999999998</v>
      </c>
      <c r="E5381">
        <v>0.53990329999999997</v>
      </c>
      <c r="F5381" t="s">
        <v>43</v>
      </c>
      <c r="G5381">
        <v>-183.65639999999999</v>
      </c>
      <c r="H5381" s="1">
        <v>-1.7554430000000001E-6</v>
      </c>
      <c r="I5381">
        <v>89.846609999999998</v>
      </c>
      <c r="J5381">
        <v>-186.00579999999999</v>
      </c>
      <c r="K5381">
        <v>1.122463</v>
      </c>
      <c r="L5381">
        <v>18.698609999999999</v>
      </c>
      <c r="M5381">
        <v>-4.0706920000000001E-2</v>
      </c>
      <c r="N5381">
        <v>-1.1367179999999999E-2</v>
      </c>
      <c r="O5381">
        <v>0.99910650000000001</v>
      </c>
      <c r="P5381">
        <v>-6.1625279999999998E-2</v>
      </c>
      <c r="Q5381">
        <v>0.1992775</v>
      </c>
      <c r="R5381">
        <v>0.97800350000000003</v>
      </c>
      <c r="S5381">
        <v>0.1004486</v>
      </c>
      <c r="T5381">
        <v>-4.8357610000000002E-2</v>
      </c>
      <c r="U5381">
        <v>3.082703</v>
      </c>
      <c r="V5381">
        <v>-2.2683189999999999E-2</v>
      </c>
      <c r="W5381">
        <v>0.2103034</v>
      </c>
      <c r="X5381">
        <v>0.97737300000000005</v>
      </c>
      <c r="Y5381">
        <v>7.3216710000000004E-2</v>
      </c>
      <c r="Z5381">
        <v>-4.2657900000000002E-3</v>
      </c>
      <c r="AA5381">
        <v>0.9973069</v>
      </c>
      <c r="AB5381">
        <v>39</v>
      </c>
      <c r="AC5381">
        <v>2.3494000000000002</v>
      </c>
      <c r="AD5381">
        <v>-1.1224647554430001</v>
      </c>
      <c r="AE5381">
        <v>71.147999999999996</v>
      </c>
      <c r="AF5381">
        <v>5.2425519484599796</v>
      </c>
      <c r="AG5381">
        <v>-1.1224647554430001</v>
      </c>
      <c r="AH5381">
        <v>70.975730490176502</v>
      </c>
      <c r="AI5381">
        <v>90.903582802845406</v>
      </c>
      <c r="AJ5381">
        <v>85.775575586212895</v>
      </c>
      <c r="AK5381">
        <v>71.177936164753206</v>
      </c>
      <c r="AL5381">
        <v>77.8598673276055</v>
      </c>
      <c r="AM5381">
        <v>91.329500391538204</v>
      </c>
      <c r="AN5381">
        <v>1.00000001414456</v>
      </c>
    </row>
    <row r="5382" spans="1:40" x14ac:dyDescent="0.25">
      <c r="A5382" t="str">
        <f>"20190303170919878"</f>
        <v>20190303170919878</v>
      </c>
      <c r="B5382" t="str">
        <f>"1551604159868786"</f>
        <v>1551604159868786</v>
      </c>
      <c r="C5382" t="s">
        <v>40</v>
      </c>
      <c r="D5382">
        <v>4.6656559999999896</v>
      </c>
      <c r="E5382">
        <v>0.5403829</v>
      </c>
      <c r="F5382" t="s">
        <v>43</v>
      </c>
      <c r="G5382">
        <v>-183.75739999999999</v>
      </c>
      <c r="H5382" s="1">
        <v>-2.6085570000000002E-6</v>
      </c>
      <c r="I5382">
        <v>92.432469999999995</v>
      </c>
      <c r="J5382">
        <v>-186.03880000000001</v>
      </c>
      <c r="K5382">
        <v>1.1222859999999999</v>
      </c>
      <c r="L5382">
        <v>19.438600000000001</v>
      </c>
      <c r="M5382">
        <v>-4.3431900000000002E-2</v>
      </c>
      <c r="N5382">
        <v>-1.1369519999999999E-2</v>
      </c>
      <c r="O5382">
        <v>0.99899170000000004</v>
      </c>
      <c r="P5382">
        <v>-6.5905859999999997E-2</v>
      </c>
      <c r="Q5382">
        <v>0.1984784</v>
      </c>
      <c r="R5382">
        <v>0.9778869</v>
      </c>
      <c r="S5382">
        <v>9.4009400000000007E-2</v>
      </c>
      <c r="T5382">
        <v>-4.6932340000000003E-2</v>
      </c>
      <c r="U5382">
        <v>3.0829469999999999</v>
      </c>
      <c r="V5382">
        <v>-2.4198290000000001E-2</v>
      </c>
      <c r="W5382">
        <v>0.2095118</v>
      </c>
      <c r="X5382">
        <v>0.9775066</v>
      </c>
      <c r="Y5382">
        <v>7.3853569999999993E-2</v>
      </c>
      <c r="Z5382">
        <v>-3.798863E-3</v>
      </c>
      <c r="AA5382">
        <v>0.99726190000000003</v>
      </c>
      <c r="AB5382">
        <v>39</v>
      </c>
      <c r="AC5382">
        <v>2.2814000000000099</v>
      </c>
      <c r="AD5382">
        <v>-1.1222886085570001</v>
      </c>
      <c r="AE5382">
        <v>72.993869999999902</v>
      </c>
      <c r="AF5382">
        <v>5.4484276169431398</v>
      </c>
      <c r="AG5382">
        <v>-1.1222886085570001</v>
      </c>
      <c r="AH5382">
        <v>72.808696655567104</v>
      </c>
      <c r="AI5382">
        <v>90.880637411017403</v>
      </c>
      <c r="AJ5382">
        <v>85.720412983394596</v>
      </c>
      <c r="AK5382">
        <v>73.020895666243106</v>
      </c>
      <c r="AL5382">
        <v>77.906255394379201</v>
      </c>
      <c r="AM5382">
        <v>91.418074085309399</v>
      </c>
      <c r="AN5382">
        <v>0.99999995231086103</v>
      </c>
    </row>
    <row r="5383" spans="1:40" x14ac:dyDescent="0.25">
      <c r="A5383" t="str">
        <f>"20190303170919904"</f>
        <v>20190303170919904</v>
      </c>
      <c r="B5383" t="str">
        <f>"1551604159899415"</f>
        <v>1551604159899415</v>
      </c>
      <c r="C5383" t="s">
        <v>40</v>
      </c>
      <c r="D5383">
        <v>4.664269</v>
      </c>
      <c r="E5383">
        <v>0.54106849999999995</v>
      </c>
      <c r="F5383" t="s">
        <v>43</v>
      </c>
      <c r="G5383">
        <v>-184.1728</v>
      </c>
      <c r="H5383" s="1">
        <v>-4.3817209999999999E-6</v>
      </c>
      <c r="I5383">
        <v>87.437219999999996</v>
      </c>
      <c r="J5383">
        <v>-186.0591</v>
      </c>
      <c r="K5383">
        <v>1.122144</v>
      </c>
      <c r="L5383">
        <v>19.87622</v>
      </c>
      <c r="M5383">
        <v>-4.4796660000000002E-2</v>
      </c>
      <c r="N5383">
        <v>-1.136436E-2</v>
      </c>
      <c r="O5383">
        <v>0.99893149999999997</v>
      </c>
      <c r="P5383">
        <v>-6.7039219999999997E-2</v>
      </c>
      <c r="Q5383">
        <v>0.1978482</v>
      </c>
      <c r="R5383">
        <v>0.97793750000000002</v>
      </c>
      <c r="S5383">
        <v>8.4625240000000004E-2</v>
      </c>
      <c r="T5383">
        <v>-5.0897959999999999E-2</v>
      </c>
      <c r="U5383">
        <v>3.0838619999999999</v>
      </c>
      <c r="V5383">
        <v>-2.3918160000000001E-2</v>
      </c>
      <c r="W5383">
        <v>0.20888699999999999</v>
      </c>
      <c r="X5383">
        <v>0.97764720000000005</v>
      </c>
      <c r="Y5383">
        <v>7.2174370000000002E-2</v>
      </c>
      <c r="Z5383">
        <v>-5.0820279999999997E-3</v>
      </c>
      <c r="AA5383">
        <v>0.99737909999999996</v>
      </c>
      <c r="AB5383">
        <v>40</v>
      </c>
      <c r="AC5383">
        <v>1.8863000000000001</v>
      </c>
      <c r="AD5383">
        <v>-1.1221483817209901</v>
      </c>
      <c r="AE5383">
        <v>67.560999999999893</v>
      </c>
      <c r="AF5383">
        <v>4.9097552886016098</v>
      </c>
      <c r="AG5383">
        <v>-1.1221483817209901</v>
      </c>
      <c r="AH5383">
        <v>67.390086501432606</v>
      </c>
      <c r="AI5383">
        <v>90.951453181352207</v>
      </c>
      <c r="AJ5383">
        <v>85.8330353044378</v>
      </c>
      <c r="AK5383">
        <v>67.578019153087993</v>
      </c>
      <c r="AL5383">
        <v>77.942863835907502</v>
      </c>
      <c r="AM5383">
        <v>91.401462926618606</v>
      </c>
      <c r="AN5383">
        <v>0.99999995240731099</v>
      </c>
    </row>
    <row r="5384" spans="1:40" x14ac:dyDescent="0.25">
      <c r="A5384" t="str">
        <f>"20190303170919926"</f>
        <v>20190303170919926</v>
      </c>
      <c r="B5384" t="str">
        <f>"1551604159918934"</f>
        <v>1551604159918934</v>
      </c>
      <c r="C5384" t="s">
        <v>40</v>
      </c>
      <c r="D5384">
        <v>4.6883109999999997</v>
      </c>
      <c r="E5384">
        <v>0.54150790000000004</v>
      </c>
      <c r="F5384" t="s">
        <v>43</v>
      </c>
      <c r="G5384">
        <v>-184.21010000000001</v>
      </c>
      <c r="H5384" s="1">
        <v>-3.5642870000000002E-6</v>
      </c>
      <c r="I5384">
        <v>85.547179999999997</v>
      </c>
      <c r="J5384">
        <v>-186.07859999999999</v>
      </c>
      <c r="K5384">
        <v>1.1219790000000001</v>
      </c>
      <c r="L5384">
        <v>20.28998</v>
      </c>
      <c r="M5384">
        <v>-4.589099E-2</v>
      </c>
      <c r="N5384">
        <v>-1.135532E-2</v>
      </c>
      <c r="O5384">
        <v>0.99888189999999999</v>
      </c>
      <c r="P5384">
        <v>-6.6977999999999996E-2</v>
      </c>
      <c r="Q5384">
        <v>0.197654</v>
      </c>
      <c r="R5384">
        <v>0.97798099999999999</v>
      </c>
      <c r="S5384">
        <v>8.6837769999999995E-2</v>
      </c>
      <c r="T5384">
        <v>-5.2702550000000001E-2</v>
      </c>
      <c r="U5384">
        <v>3.0842900000000002</v>
      </c>
      <c r="V5384">
        <v>-2.2704220000000001E-2</v>
      </c>
      <c r="W5384">
        <v>0.20869660000000001</v>
      </c>
      <c r="X5384">
        <v>0.9777169</v>
      </c>
      <c r="Y5384">
        <v>7.3977429999999997E-2</v>
      </c>
      <c r="Z5384">
        <v>-5.6690359999999997E-3</v>
      </c>
      <c r="AA5384">
        <v>0.99724380000000001</v>
      </c>
      <c r="AB5384">
        <v>40</v>
      </c>
      <c r="AC5384">
        <v>1.8684999999999801</v>
      </c>
      <c r="AD5384">
        <v>-1.1219825642870001</v>
      </c>
      <c r="AE5384">
        <v>65.257199999999997</v>
      </c>
      <c r="AF5384">
        <v>4.8600063582764701</v>
      </c>
      <c r="AG5384">
        <v>-1.1219825642870001</v>
      </c>
      <c r="AH5384">
        <v>65.083463395523495</v>
      </c>
      <c r="AI5384">
        <v>90.984890231590697</v>
      </c>
      <c r="AJ5384">
        <v>85.729452748413607</v>
      </c>
      <c r="AK5384">
        <v>65.274311288848494</v>
      </c>
      <c r="AL5384">
        <v>77.954019933190594</v>
      </c>
      <c r="AM5384">
        <v>91.330264651899796</v>
      </c>
      <c r="AN5384">
        <v>1.0000000445014801</v>
      </c>
    </row>
    <row r="5385" spans="1:40" x14ac:dyDescent="0.25">
      <c r="A5385" t="str">
        <f>"20190303170919967"</f>
        <v>20190303170919967</v>
      </c>
      <c r="B5385" t="str">
        <f>"1551604159958951"</f>
        <v>1551604159958951</v>
      </c>
      <c r="C5385" t="s">
        <v>40</v>
      </c>
      <c r="D5385">
        <v>4.7103469999999996</v>
      </c>
      <c r="E5385">
        <v>0.54214569999999995</v>
      </c>
      <c r="F5385" t="s">
        <v>43</v>
      </c>
      <c r="G5385">
        <v>-184.13399999999999</v>
      </c>
      <c r="H5385" s="1">
        <v>-3.9368969999999997E-6</v>
      </c>
      <c r="I5385">
        <v>86.384280000000004</v>
      </c>
      <c r="J5385">
        <v>-186.113</v>
      </c>
      <c r="K5385">
        <v>1.121651</v>
      </c>
      <c r="L5385">
        <v>21.007390000000001</v>
      </c>
      <c r="M5385">
        <v>-4.7215159999999999E-2</v>
      </c>
      <c r="N5385">
        <v>-1.132207E-2</v>
      </c>
      <c r="O5385">
        <v>0.99882059999999995</v>
      </c>
      <c r="P5385">
        <v>-6.6654409999999997E-2</v>
      </c>
      <c r="Q5385">
        <v>0.19701630000000001</v>
      </c>
      <c r="R5385">
        <v>0.9781318</v>
      </c>
      <c r="S5385">
        <v>9.0744019999999995E-2</v>
      </c>
      <c r="T5385">
        <v>-5.2358389999999998E-2</v>
      </c>
      <c r="U5385">
        <v>3.0843509999999998</v>
      </c>
      <c r="V5385">
        <v>-2.0908489999999998E-2</v>
      </c>
      <c r="W5385">
        <v>0.20805029999999999</v>
      </c>
      <c r="X5385">
        <v>0.97789459999999995</v>
      </c>
      <c r="Y5385">
        <v>7.6560310000000006E-2</v>
      </c>
      <c r="Z5385">
        <v>-5.5866960000000004E-3</v>
      </c>
      <c r="AA5385">
        <v>0.99704930000000003</v>
      </c>
      <c r="AB5385">
        <v>40</v>
      </c>
      <c r="AC5385">
        <v>1.9789999999999801</v>
      </c>
      <c r="AD5385">
        <v>-1.1216549368969999</v>
      </c>
      <c r="AE5385">
        <v>65.376890000000003</v>
      </c>
      <c r="AF5385">
        <v>5.0622819902603799</v>
      </c>
      <c r="AG5385">
        <v>-1.1216549368969999</v>
      </c>
      <c r="AH5385">
        <v>65.191352019000803</v>
      </c>
      <c r="AI5385">
        <v>90.982751854095099</v>
      </c>
      <c r="AJ5385">
        <v>85.559740749103796</v>
      </c>
      <c r="AK5385">
        <v>65.3972261400409</v>
      </c>
      <c r="AL5385">
        <v>77.991880374214503</v>
      </c>
      <c r="AM5385">
        <v>91.224861791440603</v>
      </c>
      <c r="AN5385">
        <v>0.999999970496664</v>
      </c>
    </row>
    <row r="5386" spans="1:40" x14ac:dyDescent="0.25">
      <c r="A5386" t="str">
        <f>"20190303170919990"</f>
        <v>20190303170919990</v>
      </c>
      <c r="B5386" t="str">
        <f>"1551604159979447"</f>
        <v>1551604159979447</v>
      </c>
      <c r="C5386" t="s">
        <v>40</v>
      </c>
      <c r="D5386">
        <v>4.7145859999999997</v>
      </c>
      <c r="E5386">
        <v>0.54245369999999904</v>
      </c>
      <c r="F5386" t="s">
        <v>43</v>
      </c>
      <c r="G5386">
        <v>-184.04810000000001</v>
      </c>
      <c r="H5386" s="1">
        <v>-3.8064699999999999E-6</v>
      </c>
      <c r="I5386">
        <v>86.044719999999998</v>
      </c>
      <c r="J5386">
        <v>-186.13220000000001</v>
      </c>
      <c r="K5386">
        <v>1.121467</v>
      </c>
      <c r="L5386">
        <v>21.405729999999998</v>
      </c>
      <c r="M5386">
        <v>-4.7672930000000002E-2</v>
      </c>
      <c r="N5386">
        <v>-1.1300309999999999E-2</v>
      </c>
      <c r="O5386">
        <v>0.99879910000000005</v>
      </c>
      <c r="P5386">
        <v>-6.6661219999999993E-2</v>
      </c>
      <c r="Q5386">
        <v>0.1970934</v>
      </c>
      <c r="R5386">
        <v>0.97811579999999998</v>
      </c>
      <c r="S5386">
        <v>9.7930909999999996E-2</v>
      </c>
      <c r="T5386">
        <v>-5.319583E-2</v>
      </c>
      <c r="U5386">
        <v>3.084473</v>
      </c>
      <c r="V5386">
        <v>-2.0373349999999998E-2</v>
      </c>
      <c r="W5386">
        <v>0.20811650000000001</v>
      </c>
      <c r="X5386">
        <v>0.97789190000000004</v>
      </c>
      <c r="Y5386">
        <v>7.9336190000000001E-2</v>
      </c>
      <c r="Z5386">
        <v>-5.87456E-3</v>
      </c>
      <c r="AA5386">
        <v>0.99683060000000001</v>
      </c>
      <c r="AB5386">
        <v>40</v>
      </c>
      <c r="AC5386">
        <v>2.0840999999999998</v>
      </c>
      <c r="AD5386">
        <v>-1.1214708064700001</v>
      </c>
      <c r="AE5386">
        <v>64.638990000000007</v>
      </c>
      <c r="AF5386">
        <v>5.1619046245053504</v>
      </c>
      <c r="AG5386">
        <v>-1.1214708064700001</v>
      </c>
      <c r="AH5386">
        <v>64.446745319350597</v>
      </c>
      <c r="AI5386">
        <v>90.993750695552905</v>
      </c>
      <c r="AJ5386">
        <v>85.420632701457606</v>
      </c>
      <c r="AK5386">
        <v>64.662863672895696</v>
      </c>
      <c r="AL5386">
        <v>77.988003596633604</v>
      </c>
      <c r="AM5386">
        <v>91.193524685412598</v>
      </c>
      <c r="AN5386">
        <v>1.0000000595240299</v>
      </c>
    </row>
    <row r="5387" spans="1:40" x14ac:dyDescent="0.25">
      <c r="A5387" t="str">
        <f>"20190303170920012"</f>
        <v>20190303170920012</v>
      </c>
      <c r="B5387" t="str">
        <f>"1551604159998967"</f>
        <v>1551604159998967</v>
      </c>
      <c r="C5387" t="s">
        <v>40</v>
      </c>
      <c r="D5387">
        <v>4.7592910000000002</v>
      </c>
      <c r="E5387">
        <v>0.54276559999999996</v>
      </c>
      <c r="F5387" t="s">
        <v>43</v>
      </c>
      <c r="G5387">
        <v>-183.94839999999999</v>
      </c>
      <c r="H5387" s="1">
        <v>-4.6239470000000001E-6</v>
      </c>
      <c r="I5387">
        <v>87.90907</v>
      </c>
      <c r="J5387">
        <v>-186.15190000000001</v>
      </c>
      <c r="K5387">
        <v>1.121297</v>
      </c>
      <c r="L5387">
        <v>21.812619999999999</v>
      </c>
      <c r="M5387">
        <v>-4.7970690000000003E-2</v>
      </c>
      <c r="N5387">
        <v>-1.1279269999999999E-2</v>
      </c>
      <c r="O5387">
        <v>0.99878509999999998</v>
      </c>
      <c r="P5387">
        <v>-6.647467E-2</v>
      </c>
      <c r="Q5387">
        <v>0.1973075</v>
      </c>
      <c r="R5387">
        <v>0.97808530000000005</v>
      </c>
      <c r="S5387">
        <v>0.1012878</v>
      </c>
      <c r="T5387">
        <v>-5.2015190000000003E-2</v>
      </c>
      <c r="U5387">
        <v>3.0845030000000002</v>
      </c>
      <c r="V5387">
        <v>-1.981105E-2</v>
      </c>
      <c r="W5387">
        <v>0.20831849999999999</v>
      </c>
      <c r="X5387">
        <v>0.97786039999999996</v>
      </c>
      <c r="Y5387">
        <v>8.0716750000000004E-2</v>
      </c>
      <c r="Z5387">
        <v>-5.5122039999999997E-3</v>
      </c>
      <c r="AA5387">
        <v>0.99672190000000005</v>
      </c>
      <c r="AB5387">
        <v>40</v>
      </c>
      <c r="AC5387">
        <v>2.20350000000002</v>
      </c>
      <c r="AD5387">
        <v>-1.1213016239469999</v>
      </c>
      <c r="AE5387">
        <v>66.096450000000004</v>
      </c>
      <c r="AF5387">
        <v>5.3703129198650101</v>
      </c>
      <c r="AG5387">
        <v>-1.1213016239469999</v>
      </c>
      <c r="AH5387">
        <v>65.895692600300094</v>
      </c>
      <c r="AI5387">
        <v>90.971647959613605</v>
      </c>
      <c r="AJ5387">
        <v>85.340852538726807</v>
      </c>
      <c r="AK5387">
        <v>66.123671113016599</v>
      </c>
      <c r="AL5387">
        <v>77.976169998082298</v>
      </c>
      <c r="AM5387">
        <v>91.160630179345603</v>
      </c>
      <c r="AN5387">
        <v>1.0000000185162501</v>
      </c>
    </row>
    <row r="5388" spans="1:40" x14ac:dyDescent="0.25">
      <c r="A5388" t="str">
        <f>"20190303170920036"</f>
        <v>20190303170920036</v>
      </c>
      <c r="B5388" t="str">
        <f>"1551604160029223"</f>
        <v>1551604160029223</v>
      </c>
      <c r="C5388" t="s">
        <v>40</v>
      </c>
      <c r="D5388">
        <v>4.7611039999999996</v>
      </c>
      <c r="E5388">
        <v>0.54311809999999905</v>
      </c>
      <c r="F5388" t="s">
        <v>43</v>
      </c>
      <c r="G5388">
        <v>-183.93279999999999</v>
      </c>
      <c r="H5388" s="1">
        <v>-4.6790420000000003E-6</v>
      </c>
      <c r="I5388">
        <v>88.031040000000004</v>
      </c>
      <c r="J5388">
        <v>-186.17140000000001</v>
      </c>
      <c r="K5388">
        <v>1.1211610000000001</v>
      </c>
      <c r="L5388">
        <v>22.21292</v>
      </c>
      <c r="M5388">
        <v>-4.8143829999999999E-2</v>
      </c>
      <c r="N5388">
        <v>-1.126008E-2</v>
      </c>
      <c r="O5388">
        <v>0.99877700000000003</v>
      </c>
      <c r="P5388">
        <v>-6.5901870000000001E-2</v>
      </c>
      <c r="Q5388">
        <v>0.19716210000000001</v>
      </c>
      <c r="R5388">
        <v>0.97815339999999995</v>
      </c>
      <c r="S5388">
        <v>0.10337830000000001</v>
      </c>
      <c r="T5388">
        <v>-5.2235719999999999E-2</v>
      </c>
      <c r="U5388">
        <v>3.084778</v>
      </c>
      <c r="V5388">
        <v>-1.899617E-2</v>
      </c>
      <c r="W5388">
        <v>0.20816219999999999</v>
      </c>
      <c r="X5388">
        <v>0.97790980000000005</v>
      </c>
      <c r="Y5388">
        <v>8.1561140000000004E-2</v>
      </c>
      <c r="Z5388">
        <v>-5.5999319999999898E-3</v>
      </c>
      <c r="AA5388">
        <v>0.9966526</v>
      </c>
      <c r="AB5388">
        <v>40</v>
      </c>
      <c r="AC5388">
        <v>2.2386000000000101</v>
      </c>
      <c r="AD5388">
        <v>-1.1211656790419999</v>
      </c>
      <c r="AE5388">
        <v>65.818119999999993</v>
      </c>
      <c r="AF5388">
        <v>5.4033748494565899</v>
      </c>
      <c r="AG5388">
        <v>-1.1211656790419999</v>
      </c>
      <c r="AH5388">
        <v>65.614989584061902</v>
      </c>
      <c r="AI5388">
        <v>90.975617942504797</v>
      </c>
      <c r="AJ5388">
        <v>85.2923320875298</v>
      </c>
      <c r="AK5388">
        <v>65.846642513951707</v>
      </c>
      <c r="AL5388">
        <v>77.985325415347305</v>
      </c>
      <c r="AM5388">
        <v>91.112846501159893</v>
      </c>
      <c r="AN5388">
        <v>0.99999996645977296</v>
      </c>
    </row>
    <row r="5389" spans="1:40" x14ac:dyDescent="0.25">
      <c r="A5389" t="str">
        <f>"20190303170920058"</f>
        <v>20190303170920058</v>
      </c>
      <c r="B5389" t="str">
        <f>"1551604160049720"</f>
        <v>1551604160049720</v>
      </c>
      <c r="C5389" t="s">
        <v>40</v>
      </c>
      <c r="D5389">
        <v>4.778708</v>
      </c>
      <c r="E5389">
        <v>0.54327539999999996</v>
      </c>
      <c r="F5389" t="s">
        <v>43</v>
      </c>
      <c r="G5389">
        <v>-183.9349</v>
      </c>
      <c r="H5389" s="1">
        <v>-4.0134070000000004E-6</v>
      </c>
      <c r="I5389">
        <v>86.480289999999997</v>
      </c>
      <c r="J5389">
        <v>-186.19059999999999</v>
      </c>
      <c r="K5389">
        <v>1.121049</v>
      </c>
      <c r="L5389">
        <v>22.608090000000001</v>
      </c>
      <c r="M5389">
        <v>-4.8228739999999999E-2</v>
      </c>
      <c r="N5389">
        <v>-1.124125E-2</v>
      </c>
      <c r="O5389">
        <v>0.99877300000000002</v>
      </c>
      <c r="P5389">
        <v>-6.5363060000000001E-2</v>
      </c>
      <c r="Q5389">
        <v>0.19600580000000001</v>
      </c>
      <c r="R5389">
        <v>0.97842189999999996</v>
      </c>
      <c r="S5389">
        <v>0.10736080000000001</v>
      </c>
      <c r="T5389">
        <v>-5.382025E-2</v>
      </c>
      <c r="U5389">
        <v>3.085083</v>
      </c>
      <c r="V5389">
        <v>-1.8305999999999999E-2</v>
      </c>
      <c r="W5389">
        <v>0.20699609999999999</v>
      </c>
      <c r="X5389">
        <v>0.97817050000000005</v>
      </c>
      <c r="Y5389">
        <v>8.2927029999999999E-2</v>
      </c>
      <c r="Z5389">
        <v>-6.1268299999999998E-3</v>
      </c>
      <c r="AA5389">
        <v>0.9965368</v>
      </c>
      <c r="AB5389">
        <v>40</v>
      </c>
      <c r="AC5389">
        <v>2.2556999999999898</v>
      </c>
      <c r="AD5389">
        <v>-1.121053013407</v>
      </c>
      <c r="AE5389">
        <v>63.8721999999999</v>
      </c>
      <c r="AF5389">
        <v>5.33210477160398</v>
      </c>
      <c r="AG5389">
        <v>-1.121053013407</v>
      </c>
      <c r="AH5389">
        <v>63.669477882645502</v>
      </c>
      <c r="AI5389">
        <v>91.005206496245407</v>
      </c>
      <c r="AJ5389">
        <v>85.212841766694297</v>
      </c>
      <c r="AK5389">
        <v>63.902194915377599</v>
      </c>
      <c r="AL5389">
        <v>78.0536262734676</v>
      </c>
      <c r="AM5389">
        <v>91.072138361592494</v>
      </c>
      <c r="AN5389">
        <v>1.0000000110607301</v>
      </c>
    </row>
    <row r="5390" spans="1:40" x14ac:dyDescent="0.25">
      <c r="A5390" t="str">
        <f>"20190303170920081"</f>
        <v>20190303170920081</v>
      </c>
      <c r="B5390" t="str">
        <f>"1551604160069239"</f>
        <v>1551604160069239</v>
      </c>
      <c r="C5390" t="s">
        <v>40</v>
      </c>
      <c r="D5390">
        <v>4.7987529999999996</v>
      </c>
      <c r="E5390">
        <v>0.54346289999999997</v>
      </c>
      <c r="F5390" t="s">
        <v>43</v>
      </c>
      <c r="G5390">
        <v>-184.03460000000001</v>
      </c>
      <c r="H5390" s="1">
        <v>-2.65121E-6</v>
      </c>
      <c r="I5390">
        <v>82.774550000000005</v>
      </c>
      <c r="J5390">
        <v>-186.21100000000001</v>
      </c>
      <c r="K5390">
        <v>1.1209530000000001</v>
      </c>
      <c r="L5390">
        <v>23.030059999999999</v>
      </c>
      <c r="M5390">
        <v>-4.8258160000000001E-2</v>
      </c>
      <c r="N5390">
        <v>-1.12187E-2</v>
      </c>
      <c r="O5390">
        <v>0.99877190000000005</v>
      </c>
      <c r="P5390">
        <v>-6.5746490000000005E-2</v>
      </c>
      <c r="Q5390">
        <v>0.1958741</v>
      </c>
      <c r="R5390">
        <v>0.97842260000000003</v>
      </c>
      <c r="S5390">
        <v>0.11054990000000001</v>
      </c>
      <c r="T5390">
        <v>-5.7482239999999997E-2</v>
      </c>
      <c r="U5390">
        <v>3.0850520000000001</v>
      </c>
      <c r="V5390">
        <v>-1.861351E-2</v>
      </c>
      <c r="W5390">
        <v>0.2068468</v>
      </c>
      <c r="X5390">
        <v>0.97819630000000002</v>
      </c>
      <c r="Y5390">
        <v>8.3984550000000005E-2</v>
      </c>
      <c r="Z5390">
        <v>-7.3302089999999999E-3</v>
      </c>
      <c r="AA5390">
        <v>0.99644010000000005</v>
      </c>
      <c r="AB5390">
        <v>40</v>
      </c>
      <c r="AC5390">
        <v>2.1763999999999699</v>
      </c>
      <c r="AD5390">
        <v>-1.1209556512100001</v>
      </c>
      <c r="AE5390">
        <v>59.744489999999999</v>
      </c>
      <c r="AF5390">
        <v>5.0554272249595202</v>
      </c>
      <c r="AG5390">
        <v>-1.1209556512100001</v>
      </c>
      <c r="AH5390">
        <v>59.548901748018203</v>
      </c>
      <c r="AI5390">
        <v>91.074550840026404</v>
      </c>
      <c r="AJ5390">
        <v>85.147487863466907</v>
      </c>
      <c r="AK5390">
        <v>59.773619477106898</v>
      </c>
      <c r="AL5390">
        <v>78.062370009856807</v>
      </c>
      <c r="AM5390">
        <v>91.090115426110302</v>
      </c>
      <c r="AN5390">
        <v>1.0000000313792199</v>
      </c>
    </row>
    <row r="5391" spans="1:40" x14ac:dyDescent="0.25">
      <c r="A5391" t="str">
        <f>"20190303170920105"</f>
        <v>20190303170920105</v>
      </c>
      <c r="B5391" t="str">
        <f>"1551604160099496"</f>
        <v>1551604160099496</v>
      </c>
      <c r="C5391" t="s">
        <v>40</v>
      </c>
      <c r="D5391">
        <v>4.7997639999999997</v>
      </c>
      <c r="E5391">
        <v>0.5437805</v>
      </c>
      <c r="F5391" t="s">
        <v>43</v>
      </c>
      <c r="G5391">
        <v>-184.0496</v>
      </c>
      <c r="H5391" s="1">
        <v>-2.630206E-6</v>
      </c>
      <c r="I5391">
        <v>82.724620000000002</v>
      </c>
      <c r="J5391">
        <v>-186.23070000000001</v>
      </c>
      <c r="K5391">
        <v>1.1208899999999999</v>
      </c>
      <c r="L5391">
        <v>23.436309999999999</v>
      </c>
      <c r="M5391">
        <v>-4.8255180000000002E-2</v>
      </c>
      <c r="N5391">
        <v>-1.119626E-2</v>
      </c>
      <c r="O5391">
        <v>0.99877229999999995</v>
      </c>
      <c r="P5391">
        <v>-6.5439929999999993E-2</v>
      </c>
      <c r="Q5391">
        <v>0.19853860000000001</v>
      </c>
      <c r="R5391">
        <v>0.97790589999999999</v>
      </c>
      <c r="S5391">
        <v>0.11170960000000001</v>
      </c>
      <c r="T5391">
        <v>-5.7935710000000001E-2</v>
      </c>
      <c r="U5391">
        <v>3.0852659999999998</v>
      </c>
      <c r="V5391">
        <v>-1.830027E-2</v>
      </c>
      <c r="W5391">
        <v>0.2094866</v>
      </c>
      <c r="X5391">
        <v>0.97764030000000002</v>
      </c>
      <c r="Y5391">
        <v>8.4352999999999997E-2</v>
      </c>
      <c r="Z5391">
        <v>-7.49722699999999E-3</v>
      </c>
      <c r="AA5391">
        <v>0.99640770000000001</v>
      </c>
      <c r="AB5391">
        <v>40</v>
      </c>
      <c r="AC5391">
        <v>2.18110000000001</v>
      </c>
      <c r="AD5391">
        <v>-1.1208926302060001</v>
      </c>
      <c r="AE5391">
        <v>59.288309999999903</v>
      </c>
      <c r="AF5391">
        <v>5.0379078973543798</v>
      </c>
      <c r="AG5391">
        <v>-1.1208926302060001</v>
      </c>
      <c r="AH5391">
        <v>59.092883903801301</v>
      </c>
      <c r="AI5391">
        <v>91.082747489627494</v>
      </c>
      <c r="AJ5391">
        <v>85.127085600772503</v>
      </c>
      <c r="AK5391">
        <v>59.317837488725203</v>
      </c>
      <c r="AL5391">
        <v>77.907733163941003</v>
      </c>
      <c r="AM5391">
        <v>91.072383978697701</v>
      </c>
      <c r="AN5391">
        <v>1.00000004582286</v>
      </c>
    </row>
    <row r="5392" spans="1:40" x14ac:dyDescent="0.25">
      <c r="A5392" t="str">
        <f>"20190303170920147"</f>
        <v>20190303170920147</v>
      </c>
      <c r="B5392" t="str">
        <f>"1551604160139511"</f>
        <v>1551604160139511</v>
      </c>
      <c r="C5392" t="s">
        <v>40</v>
      </c>
      <c r="D5392">
        <v>4.8191879999999996</v>
      </c>
      <c r="E5392">
        <v>0.54418919999999904</v>
      </c>
      <c r="F5392" t="s">
        <v>43</v>
      </c>
      <c r="G5392">
        <v>-183.6267</v>
      </c>
      <c r="H5392" s="1">
        <v>-2.9511480000000001E-6</v>
      </c>
      <c r="I5392">
        <v>93.337059999999994</v>
      </c>
      <c r="J5392">
        <v>-186.26759999999999</v>
      </c>
      <c r="K5392">
        <v>1.120792</v>
      </c>
      <c r="L5392">
        <v>24.197330000000001</v>
      </c>
      <c r="M5392">
        <v>-4.8227249999999999E-2</v>
      </c>
      <c r="N5392">
        <v>-1.1146400000000001E-2</v>
      </c>
      <c r="O5392">
        <v>0.99877419999999995</v>
      </c>
      <c r="P5392">
        <v>-6.5138909999999994E-2</v>
      </c>
      <c r="Q5392">
        <v>0.2009011</v>
      </c>
      <c r="R5392">
        <v>0.97744350000000002</v>
      </c>
      <c r="S5392">
        <v>0.11494450000000001</v>
      </c>
      <c r="T5392">
        <v>-4.9477699999999999E-2</v>
      </c>
      <c r="U5392">
        <v>3.0855100000000002</v>
      </c>
      <c r="V5392">
        <v>-1.799601E-2</v>
      </c>
      <c r="W5392">
        <v>0.21179999999999999</v>
      </c>
      <c r="X5392">
        <v>0.97714730000000005</v>
      </c>
      <c r="Y5392">
        <v>8.5367310000000002E-2</v>
      </c>
      <c r="Z5392">
        <v>-4.8146559999999996E-3</v>
      </c>
      <c r="AA5392">
        <v>0.9963379</v>
      </c>
      <c r="AB5392">
        <v>40</v>
      </c>
      <c r="AC5392">
        <v>2.6408999999999798</v>
      </c>
      <c r="AD5392">
        <v>-1.120794951148</v>
      </c>
      <c r="AE5392">
        <v>69.13973</v>
      </c>
      <c r="AF5392">
        <v>5.9708860577457701</v>
      </c>
      <c r="AG5392">
        <v>-1.120794951148</v>
      </c>
      <c r="AH5392">
        <v>68.913814020436504</v>
      </c>
      <c r="AI5392">
        <v>90.928283175178095</v>
      </c>
      <c r="AJ5392">
        <v>85.048099581417205</v>
      </c>
      <c r="AK5392">
        <v>69.181077069386603</v>
      </c>
      <c r="AL5392">
        <v>77.772141909894302</v>
      </c>
      <c r="AM5392">
        <v>91.055090536063702</v>
      </c>
      <c r="AN5392">
        <v>0.99999997113660399</v>
      </c>
    </row>
    <row r="5393" spans="1:40" x14ac:dyDescent="0.25">
      <c r="A5393" t="str">
        <f>"20190303170920168"</f>
        <v>20190303170920168</v>
      </c>
      <c r="B5393" t="str">
        <f>"1551604160159031"</f>
        <v>1551604160159031</v>
      </c>
      <c r="C5393" t="s">
        <v>40</v>
      </c>
      <c r="D5393">
        <v>4.7973860000000004</v>
      </c>
      <c r="E5393">
        <v>0.54444179999999998</v>
      </c>
      <c r="F5393" t="s">
        <v>43</v>
      </c>
      <c r="G5393">
        <v>-183.2225</v>
      </c>
      <c r="H5393" s="1">
        <v>-3.3726710000000002E-6</v>
      </c>
      <c r="I5393">
        <v>104.2597</v>
      </c>
      <c r="J5393">
        <v>-186.28620000000001</v>
      </c>
      <c r="K5393">
        <v>1.1207469999999999</v>
      </c>
      <c r="L5393">
        <v>24.581600000000002</v>
      </c>
      <c r="M5393">
        <v>-4.8213840000000001E-2</v>
      </c>
      <c r="N5393">
        <v>-1.111552E-2</v>
      </c>
      <c r="O5393">
        <v>0.99877519999999997</v>
      </c>
      <c r="P5393">
        <v>-6.507723E-2</v>
      </c>
      <c r="Q5393">
        <v>0.1998239</v>
      </c>
      <c r="R5393">
        <v>0.97766830000000005</v>
      </c>
      <c r="S5393">
        <v>0.11737060000000001</v>
      </c>
      <c r="T5393">
        <v>-4.3200139999999998E-2</v>
      </c>
      <c r="U5393">
        <v>3.0859380000000001</v>
      </c>
      <c r="V5393">
        <v>-1.7915110000000001E-2</v>
      </c>
      <c r="W5393">
        <v>0.21069679999999999</v>
      </c>
      <c r="X5393">
        <v>0.97738729999999996</v>
      </c>
      <c r="Y5393">
        <v>8.6132139999999996E-2</v>
      </c>
      <c r="Z5393">
        <v>-2.8166939999999998E-3</v>
      </c>
      <c r="AA5393">
        <v>0.99627969999999999</v>
      </c>
      <c r="AB5393">
        <v>40</v>
      </c>
      <c r="AC5393">
        <v>3.0637000000000101</v>
      </c>
      <c r="AD5393">
        <v>-1.120750372671</v>
      </c>
      <c r="AE5393">
        <v>79.678100000000001</v>
      </c>
      <c r="AF5393">
        <v>6.9005977627881796</v>
      </c>
      <c r="AG5393">
        <v>-1.120750372671</v>
      </c>
      <c r="AH5393">
        <v>79.422013379650707</v>
      </c>
      <c r="AI5393">
        <v>90.805432086648693</v>
      </c>
      <c r="AJ5393">
        <v>85.034314887998903</v>
      </c>
      <c r="AK5393">
        <v>79.729107232923795</v>
      </c>
      <c r="AL5393">
        <v>77.836810545666296</v>
      </c>
      <c r="AM5393">
        <v>91.050090645805994</v>
      </c>
      <c r="AN5393">
        <v>1.00000001344892</v>
      </c>
    </row>
    <row r="5394" spans="1:40" x14ac:dyDescent="0.25">
      <c r="A5394" t="str">
        <f>"20190303170920192"</f>
        <v>20190303170920192</v>
      </c>
      <c r="B5394" t="str">
        <f>"1551604160179527"</f>
        <v>1551604160179527</v>
      </c>
      <c r="C5394" t="s">
        <v>40</v>
      </c>
      <c r="D5394">
        <v>4.8681020000000004</v>
      </c>
      <c r="E5394">
        <v>0.54467359999999998</v>
      </c>
      <c r="F5394" t="s">
        <v>43</v>
      </c>
      <c r="G5394">
        <v>-183.4126</v>
      </c>
      <c r="H5394" s="1">
        <v>-5.0595749999999997E-6</v>
      </c>
      <c r="I5394">
        <v>98.702960000000004</v>
      </c>
      <c r="J5394">
        <v>-186.30619999999999</v>
      </c>
      <c r="K5394">
        <v>1.120695</v>
      </c>
      <c r="L5394">
        <v>24.995090000000001</v>
      </c>
      <c r="M5394">
        <v>-4.819959E-2</v>
      </c>
      <c r="N5394">
        <v>-1.1073639999999999E-2</v>
      </c>
      <c r="O5394">
        <v>0.99877629999999995</v>
      </c>
      <c r="P5394">
        <v>-6.449821E-2</v>
      </c>
      <c r="Q5394">
        <v>0.1994969</v>
      </c>
      <c r="R5394">
        <v>0.97777349999999996</v>
      </c>
      <c r="S5394">
        <v>0.11964420000000001</v>
      </c>
      <c r="T5394">
        <v>-4.6662330000000002E-2</v>
      </c>
      <c r="U5394">
        <v>3.0860289999999999</v>
      </c>
      <c r="V5394">
        <v>-1.7327410000000001E-2</v>
      </c>
      <c r="W5394">
        <v>0.21033089999999999</v>
      </c>
      <c r="X5394">
        <v>0.97747669999999998</v>
      </c>
      <c r="Y5394">
        <v>8.6848949999999994E-2</v>
      </c>
      <c r="Z5394">
        <v>-3.9745420000000002E-3</v>
      </c>
      <c r="AA5394">
        <v>0.99621360000000003</v>
      </c>
      <c r="AB5394">
        <v>40</v>
      </c>
      <c r="AC5394">
        <v>2.89359999999999</v>
      </c>
      <c r="AD5394">
        <v>-1.1207000595749901</v>
      </c>
      <c r="AE5394">
        <v>73.70787</v>
      </c>
      <c r="AF5394">
        <v>6.4416566277407696</v>
      </c>
      <c r="AG5394">
        <v>-1.1207000595749901</v>
      </c>
      <c r="AH5394">
        <v>73.465754015039096</v>
      </c>
      <c r="AI5394">
        <v>90.870623871751803</v>
      </c>
      <c r="AJ5394">
        <v>84.988981902033402</v>
      </c>
      <c r="AK5394">
        <v>73.756138196976394</v>
      </c>
      <c r="AL5394">
        <v>77.858255629428399</v>
      </c>
      <c r="AM5394">
        <v>91.015557192300406</v>
      </c>
      <c r="AN5394">
        <v>1.0000000128375</v>
      </c>
    </row>
    <row r="5395" spans="1:40" x14ac:dyDescent="0.25">
      <c r="A5395" t="str">
        <f>"20190303170920214"</f>
        <v>20190303170920214</v>
      </c>
      <c r="B5395" t="str">
        <f>"1551604160208807"</f>
        <v>1551604160208807</v>
      </c>
      <c r="C5395" t="s">
        <v>40</v>
      </c>
      <c r="D5395">
        <v>4.8873870000000004</v>
      </c>
      <c r="E5395">
        <v>0.54500470000000001</v>
      </c>
      <c r="F5395" t="s">
        <v>43</v>
      </c>
      <c r="G5395">
        <v>-183.4348</v>
      </c>
      <c r="H5395" s="1">
        <v>-4.2615720000000001E-6</v>
      </c>
      <c r="I5395">
        <v>96.852000000000004</v>
      </c>
      <c r="J5395">
        <v>-186.32490000000001</v>
      </c>
      <c r="K5395">
        <v>1.120654</v>
      </c>
      <c r="L5395">
        <v>25.382349999999999</v>
      </c>
      <c r="M5395">
        <v>-4.8185079999999998E-2</v>
      </c>
      <c r="N5395">
        <v>-1.102649E-2</v>
      </c>
      <c r="O5395">
        <v>0.99877760000000004</v>
      </c>
      <c r="P5395">
        <v>-6.3076499999999994E-2</v>
      </c>
      <c r="Q5395">
        <v>0.19950300000000001</v>
      </c>
      <c r="R5395">
        <v>0.97786499999999998</v>
      </c>
      <c r="S5395">
        <v>0.1233215</v>
      </c>
      <c r="T5395">
        <v>-4.8132420000000002E-2</v>
      </c>
      <c r="U5395">
        <v>3.0861510000000001</v>
      </c>
      <c r="V5395">
        <v>-1.59036E-2</v>
      </c>
      <c r="W5395">
        <v>0.2102927</v>
      </c>
      <c r="X5395">
        <v>0.97750910000000002</v>
      </c>
      <c r="Y5395">
        <v>8.8017659999999998E-2</v>
      </c>
      <c r="Z5395">
        <v>-4.4940070000000004E-3</v>
      </c>
      <c r="AA5395">
        <v>0.99610880000000002</v>
      </c>
      <c r="AB5395">
        <v>40</v>
      </c>
      <c r="AC5395">
        <v>2.8901000000000101</v>
      </c>
      <c r="AD5395">
        <v>-1.120658261572</v>
      </c>
      <c r="AE5395">
        <v>71.469650000000001</v>
      </c>
      <c r="AF5395">
        <v>6.3291689562552396</v>
      </c>
      <c r="AG5395">
        <v>-1.120658261572</v>
      </c>
      <c r="AH5395">
        <v>71.2298697464973</v>
      </c>
      <c r="AI5395">
        <v>90.897822363643996</v>
      </c>
      <c r="AJ5395">
        <v>84.922287585367599</v>
      </c>
      <c r="AK5395">
        <v>71.519288298465497</v>
      </c>
      <c r="AL5395">
        <v>77.860494147505406</v>
      </c>
      <c r="AM5395">
        <v>90.932092369957303</v>
      </c>
      <c r="AN5395">
        <v>0.99999999237452997</v>
      </c>
    </row>
    <row r="5396" spans="1:40" x14ac:dyDescent="0.25">
      <c r="A5396" t="str">
        <f>"20190303170920236"</f>
        <v>20190303170920236</v>
      </c>
      <c r="B5396" t="str">
        <f>"1551604160229303"</f>
        <v>1551604160229303</v>
      </c>
      <c r="C5396" t="s">
        <v>40</v>
      </c>
      <c r="D5396">
        <v>4.8496959999999998</v>
      </c>
      <c r="E5396">
        <v>0.54524729999999999</v>
      </c>
      <c r="F5396" t="s">
        <v>43</v>
      </c>
      <c r="G5396">
        <v>-183.3417</v>
      </c>
      <c r="H5396" s="1">
        <v>-4.1206040000000001E-6</v>
      </c>
      <c r="I5396">
        <v>96.484880000000004</v>
      </c>
      <c r="J5396">
        <v>-186.34360000000001</v>
      </c>
      <c r="K5396">
        <v>1.1206229999999999</v>
      </c>
      <c r="L5396">
        <v>25.770900000000001</v>
      </c>
      <c r="M5396">
        <v>-4.8168580000000003E-2</v>
      </c>
      <c r="N5396">
        <v>-1.097562E-2</v>
      </c>
      <c r="O5396">
        <v>0.99877890000000003</v>
      </c>
      <c r="P5396">
        <v>-6.227767E-2</v>
      </c>
      <c r="Q5396">
        <v>0.2000701</v>
      </c>
      <c r="R5396">
        <v>0.97780029999999996</v>
      </c>
      <c r="S5396">
        <v>0.12948609999999999</v>
      </c>
      <c r="T5396">
        <v>-4.8641799999999999E-2</v>
      </c>
      <c r="U5396">
        <v>3.086182</v>
      </c>
      <c r="V5396">
        <v>-1.5114610000000001E-2</v>
      </c>
      <c r="W5396">
        <v>0.21080960000000001</v>
      </c>
      <c r="X5396">
        <v>0.97741029999999995</v>
      </c>
      <c r="Y5396">
        <v>8.9986659999999996E-2</v>
      </c>
      <c r="Z5396">
        <v>-4.706582E-3</v>
      </c>
      <c r="AA5396">
        <v>0.99593189999999998</v>
      </c>
      <c r="AB5396">
        <v>40</v>
      </c>
      <c r="AC5396">
        <v>3.0019</v>
      </c>
      <c r="AD5396">
        <v>-1.1206271206039999</v>
      </c>
      <c r="AE5396">
        <v>70.713980000000006</v>
      </c>
      <c r="AF5396">
        <v>6.4032070808710397</v>
      </c>
      <c r="AG5396">
        <v>-1.1206271206039999</v>
      </c>
      <c r="AH5396">
        <v>70.469615040562104</v>
      </c>
      <c r="AI5396">
        <v>90.907319116697295</v>
      </c>
      <c r="AJ5396">
        <v>84.808088303029095</v>
      </c>
      <c r="AK5396">
        <v>70.768803225919896</v>
      </c>
      <c r="AL5396">
        <v>77.830199124160401</v>
      </c>
      <c r="AM5396">
        <v>90.885947633052893</v>
      </c>
      <c r="AN5396">
        <v>1.0000000167168499</v>
      </c>
    </row>
    <row r="5397" spans="1:40" x14ac:dyDescent="0.25">
      <c r="A5397" t="str">
        <f>"20190303170920259"</f>
        <v>20190303170920259</v>
      </c>
      <c r="B5397" t="str">
        <f>"1551604160248823"</f>
        <v>1551604160248823</v>
      </c>
      <c r="C5397" t="s">
        <v>40</v>
      </c>
      <c r="D5397">
        <v>4.856357</v>
      </c>
      <c r="E5397">
        <v>0.54544769999999998</v>
      </c>
      <c r="F5397" t="s">
        <v>43</v>
      </c>
      <c r="G5397">
        <v>-183.17840000000001</v>
      </c>
      <c r="H5397" s="1">
        <v>-5.2950309999999999E-6</v>
      </c>
      <c r="I5397">
        <v>99.154979999999995</v>
      </c>
      <c r="J5397">
        <v>-186.3638</v>
      </c>
      <c r="K5397">
        <v>1.1205989999999999</v>
      </c>
      <c r="L5397">
        <v>26.18994</v>
      </c>
      <c r="M5397">
        <v>-4.8148509999999999E-2</v>
      </c>
      <c r="N5397">
        <v>-1.091726E-2</v>
      </c>
      <c r="O5397">
        <v>0.99878049999999996</v>
      </c>
      <c r="P5397">
        <v>-6.2510739999999995E-2</v>
      </c>
      <c r="Q5397">
        <v>0.19946910000000001</v>
      </c>
      <c r="R5397">
        <v>0.97790820000000001</v>
      </c>
      <c r="S5397">
        <v>0.13311770000000001</v>
      </c>
      <c r="T5397">
        <v>-4.7129150000000002E-2</v>
      </c>
      <c r="U5397">
        <v>3.0862430000000001</v>
      </c>
      <c r="V5397">
        <v>-1.5354049999999999E-2</v>
      </c>
      <c r="W5397">
        <v>0.2101538</v>
      </c>
      <c r="X5397">
        <v>0.97754779999999997</v>
      </c>
      <c r="Y5397">
        <v>9.1135789999999994E-2</v>
      </c>
      <c r="Z5397">
        <v>-4.2752930000000003E-3</v>
      </c>
      <c r="AA5397">
        <v>0.99582930000000003</v>
      </c>
      <c r="AB5397">
        <v>40</v>
      </c>
      <c r="AC5397">
        <v>3.18539999999998</v>
      </c>
      <c r="AD5397">
        <v>-1.120604295031</v>
      </c>
      <c r="AE5397">
        <v>72.965040000000002</v>
      </c>
      <c r="AF5397">
        <v>6.6934967143780497</v>
      </c>
      <c r="AG5397">
        <v>-1.120604295031</v>
      </c>
      <c r="AH5397">
        <v>72.709905210666193</v>
      </c>
      <c r="AI5397">
        <v>90.879254828758803</v>
      </c>
      <c r="AJ5397">
        <v>84.740314612614398</v>
      </c>
      <c r="AK5397">
        <v>73.0259472242264</v>
      </c>
      <c r="AL5397">
        <v>77.868634950499498</v>
      </c>
      <c r="AM5397">
        <v>90.899853625081704</v>
      </c>
      <c r="AN5397">
        <v>1.0000000338953401</v>
      </c>
    </row>
    <row r="5398" spans="1:40" x14ac:dyDescent="0.25">
      <c r="A5398" t="str">
        <f>"20190303170920282"</f>
        <v>20190303170920282</v>
      </c>
      <c r="B5398" t="str">
        <f>"1551604160269319"</f>
        <v>1551604160269319</v>
      </c>
      <c r="C5398" t="s">
        <v>40</v>
      </c>
      <c r="D5398">
        <v>4.8797689999999996</v>
      </c>
      <c r="E5398">
        <v>0.54561190000000004</v>
      </c>
      <c r="F5398" t="s">
        <v>43</v>
      </c>
      <c r="G5398">
        <v>-183.3263</v>
      </c>
      <c r="H5398" s="1">
        <v>-4.0316179999999997E-6</v>
      </c>
      <c r="I5398">
        <v>96.271100000000004</v>
      </c>
      <c r="J5398">
        <v>-186.3827</v>
      </c>
      <c r="K5398">
        <v>1.1205750000000001</v>
      </c>
      <c r="L5398">
        <v>26.580929999999999</v>
      </c>
      <c r="M5398">
        <v>-4.812818E-2</v>
      </c>
      <c r="N5398">
        <v>-1.0858329999999999E-2</v>
      </c>
      <c r="O5398">
        <v>0.99878219999999995</v>
      </c>
      <c r="P5398">
        <v>-6.3437359999999998E-2</v>
      </c>
      <c r="Q5398">
        <v>0.1985394</v>
      </c>
      <c r="R5398">
        <v>0.97803770000000001</v>
      </c>
      <c r="S5398">
        <v>0.133773799999999</v>
      </c>
      <c r="T5398">
        <v>-4.9351689999999997E-2</v>
      </c>
      <c r="U5398">
        <v>3.086395</v>
      </c>
      <c r="V5398">
        <v>-1.6287490000000002E-2</v>
      </c>
      <c r="W5398">
        <v>0.20916860000000001</v>
      </c>
      <c r="X5398">
        <v>0.9777439</v>
      </c>
      <c r="Y5398">
        <v>9.1324230000000006E-2</v>
      </c>
      <c r="Z5398">
        <v>-5.0501419999999997E-3</v>
      </c>
      <c r="AA5398">
        <v>0.99580840000000004</v>
      </c>
      <c r="AB5398">
        <v>40</v>
      </c>
      <c r="AC5398">
        <v>3.0563999999999898</v>
      </c>
      <c r="AD5398">
        <v>-1.120579031618</v>
      </c>
      <c r="AE5398">
        <v>69.690169999999995</v>
      </c>
      <c r="AF5398">
        <v>6.4054633938366603</v>
      </c>
      <c r="AG5398">
        <v>-1.120579031618</v>
      </c>
      <c r="AH5398">
        <v>69.444373359823601</v>
      </c>
      <c r="AI5398">
        <v>90.920557704311705</v>
      </c>
      <c r="AJ5398">
        <v>84.730019815092902</v>
      </c>
      <c r="AK5398">
        <v>69.748165925667607</v>
      </c>
      <c r="AL5398">
        <v>77.926364966803405</v>
      </c>
      <c r="AM5398">
        <v>90.954358426366198</v>
      </c>
      <c r="AN5398">
        <v>0.99999995977183398</v>
      </c>
    </row>
    <row r="5399" spans="1:40" x14ac:dyDescent="0.25">
      <c r="A5399" t="str">
        <f>"20190303170920308"</f>
        <v>20190303170920308</v>
      </c>
      <c r="B5399" t="str">
        <f>"1551604160299575"</f>
        <v>1551604160299575</v>
      </c>
      <c r="C5399" t="s">
        <v>40</v>
      </c>
      <c r="D5399">
        <v>4.9078269999999904</v>
      </c>
      <c r="E5399">
        <v>0.54583169999999903</v>
      </c>
      <c r="F5399" t="s">
        <v>43</v>
      </c>
      <c r="G5399">
        <v>-183.5104</v>
      </c>
      <c r="H5399" s="1">
        <v>-2.9516599999999998E-6</v>
      </c>
      <c r="I5399">
        <v>93.247609999999995</v>
      </c>
      <c r="J5399">
        <v>-186.40539999999999</v>
      </c>
      <c r="K5399">
        <v>1.120555</v>
      </c>
      <c r="L5399">
        <v>27.05209</v>
      </c>
      <c r="M5399">
        <v>-4.8102409999999998E-2</v>
      </c>
      <c r="N5399">
        <v>-1.07811E-2</v>
      </c>
      <c r="O5399">
        <v>0.99878420000000001</v>
      </c>
      <c r="P5399">
        <v>-6.3377669999999997E-2</v>
      </c>
      <c r="Q5399">
        <v>0.19867389999999999</v>
      </c>
      <c r="R5399">
        <v>0.9780143</v>
      </c>
      <c r="S5399">
        <v>0.1329803</v>
      </c>
      <c r="T5399">
        <v>-5.1880240000000001E-2</v>
      </c>
      <c r="U5399">
        <v>3.0865170000000002</v>
      </c>
      <c r="V5399">
        <v>-1.6249050000000001E-2</v>
      </c>
      <c r="W5399">
        <v>0.20922779999999999</v>
      </c>
      <c r="X5399">
        <v>0.97773189999999999</v>
      </c>
      <c r="Y5399">
        <v>9.1040819999999995E-2</v>
      </c>
      <c r="Z5399">
        <v>-5.9427150000000003E-3</v>
      </c>
      <c r="AA5399">
        <v>0.99582939999999998</v>
      </c>
      <c r="AB5399">
        <v>40</v>
      </c>
      <c r="AC5399">
        <v>2.89499999999998</v>
      </c>
      <c r="AD5399">
        <v>-1.1205579516599999</v>
      </c>
      <c r="AE5399">
        <v>66.195519999999902</v>
      </c>
      <c r="AF5399">
        <v>6.0742602702953201</v>
      </c>
      <c r="AG5399">
        <v>-1.1205579516599999</v>
      </c>
      <c r="AH5399">
        <v>65.960753724989402</v>
      </c>
      <c r="AI5399">
        <v>90.9691615904527</v>
      </c>
      <c r="AJ5399">
        <v>84.738528211479803</v>
      </c>
      <c r="AK5399">
        <v>66.249326939396298</v>
      </c>
      <c r="AL5399">
        <v>77.922896629106205</v>
      </c>
      <c r="AM5399">
        <v>90.952118149656698</v>
      </c>
      <c r="AN5399">
        <v>0.99999998609817597</v>
      </c>
    </row>
    <row r="5400" spans="1:40" x14ac:dyDescent="0.25">
      <c r="A5400" t="str">
        <f>"20190303170920348"</f>
        <v>20190303170920348</v>
      </c>
      <c r="B5400" t="str">
        <f>"1551604160339592"</f>
        <v>1551604160339592</v>
      </c>
      <c r="C5400" t="s">
        <v>40</v>
      </c>
      <c r="D5400">
        <v>4.9292680000000004</v>
      </c>
      <c r="E5400">
        <v>0.54635049999999996</v>
      </c>
      <c r="F5400" t="s">
        <v>43</v>
      </c>
      <c r="G5400">
        <v>-183.5034</v>
      </c>
      <c r="H5400" s="1">
        <v>-3.023458E-6</v>
      </c>
      <c r="I5400">
        <v>93.453130000000002</v>
      </c>
      <c r="J5400">
        <v>-186.44069999999999</v>
      </c>
      <c r="K5400">
        <v>1.12053</v>
      </c>
      <c r="L5400">
        <v>27.7865</v>
      </c>
      <c r="M5400">
        <v>-4.8060690000000003E-2</v>
      </c>
      <c r="N5400">
        <v>-1.065082E-2</v>
      </c>
      <c r="O5400">
        <v>0.9987876</v>
      </c>
      <c r="P5400">
        <v>-6.2101330000000003E-2</v>
      </c>
      <c r="Q5400">
        <v>0.20015359999999999</v>
      </c>
      <c r="R5400">
        <v>0.97779439999999995</v>
      </c>
      <c r="S5400">
        <v>0.134903</v>
      </c>
      <c r="T5400">
        <v>-5.2090999999999998E-2</v>
      </c>
      <c r="U5400">
        <v>3.0867610000000001</v>
      </c>
      <c r="V5400">
        <v>-1.50203E-2</v>
      </c>
      <c r="W5400">
        <v>0.2105775</v>
      </c>
      <c r="X5400">
        <v>0.97746180000000005</v>
      </c>
      <c r="Y5400">
        <v>9.1614890000000004E-2</v>
      </c>
      <c r="Z5400">
        <v>-6.1390069999999897E-3</v>
      </c>
      <c r="AA5400">
        <v>0.99577559999999998</v>
      </c>
      <c r="AB5400">
        <v>40</v>
      </c>
      <c r="AC5400">
        <v>2.9372999999999898</v>
      </c>
      <c r="AD5400">
        <v>-1.120533023458</v>
      </c>
      <c r="AE5400">
        <v>65.666629999999998</v>
      </c>
      <c r="AF5400">
        <v>6.08829874287441</v>
      </c>
      <c r="AG5400">
        <v>-1.120533023458</v>
      </c>
      <c r="AH5400">
        <v>65.430547536640404</v>
      </c>
      <c r="AI5400">
        <v>90.976905658577905</v>
      </c>
      <c r="AJ5400">
        <v>84.683947049242207</v>
      </c>
      <c r="AK5400">
        <v>65.722747407451706</v>
      </c>
      <c r="AL5400">
        <v>77.843803033383594</v>
      </c>
      <c r="AM5400">
        <v>90.880374115692803</v>
      </c>
      <c r="AN5400">
        <v>1.00000003168878</v>
      </c>
    </row>
    <row r="5401" spans="1:40" x14ac:dyDescent="0.25">
      <c r="A5401" t="str">
        <f>"20190303170920370"</f>
        <v>20190303170920370</v>
      </c>
      <c r="B5401" t="str">
        <f>"1551604160359111"</f>
        <v>1551604160359111</v>
      </c>
      <c r="C5401" t="s">
        <v>40</v>
      </c>
      <c r="D5401">
        <v>4.8812360000000004</v>
      </c>
      <c r="E5401">
        <v>0.54692010000000002</v>
      </c>
      <c r="F5401" t="s">
        <v>43</v>
      </c>
      <c r="G5401">
        <v>-183.1173</v>
      </c>
      <c r="H5401" s="1">
        <v>-1.8400510000000001E-6</v>
      </c>
      <c r="I5401">
        <v>99.673760000000001</v>
      </c>
      <c r="J5401">
        <v>-186.45949999999999</v>
      </c>
      <c r="K5401">
        <v>1.120514</v>
      </c>
      <c r="L5401">
        <v>28.178100000000001</v>
      </c>
      <c r="M5401">
        <v>-4.8038209999999998E-2</v>
      </c>
      <c r="N5401">
        <v>-1.0584909999999999E-2</v>
      </c>
      <c r="O5401">
        <v>0.99878940000000005</v>
      </c>
      <c r="P5401">
        <v>-6.2197000000000002E-2</v>
      </c>
      <c r="Q5401">
        <v>0.1998278</v>
      </c>
      <c r="R5401">
        <v>0.97785500000000003</v>
      </c>
      <c r="S5401">
        <v>0.1427155</v>
      </c>
      <c r="T5401">
        <v>-4.8118710000000002E-2</v>
      </c>
      <c r="U5401">
        <v>3.0870359999999999</v>
      </c>
      <c r="V5401">
        <v>-1.5132990000000001E-2</v>
      </c>
      <c r="W5401">
        <v>0.21018780000000001</v>
      </c>
      <c r="X5401">
        <v>0.97754390000000002</v>
      </c>
      <c r="Y5401">
        <v>9.4103980000000004E-2</v>
      </c>
      <c r="Z5401">
        <v>-4.919334E-3</v>
      </c>
      <c r="AA5401">
        <v>0.99555020000000005</v>
      </c>
      <c r="AB5401">
        <v>40</v>
      </c>
      <c r="AC5401">
        <v>3.3421999999999898</v>
      </c>
      <c r="AD5401">
        <v>-1.120515840051</v>
      </c>
      <c r="AE5401">
        <v>71.495660000000001</v>
      </c>
      <c r="AF5401">
        <v>6.7713973698404102</v>
      </c>
      <c r="AG5401">
        <v>-1.120515840051</v>
      </c>
      <c r="AH5401">
        <v>71.235087483044694</v>
      </c>
      <c r="AI5401">
        <v>90.897135164158001</v>
      </c>
      <c r="AJ5401">
        <v>84.569947953499295</v>
      </c>
      <c r="AK5401">
        <v>71.564970948118997</v>
      </c>
      <c r="AL5401">
        <v>77.866641941775896</v>
      </c>
      <c r="AM5401">
        <v>90.886903601043699</v>
      </c>
      <c r="AN5401">
        <v>0.99999999754119495</v>
      </c>
    </row>
    <row r="5402" spans="1:40" x14ac:dyDescent="0.25">
      <c r="A5402" t="str">
        <f>"20190303170920415"</f>
        <v>20190303170920415</v>
      </c>
      <c r="B5402" t="str">
        <f>"1551604160408888"</f>
        <v>1551604160408888</v>
      </c>
      <c r="C5402" t="s">
        <v>40</v>
      </c>
      <c r="D5402">
        <v>4.9059359999999996</v>
      </c>
      <c r="E5402">
        <v>0.54821690000000001</v>
      </c>
      <c r="F5402" t="s">
        <v>43</v>
      </c>
      <c r="G5402">
        <v>-183.10300000000001</v>
      </c>
      <c r="H5402" s="1">
        <v>-5.1134390000000001E-6</v>
      </c>
      <c r="I5402">
        <v>98.700519999999997</v>
      </c>
      <c r="J5402">
        <v>-186.49860000000001</v>
      </c>
      <c r="K5402">
        <v>1.1204940000000001</v>
      </c>
      <c r="L5402">
        <v>28.990480000000002</v>
      </c>
      <c r="M5402">
        <v>-4.7989950000000003E-2</v>
      </c>
      <c r="N5402">
        <v>-1.046714E-2</v>
      </c>
      <c r="O5402">
        <v>0.99879289999999998</v>
      </c>
      <c r="P5402">
        <v>-6.2177129999999997E-2</v>
      </c>
      <c r="Q5402">
        <v>0.19946269999999999</v>
      </c>
      <c r="R5402">
        <v>0.97793079999999999</v>
      </c>
      <c r="S5402">
        <v>0.14694209999999999</v>
      </c>
      <c r="T5402">
        <v>-4.905379E-2</v>
      </c>
      <c r="U5402">
        <v>3.0873110000000001</v>
      </c>
      <c r="V5402">
        <v>-1.5153700000000001E-2</v>
      </c>
      <c r="W5402">
        <v>0.20970900000000001</v>
      </c>
      <c r="X5402">
        <v>0.97764640000000003</v>
      </c>
      <c r="Y5402">
        <v>9.5411399999999993E-2</v>
      </c>
      <c r="Z5402">
        <v>-5.335528E-3</v>
      </c>
      <c r="AA5402">
        <v>0.99542359999999996</v>
      </c>
      <c r="AB5402">
        <v>40</v>
      </c>
      <c r="AC5402">
        <v>3.3956000000000199</v>
      </c>
      <c r="AD5402">
        <v>-1.1204991134389899</v>
      </c>
      <c r="AE5402">
        <v>69.710039999999907</v>
      </c>
      <c r="AF5402">
        <v>6.7355159822774002</v>
      </c>
      <c r="AG5402">
        <v>-1.1204991134389899</v>
      </c>
      <c r="AH5402">
        <v>69.4488483316577</v>
      </c>
      <c r="AI5402">
        <v>90.920023246234393</v>
      </c>
      <c r="AJ5402">
        <v>84.460477959361</v>
      </c>
      <c r="AK5402">
        <v>69.7837031720467</v>
      </c>
      <c r="AL5402">
        <v>77.894700441961007</v>
      </c>
      <c r="AM5402">
        <v>90.888024065318504</v>
      </c>
      <c r="AN5402">
        <v>0.999999991368825</v>
      </c>
    </row>
    <row r="5403" spans="1:40" x14ac:dyDescent="0.25">
      <c r="A5403" t="str">
        <f>"20190303170920438"</f>
        <v>20190303170920438</v>
      </c>
      <c r="B5403" t="str">
        <f>"1551604160429384"</f>
        <v>1551604160429384</v>
      </c>
      <c r="C5403" t="s">
        <v>40</v>
      </c>
      <c r="D5403">
        <v>4.8935019999999998</v>
      </c>
      <c r="E5403">
        <v>0.54868689999999998</v>
      </c>
      <c r="F5403" t="s">
        <v>43</v>
      </c>
      <c r="G5403">
        <v>-182.99590000000001</v>
      </c>
      <c r="H5403" s="1">
        <v>-4.7871810000000002E-6</v>
      </c>
      <c r="I5403">
        <v>97.89573</v>
      </c>
      <c r="J5403">
        <v>-186.518</v>
      </c>
      <c r="K5403">
        <v>1.1204860000000001</v>
      </c>
      <c r="L5403">
        <v>29.39667</v>
      </c>
      <c r="M5403">
        <v>-4.7965630000000002E-2</v>
      </c>
      <c r="N5403">
        <v>-1.041332E-2</v>
      </c>
      <c r="O5403">
        <v>0.99879470000000004</v>
      </c>
      <c r="P5403">
        <v>-6.1731319999999999E-2</v>
      </c>
      <c r="Q5403">
        <v>0.19867309999999999</v>
      </c>
      <c r="R5403">
        <v>0.97811970000000004</v>
      </c>
      <c r="S5403">
        <v>0.1569672</v>
      </c>
      <c r="T5403">
        <v>-5.0214050000000003E-2</v>
      </c>
      <c r="U5403">
        <v>3.0879210000000001</v>
      </c>
      <c r="V5403">
        <v>-1.4722860000000001E-2</v>
      </c>
      <c r="W5403">
        <v>0.20886830000000001</v>
      </c>
      <c r="X5403">
        <v>0.97783299999999995</v>
      </c>
      <c r="Y5403">
        <v>9.8600489999999999E-2</v>
      </c>
      <c r="Z5403">
        <v>-5.7556229999999996E-3</v>
      </c>
      <c r="AA5403">
        <v>0.99511050000000001</v>
      </c>
      <c r="AB5403">
        <v>40</v>
      </c>
      <c r="AC5403">
        <v>3.5220999999999898</v>
      </c>
      <c r="AD5403">
        <v>-1.1204907871809999</v>
      </c>
      <c r="AE5403">
        <v>68.49906</v>
      </c>
      <c r="AF5403">
        <v>6.8020090565774902</v>
      </c>
      <c r="AG5403">
        <v>-1.1204907871809999</v>
      </c>
      <c r="AH5403">
        <v>68.233049819641096</v>
      </c>
      <c r="AI5403">
        <v>90.936160262156903</v>
      </c>
      <c r="AJ5403">
        <v>84.307112696919603</v>
      </c>
      <c r="AK5403">
        <v>68.580404741438599</v>
      </c>
      <c r="AL5403">
        <v>77.943960660303105</v>
      </c>
      <c r="AM5403">
        <v>90.862615603764695</v>
      </c>
      <c r="AN5403">
        <v>1.00000005262023</v>
      </c>
    </row>
    <row r="5404" spans="1:40" x14ac:dyDescent="0.25">
      <c r="A5404" t="str">
        <f>"20190303170920460"</f>
        <v>20190303170920460</v>
      </c>
      <c r="B5404" t="str">
        <f>"1551604160448903"</f>
        <v>1551604160448903</v>
      </c>
      <c r="C5404" t="s">
        <v>40</v>
      </c>
      <c r="D5404">
        <v>4.8692529999999996</v>
      </c>
      <c r="E5404">
        <v>0.54911379999999999</v>
      </c>
      <c r="F5404" t="s">
        <v>43</v>
      </c>
      <c r="G5404">
        <v>-183.09</v>
      </c>
      <c r="H5404" s="1">
        <v>-3.582691E-6</v>
      </c>
      <c r="I5404">
        <v>94.77319</v>
      </c>
      <c r="J5404">
        <v>-186.53739999999999</v>
      </c>
      <c r="K5404">
        <v>1.1204750000000001</v>
      </c>
      <c r="L5404">
        <v>29.799499999999998</v>
      </c>
      <c r="M5404">
        <v>-4.7941539999999998E-2</v>
      </c>
      <c r="N5404">
        <v>-1.0363030000000001E-2</v>
      </c>
      <c r="O5404">
        <v>0.99879640000000003</v>
      </c>
      <c r="P5404">
        <v>-6.1456299999999998E-2</v>
      </c>
      <c r="Q5404">
        <v>0.19822960000000001</v>
      </c>
      <c r="R5404">
        <v>0.97822699999999996</v>
      </c>
      <c r="S5404">
        <v>0.1619263</v>
      </c>
      <c r="T5404">
        <v>-5.2926540000000001E-2</v>
      </c>
      <c r="U5404">
        <v>3.0880740000000002</v>
      </c>
      <c r="V5404">
        <v>-1.4466100000000001E-2</v>
      </c>
      <c r="W5404">
        <v>0.20837629999999999</v>
      </c>
      <c r="X5404">
        <v>0.97794179999999997</v>
      </c>
      <c r="Y5404">
        <v>0.1001668</v>
      </c>
      <c r="Z5404">
        <v>-6.6766710000000003E-3</v>
      </c>
      <c r="AA5404">
        <v>0.99494830000000001</v>
      </c>
      <c r="AB5404">
        <v>40</v>
      </c>
      <c r="AC5404">
        <v>3.44739999999998</v>
      </c>
      <c r="AD5404">
        <v>-1.120478582691</v>
      </c>
      <c r="AE5404">
        <v>64.973690000000005</v>
      </c>
      <c r="AF5404">
        <v>6.55659712162484</v>
      </c>
      <c r="AG5404">
        <v>-1.120478582691</v>
      </c>
      <c r="AH5404">
        <v>64.714497333871407</v>
      </c>
      <c r="AI5404">
        <v>90.986879280255394</v>
      </c>
      <c r="AJ5404">
        <v>84.214776733952206</v>
      </c>
      <c r="AK5404">
        <v>65.055442533620706</v>
      </c>
      <c r="AL5404">
        <v>77.972784469554895</v>
      </c>
      <c r="AM5404">
        <v>90.847479910660198</v>
      </c>
      <c r="AN5404">
        <v>1.0000000573190599</v>
      </c>
    </row>
    <row r="5405" spans="1:40" x14ac:dyDescent="0.25">
      <c r="A5405" t="str">
        <f>"20190303170920484"</f>
        <v>20190303170920484</v>
      </c>
      <c r="B5405" t="str">
        <f>"1551604160479160"</f>
        <v>1551604160479160</v>
      </c>
      <c r="C5405" t="s">
        <v>40</v>
      </c>
      <c r="D5405">
        <v>4.9047080000000003</v>
      </c>
      <c r="E5405">
        <v>0.54974060000000002</v>
      </c>
      <c r="F5405" t="s">
        <v>43</v>
      </c>
      <c r="G5405">
        <v>-183.1232</v>
      </c>
      <c r="H5405" s="1">
        <v>-3.0994170000000002E-6</v>
      </c>
      <c r="I5405">
        <v>93.379099999999994</v>
      </c>
      <c r="J5405">
        <v>-186.5573</v>
      </c>
      <c r="K5405">
        <v>1.120466</v>
      </c>
      <c r="L5405">
        <v>30.214970000000001</v>
      </c>
      <c r="M5405">
        <v>-4.7916510000000002E-2</v>
      </c>
      <c r="N5405">
        <v>-1.031617E-2</v>
      </c>
      <c r="O5405">
        <v>0.99879810000000002</v>
      </c>
      <c r="P5405">
        <v>-6.1722760000000002E-2</v>
      </c>
      <c r="Q5405">
        <v>0.1979361</v>
      </c>
      <c r="R5405">
        <v>0.97826970000000002</v>
      </c>
      <c r="S5405">
        <v>0.16583249999999999</v>
      </c>
      <c r="T5405">
        <v>-5.4424519999999997E-2</v>
      </c>
      <c r="U5405">
        <v>3.0882260000000001</v>
      </c>
      <c r="V5405">
        <v>-1.475397E-2</v>
      </c>
      <c r="W5405">
        <v>0.20803769999999999</v>
      </c>
      <c r="X5405">
        <v>0.97800949999999998</v>
      </c>
      <c r="Y5405">
        <v>0.1013936</v>
      </c>
      <c r="Z5405">
        <v>-7.2033109999999996E-3</v>
      </c>
      <c r="AA5405">
        <v>0.99482029999999999</v>
      </c>
      <c r="AB5405">
        <v>40</v>
      </c>
      <c r="AC5405">
        <v>3.4340999999999999</v>
      </c>
      <c r="AD5405">
        <v>-1.1204690994169999</v>
      </c>
      <c r="AE5405">
        <v>63.164129999999901</v>
      </c>
      <c r="AF5405">
        <v>6.4548954298796897</v>
      </c>
      <c r="AG5405">
        <v>-1.1204690994169999</v>
      </c>
      <c r="AH5405">
        <v>62.907272756266103</v>
      </c>
      <c r="AI5405">
        <v>91.015083762911601</v>
      </c>
      <c r="AJ5405">
        <v>84.141401943325704</v>
      </c>
      <c r="AK5405">
        <v>63.247498698720797</v>
      </c>
      <c r="AL5405">
        <v>77.992618483153706</v>
      </c>
      <c r="AM5405">
        <v>90.864282088947505</v>
      </c>
      <c r="AN5405">
        <v>0.99999997317114997</v>
      </c>
    </row>
    <row r="5406" spans="1:40" x14ac:dyDescent="0.25">
      <c r="A5406" t="str">
        <f>"20190303170920508"</f>
        <v>20190303170920508</v>
      </c>
      <c r="B5406" t="str">
        <f>"1551604160499655"</f>
        <v>1551604160499655</v>
      </c>
      <c r="C5406" t="s">
        <v>40</v>
      </c>
      <c r="D5406">
        <v>4.8902769999999904</v>
      </c>
      <c r="E5406">
        <v>0.55014890000000005</v>
      </c>
      <c r="F5406" t="s">
        <v>43</v>
      </c>
      <c r="G5406">
        <v>-183.06460000000001</v>
      </c>
      <c r="H5406" s="1">
        <v>-3.1520239999999999E-6</v>
      </c>
      <c r="I5406">
        <v>93.487790000000004</v>
      </c>
      <c r="J5406">
        <v>-186.57849999999999</v>
      </c>
      <c r="K5406">
        <v>1.1204609999999999</v>
      </c>
      <c r="L5406">
        <v>30.658449999999998</v>
      </c>
      <c r="M5406">
        <v>-4.7889330000000001E-2</v>
      </c>
      <c r="N5406">
        <v>-1.02725E-2</v>
      </c>
      <c r="O5406">
        <v>0.99879980000000002</v>
      </c>
      <c r="P5406">
        <v>-6.1745019999999998E-2</v>
      </c>
      <c r="Q5406">
        <v>0.1981049</v>
      </c>
      <c r="R5406">
        <v>0.9782341</v>
      </c>
      <c r="S5406">
        <v>0.17048650000000001</v>
      </c>
      <c r="T5406">
        <v>-5.4692270000000001E-2</v>
      </c>
      <c r="U5406">
        <v>3.08847</v>
      </c>
      <c r="V5406">
        <v>-1.4804400000000001E-2</v>
      </c>
      <c r="W5406">
        <v>0.20816409999999999</v>
      </c>
      <c r="X5406">
        <v>0.97798189999999996</v>
      </c>
      <c r="Y5406">
        <v>0.10285660000000001</v>
      </c>
      <c r="Z5406">
        <v>-7.3295030000000002E-3</v>
      </c>
      <c r="AA5406">
        <v>0.99466920000000003</v>
      </c>
      <c r="AB5406">
        <v>40</v>
      </c>
      <c r="AC5406">
        <v>3.5138999999999698</v>
      </c>
      <c r="AD5406">
        <v>-1.120464152024</v>
      </c>
      <c r="AE5406">
        <v>62.829340000000002</v>
      </c>
      <c r="AF5406">
        <v>6.5168156336869796</v>
      </c>
      <c r="AG5406">
        <v>-1.120464152024</v>
      </c>
      <c r="AH5406">
        <v>62.569120864698</v>
      </c>
      <c r="AI5406">
        <v>91.020402920242503</v>
      </c>
      <c r="AJ5406">
        <v>84.053862676513305</v>
      </c>
      <c r="AK5406">
        <v>62.917558850456302</v>
      </c>
      <c r="AL5406">
        <v>77.985214887095594</v>
      </c>
      <c r="AM5406">
        <v>90.867260280076906</v>
      </c>
      <c r="AN5406">
        <v>1.0000000297578799</v>
      </c>
    </row>
    <row r="5407" spans="1:40" x14ac:dyDescent="0.25">
      <c r="A5407" t="str">
        <f>"20190303170920553"</f>
        <v>20190303170920553</v>
      </c>
      <c r="B5407" t="str">
        <f>"1551604160549431"</f>
        <v>1551604160549431</v>
      </c>
      <c r="C5407" t="s">
        <v>40</v>
      </c>
      <c r="D5407">
        <v>4.8875000000000002</v>
      </c>
      <c r="E5407">
        <v>0.55109849999999905</v>
      </c>
      <c r="F5407" t="s">
        <v>43</v>
      </c>
      <c r="G5407">
        <v>-182.95410000000001</v>
      </c>
      <c r="H5407" s="1">
        <v>-3.7002839999999999E-6</v>
      </c>
      <c r="I5407">
        <v>95.012550000000005</v>
      </c>
      <c r="J5407">
        <v>-186.6174</v>
      </c>
      <c r="K5407">
        <v>1.1204529999999999</v>
      </c>
      <c r="L5407">
        <v>31.469270000000002</v>
      </c>
      <c r="M5407">
        <v>-4.7839939999999997E-2</v>
      </c>
      <c r="N5407">
        <v>-1.021827E-2</v>
      </c>
      <c r="O5407">
        <v>0.99880270000000004</v>
      </c>
      <c r="P5407">
        <v>-6.2130339999999999E-2</v>
      </c>
      <c r="Q5407">
        <v>0.19745090000000001</v>
      </c>
      <c r="R5407">
        <v>0.97834189999999999</v>
      </c>
      <c r="S5407">
        <v>0.1739502</v>
      </c>
      <c r="T5407">
        <v>-5.3775789999999997E-2</v>
      </c>
      <c r="U5407">
        <v>3.0886230000000001</v>
      </c>
      <c r="V5407">
        <v>-1.523157E-2</v>
      </c>
      <c r="W5407">
        <v>0.2074579</v>
      </c>
      <c r="X5407">
        <v>0.97812529999999998</v>
      </c>
      <c r="Y5407">
        <v>0.1039168</v>
      </c>
      <c r="Z5407">
        <v>-7.086129E-3</v>
      </c>
      <c r="AA5407">
        <v>0.99456069999999996</v>
      </c>
      <c r="AB5407">
        <v>40</v>
      </c>
      <c r="AC5407">
        <v>3.6632999999999898</v>
      </c>
      <c r="AD5407">
        <v>-1.120456700284</v>
      </c>
      <c r="AE5407">
        <v>63.543280000000003</v>
      </c>
      <c r="AF5407">
        <v>6.6970953225292398</v>
      </c>
      <c r="AG5407">
        <v>-1.120456700284</v>
      </c>
      <c r="AH5407">
        <v>63.275646456661399</v>
      </c>
      <c r="AI5407">
        <v>91.008828291664898</v>
      </c>
      <c r="AJ5407">
        <v>83.958306782196104</v>
      </c>
      <c r="AK5407">
        <v>63.638934179358003</v>
      </c>
      <c r="AL5407">
        <v>78.026579143459003</v>
      </c>
      <c r="AM5407">
        <v>90.892149650807795</v>
      </c>
      <c r="AN5407">
        <v>0.99999994174857998</v>
      </c>
    </row>
    <row r="5408" spans="1:40" x14ac:dyDescent="0.25">
      <c r="A5408" t="str">
        <f>"20190303170920595"</f>
        <v>20190303170920595</v>
      </c>
      <c r="B5408" t="str">
        <f>"1551604160589447"</f>
        <v>1551604160589447</v>
      </c>
      <c r="C5408" t="s">
        <v>40</v>
      </c>
      <c r="D5408">
        <v>4.8766160000000003</v>
      </c>
      <c r="E5408">
        <v>0.55179209999999901</v>
      </c>
      <c r="F5408" t="s">
        <v>43</v>
      </c>
      <c r="G5408">
        <v>-183.02440000000001</v>
      </c>
      <c r="H5408" s="1">
        <v>-3.024831E-6</v>
      </c>
      <c r="I5408">
        <v>93.082650000000001</v>
      </c>
      <c r="J5408">
        <v>-186.6534</v>
      </c>
      <c r="K5408">
        <v>1.120449</v>
      </c>
      <c r="L5408">
        <v>32.223269999999999</v>
      </c>
      <c r="M5408">
        <v>-4.7793679999999998E-2</v>
      </c>
      <c r="N5408">
        <v>-1.020682E-2</v>
      </c>
      <c r="O5408">
        <v>0.9988051</v>
      </c>
      <c r="P5408">
        <v>-6.2194470000000002E-2</v>
      </c>
      <c r="Q5408">
        <v>0.19702829999999999</v>
      </c>
      <c r="R5408">
        <v>0.97842309999999999</v>
      </c>
      <c r="S5408">
        <v>0.18014530000000001</v>
      </c>
      <c r="T5408">
        <v>-5.6177970000000001E-2</v>
      </c>
      <c r="U5408">
        <v>3.0892029999999999</v>
      </c>
      <c r="V5408">
        <v>-1.5336539999999999E-2</v>
      </c>
      <c r="W5408">
        <v>0.2070255</v>
      </c>
      <c r="X5408">
        <v>0.97821530000000001</v>
      </c>
      <c r="Y5408">
        <v>0.105847</v>
      </c>
      <c r="Z5408">
        <v>-7.8643459999999995E-3</v>
      </c>
      <c r="AA5408">
        <v>0.99435130000000005</v>
      </c>
      <c r="AB5408">
        <v>41</v>
      </c>
      <c r="AC5408">
        <v>3.6289999999999898</v>
      </c>
      <c r="AD5408">
        <v>-1.1204520248309999</v>
      </c>
      <c r="AE5408">
        <v>60.859380000000002</v>
      </c>
      <c r="AF5408">
        <v>6.5314916630227096</v>
      </c>
      <c r="AG5408">
        <v>-1.1204520248309999</v>
      </c>
      <c r="AH5408">
        <v>60.595906112699701</v>
      </c>
      <c r="AI5408">
        <v>91.053210987837602</v>
      </c>
      <c r="AJ5408">
        <v>83.847973055773195</v>
      </c>
      <c r="AK5408">
        <v>60.957195093796699</v>
      </c>
      <c r="AL5408">
        <v>78.051903985000607</v>
      </c>
      <c r="AM5408">
        <v>90.898214358238405</v>
      </c>
      <c r="AN5408">
        <v>0.99999997013175501</v>
      </c>
    </row>
    <row r="5409" spans="1:40" x14ac:dyDescent="0.25">
      <c r="A5409" t="str">
        <f>"20190303170920616"</f>
        <v>20190303170920616</v>
      </c>
      <c r="B5409" t="str">
        <f>"1551604160608967"</f>
        <v>1551604160608967</v>
      </c>
      <c r="C5409" t="s">
        <v>40</v>
      </c>
      <c r="D5409">
        <v>4.8852099999999998</v>
      </c>
      <c r="E5409">
        <v>0.55210419999999905</v>
      </c>
      <c r="F5409" t="s">
        <v>43</v>
      </c>
      <c r="G5409">
        <v>-183.0735</v>
      </c>
      <c r="H5409" s="1">
        <v>-2.6201199999999998E-6</v>
      </c>
      <c r="I5409">
        <v>91.93177</v>
      </c>
      <c r="J5409">
        <v>-186.67320000000001</v>
      </c>
      <c r="K5409">
        <v>1.1204499999999999</v>
      </c>
      <c r="L5409">
        <v>32.636989999999997</v>
      </c>
      <c r="M5409">
        <v>-4.7768230000000002E-2</v>
      </c>
      <c r="N5409">
        <v>-1.0215810000000001E-2</v>
      </c>
      <c r="O5409">
        <v>0.99880619999999998</v>
      </c>
      <c r="P5409">
        <v>-6.2528150000000005E-2</v>
      </c>
      <c r="Q5409">
        <v>0.1974477</v>
      </c>
      <c r="R5409">
        <v>0.97831729999999995</v>
      </c>
      <c r="S5409">
        <v>0.18524170000000001</v>
      </c>
      <c r="T5409">
        <v>-5.7977439999999998E-2</v>
      </c>
      <c r="U5409">
        <v>3.0895999999999999</v>
      </c>
      <c r="V5409">
        <v>-1.5699850000000001E-2</v>
      </c>
      <c r="W5409">
        <v>0.20745279999999999</v>
      </c>
      <c r="X5409">
        <v>0.97811899999999996</v>
      </c>
      <c r="Y5409">
        <v>0.1074478</v>
      </c>
      <c r="Z5409">
        <v>-8.4292329999999995E-3</v>
      </c>
      <c r="AA5409">
        <v>0.99417500000000003</v>
      </c>
      <c r="AB5409">
        <v>41</v>
      </c>
      <c r="AC5409">
        <v>3.5997000000000101</v>
      </c>
      <c r="AD5409">
        <v>-1.12045262012</v>
      </c>
      <c r="AE5409">
        <v>59.294780000000003</v>
      </c>
      <c r="AF5409">
        <v>6.4258587720454896</v>
      </c>
      <c r="AG5409">
        <v>-1.12045262012</v>
      </c>
      <c r="AH5409">
        <v>59.034122551903103</v>
      </c>
      <c r="AI5409">
        <v>91.080945461855904</v>
      </c>
      <c r="AJ5409">
        <v>83.787817272284997</v>
      </c>
      <c r="AK5409">
        <v>59.3933893670442</v>
      </c>
      <c r="AL5409">
        <v>78.026878118891503</v>
      </c>
      <c r="AM5409">
        <v>90.919579217722102</v>
      </c>
      <c r="AN5409">
        <v>0.99999996383943002</v>
      </c>
    </row>
    <row r="5410" spans="1:40" x14ac:dyDescent="0.25">
      <c r="A5410" t="str">
        <f>"20190303170920639"</f>
        <v>20190303170920639</v>
      </c>
      <c r="B5410" t="str">
        <f>"1551604160629463"</f>
        <v>1551604160629463</v>
      </c>
      <c r="C5410" t="s">
        <v>40</v>
      </c>
      <c r="D5410">
        <v>4.9046120000000002</v>
      </c>
      <c r="E5410">
        <v>0.55242170000000002</v>
      </c>
      <c r="F5410" t="s">
        <v>43</v>
      </c>
      <c r="G5410">
        <v>-182.97540000000001</v>
      </c>
      <c r="H5410" s="1">
        <v>-3.3269810000000002E-6</v>
      </c>
      <c r="I5410">
        <v>93.932209999999998</v>
      </c>
      <c r="J5410">
        <v>-186.6919</v>
      </c>
      <c r="K5410">
        <v>1.1204529999999999</v>
      </c>
      <c r="L5410">
        <v>33.028750000000002</v>
      </c>
      <c r="M5410">
        <v>-4.7744010000000003E-2</v>
      </c>
      <c r="N5410">
        <v>-1.0236540000000001E-2</v>
      </c>
      <c r="O5410">
        <v>0.99880709999999995</v>
      </c>
      <c r="P5410">
        <v>-6.2330070000000001E-2</v>
      </c>
      <c r="Q5410">
        <v>0.19670280000000001</v>
      </c>
      <c r="R5410">
        <v>0.97847989999999996</v>
      </c>
      <c r="S5410">
        <v>0.18640139999999999</v>
      </c>
      <c r="T5410">
        <v>-5.648065E-2</v>
      </c>
      <c r="U5410">
        <v>3.0898129999999999</v>
      </c>
      <c r="V5410">
        <v>-1.551805E-2</v>
      </c>
      <c r="W5410">
        <v>0.2067292</v>
      </c>
      <c r="X5410">
        <v>0.97827509999999995</v>
      </c>
      <c r="Y5410">
        <v>0.10779179999999999</v>
      </c>
      <c r="Z5410">
        <v>-7.9250080000000007E-3</v>
      </c>
      <c r="AA5410">
        <v>0.99414190000000002</v>
      </c>
      <c r="AB5410">
        <v>41</v>
      </c>
      <c r="AC5410">
        <v>3.7164999999999901</v>
      </c>
      <c r="AD5410">
        <v>-1.120456326981</v>
      </c>
      <c r="AE5410">
        <v>60.903460000000003</v>
      </c>
      <c r="AF5410">
        <v>6.6179575871189904</v>
      </c>
      <c r="AG5410">
        <v>-1.120456326981</v>
      </c>
      <c r="AH5410">
        <v>60.636102070153001</v>
      </c>
      <c r="AI5410">
        <v>91.052364215881894</v>
      </c>
      <c r="AJ5410">
        <v>83.771266754038294</v>
      </c>
      <c r="AK5410">
        <v>61.006472273584201</v>
      </c>
      <c r="AL5410">
        <v>78.069256123798496</v>
      </c>
      <c r="AM5410">
        <v>90.908787526074505</v>
      </c>
      <c r="AN5410">
        <v>0.99999997164422505</v>
      </c>
    </row>
    <row r="5411" spans="1:40" x14ac:dyDescent="0.25">
      <c r="A5411" t="str">
        <f>"20190303170920660"</f>
        <v>20190303170920660</v>
      </c>
      <c r="B5411" t="str">
        <f>"1551604160648984"</f>
        <v>1551604160648984</v>
      </c>
      <c r="C5411" t="s">
        <v>40</v>
      </c>
      <c r="D5411">
        <v>4.877802</v>
      </c>
      <c r="E5411">
        <v>0.55273649999999996</v>
      </c>
      <c r="F5411" t="s">
        <v>43</v>
      </c>
      <c r="G5411">
        <v>-183.06360000000001</v>
      </c>
      <c r="H5411" s="1">
        <v>-2.6831709999999998E-6</v>
      </c>
      <c r="I5411">
        <v>92.109300000000005</v>
      </c>
      <c r="J5411">
        <v>-186.71090000000001</v>
      </c>
      <c r="K5411">
        <v>1.120449</v>
      </c>
      <c r="L5411">
        <v>33.42606</v>
      </c>
      <c r="M5411">
        <v>-4.771939E-2</v>
      </c>
      <c r="N5411">
        <v>-1.0275579999999999E-2</v>
      </c>
      <c r="O5411">
        <v>0.99880789999999997</v>
      </c>
      <c r="P5411">
        <v>-6.2147710000000002E-2</v>
      </c>
      <c r="Q5411">
        <v>0.19543640000000001</v>
      </c>
      <c r="R5411">
        <v>0.97874530000000004</v>
      </c>
      <c r="S5411">
        <v>0.18975829999999999</v>
      </c>
      <c r="T5411">
        <v>-5.8598520000000001E-2</v>
      </c>
      <c r="U5411">
        <v>3.0898439999999998</v>
      </c>
      <c r="V5411">
        <v>-1.5347639999999999E-2</v>
      </c>
      <c r="W5411">
        <v>0.20550399999999999</v>
      </c>
      <c r="X5411">
        <v>0.97853599999999996</v>
      </c>
      <c r="Y5411">
        <v>0.1088418</v>
      </c>
      <c r="Z5411">
        <v>-8.5651749999999995E-3</v>
      </c>
      <c r="AA5411">
        <v>0.99402219999999997</v>
      </c>
      <c r="AB5411">
        <v>41</v>
      </c>
      <c r="AC5411">
        <v>3.6473</v>
      </c>
      <c r="AD5411">
        <v>-1.1204516831710001</v>
      </c>
      <c r="AE5411">
        <v>58.683239999999998</v>
      </c>
      <c r="AF5411">
        <v>6.4412816878577797</v>
      </c>
      <c r="AG5411">
        <v>-1.1204516831710001</v>
      </c>
      <c r="AH5411">
        <v>58.421108235772401</v>
      </c>
      <c r="AI5411">
        <v>91.092117988983404</v>
      </c>
      <c r="AJ5411">
        <v>83.708205697225594</v>
      </c>
      <c r="AK5411">
        <v>58.7858095908569</v>
      </c>
      <c r="AL5411">
        <v>78.140996572654103</v>
      </c>
      <c r="AM5411">
        <v>90.898569804210496</v>
      </c>
      <c r="AN5411">
        <v>1.0000000736827801</v>
      </c>
    </row>
    <row r="5412" spans="1:40" x14ac:dyDescent="0.25">
      <c r="A5412" t="str">
        <f>"20190303170920684"</f>
        <v>20190303170920684</v>
      </c>
      <c r="B5412" t="str">
        <f>"1551604160679240"</f>
        <v>1551604160679240</v>
      </c>
      <c r="C5412" t="s">
        <v>40</v>
      </c>
      <c r="D5412">
        <v>4.8971019999999896</v>
      </c>
      <c r="E5412">
        <v>0.55321200000000004</v>
      </c>
      <c r="F5412" t="s">
        <v>43</v>
      </c>
      <c r="G5412">
        <v>-183.20740000000001</v>
      </c>
      <c r="H5412" s="1">
        <v>-5.3802520000000003E-6</v>
      </c>
      <c r="I5412">
        <v>89.365650000000002</v>
      </c>
      <c r="J5412">
        <v>-186.73140000000001</v>
      </c>
      <c r="K5412">
        <v>1.1204639999999999</v>
      </c>
      <c r="L5412">
        <v>33.856169999999999</v>
      </c>
      <c r="M5412">
        <v>-4.7692810000000002E-2</v>
      </c>
      <c r="N5412">
        <v>-1.034002E-2</v>
      </c>
      <c r="O5412">
        <v>0.99880849999999999</v>
      </c>
      <c r="P5412">
        <v>-6.1758029999999998E-2</v>
      </c>
      <c r="Q5412">
        <v>0.1953664</v>
      </c>
      <c r="R5412">
        <v>0.97878390000000004</v>
      </c>
      <c r="S5412">
        <v>0.19351199999999999</v>
      </c>
      <c r="T5412">
        <v>-6.1887499999999998E-2</v>
      </c>
      <c r="U5412">
        <v>3.0897830000000002</v>
      </c>
      <c r="V5412">
        <v>-1.4982779999999999E-2</v>
      </c>
      <c r="W5412">
        <v>0.2054974</v>
      </c>
      <c r="X5412">
        <v>0.97854300000000005</v>
      </c>
      <c r="Y5412">
        <v>0.110018</v>
      </c>
      <c r="Z5412">
        <v>-9.5567680000000002E-3</v>
      </c>
      <c r="AA5412">
        <v>0.99388370000000004</v>
      </c>
      <c r="AB5412">
        <v>41</v>
      </c>
      <c r="AC5412">
        <v>3.524</v>
      </c>
      <c r="AD5412">
        <v>-1.1204693802519901</v>
      </c>
      <c r="AE5412">
        <v>55.509480000000003</v>
      </c>
      <c r="AF5412">
        <v>6.1650323260308699</v>
      </c>
      <c r="AG5412">
        <v>-1.1204693802519901</v>
      </c>
      <c r="AH5412">
        <v>55.255804641769799</v>
      </c>
      <c r="AI5412">
        <v>91.154514724586804</v>
      </c>
      <c r="AJ5412">
        <v>83.633692167141504</v>
      </c>
      <c r="AK5412">
        <v>55.609954341129502</v>
      </c>
      <c r="AL5412">
        <v>78.141382493990093</v>
      </c>
      <c r="AM5412">
        <v>90.877205176305495</v>
      </c>
      <c r="AN5412">
        <v>1.0000000339761399</v>
      </c>
    </row>
    <row r="5413" spans="1:40" x14ac:dyDescent="0.25">
      <c r="A5413" t="str">
        <f>"20190303170920707"</f>
        <v>20190303170920707</v>
      </c>
      <c r="B5413" t="str">
        <f>"1551604160699735"</f>
        <v>1551604160699735</v>
      </c>
      <c r="C5413" t="s">
        <v>40</v>
      </c>
      <c r="D5413">
        <v>4.8705629999999998</v>
      </c>
      <c r="E5413">
        <v>0.55350509999999997</v>
      </c>
      <c r="F5413" t="s">
        <v>43</v>
      </c>
      <c r="G5413">
        <v>-183.077</v>
      </c>
      <c r="H5413" s="1">
        <v>-2.1496059999999999E-6</v>
      </c>
      <c r="I5413">
        <v>90.551860000000005</v>
      </c>
      <c r="J5413">
        <v>-186.7508</v>
      </c>
      <c r="K5413">
        <v>1.120476</v>
      </c>
      <c r="L5413">
        <v>34.261749999999999</v>
      </c>
      <c r="M5413">
        <v>-4.7667590000000003E-2</v>
      </c>
      <c r="N5413">
        <v>-1.0418E-2</v>
      </c>
      <c r="O5413">
        <v>0.9988089</v>
      </c>
      <c r="P5413">
        <v>-6.1026200000000003E-2</v>
      </c>
      <c r="Q5413">
        <v>0.1953608</v>
      </c>
      <c r="R5413">
        <v>0.97883089999999995</v>
      </c>
      <c r="S5413">
        <v>0.19915769999999999</v>
      </c>
      <c r="T5413">
        <v>-6.1062810000000002E-2</v>
      </c>
      <c r="U5413">
        <v>3.0897830000000002</v>
      </c>
      <c r="V5413">
        <v>-1.427378E-2</v>
      </c>
      <c r="W5413">
        <v>0.20556840000000001</v>
      </c>
      <c r="X5413">
        <v>0.97853860000000004</v>
      </c>
      <c r="Y5413">
        <v>0.1118014</v>
      </c>
      <c r="Z5413">
        <v>-9.2098939999999997E-3</v>
      </c>
      <c r="AA5413">
        <v>0.99368789999999996</v>
      </c>
      <c r="AB5413">
        <v>41</v>
      </c>
      <c r="AC5413">
        <v>3.6738</v>
      </c>
      <c r="AD5413">
        <v>-1.1204781496059999</v>
      </c>
      <c r="AE5413">
        <v>56.290109999999899</v>
      </c>
      <c r="AF5413">
        <v>6.3504773915171002</v>
      </c>
      <c r="AG5413">
        <v>-1.1204781496059999</v>
      </c>
      <c r="AH5413">
        <v>56.028878891363199</v>
      </c>
      <c r="AI5413">
        <v>91.138374341875206</v>
      </c>
      <c r="AJ5413">
        <v>83.533524931826193</v>
      </c>
      <c r="AK5413">
        <v>56.398752683077703</v>
      </c>
      <c r="AL5413">
        <v>78.137224734825907</v>
      </c>
      <c r="AM5413">
        <v>90.8357047483874</v>
      </c>
      <c r="AN5413">
        <v>0.99999994978200302</v>
      </c>
    </row>
    <row r="5414" spans="1:40" x14ac:dyDescent="0.25">
      <c r="A5414" t="str">
        <f>"20190303170920731"</f>
        <v>20190303170920731</v>
      </c>
      <c r="B5414" t="str">
        <f>"1551604160719762"</f>
        <v>1551604160719762</v>
      </c>
      <c r="C5414" t="s">
        <v>40</v>
      </c>
      <c r="D5414">
        <v>4.8767849999999999</v>
      </c>
      <c r="E5414">
        <v>0.55379780000000001</v>
      </c>
      <c r="F5414" t="s">
        <v>43</v>
      </c>
      <c r="G5414">
        <v>-182.98689999999999</v>
      </c>
      <c r="H5414" s="1">
        <v>-2.4395000000000001E-6</v>
      </c>
      <c r="I5414">
        <v>91.333269999999999</v>
      </c>
      <c r="J5414">
        <v>-186.77209999999999</v>
      </c>
      <c r="K5414">
        <v>1.120493</v>
      </c>
      <c r="L5414">
        <v>34.710270000000001</v>
      </c>
      <c r="M5414">
        <v>-4.7639910000000001E-2</v>
      </c>
      <c r="N5414">
        <v>-1.0512280000000001E-2</v>
      </c>
      <c r="O5414">
        <v>0.99880930000000001</v>
      </c>
      <c r="P5414">
        <v>-6.112107E-2</v>
      </c>
      <c r="Q5414">
        <v>0.19541739999999999</v>
      </c>
      <c r="R5414">
        <v>0.97881370000000001</v>
      </c>
      <c r="S5414">
        <v>0.2037659</v>
      </c>
      <c r="T5414">
        <v>-6.0659530000000003E-2</v>
      </c>
      <c r="U5414">
        <v>3.0896910000000002</v>
      </c>
      <c r="V5414">
        <v>-1.4396040000000001E-2</v>
      </c>
      <c r="W5414">
        <v>0.2057167</v>
      </c>
      <c r="X5414">
        <v>0.97850570000000003</v>
      </c>
      <c r="Y5414">
        <v>0.1132512</v>
      </c>
      <c r="Z5414">
        <v>-8.9834670000000002E-3</v>
      </c>
      <c r="AA5414">
        <v>0.99352569999999996</v>
      </c>
      <c r="AB5414">
        <v>41</v>
      </c>
      <c r="AC5414">
        <v>3.7852000000000001</v>
      </c>
      <c r="AD5414">
        <v>-1.1204954395</v>
      </c>
      <c r="AE5414">
        <v>56.622999999999998</v>
      </c>
      <c r="AF5414">
        <v>6.4760405946789996</v>
      </c>
      <c r="AG5414">
        <v>-1.1204954395</v>
      </c>
      <c r="AH5414">
        <v>56.356394613358098</v>
      </c>
      <c r="AI5414">
        <v>91.131577824545204</v>
      </c>
      <c r="AJ5414">
        <v>83.444765240528397</v>
      </c>
      <c r="AK5414">
        <v>56.738327659796298</v>
      </c>
      <c r="AL5414">
        <v>78.128542874395606</v>
      </c>
      <c r="AM5414">
        <v>90.842890163575305</v>
      </c>
      <c r="AN5414">
        <v>1.00000000577953</v>
      </c>
    </row>
    <row r="5415" spans="1:40" x14ac:dyDescent="0.25">
      <c r="A5415" t="str">
        <f>"20190303170920753"</f>
        <v>20190303170920753</v>
      </c>
      <c r="B5415" t="str">
        <f>"1551604160749042"</f>
        <v>1551604160749042</v>
      </c>
      <c r="C5415" t="s">
        <v>40</v>
      </c>
      <c r="D5415">
        <v>4.910266</v>
      </c>
      <c r="E5415">
        <v>0.56912289999999999</v>
      </c>
      <c r="F5415" t="s">
        <v>43</v>
      </c>
      <c r="G5415">
        <v>-182.9588</v>
      </c>
      <c r="H5415" s="1">
        <v>-2.703606E-6</v>
      </c>
      <c r="I5415">
        <v>92.087379999999996</v>
      </c>
      <c r="J5415">
        <v>-186.792</v>
      </c>
      <c r="K5415">
        <v>1.120506</v>
      </c>
      <c r="L5415">
        <v>35.127780000000001</v>
      </c>
      <c r="M5415">
        <v>-4.7614190000000001E-2</v>
      </c>
      <c r="N5415">
        <v>-1.0602189999999999E-2</v>
      </c>
      <c r="O5415">
        <v>0.99880950000000002</v>
      </c>
      <c r="P5415">
        <v>-6.1699520000000001E-2</v>
      </c>
      <c r="Q5415">
        <v>0.19491269999999999</v>
      </c>
      <c r="R5415">
        <v>0.97887800000000003</v>
      </c>
      <c r="S5415">
        <v>0.2053528</v>
      </c>
      <c r="T5415">
        <v>-6.0339810000000001E-2</v>
      </c>
      <c r="U5415">
        <v>3.0898129999999999</v>
      </c>
      <c r="V5415">
        <v>-1.499647E-2</v>
      </c>
      <c r="W5415">
        <v>0.20530100000000001</v>
      </c>
      <c r="X5415">
        <v>0.97858400000000001</v>
      </c>
      <c r="Y5415">
        <v>0.113731</v>
      </c>
      <c r="Z5415">
        <v>-8.7888769999999901E-3</v>
      </c>
      <c r="AA5415">
        <v>0.99347269999999999</v>
      </c>
      <c r="AB5415">
        <v>41</v>
      </c>
      <c r="AC5415">
        <v>3.8332000000000002</v>
      </c>
      <c r="AD5415">
        <v>-1.120508703606</v>
      </c>
      <c r="AE5415">
        <v>56.959600000000002</v>
      </c>
      <c r="AF5415">
        <v>6.5385707106450299</v>
      </c>
      <c r="AG5415">
        <v>-1.120508703606</v>
      </c>
      <c r="AH5415">
        <v>56.6906246064461</v>
      </c>
      <c r="AI5415">
        <v>91.124867060339497</v>
      </c>
      <c r="AJ5415">
        <v>83.420703649618005</v>
      </c>
      <c r="AK5415">
        <v>57.0774505821866</v>
      </c>
      <c r="AL5415">
        <v>78.1528803735672</v>
      </c>
      <c r="AM5415">
        <v>90.877969786632605</v>
      </c>
      <c r="AN5415">
        <v>1.0000000198847301</v>
      </c>
    </row>
    <row r="5416" spans="1:40" x14ac:dyDescent="0.25">
      <c r="A5416" t="str">
        <f>"20190303170920775"</f>
        <v>20190303170920775</v>
      </c>
      <c r="B5416" t="str">
        <f>"1551604160769539"</f>
        <v>1551604160769539</v>
      </c>
      <c r="C5416" t="s">
        <v>40</v>
      </c>
      <c r="D5416">
        <v>4.8534309999999996</v>
      </c>
      <c r="E5416">
        <v>0.56851359999999995</v>
      </c>
      <c r="F5416" t="s">
        <v>41</v>
      </c>
      <c r="G5416">
        <v>-177.81270000000001</v>
      </c>
      <c r="H5416">
        <v>0.343771299999999</v>
      </c>
      <c r="I5416">
        <v>119.75960000000001</v>
      </c>
      <c r="J5416">
        <v>-186.81010000000001</v>
      </c>
      <c r="K5416">
        <v>1.1205160000000001</v>
      </c>
      <c r="L5416">
        <v>35.507689999999997</v>
      </c>
      <c r="M5416">
        <v>-4.7590750000000001E-2</v>
      </c>
      <c r="N5416">
        <v>-1.0684040000000001E-2</v>
      </c>
      <c r="O5416">
        <v>0.99880979999999997</v>
      </c>
      <c r="P5416">
        <v>-6.2451199999999901E-2</v>
      </c>
      <c r="Q5416">
        <v>0.1945462</v>
      </c>
      <c r="R5416">
        <v>0.97890330000000003</v>
      </c>
      <c r="S5416">
        <v>0.3279572</v>
      </c>
      <c r="T5416">
        <v>-2.836895E-2</v>
      </c>
      <c r="U5416">
        <v>3.0910340000000001</v>
      </c>
      <c r="V5416">
        <v>-1.576876E-2</v>
      </c>
      <c r="W5416">
        <v>0.2050158</v>
      </c>
      <c r="X5416">
        <v>0.97863160000000005</v>
      </c>
      <c r="Y5416">
        <v>0.15269929999999901</v>
      </c>
      <c r="Z5416">
        <v>1.6285430000000001E-3</v>
      </c>
      <c r="AA5416">
        <v>0.98827140000000002</v>
      </c>
      <c r="AB5416">
        <v>41</v>
      </c>
      <c r="AC5416">
        <v>8.9973999999999901</v>
      </c>
      <c r="AD5416">
        <v>-0.77674469999999995</v>
      </c>
      <c r="AE5416">
        <v>84.251909999999995</v>
      </c>
      <c r="AF5416">
        <v>12.995952263407499</v>
      </c>
      <c r="AG5416">
        <v>-0.77674469999999995</v>
      </c>
      <c r="AH5416">
        <v>83.7211816543916</v>
      </c>
      <c r="AI5416">
        <v>90.5252705749554</v>
      </c>
      <c r="AJ5416">
        <v>81.176456588771401</v>
      </c>
      <c r="AK5416">
        <v>84.7274121236415</v>
      </c>
      <c r="AL5416">
        <v>78.169575676351599</v>
      </c>
      <c r="AM5416">
        <v>90.923131051106793</v>
      </c>
      <c r="AN5416">
        <v>0.99999997028006804</v>
      </c>
    </row>
    <row r="5417" spans="1:40" x14ac:dyDescent="0.25">
      <c r="A5417" t="str">
        <f>"20190303170920818"</f>
        <v>20190303170920818</v>
      </c>
      <c r="B5417" t="str">
        <f>"1551604160809555"</f>
        <v>1551604160809555</v>
      </c>
      <c r="C5417" t="s">
        <v>40</v>
      </c>
      <c r="D5417">
        <v>4.8809319999999996</v>
      </c>
      <c r="E5417">
        <v>0.56716180000000005</v>
      </c>
      <c r="F5417" t="s">
        <v>58</v>
      </c>
      <c r="G5417">
        <v>-175.828</v>
      </c>
      <c r="H5417" s="1">
        <v>-6.8639550000000001E-6</v>
      </c>
      <c r="I5417">
        <v>141.18029999999999</v>
      </c>
      <c r="J5417">
        <v>-186.84729999999999</v>
      </c>
      <c r="K5417">
        <v>1.120547</v>
      </c>
      <c r="L5417">
        <v>36.288179999999997</v>
      </c>
      <c r="M5417">
        <v>-4.7542429999999997E-2</v>
      </c>
      <c r="N5417">
        <v>-1.08646E-2</v>
      </c>
      <c r="O5417">
        <v>0.99881010000000003</v>
      </c>
      <c r="P5417">
        <v>-6.301387E-2</v>
      </c>
      <c r="Q5417">
        <v>0.1968867</v>
      </c>
      <c r="R5417">
        <v>0.97839920000000002</v>
      </c>
      <c r="S5417">
        <v>0.32130429999999999</v>
      </c>
      <c r="T5417">
        <v>-3.2783270000000003E-2</v>
      </c>
      <c r="U5417">
        <v>3.091675</v>
      </c>
      <c r="V5417">
        <v>-1.6401990000000002E-2</v>
      </c>
      <c r="W5417">
        <v>0.2075275</v>
      </c>
      <c r="X5417">
        <v>0.97809170000000001</v>
      </c>
      <c r="Y5417">
        <v>0.1505251</v>
      </c>
      <c r="Z5417">
        <v>3.9497129999999998E-4</v>
      </c>
      <c r="AA5417">
        <v>0.98860610000000004</v>
      </c>
      <c r="AB5417">
        <v>41</v>
      </c>
      <c r="AC5417">
        <v>11.0192999999999</v>
      </c>
      <c r="AD5417">
        <v>-1.1205538639549999</v>
      </c>
      <c r="AE5417">
        <v>104.89212000000001</v>
      </c>
      <c r="AF5417">
        <v>15.992153712901301</v>
      </c>
      <c r="AG5417">
        <v>-1.1205538639549999</v>
      </c>
      <c r="AH5417">
        <v>104.23781450810201</v>
      </c>
      <c r="AI5417">
        <v>90.608782016995704</v>
      </c>
      <c r="AJ5417">
        <v>81.277697860879101</v>
      </c>
      <c r="AK5417">
        <v>105.463389831565</v>
      </c>
      <c r="AL5417">
        <v>78.022503723924402</v>
      </c>
      <c r="AM5417">
        <v>90.960724568475001</v>
      </c>
      <c r="AN5417">
        <v>1.0000000310705399</v>
      </c>
    </row>
    <row r="5418" spans="1:40" x14ac:dyDescent="0.25">
      <c r="A5418" t="str">
        <f>"20190303170920839"</f>
        <v>20190303170920839</v>
      </c>
      <c r="B5418" t="str">
        <f>"1551604160829075"</f>
        <v>1551604160829075</v>
      </c>
      <c r="C5418" t="s">
        <v>40</v>
      </c>
      <c r="D5418">
        <v>4.904185</v>
      </c>
      <c r="E5418">
        <v>0.52556759999999902</v>
      </c>
      <c r="F5418" t="s">
        <v>58</v>
      </c>
      <c r="G5418">
        <v>-175.55799999999999</v>
      </c>
      <c r="H5418">
        <v>2.378182E-3</v>
      </c>
      <c r="I5418">
        <v>149.61670000000001</v>
      </c>
      <c r="J5418">
        <v>-186.8665</v>
      </c>
      <c r="K5418">
        <v>1.1205590000000001</v>
      </c>
      <c r="L5418">
        <v>36.691560000000003</v>
      </c>
      <c r="M5418">
        <v>-4.7517480000000001E-2</v>
      </c>
      <c r="N5418">
        <v>-1.096219E-2</v>
      </c>
      <c r="O5418">
        <v>0.99881019999999998</v>
      </c>
      <c r="P5418">
        <v>-6.3719590000000007E-2</v>
      </c>
      <c r="Q5418">
        <v>0.1968704</v>
      </c>
      <c r="R5418">
        <v>0.97835669999999997</v>
      </c>
      <c r="S5418">
        <v>0.3080292</v>
      </c>
      <c r="T5418">
        <v>-3.050947E-2</v>
      </c>
      <c r="U5418">
        <v>3.0921940000000001</v>
      </c>
      <c r="V5418">
        <v>-1.7132990000000001E-2</v>
      </c>
      <c r="W5418">
        <v>0.20760629999999999</v>
      </c>
      <c r="X5418">
        <v>0.97806249999999995</v>
      </c>
      <c r="Y5418">
        <v>0.1462821</v>
      </c>
      <c r="Z5418">
        <v>1.216017E-3</v>
      </c>
      <c r="AA5418">
        <v>0.98924210000000001</v>
      </c>
      <c r="AB5418">
        <v>41</v>
      </c>
      <c r="AC5418">
        <v>11.3085</v>
      </c>
      <c r="AD5418">
        <v>-1.1181808179999999</v>
      </c>
      <c r="AE5418">
        <v>112.925139999999</v>
      </c>
      <c r="AF5418">
        <v>16.660347944323799</v>
      </c>
      <c r="AG5418">
        <v>-1.1181808179999999</v>
      </c>
      <c r="AH5418">
        <v>112.249284764053</v>
      </c>
      <c r="AI5418">
        <v>90.564553827798704</v>
      </c>
      <c r="AJ5418">
        <v>81.557635759012598</v>
      </c>
      <c r="AK5418">
        <v>113.484445859373</v>
      </c>
      <c r="AL5418">
        <v>78.017888946454505</v>
      </c>
      <c r="AM5418">
        <v>91.003563297925396</v>
      </c>
      <c r="AN5418">
        <v>1.0000000845261301</v>
      </c>
    </row>
    <row r="5419" spans="1:40" x14ac:dyDescent="0.25">
      <c r="A5419" t="str">
        <f>"20190303170920861"</f>
        <v>20190303170920861</v>
      </c>
      <c r="B5419" t="str">
        <f>"1551604160849571"</f>
        <v>1551604160849571</v>
      </c>
      <c r="C5419" t="s">
        <v>40</v>
      </c>
      <c r="D5419">
        <v>4.9766870000000001</v>
      </c>
      <c r="E5419">
        <v>0.51551089999999999</v>
      </c>
      <c r="F5419" t="s">
        <v>58</v>
      </c>
      <c r="G5419">
        <v>-187.7304</v>
      </c>
      <c r="H5419" s="1">
        <v>-7.9824029999999999E-6</v>
      </c>
      <c r="I5419">
        <v>138.86240000000001</v>
      </c>
      <c r="J5419">
        <v>-186.8852</v>
      </c>
      <c r="K5419">
        <v>1.1205639999999999</v>
      </c>
      <c r="L5419">
        <v>37.085509999999999</v>
      </c>
      <c r="M5419">
        <v>-4.7491680000000001E-2</v>
      </c>
      <c r="N5419">
        <v>-1.1059940000000001E-2</v>
      </c>
      <c r="O5419">
        <v>0.99881039999999999</v>
      </c>
      <c r="P5419">
        <v>-6.4420939999999996E-2</v>
      </c>
      <c r="Q5419">
        <v>0.19650590000000001</v>
      </c>
      <c r="R5419">
        <v>0.97838409999999998</v>
      </c>
      <c r="S5419">
        <v>-2.5970460000000001E-2</v>
      </c>
      <c r="T5419">
        <v>-3.3686279999999999E-2</v>
      </c>
      <c r="U5419">
        <v>3.0714419999999998</v>
      </c>
      <c r="V5419">
        <v>-1.7857370000000001E-2</v>
      </c>
      <c r="W5419">
        <v>0.20733850000000001</v>
      </c>
      <c r="X5419">
        <v>0.97810629999999998</v>
      </c>
      <c r="Y5419">
        <v>3.9042519999999997E-2</v>
      </c>
      <c r="Z5419">
        <v>1.137426E-4</v>
      </c>
      <c r="AA5419">
        <v>0.9992375</v>
      </c>
      <c r="AB5419">
        <v>41</v>
      </c>
      <c r="AC5419">
        <v>-0.84520000000000495</v>
      </c>
      <c r="AD5419">
        <v>-1.1205719824029901</v>
      </c>
      <c r="AE5419">
        <v>101.77688999999999</v>
      </c>
      <c r="AF5419">
        <v>3.9891214276137301</v>
      </c>
      <c r="AG5419">
        <v>-1.1205719824029901</v>
      </c>
      <c r="AH5419">
        <v>101.68985054938101</v>
      </c>
      <c r="AI5419">
        <v>90.630860491080298</v>
      </c>
      <c r="AJ5419">
        <v>87.7535350077451</v>
      </c>
      <c r="AK5419">
        <v>101.774232869068</v>
      </c>
      <c r="AL5419">
        <v>78.033573467956501</v>
      </c>
      <c r="AM5419">
        <v>91.045937724291605</v>
      </c>
      <c r="AN5419">
        <v>1.0000000366726201</v>
      </c>
    </row>
    <row r="5420" spans="1:40" x14ac:dyDescent="0.25">
      <c r="A5420" t="str">
        <f>"20190303170920884"</f>
        <v>20190303170920884</v>
      </c>
      <c r="B5420" t="str">
        <f>"1551604160879827"</f>
        <v>1551604160879827</v>
      </c>
      <c r="C5420" t="s">
        <v>40</v>
      </c>
      <c r="D5420">
        <v>4.9645539999999997</v>
      </c>
      <c r="E5420">
        <v>0.5105982</v>
      </c>
      <c r="F5420" t="s">
        <v>43</v>
      </c>
      <c r="G5420">
        <v>-191.68049999999999</v>
      </c>
      <c r="H5420" s="1">
        <v>-2.376323E-6</v>
      </c>
      <c r="I5420">
        <v>174.08609999999999</v>
      </c>
      <c r="J5420">
        <v>-186.90539999999999</v>
      </c>
      <c r="K5420">
        <v>1.1205700000000001</v>
      </c>
      <c r="L5420">
        <v>37.511290000000002</v>
      </c>
      <c r="M5420">
        <v>-4.7456909999999998E-2</v>
      </c>
      <c r="N5420">
        <v>-1.1172929999999999E-2</v>
      </c>
      <c r="O5420">
        <v>0.9988108</v>
      </c>
      <c r="P5420">
        <v>-6.4161430000000005E-2</v>
      </c>
      <c r="Q5420">
        <v>0.19620889999999999</v>
      </c>
      <c r="R5420">
        <v>0.97846069999999996</v>
      </c>
      <c r="S5420">
        <v>-0.107254</v>
      </c>
      <c r="T5420">
        <v>-2.506328E-2</v>
      </c>
      <c r="U5420">
        <v>3.0642399999999999</v>
      </c>
      <c r="V5420">
        <v>-1.762675E-2</v>
      </c>
      <c r="W5420">
        <v>0.20715239999999999</v>
      </c>
      <c r="X5420">
        <v>0.97814990000000002</v>
      </c>
      <c r="Y5420">
        <v>1.2488630000000001E-2</v>
      </c>
      <c r="Z5420">
        <v>3.0014170000000001E-3</v>
      </c>
      <c r="AA5420">
        <v>0.99991750000000001</v>
      </c>
      <c r="AB5420">
        <v>41</v>
      </c>
      <c r="AC5420">
        <v>-4.7751000000000001</v>
      </c>
      <c r="AD5420">
        <v>-1.120572376323</v>
      </c>
      <c r="AE5420">
        <v>136.57481000000001</v>
      </c>
      <c r="AF5420">
        <v>1.7119887685987301</v>
      </c>
      <c r="AG5420">
        <v>-1.120572376323</v>
      </c>
      <c r="AH5420">
        <v>136.638348531308</v>
      </c>
      <c r="AI5420">
        <v>90.469835815356006</v>
      </c>
      <c r="AJ5420">
        <v>89.282159073947298</v>
      </c>
      <c r="AK5420">
        <v>136.653667632294</v>
      </c>
      <c r="AL5420">
        <v>78.044472683028104</v>
      </c>
      <c r="AM5420">
        <v>91.032386836516295</v>
      </c>
      <c r="AN5420">
        <v>1.00000002300566</v>
      </c>
    </row>
    <row r="5421" spans="1:40" x14ac:dyDescent="0.25">
      <c r="A5421" t="str">
        <f>"20190303170920907"</f>
        <v>20190303170920907</v>
      </c>
      <c r="B5421" t="str">
        <f>"1551604160899346"</f>
        <v>1551604160899346</v>
      </c>
      <c r="C5421" t="s">
        <v>40</v>
      </c>
      <c r="D5421">
        <v>4.7760669999999896</v>
      </c>
      <c r="E5421">
        <v>0.50928279999999904</v>
      </c>
      <c r="F5421" t="s">
        <v>43</v>
      </c>
      <c r="G5421">
        <v>-193.0718</v>
      </c>
      <c r="H5421" s="1">
        <v>-4.3352270000000001E-6</v>
      </c>
      <c r="I5421">
        <v>167.15639999999999</v>
      </c>
      <c r="J5421">
        <v>-186.9247</v>
      </c>
      <c r="K5421">
        <v>1.120573</v>
      </c>
      <c r="L5421">
        <v>37.917969999999997</v>
      </c>
      <c r="M5421">
        <v>-4.7408680000000002E-2</v>
      </c>
      <c r="N5421">
        <v>-1.128938E-2</v>
      </c>
      <c r="O5421">
        <v>0.99881180000000003</v>
      </c>
      <c r="P5421">
        <v>-6.3517480000000001E-2</v>
      </c>
      <c r="Q5421">
        <v>0.19636390000000001</v>
      </c>
      <c r="R5421">
        <v>0.9784716</v>
      </c>
      <c r="S5421">
        <v>-0.14562990000000001</v>
      </c>
      <c r="T5421">
        <v>-2.6464339999999999E-2</v>
      </c>
      <c r="U5421">
        <v>3.061798</v>
      </c>
      <c r="V5421">
        <v>-1.7025470000000001E-2</v>
      </c>
      <c r="W5421">
        <v>0.20742150000000001</v>
      </c>
      <c r="X5421">
        <v>0.97810350000000001</v>
      </c>
      <c r="Y5421" s="1">
        <v>-9.8037579999999997E-5</v>
      </c>
      <c r="Z5421">
        <v>2.6531609999999998E-3</v>
      </c>
      <c r="AA5421">
        <v>0.99999649999999995</v>
      </c>
      <c r="AB5421">
        <v>41</v>
      </c>
      <c r="AC5421">
        <v>-6.1470999999999902</v>
      </c>
      <c r="AD5421">
        <v>-1.1205773352269901</v>
      </c>
      <c r="AE5421">
        <v>129.23842999999999</v>
      </c>
      <c r="AF5421">
        <v>-1.2772499871607199E-2</v>
      </c>
      <c r="AG5421">
        <v>-1.1205773352269901</v>
      </c>
      <c r="AH5421">
        <v>129.374832790423</v>
      </c>
      <c r="AI5421">
        <v>90.496253751509798</v>
      </c>
      <c r="AJ5421">
        <v>90.005656512308505</v>
      </c>
      <c r="AK5421">
        <v>129.37968625812499</v>
      </c>
      <c r="AL5421">
        <v>78.028711804192</v>
      </c>
      <c r="AM5421">
        <v>90.997224805015094</v>
      </c>
      <c r="AN5421">
        <v>1.0000000010016099</v>
      </c>
    </row>
    <row r="5422" spans="1:40" x14ac:dyDescent="0.25">
      <c r="A5422" t="str">
        <f>"20190303170920933"</f>
        <v>20190303170920933</v>
      </c>
      <c r="B5422" t="str">
        <f>"1551604160919842"</f>
        <v>1551604160919842</v>
      </c>
      <c r="C5422" t="s">
        <v>40</v>
      </c>
      <c r="D5422">
        <v>4.763903</v>
      </c>
      <c r="E5422">
        <v>0.50852109999999995</v>
      </c>
      <c r="F5422" t="s">
        <v>43</v>
      </c>
      <c r="G5422">
        <v>-193.53489999999999</v>
      </c>
      <c r="H5422" s="1">
        <v>-5.2204370000000004E-6</v>
      </c>
      <c r="I5422">
        <v>169.24760000000001</v>
      </c>
      <c r="J5422">
        <v>-186.94669999999999</v>
      </c>
      <c r="K5422">
        <v>1.1205689999999999</v>
      </c>
      <c r="L5422">
        <v>38.384520000000002</v>
      </c>
      <c r="M5422">
        <v>-4.7319269999999997E-2</v>
      </c>
      <c r="N5422">
        <v>-1.143108E-2</v>
      </c>
      <c r="O5422">
        <v>0.99881439999999999</v>
      </c>
      <c r="P5422">
        <v>-6.3056479999999998E-2</v>
      </c>
      <c r="Q5422">
        <v>0.19626850000000001</v>
      </c>
      <c r="R5422">
        <v>0.97852059999999996</v>
      </c>
      <c r="S5422">
        <v>-0.15408329999999901</v>
      </c>
      <c r="T5422">
        <v>-2.6120310000000001E-2</v>
      </c>
      <c r="U5422">
        <v>3.0612490000000001</v>
      </c>
      <c r="V5422">
        <v>-1.66395999999999E-2</v>
      </c>
      <c r="W5422">
        <v>0.20746629999999999</v>
      </c>
      <c r="X5422">
        <v>0.97810070000000005</v>
      </c>
      <c r="Y5422">
        <v>-2.9504309999999999E-3</v>
      </c>
      <c r="Z5422">
        <v>2.9050980000000001E-3</v>
      </c>
      <c r="AA5422">
        <v>0.99999139999999997</v>
      </c>
      <c r="AB5422">
        <v>41</v>
      </c>
      <c r="AC5422">
        <v>-6.5881999999999996</v>
      </c>
      <c r="AD5422">
        <v>-1.1205742204369999</v>
      </c>
      <c r="AE5422">
        <v>130.86308</v>
      </c>
      <c r="AF5422">
        <v>-0.388040591174792</v>
      </c>
      <c r="AG5422">
        <v>-1.1205742204369999</v>
      </c>
      <c r="AH5422">
        <v>131.018656736932</v>
      </c>
      <c r="AI5422">
        <v>90.490024306809701</v>
      </c>
      <c r="AJ5422">
        <v>90.169693566551302</v>
      </c>
      <c r="AK5422">
        <v>131.024023275253</v>
      </c>
      <c r="AL5422">
        <v>78.026088599304003</v>
      </c>
      <c r="AM5422">
        <v>90.974630623633502</v>
      </c>
      <c r="AN5422">
        <v>1.00000006063216</v>
      </c>
    </row>
    <row r="5423" spans="1:40" x14ac:dyDescent="0.25">
      <c r="A5423" t="str">
        <f>"20190303170920975"</f>
        <v>20190303170920975</v>
      </c>
      <c r="B5423" t="str">
        <f>"1551604160969619"</f>
        <v>1551604160969619</v>
      </c>
      <c r="C5423" t="s">
        <v>40</v>
      </c>
      <c r="D5423">
        <v>4.8990609999999997</v>
      </c>
      <c r="E5423">
        <v>0.50716899999999998</v>
      </c>
      <c r="F5423" t="s">
        <v>58</v>
      </c>
      <c r="G5423">
        <v>-192.83349999999999</v>
      </c>
      <c r="H5423" s="1">
        <v>-1.2207469999999999E-5</v>
      </c>
      <c r="I5423">
        <v>151.97020000000001</v>
      </c>
      <c r="J5423">
        <v>-186.9837</v>
      </c>
      <c r="K5423">
        <v>1.1205430000000001</v>
      </c>
      <c r="L5423">
        <v>39.171419999999998</v>
      </c>
      <c r="M5423">
        <v>-4.7081810000000002E-2</v>
      </c>
      <c r="N5423">
        <v>-1.168135E-2</v>
      </c>
      <c r="O5423">
        <v>0.99882269999999895</v>
      </c>
      <c r="P5423">
        <v>-6.3131350000000003E-2</v>
      </c>
      <c r="Q5423">
        <v>0.19433420000000001</v>
      </c>
      <c r="R5423">
        <v>0.97890169999999999</v>
      </c>
      <c r="S5423">
        <v>-0.15867609999999999</v>
      </c>
      <c r="T5423">
        <v>-3.0205010000000001E-2</v>
      </c>
      <c r="U5423">
        <v>3.0616759999999998</v>
      </c>
      <c r="V5423">
        <v>-1.690179E-2</v>
      </c>
      <c r="W5423">
        <v>0.20578350000000001</v>
      </c>
      <c r="X5423">
        <v>0.97845159999999998</v>
      </c>
      <c r="Y5423">
        <v>-4.6771039999999996E-3</v>
      </c>
      <c r="Z5423">
        <v>1.8252399999999999E-3</v>
      </c>
      <c r="AA5423">
        <v>0.99998739999999997</v>
      </c>
      <c r="AB5423">
        <v>41</v>
      </c>
      <c r="AC5423">
        <v>-5.8497999999999797</v>
      </c>
      <c r="AD5423">
        <v>-1.12055520747</v>
      </c>
      <c r="AE5423">
        <v>112.79877999999999</v>
      </c>
      <c r="AF5423">
        <v>-0.53212625644176703</v>
      </c>
      <c r="AG5423">
        <v>-1.12055520747</v>
      </c>
      <c r="AH5423">
        <v>112.93799561675</v>
      </c>
      <c r="AI5423">
        <v>90.568455855076905</v>
      </c>
      <c r="AJ5423">
        <v>90.269956650860493</v>
      </c>
      <c r="AK5423">
        <v>112.944808009288</v>
      </c>
      <c r="AL5423">
        <v>78.124632087191799</v>
      </c>
      <c r="AM5423">
        <v>90.989629869787194</v>
      </c>
      <c r="AN5423">
        <v>1.00000002646</v>
      </c>
    </row>
    <row r="5424" spans="1:40" x14ac:dyDescent="0.25">
      <c r="A5424" t="str">
        <f>"20190303170920996"</f>
        <v>20190303170920996</v>
      </c>
      <c r="B5424" t="str">
        <f>"1551604160989139"</f>
        <v>1551604160989139</v>
      </c>
      <c r="C5424" t="s">
        <v>40</v>
      </c>
      <c r="D5424">
        <v>4.7789999999999999</v>
      </c>
      <c r="E5424">
        <v>0.50681290000000001</v>
      </c>
      <c r="F5424" t="s">
        <v>58</v>
      </c>
      <c r="G5424">
        <v>-192.58920000000001</v>
      </c>
      <c r="H5424" s="1">
        <v>-8.8237979999999996E-6</v>
      </c>
      <c r="I5424">
        <v>140.94589999999999</v>
      </c>
      <c r="J5424">
        <v>-187.00190000000001</v>
      </c>
      <c r="K5424">
        <v>1.120525</v>
      </c>
      <c r="L5424">
        <v>39.55988</v>
      </c>
      <c r="M5424">
        <v>-4.6925550000000003E-2</v>
      </c>
      <c r="N5424">
        <v>-1.180491E-2</v>
      </c>
      <c r="O5424">
        <v>0.99882859999999996</v>
      </c>
      <c r="P5424">
        <v>-6.2709899999999999E-2</v>
      </c>
      <c r="Q5424">
        <v>0.1943993</v>
      </c>
      <c r="R5424">
        <v>0.97891589999999995</v>
      </c>
      <c r="S5424">
        <v>-0.16856380000000001</v>
      </c>
      <c r="T5424">
        <v>-3.3696410000000003E-2</v>
      </c>
      <c r="U5424">
        <v>3.060486</v>
      </c>
      <c r="V5424">
        <v>-1.661839E-2</v>
      </c>
      <c r="W5424">
        <v>0.2059706</v>
      </c>
      <c r="X5424">
        <v>0.97841699999999998</v>
      </c>
      <c r="Y5424">
        <v>-8.0746280000000004E-3</v>
      </c>
      <c r="Z5424">
        <v>8.0691919999999998E-4</v>
      </c>
      <c r="AA5424">
        <v>0.9999671</v>
      </c>
      <c r="AB5424">
        <v>41</v>
      </c>
      <c r="AC5424">
        <v>-5.5872999999999902</v>
      </c>
      <c r="AD5424">
        <v>-1.120533823798</v>
      </c>
      <c r="AE5424">
        <v>101.38602</v>
      </c>
      <c r="AF5424">
        <v>-0.82311743527238401</v>
      </c>
      <c r="AG5424">
        <v>-1.120533823798</v>
      </c>
      <c r="AH5424">
        <v>101.524158292317</v>
      </c>
      <c r="AI5424">
        <v>90.632333657928399</v>
      </c>
      <c r="AJ5424">
        <v>90.464521179662597</v>
      </c>
      <c r="AK5424">
        <v>101.53367833052199</v>
      </c>
      <c r="AL5424">
        <v>78.113676360275704</v>
      </c>
      <c r="AM5424">
        <v>90.973073916439304</v>
      </c>
      <c r="AN5424">
        <v>0.99999994241977397</v>
      </c>
    </row>
    <row r="5425" spans="1:40" x14ac:dyDescent="0.25">
      <c r="A5425" t="str">
        <f>"20190303170921018"</f>
        <v>20190303170921018</v>
      </c>
      <c r="B5425" t="str">
        <f>"1551604161009635"</f>
        <v>1551604161009635</v>
      </c>
      <c r="C5425" t="s">
        <v>40</v>
      </c>
      <c r="D5425">
        <v>5.0209260000000002</v>
      </c>
      <c r="E5425">
        <v>0.50646270000000004</v>
      </c>
      <c r="F5425" t="s">
        <v>58</v>
      </c>
      <c r="G5425">
        <v>-192.73910000000001</v>
      </c>
      <c r="H5425" s="1">
        <v>-9.308674E-6</v>
      </c>
      <c r="I5425">
        <v>142.51689999999999</v>
      </c>
      <c r="J5425">
        <v>-187.01990000000001</v>
      </c>
      <c r="K5425">
        <v>1.12052</v>
      </c>
      <c r="L5425">
        <v>39.946080000000002</v>
      </c>
      <c r="M5425">
        <v>-4.6738080000000001E-2</v>
      </c>
      <c r="N5425">
        <v>-1.192943E-2</v>
      </c>
      <c r="O5425">
        <v>0.9988359</v>
      </c>
      <c r="P5425">
        <v>-6.2236819999999998E-2</v>
      </c>
      <c r="Q5425">
        <v>0.19469649999999999</v>
      </c>
      <c r="R5425">
        <v>0.97888699999999995</v>
      </c>
      <c r="S5425">
        <v>-0.17053219999999999</v>
      </c>
      <c r="T5425">
        <v>-3.3306839999999997E-2</v>
      </c>
      <c r="U5425">
        <v>3.0603030000000002</v>
      </c>
      <c r="V5425">
        <v>-1.6317849999999998E-2</v>
      </c>
      <c r="W5425">
        <v>0.20638960000000001</v>
      </c>
      <c r="X5425">
        <v>0.97833380000000003</v>
      </c>
      <c r="Y5425">
        <v>-8.9065959999999993E-3</v>
      </c>
      <c r="Z5425">
        <v>1.0575820000000001E-3</v>
      </c>
      <c r="AA5425">
        <v>0.99995979999999995</v>
      </c>
      <c r="AB5425">
        <v>41</v>
      </c>
      <c r="AC5425">
        <v>-5.7191999999999998</v>
      </c>
      <c r="AD5425">
        <v>-1.120529308674</v>
      </c>
      <c r="AE5425">
        <v>102.57082</v>
      </c>
      <c r="AF5425">
        <v>-0.91853521532425797</v>
      </c>
      <c r="AG5425">
        <v>-1.120529308674</v>
      </c>
      <c r="AH5425">
        <v>102.713815688937</v>
      </c>
      <c r="AI5425">
        <v>90.625003426938207</v>
      </c>
      <c r="AJ5425">
        <v>90.512363287961094</v>
      </c>
      <c r="AK5425">
        <v>102.724034316485</v>
      </c>
      <c r="AL5425">
        <v>78.089142764400094</v>
      </c>
      <c r="AM5425">
        <v>90.955560618267896</v>
      </c>
      <c r="AN5425">
        <v>0.99999998171961102</v>
      </c>
    </row>
    <row r="5426" spans="1:40" x14ac:dyDescent="0.25">
      <c r="A5426" t="str">
        <f>"20190303170921041"</f>
        <v>20190303170921041</v>
      </c>
      <c r="B5426" t="str">
        <f>"1551604161029155"</f>
        <v>1551604161029155</v>
      </c>
      <c r="C5426" t="s">
        <v>40</v>
      </c>
      <c r="D5426">
        <v>4.7882040000000003</v>
      </c>
      <c r="E5426">
        <v>0.50610089999999996</v>
      </c>
      <c r="F5426" t="s">
        <v>58</v>
      </c>
      <c r="G5426">
        <v>-193.02600000000001</v>
      </c>
      <c r="H5426" s="1">
        <v>-1.0486070000000001E-5</v>
      </c>
      <c r="I5426">
        <v>146.7886</v>
      </c>
      <c r="J5426">
        <v>-187.03980000000001</v>
      </c>
      <c r="K5426">
        <v>1.120509</v>
      </c>
      <c r="L5426">
        <v>40.37753</v>
      </c>
      <c r="M5426">
        <v>-4.6488139999999997E-2</v>
      </c>
      <c r="N5426">
        <v>-1.207798E-2</v>
      </c>
      <c r="O5426">
        <v>0.99884580000000001</v>
      </c>
      <c r="P5426">
        <v>-6.1383300000000002E-2</v>
      </c>
      <c r="Q5426">
        <v>0.19479179999999999</v>
      </c>
      <c r="R5426">
        <v>0.97892190000000001</v>
      </c>
      <c r="S5426">
        <v>-0.1720276</v>
      </c>
      <c r="T5426">
        <v>-3.2093879999999998E-2</v>
      </c>
      <c r="U5426">
        <v>3.0601500000000001</v>
      </c>
      <c r="V5426">
        <v>-1.5693309999999999E-2</v>
      </c>
      <c r="W5426">
        <v>0.20663129999999999</v>
      </c>
      <c r="X5426">
        <v>0.97829299999999997</v>
      </c>
      <c r="Y5426">
        <v>-9.646478E-3</v>
      </c>
      <c r="Z5426">
        <v>1.6007110000000001E-3</v>
      </c>
      <c r="AA5426">
        <v>0.99995219999999996</v>
      </c>
      <c r="AB5426">
        <v>41</v>
      </c>
      <c r="AC5426">
        <v>-5.9861999999999602</v>
      </c>
      <c r="AD5426">
        <v>-1.1205194860700001</v>
      </c>
      <c r="AE5426">
        <v>106.41107</v>
      </c>
      <c r="AF5426">
        <v>-1.03239922906187</v>
      </c>
      <c r="AG5426">
        <v>-1.1205194860700001</v>
      </c>
      <c r="AH5426">
        <v>106.56253492322099</v>
      </c>
      <c r="AI5426">
        <v>90.602422408335798</v>
      </c>
      <c r="AJ5426">
        <v>90.5550756468744</v>
      </c>
      <c r="AK5426">
        <v>106.57342661916</v>
      </c>
      <c r="AL5426">
        <v>78.074989314824194</v>
      </c>
      <c r="AM5426">
        <v>90.919032758458698</v>
      </c>
      <c r="AN5426">
        <v>0.99999998398372203</v>
      </c>
    </row>
    <row r="5427" spans="1:40" x14ac:dyDescent="0.25">
      <c r="A5427" t="str">
        <f>"20190303170921064"</f>
        <v>20190303170921064</v>
      </c>
      <c r="B5427" t="str">
        <f>"1551604161049651"</f>
        <v>1551604161049651</v>
      </c>
      <c r="C5427" t="s">
        <v>40</v>
      </c>
      <c r="D5427">
        <v>4.8713379999999997</v>
      </c>
      <c r="E5427">
        <v>0.50580930000000002</v>
      </c>
      <c r="F5427" t="s">
        <v>58</v>
      </c>
      <c r="G5427">
        <v>-193.285</v>
      </c>
      <c r="H5427" s="1">
        <v>-1.2015459999999999E-5</v>
      </c>
      <c r="I5427">
        <v>151.33600000000001</v>
      </c>
      <c r="J5427">
        <v>-187.0581</v>
      </c>
      <c r="K5427">
        <v>1.120485</v>
      </c>
      <c r="L5427">
        <v>40.777830000000002</v>
      </c>
      <c r="M5427">
        <v>-4.6222350000000002E-2</v>
      </c>
      <c r="N5427">
        <v>-1.221941E-2</v>
      </c>
      <c r="O5427">
        <v>0.99885639999999998</v>
      </c>
      <c r="P5427">
        <v>-6.0506409999999997E-2</v>
      </c>
      <c r="Q5427">
        <v>0.19505900000000001</v>
      </c>
      <c r="R5427">
        <v>0.9789234</v>
      </c>
      <c r="S5427">
        <v>-0.17222599999999999</v>
      </c>
      <c r="T5427">
        <v>-3.0900960000000002E-2</v>
      </c>
      <c r="U5427">
        <v>3.0599370000000001</v>
      </c>
      <c r="V5427">
        <v>-1.50627E-2</v>
      </c>
      <c r="W5427">
        <v>0.20703669999999999</v>
      </c>
      <c r="X5427">
        <v>0.97821720000000001</v>
      </c>
      <c r="Y5427">
        <v>-9.9809089999999996E-3</v>
      </c>
      <c r="Z5427">
        <v>2.130023E-3</v>
      </c>
      <c r="AA5427">
        <v>0.9999479</v>
      </c>
      <c r="AB5427">
        <v>41</v>
      </c>
      <c r="AC5427">
        <v>-6.2268999999999997</v>
      </c>
      <c r="AD5427">
        <v>-1.12049701546</v>
      </c>
      <c r="AE5427">
        <v>110.55817</v>
      </c>
      <c r="AF5427">
        <v>-1.10948976865285</v>
      </c>
      <c r="AG5427">
        <v>-1.12049701546</v>
      </c>
      <c r="AH5427">
        <v>110.716492124246</v>
      </c>
      <c r="AI5427">
        <v>90.5798082480419</v>
      </c>
      <c r="AJ5427">
        <v>90.574141685558402</v>
      </c>
      <c r="AK5427">
        <v>110.727720600609</v>
      </c>
      <c r="AL5427">
        <v>78.051248244273793</v>
      </c>
      <c r="AM5427">
        <v>90.882177229303196</v>
      </c>
      <c r="AN5427">
        <v>0.99999998522700895</v>
      </c>
    </row>
    <row r="5428" spans="1:40" x14ac:dyDescent="0.25">
      <c r="A5428" t="str">
        <f>"20190303170921088"</f>
        <v>20190303170921088</v>
      </c>
      <c r="B5428" t="str">
        <f>"1551604161078930"</f>
        <v>1551604161078930</v>
      </c>
      <c r="C5428" t="s">
        <v>40</v>
      </c>
      <c r="D5428">
        <v>4.9520359999999997</v>
      </c>
      <c r="E5428">
        <v>0.5055693</v>
      </c>
      <c r="F5428" t="s">
        <v>58</v>
      </c>
      <c r="G5428">
        <v>-193.53380000000001</v>
      </c>
      <c r="H5428" s="1">
        <v>-1.367901E-5</v>
      </c>
      <c r="I5428">
        <v>155.8502</v>
      </c>
      <c r="J5428">
        <v>-187.07859999999999</v>
      </c>
      <c r="K5428">
        <v>1.1204719999999999</v>
      </c>
      <c r="L5428">
        <v>41.22739</v>
      </c>
      <c r="M5428">
        <v>-4.5894009999999999E-2</v>
      </c>
      <c r="N5428">
        <v>-1.237126E-2</v>
      </c>
      <c r="O5428">
        <v>0.99886969999999997</v>
      </c>
      <c r="P5428">
        <v>-5.9364769999999997E-2</v>
      </c>
      <c r="Q5428">
        <v>0.19469130000000001</v>
      </c>
      <c r="R5428">
        <v>0.9790664</v>
      </c>
      <c r="S5428">
        <v>-0.1721954</v>
      </c>
      <c r="T5428">
        <v>-2.979505E-2</v>
      </c>
      <c r="U5428">
        <v>3.0598749999999999</v>
      </c>
      <c r="V5428">
        <v>-1.4222820000000001E-2</v>
      </c>
      <c r="W5428">
        <v>0.2068198</v>
      </c>
      <c r="X5428">
        <v>0.97827569999999997</v>
      </c>
      <c r="Y5428">
        <v>-1.030057E-2</v>
      </c>
      <c r="Z5428">
        <v>2.6419E-3</v>
      </c>
      <c r="AA5428">
        <v>0.99994340000000004</v>
      </c>
      <c r="AB5428">
        <v>41</v>
      </c>
      <c r="AC5428">
        <v>-6.4552000000000103</v>
      </c>
      <c r="AD5428">
        <v>-1.12048567901</v>
      </c>
      <c r="AE5428">
        <v>114.62281</v>
      </c>
      <c r="AF5428">
        <v>-1.18738107688545</v>
      </c>
      <c r="AG5428">
        <v>-1.12048567901</v>
      </c>
      <c r="AH5428">
        <v>114.787358571995</v>
      </c>
      <c r="AI5428">
        <v>90.559239520292195</v>
      </c>
      <c r="AJ5428">
        <v>90.592656707696094</v>
      </c>
      <c r="AK5428">
        <v>114.798967982793</v>
      </c>
      <c r="AL5428">
        <v>78.063951191349602</v>
      </c>
      <c r="AM5428">
        <v>90.832945303303703</v>
      </c>
      <c r="AN5428">
        <v>1.0000000317456399</v>
      </c>
    </row>
    <row r="5429" spans="1:40" x14ac:dyDescent="0.25">
      <c r="A5429" t="str">
        <f>"20190303170921110"</f>
        <v>20190303170921110</v>
      </c>
      <c r="B5429" t="str">
        <f>"1551604161099427"</f>
        <v>1551604161099427</v>
      </c>
      <c r="C5429" t="s">
        <v>40</v>
      </c>
      <c r="D5429">
        <v>4.7476969999999996</v>
      </c>
      <c r="E5429">
        <v>0.50548959999999998</v>
      </c>
      <c r="F5429" t="s">
        <v>58</v>
      </c>
      <c r="G5429">
        <v>-193.42660000000001</v>
      </c>
      <c r="H5429" s="1">
        <v>-1.315476E-5</v>
      </c>
      <c r="I5429">
        <v>154.65029999999999</v>
      </c>
      <c r="J5429">
        <v>-187.0959</v>
      </c>
      <c r="K5429">
        <v>1.1204620000000001</v>
      </c>
      <c r="L5429">
        <v>41.609220000000001</v>
      </c>
      <c r="M5429">
        <v>-4.5595419999999998E-2</v>
      </c>
      <c r="N5429">
        <v>-1.248839E-2</v>
      </c>
      <c r="O5429">
        <v>0.99888189999999999</v>
      </c>
      <c r="P5429">
        <v>-5.8502150000000003E-2</v>
      </c>
      <c r="Q5429">
        <v>0.19472049999999999</v>
      </c>
      <c r="R5429">
        <v>0.9791126</v>
      </c>
      <c r="S5429">
        <v>-0.1712494</v>
      </c>
      <c r="T5429">
        <v>-3.0227070000000002E-2</v>
      </c>
      <c r="U5429">
        <v>3.0597840000000001</v>
      </c>
      <c r="V5429">
        <v>-1.364163E-2</v>
      </c>
      <c r="W5429">
        <v>0.20696390000000001</v>
      </c>
      <c r="X5429">
        <v>0.9782535</v>
      </c>
      <c r="Y5429">
        <v>-1.0292880000000001E-2</v>
      </c>
      <c r="Z5429">
        <v>2.6176680000000001E-3</v>
      </c>
      <c r="AA5429">
        <v>0.99994360000000004</v>
      </c>
      <c r="AB5429">
        <v>41</v>
      </c>
      <c r="AC5429">
        <v>-6.3307000000000002</v>
      </c>
      <c r="AD5429">
        <v>-1.12047515476</v>
      </c>
      <c r="AE5429">
        <v>113.04107999999999</v>
      </c>
      <c r="AF5429">
        <v>-1.1694428195745701</v>
      </c>
      <c r="AG5429">
        <v>-1.12047515476</v>
      </c>
      <c r="AH5429">
        <v>113.2010837989</v>
      </c>
      <c r="AI5429">
        <v>90.567070329356099</v>
      </c>
      <c r="AJ5429">
        <v>90.591882623617394</v>
      </c>
      <c r="AK5429">
        <v>113.212669053981</v>
      </c>
      <c r="AL5429">
        <v>78.055512264324904</v>
      </c>
      <c r="AM5429">
        <v>90.798931122491993</v>
      </c>
      <c r="AN5429">
        <v>1.00000003011725</v>
      </c>
    </row>
    <row r="5430" spans="1:40" x14ac:dyDescent="0.25">
      <c r="A5430" t="str">
        <f>"20190303170921131"</f>
        <v>20190303170921131</v>
      </c>
      <c r="B5430" t="str">
        <f>"1551604161118947"</f>
        <v>1551604161118947</v>
      </c>
      <c r="C5430" t="s">
        <v>40</v>
      </c>
      <c r="D5430">
        <v>5.0723789999999997</v>
      </c>
      <c r="E5430">
        <v>0.50542869999999995</v>
      </c>
      <c r="F5430" t="s">
        <v>58</v>
      </c>
      <c r="G5430">
        <v>-193.48050000000001</v>
      </c>
      <c r="H5430" s="1">
        <v>-1.4070990000000001E-5</v>
      </c>
      <c r="I5430">
        <v>156.7749</v>
      </c>
      <c r="J5430">
        <v>-187.11449999999999</v>
      </c>
      <c r="K5430">
        <v>1.120458</v>
      </c>
      <c r="L5430">
        <v>42.023859999999999</v>
      </c>
      <c r="M5430">
        <v>-4.5258920000000001E-2</v>
      </c>
      <c r="N5430">
        <v>-1.260199E-2</v>
      </c>
      <c r="O5430">
        <v>0.9988958</v>
      </c>
      <c r="P5430">
        <v>-5.7485309999999998E-2</v>
      </c>
      <c r="Q5430">
        <v>0.19483320000000001</v>
      </c>
      <c r="R5430">
        <v>0.97915039999999998</v>
      </c>
      <c r="S5430">
        <v>-0.16963200000000001</v>
      </c>
      <c r="T5430">
        <v>-2.9769420000000001E-2</v>
      </c>
      <c r="U5430">
        <v>3.0597840000000001</v>
      </c>
      <c r="V5430">
        <v>-1.2944560000000001E-2</v>
      </c>
      <c r="W5430">
        <v>0.20718739999999999</v>
      </c>
      <c r="X5430">
        <v>0.97821559999999996</v>
      </c>
      <c r="Y5430">
        <v>-1.0102699999999999E-2</v>
      </c>
      <c r="Z5430">
        <v>2.8802229999999999E-3</v>
      </c>
      <c r="AA5430">
        <v>0.99994479999999997</v>
      </c>
      <c r="AB5430">
        <v>41</v>
      </c>
      <c r="AC5430">
        <v>-6.3660000000000103</v>
      </c>
      <c r="AD5430">
        <v>-1.12047207099</v>
      </c>
      <c r="AE5430">
        <v>114.75103999999899</v>
      </c>
      <c r="AF5430">
        <v>-1.1654443026000401</v>
      </c>
      <c r="AG5430">
        <v>-1.12047207099</v>
      </c>
      <c r="AH5430">
        <v>114.910653637012</v>
      </c>
      <c r="AI5430">
        <v>90.558633885713306</v>
      </c>
      <c r="AJ5430">
        <v>90.581084070509505</v>
      </c>
      <c r="AK5430">
        <v>114.92202590178201</v>
      </c>
      <c r="AL5430">
        <v>78.042422219295602</v>
      </c>
      <c r="AM5430">
        <v>90.758141016718099</v>
      </c>
      <c r="AN5430">
        <v>0.99999997021785603</v>
      </c>
    </row>
    <row r="5431" spans="1:40" x14ac:dyDescent="0.25">
      <c r="A5431" t="str">
        <f>"20190303170921175"</f>
        <v>20190303170921175</v>
      </c>
      <c r="B5431" t="str">
        <f>"1551604161169699"</f>
        <v>1551604161169699</v>
      </c>
      <c r="C5431" t="s">
        <v>40</v>
      </c>
      <c r="D5431">
        <v>4.9517790000000002</v>
      </c>
      <c r="E5431">
        <v>0.50520859999999901</v>
      </c>
      <c r="F5431" t="s">
        <v>43</v>
      </c>
      <c r="G5431">
        <v>-193.608</v>
      </c>
      <c r="H5431" s="1">
        <v>-1.530492E-6</v>
      </c>
      <c r="I5431">
        <v>160.79849999999999</v>
      </c>
      <c r="J5431">
        <v>-187.14869999999999</v>
      </c>
      <c r="K5431">
        <v>1.1204430000000001</v>
      </c>
      <c r="L5431">
        <v>42.795589999999997</v>
      </c>
      <c r="M5431">
        <v>-4.4618970000000001E-2</v>
      </c>
      <c r="N5431">
        <v>-1.278116E-2</v>
      </c>
      <c r="O5431">
        <v>0.99892230000000004</v>
      </c>
      <c r="P5431">
        <v>-5.6493910000000001E-2</v>
      </c>
      <c r="Q5431">
        <v>0.19306200000000001</v>
      </c>
      <c r="R5431">
        <v>0.97955879999999995</v>
      </c>
      <c r="S5431">
        <v>-0.16728209999999999</v>
      </c>
      <c r="T5431">
        <v>-2.886474E-2</v>
      </c>
      <c r="U5431">
        <v>3.0598139999999998</v>
      </c>
      <c r="V5431">
        <v>-1.255238E-2</v>
      </c>
      <c r="W5431">
        <v>0.2055968</v>
      </c>
      <c r="X5431">
        <v>0.97855630000000005</v>
      </c>
      <c r="Y5431">
        <v>-9.9769690000000005E-3</v>
      </c>
      <c r="Z5431">
        <v>3.3540649999999998E-3</v>
      </c>
      <c r="AA5431">
        <v>0.99994459999999996</v>
      </c>
      <c r="AB5431">
        <v>41</v>
      </c>
      <c r="AC5431">
        <v>-6.4593000000000096</v>
      </c>
      <c r="AD5431">
        <v>-1.1204445304919901</v>
      </c>
      <c r="AE5431">
        <v>118.00291</v>
      </c>
      <c r="AF5431">
        <v>-1.1871607965466799</v>
      </c>
      <c r="AG5431">
        <v>-1.1204445304919901</v>
      </c>
      <c r="AH5431">
        <v>118.162978638825</v>
      </c>
      <c r="AI5431">
        <v>90.543246118018402</v>
      </c>
      <c r="AJ5431">
        <v>90.575620347269904</v>
      </c>
      <c r="AK5431">
        <v>118.17425382672</v>
      </c>
      <c r="AL5431">
        <v>78.135562855886903</v>
      </c>
      <c r="AM5431">
        <v>90.7349183223117</v>
      </c>
      <c r="AN5431">
        <v>1.0000000193417899</v>
      </c>
    </row>
    <row r="5432" spans="1:40" x14ac:dyDescent="0.25">
      <c r="A5432" t="str">
        <f>"20190303170921197"</f>
        <v>20190303170921197</v>
      </c>
      <c r="B5432" t="str">
        <f>"1551604161189218"</f>
        <v>1551604161189218</v>
      </c>
      <c r="C5432" t="s">
        <v>40</v>
      </c>
      <c r="D5432">
        <v>5.0136900000000004</v>
      </c>
      <c r="E5432">
        <v>0.50512209999999902</v>
      </c>
      <c r="F5432" t="s">
        <v>58</v>
      </c>
      <c r="G5432">
        <v>-192.74760000000001</v>
      </c>
      <c r="H5432" s="1">
        <v>-1.0131449999999999E-5</v>
      </c>
      <c r="I5432">
        <v>145.6311</v>
      </c>
      <c r="J5432">
        <v>-187.16659999999999</v>
      </c>
      <c r="K5432">
        <v>1.1204339999999999</v>
      </c>
      <c r="L5432">
        <v>43.20532</v>
      </c>
      <c r="M5432">
        <v>-4.4276679999999999E-2</v>
      </c>
      <c r="N5432">
        <v>-1.2860379999999999E-2</v>
      </c>
      <c r="O5432">
        <v>0.9989365</v>
      </c>
      <c r="P5432">
        <v>-5.6076889999999997E-2</v>
      </c>
      <c r="Q5432">
        <v>0.19310859999999999</v>
      </c>
      <c r="R5432">
        <v>0.97957360000000004</v>
      </c>
      <c r="S5432">
        <v>-0.16658020000000001</v>
      </c>
      <c r="T5432">
        <v>-3.3335799999999999E-2</v>
      </c>
      <c r="U5432">
        <v>3.0595699999999999</v>
      </c>
      <c r="V5432">
        <v>-1.2466659999999999E-2</v>
      </c>
      <c r="W5432">
        <v>0.20572099999999999</v>
      </c>
      <c r="X5432">
        <v>0.97853129999999999</v>
      </c>
      <c r="Y5432">
        <v>-1.009528E-2</v>
      </c>
      <c r="Z5432">
        <v>1.9744430000000002E-3</v>
      </c>
      <c r="AA5432">
        <v>0.99994709999999998</v>
      </c>
      <c r="AB5432">
        <v>41</v>
      </c>
      <c r="AC5432">
        <v>-5.5810000000000102</v>
      </c>
      <c r="AD5432">
        <v>-1.12044413145</v>
      </c>
      <c r="AE5432">
        <v>102.42578</v>
      </c>
      <c r="AF5432">
        <v>-1.03995308671942</v>
      </c>
      <c r="AG5432">
        <v>-1.12044413145</v>
      </c>
      <c r="AH5432">
        <v>102.560207324049</v>
      </c>
      <c r="AI5432">
        <v>90.625884718489402</v>
      </c>
      <c r="AJ5432">
        <v>90.580955151167799</v>
      </c>
      <c r="AK5432">
        <v>102.571599499209</v>
      </c>
      <c r="AL5432">
        <v>78.128291364508698</v>
      </c>
      <c r="AM5432">
        <v>90.729918767636406</v>
      </c>
      <c r="AN5432">
        <v>1.0000000262661199</v>
      </c>
    </row>
    <row r="5433" spans="1:40" x14ac:dyDescent="0.25">
      <c r="A5433" t="str">
        <f>"20190303170921219"</f>
        <v>20190303170921219</v>
      </c>
      <c r="B5433" t="str">
        <f>"1551604161209715"</f>
        <v>1551604161209715</v>
      </c>
      <c r="C5433" t="s">
        <v>40</v>
      </c>
      <c r="D5433">
        <v>4.8956530000000003</v>
      </c>
      <c r="E5433">
        <v>0.50504150000000003</v>
      </c>
      <c r="F5433" t="s">
        <v>58</v>
      </c>
      <c r="G5433">
        <v>-192.8152</v>
      </c>
      <c r="H5433" s="1">
        <v>-1.0602090000000001E-5</v>
      </c>
      <c r="I5433">
        <v>147.37029999999999</v>
      </c>
      <c r="J5433">
        <v>-187.1842</v>
      </c>
      <c r="K5433">
        <v>1.1204320000000001</v>
      </c>
      <c r="L5433">
        <v>43.609679999999997</v>
      </c>
      <c r="M5433">
        <v>-4.3937909999999997E-2</v>
      </c>
      <c r="N5433">
        <v>-1.2923810000000001E-2</v>
      </c>
      <c r="O5433">
        <v>0.99895069999999997</v>
      </c>
      <c r="P5433">
        <v>-5.5296169999999999E-2</v>
      </c>
      <c r="Q5433">
        <v>0.19398580000000001</v>
      </c>
      <c r="R5433">
        <v>0.97944469999999995</v>
      </c>
      <c r="S5433">
        <v>-0.1659088</v>
      </c>
      <c r="T5433">
        <v>-3.2909750000000002E-2</v>
      </c>
      <c r="U5433">
        <v>3.0595400000000001</v>
      </c>
      <c r="V5433">
        <v>-1.2020029999999999E-2</v>
      </c>
      <c r="W5433">
        <v>0.20665739999999999</v>
      </c>
      <c r="X5433">
        <v>0.97833959999999998</v>
      </c>
      <c r="Y5433">
        <v>-1.0216060000000001E-2</v>
      </c>
      <c r="Z5433">
        <v>2.1764979999999998E-3</v>
      </c>
      <c r="AA5433">
        <v>0.99994550000000004</v>
      </c>
      <c r="AB5433">
        <v>41</v>
      </c>
      <c r="AC5433">
        <v>-5.6310000000000002</v>
      </c>
      <c r="AD5433">
        <v>-1.12044260208999</v>
      </c>
      <c r="AE5433">
        <v>103.76062</v>
      </c>
      <c r="AF5433">
        <v>-1.0660316757368999</v>
      </c>
      <c r="AG5433">
        <v>-1.12044260208999</v>
      </c>
      <c r="AH5433">
        <v>103.89575378616701</v>
      </c>
      <c r="AI5433">
        <v>90.617838196150402</v>
      </c>
      <c r="AJ5433">
        <v>90.587867841495196</v>
      </c>
      <c r="AK5433">
        <v>103.90726379784</v>
      </c>
      <c r="AL5433">
        <v>78.0734619168134</v>
      </c>
      <c r="AM5433">
        <v>90.703909295835601</v>
      </c>
      <c r="AN5433">
        <v>1.00000006751205</v>
      </c>
    </row>
    <row r="5434" spans="1:40" x14ac:dyDescent="0.25">
      <c r="A5434" t="str">
        <f>"20190303170921241"</f>
        <v>20190303170921241</v>
      </c>
      <c r="B5434" t="str">
        <f>"1551604161229235"</f>
        <v>1551604161229235</v>
      </c>
      <c r="C5434" t="s">
        <v>40</v>
      </c>
      <c r="D5434">
        <v>4.9566489999999996</v>
      </c>
      <c r="E5434">
        <v>0.50499459999999996</v>
      </c>
      <c r="F5434" t="s">
        <v>58</v>
      </c>
      <c r="G5434">
        <v>-193.36</v>
      </c>
      <c r="H5434" s="1">
        <v>-1.46814299999999E-5</v>
      </c>
      <c r="I5434">
        <v>158.43960000000001</v>
      </c>
      <c r="J5434">
        <v>-187.202</v>
      </c>
      <c r="K5434">
        <v>1.120425</v>
      </c>
      <c r="L5434">
        <v>44.021120000000003</v>
      </c>
      <c r="M5434">
        <v>-4.3591770000000002E-2</v>
      </c>
      <c r="N5434">
        <v>-1.296715E-2</v>
      </c>
      <c r="O5434">
        <v>0.99896529999999994</v>
      </c>
      <c r="P5434">
        <v>-5.5106349999999998E-2</v>
      </c>
      <c r="Q5434">
        <v>0.194358</v>
      </c>
      <c r="R5434">
        <v>0.97938159999999996</v>
      </c>
      <c r="S5434">
        <v>-0.164550799999999</v>
      </c>
      <c r="T5434">
        <v>-2.9853580000000001E-2</v>
      </c>
      <c r="U5434">
        <v>3.0595699999999999</v>
      </c>
      <c r="V5434">
        <v>-1.216915E-2</v>
      </c>
      <c r="W5434">
        <v>0.2070717</v>
      </c>
      <c r="X5434">
        <v>0.97825010000000001</v>
      </c>
      <c r="Y5434">
        <v>-1.0119360000000001E-2</v>
      </c>
      <c r="Z5434">
        <v>3.2163819999999998E-3</v>
      </c>
      <c r="AA5434">
        <v>0.99994360000000004</v>
      </c>
      <c r="AB5434">
        <v>41</v>
      </c>
      <c r="AC5434">
        <v>-6.1580000000000101</v>
      </c>
      <c r="AD5434">
        <v>-1.1204396814299999</v>
      </c>
      <c r="AE5434">
        <v>114.41848</v>
      </c>
      <c r="AF5434">
        <v>-1.1639107981288499</v>
      </c>
      <c r="AG5434">
        <v>-1.1204396814299999</v>
      </c>
      <c r="AH5434">
        <v>114.567204867108</v>
      </c>
      <c r="AI5434">
        <v>90.560292155265401</v>
      </c>
      <c r="AJ5434">
        <v>90.582059084331206</v>
      </c>
      <c r="AK5434">
        <v>114.57859531556301</v>
      </c>
      <c r="AL5434">
        <v>78.049198865537306</v>
      </c>
      <c r="AM5434">
        <v>90.712706263372397</v>
      </c>
      <c r="AN5434">
        <v>1.00000001765131</v>
      </c>
    </row>
    <row r="5435" spans="1:40" x14ac:dyDescent="0.25">
      <c r="A5435" t="str">
        <f>"20190303170921264"</f>
        <v>20190303170921264</v>
      </c>
      <c r="B5435" t="str">
        <f>"1551604161259490"</f>
        <v>1551604161259490</v>
      </c>
      <c r="C5435" t="s">
        <v>40</v>
      </c>
      <c r="D5435">
        <v>4.8965569999999996</v>
      </c>
      <c r="E5435">
        <v>0.50490809999999997</v>
      </c>
      <c r="F5435" t="s">
        <v>43</v>
      </c>
      <c r="G5435">
        <v>-193.7422</v>
      </c>
      <c r="H5435" s="1">
        <v>-3.8946599999999999E-6</v>
      </c>
      <c r="I5435">
        <v>165.7243</v>
      </c>
      <c r="J5435">
        <v>-187.21969999999999</v>
      </c>
      <c r="K5435">
        <v>1.1204099999999999</v>
      </c>
      <c r="L5435">
        <v>44.43573</v>
      </c>
      <c r="M5435">
        <v>-4.3244030000000003E-2</v>
      </c>
      <c r="N5435">
        <v>-1.299472E-2</v>
      </c>
      <c r="O5435">
        <v>0.99897999999999998</v>
      </c>
      <c r="P5435">
        <v>-5.432932E-2</v>
      </c>
      <c r="Q5435">
        <v>0.19464110000000001</v>
      </c>
      <c r="R5435">
        <v>0.97936869999999998</v>
      </c>
      <c r="S5435">
        <v>-0.16441349999999999</v>
      </c>
      <c r="T5435">
        <v>-2.816629E-2</v>
      </c>
      <c r="U5435">
        <v>3.0594790000000001</v>
      </c>
      <c r="V5435">
        <v>-1.1730819999999999E-2</v>
      </c>
      <c r="W5435">
        <v>0.20738100000000001</v>
      </c>
      <c r="X5435">
        <v>0.97818989999999995</v>
      </c>
      <c r="Y5435">
        <v>-1.042415E-2</v>
      </c>
      <c r="Z5435">
        <v>3.7937959999999999E-3</v>
      </c>
      <c r="AA5435">
        <v>0.99993849999999995</v>
      </c>
      <c r="AB5435">
        <v>41</v>
      </c>
      <c r="AC5435">
        <v>-6.5225</v>
      </c>
      <c r="AD5435">
        <v>-1.12041389466</v>
      </c>
      <c r="AE5435">
        <v>121.28857000000001</v>
      </c>
      <c r="AF5435">
        <v>-1.2708397029945999</v>
      </c>
      <c r="AG5435">
        <v>-1.12041389466</v>
      </c>
      <c r="AH5435">
        <v>121.446839609572</v>
      </c>
      <c r="AI5435">
        <v>90.5285411501482</v>
      </c>
      <c r="AJ5435">
        <v>90.599530577795406</v>
      </c>
      <c r="AK5435">
        <v>121.458656389732</v>
      </c>
      <c r="AL5435">
        <v>78.031083677704899</v>
      </c>
      <c r="AM5435">
        <v>90.687079531207701</v>
      </c>
      <c r="AN5435">
        <v>0.99999998588044103</v>
      </c>
    </row>
    <row r="5436" spans="1:40" x14ac:dyDescent="0.25">
      <c r="A5436" t="str">
        <f>"20190303170921308"</f>
        <v>20190303170921308</v>
      </c>
      <c r="B5436" t="str">
        <f>"1551604161299507"</f>
        <v>1551604161299507</v>
      </c>
      <c r="C5436" t="s">
        <v>40</v>
      </c>
      <c r="D5436">
        <v>4.8175470000000002</v>
      </c>
      <c r="E5436">
        <v>0.52289649999999999</v>
      </c>
      <c r="F5436" t="s">
        <v>43</v>
      </c>
      <c r="G5436">
        <v>-194.06540000000001</v>
      </c>
      <c r="H5436" s="1">
        <v>-2.5053369999999999E-6</v>
      </c>
      <c r="I5436">
        <v>172.9076</v>
      </c>
      <c r="J5436">
        <v>-187.25299999999999</v>
      </c>
      <c r="K5436">
        <v>1.1203909999999999</v>
      </c>
      <c r="L5436">
        <v>45.224789999999999</v>
      </c>
      <c r="M5436">
        <v>-4.2585829999999998E-2</v>
      </c>
      <c r="N5436">
        <v>-1.302597E-2</v>
      </c>
      <c r="O5436">
        <v>0.99900789999999995</v>
      </c>
      <c r="P5436">
        <v>-5.090633E-2</v>
      </c>
      <c r="Q5436">
        <v>0.1935665</v>
      </c>
      <c r="R5436">
        <v>0.97976549999999996</v>
      </c>
      <c r="S5436">
        <v>-0.1630249</v>
      </c>
      <c r="T5436">
        <v>-2.6681659999999999E-2</v>
      </c>
      <c r="U5436">
        <v>3.0594480000000002</v>
      </c>
      <c r="V5436">
        <v>-8.9365019999999903E-3</v>
      </c>
      <c r="W5436">
        <v>0.2063383</v>
      </c>
      <c r="X5436">
        <v>0.97843990000000003</v>
      </c>
      <c r="Y5436">
        <v>-1.0630840000000001E-2</v>
      </c>
      <c r="Z5436">
        <v>4.3089879999999997E-3</v>
      </c>
      <c r="AA5436">
        <v>0.9999342</v>
      </c>
      <c r="AB5436">
        <v>41</v>
      </c>
      <c r="AC5436">
        <v>-6.8124000000000198</v>
      </c>
      <c r="AD5436">
        <v>-1.120393505337</v>
      </c>
      <c r="AE5436">
        <v>127.68281</v>
      </c>
      <c r="AF5436">
        <v>-1.3681740084762699</v>
      </c>
      <c r="AG5436">
        <v>-1.120393505337</v>
      </c>
      <c r="AH5436">
        <v>127.84727837945</v>
      </c>
      <c r="AI5436">
        <v>90.502071702215304</v>
      </c>
      <c r="AJ5436">
        <v>90.613134710160097</v>
      </c>
      <c r="AK5436">
        <v>127.859507940383</v>
      </c>
      <c r="AL5436">
        <v>78.092146875419004</v>
      </c>
      <c r="AM5436">
        <v>90.523291835663201</v>
      </c>
      <c r="AN5436">
        <v>0.99999999651344795</v>
      </c>
    </row>
    <row r="5437" spans="1:40" x14ac:dyDescent="0.25">
      <c r="A5437" t="str">
        <f>"20190303170921332"</f>
        <v>20190303170921332</v>
      </c>
      <c r="B5437" t="str">
        <f>"1551604161319534"</f>
        <v>1551604161319534</v>
      </c>
      <c r="C5437" t="s">
        <v>40</v>
      </c>
      <c r="D5437">
        <v>4.7147829999999997</v>
      </c>
      <c r="E5437">
        <v>0.54125889999999999</v>
      </c>
      <c r="F5437" t="s">
        <v>58</v>
      </c>
      <c r="G5437">
        <v>-187.5247</v>
      </c>
      <c r="H5437" s="1">
        <v>-1.7024640000000001E-6</v>
      </c>
      <c r="I5437">
        <v>122.1039</v>
      </c>
      <c r="J5437">
        <v>-187.27099999999999</v>
      </c>
      <c r="K5437">
        <v>1.120395</v>
      </c>
      <c r="L5437">
        <v>45.656829999999999</v>
      </c>
      <c r="M5437">
        <v>-4.2224049999999999E-2</v>
      </c>
      <c r="N5437">
        <v>-1.3036560000000001E-2</v>
      </c>
      <c r="O5437">
        <v>0.99902310000000005</v>
      </c>
      <c r="P5437">
        <v>-4.9421569999999998E-2</v>
      </c>
      <c r="Q5437">
        <v>0.19412189999999999</v>
      </c>
      <c r="R5437">
        <v>0.97973169999999998</v>
      </c>
      <c r="S5437">
        <v>-1.0848999999999999E-2</v>
      </c>
      <c r="T5437">
        <v>-4.474413E-2</v>
      </c>
      <c r="U5437">
        <v>3.0702509999999998</v>
      </c>
      <c r="V5437">
        <v>-7.8088130000000004E-3</v>
      </c>
      <c r="W5437">
        <v>0.2069009</v>
      </c>
      <c r="X5437">
        <v>0.9783307</v>
      </c>
      <c r="Y5437">
        <v>3.868999E-2</v>
      </c>
      <c r="Z5437">
        <v>-1.511456E-3</v>
      </c>
      <c r="AA5437">
        <v>0.99925010000000003</v>
      </c>
      <c r="AB5437">
        <v>41</v>
      </c>
      <c r="AC5437">
        <v>-0.25370000000000897</v>
      </c>
      <c r="AD5437">
        <v>-1.120396702464</v>
      </c>
      <c r="AE5437">
        <v>76.447069999999997</v>
      </c>
      <c r="AF5437">
        <v>2.9740667651157602</v>
      </c>
      <c r="AG5437">
        <v>-1.120396702464</v>
      </c>
      <c r="AH5437">
        <v>76.373189230608801</v>
      </c>
      <c r="AI5437">
        <v>90.839833871176793</v>
      </c>
      <c r="AJ5437">
        <v>87.769958015162601</v>
      </c>
      <c r="AK5437">
        <v>76.439285679214905</v>
      </c>
      <c r="AL5437">
        <v>78.059200898067601</v>
      </c>
      <c r="AM5437">
        <v>90.457312161342898</v>
      </c>
      <c r="AN5437">
        <v>0.99999995927188301</v>
      </c>
    </row>
    <row r="5438" spans="1:40" x14ac:dyDescent="0.25">
      <c r="A5438" t="str">
        <f>"20190303170921356"</f>
        <v>20190303170921356</v>
      </c>
      <c r="B5438" t="str">
        <f>"1551604161349790"</f>
        <v>1551604161349790</v>
      </c>
      <c r="C5438" t="s">
        <v>40</v>
      </c>
      <c r="D5438">
        <v>4.6751589999999998</v>
      </c>
      <c r="E5438">
        <v>0.55141909999999905</v>
      </c>
      <c r="F5438" t="s">
        <v>58</v>
      </c>
      <c r="G5438">
        <v>-183.3023</v>
      </c>
      <c r="H5438" s="1">
        <v>-6.2012320000000001E-6</v>
      </c>
      <c r="I5438">
        <v>132.62799999999999</v>
      </c>
      <c r="J5438">
        <v>-187.28880000000001</v>
      </c>
      <c r="K5438">
        <v>1.120401</v>
      </c>
      <c r="L5438">
        <v>46.085419999999999</v>
      </c>
      <c r="M5438">
        <v>-4.1863280000000003E-2</v>
      </c>
      <c r="N5438">
        <v>-1.304399E-2</v>
      </c>
      <c r="O5438">
        <v>0.99903819999999999</v>
      </c>
      <c r="P5438">
        <v>-4.8368639999999997E-2</v>
      </c>
      <c r="Q5438">
        <v>0.19453819999999999</v>
      </c>
      <c r="R5438">
        <v>0.97970170000000001</v>
      </c>
      <c r="S5438">
        <v>0.14041139999999999</v>
      </c>
      <c r="T5438">
        <v>-3.9639229999999998E-2</v>
      </c>
      <c r="U5438">
        <v>3.0769959999999998</v>
      </c>
      <c r="V5438">
        <v>-7.1126030000000003E-3</v>
      </c>
      <c r="W5438">
        <v>0.20732310000000001</v>
      </c>
      <c r="X5438">
        <v>0.97824670000000002</v>
      </c>
      <c r="Y5438">
        <v>8.7353790000000001E-2</v>
      </c>
      <c r="Z5438">
        <v>2.2333410000000001E-4</v>
      </c>
      <c r="AA5438">
        <v>0.99617730000000004</v>
      </c>
      <c r="AB5438">
        <v>41</v>
      </c>
      <c r="AC5438">
        <v>3.9864999999999999</v>
      </c>
      <c r="AD5438">
        <v>-1.1204072012320001</v>
      </c>
      <c r="AE5438">
        <v>86.542579999999901</v>
      </c>
      <c r="AF5438">
        <v>7.6049971866932298</v>
      </c>
      <c r="AG5438">
        <v>-1.1204072012320001</v>
      </c>
      <c r="AH5438">
        <v>86.285365840471599</v>
      </c>
      <c r="AI5438">
        <v>90.741065887256099</v>
      </c>
      <c r="AJ5438">
        <v>84.963095206581897</v>
      </c>
      <c r="AK5438">
        <v>86.627106916543198</v>
      </c>
      <c r="AL5438">
        <v>78.034475358619105</v>
      </c>
      <c r="AM5438">
        <v>90.416576874106497</v>
      </c>
      <c r="AN5438">
        <v>1.00000003148796</v>
      </c>
    </row>
    <row r="5439" spans="1:40" x14ac:dyDescent="0.25">
      <c r="A5439" t="str">
        <f>"20190303170921378"</f>
        <v>20190303170921378</v>
      </c>
      <c r="B5439" t="str">
        <f>"1551604161369310"</f>
        <v>1551604161369310</v>
      </c>
      <c r="C5439" t="s">
        <v>40</v>
      </c>
      <c r="D5439">
        <v>4.6824469999999998</v>
      </c>
      <c r="E5439">
        <v>0.55448419999999998</v>
      </c>
      <c r="F5439" t="s">
        <v>58</v>
      </c>
      <c r="G5439">
        <v>-179.6035</v>
      </c>
      <c r="H5439">
        <v>3.9717950000000002E-2</v>
      </c>
      <c r="I5439">
        <v>151.46180000000001</v>
      </c>
      <c r="J5439">
        <v>-187.30520000000001</v>
      </c>
      <c r="K5439">
        <v>1.1204069999999999</v>
      </c>
      <c r="L5439">
        <v>46.486939999999997</v>
      </c>
      <c r="M5439">
        <v>-4.1524350000000002E-2</v>
      </c>
      <c r="N5439">
        <v>-1.3048870000000001E-2</v>
      </c>
      <c r="O5439">
        <v>0.9990523</v>
      </c>
      <c r="P5439">
        <v>-4.7503860000000002E-2</v>
      </c>
      <c r="Q5439">
        <v>0.1947266</v>
      </c>
      <c r="R5439">
        <v>0.97970659999999998</v>
      </c>
      <c r="S5439">
        <v>0.22459409999999999</v>
      </c>
      <c r="T5439">
        <v>-3.1581999999999999E-2</v>
      </c>
      <c r="U5439">
        <v>3.079529</v>
      </c>
      <c r="V5439">
        <v>-6.5810249999999999E-3</v>
      </c>
      <c r="W5439">
        <v>0.20751530000000001</v>
      </c>
      <c r="X5439">
        <v>0.97820960000000001</v>
      </c>
      <c r="Y5439">
        <v>0.1140756</v>
      </c>
      <c r="Z5439">
        <v>2.8741690000000002E-3</v>
      </c>
      <c r="AA5439">
        <v>0.99346789999999996</v>
      </c>
      <c r="AB5439">
        <v>41</v>
      </c>
      <c r="AC5439">
        <v>7.7017000000000104</v>
      </c>
      <c r="AD5439">
        <v>-1.0806890499999999</v>
      </c>
      <c r="AE5439">
        <v>104.97486000000001</v>
      </c>
      <c r="AF5439">
        <v>12.053169409163701</v>
      </c>
      <c r="AG5439">
        <v>-1.0806890499999999</v>
      </c>
      <c r="AH5439">
        <v>104.55344620691601</v>
      </c>
      <c r="AI5439">
        <v>90.588305467468203</v>
      </c>
      <c r="AJ5439">
        <v>83.423836488483701</v>
      </c>
      <c r="AK5439">
        <v>105.251460300422</v>
      </c>
      <c r="AL5439">
        <v>78.0232174921167</v>
      </c>
      <c r="AM5439">
        <v>90.385458565073804</v>
      </c>
      <c r="AN5439">
        <v>0.99999996557814896</v>
      </c>
    </row>
    <row r="5440" spans="1:40" x14ac:dyDescent="0.25">
      <c r="A5440" t="str">
        <f>"20190303170921398"</f>
        <v>20190303170921398</v>
      </c>
      <c r="B5440" t="str">
        <f>"1551604161389806"</f>
        <v>1551604161389806</v>
      </c>
      <c r="C5440" t="s">
        <v>40</v>
      </c>
      <c r="D5440">
        <v>4.6650589999999896</v>
      </c>
      <c r="E5440">
        <v>0.5561585</v>
      </c>
      <c r="F5440" t="s">
        <v>58</v>
      </c>
      <c r="G5440">
        <v>-178.55240000000001</v>
      </c>
      <c r="H5440">
        <v>7.9984589999999994E-2</v>
      </c>
      <c r="I5440">
        <v>153.709</v>
      </c>
      <c r="J5440">
        <v>-187.32089999999999</v>
      </c>
      <c r="K5440">
        <v>1.1204099999999999</v>
      </c>
      <c r="L5440">
        <v>46.871250000000003</v>
      </c>
      <c r="M5440">
        <v>-4.1199850000000003E-2</v>
      </c>
      <c r="N5440">
        <v>-1.3052090000000001E-2</v>
      </c>
      <c r="O5440">
        <v>0.99906569999999995</v>
      </c>
      <c r="P5440">
        <v>-4.7132380000000001E-2</v>
      </c>
      <c r="Q5440">
        <v>0.1946126</v>
      </c>
      <c r="R5440">
        <v>0.97974720000000004</v>
      </c>
      <c r="S5440">
        <v>0.2514496</v>
      </c>
      <c r="T5440">
        <v>-2.988911E-2</v>
      </c>
      <c r="U5440">
        <v>3.0802610000000001</v>
      </c>
      <c r="V5440">
        <v>-6.5270739999999999E-3</v>
      </c>
      <c r="W5440">
        <v>0.20740430000000001</v>
      </c>
      <c r="X5440">
        <v>0.97823349999999998</v>
      </c>
      <c r="Y5440">
        <v>0.12234100000000001</v>
      </c>
      <c r="Z5440">
        <v>3.4361079999999998E-3</v>
      </c>
      <c r="AA5440">
        <v>0.99248219999999998</v>
      </c>
      <c r="AB5440">
        <v>41</v>
      </c>
      <c r="AC5440">
        <v>8.76849999999998</v>
      </c>
      <c r="AD5440">
        <v>-1.0404254100000001</v>
      </c>
      <c r="AE5440">
        <v>106.83775</v>
      </c>
      <c r="AF5440">
        <v>13.1618878823832</v>
      </c>
      <c r="AG5440">
        <v>-1.0404254100000001</v>
      </c>
      <c r="AH5440">
        <v>106.375708977625</v>
      </c>
      <c r="AI5440">
        <v>90.5561325609645</v>
      </c>
      <c r="AJ5440">
        <v>82.946629624711207</v>
      </c>
      <c r="AK5440">
        <v>107.191927112795</v>
      </c>
      <c r="AL5440">
        <v>78.029718742612104</v>
      </c>
      <c r="AM5440">
        <v>90.382289344197403</v>
      </c>
      <c r="AN5440">
        <v>0.99999996343787001</v>
      </c>
    </row>
    <row r="5441" spans="1:40" x14ac:dyDescent="0.25">
      <c r="A5441" t="str">
        <f>"20190303170921419"</f>
        <v>20190303170921419</v>
      </c>
      <c r="B5441" t="str">
        <f>"1551604161409836"</f>
        <v>1551604161409836</v>
      </c>
      <c r="C5441" t="s">
        <v>40</v>
      </c>
      <c r="D5441">
        <v>4.6437989999999996</v>
      </c>
      <c r="E5441">
        <v>0.55739259999999902</v>
      </c>
      <c r="F5441" t="s">
        <v>58</v>
      </c>
      <c r="G5441">
        <v>-177.7962</v>
      </c>
      <c r="H5441">
        <v>7.9984749999999993E-2</v>
      </c>
      <c r="I5441">
        <v>157.04230000000001</v>
      </c>
      <c r="J5441">
        <v>-187.33600000000001</v>
      </c>
      <c r="K5441">
        <v>1.1204069999999999</v>
      </c>
      <c r="L5441">
        <v>47.247410000000002</v>
      </c>
      <c r="M5441">
        <v>-4.0882460000000002E-2</v>
      </c>
      <c r="N5441">
        <v>-1.305424E-2</v>
      </c>
      <c r="O5441">
        <v>0.99907869999999999</v>
      </c>
      <c r="P5441">
        <v>-4.7542859999999999E-2</v>
      </c>
      <c r="Q5441">
        <v>0.19467809999999999</v>
      </c>
      <c r="R5441">
        <v>0.97971430000000004</v>
      </c>
      <c r="S5441">
        <v>0.26632689999999998</v>
      </c>
      <c r="T5441">
        <v>-2.909231E-2</v>
      </c>
      <c r="U5441">
        <v>3.080597</v>
      </c>
      <c r="V5441">
        <v>-7.2504419999999898E-3</v>
      </c>
      <c r="W5441">
        <v>0.2074724</v>
      </c>
      <c r="X5441">
        <v>0.97821400000000003</v>
      </c>
      <c r="Y5441">
        <v>0.12677459999999999</v>
      </c>
      <c r="Z5441">
        <v>3.7016499999999999E-3</v>
      </c>
      <c r="AA5441">
        <v>0.99192460000000005</v>
      </c>
      <c r="AB5441">
        <v>41</v>
      </c>
      <c r="AC5441">
        <v>9.5397999999999801</v>
      </c>
      <c r="AD5441">
        <v>-1.04042225</v>
      </c>
      <c r="AE5441">
        <v>109.79489</v>
      </c>
      <c r="AF5441">
        <v>14.019641171928299</v>
      </c>
      <c r="AG5441">
        <v>-1.04042225</v>
      </c>
      <c r="AH5441">
        <v>109.303296601849</v>
      </c>
      <c r="AI5441">
        <v>90.540932100586801</v>
      </c>
      <c r="AJ5441">
        <v>82.690940942348405</v>
      </c>
      <c r="AK5441">
        <v>110.20364542554699</v>
      </c>
      <c r="AL5441">
        <v>78.025730556916898</v>
      </c>
      <c r="AM5441">
        <v>90.424663845759497</v>
      </c>
      <c r="AN5441">
        <v>0.99999999773347703</v>
      </c>
    </row>
    <row r="5442" spans="1:40" x14ac:dyDescent="0.25">
      <c r="A5442" t="str">
        <f>"20190303170921443"</f>
        <v>20190303170921443</v>
      </c>
      <c r="B5442" t="str">
        <f>"1551604161439116"</f>
        <v>1551604161439116</v>
      </c>
      <c r="C5442" t="s">
        <v>40</v>
      </c>
      <c r="D5442">
        <v>4.6024580000000004</v>
      </c>
      <c r="E5442">
        <v>0.55867630000000001</v>
      </c>
      <c r="F5442" t="s">
        <v>43</v>
      </c>
      <c r="G5442">
        <v>-176.80240000000001</v>
      </c>
      <c r="H5442">
        <v>7.9985429999999996E-2</v>
      </c>
      <c r="I5442">
        <v>165.2209</v>
      </c>
      <c r="J5442">
        <v>-187.3536</v>
      </c>
      <c r="K5442">
        <v>1.120412</v>
      </c>
      <c r="L5442">
        <v>47.686100000000003</v>
      </c>
      <c r="M5442">
        <v>-4.0511180000000001E-2</v>
      </c>
      <c r="N5442">
        <v>-1.305591E-2</v>
      </c>
      <c r="O5442">
        <v>0.99909380000000003</v>
      </c>
      <c r="P5442">
        <v>-4.7849200000000001E-2</v>
      </c>
      <c r="Q5442">
        <v>0.19563249999999999</v>
      </c>
      <c r="R5442">
        <v>0.97950919999999997</v>
      </c>
      <c r="S5442">
        <v>0.27508539999999998</v>
      </c>
      <c r="T5442">
        <v>-2.717054E-2</v>
      </c>
      <c r="U5442">
        <v>3.0808719999999998</v>
      </c>
      <c r="V5442">
        <v>-7.9279429999999998E-3</v>
      </c>
      <c r="W5442">
        <v>0.20842669999999999</v>
      </c>
      <c r="X5442">
        <v>0.97800589999999998</v>
      </c>
      <c r="Y5442">
        <v>0.12919620000000001</v>
      </c>
      <c r="Z5442">
        <v>4.3262179999999997E-3</v>
      </c>
      <c r="AA5442">
        <v>0.99160959999999998</v>
      </c>
      <c r="AB5442">
        <v>41</v>
      </c>
      <c r="AC5442">
        <v>10.5511999999999</v>
      </c>
      <c r="AD5442">
        <v>-1.0404265699999999</v>
      </c>
      <c r="AE5442">
        <v>117.5348</v>
      </c>
      <c r="AF5442">
        <v>15.303226548236999</v>
      </c>
      <c r="AG5442">
        <v>-1.0404265699999999</v>
      </c>
      <c r="AH5442">
        <v>117.001724633469</v>
      </c>
      <c r="AI5442">
        <v>90.5051811804246</v>
      </c>
      <c r="AJ5442">
        <v>82.548306044588003</v>
      </c>
      <c r="AK5442">
        <v>118.002859276546</v>
      </c>
      <c r="AL5442">
        <v>77.969831735364593</v>
      </c>
      <c r="AM5442">
        <v>90.464442724774599</v>
      </c>
      <c r="AN5442">
        <v>1.00000004099395</v>
      </c>
    </row>
    <row r="5443" spans="1:40" x14ac:dyDescent="0.25">
      <c r="A5443" t="str">
        <f>"20190303170921465"</f>
        <v>20190303170921465</v>
      </c>
      <c r="B5443" t="str">
        <f>"1551604161459612"</f>
        <v>1551604161459612</v>
      </c>
      <c r="C5443" t="s">
        <v>40</v>
      </c>
      <c r="D5443">
        <v>4.6285100000000003</v>
      </c>
      <c r="E5443">
        <v>0.55935249999999903</v>
      </c>
      <c r="F5443" t="s">
        <v>46</v>
      </c>
      <c r="G5443">
        <v>-172.5179</v>
      </c>
      <c r="H5443">
        <v>-0.05</v>
      </c>
      <c r="I5443">
        <v>208.1181</v>
      </c>
      <c r="J5443">
        <v>-187.369</v>
      </c>
      <c r="K5443">
        <v>1.1204209999999999</v>
      </c>
      <c r="L5443">
        <v>48.073819999999998</v>
      </c>
      <c r="M5443">
        <v>-4.0177850000000001E-2</v>
      </c>
      <c r="N5443">
        <v>-1.3056730000000001E-2</v>
      </c>
      <c r="O5443">
        <v>0.99910719999999997</v>
      </c>
      <c r="P5443">
        <v>-4.7963760000000001E-2</v>
      </c>
      <c r="Q5443">
        <v>0.19683700000000001</v>
      </c>
      <c r="R5443">
        <v>0.97926230000000003</v>
      </c>
      <c r="S5443">
        <v>0.2849274</v>
      </c>
      <c r="T5443">
        <v>-2.2478339999999999E-2</v>
      </c>
      <c r="U5443">
        <v>3.0811769999999998</v>
      </c>
      <c r="V5443">
        <v>-8.3771699999999998E-3</v>
      </c>
      <c r="W5443">
        <v>0.20962929999999999</v>
      </c>
      <c r="X5443">
        <v>0.97774510000000003</v>
      </c>
      <c r="Y5443">
        <v>0.131997799999999</v>
      </c>
      <c r="Z5443">
        <v>5.8422539999999999E-3</v>
      </c>
      <c r="AA5443">
        <v>0.99123280000000002</v>
      </c>
      <c r="AB5443">
        <v>41</v>
      </c>
      <c r="AC5443">
        <v>14.851100000000001</v>
      </c>
      <c r="AD5443">
        <v>-1.1704209999999999</v>
      </c>
      <c r="AE5443">
        <v>160.04427999999999</v>
      </c>
      <c r="AF5443">
        <v>21.268762033586601</v>
      </c>
      <c r="AG5443">
        <v>-1.1704209999999999</v>
      </c>
      <c r="AH5443">
        <v>159.30984571190601</v>
      </c>
      <c r="AI5443">
        <v>90.417232521810107</v>
      </c>
      <c r="AJ5443">
        <v>82.3956571598289</v>
      </c>
      <c r="AK5443">
        <v>160.72758650745001</v>
      </c>
      <c r="AL5443">
        <v>77.899371451025502</v>
      </c>
      <c r="AM5443">
        <v>90.490889436395094</v>
      </c>
      <c r="AN5443">
        <v>1.0000000504848501</v>
      </c>
    </row>
    <row r="5444" spans="1:40" x14ac:dyDescent="0.25">
      <c r="A5444" t="str">
        <f>"20190303170921489"</f>
        <v>20190303170921489</v>
      </c>
      <c r="B5444" t="str">
        <f>"1551604161479133"</f>
        <v>1551604161479133</v>
      </c>
      <c r="C5444" t="s">
        <v>40</v>
      </c>
      <c r="D5444">
        <v>4.6056480000000004</v>
      </c>
      <c r="E5444">
        <v>0.55999080000000001</v>
      </c>
      <c r="F5444" t="s">
        <v>46</v>
      </c>
      <c r="G5444">
        <v>-168.46860000000001</v>
      </c>
      <c r="H5444">
        <v>-0.05</v>
      </c>
      <c r="I5444">
        <v>249.0377</v>
      </c>
      <c r="J5444">
        <v>-187.38570000000001</v>
      </c>
      <c r="K5444">
        <v>1.1204160000000001</v>
      </c>
      <c r="L5444">
        <v>48.499079999999999</v>
      </c>
      <c r="M5444">
        <v>-3.9800019999999998E-2</v>
      </c>
      <c r="N5444">
        <v>-1.305711E-2</v>
      </c>
      <c r="O5444">
        <v>0.99912230000000002</v>
      </c>
      <c r="P5444">
        <v>-4.8342469999999998E-2</v>
      </c>
      <c r="Q5444">
        <v>0.1970741</v>
      </c>
      <c r="R5444">
        <v>0.97919599999999996</v>
      </c>
      <c r="S5444">
        <v>0.28979490000000002</v>
      </c>
      <c r="T5444">
        <v>-1.794577E-2</v>
      </c>
      <c r="U5444">
        <v>3.0813290000000002</v>
      </c>
      <c r="V5444">
        <v>-9.1249810000000008E-3</v>
      </c>
      <c r="W5444">
        <v>0.20986659999999999</v>
      </c>
      <c r="X5444">
        <v>0.97768750000000004</v>
      </c>
      <c r="Y5444">
        <v>0.13317100000000001</v>
      </c>
      <c r="Z5444">
        <v>7.3034769999999897E-3</v>
      </c>
      <c r="AA5444">
        <v>0.99106620000000001</v>
      </c>
      <c r="AB5444">
        <v>41</v>
      </c>
      <c r="AC5444">
        <v>18.917100000000001</v>
      </c>
      <c r="AD5444">
        <v>-1.1704159999999999</v>
      </c>
      <c r="AE5444">
        <v>200.53862000000001</v>
      </c>
      <c r="AF5444">
        <v>26.883323056915899</v>
      </c>
      <c r="AG5444">
        <v>-1.1704159999999999</v>
      </c>
      <c r="AH5444">
        <v>199.619994281262</v>
      </c>
      <c r="AI5444">
        <v>90.332928453610805</v>
      </c>
      <c r="AJ5444">
        <v>82.329981713521605</v>
      </c>
      <c r="AK5444">
        <v>201.425482620861</v>
      </c>
      <c r="AL5444">
        <v>77.885465850536406</v>
      </c>
      <c r="AM5444">
        <v>90.534739085181101</v>
      </c>
      <c r="AN5444">
        <v>1.00000005136502</v>
      </c>
    </row>
    <row r="5445" spans="1:40" x14ac:dyDescent="0.25">
      <c r="A5445" t="str">
        <f>"20190303170921511"</f>
        <v>20190303170921511</v>
      </c>
      <c r="B5445" t="str">
        <f>"1551604161499629"</f>
        <v>1551604161499629</v>
      </c>
      <c r="C5445" t="s">
        <v>40</v>
      </c>
      <c r="D5445">
        <v>4.5918070000000002</v>
      </c>
      <c r="E5445">
        <v>0.56041189999999996</v>
      </c>
      <c r="F5445" t="s">
        <v>53</v>
      </c>
      <c r="G5445">
        <v>-168.22559999999999</v>
      </c>
      <c r="H5445">
        <v>4.8036580000000002E-2</v>
      </c>
      <c r="I5445">
        <v>249.3853</v>
      </c>
      <c r="J5445">
        <v>-187.4008</v>
      </c>
      <c r="K5445">
        <v>1.1204050000000001</v>
      </c>
      <c r="L5445">
        <v>48.887180000000001</v>
      </c>
      <c r="M5445">
        <v>-3.9434400000000001E-2</v>
      </c>
      <c r="N5445">
        <v>-1.3061130000000001E-2</v>
      </c>
      <c r="O5445">
        <v>0.99913680000000005</v>
      </c>
      <c r="P5445">
        <v>-4.8530440000000001E-2</v>
      </c>
      <c r="Q5445">
        <v>0.19718869999999999</v>
      </c>
      <c r="R5445">
        <v>0.97916360000000002</v>
      </c>
      <c r="S5445">
        <v>0.29391479999999998</v>
      </c>
      <c r="T5445">
        <v>-1.6449330000000002E-2</v>
      </c>
      <c r="U5445">
        <v>3.0815730000000001</v>
      </c>
      <c r="V5445">
        <v>-9.6655170000000002E-3</v>
      </c>
      <c r="W5445">
        <v>0.2099859</v>
      </c>
      <c r="X5445">
        <v>0.97765659999999999</v>
      </c>
      <c r="Y5445">
        <v>0.13411410000000001</v>
      </c>
      <c r="Z5445">
        <v>7.7904080000000004E-3</v>
      </c>
      <c r="AA5445">
        <v>0.99093529999999996</v>
      </c>
      <c r="AB5445">
        <v>41</v>
      </c>
      <c r="AC5445">
        <v>19.1752</v>
      </c>
      <c r="AD5445">
        <v>-1.0723684200000001</v>
      </c>
      <c r="AE5445">
        <v>200.49812</v>
      </c>
      <c r="AF5445">
        <v>27.066712484052299</v>
      </c>
      <c r="AG5445">
        <v>-1.0723684200000001</v>
      </c>
      <c r="AH5445">
        <v>199.58025364152601</v>
      </c>
      <c r="AI5445">
        <v>90.305061514707504</v>
      </c>
      <c r="AJ5445">
        <v>82.276769454232806</v>
      </c>
      <c r="AK5445">
        <v>201.410115292998</v>
      </c>
      <c r="AL5445">
        <v>77.8784736063065</v>
      </c>
      <c r="AM5445">
        <v>90.566431290054595</v>
      </c>
      <c r="AN5445">
        <v>0.99999996397062296</v>
      </c>
    </row>
    <row r="5446" spans="1:40" x14ac:dyDescent="0.25">
      <c r="A5446" t="str">
        <f>"20190303170921534"</f>
        <v>20190303170921534</v>
      </c>
      <c r="B5446" t="str">
        <f>"1551604161528908"</f>
        <v>1551604161528908</v>
      </c>
      <c r="C5446" t="s">
        <v>40</v>
      </c>
      <c r="D5446">
        <v>4.5800489999999998</v>
      </c>
      <c r="E5446">
        <v>0.56111279999999997</v>
      </c>
      <c r="F5446" t="s">
        <v>53</v>
      </c>
      <c r="G5446">
        <v>-168.0797</v>
      </c>
      <c r="H5446">
        <v>6.9095610000000002E-2</v>
      </c>
      <c r="I5446">
        <v>249.3853</v>
      </c>
      <c r="J5446">
        <v>-187.41739999999999</v>
      </c>
      <c r="K5446">
        <v>1.1203959999999999</v>
      </c>
      <c r="L5446">
        <v>49.320189999999997</v>
      </c>
      <c r="M5446">
        <v>-3.8994500000000001E-2</v>
      </c>
      <c r="N5446">
        <v>-1.306918E-2</v>
      </c>
      <c r="O5446">
        <v>0.99915399999999999</v>
      </c>
      <c r="P5446">
        <v>-4.8302909999999998E-2</v>
      </c>
      <c r="Q5446">
        <v>0.19720869999999999</v>
      </c>
      <c r="R5446">
        <v>0.97917089999999996</v>
      </c>
      <c r="S5446">
        <v>0.29698180000000002</v>
      </c>
      <c r="T5446">
        <v>-1.6158579999999999E-2</v>
      </c>
      <c r="U5446">
        <v>3.0818180000000002</v>
      </c>
      <c r="V5446">
        <v>-9.8589190000000007E-3</v>
      </c>
      <c r="W5446">
        <v>0.21001439999999999</v>
      </c>
      <c r="X5446">
        <v>0.97764859999999998</v>
      </c>
      <c r="Y5446">
        <v>0.1346474</v>
      </c>
      <c r="Z5446">
        <v>7.8927540000000001E-3</v>
      </c>
      <c r="AA5446">
        <v>0.99086209999999997</v>
      </c>
      <c r="AB5446">
        <v>41</v>
      </c>
      <c r="AC5446">
        <v>19.337699999999899</v>
      </c>
      <c r="AD5446">
        <v>-1.05130039</v>
      </c>
      <c r="AE5446">
        <v>200.06511</v>
      </c>
      <c r="AF5446">
        <v>27.124352595571899</v>
      </c>
      <c r="AG5446">
        <v>-1.05130039</v>
      </c>
      <c r="AH5446">
        <v>199.153342935935</v>
      </c>
      <c r="AI5446">
        <v>90.299686185062797</v>
      </c>
      <c r="AJ5446">
        <v>82.244132674792795</v>
      </c>
      <c r="AK5446">
        <v>200.99475052547299</v>
      </c>
      <c r="AL5446">
        <v>77.876804071666598</v>
      </c>
      <c r="AM5446">
        <v>90.577769254123396</v>
      </c>
      <c r="AN5446">
        <v>1.00000001578658</v>
      </c>
    </row>
    <row r="5447" spans="1:40" x14ac:dyDescent="0.25">
      <c r="A5447" t="str">
        <f>"20190303170921577"</f>
        <v>20190303170921577</v>
      </c>
      <c r="B5447" t="str">
        <f>"1551604161568924"</f>
        <v>1551604161568924</v>
      </c>
      <c r="C5447" t="s">
        <v>40</v>
      </c>
      <c r="D5447">
        <v>4.4701279999999999</v>
      </c>
      <c r="E5447">
        <v>0.56181649999999905</v>
      </c>
      <c r="F5447" t="s">
        <v>53</v>
      </c>
      <c r="G5447">
        <v>-167.70179999999999</v>
      </c>
      <c r="H5447">
        <v>0.11398220000000001</v>
      </c>
      <c r="I5447">
        <v>249.3853</v>
      </c>
      <c r="J5447">
        <v>-187.447</v>
      </c>
      <c r="K5447">
        <v>1.120357</v>
      </c>
      <c r="L5447">
        <v>50.105069999999998</v>
      </c>
      <c r="M5447">
        <v>-3.8112979999999998E-2</v>
      </c>
      <c r="N5447">
        <v>-1.3085039999999999E-2</v>
      </c>
      <c r="O5447">
        <v>0.99918779999999996</v>
      </c>
      <c r="P5447">
        <v>-4.6330969999999999E-2</v>
      </c>
      <c r="Q5447">
        <v>0.1990942</v>
      </c>
      <c r="R5447">
        <v>0.97888450000000005</v>
      </c>
      <c r="S5447">
        <v>0.30371090000000001</v>
      </c>
      <c r="T5447">
        <v>-1.5502449999999999E-2</v>
      </c>
      <c r="U5447">
        <v>3.081909</v>
      </c>
      <c r="V5447">
        <v>-8.7378249999999994E-3</v>
      </c>
      <c r="W5447">
        <v>0.21190999999999999</v>
      </c>
      <c r="X5447">
        <v>0.97725010000000001</v>
      </c>
      <c r="Y5447">
        <v>0.13591329999999999</v>
      </c>
      <c r="Z5447">
        <v>8.1206719999999902E-3</v>
      </c>
      <c r="AA5447">
        <v>0.9906874</v>
      </c>
      <c r="AB5447">
        <v>40</v>
      </c>
      <c r="AC5447">
        <v>19.745200000000001</v>
      </c>
      <c r="AD5447">
        <v>-1.0063747999999999</v>
      </c>
      <c r="AE5447">
        <v>199.28022999999999</v>
      </c>
      <c r="AF5447">
        <v>27.3259747076835</v>
      </c>
      <c r="AG5447">
        <v>-1.0063747999999999</v>
      </c>
      <c r="AH5447">
        <v>198.37779259388699</v>
      </c>
      <c r="AI5447">
        <v>90.2879413695007</v>
      </c>
      <c r="AJ5447">
        <v>82.157026298522695</v>
      </c>
      <c r="AK5447">
        <v>200.25351502130101</v>
      </c>
      <c r="AL5447">
        <v>77.765693073648904</v>
      </c>
      <c r="AM5447">
        <v>90.512281506963504</v>
      </c>
      <c r="AN5447">
        <v>0.99999997781786998</v>
      </c>
    </row>
    <row r="5448" spans="1:40" x14ac:dyDescent="0.25">
      <c r="A5448" t="str">
        <f>"20190303170921598"</f>
        <v>20190303170921598</v>
      </c>
      <c r="B5448" t="str">
        <f>"1551604161589420"</f>
        <v>1551604161589420</v>
      </c>
      <c r="C5448" t="s">
        <v>40</v>
      </c>
      <c r="D5448">
        <v>4.4806509999999999</v>
      </c>
      <c r="E5448">
        <v>0.56206630000000002</v>
      </c>
      <c r="F5448" t="s">
        <v>53</v>
      </c>
      <c r="G5448">
        <v>-167.07929999999999</v>
      </c>
      <c r="H5448">
        <v>0.44944479999999998</v>
      </c>
      <c r="I5448">
        <v>249.3853</v>
      </c>
      <c r="J5448">
        <v>-187.46119999999999</v>
      </c>
      <c r="K5448">
        <v>1.1203379999999901</v>
      </c>
      <c r="L5448">
        <v>50.488590000000002</v>
      </c>
      <c r="M5448">
        <v>-3.7637080000000003E-2</v>
      </c>
      <c r="N5448">
        <v>-1.309196E-2</v>
      </c>
      <c r="O5448">
        <v>0.99920569999999997</v>
      </c>
      <c r="P5448">
        <v>-4.4984669999999997E-2</v>
      </c>
      <c r="Q5448">
        <v>0.19898569999999999</v>
      </c>
      <c r="R5448">
        <v>0.97896939999999999</v>
      </c>
      <c r="S5448">
        <v>0.31497190000000003</v>
      </c>
      <c r="T5448">
        <v>-1.0374309999999999E-2</v>
      </c>
      <c r="U5448">
        <v>3.0817260000000002</v>
      </c>
      <c r="V5448">
        <v>-7.8423690000000001E-3</v>
      </c>
      <c r="W5448">
        <v>0.211808</v>
      </c>
      <c r="X5448">
        <v>0.97727980000000003</v>
      </c>
      <c r="Y5448">
        <v>0.13902999999999999</v>
      </c>
      <c r="Z5448">
        <v>9.7795620000000003E-3</v>
      </c>
      <c r="AA5448">
        <v>0.99023989999999995</v>
      </c>
      <c r="AB5448">
        <v>40</v>
      </c>
      <c r="AC5448">
        <v>20.381900000000002</v>
      </c>
      <c r="AD5448">
        <v>-0.67089319999999897</v>
      </c>
      <c r="AE5448">
        <v>198.89671000000001</v>
      </c>
      <c r="AF5448">
        <v>27.853675885446101</v>
      </c>
      <c r="AG5448">
        <v>-0.67089319999999897</v>
      </c>
      <c r="AH5448">
        <v>197.98635219613999</v>
      </c>
      <c r="AI5448">
        <v>90.192257500125805</v>
      </c>
      <c r="AJ5448">
        <v>81.991909757477202</v>
      </c>
      <c r="AK5448">
        <v>199.93717266669401</v>
      </c>
      <c r="AL5448">
        <v>77.771672883210897</v>
      </c>
      <c r="AM5448">
        <v>90.459771091541597</v>
      </c>
      <c r="AN5448">
        <v>0.99999996955178505</v>
      </c>
    </row>
    <row r="5449" spans="1:40" x14ac:dyDescent="0.25">
      <c r="A5449" t="str">
        <f>"20190303170921621"</f>
        <v>20190303170921621</v>
      </c>
      <c r="B5449" t="str">
        <f>"1551604161608940"</f>
        <v>1551604161608940</v>
      </c>
      <c r="C5449" t="s">
        <v>40</v>
      </c>
      <c r="D5449">
        <v>4.436375</v>
      </c>
      <c r="E5449">
        <v>0.56232459999999995</v>
      </c>
      <c r="F5449" t="s">
        <v>53</v>
      </c>
      <c r="G5449">
        <v>-166.71109999999999</v>
      </c>
      <c r="H5449">
        <v>0.42004970000000003</v>
      </c>
      <c r="I5449">
        <v>249.3853</v>
      </c>
      <c r="J5449">
        <v>-187.4759</v>
      </c>
      <c r="K5449">
        <v>1.1203000000000001</v>
      </c>
      <c r="L5449">
        <v>50.89264</v>
      </c>
      <c r="M5449">
        <v>-3.7102129999999997E-2</v>
      </c>
      <c r="N5449">
        <v>-1.3098540000000001E-2</v>
      </c>
      <c r="O5449">
        <v>0.99922560000000005</v>
      </c>
      <c r="P5449">
        <v>-4.3734559999999999E-2</v>
      </c>
      <c r="Q5449">
        <v>0.19868730000000001</v>
      </c>
      <c r="R5449">
        <v>0.97908660000000003</v>
      </c>
      <c r="S5449">
        <v>0.32147219999999999</v>
      </c>
      <c r="T5449">
        <v>-1.0848399999999999E-2</v>
      </c>
      <c r="U5449">
        <v>3.0814210000000002</v>
      </c>
      <c r="V5449">
        <v>-7.0986169999999998E-3</v>
      </c>
      <c r="W5449">
        <v>0.2115167</v>
      </c>
      <c r="X5449">
        <v>0.97734860000000001</v>
      </c>
      <c r="Y5449">
        <v>0.14057629999999999</v>
      </c>
      <c r="Z5449">
        <v>9.6340999999999996E-3</v>
      </c>
      <c r="AA5449">
        <v>0.99002299999999999</v>
      </c>
      <c r="AB5449">
        <v>40</v>
      </c>
      <c r="AC5449">
        <v>20.764800000000001</v>
      </c>
      <c r="AD5449">
        <v>-0.70025029999999999</v>
      </c>
      <c r="AE5449">
        <v>198.49266</v>
      </c>
      <c r="AF5449">
        <v>28.115286967317299</v>
      </c>
      <c r="AG5449">
        <v>-0.70025029999999999</v>
      </c>
      <c r="AH5449">
        <v>197.583053293559</v>
      </c>
      <c r="AI5449">
        <v>90.201034942634195</v>
      </c>
      <c r="AJ5449">
        <v>81.901405707492401</v>
      </c>
      <c r="AK5449">
        <v>199.57460424748999</v>
      </c>
      <c r="AL5449">
        <v>77.788750384283205</v>
      </c>
      <c r="AM5449">
        <v>90.4161397916466</v>
      </c>
      <c r="AN5449">
        <v>0.99999999533208095</v>
      </c>
    </row>
    <row r="5450" spans="1:40" x14ac:dyDescent="0.25">
      <c r="A5450" t="str">
        <f>"20190303170921665"</f>
        <v>20190303170921665</v>
      </c>
      <c r="B5450" t="str">
        <f>"1551604161659692"</f>
        <v>1551604161659692</v>
      </c>
      <c r="C5450" t="s">
        <v>40</v>
      </c>
      <c r="D5450">
        <v>4.3236100000000004</v>
      </c>
      <c r="E5450">
        <v>0.56285220000000002</v>
      </c>
      <c r="F5450" t="s">
        <v>53</v>
      </c>
      <c r="G5450">
        <v>-166.3373</v>
      </c>
      <c r="H5450">
        <v>0.41754249999999998</v>
      </c>
      <c r="I5450">
        <v>249.3853</v>
      </c>
      <c r="J5450">
        <v>-187.50409999999999</v>
      </c>
      <c r="K5450">
        <v>1.120252</v>
      </c>
      <c r="L5450">
        <v>51.688899999999997</v>
      </c>
      <c r="M5450">
        <v>-3.5935330000000001E-2</v>
      </c>
      <c r="N5450">
        <v>-1.3109819999999999E-2</v>
      </c>
      <c r="O5450">
        <v>0.99926809999999999</v>
      </c>
      <c r="P5450">
        <v>-4.0586110000000002E-2</v>
      </c>
      <c r="Q5450">
        <v>0.2000113</v>
      </c>
      <c r="R5450">
        <v>0.97895259999999995</v>
      </c>
      <c r="S5450">
        <v>0.3281097</v>
      </c>
      <c r="T5450">
        <v>-1.0907170000000001E-2</v>
      </c>
      <c r="U5450">
        <v>3.0809630000000001</v>
      </c>
      <c r="V5450">
        <v>-5.0642559999999996E-3</v>
      </c>
      <c r="W5450">
        <v>0.2128466</v>
      </c>
      <c r="X5450">
        <v>0.97707250000000001</v>
      </c>
      <c r="Y5450">
        <v>0.1415447</v>
      </c>
      <c r="Z5450">
        <v>9.6261039999999999E-3</v>
      </c>
      <c r="AA5450">
        <v>0.98988509999999996</v>
      </c>
      <c r="AB5450">
        <v>40</v>
      </c>
      <c r="AC5450">
        <v>21.166799999999899</v>
      </c>
      <c r="AD5450">
        <v>-0.70270949999999999</v>
      </c>
      <c r="AE5450">
        <v>197.69640000000001</v>
      </c>
      <c r="AF5450">
        <v>28.257669533728802</v>
      </c>
      <c r="AG5450">
        <v>-0.70270949999999999</v>
      </c>
      <c r="AH5450">
        <v>196.805529711296</v>
      </c>
      <c r="AI5450">
        <v>90.202501493098595</v>
      </c>
      <c r="AJ5450">
        <v>81.829218847521304</v>
      </c>
      <c r="AK5450">
        <v>198.825064348192</v>
      </c>
      <c r="AL5450">
        <v>77.710777300450104</v>
      </c>
      <c r="AM5450">
        <v>90.2969665985717</v>
      </c>
      <c r="AN5450">
        <v>0.99999999603832102</v>
      </c>
    </row>
    <row r="5451" spans="1:40" x14ac:dyDescent="0.25">
      <c r="A5451" t="str">
        <f>"20190303170921687"</f>
        <v>20190303170921687</v>
      </c>
      <c r="B5451" t="str">
        <f>"1551604161679212"</f>
        <v>1551604161679212</v>
      </c>
      <c r="C5451" t="s">
        <v>40</v>
      </c>
      <c r="D5451">
        <v>4.3258850000000004</v>
      </c>
      <c r="E5451">
        <v>0.56300629999999996</v>
      </c>
      <c r="F5451" t="s">
        <v>53</v>
      </c>
      <c r="G5451">
        <v>-168.35059999999999</v>
      </c>
      <c r="H5451">
        <v>0.7229681</v>
      </c>
      <c r="I5451">
        <v>224.29179999999999</v>
      </c>
      <c r="J5451">
        <v>-187.5181</v>
      </c>
      <c r="K5451">
        <v>1.120223</v>
      </c>
      <c r="L5451">
        <v>52.094479999999997</v>
      </c>
      <c r="M5451">
        <v>-3.529264E-2</v>
      </c>
      <c r="N5451">
        <v>-1.3114550000000001E-2</v>
      </c>
      <c r="O5451">
        <v>0.99929089999999998</v>
      </c>
      <c r="P5451">
        <v>-3.9747009999999999E-2</v>
      </c>
      <c r="Q5451">
        <v>0.20090140000000001</v>
      </c>
      <c r="R5451">
        <v>0.97880480000000003</v>
      </c>
      <c r="S5451">
        <v>0.34179690000000001</v>
      </c>
      <c r="T5451">
        <v>-7.0885419999999998E-3</v>
      </c>
      <c r="U5451">
        <v>3.0801090000000002</v>
      </c>
      <c r="V5451">
        <v>-4.841985E-3</v>
      </c>
      <c r="W5451">
        <v>0.21373919999999999</v>
      </c>
      <c r="X5451">
        <v>0.97687880000000005</v>
      </c>
      <c r="Y5451">
        <v>0.14528260000000001</v>
      </c>
      <c r="Z5451">
        <v>1.086032E-2</v>
      </c>
      <c r="AA5451">
        <v>0.98933059999999995</v>
      </c>
      <c r="AB5451">
        <v>40</v>
      </c>
      <c r="AC5451">
        <v>19.1675</v>
      </c>
      <c r="AD5451">
        <v>-0.39725490000000002</v>
      </c>
      <c r="AE5451">
        <v>172.19731999999999</v>
      </c>
      <c r="AF5451">
        <v>25.233245461354802</v>
      </c>
      <c r="AG5451">
        <v>-0.39725490000000002</v>
      </c>
      <c r="AH5451">
        <v>171.412595145447</v>
      </c>
      <c r="AI5451">
        <v>90.131369051383999</v>
      </c>
      <c r="AJ5451">
        <v>81.625767383779205</v>
      </c>
      <c r="AK5451">
        <v>173.260359755097</v>
      </c>
      <c r="AL5451">
        <v>77.658431049616993</v>
      </c>
      <c r="AM5451">
        <v>90.283989204283301</v>
      </c>
      <c r="AN5451">
        <v>1.0000000401624001</v>
      </c>
    </row>
    <row r="5452" spans="1:40" x14ac:dyDescent="0.25">
      <c r="A5452" t="str">
        <f>"20190303170921710"</f>
        <v>20190303170921710</v>
      </c>
      <c r="B5452" t="str">
        <f>"1551604161699709"</f>
        <v>1551604161699709</v>
      </c>
      <c r="C5452" t="s">
        <v>40</v>
      </c>
      <c r="D5452">
        <v>4.2851749999999997</v>
      </c>
      <c r="E5452">
        <v>0.56317090000000003</v>
      </c>
      <c r="F5452" t="s">
        <v>53</v>
      </c>
      <c r="G5452">
        <v>-168.35059999999999</v>
      </c>
      <c r="H5452">
        <v>0.84954929999999995</v>
      </c>
      <c r="I5452">
        <v>223.24860000000001</v>
      </c>
      <c r="J5452">
        <v>-187.5317</v>
      </c>
      <c r="K5452">
        <v>1.1201909999999999</v>
      </c>
      <c r="L5452">
        <v>52.497709999999998</v>
      </c>
      <c r="M5452">
        <v>-3.462722E-2</v>
      </c>
      <c r="N5452">
        <v>-1.311847E-2</v>
      </c>
      <c r="O5452">
        <v>0.99931420000000004</v>
      </c>
      <c r="P5452">
        <v>-3.8816709999999997E-2</v>
      </c>
      <c r="Q5452">
        <v>0.2012121</v>
      </c>
      <c r="R5452">
        <v>0.97877829999999999</v>
      </c>
      <c r="S5452">
        <v>0.34492489999999998</v>
      </c>
      <c r="T5452">
        <v>-4.8698190000000001E-3</v>
      </c>
      <c r="U5452">
        <v>3.0799560000000001</v>
      </c>
      <c r="V5452">
        <v>-4.5496019999999998E-3</v>
      </c>
      <c r="W5452">
        <v>0.21405270000000001</v>
      </c>
      <c r="X5452">
        <v>0.97681150000000005</v>
      </c>
      <c r="Y5452">
        <v>0.14562139999999901</v>
      </c>
      <c r="Z5452">
        <v>1.15776E-2</v>
      </c>
      <c r="AA5452">
        <v>0.9892727</v>
      </c>
      <c r="AB5452">
        <v>40</v>
      </c>
      <c r="AC5452">
        <v>19.181100000000001</v>
      </c>
      <c r="AD5452">
        <v>-0.27064169999999899</v>
      </c>
      <c r="AE5452">
        <v>170.75089</v>
      </c>
      <c r="AF5452">
        <v>25.082670283874499</v>
      </c>
      <c r="AG5452">
        <v>-0.27064169999999899</v>
      </c>
      <c r="AH5452">
        <v>169.98380567312299</v>
      </c>
      <c r="AI5452">
        <v>90.090246854887695</v>
      </c>
      <c r="AJ5452">
        <v>81.606054679508006</v>
      </c>
      <c r="AK5452">
        <v>171.82464254761999</v>
      </c>
      <c r="AL5452">
        <v>77.6400425331978</v>
      </c>
      <c r="AM5452">
        <v>90.266859172048797</v>
      </c>
      <c r="AN5452">
        <v>0.99999998189394901</v>
      </c>
    </row>
    <row r="5453" spans="1:40" x14ac:dyDescent="0.25">
      <c r="A5453" t="str">
        <f>"20190303170921736"</f>
        <v>20190303170921736</v>
      </c>
      <c r="B5453" t="str">
        <f>"1551604161728988"</f>
        <v>1551604161728988</v>
      </c>
      <c r="C5453" t="s">
        <v>40</v>
      </c>
      <c r="D5453">
        <v>4.2548380000000003</v>
      </c>
      <c r="E5453">
        <v>0.56338820000000001</v>
      </c>
      <c r="F5453" t="s">
        <v>53</v>
      </c>
      <c r="G5453">
        <v>-168.35059999999999</v>
      </c>
      <c r="H5453">
        <v>0.8724594</v>
      </c>
      <c r="I5453">
        <v>221.97319999999999</v>
      </c>
      <c r="J5453">
        <v>-187.5471</v>
      </c>
      <c r="K5453">
        <v>1.1201570000000001</v>
      </c>
      <c r="L5453">
        <v>52.9647199999999</v>
      </c>
      <c r="M5453">
        <v>-3.3830510000000001E-2</v>
      </c>
      <c r="N5453">
        <v>-1.3122129999999999E-2</v>
      </c>
      <c r="O5453">
        <v>0.99934140000000005</v>
      </c>
      <c r="P5453">
        <v>-3.7664620000000003E-2</v>
      </c>
      <c r="Q5453">
        <v>0.20075129999999999</v>
      </c>
      <c r="R5453">
        <v>0.97891790000000001</v>
      </c>
      <c r="S5453">
        <v>0.34857179999999999</v>
      </c>
      <c r="T5453">
        <v>-4.5008660000000001E-3</v>
      </c>
      <c r="U5453">
        <v>3.0798030000000001</v>
      </c>
      <c r="V5453">
        <v>-4.1601709999999998E-3</v>
      </c>
      <c r="W5453">
        <v>0.21359620000000001</v>
      </c>
      <c r="X5453">
        <v>0.97691320000000004</v>
      </c>
      <c r="Y5453">
        <v>0.14599470000000001</v>
      </c>
      <c r="Z5453">
        <v>1.1699609999999999E-2</v>
      </c>
      <c r="AA5453">
        <v>0.98921619999999999</v>
      </c>
      <c r="AB5453">
        <v>40</v>
      </c>
      <c r="AC5453">
        <v>19.1965</v>
      </c>
      <c r="AD5453">
        <v>-0.24769759999999999</v>
      </c>
      <c r="AE5453">
        <v>169.00847999999999</v>
      </c>
      <c r="AF5453">
        <v>24.903592525878199</v>
      </c>
      <c r="AG5453">
        <v>-0.24769759999999999</v>
      </c>
      <c r="AH5453">
        <v>168.26188010257499</v>
      </c>
      <c r="AI5453">
        <v>90.083435913533194</v>
      </c>
      <c r="AJ5453">
        <v>81.581059129447695</v>
      </c>
      <c r="AK5453">
        <v>170.09500454290099</v>
      </c>
      <c r="AL5453">
        <v>77.666817803900301</v>
      </c>
      <c r="AM5453">
        <v>90.243991789142001</v>
      </c>
      <c r="AN5453">
        <v>1.0000000220057099</v>
      </c>
    </row>
    <row r="5454" spans="1:40" x14ac:dyDescent="0.25">
      <c r="A5454" t="str">
        <f>"20190303170921777"</f>
        <v>20190303170921777</v>
      </c>
      <c r="B5454" t="str">
        <f>"1551604161769004"</f>
        <v>1551604161769004</v>
      </c>
      <c r="C5454" t="s">
        <v>40</v>
      </c>
      <c r="D5454">
        <v>4.2755369999999999</v>
      </c>
      <c r="E5454">
        <v>0.56364799999999904</v>
      </c>
      <c r="F5454" t="s">
        <v>53</v>
      </c>
      <c r="G5454">
        <v>-168.18260000000001</v>
      </c>
      <c r="H5454">
        <v>0.75734899999999905</v>
      </c>
      <c r="I5454">
        <v>221.6901</v>
      </c>
      <c r="J5454">
        <v>-187.5712</v>
      </c>
      <c r="K5454">
        <v>1.120123</v>
      </c>
      <c r="L5454">
        <v>53.720179999999999</v>
      </c>
      <c r="M5454">
        <v>-3.2507670000000002E-2</v>
      </c>
      <c r="N5454">
        <v>-1.312024E-2</v>
      </c>
      <c r="O5454">
        <v>0.99938539999999998</v>
      </c>
      <c r="P5454">
        <v>-3.5944120000000003E-2</v>
      </c>
      <c r="Q5454">
        <v>0.19941130000000001</v>
      </c>
      <c r="R5454">
        <v>0.97925649999999997</v>
      </c>
      <c r="S5454">
        <v>0.35343930000000001</v>
      </c>
      <c r="T5454">
        <v>-6.6208839999999996E-3</v>
      </c>
      <c r="U5454">
        <v>3.0795590000000002</v>
      </c>
      <c r="V5454">
        <v>-3.711284E-3</v>
      </c>
      <c r="W5454">
        <v>0.21225810000000001</v>
      </c>
      <c r="X5454">
        <v>0.97720660000000004</v>
      </c>
      <c r="Y5454">
        <v>0.1462376</v>
      </c>
      <c r="Z5454">
        <v>1.101513E-2</v>
      </c>
      <c r="AA5454">
        <v>0.98918810000000001</v>
      </c>
      <c r="AB5454">
        <v>40</v>
      </c>
      <c r="AC5454">
        <v>19.3886</v>
      </c>
      <c r="AD5454">
        <v>-0.36277399999999999</v>
      </c>
      <c r="AE5454">
        <v>167.96992</v>
      </c>
      <c r="AF5454">
        <v>24.839017328520502</v>
      </c>
      <c r="AG5454">
        <v>-0.36277399999999999</v>
      </c>
      <c r="AH5454">
        <v>167.25002793658001</v>
      </c>
      <c r="AI5454">
        <v>90.122929034400599</v>
      </c>
      <c r="AJ5454">
        <v>81.552504839582497</v>
      </c>
      <c r="AK5454">
        <v>169.084831465181</v>
      </c>
      <c r="AL5454">
        <v>77.7452844995818</v>
      </c>
      <c r="AM5454">
        <v>90.217599725001406</v>
      </c>
      <c r="AN5454">
        <v>1.00000000686404</v>
      </c>
    </row>
    <row r="5455" spans="1:40" x14ac:dyDescent="0.25">
      <c r="A5455" t="str">
        <f>"20190303170921799"</f>
        <v>20190303170921799</v>
      </c>
      <c r="B5455" t="str">
        <f>"1551604161789501"</f>
        <v>1551604161789501</v>
      </c>
      <c r="C5455" t="s">
        <v>40</v>
      </c>
      <c r="D5455">
        <v>4.2422319999999996</v>
      </c>
      <c r="E5455">
        <v>0.56375159999999902</v>
      </c>
      <c r="F5455" t="s">
        <v>54</v>
      </c>
      <c r="G5455">
        <v>-169.39250000000001</v>
      </c>
      <c r="H5455">
        <v>0.54546169999999905</v>
      </c>
      <c r="I5455">
        <v>208.88900000000001</v>
      </c>
      <c r="J5455">
        <v>-187.58320000000001</v>
      </c>
      <c r="K5455">
        <v>1.1201019999999999</v>
      </c>
      <c r="L5455">
        <v>54.109409999999997</v>
      </c>
      <c r="M5455">
        <v>-3.1816780000000003E-2</v>
      </c>
      <c r="N5455">
        <v>-1.311404E-2</v>
      </c>
      <c r="O5455">
        <v>0.99940770000000001</v>
      </c>
      <c r="P5455">
        <v>-3.5639039999999997E-2</v>
      </c>
      <c r="Q5455">
        <v>0.19990069999999999</v>
      </c>
      <c r="R5455">
        <v>0.97916780000000003</v>
      </c>
      <c r="S5455">
        <v>0.36073300000000003</v>
      </c>
      <c r="T5455">
        <v>-1.140273E-2</v>
      </c>
      <c r="U5455">
        <v>3.079132</v>
      </c>
      <c r="V5455">
        <v>-4.0784970000000004E-3</v>
      </c>
      <c r="W5455">
        <v>0.21274029999999999</v>
      </c>
      <c r="X5455">
        <v>0.97710030000000003</v>
      </c>
      <c r="Y5455">
        <v>0.1478814</v>
      </c>
      <c r="Z5455">
        <v>9.4711629999999995E-3</v>
      </c>
      <c r="AA5455">
        <v>0.9889597</v>
      </c>
      <c r="AB5455">
        <v>40</v>
      </c>
      <c r="AC5455">
        <v>18.1907</v>
      </c>
      <c r="AD5455">
        <v>-0.57464029999999999</v>
      </c>
      <c r="AE5455">
        <v>154.77958999999899</v>
      </c>
      <c r="AF5455">
        <v>23.1061862338757</v>
      </c>
      <c r="AG5455">
        <v>-0.57464029999999999</v>
      </c>
      <c r="AH5455">
        <v>154.12029975088601</v>
      </c>
      <c r="AI5455">
        <v>90.211266258930806</v>
      </c>
      <c r="AJ5455">
        <v>81.4735460302051</v>
      </c>
      <c r="AK5455">
        <v>155.84380914573401</v>
      </c>
      <c r="AL5455">
        <v>77.717011060718804</v>
      </c>
      <c r="AM5455">
        <v>90.239155906240597</v>
      </c>
      <c r="AN5455">
        <v>1.0000000328209699</v>
      </c>
    </row>
    <row r="5456" spans="1:40" x14ac:dyDescent="0.25">
      <c r="A5456" t="str">
        <f>"20190303170921823"</f>
        <v>20190303170921823</v>
      </c>
      <c r="B5456" t="str">
        <f>"1551604161819756"</f>
        <v>1551604161819756</v>
      </c>
      <c r="C5456" t="s">
        <v>40</v>
      </c>
      <c r="D5456">
        <v>4.278543</v>
      </c>
      <c r="E5456">
        <v>0.56393499999999996</v>
      </c>
      <c r="F5456" t="s">
        <v>54</v>
      </c>
      <c r="G5456">
        <v>-169.39269999999999</v>
      </c>
      <c r="H5456">
        <v>0.63296319999999995</v>
      </c>
      <c r="I5456">
        <v>208.4134</v>
      </c>
      <c r="J5456">
        <v>-187.59630000000001</v>
      </c>
      <c r="K5456">
        <v>1.1200950000000001</v>
      </c>
      <c r="L5456">
        <v>54.543819999999997</v>
      </c>
      <c r="M5456">
        <v>-3.1042529999999999E-2</v>
      </c>
      <c r="N5456">
        <v>-1.3103470000000001E-2</v>
      </c>
      <c r="O5456">
        <v>0.99943210000000005</v>
      </c>
      <c r="P5456">
        <v>-3.5373549999999997E-2</v>
      </c>
      <c r="Q5456">
        <v>0.2010912</v>
      </c>
      <c r="R5456">
        <v>0.97893359999999996</v>
      </c>
      <c r="S5456">
        <v>0.36297610000000002</v>
      </c>
      <c r="T5456">
        <v>-9.7197289999999999E-3</v>
      </c>
      <c r="U5456">
        <v>3.0790099999999998</v>
      </c>
      <c r="V5456">
        <v>-4.5716309999999996E-3</v>
      </c>
      <c r="W5456">
        <v>0.21391850000000001</v>
      </c>
      <c r="X5456">
        <v>0.97684079999999995</v>
      </c>
      <c r="Y5456">
        <v>0.1478303</v>
      </c>
      <c r="Z5456">
        <v>1.0001289999999999E-2</v>
      </c>
      <c r="AA5456">
        <v>0.98896220000000001</v>
      </c>
      <c r="AB5456">
        <v>40</v>
      </c>
      <c r="AC5456">
        <v>18.203600000000002</v>
      </c>
      <c r="AD5456">
        <v>-0.4871318</v>
      </c>
      <c r="AE5456">
        <v>153.86957999999899</v>
      </c>
      <c r="AF5456">
        <v>22.971509971684199</v>
      </c>
      <c r="AG5456">
        <v>-0.4871318</v>
      </c>
      <c r="AH5456">
        <v>153.22876310997401</v>
      </c>
      <c r="AI5456">
        <v>90.180136222419193</v>
      </c>
      <c r="AJ5456">
        <v>81.473916987146794</v>
      </c>
      <c r="AK5456">
        <v>154.941864620193</v>
      </c>
      <c r="AL5456">
        <v>77.647914011914295</v>
      </c>
      <c r="AM5456">
        <v>90.268143232209994</v>
      </c>
      <c r="AN5456">
        <v>0.99999998649844501</v>
      </c>
    </row>
    <row r="5457" spans="1:40" x14ac:dyDescent="0.25">
      <c r="A5457" t="str">
        <f>"20190303170921845"</f>
        <v>20190303170921845</v>
      </c>
      <c r="B5457" t="str">
        <f>"1551604161839276"</f>
        <v>1551604161839276</v>
      </c>
      <c r="C5457" t="s">
        <v>40</v>
      </c>
      <c r="D5457">
        <v>4.2822639999999996</v>
      </c>
      <c r="E5457">
        <v>0.56400380000000006</v>
      </c>
      <c r="F5457" t="s">
        <v>54</v>
      </c>
      <c r="G5457">
        <v>-169.3828</v>
      </c>
      <c r="H5457">
        <v>0.81869510000000001</v>
      </c>
      <c r="I5457">
        <v>208.21539999999999</v>
      </c>
      <c r="J5457">
        <v>-187.60740000000001</v>
      </c>
      <c r="K5457">
        <v>1.120088</v>
      </c>
      <c r="L5457">
        <v>54.920259999999999</v>
      </c>
      <c r="M5457">
        <v>-3.0370020000000001E-2</v>
      </c>
      <c r="N5457">
        <v>-1.309041E-2</v>
      </c>
      <c r="O5457">
        <v>0.99945300000000004</v>
      </c>
      <c r="P5457">
        <v>-3.5049329999999997E-2</v>
      </c>
      <c r="Q5457">
        <v>0.20100660000000001</v>
      </c>
      <c r="R5457">
        <v>0.97896269999999996</v>
      </c>
      <c r="S5457">
        <v>0.36492920000000001</v>
      </c>
      <c r="T5457">
        <v>-6.0381890000000002E-3</v>
      </c>
      <c r="U5457">
        <v>3.0789789999999999</v>
      </c>
      <c r="V5457">
        <v>-4.9015200000000004E-3</v>
      </c>
      <c r="W5457">
        <v>0.21382209999999999</v>
      </c>
      <c r="X5457">
        <v>0.97686030000000001</v>
      </c>
      <c r="Y5457">
        <v>0.14778429999999901</v>
      </c>
      <c r="Z5457">
        <v>1.117188E-2</v>
      </c>
      <c r="AA5457">
        <v>0.98895650000000002</v>
      </c>
      <c r="AB5457">
        <v>40</v>
      </c>
      <c r="AC5457">
        <v>18.224599999999999</v>
      </c>
      <c r="AD5457">
        <v>-0.30139290000000002</v>
      </c>
      <c r="AE5457">
        <v>153.29514</v>
      </c>
      <c r="AF5457">
        <v>22.8720802328125</v>
      </c>
      <c r="AG5457">
        <v>-0.30139290000000002</v>
      </c>
      <c r="AH5457">
        <v>152.67030577123199</v>
      </c>
      <c r="AI5457">
        <v>90.111861525084805</v>
      </c>
      <c r="AJ5457">
        <v>81.4796824933685</v>
      </c>
      <c r="AK5457">
        <v>154.374366901173</v>
      </c>
      <c r="AL5457">
        <v>77.653568075389103</v>
      </c>
      <c r="AM5457">
        <v>90.287486401486106</v>
      </c>
      <c r="AN5457">
        <v>0.99999998053140504</v>
      </c>
    </row>
    <row r="5458" spans="1:40" x14ac:dyDescent="0.25">
      <c r="A5458" t="str">
        <f>"20190303170921866"</f>
        <v>20190303170921866</v>
      </c>
      <c r="B5458" t="str">
        <f>"1551604161859772"</f>
        <v>1551604161859772</v>
      </c>
      <c r="C5458" t="s">
        <v>40</v>
      </c>
      <c r="D5458">
        <v>5.7476849999999997</v>
      </c>
      <c r="E5458">
        <v>0.56406809999999996</v>
      </c>
      <c r="F5458" t="s">
        <v>54</v>
      </c>
      <c r="G5458">
        <v>-169.37049999999999</v>
      </c>
      <c r="H5458">
        <v>0.79729839999999996</v>
      </c>
      <c r="I5458">
        <v>208.21539999999999</v>
      </c>
      <c r="J5458">
        <v>-187.6189</v>
      </c>
      <c r="K5458">
        <v>1.120074</v>
      </c>
      <c r="L5458">
        <v>55.320189999999997</v>
      </c>
      <c r="M5458">
        <v>-2.965489E-2</v>
      </c>
      <c r="N5458">
        <v>-1.307469E-2</v>
      </c>
      <c r="O5458">
        <v>0.99947470000000005</v>
      </c>
      <c r="P5458">
        <v>-3.5144920000000003E-2</v>
      </c>
      <c r="Q5458">
        <v>0.1999002</v>
      </c>
      <c r="R5458">
        <v>0.9791858</v>
      </c>
      <c r="S5458">
        <v>0.36628719999999998</v>
      </c>
      <c r="T5458">
        <v>-6.4824820000000003E-3</v>
      </c>
      <c r="U5458">
        <v>3.0789179999999998</v>
      </c>
      <c r="V5458">
        <v>-5.6896789999999996E-3</v>
      </c>
      <c r="W5458">
        <v>0.2127049</v>
      </c>
      <c r="X5458">
        <v>0.97709990000000002</v>
      </c>
      <c r="Y5458">
        <v>0.14750929999999901</v>
      </c>
      <c r="Z5458">
        <v>1.101267E-2</v>
      </c>
      <c r="AA5458">
        <v>0.98899939999999997</v>
      </c>
      <c r="AB5458">
        <v>40</v>
      </c>
      <c r="AC5458">
        <v>18.2484</v>
      </c>
      <c r="AD5458">
        <v>-0.322775599999999</v>
      </c>
      <c r="AE5458">
        <v>152.89520999999999</v>
      </c>
      <c r="AF5458">
        <v>22.774751000649399</v>
      </c>
      <c r="AG5458">
        <v>-0.322775599999999</v>
      </c>
      <c r="AH5458">
        <v>152.28608502932801</v>
      </c>
      <c r="AI5458">
        <v>90.120104502513598</v>
      </c>
      <c r="AJ5458">
        <v>81.494316746720997</v>
      </c>
      <c r="AK5458">
        <v>153.98001545911501</v>
      </c>
      <c r="AL5458">
        <v>77.719086190990794</v>
      </c>
      <c r="AM5458">
        <v>90.333631094414997</v>
      </c>
      <c r="AN5458">
        <v>0.99999998075557095</v>
      </c>
    </row>
    <row r="5459" spans="1:40" x14ac:dyDescent="0.25">
      <c r="A5459" t="str">
        <f>"20190303170921889"</f>
        <v>20190303170921889</v>
      </c>
      <c r="B5459" t="str">
        <f>"1551604161879292"</f>
        <v>1551604161879292</v>
      </c>
      <c r="C5459" t="s">
        <v>40</v>
      </c>
      <c r="D5459">
        <v>4.3182689999999999</v>
      </c>
      <c r="E5459">
        <v>0.56413809999999998</v>
      </c>
      <c r="F5459" t="s">
        <v>54</v>
      </c>
      <c r="G5459">
        <v>-169.38669999999999</v>
      </c>
      <c r="H5459">
        <v>0.62644960000000005</v>
      </c>
      <c r="I5459">
        <v>208.21549999999999</v>
      </c>
      <c r="J5459">
        <v>-187.63</v>
      </c>
      <c r="K5459">
        <v>1.120069</v>
      </c>
      <c r="L5459">
        <v>55.715820000000001</v>
      </c>
      <c r="M5459">
        <v>-2.894708E-2</v>
      </c>
      <c r="N5459">
        <v>-1.305916E-2</v>
      </c>
      <c r="O5459">
        <v>0.99949560000000004</v>
      </c>
      <c r="P5459">
        <v>-3.5093230000000003E-2</v>
      </c>
      <c r="Q5459">
        <v>0.19902839999999999</v>
      </c>
      <c r="R5459">
        <v>0.97936520000000005</v>
      </c>
      <c r="S5459">
        <v>0.36715700000000001</v>
      </c>
      <c r="T5459">
        <v>-9.9397900000000004E-3</v>
      </c>
      <c r="U5459">
        <v>3.0789789999999999</v>
      </c>
      <c r="V5459">
        <v>-6.3250329999999999E-3</v>
      </c>
      <c r="W5459">
        <v>0.2118215</v>
      </c>
      <c r="X5459">
        <v>0.97728789999999999</v>
      </c>
      <c r="Y5459">
        <v>0.147082399999999</v>
      </c>
      <c r="Z5459">
        <v>9.8844980000000002E-3</v>
      </c>
      <c r="AA5459">
        <v>0.98907489999999998</v>
      </c>
      <c r="AB5459">
        <v>40</v>
      </c>
      <c r="AC5459">
        <v>18.243300000000001</v>
      </c>
      <c r="AD5459">
        <v>-0.49361939999999899</v>
      </c>
      <c r="AE5459">
        <v>152.49968000000001</v>
      </c>
      <c r="AF5459">
        <v>22.650216856437702</v>
      </c>
      <c r="AG5459">
        <v>-0.49361939999999899</v>
      </c>
      <c r="AH5459">
        <v>151.906058992639</v>
      </c>
      <c r="AI5459">
        <v>90.184146449695703</v>
      </c>
      <c r="AJ5459">
        <v>81.519294896876502</v>
      </c>
      <c r="AK5459">
        <v>153.58621924648901</v>
      </c>
      <c r="AL5459">
        <v>77.770881769082195</v>
      </c>
      <c r="AM5459">
        <v>90.370814614992796</v>
      </c>
      <c r="AN5459">
        <v>0.99999999669555495</v>
      </c>
    </row>
    <row r="5460" spans="1:40" x14ac:dyDescent="0.25">
      <c r="A5460" t="str">
        <f>"20190303170921911"</f>
        <v>20190303170921911</v>
      </c>
      <c r="B5460" t="str">
        <f>"1551604161899789"</f>
        <v>1551604161899789</v>
      </c>
      <c r="C5460" t="s">
        <v>40</v>
      </c>
      <c r="D5460">
        <v>4.3359129999999997</v>
      </c>
      <c r="E5460">
        <v>0.56421719999999997</v>
      </c>
      <c r="F5460" t="s">
        <v>54</v>
      </c>
      <c r="G5460">
        <v>-169.39269999999999</v>
      </c>
      <c r="H5460">
        <v>0.48971559999999997</v>
      </c>
      <c r="I5460">
        <v>208.25409999999999</v>
      </c>
      <c r="J5460">
        <v>-187.64109999999999</v>
      </c>
      <c r="K5460">
        <v>1.1200639999999999</v>
      </c>
      <c r="L5460">
        <v>56.122039999999998</v>
      </c>
      <c r="M5460">
        <v>-2.822001E-2</v>
      </c>
      <c r="N5460">
        <v>-1.3044149999999999E-2</v>
      </c>
      <c r="O5460">
        <v>0.99951659999999998</v>
      </c>
      <c r="P5460">
        <v>-3.3906449999999998E-2</v>
      </c>
      <c r="Q5460">
        <v>0.19956370000000001</v>
      </c>
      <c r="R5460">
        <v>0.97929809999999995</v>
      </c>
      <c r="S5460">
        <v>0.36811830000000001</v>
      </c>
      <c r="T5460">
        <v>-1.272297E-2</v>
      </c>
      <c r="U5460">
        <v>3.0789789999999999</v>
      </c>
      <c r="V5460">
        <v>-5.8504289999999999E-3</v>
      </c>
      <c r="W5460">
        <v>0.2123401</v>
      </c>
      <c r="X5460">
        <v>0.97717830000000006</v>
      </c>
      <c r="Y5460">
        <v>0.14666750000000001</v>
      </c>
      <c r="Z5460">
        <v>8.9735560000000006E-3</v>
      </c>
      <c r="AA5460">
        <v>0.98914519999999995</v>
      </c>
      <c r="AB5460">
        <v>40</v>
      </c>
      <c r="AC5460">
        <v>18.2484</v>
      </c>
      <c r="AD5460">
        <v>-0.63034839999999903</v>
      </c>
      <c r="AE5460">
        <v>152.13206</v>
      </c>
      <c r="AF5460">
        <v>22.534283348519601</v>
      </c>
      <c r="AG5460">
        <v>-0.63034839999999903</v>
      </c>
      <c r="AH5460">
        <v>151.55388216187399</v>
      </c>
      <c r="AI5460">
        <v>90.235713976987299</v>
      </c>
      <c r="AJ5460">
        <v>81.542751721421396</v>
      </c>
      <c r="AK5460">
        <v>153.22131204069501</v>
      </c>
      <c r="AL5460">
        <v>77.7404764119878</v>
      </c>
      <c r="AM5460">
        <v>90.343029399030399</v>
      </c>
      <c r="AN5460">
        <v>0.99999998778919197</v>
      </c>
    </row>
    <row r="5461" spans="1:40" x14ac:dyDescent="0.25">
      <c r="A5461" t="str">
        <f>"20190303170921934"</f>
        <v>20190303170921934</v>
      </c>
      <c r="B5461" t="str">
        <f>"1551604161929068"</f>
        <v>1551604161929068</v>
      </c>
      <c r="C5461" t="s">
        <v>40</v>
      </c>
      <c r="D5461">
        <v>4.3567119999999999</v>
      </c>
      <c r="E5461">
        <v>0.56430950000000002</v>
      </c>
      <c r="F5461" t="s">
        <v>54</v>
      </c>
      <c r="G5461">
        <v>-169.2405</v>
      </c>
      <c r="H5461">
        <v>0.57086559999999997</v>
      </c>
      <c r="I5461">
        <v>208.21539999999999</v>
      </c>
      <c r="J5461">
        <v>-187.6523</v>
      </c>
      <c r="K5461">
        <v>1.1200589999999999</v>
      </c>
      <c r="L5461">
        <v>56.548430000000003</v>
      </c>
      <c r="M5461">
        <v>-2.7456290000000001E-2</v>
      </c>
      <c r="N5461">
        <v>-1.3029550000000001E-2</v>
      </c>
      <c r="O5461">
        <v>0.99953809999999998</v>
      </c>
      <c r="P5461">
        <v>-3.243186E-2</v>
      </c>
      <c r="Q5461">
        <v>0.2004813</v>
      </c>
      <c r="R5461">
        <v>0.97916060000000005</v>
      </c>
      <c r="S5461">
        <v>0.3724518</v>
      </c>
      <c r="T5461">
        <v>-1.111579E-2</v>
      </c>
      <c r="U5461">
        <v>3.0785830000000001</v>
      </c>
      <c r="V5461">
        <v>-5.1248420000000001E-3</v>
      </c>
      <c r="W5461">
        <v>0.21323929999999999</v>
      </c>
      <c r="X5461">
        <v>0.97698649999999998</v>
      </c>
      <c r="Y5461">
        <v>0.14729909999999999</v>
      </c>
      <c r="Z5461">
        <v>9.4754629999999999E-3</v>
      </c>
      <c r="AA5461">
        <v>0.9890466</v>
      </c>
      <c r="AB5461">
        <v>40</v>
      </c>
      <c r="AC5461">
        <v>18.411799999999999</v>
      </c>
      <c r="AD5461">
        <v>-0.54919339999999905</v>
      </c>
      <c r="AE5461">
        <v>151.66696999999999</v>
      </c>
      <c r="AF5461">
        <v>22.569131807417801</v>
      </c>
      <c r="AG5461">
        <v>-0.54919339999999905</v>
      </c>
      <c r="AH5461">
        <v>151.10226749652301</v>
      </c>
      <c r="AI5461">
        <v>90.205960488956293</v>
      </c>
      <c r="AJ5461">
        <v>81.504915755282795</v>
      </c>
      <c r="AK5461">
        <v>152.77945727918399</v>
      </c>
      <c r="AL5461">
        <v>77.687747899089899</v>
      </c>
      <c r="AM5461">
        <v>90.300545733368693</v>
      </c>
      <c r="AN5461">
        <v>0.99999994212612997</v>
      </c>
    </row>
    <row r="5462" spans="1:40" x14ac:dyDescent="0.25">
      <c r="A5462" t="str">
        <f>"20190303170921958"</f>
        <v>20190303170921958</v>
      </c>
      <c r="B5462" t="str">
        <f>"1551604161949564"</f>
        <v>1551604161949564</v>
      </c>
      <c r="C5462" t="s">
        <v>40</v>
      </c>
      <c r="D5462">
        <v>4.352881</v>
      </c>
      <c r="E5462">
        <v>0.56440290000000004</v>
      </c>
      <c r="F5462" t="s">
        <v>54</v>
      </c>
      <c r="G5462">
        <v>-169.05860000000001</v>
      </c>
      <c r="H5462">
        <v>0.69152259999999999</v>
      </c>
      <c r="I5462">
        <v>208.21530000000001</v>
      </c>
      <c r="J5462">
        <v>-187.6634</v>
      </c>
      <c r="K5462">
        <v>1.1200479999999999</v>
      </c>
      <c r="L5462">
        <v>56.977510000000002</v>
      </c>
      <c r="M5462">
        <v>-2.6687579999999999E-2</v>
      </c>
      <c r="N5462">
        <v>-1.3016150000000001E-2</v>
      </c>
      <c r="O5462">
        <v>0.99955910000000003</v>
      </c>
      <c r="P5462">
        <v>-3.1790840000000001E-2</v>
      </c>
      <c r="Q5462">
        <v>0.2007369</v>
      </c>
      <c r="R5462">
        <v>0.97912929999999998</v>
      </c>
      <c r="S5462">
        <v>0.37736510000000001</v>
      </c>
      <c r="T5462">
        <v>-8.6965559999999994E-3</v>
      </c>
      <c r="U5462">
        <v>3.078125</v>
      </c>
      <c r="V5462">
        <v>-5.2363660000000001E-3</v>
      </c>
      <c r="W5462">
        <v>0.21348159999999999</v>
      </c>
      <c r="X5462">
        <v>0.9769331</v>
      </c>
      <c r="Y5462">
        <v>0.148111299999999</v>
      </c>
      <c r="Z5462">
        <v>1.023986E-2</v>
      </c>
      <c r="AA5462">
        <v>0.98891770000000001</v>
      </c>
      <c r="AB5462">
        <v>40</v>
      </c>
      <c r="AC5462">
        <v>18.604799999999901</v>
      </c>
      <c r="AD5462">
        <v>-0.4285254</v>
      </c>
      <c r="AE5462">
        <v>151.23778999999999</v>
      </c>
      <c r="AF5462">
        <v>22.634505749709099</v>
      </c>
      <c r="AG5462">
        <v>-0.4285254</v>
      </c>
      <c r="AH5462">
        <v>150.68616257941699</v>
      </c>
      <c r="AI5462">
        <v>90.161131208120395</v>
      </c>
      <c r="AJ5462">
        <v>81.457490730550504</v>
      </c>
      <c r="AK5462">
        <v>152.37724264949301</v>
      </c>
      <c r="AL5462">
        <v>77.673539244542098</v>
      </c>
      <c r="AM5462">
        <v>90.307102706073394</v>
      </c>
      <c r="AN5462">
        <v>1.00000004747152</v>
      </c>
    </row>
    <row r="5463" spans="1:40" x14ac:dyDescent="0.25">
      <c r="A5463" t="str">
        <f>"20190303170921980"</f>
        <v>20190303170921980</v>
      </c>
      <c r="B5463" t="str">
        <f>"1551604161969085"</f>
        <v>1551604161969085</v>
      </c>
      <c r="C5463" t="s">
        <v>40</v>
      </c>
      <c r="D5463">
        <v>4.3872749999999998</v>
      </c>
      <c r="E5463">
        <v>0.56446549999999995</v>
      </c>
      <c r="F5463" t="s">
        <v>54</v>
      </c>
      <c r="G5463">
        <v>-168.94669999999999</v>
      </c>
      <c r="H5463">
        <v>0.74748040000000004</v>
      </c>
      <c r="I5463">
        <v>208.21530000000001</v>
      </c>
      <c r="J5463">
        <v>-187.67320000000001</v>
      </c>
      <c r="K5463">
        <v>1.12005</v>
      </c>
      <c r="L5463">
        <v>57.368870000000001</v>
      </c>
      <c r="M5463">
        <v>-2.5986189999999999E-2</v>
      </c>
      <c r="N5463">
        <v>-1.3005020000000001E-2</v>
      </c>
      <c r="O5463">
        <v>0.99957770000000001</v>
      </c>
      <c r="P5463">
        <v>-3.1143730000000001E-2</v>
      </c>
      <c r="Q5463">
        <v>0.20049</v>
      </c>
      <c r="R5463">
        <v>0.97920059999999998</v>
      </c>
      <c r="S5463">
        <v>0.3809052</v>
      </c>
      <c r="T5463">
        <v>-7.5813529999999999E-3</v>
      </c>
      <c r="U5463">
        <v>3.0778500000000002</v>
      </c>
      <c r="V5463">
        <v>-5.2744000000000003E-3</v>
      </c>
      <c r="W5463">
        <v>0.21322440000000001</v>
      </c>
      <c r="X5463">
        <v>0.976989</v>
      </c>
      <c r="Y5463">
        <v>0.14854829999999999</v>
      </c>
      <c r="Z5463">
        <v>1.0587070000000001E-2</v>
      </c>
      <c r="AA5463">
        <v>0.98884839999999996</v>
      </c>
      <c r="AB5463">
        <v>40</v>
      </c>
      <c r="AC5463">
        <v>18.726500000000001</v>
      </c>
      <c r="AD5463">
        <v>-0.3725696</v>
      </c>
      <c r="AE5463">
        <v>150.84643</v>
      </c>
      <c r="AF5463">
        <v>22.640294553050101</v>
      </c>
      <c r="AG5463">
        <v>-0.3725696</v>
      </c>
      <c r="AH5463">
        <v>150.30790629515801</v>
      </c>
      <c r="AI5463">
        <v>90.140435118597395</v>
      </c>
      <c r="AJ5463">
        <v>81.434153799031293</v>
      </c>
      <c r="AK5463">
        <v>152.00390929311499</v>
      </c>
      <c r="AL5463">
        <v>77.6886222394957</v>
      </c>
      <c r="AM5463">
        <v>90.309315584531006</v>
      </c>
      <c r="AN5463">
        <v>0.99999998508585997</v>
      </c>
    </row>
    <row r="5464" spans="1:40" x14ac:dyDescent="0.25">
      <c r="A5464" t="str">
        <f>"20190303170922001"</f>
        <v>20190303170922001</v>
      </c>
      <c r="B5464" t="str">
        <f>"1551604161989581"</f>
        <v>1551604161989581</v>
      </c>
      <c r="C5464" t="s">
        <v>40</v>
      </c>
      <c r="D5464">
        <v>4.3889769999999997</v>
      </c>
      <c r="E5464">
        <v>0.56451099999999999</v>
      </c>
      <c r="F5464" t="s">
        <v>54</v>
      </c>
      <c r="G5464">
        <v>-168.9144</v>
      </c>
      <c r="H5464">
        <v>0.67812919999999999</v>
      </c>
      <c r="I5464">
        <v>208.21530000000001</v>
      </c>
      <c r="J5464">
        <v>-187.6823</v>
      </c>
      <c r="K5464">
        <v>1.120045</v>
      </c>
      <c r="L5464">
        <v>57.745240000000003</v>
      </c>
      <c r="M5464">
        <v>-2.5311549999999999E-2</v>
      </c>
      <c r="N5464">
        <v>-1.299528E-2</v>
      </c>
      <c r="O5464">
        <v>0.99959520000000002</v>
      </c>
      <c r="P5464">
        <v>-3.02866E-2</v>
      </c>
      <c r="Q5464">
        <v>0.19931080000000001</v>
      </c>
      <c r="R5464">
        <v>0.97946820000000001</v>
      </c>
      <c r="S5464">
        <v>0.38273620000000003</v>
      </c>
      <c r="T5464">
        <v>-9.0157989999999997E-3</v>
      </c>
      <c r="U5464">
        <v>3.077728</v>
      </c>
      <c r="V5464">
        <v>-5.0735550000000004E-3</v>
      </c>
      <c r="W5464">
        <v>0.21203859999999999</v>
      </c>
      <c r="X5464">
        <v>0.97724809999999995</v>
      </c>
      <c r="Y5464">
        <v>0.14846519999999999</v>
      </c>
      <c r="Z5464">
        <v>1.0115320000000001E-2</v>
      </c>
      <c r="AA5464">
        <v>0.98886589999999996</v>
      </c>
      <c r="AB5464">
        <v>40</v>
      </c>
      <c r="AC5464">
        <v>18.767900000000001</v>
      </c>
      <c r="AD5464">
        <v>-0.44191580000000003</v>
      </c>
      <c r="AE5464">
        <v>150.47005999999999</v>
      </c>
      <c r="AF5464">
        <v>22.570646128292399</v>
      </c>
      <c r="AG5464">
        <v>-0.44191580000000003</v>
      </c>
      <c r="AH5464">
        <v>149.94548471358601</v>
      </c>
      <c r="AI5464">
        <v>90.166979183798901</v>
      </c>
      <c r="AJ5464">
        <v>81.439780159906604</v>
      </c>
      <c r="AK5464">
        <v>151.635344633812</v>
      </c>
      <c r="AL5464">
        <v>77.758153514735596</v>
      </c>
      <c r="AM5464">
        <v>90.297458421189503</v>
      </c>
      <c r="AN5464">
        <v>0.99999997890195302</v>
      </c>
    </row>
    <row r="5465" spans="1:40" x14ac:dyDescent="0.25">
      <c r="A5465" t="str">
        <f>"20190303170922025"</f>
        <v>20190303170922025</v>
      </c>
      <c r="B5465" t="str">
        <f>"1551604162019836"</f>
        <v>1551604162019836</v>
      </c>
      <c r="C5465" t="s">
        <v>40</v>
      </c>
      <c r="D5465">
        <v>4.4144949999999996</v>
      </c>
      <c r="E5465">
        <v>0.56456930000000005</v>
      </c>
      <c r="F5465" t="s">
        <v>54</v>
      </c>
      <c r="G5465">
        <v>-168.81129999999999</v>
      </c>
      <c r="H5465">
        <v>0.4904423</v>
      </c>
      <c r="I5465">
        <v>208.21530000000001</v>
      </c>
      <c r="J5465">
        <v>-187.6927</v>
      </c>
      <c r="K5465">
        <v>1.1200429999999999</v>
      </c>
      <c r="L5465">
        <v>58.182830000000003</v>
      </c>
      <c r="M5465">
        <v>-2.4527299999999998E-2</v>
      </c>
      <c r="N5465">
        <v>-1.298508E-2</v>
      </c>
      <c r="O5465">
        <v>0.99961480000000003</v>
      </c>
      <c r="P5465">
        <v>-2.9845480000000001E-2</v>
      </c>
      <c r="Q5465">
        <v>0.19847480000000001</v>
      </c>
      <c r="R5465">
        <v>0.97965150000000001</v>
      </c>
      <c r="S5465">
        <v>0.38595580000000002</v>
      </c>
      <c r="T5465">
        <v>-1.287603E-2</v>
      </c>
      <c r="U5465">
        <v>3.0774539999999999</v>
      </c>
      <c r="V5465">
        <v>-5.3979569999999897E-3</v>
      </c>
      <c r="W5465">
        <v>0.21119560000000001</v>
      </c>
      <c r="X5465">
        <v>0.97742890000000004</v>
      </c>
      <c r="Y5465">
        <v>0.14871909999999999</v>
      </c>
      <c r="Z5465">
        <v>8.8626529999999999E-3</v>
      </c>
      <c r="AA5465">
        <v>0.98883969999999999</v>
      </c>
      <c r="AB5465">
        <v>40</v>
      </c>
      <c r="AC5465">
        <v>18.881399999999999</v>
      </c>
      <c r="AD5465">
        <v>-0.62960070000000001</v>
      </c>
      <c r="AE5465">
        <v>150.03246999999999</v>
      </c>
      <c r="AF5465">
        <v>22.555529532389201</v>
      </c>
      <c r="AG5465">
        <v>-0.62960070000000001</v>
      </c>
      <c r="AH5465">
        <v>149.521585847349</v>
      </c>
      <c r="AI5465">
        <v>90.238558769707097</v>
      </c>
      <c r="AJ5465">
        <v>81.421536296650999</v>
      </c>
      <c r="AK5465">
        <v>151.21459236407699</v>
      </c>
      <c r="AL5465">
        <v>77.807573181830094</v>
      </c>
      <c r="AM5465">
        <v>90.316418933269304</v>
      </c>
      <c r="AN5465">
        <v>0.99999998697717096</v>
      </c>
    </row>
    <row r="5466" spans="1:40" x14ac:dyDescent="0.25">
      <c r="A5466" t="str">
        <f>"20190303170922045"</f>
        <v>20190303170922045</v>
      </c>
      <c r="B5466" t="str">
        <f>"1551604162039357"</f>
        <v>1551604162039357</v>
      </c>
      <c r="C5466" t="s">
        <v>40</v>
      </c>
      <c r="D5466">
        <v>4.436909</v>
      </c>
      <c r="E5466">
        <v>0.56463730000000001</v>
      </c>
      <c r="F5466" t="s">
        <v>54</v>
      </c>
      <c r="G5466">
        <v>-168.77619999999999</v>
      </c>
      <c r="H5466">
        <v>0.34159469999999997</v>
      </c>
      <c r="I5466">
        <v>208.21530000000001</v>
      </c>
      <c r="J5466">
        <v>-187.70070000000001</v>
      </c>
      <c r="K5466">
        <v>1.1200380000000001</v>
      </c>
      <c r="L5466">
        <v>58.535159999999998</v>
      </c>
      <c r="M5466">
        <v>-2.3895679999999999E-2</v>
      </c>
      <c r="N5466">
        <v>-1.2977900000000001E-2</v>
      </c>
      <c r="O5466">
        <v>0.99963020000000002</v>
      </c>
      <c r="P5466">
        <v>-2.8852030000000001E-2</v>
      </c>
      <c r="Q5466">
        <v>0.19855110000000001</v>
      </c>
      <c r="R5466">
        <v>0.97966580000000003</v>
      </c>
      <c r="S5466">
        <v>0.38800050000000003</v>
      </c>
      <c r="T5466">
        <v>-1.596618E-2</v>
      </c>
      <c r="U5466">
        <v>3.0773619999999999</v>
      </c>
      <c r="V5466">
        <v>-5.0226919999999996E-3</v>
      </c>
      <c r="W5466">
        <v>0.21126410000000001</v>
      </c>
      <c r="X5466">
        <v>0.97741610000000001</v>
      </c>
      <c r="Y5466">
        <v>0.14874479999999901</v>
      </c>
      <c r="Z5466">
        <v>7.8608640000000004E-3</v>
      </c>
      <c r="AA5466">
        <v>0.98884439999999996</v>
      </c>
      <c r="AB5466">
        <v>40</v>
      </c>
      <c r="AC5466">
        <v>18.924499999999998</v>
      </c>
      <c r="AD5466">
        <v>-0.77844329999999895</v>
      </c>
      <c r="AE5466">
        <v>149.68013999999999</v>
      </c>
      <c r="AF5466">
        <v>22.495506499427702</v>
      </c>
      <c r="AG5466">
        <v>-0.77844329999999895</v>
      </c>
      <c r="AH5466">
        <v>149.18116938292101</v>
      </c>
      <c r="AI5466">
        <v>90.295630633937293</v>
      </c>
      <c r="AJ5466">
        <v>81.424792393514295</v>
      </c>
      <c r="AK5466">
        <v>150.86972885603299</v>
      </c>
      <c r="AL5466">
        <v>77.803557856887707</v>
      </c>
      <c r="AM5466">
        <v>90.294425803233594</v>
      </c>
      <c r="AN5466">
        <v>0.99999998996147299</v>
      </c>
    </row>
    <row r="5467" spans="1:40" x14ac:dyDescent="0.25">
      <c r="A5467" t="str">
        <f>"20190303170922067"</f>
        <v>20190303170922067</v>
      </c>
      <c r="B5467" t="str">
        <f>"1551604162058876"</f>
        <v>1551604162058876</v>
      </c>
      <c r="C5467" t="s">
        <v>40</v>
      </c>
      <c r="D5467">
        <v>4.476515</v>
      </c>
      <c r="E5467">
        <v>0.56469139999999995</v>
      </c>
      <c r="F5467" t="s">
        <v>54</v>
      </c>
      <c r="G5467">
        <v>-168.679</v>
      </c>
      <c r="H5467">
        <v>0.31119730000000001</v>
      </c>
      <c r="I5467">
        <v>208.21530000000001</v>
      </c>
      <c r="J5467">
        <v>-187.7099</v>
      </c>
      <c r="K5467">
        <v>1.120028</v>
      </c>
      <c r="L5467">
        <v>58.944240000000001</v>
      </c>
      <c r="M5467">
        <v>-2.3162100000000001E-2</v>
      </c>
      <c r="N5467">
        <v>-1.2970300000000001E-2</v>
      </c>
      <c r="O5467">
        <v>0.99964759999999997</v>
      </c>
      <c r="P5467">
        <v>-2.7900390000000001E-2</v>
      </c>
      <c r="Q5467">
        <v>0.19773959999999999</v>
      </c>
      <c r="R5467">
        <v>0.97985739999999999</v>
      </c>
      <c r="S5467">
        <v>0.39105220000000002</v>
      </c>
      <c r="T5467">
        <v>-1.6627550000000001E-2</v>
      </c>
      <c r="U5467">
        <v>3.0771480000000002</v>
      </c>
      <c r="V5467">
        <v>-4.787726E-3</v>
      </c>
      <c r="W5467">
        <v>0.21044650000000001</v>
      </c>
      <c r="X5467">
        <v>0.97759370000000001</v>
      </c>
      <c r="Y5467">
        <v>0.14899289999999901</v>
      </c>
      <c r="Z5467">
        <v>7.6399579999999996E-3</v>
      </c>
      <c r="AA5467">
        <v>0.98880880000000004</v>
      </c>
      <c r="AB5467">
        <v>40</v>
      </c>
      <c r="AC5467">
        <v>19.030899999999999</v>
      </c>
      <c r="AD5467">
        <v>-0.80883070000000001</v>
      </c>
      <c r="AE5467">
        <v>149.27106000000001</v>
      </c>
      <c r="AF5467">
        <v>22.4828660423649</v>
      </c>
      <c r="AG5467">
        <v>-0.80883070000000001</v>
      </c>
      <c r="AH5467">
        <v>148.78587596056201</v>
      </c>
      <c r="AI5467">
        <v>90.307972412920506</v>
      </c>
      <c r="AJ5467">
        <v>81.407108827648401</v>
      </c>
      <c r="AK5467">
        <v>150.47714231049201</v>
      </c>
      <c r="AL5467">
        <v>77.851481018514093</v>
      </c>
      <c r="AM5467">
        <v>90.280601542466798</v>
      </c>
      <c r="AN5467">
        <v>1.0000000469810899</v>
      </c>
    </row>
    <row r="5468" spans="1:40" x14ac:dyDescent="0.25">
      <c r="A5468" t="str">
        <f>"20190303170922091"</f>
        <v>20190303170922091</v>
      </c>
      <c r="B5468" t="str">
        <f>"1551604162079373"</f>
        <v>1551604162079373</v>
      </c>
      <c r="C5468" t="s">
        <v>40</v>
      </c>
      <c r="D5468">
        <v>4.5561559999999997</v>
      </c>
      <c r="E5468">
        <v>0.54534059999999995</v>
      </c>
      <c r="F5468" t="s">
        <v>54</v>
      </c>
      <c r="G5468">
        <v>-168.5866</v>
      </c>
      <c r="H5468">
        <v>0.16467089999999901</v>
      </c>
      <c r="I5468">
        <v>208.21530000000001</v>
      </c>
      <c r="J5468">
        <v>-187.7184</v>
      </c>
      <c r="K5468">
        <v>1.120025</v>
      </c>
      <c r="L5468">
        <v>59.339689999999997</v>
      </c>
      <c r="M5468">
        <v>-2.2452719999999999E-2</v>
      </c>
      <c r="N5468">
        <v>-1.2963550000000001E-2</v>
      </c>
      <c r="O5468">
        <v>0.99966379999999999</v>
      </c>
      <c r="P5468">
        <v>-2.776143E-2</v>
      </c>
      <c r="Q5468">
        <v>0.19736519999999999</v>
      </c>
      <c r="R5468">
        <v>0.9799369</v>
      </c>
      <c r="S5468">
        <v>0.39418029999999998</v>
      </c>
      <c r="T5468">
        <v>-1.9691710000000001E-2</v>
      </c>
      <c r="U5468">
        <v>3.0768740000000001</v>
      </c>
      <c r="V5468">
        <v>-5.3433580000000003E-3</v>
      </c>
      <c r="W5468">
        <v>0.21006749999999999</v>
      </c>
      <c r="X5468">
        <v>0.97767230000000005</v>
      </c>
      <c r="Y5468">
        <v>0.14929120000000001</v>
      </c>
      <c r="Z5468">
        <v>6.6467999999999996E-3</v>
      </c>
      <c r="AA5468">
        <v>0.98877090000000001</v>
      </c>
      <c r="AB5468">
        <v>40</v>
      </c>
      <c r="AC5468">
        <v>19.131799999999998</v>
      </c>
      <c r="AD5468">
        <v>-0.95535409999999998</v>
      </c>
      <c r="AE5468">
        <v>148.87560999999999</v>
      </c>
      <c r="AF5468">
        <v>22.469009419713899</v>
      </c>
      <c r="AG5468">
        <v>-0.95535409999999998</v>
      </c>
      <c r="AH5468">
        <v>148.40246408942201</v>
      </c>
      <c r="AI5468">
        <v>90.364685416532296</v>
      </c>
      <c r="AJ5468">
        <v>81.390470793489996</v>
      </c>
      <c r="AK5468">
        <v>150.096836853985</v>
      </c>
      <c r="AL5468">
        <v>77.873692253091704</v>
      </c>
      <c r="AM5468">
        <v>90.313140521198093</v>
      </c>
      <c r="AN5468">
        <v>1.00000001610912</v>
      </c>
    </row>
    <row r="5469" spans="1:40" x14ac:dyDescent="0.25">
      <c r="A5469" t="str">
        <f>"20190303170922112"</f>
        <v>20190303170922112</v>
      </c>
      <c r="B5469" t="str">
        <f>"1551604162098893"</f>
        <v>1551604162098893</v>
      </c>
      <c r="C5469" t="s">
        <v>40</v>
      </c>
      <c r="D5469">
        <v>4.4838750000000003</v>
      </c>
      <c r="E5469">
        <v>0.53101339999999997</v>
      </c>
      <c r="F5469" t="s">
        <v>58</v>
      </c>
      <c r="G5469">
        <v>-180.5643</v>
      </c>
      <c r="H5469" s="1">
        <v>-1.196553E-5</v>
      </c>
      <c r="I5469">
        <v>151.2604</v>
      </c>
      <c r="J5469">
        <v>-187.72659999999999</v>
      </c>
      <c r="K5469">
        <v>1.120026</v>
      </c>
      <c r="L5469">
        <v>59.735570000000003</v>
      </c>
      <c r="M5469">
        <v>-2.1742319999999999E-2</v>
      </c>
      <c r="N5469">
        <v>-1.295747E-2</v>
      </c>
      <c r="O5469">
        <v>0.9996796</v>
      </c>
      <c r="P5469">
        <v>-2.7466859999999999E-2</v>
      </c>
      <c r="Q5469">
        <v>0.19745389999999999</v>
      </c>
      <c r="R5469">
        <v>0.97992729999999995</v>
      </c>
      <c r="S5469">
        <v>0.23937990000000001</v>
      </c>
      <c r="T5469">
        <v>-3.7477370000000003E-2</v>
      </c>
      <c r="U5469">
        <v>3.075745</v>
      </c>
      <c r="V5469">
        <v>-5.7451079999999996E-3</v>
      </c>
      <c r="W5469">
        <v>0.210151</v>
      </c>
      <c r="X5469">
        <v>0.97765210000000002</v>
      </c>
      <c r="Y5469">
        <v>9.9237710000000007E-2</v>
      </c>
      <c r="Z5469">
        <v>8.3731140000000001E-4</v>
      </c>
      <c r="AA5469">
        <v>0.99506340000000004</v>
      </c>
      <c r="AB5469">
        <v>40</v>
      </c>
      <c r="AC5469">
        <v>7.1622999999999797</v>
      </c>
      <c r="AD5469">
        <v>-1.1200379655299999</v>
      </c>
      <c r="AE5469">
        <v>91.524829999999994</v>
      </c>
      <c r="AF5469">
        <v>9.1493740479320298</v>
      </c>
      <c r="AG5469">
        <v>-1.1200379655299999</v>
      </c>
      <c r="AH5469">
        <v>91.333857864015897</v>
      </c>
      <c r="AI5469">
        <v>90.699091144718906</v>
      </c>
      <c r="AJ5469">
        <v>84.279476544217005</v>
      </c>
      <c r="AK5469">
        <v>91.797816547222197</v>
      </c>
      <c r="AL5469">
        <v>77.868799104115993</v>
      </c>
      <c r="AM5469">
        <v>90.336690988851601</v>
      </c>
      <c r="AN5469">
        <v>1.00000003885067</v>
      </c>
    </row>
    <row r="5470" spans="1:40" x14ac:dyDescent="0.25">
      <c r="A5470" t="str">
        <f>"20190303170922136"</f>
        <v>20190303170922136</v>
      </c>
      <c r="B5470" t="str">
        <f>"1551604162129149"</f>
        <v>1551604162129149</v>
      </c>
      <c r="C5470" t="s">
        <v>40</v>
      </c>
      <c r="D5470">
        <v>4.6705030000000001</v>
      </c>
      <c r="E5470">
        <v>0.52381690000000003</v>
      </c>
      <c r="F5470" t="s">
        <v>43</v>
      </c>
      <c r="G5470">
        <v>-183.43289999999999</v>
      </c>
      <c r="H5470" s="1">
        <v>-3.3038590000000002E-6</v>
      </c>
      <c r="I5470">
        <v>163.6977</v>
      </c>
      <c r="J5470">
        <v>-187.7354</v>
      </c>
      <c r="K5470">
        <v>1.120026</v>
      </c>
      <c r="L5470">
        <v>60.180599999999998</v>
      </c>
      <c r="M5470">
        <v>-2.094381E-2</v>
      </c>
      <c r="N5470">
        <v>-1.295141E-2</v>
      </c>
      <c r="O5470">
        <v>0.99969680000000005</v>
      </c>
      <c r="P5470">
        <v>-2.6946870000000001E-2</v>
      </c>
      <c r="Q5470">
        <v>0.1968917</v>
      </c>
      <c r="R5470">
        <v>0.98005489999999995</v>
      </c>
      <c r="S5470">
        <v>0.12686159999999999</v>
      </c>
      <c r="T5470">
        <v>-3.3092620000000003E-2</v>
      </c>
      <c r="U5470">
        <v>3.0716860000000001</v>
      </c>
      <c r="V5470">
        <v>-6.006918E-3</v>
      </c>
      <c r="W5470">
        <v>0.20958499999999999</v>
      </c>
      <c r="X5470">
        <v>0.97777199999999997</v>
      </c>
      <c r="Y5470">
        <v>6.2174159999999999E-2</v>
      </c>
      <c r="Z5470">
        <v>2.2028960000000002E-3</v>
      </c>
      <c r="AA5470">
        <v>0.99806289999999998</v>
      </c>
      <c r="AB5470">
        <v>40</v>
      </c>
      <c r="AC5470">
        <v>4.3025000000000002</v>
      </c>
      <c r="AD5470">
        <v>-1.1200293038589999</v>
      </c>
      <c r="AE5470">
        <v>103.5171</v>
      </c>
      <c r="AF5470">
        <v>6.46902435296803</v>
      </c>
      <c r="AG5470">
        <v>-1.1200293038589999</v>
      </c>
      <c r="AH5470">
        <v>103.392188926625</v>
      </c>
      <c r="AI5470">
        <v>90.619439581837398</v>
      </c>
      <c r="AJ5470">
        <v>86.419794692714802</v>
      </c>
      <c r="AK5470">
        <v>103.600422164969</v>
      </c>
      <c r="AL5470">
        <v>77.901966940512906</v>
      </c>
      <c r="AM5470">
        <v>90.351990770286903</v>
      </c>
      <c r="AN5470">
        <v>1.00000001963642</v>
      </c>
    </row>
    <row r="5471" spans="1:40" x14ac:dyDescent="0.25">
      <c r="A5471" t="str">
        <f>"20190303170922159"</f>
        <v>20190303170922159</v>
      </c>
      <c r="B5471" t="str">
        <f>"1551604162149645"</f>
        <v>1551604162149645</v>
      </c>
      <c r="C5471" t="s">
        <v>40</v>
      </c>
      <c r="D5471">
        <v>4.5177019999999999</v>
      </c>
      <c r="E5471">
        <v>0.52159</v>
      </c>
      <c r="F5471" t="s">
        <v>58</v>
      </c>
      <c r="G5471">
        <v>-185.88900000000001</v>
      </c>
      <c r="H5471" s="1">
        <v>-8.6478610000000007E-6</v>
      </c>
      <c r="I5471">
        <v>140.52670000000001</v>
      </c>
      <c r="J5471">
        <v>-187.7432</v>
      </c>
      <c r="K5471">
        <v>1.1200330000000001</v>
      </c>
      <c r="L5471">
        <v>60.5809</v>
      </c>
      <c r="M5471">
        <v>-2.022531E-2</v>
      </c>
      <c r="N5471">
        <v>-1.294648E-2</v>
      </c>
      <c r="O5471">
        <v>0.99971160000000003</v>
      </c>
      <c r="P5471">
        <v>-2.6060179999999999E-2</v>
      </c>
      <c r="Q5471">
        <v>0.19655729999999999</v>
      </c>
      <c r="R5471">
        <v>0.98014590000000001</v>
      </c>
      <c r="S5471">
        <v>7.0587159999999996E-2</v>
      </c>
      <c r="T5471">
        <v>-4.2818429999999998E-2</v>
      </c>
      <c r="U5471">
        <v>3.0715940000000002</v>
      </c>
      <c r="V5471">
        <v>-5.8236490000000002E-3</v>
      </c>
      <c r="W5471">
        <v>0.2092465</v>
      </c>
      <c r="X5471">
        <v>0.97784559999999998</v>
      </c>
      <c r="Y5471">
        <v>4.3184E-2</v>
      </c>
      <c r="Z5471">
        <v>-9.7675739999999989E-4</v>
      </c>
      <c r="AA5471">
        <v>0.99906669999999997</v>
      </c>
      <c r="AB5471">
        <v>40</v>
      </c>
      <c r="AC5471">
        <v>1.8541999999999901</v>
      </c>
      <c r="AD5471">
        <v>-1.120041647861</v>
      </c>
      <c r="AE5471">
        <v>79.945800000000006</v>
      </c>
      <c r="AF5471">
        <v>3.4702040353882699</v>
      </c>
      <c r="AG5471">
        <v>-1.120041647861</v>
      </c>
      <c r="AH5471">
        <v>79.876269509499394</v>
      </c>
      <c r="AI5471">
        <v>90.802603695992204</v>
      </c>
      <c r="AJ5471">
        <v>87.512363864916097</v>
      </c>
      <c r="AK5471">
        <v>79.959459978756399</v>
      </c>
      <c r="AL5471">
        <v>77.921801299858799</v>
      </c>
      <c r="AM5471">
        <v>90.341226226466802</v>
      </c>
      <c r="AN5471">
        <v>1.00000001504464</v>
      </c>
    </row>
    <row r="5472" spans="1:40" x14ac:dyDescent="0.25">
      <c r="A5472" t="str">
        <f>"20190303170922180"</f>
        <v>20190303170922180</v>
      </c>
      <c r="B5472" t="str">
        <f>"1551604162169165"</f>
        <v>1551604162169165</v>
      </c>
      <c r="C5472" t="s">
        <v>40</v>
      </c>
      <c r="D5472">
        <v>4.5342880000000001</v>
      </c>
      <c r="E5472">
        <v>0.52036000000000004</v>
      </c>
      <c r="F5472" t="s">
        <v>58</v>
      </c>
      <c r="G5472">
        <v>-186.27760000000001</v>
      </c>
      <c r="H5472" s="1">
        <v>-9.0944599999999997E-6</v>
      </c>
      <c r="I5472">
        <v>142.34960000000001</v>
      </c>
      <c r="J5472">
        <v>-187.75040000000001</v>
      </c>
      <c r="K5472">
        <v>1.1200380000000001</v>
      </c>
      <c r="L5472">
        <v>60.97128</v>
      </c>
      <c r="M5472">
        <v>-1.9524420000000001E-2</v>
      </c>
      <c r="N5472">
        <v>-1.2942159999999999E-2</v>
      </c>
      <c r="O5472">
        <v>0.99972559999999999</v>
      </c>
      <c r="P5472">
        <v>-2.5324280000000001E-2</v>
      </c>
      <c r="Q5472">
        <v>0.19632140000000001</v>
      </c>
      <c r="R5472">
        <v>0.98021250000000004</v>
      </c>
      <c r="S5472">
        <v>5.5038450000000003E-2</v>
      </c>
      <c r="T5472">
        <v>-4.2061210000000002E-2</v>
      </c>
      <c r="U5472">
        <v>3.0706790000000002</v>
      </c>
      <c r="V5472">
        <v>-5.7745289999999996E-3</v>
      </c>
      <c r="W5472">
        <v>0.20900679999999999</v>
      </c>
      <c r="X5472">
        <v>0.97789720000000002</v>
      </c>
      <c r="Y5472">
        <v>3.743403E-2</v>
      </c>
      <c r="Z5472">
        <v>-7.4223819999999995E-4</v>
      </c>
      <c r="AA5472">
        <v>0.99929880000000004</v>
      </c>
      <c r="AB5472">
        <v>40</v>
      </c>
      <c r="AC5472">
        <v>1.4728000000000001</v>
      </c>
      <c r="AD5472">
        <v>-1.1200470944599901</v>
      </c>
      <c r="AE5472">
        <v>81.378320000000002</v>
      </c>
      <c r="AF5472">
        <v>3.0609371563218701</v>
      </c>
      <c r="AG5472">
        <v>-1.1200470944599901</v>
      </c>
      <c r="AH5472">
        <v>81.318647745273395</v>
      </c>
      <c r="AI5472">
        <v>90.788558459469996</v>
      </c>
      <c r="AJ5472">
        <v>87.844331819906699</v>
      </c>
      <c r="AK5472">
        <v>81.383943827321502</v>
      </c>
      <c r="AL5472">
        <v>77.9358461975974</v>
      </c>
      <c r="AM5472">
        <v>90.338330342751107</v>
      </c>
      <c r="AN5472">
        <v>1.00000006069962</v>
      </c>
    </row>
    <row r="5473" spans="1:40" x14ac:dyDescent="0.25">
      <c r="A5473" t="str">
        <f>"20190303170922202"</f>
        <v>20190303170922202</v>
      </c>
      <c r="B5473" t="str">
        <f>"1551604162189661"</f>
        <v>1551604162189661</v>
      </c>
      <c r="C5473" t="s">
        <v>40</v>
      </c>
      <c r="D5473">
        <v>4.5388999999999999</v>
      </c>
      <c r="E5473">
        <v>0.51956069999999999</v>
      </c>
      <c r="F5473" t="s">
        <v>58</v>
      </c>
      <c r="G5473">
        <v>-186.53049999999999</v>
      </c>
      <c r="H5473" s="1">
        <v>-8.0934859999999997E-6</v>
      </c>
      <c r="I5473">
        <v>138.87870000000001</v>
      </c>
      <c r="J5473">
        <v>-187.75720000000001</v>
      </c>
      <c r="K5473">
        <v>1.1200380000000001</v>
      </c>
      <c r="L5473">
        <v>61.354550000000003</v>
      </c>
      <c r="M5473">
        <v>-1.8836260000000001E-2</v>
      </c>
      <c r="N5473">
        <v>-1.2938389999999999E-2</v>
      </c>
      <c r="O5473">
        <v>0.99973889999999999</v>
      </c>
      <c r="P5473">
        <v>-2.5500289999999998E-2</v>
      </c>
      <c r="Q5473">
        <v>0.19659570000000001</v>
      </c>
      <c r="R5473">
        <v>0.98015300000000005</v>
      </c>
      <c r="S5473">
        <v>4.8080440000000002E-2</v>
      </c>
      <c r="T5473">
        <v>-4.4145579999999997E-2</v>
      </c>
      <c r="U5473">
        <v>3.0706479999999998</v>
      </c>
      <c r="V5473">
        <v>-6.6260579999999998E-3</v>
      </c>
      <c r="W5473">
        <v>0.2092782</v>
      </c>
      <c r="X5473">
        <v>0.97783370000000003</v>
      </c>
      <c r="Y5473">
        <v>3.4482800000000001E-2</v>
      </c>
      <c r="Z5473">
        <v>-1.4260010000000001E-3</v>
      </c>
      <c r="AA5473">
        <v>0.99940430000000002</v>
      </c>
      <c r="AB5473">
        <v>40</v>
      </c>
      <c r="AC5473">
        <v>1.2267000000000201</v>
      </c>
      <c r="AD5473">
        <v>-1.1200460934859999</v>
      </c>
      <c r="AE5473">
        <v>77.524150000000006</v>
      </c>
      <c r="AF5473">
        <v>2.6863089672531202</v>
      </c>
      <c r="AG5473">
        <v>-1.1200460934859999</v>
      </c>
      <c r="AH5473">
        <v>77.471118159656598</v>
      </c>
      <c r="AI5473">
        <v>90.827804061402702</v>
      </c>
      <c r="AJ5473">
        <v>88.014066041863202</v>
      </c>
      <c r="AK5473">
        <v>77.5257693159284</v>
      </c>
      <c r="AL5473">
        <v>77.919943804371002</v>
      </c>
      <c r="AM5473">
        <v>90.388245309558897</v>
      </c>
      <c r="AN5473">
        <v>1.0000000072477699</v>
      </c>
    </row>
    <row r="5474" spans="1:40" x14ac:dyDescent="0.25">
      <c r="A5474" t="str">
        <f>"20190303170922224"</f>
        <v>20190303170922224</v>
      </c>
      <c r="B5474" t="str">
        <f>"1551604162218941"</f>
        <v>1551604162218941</v>
      </c>
      <c r="C5474" t="s">
        <v>40</v>
      </c>
      <c r="D5474">
        <v>4.7331979999999998</v>
      </c>
      <c r="E5474">
        <v>0.51837909999999998</v>
      </c>
      <c r="F5474" t="s">
        <v>58</v>
      </c>
      <c r="G5474">
        <v>-186.708</v>
      </c>
      <c r="H5474" s="1">
        <v>-8.2747519999999995E-6</v>
      </c>
      <c r="I5474">
        <v>139.44159999999999</v>
      </c>
      <c r="J5474">
        <v>-187.76410000000001</v>
      </c>
      <c r="K5474">
        <v>1.1200380000000001</v>
      </c>
      <c r="L5474">
        <v>61.7545199999999</v>
      </c>
      <c r="M5474">
        <v>-1.8118209999999999E-2</v>
      </c>
      <c r="N5474">
        <v>-1.293483E-2</v>
      </c>
      <c r="O5474">
        <v>0.99975219999999998</v>
      </c>
      <c r="P5474">
        <v>-2.4540659999999999E-2</v>
      </c>
      <c r="Q5474">
        <v>0.19701969999999999</v>
      </c>
      <c r="R5474">
        <v>0.98009230000000003</v>
      </c>
      <c r="S5474">
        <v>4.1259770000000001E-2</v>
      </c>
      <c r="T5474">
        <v>-4.4044020000000003E-2</v>
      </c>
      <c r="U5474">
        <v>3.0706479999999998</v>
      </c>
      <c r="V5474">
        <v>-6.3713590000000001E-3</v>
      </c>
      <c r="W5474">
        <v>0.20969689999999999</v>
      </c>
      <c r="X5474">
        <v>0.97774570000000005</v>
      </c>
      <c r="Y5474">
        <v>3.1545919999999998E-2</v>
      </c>
      <c r="Z5474">
        <v>-1.398063E-3</v>
      </c>
      <c r="AA5474">
        <v>0.99950130000000004</v>
      </c>
      <c r="AB5474">
        <v>40</v>
      </c>
      <c r="AC5474">
        <v>1.05610000000001</v>
      </c>
      <c r="AD5474">
        <v>-1.1200462747519999</v>
      </c>
      <c r="AE5474">
        <v>77.687079999999995</v>
      </c>
      <c r="AF5474">
        <v>2.4630832924727901</v>
      </c>
      <c r="AG5474">
        <v>-1.1200462747519999</v>
      </c>
      <c r="AH5474">
        <v>77.639054228164596</v>
      </c>
      <c r="AI5474">
        <v>90.826094681287898</v>
      </c>
      <c r="AJ5474">
        <v>88.182912430142295</v>
      </c>
      <c r="AK5474">
        <v>77.6861894058856</v>
      </c>
      <c r="AL5474">
        <v>77.895409825647405</v>
      </c>
      <c r="AM5474">
        <v>90.373355580604695</v>
      </c>
      <c r="AN5474">
        <v>1.0000000189767999</v>
      </c>
    </row>
    <row r="5475" spans="1:40" x14ac:dyDescent="0.25">
      <c r="A5475" t="str">
        <f>"20190303170922246"</f>
        <v>20190303170922246</v>
      </c>
      <c r="B5475" t="str">
        <f>"1551604162239437"</f>
        <v>1551604162239437</v>
      </c>
      <c r="C5475" t="s">
        <v>40</v>
      </c>
      <c r="D5475">
        <v>4.7309739999999998</v>
      </c>
      <c r="E5475">
        <v>0.51782129999999904</v>
      </c>
      <c r="F5475" t="s">
        <v>58</v>
      </c>
      <c r="G5475">
        <v>-186.81979999999999</v>
      </c>
      <c r="H5475" s="1">
        <v>-9.653118E-6</v>
      </c>
      <c r="I5475">
        <v>144.64859999999999</v>
      </c>
      <c r="J5475">
        <v>-187.7704</v>
      </c>
      <c r="K5475">
        <v>1.1200380000000001</v>
      </c>
      <c r="L5475">
        <v>62.140009999999997</v>
      </c>
      <c r="M5475">
        <v>-1.7426049999999998E-2</v>
      </c>
      <c r="N5475">
        <v>-1.2931639999999999E-2</v>
      </c>
      <c r="O5475">
        <v>0.99976449999999994</v>
      </c>
      <c r="P5475">
        <v>-2.3212750000000001E-2</v>
      </c>
      <c r="Q5475">
        <v>0.19749939999999999</v>
      </c>
      <c r="R5475">
        <v>0.98002820000000002</v>
      </c>
      <c r="S5475">
        <v>3.497314E-2</v>
      </c>
      <c r="T5475">
        <v>-4.1482930000000001E-2</v>
      </c>
      <c r="U5475">
        <v>3.0701290000000001</v>
      </c>
      <c r="V5475">
        <v>-5.7222410000000003E-3</v>
      </c>
      <c r="W5475">
        <v>0.21017150000000001</v>
      </c>
      <c r="X5475">
        <v>0.97764779999999996</v>
      </c>
      <c r="Y5475">
        <v>2.88104E-2</v>
      </c>
      <c r="Z5475">
        <v>-5.713564E-4</v>
      </c>
      <c r="AA5475">
        <v>0.99958469999999999</v>
      </c>
      <c r="AB5475">
        <v>40</v>
      </c>
      <c r="AC5475">
        <v>0.95060000000000799</v>
      </c>
      <c r="AD5475">
        <v>-1.1200476531179999</v>
      </c>
      <c r="AE5475">
        <v>82.508589999999998</v>
      </c>
      <c r="AF5475">
        <v>2.3879347306579399</v>
      </c>
      <c r="AG5475">
        <v>-1.1200476531179999</v>
      </c>
      <c r="AH5475">
        <v>82.464298406360001</v>
      </c>
      <c r="AI5475">
        <v>90.777829620293204</v>
      </c>
      <c r="AJ5475">
        <v>88.3413384697906</v>
      </c>
      <c r="AK5475">
        <v>82.506467932376907</v>
      </c>
      <c r="AL5475">
        <v>77.867597380746204</v>
      </c>
      <c r="AM5475">
        <v>90.335352378168594</v>
      </c>
      <c r="AN5475">
        <v>1.00000001214957</v>
      </c>
    </row>
    <row r="5476" spans="1:40" x14ac:dyDescent="0.25">
      <c r="A5476" t="str">
        <f>"20190303170922270"</f>
        <v>20190303170922270</v>
      </c>
      <c r="B5476" t="str">
        <f>"1551604162258957"</f>
        <v>1551604162258957</v>
      </c>
      <c r="C5476" t="s">
        <v>40</v>
      </c>
      <c r="D5476">
        <v>4.7307139999999999</v>
      </c>
      <c r="E5476">
        <v>0.51732270000000002</v>
      </c>
      <c r="F5476" t="s">
        <v>58</v>
      </c>
      <c r="G5476">
        <v>-186.75960000000001</v>
      </c>
      <c r="H5476" s="1">
        <v>-1.1448720000000001E-5</v>
      </c>
      <c r="I5476">
        <v>151.44749999999999</v>
      </c>
      <c r="J5476">
        <v>-187.77719999999999</v>
      </c>
      <c r="K5476">
        <v>1.120039</v>
      </c>
      <c r="L5476">
        <v>62.567320000000002</v>
      </c>
      <c r="M5476">
        <v>-1.665877E-2</v>
      </c>
      <c r="N5476">
        <v>-1.2928419999999999E-2</v>
      </c>
      <c r="O5476">
        <v>0.99977769999999999</v>
      </c>
      <c r="P5476">
        <v>-2.1864419999999999E-2</v>
      </c>
      <c r="Q5476">
        <v>0.1973792</v>
      </c>
      <c r="R5476">
        <v>0.98008329999999999</v>
      </c>
      <c r="S5476">
        <v>3.4744259999999999E-2</v>
      </c>
      <c r="T5476">
        <v>-3.8498640000000001E-2</v>
      </c>
      <c r="U5476">
        <v>3.0697019999999999</v>
      </c>
      <c r="V5476">
        <v>-5.1261370000000002E-3</v>
      </c>
      <c r="W5476">
        <v>0.21004700000000001</v>
      </c>
      <c r="X5476">
        <v>0.97767789999999999</v>
      </c>
      <c r="Y5476">
        <v>2.7970640000000001E-2</v>
      </c>
      <c r="Z5476">
        <v>3.9463310000000001E-4</v>
      </c>
      <c r="AA5476">
        <v>0.99960870000000002</v>
      </c>
      <c r="AB5476">
        <v>40</v>
      </c>
      <c r="AC5476">
        <v>1.0175999999999801</v>
      </c>
      <c r="AD5476">
        <v>-1.12005044872</v>
      </c>
      <c r="AE5476">
        <v>88.880179999999996</v>
      </c>
      <c r="AF5476">
        <v>2.49782030303844</v>
      </c>
      <c r="AG5476">
        <v>-1.12005044872</v>
      </c>
      <c r="AH5476">
        <v>88.836785014859302</v>
      </c>
      <c r="AI5476">
        <v>90.722059174746605</v>
      </c>
      <c r="AJ5476">
        <v>88.389441204015199</v>
      </c>
      <c r="AK5476">
        <v>88.878951338605901</v>
      </c>
      <c r="AL5476">
        <v>77.874894010476893</v>
      </c>
      <c r="AM5476">
        <v>90.300409085586196</v>
      </c>
      <c r="AN5476">
        <v>1.0000000478189699</v>
      </c>
    </row>
    <row r="5477" spans="1:40" x14ac:dyDescent="0.25">
      <c r="A5477" t="str">
        <f>"20190303170922290"</f>
        <v>20190303170922290</v>
      </c>
      <c r="B5477" t="str">
        <f>"1551604162279453"</f>
        <v>1551604162279453</v>
      </c>
      <c r="C5477" t="s">
        <v>40</v>
      </c>
      <c r="D5477">
        <v>4.5183260000000001</v>
      </c>
      <c r="E5477">
        <v>0.5168874</v>
      </c>
      <c r="F5477" t="s">
        <v>58</v>
      </c>
      <c r="G5477">
        <v>-186.74529999999999</v>
      </c>
      <c r="H5477" s="1">
        <v>-1.196662E-5</v>
      </c>
      <c r="I5477">
        <v>152.655</v>
      </c>
      <c r="J5477">
        <v>-187.78270000000001</v>
      </c>
      <c r="K5477">
        <v>1.1200369999999999</v>
      </c>
      <c r="L5477">
        <v>62.93356</v>
      </c>
      <c r="M5477">
        <v>-1.6000999999999901E-2</v>
      </c>
      <c r="N5477">
        <v>-1.292592E-2</v>
      </c>
      <c r="O5477">
        <v>0.99978840000000002</v>
      </c>
      <c r="P5477">
        <v>-2.1288720000000001E-2</v>
      </c>
      <c r="Q5477">
        <v>0.19690650000000001</v>
      </c>
      <c r="R5477">
        <v>0.98019109999999998</v>
      </c>
      <c r="S5477">
        <v>3.515625E-2</v>
      </c>
      <c r="T5477">
        <v>-3.8161870000000001E-2</v>
      </c>
      <c r="U5477">
        <v>3.0694270000000001</v>
      </c>
      <c r="V5477">
        <v>-5.1947399999999998E-3</v>
      </c>
      <c r="W5477">
        <v>0.20957329999999999</v>
      </c>
      <c r="X5477">
        <v>0.97777919999999996</v>
      </c>
      <c r="Y5477">
        <v>2.744825E-2</v>
      </c>
      <c r="Z5477">
        <v>5.0034519999999998E-4</v>
      </c>
      <c r="AA5477">
        <v>0.99962309999999999</v>
      </c>
      <c r="AB5477">
        <v>40</v>
      </c>
      <c r="AC5477">
        <v>1.0374000000000101</v>
      </c>
      <c r="AD5477">
        <v>-1.12004896662</v>
      </c>
      <c r="AE5477">
        <v>89.721440000000001</v>
      </c>
      <c r="AF5477">
        <v>2.4726346195798201</v>
      </c>
      <c r="AG5477">
        <v>-1.12004896662</v>
      </c>
      <c r="AH5477">
        <v>89.679376890163994</v>
      </c>
      <c r="AI5477">
        <v>90.715285600119998</v>
      </c>
      <c r="AJ5477">
        <v>88.420644197973502</v>
      </c>
      <c r="AK5477">
        <v>89.720449570082096</v>
      </c>
      <c r="AL5477">
        <v>77.902653006239603</v>
      </c>
      <c r="AM5477">
        <v>90.304397840915598</v>
      </c>
      <c r="AN5477">
        <v>1.0000000586745901</v>
      </c>
    </row>
    <row r="5478" spans="1:40" x14ac:dyDescent="0.25">
      <c r="A5478" t="str">
        <f>"20190303170922313"</f>
        <v>20190303170922313</v>
      </c>
      <c r="B5478" t="str">
        <f>"1551604162309708"</f>
        <v>1551604162309708</v>
      </c>
      <c r="C5478" t="s">
        <v>40</v>
      </c>
      <c r="D5478">
        <v>4.7197789999999999</v>
      </c>
      <c r="E5478">
        <v>0.51641680000000001</v>
      </c>
      <c r="F5478" t="s">
        <v>58</v>
      </c>
      <c r="G5478">
        <v>-186.80600000000001</v>
      </c>
      <c r="H5478" s="1">
        <v>-1.17482199999999E-5</v>
      </c>
      <c r="I5478">
        <v>152.14490000000001</v>
      </c>
      <c r="J5478">
        <v>-187.78870000000001</v>
      </c>
      <c r="K5478">
        <v>1.120031</v>
      </c>
      <c r="L5478">
        <v>63.3604699999999</v>
      </c>
      <c r="M5478">
        <v>-1.523411E-2</v>
      </c>
      <c r="N5478">
        <v>-1.2923280000000001E-2</v>
      </c>
      <c r="O5478">
        <v>0.99980040000000003</v>
      </c>
      <c r="P5478">
        <v>-2.0480459999999999E-2</v>
      </c>
      <c r="Q5478">
        <v>0.19635349999999999</v>
      </c>
      <c r="R5478">
        <v>0.9803193</v>
      </c>
      <c r="S5478">
        <v>3.3599850000000001E-2</v>
      </c>
      <c r="T5478">
        <v>-3.8532499999999997E-2</v>
      </c>
      <c r="U5478">
        <v>3.0690919999999999</v>
      </c>
      <c r="V5478">
        <v>-5.1380150000000001E-3</v>
      </c>
      <c r="W5478">
        <v>0.20901890000000001</v>
      </c>
      <c r="X5478">
        <v>0.97789809999999999</v>
      </c>
      <c r="Y5478">
        <v>2.6176060000000001E-2</v>
      </c>
      <c r="Z5478">
        <v>3.7507190000000002E-4</v>
      </c>
      <c r="AA5478">
        <v>0.99965729999999997</v>
      </c>
      <c r="AB5478">
        <v>40</v>
      </c>
      <c r="AC5478">
        <v>0.982700000000022</v>
      </c>
      <c r="AD5478">
        <v>-1.1200427482199999</v>
      </c>
      <c r="AE5478">
        <v>88.78443</v>
      </c>
      <c r="AF5478">
        <v>2.33487918234372</v>
      </c>
      <c r="AG5478">
        <v>-1.1200427482199999</v>
      </c>
      <c r="AH5478">
        <v>88.745031726550195</v>
      </c>
      <c r="AI5478">
        <v>90.722836176162204</v>
      </c>
      <c r="AJ5478">
        <v>88.492897403118107</v>
      </c>
      <c r="AK5478">
        <v>88.782806965652895</v>
      </c>
      <c r="AL5478">
        <v>77.935136478647294</v>
      </c>
      <c r="AM5478">
        <v>90.301037363375798</v>
      </c>
      <c r="AN5478">
        <v>0.99999999686948005</v>
      </c>
    </row>
    <row r="5479" spans="1:40" x14ac:dyDescent="0.25">
      <c r="A5479" t="str">
        <f>"20190303170922337"</f>
        <v>20190303170922337</v>
      </c>
      <c r="B5479" t="str">
        <f>"1551604162329229"</f>
        <v>1551604162329229</v>
      </c>
      <c r="C5479" t="s">
        <v>40</v>
      </c>
      <c r="D5479">
        <v>4.50535</v>
      </c>
      <c r="E5479">
        <v>0.51616700000000004</v>
      </c>
      <c r="F5479" t="s">
        <v>58</v>
      </c>
      <c r="G5479">
        <v>-186.85400000000001</v>
      </c>
      <c r="H5479" s="1">
        <v>-1.128426E-5</v>
      </c>
      <c r="I5479">
        <v>150.96010000000001</v>
      </c>
      <c r="J5479">
        <v>-187.79419999999999</v>
      </c>
      <c r="K5479">
        <v>1.1200319999999999</v>
      </c>
      <c r="L5479">
        <v>63.767150000000001</v>
      </c>
      <c r="M5479">
        <v>-1.4503469999999999E-2</v>
      </c>
      <c r="N5479">
        <v>-1.2921E-2</v>
      </c>
      <c r="O5479">
        <v>0.99981140000000002</v>
      </c>
      <c r="P5479">
        <v>-1.9272379999999999E-2</v>
      </c>
      <c r="Q5479">
        <v>0.19678580000000001</v>
      </c>
      <c r="R5479">
        <v>0.98025709999999999</v>
      </c>
      <c r="S5479">
        <v>3.2745360000000001E-2</v>
      </c>
      <c r="T5479">
        <v>-3.9237260000000003E-2</v>
      </c>
      <c r="U5479">
        <v>3.0687869999999999</v>
      </c>
      <c r="V5479">
        <v>-4.6465689999999997E-3</v>
      </c>
      <c r="W5479">
        <v>0.20944699999999999</v>
      </c>
      <c r="X5479">
        <v>0.97780900000000004</v>
      </c>
      <c r="Y5479">
        <v>2.5168409999999999E-2</v>
      </c>
      <c r="Z5479">
        <v>1.415469E-4</v>
      </c>
      <c r="AA5479">
        <v>0.99968319999999999</v>
      </c>
      <c r="AB5479">
        <v>40</v>
      </c>
      <c r="AC5479">
        <v>0.94019999999997605</v>
      </c>
      <c r="AD5479">
        <v>-1.1200432842600001</v>
      </c>
      <c r="AE5479">
        <v>87.192949999999996</v>
      </c>
      <c r="AF5479">
        <v>2.2044432065420398</v>
      </c>
      <c r="AG5479">
        <v>-1.1200432842600001</v>
      </c>
      <c r="AH5479">
        <v>87.155760353372003</v>
      </c>
      <c r="AI5479">
        <v>90.7360351887923</v>
      </c>
      <c r="AJ5479">
        <v>88.551118509913493</v>
      </c>
      <c r="AK5479">
        <v>87.1908288157871</v>
      </c>
      <c r="AL5479">
        <v>77.910053462240199</v>
      </c>
      <c r="AM5479">
        <v>90.272268703782402</v>
      </c>
      <c r="AN5479">
        <v>1.00000003844673</v>
      </c>
    </row>
    <row r="5480" spans="1:40" x14ac:dyDescent="0.25">
      <c r="A5480" t="str">
        <f>"20190303170922381"</f>
        <v>20190303170922381</v>
      </c>
      <c r="B5480" t="str">
        <f>"1551604162369245"</f>
        <v>1551604162369245</v>
      </c>
      <c r="C5480" t="s">
        <v>40</v>
      </c>
      <c r="D5480">
        <v>4.7815969999999997</v>
      </c>
      <c r="E5480">
        <v>0.51576350000000004</v>
      </c>
      <c r="F5480" t="s">
        <v>58</v>
      </c>
      <c r="G5480">
        <v>-186.7576</v>
      </c>
      <c r="H5480" s="1">
        <v>-1.317606E-5</v>
      </c>
      <c r="I5480">
        <v>155.44460000000001</v>
      </c>
      <c r="J5480">
        <v>-187.80430000000001</v>
      </c>
      <c r="K5480">
        <v>1.1200319999999999</v>
      </c>
      <c r="L5480">
        <v>64.58023</v>
      </c>
      <c r="M5480">
        <v>-1.3042649999999999E-2</v>
      </c>
      <c r="N5480">
        <v>-1.291697E-2</v>
      </c>
      <c r="O5480">
        <v>0.99983149999999998</v>
      </c>
      <c r="P5480">
        <v>-1.6935479999999999E-2</v>
      </c>
      <c r="Q5480">
        <v>0.1969273</v>
      </c>
      <c r="R5480">
        <v>0.98027180000000003</v>
      </c>
      <c r="S5480">
        <v>3.4698489999999999E-2</v>
      </c>
      <c r="T5480">
        <v>-3.7490250000000003E-2</v>
      </c>
      <c r="U5480">
        <v>3.0686339999999999</v>
      </c>
      <c r="V5480">
        <v>-3.742385E-3</v>
      </c>
      <c r="W5480">
        <v>0.20958260000000001</v>
      </c>
      <c r="X5480">
        <v>0.97778379999999998</v>
      </c>
      <c r="Y5480">
        <v>2.434474E-2</v>
      </c>
      <c r="Z5480">
        <v>7.054095E-4</v>
      </c>
      <c r="AA5480">
        <v>0.99970329999999996</v>
      </c>
      <c r="AB5480">
        <v>40</v>
      </c>
      <c r="AC5480">
        <v>1.04670000000001</v>
      </c>
      <c r="AD5480">
        <v>-1.1200451760600001</v>
      </c>
      <c r="AE5480">
        <v>90.864369999999994</v>
      </c>
      <c r="AF5480">
        <v>2.23148300041158</v>
      </c>
      <c r="AG5480">
        <v>-1.1200451760600001</v>
      </c>
      <c r="AH5480">
        <v>90.829187870768905</v>
      </c>
      <c r="AI5480">
        <v>90.706284566280701</v>
      </c>
      <c r="AJ5480">
        <v>88.592645748401097</v>
      </c>
      <c r="AK5480">
        <v>90.863498649573103</v>
      </c>
      <c r="AL5480">
        <v>77.902107524242695</v>
      </c>
      <c r="AM5480">
        <v>90.219293691291995</v>
      </c>
      <c r="AN5480">
        <v>1.0000000156053399</v>
      </c>
    </row>
    <row r="5481" spans="1:40" x14ac:dyDescent="0.25">
      <c r="A5481" t="str">
        <f>"20190303170922403"</f>
        <v>20190303170922403</v>
      </c>
      <c r="B5481" t="str">
        <f>"1551604162399501"</f>
        <v>1551604162399501</v>
      </c>
      <c r="C5481" t="s">
        <v>40</v>
      </c>
      <c r="D5481">
        <v>4.7808650000000004</v>
      </c>
      <c r="E5481">
        <v>0.51554690000000003</v>
      </c>
      <c r="F5481" t="s">
        <v>58</v>
      </c>
      <c r="G5481">
        <v>-186.6387</v>
      </c>
      <c r="H5481" s="1">
        <v>-1.46200399999999E-5</v>
      </c>
      <c r="I5481">
        <v>158.78309999999999</v>
      </c>
      <c r="J5481">
        <v>-187.80869999999999</v>
      </c>
      <c r="K5481">
        <v>1.1200300000000001</v>
      </c>
      <c r="L5481">
        <v>64.961150000000004</v>
      </c>
      <c r="M5481">
        <v>-1.235813E-2</v>
      </c>
      <c r="N5481">
        <v>-1.291517E-2</v>
      </c>
      <c r="O5481">
        <v>0.99984019999999996</v>
      </c>
      <c r="P5481">
        <v>-1.5862569999999999E-2</v>
      </c>
      <c r="Q5481">
        <v>0.1968288</v>
      </c>
      <c r="R5481">
        <v>0.98030949999999994</v>
      </c>
      <c r="S5481">
        <v>3.7963869999999997E-2</v>
      </c>
      <c r="T5481">
        <v>-3.6481979999999997E-2</v>
      </c>
      <c r="U5481">
        <v>3.0683590000000001</v>
      </c>
      <c r="V5481">
        <v>-3.3405560000000002E-3</v>
      </c>
      <c r="W5481">
        <v>0.2094819</v>
      </c>
      <c r="X5481">
        <v>0.97780679999999998</v>
      </c>
      <c r="Y5481">
        <v>2.4725049999999998E-2</v>
      </c>
      <c r="Z5481">
        <v>1.0309780000000001E-3</v>
      </c>
      <c r="AA5481">
        <v>0.99969379999999997</v>
      </c>
      <c r="AB5481">
        <v>40</v>
      </c>
      <c r="AC5481">
        <v>1.1699999999999799</v>
      </c>
      <c r="AD5481">
        <v>-1.1200446200399901</v>
      </c>
      <c r="AE5481">
        <v>93.821950000000001</v>
      </c>
      <c r="AF5481">
        <v>2.3291393478946101</v>
      </c>
      <c r="AG5481">
        <v>-1.1200446200399901</v>
      </c>
      <c r="AH5481">
        <v>93.786959903657007</v>
      </c>
      <c r="AI5481">
        <v>90.684007686861307</v>
      </c>
      <c r="AJ5481">
        <v>88.577388264329798</v>
      </c>
      <c r="AK5481">
        <v>93.822562521085302</v>
      </c>
      <c r="AL5481">
        <v>77.908007780457595</v>
      </c>
      <c r="AM5481">
        <v>90.195743182992203</v>
      </c>
      <c r="AN5481">
        <v>0.99999998193411899</v>
      </c>
    </row>
    <row r="5482" spans="1:40" x14ac:dyDescent="0.25">
      <c r="A5482" t="str">
        <f>"20190303170922424"</f>
        <v>20190303170922424</v>
      </c>
      <c r="B5482" t="str">
        <f>"1551604162419529"</f>
        <v>1551604162419529</v>
      </c>
      <c r="C5482" t="s">
        <v>40</v>
      </c>
      <c r="D5482">
        <v>4.4830189999999996</v>
      </c>
      <c r="E5482">
        <v>0.51536759999999904</v>
      </c>
      <c r="F5482" t="s">
        <v>43</v>
      </c>
      <c r="G5482">
        <v>-186.57470000000001</v>
      </c>
      <c r="H5482" s="1">
        <v>-1.0722009999999999E-6</v>
      </c>
      <c r="I5482">
        <v>160.06319999999999</v>
      </c>
      <c r="J5482">
        <v>-187.81280000000001</v>
      </c>
      <c r="K5482">
        <v>1.1200410000000001</v>
      </c>
      <c r="L5482">
        <v>65.344790000000003</v>
      </c>
      <c r="M5482">
        <v>-1.1668700000000001E-2</v>
      </c>
      <c r="N5482">
        <v>-1.291346E-2</v>
      </c>
      <c r="O5482">
        <v>0.99984850000000003</v>
      </c>
      <c r="P5482">
        <v>-1.490152E-2</v>
      </c>
      <c r="Q5482">
        <v>0.19689770000000001</v>
      </c>
      <c r="R5482">
        <v>0.98031080000000004</v>
      </c>
      <c r="S5482">
        <v>3.9810180000000001E-2</v>
      </c>
      <c r="T5482">
        <v>-3.6133999999999999E-2</v>
      </c>
      <c r="U5482">
        <v>3.068146</v>
      </c>
      <c r="V5482">
        <v>-3.0556300000000002E-3</v>
      </c>
      <c r="W5482">
        <v>0.2095486</v>
      </c>
      <c r="X5482">
        <v>0.97779349999999998</v>
      </c>
      <c r="Y5482">
        <v>2.4638110000000001E-2</v>
      </c>
      <c r="Z5482">
        <v>1.141679E-3</v>
      </c>
      <c r="AA5482">
        <v>0.99969580000000002</v>
      </c>
      <c r="AB5482">
        <v>40</v>
      </c>
      <c r="AC5482">
        <v>1.2381</v>
      </c>
      <c r="AD5482">
        <v>-1.120042072201</v>
      </c>
      <c r="AE5482">
        <v>94.718410000000006</v>
      </c>
      <c r="AF5482">
        <v>2.3430210354063199</v>
      </c>
      <c r="AG5482">
        <v>-1.120042072201</v>
      </c>
      <c r="AH5482">
        <v>94.684274695104307</v>
      </c>
      <c r="AI5482">
        <v>90.677525959930605</v>
      </c>
      <c r="AJ5482">
        <v>88.582469732789093</v>
      </c>
      <c r="AK5482">
        <v>94.719882370882601</v>
      </c>
      <c r="AL5482">
        <v>77.904100127860303</v>
      </c>
      <c r="AM5482">
        <v>90.1790502113614</v>
      </c>
      <c r="AN5482">
        <v>1.00000004063945</v>
      </c>
    </row>
    <row r="5483" spans="1:40" x14ac:dyDescent="0.25">
      <c r="A5483" t="str">
        <f>"20190303170922447"</f>
        <v>20190303170922447</v>
      </c>
      <c r="B5483" t="str">
        <f>"1551604162439047"</f>
        <v>1551604162439047</v>
      </c>
      <c r="C5483" t="s">
        <v>40</v>
      </c>
      <c r="D5483">
        <v>4.5776859999999999</v>
      </c>
      <c r="E5483">
        <v>0.51525920000000003</v>
      </c>
      <c r="F5483" t="s">
        <v>43</v>
      </c>
      <c r="G5483">
        <v>-186.5318</v>
      </c>
      <c r="H5483" s="1">
        <v>-1.2338360000000001E-6</v>
      </c>
      <c r="I5483">
        <v>160.45439999999999</v>
      </c>
      <c r="J5483">
        <v>-187.8169</v>
      </c>
      <c r="K5483">
        <v>1.1200479999999999</v>
      </c>
      <c r="L5483">
        <v>65.762600000000006</v>
      </c>
      <c r="M5483">
        <v>-1.091778E-2</v>
      </c>
      <c r="N5483">
        <v>-1.291164E-2</v>
      </c>
      <c r="O5483">
        <v>0.999857</v>
      </c>
      <c r="P5483">
        <v>-1.394393E-2</v>
      </c>
      <c r="Q5483">
        <v>0.19771849999999999</v>
      </c>
      <c r="R5483">
        <v>0.98015960000000002</v>
      </c>
      <c r="S5483">
        <v>4.1320799999999998E-2</v>
      </c>
      <c r="T5483">
        <v>-3.6131499999999997E-2</v>
      </c>
      <c r="U5483">
        <v>3.068146</v>
      </c>
      <c r="V5483">
        <v>-2.834587E-3</v>
      </c>
      <c r="W5483">
        <v>0.21036450000000001</v>
      </c>
      <c r="X5483">
        <v>0.97761889999999996</v>
      </c>
      <c r="Y5483">
        <v>2.437947E-2</v>
      </c>
      <c r="Z5483">
        <v>1.1404970000000001E-3</v>
      </c>
      <c r="AA5483">
        <v>0.99970219999999999</v>
      </c>
      <c r="AB5483">
        <v>40</v>
      </c>
      <c r="AC5483">
        <v>1.2850999999999999</v>
      </c>
      <c r="AD5483">
        <v>-1.120049233836</v>
      </c>
      <c r="AE5483">
        <v>94.691800000000001</v>
      </c>
      <c r="AF5483">
        <v>2.3186095192903502</v>
      </c>
      <c r="AG5483">
        <v>-1.120049233836</v>
      </c>
      <c r="AH5483">
        <v>94.658882440772302</v>
      </c>
      <c r="AI5483">
        <v>90.677716211574094</v>
      </c>
      <c r="AJ5483">
        <v>88.596856652333003</v>
      </c>
      <c r="AK5483">
        <v>94.693898881211496</v>
      </c>
      <c r="AL5483">
        <v>77.856286099043601</v>
      </c>
      <c r="AM5483">
        <v>90.166127533580806</v>
      </c>
      <c r="AN5483">
        <v>0.99999998569046</v>
      </c>
    </row>
    <row r="5484" spans="1:40" x14ac:dyDescent="0.25">
      <c r="A5484" t="str">
        <f>"20190303170922471"</f>
        <v>20190303170922471</v>
      </c>
      <c r="B5484" t="str">
        <f>"1551604162459544"</f>
        <v>1551604162459544</v>
      </c>
      <c r="C5484" t="s">
        <v>40</v>
      </c>
      <c r="D5484">
        <v>4.5735449999999904</v>
      </c>
      <c r="E5484">
        <v>0.51513889999999996</v>
      </c>
      <c r="F5484" t="s">
        <v>43</v>
      </c>
      <c r="G5484">
        <v>-186.38380000000001</v>
      </c>
      <c r="H5484" s="1">
        <v>-4.4873869999999999E-6</v>
      </c>
      <c r="I5484">
        <v>167.7672</v>
      </c>
      <c r="J5484">
        <v>-187.82060000000001</v>
      </c>
      <c r="K5484">
        <v>1.120045</v>
      </c>
      <c r="L5484">
        <v>66.161379999999994</v>
      </c>
      <c r="M5484">
        <v>-1.020101E-2</v>
      </c>
      <c r="N5484">
        <v>-1.2910069999999999E-2</v>
      </c>
      <c r="O5484">
        <v>0.99986459999999999</v>
      </c>
      <c r="P5484">
        <v>-1.347424E-2</v>
      </c>
      <c r="Q5484">
        <v>0.19806209999999999</v>
      </c>
      <c r="R5484">
        <v>0.98009690000000005</v>
      </c>
      <c r="S5484">
        <v>4.3106079999999998E-2</v>
      </c>
      <c r="T5484">
        <v>-3.3689499999999997E-2</v>
      </c>
      <c r="U5484">
        <v>3.068146</v>
      </c>
      <c r="V5484">
        <v>-3.0679040000000002E-3</v>
      </c>
      <c r="W5484">
        <v>0.21070620000000001</v>
      </c>
      <c r="X5484">
        <v>0.97754459999999999</v>
      </c>
      <c r="Y5484">
        <v>2.4244519999999999E-2</v>
      </c>
      <c r="Z5484">
        <v>1.9343920000000001E-3</v>
      </c>
      <c r="AA5484">
        <v>0.99970420000000004</v>
      </c>
      <c r="AB5484">
        <v>40</v>
      </c>
      <c r="AC5484">
        <v>1.4368000000000001</v>
      </c>
      <c r="AD5484">
        <v>-1.1200494873869999</v>
      </c>
      <c r="AE5484">
        <v>101.60581999999999</v>
      </c>
      <c r="AF5484">
        <v>2.4729931760423001</v>
      </c>
      <c r="AG5484">
        <v>-1.1200494873869999</v>
      </c>
      <c r="AH5484">
        <v>101.573533916681</v>
      </c>
      <c r="AI5484">
        <v>90.6315867500644</v>
      </c>
      <c r="AJ5484">
        <v>88.605305147876194</v>
      </c>
      <c r="AK5484">
        <v>101.60980758975001</v>
      </c>
      <c r="AL5484">
        <v>77.836259182112499</v>
      </c>
      <c r="AM5484">
        <v>90.179815196208395</v>
      </c>
      <c r="AN5484">
        <v>0.99999997987127598</v>
      </c>
    </row>
    <row r="5485" spans="1:40" x14ac:dyDescent="0.25">
      <c r="A5485" t="str">
        <f>"20190303170922493"</f>
        <v>20190303170922493</v>
      </c>
      <c r="B5485" t="str">
        <f>"1551604162489799"</f>
        <v>1551604162489799</v>
      </c>
      <c r="C5485" t="s">
        <v>40</v>
      </c>
      <c r="D5485">
        <v>4.6103750000000003</v>
      </c>
      <c r="E5485">
        <v>0.51489479999999999</v>
      </c>
      <c r="F5485" t="s">
        <v>43</v>
      </c>
      <c r="G5485">
        <v>-186.31190000000001</v>
      </c>
      <c r="H5485" s="1">
        <v>-1.5864299999999999E-6</v>
      </c>
      <c r="I5485">
        <v>171.42619999999999</v>
      </c>
      <c r="J5485">
        <v>-187.82409999999999</v>
      </c>
      <c r="K5485">
        <v>1.1200429999999999</v>
      </c>
      <c r="L5485">
        <v>66.577510000000004</v>
      </c>
      <c r="M5485">
        <v>-9.4530359999999997E-3</v>
      </c>
      <c r="N5485">
        <v>-1.290842E-2</v>
      </c>
      <c r="O5485">
        <v>0.99987199999999998</v>
      </c>
      <c r="P5485">
        <v>-1.3325689999999999E-2</v>
      </c>
      <c r="Q5485">
        <v>0.19823579999999999</v>
      </c>
      <c r="R5485">
        <v>0.98006380000000004</v>
      </c>
      <c r="S5485">
        <v>4.397583E-2</v>
      </c>
      <c r="T5485">
        <v>-3.264558E-2</v>
      </c>
      <c r="U5485">
        <v>3.0681150000000001</v>
      </c>
      <c r="V5485">
        <v>-3.652757E-3</v>
      </c>
      <c r="W5485">
        <v>0.21087910000000001</v>
      </c>
      <c r="X5485">
        <v>0.97750530000000002</v>
      </c>
      <c r="Y5485">
        <v>2.3780269999999999E-2</v>
      </c>
      <c r="Z5485">
        <v>2.2725409999999999E-3</v>
      </c>
      <c r="AA5485">
        <v>0.99971460000000001</v>
      </c>
      <c r="AB5485">
        <v>40</v>
      </c>
      <c r="AC5485">
        <v>1.51219999999997</v>
      </c>
      <c r="AD5485">
        <v>-1.1200445864299999</v>
      </c>
      <c r="AE5485">
        <v>104.84869</v>
      </c>
      <c r="AF5485">
        <v>2.5030678678356102</v>
      </c>
      <c r="AG5485">
        <v>-1.1200445864299999</v>
      </c>
      <c r="AH5485">
        <v>104.81774956739299</v>
      </c>
      <c r="AI5485">
        <v>90.612044214813494</v>
      </c>
      <c r="AJ5485">
        <v>88.632025844025407</v>
      </c>
      <c r="AK5485">
        <v>104.853614496589</v>
      </c>
      <c r="AL5485">
        <v>77.826124968886205</v>
      </c>
      <c r="AM5485">
        <v>90.214102762967897</v>
      </c>
      <c r="AN5485">
        <v>0.9999999744893</v>
      </c>
    </row>
    <row r="5486" spans="1:40" x14ac:dyDescent="0.25">
      <c r="A5486" t="str">
        <f>"20190303170922517"</f>
        <v>20190303170922517</v>
      </c>
      <c r="B5486" t="str">
        <f>"1551604162509319"</f>
        <v>1551604162509319</v>
      </c>
      <c r="C5486" t="s">
        <v>40</v>
      </c>
      <c r="D5486">
        <v>4.5895010000000003</v>
      </c>
      <c r="E5486">
        <v>0.51478729999999995</v>
      </c>
      <c r="F5486" t="s">
        <v>43</v>
      </c>
      <c r="G5486">
        <v>-186.37870000000001</v>
      </c>
      <c r="H5486" s="1">
        <v>-1.77719E-6</v>
      </c>
      <c r="I5486">
        <v>172.03899999999999</v>
      </c>
      <c r="J5486">
        <v>-187.82730000000001</v>
      </c>
      <c r="K5486">
        <v>1.120036</v>
      </c>
      <c r="L5486">
        <v>66.994959999999907</v>
      </c>
      <c r="M5486">
        <v>-8.7025750000000006E-3</v>
      </c>
      <c r="N5486">
        <v>-1.2906809999999999E-2</v>
      </c>
      <c r="O5486">
        <v>0.99987879999999996</v>
      </c>
      <c r="P5486">
        <v>-1.263179E-2</v>
      </c>
      <c r="Q5486">
        <v>0.19841449999999999</v>
      </c>
      <c r="R5486">
        <v>0.98003680000000004</v>
      </c>
      <c r="S5486">
        <v>4.2053220000000002E-2</v>
      </c>
      <c r="T5486">
        <v>-3.2585620000000003E-2</v>
      </c>
      <c r="U5486">
        <v>3.0682070000000001</v>
      </c>
      <c r="V5486">
        <v>-3.6945630000000001E-3</v>
      </c>
      <c r="W5486">
        <v>0.21105570000000001</v>
      </c>
      <c r="X5486">
        <v>0.97746710000000003</v>
      </c>
      <c r="Y5486">
        <v>2.2403369999999999E-2</v>
      </c>
      <c r="Z5486">
        <v>2.2903569999999998E-3</v>
      </c>
      <c r="AA5486">
        <v>0.99974640000000004</v>
      </c>
      <c r="AB5486">
        <v>40</v>
      </c>
      <c r="AC5486">
        <v>1.4485999999999899</v>
      </c>
      <c r="AD5486">
        <v>-1.1200377771899901</v>
      </c>
      <c r="AE5486">
        <v>105.04404</v>
      </c>
      <c r="AF5486">
        <v>2.3625064106647402</v>
      </c>
      <c r="AG5486">
        <v>-1.1200377771899901</v>
      </c>
      <c r="AH5486">
        <v>105.01551696495901</v>
      </c>
      <c r="AI5486">
        <v>90.610907559989101</v>
      </c>
      <c r="AJ5486">
        <v>88.711249331575402</v>
      </c>
      <c r="AK5486">
        <v>105.048059118578</v>
      </c>
      <c r="AL5486">
        <v>77.815774427262497</v>
      </c>
      <c r="AM5486">
        <v>90.216561620328704</v>
      </c>
      <c r="AN5486">
        <v>1.0000000449403199</v>
      </c>
    </row>
    <row r="5487" spans="1:40" x14ac:dyDescent="0.25">
      <c r="A5487" t="str">
        <f>"20190303170922539"</f>
        <v>20190303170922539</v>
      </c>
      <c r="B5487" t="str">
        <f>"1551604162529815"</f>
        <v>1551604162529815</v>
      </c>
      <c r="C5487" t="s">
        <v>40</v>
      </c>
      <c r="D5487">
        <v>4.5679089999999896</v>
      </c>
      <c r="E5487">
        <v>0.51468910000000001</v>
      </c>
      <c r="F5487" t="s">
        <v>43</v>
      </c>
      <c r="G5487">
        <v>-186.32130000000001</v>
      </c>
      <c r="H5487" s="1">
        <v>-2.1161040000000001E-6</v>
      </c>
      <c r="I5487">
        <v>172.99010000000001</v>
      </c>
      <c r="J5487">
        <v>-187.83009999999999</v>
      </c>
      <c r="K5487">
        <v>1.120034</v>
      </c>
      <c r="L5487">
        <v>67.389830000000003</v>
      </c>
      <c r="M5487">
        <v>-7.9927169999999999E-3</v>
      </c>
      <c r="N5487">
        <v>-1.290533E-2</v>
      </c>
      <c r="O5487">
        <v>0.99988480000000002</v>
      </c>
      <c r="P5487">
        <v>-1.2318819999999999E-2</v>
      </c>
      <c r="Q5487">
        <v>0.19824040000000001</v>
      </c>
      <c r="R5487">
        <v>0.98007599999999995</v>
      </c>
      <c r="S5487">
        <v>4.3594359999999999E-2</v>
      </c>
      <c r="T5487">
        <v>-3.2421709999999999E-2</v>
      </c>
      <c r="U5487">
        <v>3.0682369999999999</v>
      </c>
      <c r="V5487">
        <v>-4.0778480000000002E-3</v>
      </c>
      <c r="W5487">
        <v>0.2108814</v>
      </c>
      <c r="X5487">
        <v>0.97750309999999996</v>
      </c>
      <c r="Y5487">
        <v>2.219556E-2</v>
      </c>
      <c r="Z5487">
        <v>2.3422719999999998E-3</v>
      </c>
      <c r="AA5487">
        <v>0.9997509</v>
      </c>
      <c r="AB5487">
        <v>40</v>
      </c>
      <c r="AC5487">
        <v>1.5087999999999699</v>
      </c>
      <c r="AD5487">
        <v>-1.120036116104</v>
      </c>
      <c r="AE5487">
        <v>105.60026999999999</v>
      </c>
      <c r="AF5487">
        <v>2.3525905454576499</v>
      </c>
      <c r="AG5487">
        <v>-1.120036116104</v>
      </c>
      <c r="AH5487">
        <v>105.57296188255199</v>
      </c>
      <c r="AI5487">
        <v>90.607684088109707</v>
      </c>
      <c r="AJ5487">
        <v>88.723430681504496</v>
      </c>
      <c r="AK5487">
        <v>105.60511087930701</v>
      </c>
      <c r="AL5487">
        <v>77.825989880303396</v>
      </c>
      <c r="AM5487">
        <v>90.2390193182395</v>
      </c>
      <c r="AN5487">
        <v>0.99999995210993897</v>
      </c>
    </row>
    <row r="5488" spans="1:40" x14ac:dyDescent="0.25">
      <c r="A5488" t="str">
        <f>"20190303170922582"</f>
        <v>20190303170922582</v>
      </c>
      <c r="B5488" t="str">
        <f>"1551604162568855"</f>
        <v>1551604162568855</v>
      </c>
      <c r="C5488" t="s">
        <v>40</v>
      </c>
      <c r="D5488">
        <v>4.4678300000000002</v>
      </c>
      <c r="E5488">
        <v>0.51451930000000001</v>
      </c>
      <c r="F5488" t="s">
        <v>43</v>
      </c>
      <c r="G5488">
        <v>-186.3366</v>
      </c>
      <c r="H5488" s="1">
        <v>-1.4298310000000001E-6</v>
      </c>
      <c r="I5488">
        <v>170.9854</v>
      </c>
      <c r="J5488">
        <v>-187.8347</v>
      </c>
      <c r="K5488">
        <v>1.1200319999999999</v>
      </c>
      <c r="L5488">
        <v>68.160799999999995</v>
      </c>
      <c r="M5488">
        <v>-6.6066229999999998E-3</v>
      </c>
      <c r="N5488">
        <v>-1.2902530000000001E-2</v>
      </c>
      <c r="O5488">
        <v>0.99989490000000003</v>
      </c>
      <c r="P5488">
        <v>-1.076675E-2</v>
      </c>
      <c r="Q5488">
        <v>0.198542</v>
      </c>
      <c r="R5488">
        <v>0.98003320000000005</v>
      </c>
      <c r="S5488">
        <v>4.423523E-2</v>
      </c>
      <c r="T5488">
        <v>-3.3172609999999998E-2</v>
      </c>
      <c r="U5488">
        <v>3.0682369999999999</v>
      </c>
      <c r="V5488">
        <v>-3.8841589999999999E-3</v>
      </c>
      <c r="W5488">
        <v>0.2111788</v>
      </c>
      <c r="X5488">
        <v>0.97743979999999997</v>
      </c>
      <c r="Y5488">
        <v>2.1018579999999999E-2</v>
      </c>
      <c r="Z5488">
        <v>2.0944169999999999E-3</v>
      </c>
      <c r="AA5488">
        <v>0.99977689999999997</v>
      </c>
      <c r="AB5488">
        <v>40</v>
      </c>
      <c r="AC5488">
        <v>1.49809999999999</v>
      </c>
      <c r="AD5488">
        <v>-1.120033429831</v>
      </c>
      <c r="AE5488">
        <v>102.8246</v>
      </c>
      <c r="AF5488">
        <v>2.1771889734652898</v>
      </c>
      <c r="AG5488">
        <v>-1.120033429831</v>
      </c>
      <c r="AH5488">
        <v>102.800262711439</v>
      </c>
      <c r="AI5488">
        <v>90.624086573499298</v>
      </c>
      <c r="AJ5488">
        <v>88.786723981582298</v>
      </c>
      <c r="AK5488">
        <v>102.829415248027</v>
      </c>
      <c r="AL5488">
        <v>77.808558958096597</v>
      </c>
      <c r="AM5488">
        <v>90.227681281496402</v>
      </c>
      <c r="AN5488">
        <v>1.0000000674423</v>
      </c>
    </row>
    <row r="5489" spans="1:40" x14ac:dyDescent="0.25">
      <c r="A5489" t="str">
        <f>"20190303170922605"</f>
        <v>20190303170922605</v>
      </c>
      <c r="B5489" t="str">
        <f>"1551604162599112"</f>
        <v>1551604162599112</v>
      </c>
      <c r="C5489" t="s">
        <v>40</v>
      </c>
      <c r="D5489">
        <v>4.6652899999999997</v>
      </c>
      <c r="E5489">
        <v>0.51457900000000001</v>
      </c>
      <c r="F5489" t="s">
        <v>43</v>
      </c>
      <c r="G5489">
        <v>-186.279</v>
      </c>
      <c r="H5489" s="1">
        <v>-4.7310930000000003E-6</v>
      </c>
      <c r="I5489">
        <v>168.24350000000001</v>
      </c>
      <c r="J5489">
        <v>-187.83670000000001</v>
      </c>
      <c r="K5489">
        <v>1.1200319999999999</v>
      </c>
      <c r="L5489">
        <v>68.575379999999996</v>
      </c>
      <c r="M5489">
        <v>-5.8611210000000004E-3</v>
      </c>
      <c r="N5489">
        <v>-1.290122E-2</v>
      </c>
      <c r="O5489">
        <v>0.9998996</v>
      </c>
      <c r="P5489">
        <v>-1.0708219999999999E-2</v>
      </c>
      <c r="Q5489">
        <v>0.1983675</v>
      </c>
      <c r="R5489">
        <v>0.98006919999999997</v>
      </c>
      <c r="S5489">
        <v>4.769897E-2</v>
      </c>
      <c r="T5489">
        <v>-3.4341099999999999E-2</v>
      </c>
      <c r="U5489">
        <v>3.0686040000000001</v>
      </c>
      <c r="V5489">
        <v>-4.5568830000000003E-3</v>
      </c>
      <c r="W5489">
        <v>0.2110049</v>
      </c>
      <c r="X5489">
        <v>0.97747439999999997</v>
      </c>
      <c r="Y5489">
        <v>2.1399609999999999E-2</v>
      </c>
      <c r="Z5489">
        <v>1.7137579999999999E-3</v>
      </c>
      <c r="AA5489">
        <v>0.99976949999999998</v>
      </c>
      <c r="AB5489">
        <v>40</v>
      </c>
      <c r="AC5489">
        <v>1.5576999999999801</v>
      </c>
      <c r="AD5489">
        <v>-1.1200367310929999</v>
      </c>
      <c r="AE5489">
        <v>99.668120000000002</v>
      </c>
      <c r="AF5489">
        <v>2.1416183820889301</v>
      </c>
      <c r="AG5489">
        <v>-1.1200367310929999</v>
      </c>
      <c r="AH5489">
        <v>99.644696571583793</v>
      </c>
      <c r="AI5489">
        <v>90.643846211253802</v>
      </c>
      <c r="AJ5489">
        <v>88.768757291859501</v>
      </c>
      <c r="AK5489">
        <v>99.674001456831803</v>
      </c>
      <c r="AL5489">
        <v>77.818751776312993</v>
      </c>
      <c r="AM5489">
        <v>90.267104971968905</v>
      </c>
      <c r="AN5489">
        <v>1.00000001783102</v>
      </c>
    </row>
    <row r="5490" spans="1:40" x14ac:dyDescent="0.25">
      <c r="A5490" t="str">
        <f>"20190303170922626"</f>
        <v>20190303170922626</v>
      </c>
      <c r="B5490" t="str">
        <f>"1551604162619608"</f>
        <v>1551604162619608</v>
      </c>
      <c r="C5490" t="s">
        <v>40</v>
      </c>
      <c r="D5490">
        <v>4.6680820000000001</v>
      </c>
      <c r="E5490">
        <v>0.51459869999999996</v>
      </c>
      <c r="F5490" t="s">
        <v>43</v>
      </c>
      <c r="G5490">
        <v>-186.37870000000001</v>
      </c>
      <c r="H5490" s="1">
        <v>-1.7185590000000001E-6</v>
      </c>
      <c r="I5490">
        <v>161.61060000000001</v>
      </c>
      <c r="J5490">
        <v>-187.8383</v>
      </c>
      <c r="K5490">
        <v>1.1200369999999999</v>
      </c>
      <c r="L5490">
        <v>68.951629999999994</v>
      </c>
      <c r="M5490">
        <v>-5.1833540000000003E-3</v>
      </c>
      <c r="N5490">
        <v>-1.290299E-2</v>
      </c>
      <c r="O5490">
        <v>0.99990330000000005</v>
      </c>
      <c r="P5490">
        <v>-1.0842020000000001E-2</v>
      </c>
      <c r="Q5490">
        <v>0.19788539999999999</v>
      </c>
      <c r="R5490">
        <v>0.98016519999999996</v>
      </c>
      <c r="S5490">
        <v>4.8095699999999998E-2</v>
      </c>
      <c r="T5490">
        <v>-3.6947130000000002E-2</v>
      </c>
      <c r="U5490">
        <v>3.069</v>
      </c>
      <c r="V5490">
        <v>-5.3554020000000004E-3</v>
      </c>
      <c r="W5490">
        <v>0.21052760000000001</v>
      </c>
      <c r="X5490">
        <v>0.97757320000000003</v>
      </c>
      <c r="Y5490">
        <v>2.0849119999999999E-2</v>
      </c>
      <c r="Z5490">
        <v>8.6792629999999998E-4</v>
      </c>
      <c r="AA5490">
        <v>0.99978230000000001</v>
      </c>
      <c r="AB5490">
        <v>40</v>
      </c>
      <c r="AC5490">
        <v>1.45959999999999</v>
      </c>
      <c r="AD5490">
        <v>-1.1200387185589999</v>
      </c>
      <c r="AE5490">
        <v>92.658969999999997</v>
      </c>
      <c r="AF5490">
        <v>1.9396212909689099</v>
      </c>
      <c r="AG5490">
        <v>-1.1200387185589999</v>
      </c>
      <c r="AH5490">
        <v>92.636626660604605</v>
      </c>
      <c r="AI5490">
        <v>90.692558731012198</v>
      </c>
      <c r="AJ5490">
        <v>88.800518951570297</v>
      </c>
      <c r="AK5490">
        <v>92.663699562124606</v>
      </c>
      <c r="AL5490">
        <v>77.846726721676404</v>
      </c>
      <c r="AM5490">
        <v>90.313878145054105</v>
      </c>
      <c r="AN5490">
        <v>0.99999995602528902</v>
      </c>
    </row>
    <row r="5491" spans="1:40" x14ac:dyDescent="0.25">
      <c r="A5491" t="str">
        <f>"20190303170922647"</f>
        <v>20190303170922647</v>
      </c>
      <c r="B5491" t="str">
        <f>"1551604162639128"</f>
        <v>1551604162639128</v>
      </c>
      <c r="C5491" t="s">
        <v>40</v>
      </c>
      <c r="D5491">
        <v>4.6968249999999996</v>
      </c>
      <c r="E5491">
        <v>0.55043450000000005</v>
      </c>
      <c r="F5491" t="s">
        <v>58</v>
      </c>
      <c r="G5491">
        <v>-186.43020000000001</v>
      </c>
      <c r="H5491" s="1">
        <v>-1.4063460000000001E-5</v>
      </c>
      <c r="I5491">
        <v>157.48570000000001</v>
      </c>
      <c r="J5491">
        <v>-187.83969999999999</v>
      </c>
      <c r="K5491">
        <v>1.1200319999999999</v>
      </c>
      <c r="L5491">
        <v>69.345950000000002</v>
      </c>
      <c r="M5491">
        <v>-4.4668750000000004E-3</v>
      </c>
      <c r="N5491">
        <v>-1.2908589999999999E-2</v>
      </c>
      <c r="O5491">
        <v>0.99990670000000004</v>
      </c>
      <c r="P5491">
        <v>-1.094959E-2</v>
      </c>
      <c r="Q5491">
        <v>0.19888400000000001</v>
      </c>
      <c r="R5491">
        <v>0.97996190000000005</v>
      </c>
      <c r="S5491">
        <v>4.8812870000000001E-2</v>
      </c>
      <c r="T5491">
        <v>-3.8826939999999997E-2</v>
      </c>
      <c r="U5491">
        <v>3.069061</v>
      </c>
      <c r="V5491">
        <v>-6.1627950000000004E-3</v>
      </c>
      <c r="W5491">
        <v>0.2115302</v>
      </c>
      <c r="X5491">
        <v>0.977352</v>
      </c>
      <c r="Y5491">
        <v>2.0365970000000001E-2</v>
      </c>
      <c r="Z5491">
        <v>2.613006E-4</v>
      </c>
      <c r="AA5491">
        <v>0.99979260000000003</v>
      </c>
      <c r="AB5491">
        <v>40</v>
      </c>
      <c r="AC5491">
        <v>1.40949999999998</v>
      </c>
      <c r="AD5491">
        <v>-1.12004606346</v>
      </c>
      <c r="AE5491">
        <v>88.139750000000006</v>
      </c>
      <c r="AF5491">
        <v>1.80293691901664</v>
      </c>
      <c r="AG5491">
        <v>-1.12004606346</v>
      </c>
      <c r="AH5491">
        <v>88.118347918401895</v>
      </c>
      <c r="AI5491">
        <v>90.728077999754106</v>
      </c>
      <c r="AJ5491">
        <v>88.827868799263896</v>
      </c>
      <c r="AK5491">
        <v>88.143906905620895</v>
      </c>
      <c r="AL5491">
        <v>77.787958654297697</v>
      </c>
      <c r="AM5491">
        <v>90.361279727017006</v>
      </c>
      <c r="AN5491">
        <v>0.999999968729125</v>
      </c>
    </row>
    <row r="5492" spans="1:40" x14ac:dyDescent="0.25">
      <c r="A5492" t="str">
        <f>"20190303170922670"</f>
        <v>20190303170922670</v>
      </c>
      <c r="B5492" t="str">
        <f>"1551604162659624"</f>
        <v>1551604162659624</v>
      </c>
      <c r="C5492" t="s">
        <v>40</v>
      </c>
      <c r="D5492">
        <v>4.6713009999999997</v>
      </c>
      <c r="E5492">
        <v>0.55578539999999998</v>
      </c>
      <c r="F5492" t="s">
        <v>43</v>
      </c>
      <c r="G5492">
        <v>-183.38839999999999</v>
      </c>
      <c r="H5492" s="1">
        <v>-2.1367589999999999E-6</v>
      </c>
      <c r="I5492">
        <v>110.7576</v>
      </c>
      <c r="J5492">
        <v>-187.8408</v>
      </c>
      <c r="K5492">
        <v>1.1200289999999999</v>
      </c>
      <c r="L5492">
        <v>69.735929999999996</v>
      </c>
      <c r="M5492">
        <v>-3.7413640000000001E-3</v>
      </c>
      <c r="N5492">
        <v>-1.291613E-2</v>
      </c>
      <c r="O5492">
        <v>0.99990959999999995</v>
      </c>
      <c r="P5492">
        <v>-9.7008100000000007E-3</v>
      </c>
      <c r="Q5492">
        <v>0.19975470000000001</v>
      </c>
      <c r="R5492">
        <v>0.9797979</v>
      </c>
      <c r="S5492">
        <v>0.33128360000000001</v>
      </c>
      <c r="T5492">
        <v>-8.3356139999999995E-2</v>
      </c>
      <c r="U5492">
        <v>3.0819700000000001</v>
      </c>
      <c r="V5492">
        <v>-5.6192339999999999E-3</v>
      </c>
      <c r="W5492">
        <v>0.21240539999999999</v>
      </c>
      <c r="X5492">
        <v>0.97716550000000002</v>
      </c>
      <c r="Y5492">
        <v>0.1105559</v>
      </c>
      <c r="Z5492">
        <v>-1.395973E-2</v>
      </c>
      <c r="AA5492">
        <v>0.99377190000000004</v>
      </c>
      <c r="AB5492">
        <v>40</v>
      </c>
      <c r="AC5492">
        <v>4.4524000000000097</v>
      </c>
      <c r="AD5492">
        <v>-1.1200311367589999</v>
      </c>
      <c r="AE5492">
        <v>41.021669999999901</v>
      </c>
      <c r="AF5492">
        <v>4.6024675537460098</v>
      </c>
      <c r="AG5492">
        <v>-1.1200311367589999</v>
      </c>
      <c r="AH5492">
        <v>40.974533535040898</v>
      </c>
      <c r="AI5492">
        <v>91.555999076049005</v>
      </c>
      <c r="AJ5492">
        <v>83.591110662918794</v>
      </c>
      <c r="AK5492">
        <v>41.247419019191803</v>
      </c>
      <c r="AL5492">
        <v>77.736648085692394</v>
      </c>
      <c r="AM5492">
        <v>90.329478316052501</v>
      </c>
      <c r="AN5492">
        <v>1.00000002206507</v>
      </c>
    </row>
    <row r="5493" spans="1:40" x14ac:dyDescent="0.25">
      <c r="A5493" t="str">
        <f>"20190303170922693"</f>
        <v>20190303170922693</v>
      </c>
      <c r="B5493" t="str">
        <f>"1551604162688904"</f>
        <v>1551604162688904</v>
      </c>
      <c r="C5493" t="s">
        <v>40</v>
      </c>
      <c r="D5493">
        <v>4.6623549999999998</v>
      </c>
      <c r="E5493">
        <v>0.55777449999999995</v>
      </c>
      <c r="F5493" t="s">
        <v>58</v>
      </c>
      <c r="G5493">
        <v>-181.64410000000001</v>
      </c>
      <c r="H5493" s="1">
        <v>-2.3506929999999998E-6</v>
      </c>
      <c r="I5493">
        <v>120.08710000000001</v>
      </c>
      <c r="J5493">
        <v>-187.8416</v>
      </c>
      <c r="K5493">
        <v>1.1200209999999999</v>
      </c>
      <c r="L5493">
        <v>70.162409999999994</v>
      </c>
      <c r="M5493">
        <v>-2.919404E-3</v>
      </c>
      <c r="N5493">
        <v>-1.2929080000000001E-2</v>
      </c>
      <c r="O5493">
        <v>0.99991209999999997</v>
      </c>
      <c r="P5493">
        <v>-8.2037800000000008E-3</v>
      </c>
      <c r="Q5493">
        <v>0.19975409999999999</v>
      </c>
      <c r="R5493">
        <v>0.97981169999999995</v>
      </c>
      <c r="S5493">
        <v>0.3789978</v>
      </c>
      <c r="T5493">
        <v>-6.8503019999999998E-2</v>
      </c>
      <c r="U5493">
        <v>3.0795590000000002</v>
      </c>
      <c r="V5493">
        <v>-4.917968E-3</v>
      </c>
      <c r="W5493">
        <v>0.2124161</v>
      </c>
      <c r="X5493">
        <v>0.97716700000000001</v>
      </c>
      <c r="Y5493">
        <v>0.12501129999999999</v>
      </c>
      <c r="Z5493">
        <v>-9.138284E-3</v>
      </c>
      <c r="AA5493">
        <v>0.99211320000000003</v>
      </c>
      <c r="AB5493">
        <v>40</v>
      </c>
      <c r="AC5493">
        <v>6.19749999999999</v>
      </c>
      <c r="AD5493">
        <v>-1.120023350693</v>
      </c>
      <c r="AE5493">
        <v>49.924689999999998</v>
      </c>
      <c r="AF5493">
        <v>6.3400935991034304</v>
      </c>
      <c r="AG5493">
        <v>-1.120023350693</v>
      </c>
      <c r="AH5493">
        <v>49.881658457732001</v>
      </c>
      <c r="AI5493">
        <v>91.276018631339696</v>
      </c>
      <c r="AJ5493">
        <v>82.756392004637803</v>
      </c>
      <c r="AK5493">
        <v>50.295438059980299</v>
      </c>
      <c r="AL5493">
        <v>77.736021250505601</v>
      </c>
      <c r="AM5493">
        <v>90.2883605679189</v>
      </c>
      <c r="AN5493">
        <v>1.00000006591872</v>
      </c>
    </row>
    <row r="5494" spans="1:40" x14ac:dyDescent="0.25">
      <c r="A5494" t="str">
        <f>"20190303170922716"</f>
        <v>20190303170922716</v>
      </c>
      <c r="B5494" t="str">
        <f>"1551604162709400"</f>
        <v>1551604162709400</v>
      </c>
      <c r="C5494" t="s">
        <v>40</v>
      </c>
      <c r="D5494">
        <v>4.6793760000000004</v>
      </c>
      <c r="E5494">
        <v>0.55855290000000002</v>
      </c>
      <c r="F5494" t="s">
        <v>58</v>
      </c>
      <c r="G5494">
        <v>-180.91040000000001</v>
      </c>
      <c r="H5494" s="1">
        <v>-3.5662339999999999E-6</v>
      </c>
      <c r="I5494">
        <v>123.5513</v>
      </c>
      <c r="J5494">
        <v>-187.84200000000001</v>
      </c>
      <c r="K5494">
        <v>1.1199969999999999</v>
      </c>
      <c r="L5494">
        <v>70.565700000000007</v>
      </c>
      <c r="M5494">
        <v>-2.117369E-3</v>
      </c>
      <c r="N5494">
        <v>-1.294419E-2</v>
      </c>
      <c r="O5494">
        <v>0.99991399999999997</v>
      </c>
      <c r="P5494">
        <v>-7.371814E-3</v>
      </c>
      <c r="Q5494">
        <v>0.19952629999999999</v>
      </c>
      <c r="R5494">
        <v>0.97986479999999998</v>
      </c>
      <c r="S5494">
        <v>0.39964290000000002</v>
      </c>
      <c r="T5494">
        <v>-6.4579250000000005E-2</v>
      </c>
      <c r="U5494">
        <v>3.0783390000000002</v>
      </c>
      <c r="V5494">
        <v>-4.860886E-3</v>
      </c>
      <c r="W5494">
        <v>0.21220359999999999</v>
      </c>
      <c r="X5494">
        <v>0.97721340000000001</v>
      </c>
      <c r="Y5494">
        <v>0.13081099999999901</v>
      </c>
      <c r="Z5494">
        <v>-7.8517090000000001E-3</v>
      </c>
      <c r="AA5494">
        <v>0.99137620000000004</v>
      </c>
      <c r="AB5494">
        <v>40</v>
      </c>
      <c r="AC5494">
        <v>6.9316000000000004</v>
      </c>
      <c r="AD5494">
        <v>-1.120000566234</v>
      </c>
      <c r="AE5494">
        <v>52.985599999999899</v>
      </c>
      <c r="AF5494">
        <v>7.0406910199148296</v>
      </c>
      <c r="AG5494">
        <v>-1.120000566234</v>
      </c>
      <c r="AH5494">
        <v>52.947543904460296</v>
      </c>
      <c r="AI5494">
        <v>91.201227610222702</v>
      </c>
      <c r="AJ5494">
        <v>82.425539122657</v>
      </c>
      <c r="AK5494">
        <v>53.425351068767199</v>
      </c>
      <c r="AL5494">
        <v>77.748479983855702</v>
      </c>
      <c r="AM5494">
        <v>90.285000139669293</v>
      </c>
      <c r="AN5494">
        <v>1.0000000126026101</v>
      </c>
    </row>
    <row r="5495" spans="1:40" x14ac:dyDescent="0.25">
      <c r="A5495" t="str">
        <f>"20190303170922737"</f>
        <v>20190303170922737</v>
      </c>
      <c r="B5495" t="str">
        <f>"1551604162728919"</f>
        <v>1551604162728919</v>
      </c>
      <c r="C5495" t="s">
        <v>40</v>
      </c>
      <c r="D5495">
        <v>4.6745080000000003</v>
      </c>
      <c r="E5495">
        <v>0.55907949999999995</v>
      </c>
      <c r="F5495" t="s">
        <v>58</v>
      </c>
      <c r="G5495">
        <v>-180.50280000000001</v>
      </c>
      <c r="H5495" s="1">
        <v>-4.3349130000000004E-6</v>
      </c>
      <c r="I5495">
        <v>125.6844</v>
      </c>
      <c r="J5495">
        <v>-187.84209999999999</v>
      </c>
      <c r="K5495">
        <v>1.119977</v>
      </c>
      <c r="L5495">
        <v>70.938929999999999</v>
      </c>
      <c r="M5495">
        <v>-1.3510039999999901E-3</v>
      </c>
      <c r="N5495">
        <v>-1.295866E-2</v>
      </c>
      <c r="O5495">
        <v>0.99991509999999995</v>
      </c>
      <c r="P5495">
        <v>-5.8880629999999998E-3</v>
      </c>
      <c r="Q5495">
        <v>0.19874910000000001</v>
      </c>
      <c r="R5495">
        <v>0.98003269999999998</v>
      </c>
      <c r="S5495">
        <v>0.40977479999999999</v>
      </c>
      <c r="T5495">
        <v>-6.2533859999999997E-2</v>
      </c>
      <c r="U5495">
        <v>3.0774840000000001</v>
      </c>
      <c r="V5495">
        <v>-4.1188209999999999E-3</v>
      </c>
      <c r="W5495">
        <v>0.21144170000000001</v>
      </c>
      <c r="X5495">
        <v>0.97738190000000003</v>
      </c>
      <c r="Y5495">
        <v>0.13329489999999999</v>
      </c>
      <c r="Z5495">
        <v>-7.1772499999999996E-3</v>
      </c>
      <c r="AA5495">
        <v>0.9910504</v>
      </c>
      <c r="AB5495">
        <v>40</v>
      </c>
      <c r="AC5495">
        <v>7.3392999999999802</v>
      </c>
      <c r="AD5495">
        <v>-1.1199813349129999</v>
      </c>
      <c r="AE5495">
        <v>54.745469999999997</v>
      </c>
      <c r="AF5495">
        <v>7.4102142314413202</v>
      </c>
      <c r="AG5495">
        <v>-1.1199813349129999</v>
      </c>
      <c r="AH5495">
        <v>54.713009101806499</v>
      </c>
      <c r="AI5495">
        <v>91.162080273116203</v>
      </c>
      <c r="AJ5495">
        <v>82.286913765192693</v>
      </c>
      <c r="AK5495">
        <v>55.223898795003301</v>
      </c>
      <c r="AL5495">
        <v>77.793146667367907</v>
      </c>
      <c r="AM5495">
        <v>90.241450821731306</v>
      </c>
      <c r="AN5495">
        <v>0.99999996781646405</v>
      </c>
    </row>
    <row r="5496" spans="1:40" x14ac:dyDescent="0.25">
      <c r="A5496" t="str">
        <f>"20190303170922761"</f>
        <v>20190303170922761</v>
      </c>
      <c r="B5496" t="str">
        <f>"1551604162749417"</f>
        <v>1551604162749417</v>
      </c>
      <c r="C5496" t="s">
        <v>40</v>
      </c>
      <c r="D5496">
        <v>4.682391</v>
      </c>
      <c r="E5496">
        <v>0.55947329999999995</v>
      </c>
      <c r="F5496" t="s">
        <v>58</v>
      </c>
      <c r="G5496">
        <v>-180.46870000000001</v>
      </c>
      <c r="H5496" s="1">
        <v>-4.1806140000000002E-6</v>
      </c>
      <c r="I5496">
        <v>125.07210000000001</v>
      </c>
      <c r="J5496">
        <v>-187.84180000000001</v>
      </c>
      <c r="K5496">
        <v>1.119964</v>
      </c>
      <c r="L5496">
        <v>71.354249999999993</v>
      </c>
      <c r="M5496">
        <v>-4.6892229999999997E-4</v>
      </c>
      <c r="N5496">
        <v>-1.2974019999999999E-2</v>
      </c>
      <c r="O5496">
        <v>0.99991569999999996</v>
      </c>
      <c r="P5496">
        <v>-4.2748020000000003E-3</v>
      </c>
      <c r="Q5496">
        <v>0.19958529999999999</v>
      </c>
      <c r="R5496">
        <v>0.97987109999999999</v>
      </c>
      <c r="S5496">
        <v>0.41905209999999998</v>
      </c>
      <c r="T5496">
        <v>-6.3651680000000002E-2</v>
      </c>
      <c r="U5496">
        <v>3.0765380000000002</v>
      </c>
      <c r="V5496">
        <v>-3.355729E-3</v>
      </c>
      <c r="W5496">
        <v>0.21228929999999999</v>
      </c>
      <c r="X5496">
        <v>0.97720110000000004</v>
      </c>
      <c r="Y5496">
        <v>0.1353943</v>
      </c>
      <c r="Z5496">
        <v>-7.5217299999999999E-3</v>
      </c>
      <c r="AA5496">
        <v>0.99076319999999996</v>
      </c>
      <c r="AB5496">
        <v>40</v>
      </c>
      <c r="AC5496">
        <v>7.3730999999999902</v>
      </c>
      <c r="AD5496">
        <v>-1.1199681806140001</v>
      </c>
      <c r="AE5496">
        <v>53.717849999999999</v>
      </c>
      <c r="AF5496">
        <v>7.3951356970924298</v>
      </c>
      <c r="AG5496">
        <v>-1.1199681806140001</v>
      </c>
      <c r="AH5496">
        <v>53.691479094508303</v>
      </c>
      <c r="AI5496">
        <v>91.183805388045798</v>
      </c>
      <c r="AJ5496">
        <v>82.157772260930301</v>
      </c>
      <c r="AK5496">
        <v>54.209937170780996</v>
      </c>
      <c r="AL5496">
        <v>77.743455081532801</v>
      </c>
      <c r="AM5496">
        <v>90.196754130871497</v>
      </c>
      <c r="AN5496">
        <v>0.99999999882641</v>
      </c>
    </row>
    <row r="5497" spans="1:40" x14ac:dyDescent="0.25">
      <c r="A5497" t="str">
        <f>"20190303170922784"</f>
        <v>20190303170922784</v>
      </c>
      <c r="B5497" t="str">
        <f>"1551604162779673"</f>
        <v>1551604162779673</v>
      </c>
      <c r="C5497" t="s">
        <v>40</v>
      </c>
      <c r="D5497">
        <v>4.6853850000000001</v>
      </c>
      <c r="E5497">
        <v>0.55991869999999999</v>
      </c>
      <c r="F5497" t="s">
        <v>58</v>
      </c>
      <c r="G5497">
        <v>-179.75290000000001</v>
      </c>
      <c r="H5497" s="1">
        <v>-5.27864E-6</v>
      </c>
      <c r="I5497">
        <v>129.55709999999999</v>
      </c>
      <c r="J5497">
        <v>-187.84110000000001</v>
      </c>
      <c r="K5497">
        <v>1.119945</v>
      </c>
      <c r="L5497">
        <v>71.777739999999994</v>
      </c>
      <c r="M5497">
        <v>4.5854750000000002E-4</v>
      </c>
      <c r="N5497">
        <v>-1.298823E-2</v>
      </c>
      <c r="O5497">
        <v>0.99991549999999996</v>
      </c>
      <c r="P5497">
        <v>-2.5025440000000002E-3</v>
      </c>
      <c r="Q5497">
        <v>0.2010332</v>
      </c>
      <c r="R5497">
        <v>0.97958120000000004</v>
      </c>
      <c r="S5497">
        <v>0.42742920000000001</v>
      </c>
      <c r="T5497">
        <v>-5.9180969999999999E-2</v>
      </c>
      <c r="U5497">
        <v>3.0755309999999998</v>
      </c>
      <c r="V5497">
        <v>-2.4765770000000002E-3</v>
      </c>
      <c r="W5497">
        <v>0.2137453</v>
      </c>
      <c r="X5497">
        <v>0.97688629999999999</v>
      </c>
      <c r="Y5497">
        <v>0.13716919999999999</v>
      </c>
      <c r="Z5497">
        <v>-6.0694479999999999E-3</v>
      </c>
      <c r="AA5497">
        <v>0.99052910000000005</v>
      </c>
      <c r="AB5497">
        <v>40</v>
      </c>
      <c r="AC5497">
        <v>8.0882000000000005</v>
      </c>
      <c r="AD5497">
        <v>-1.11995027864</v>
      </c>
      <c r="AE5497">
        <v>57.779359999999897</v>
      </c>
      <c r="AF5497">
        <v>8.0587327809078104</v>
      </c>
      <c r="AG5497">
        <v>-1.11995027864</v>
      </c>
      <c r="AH5497">
        <v>57.761778503216</v>
      </c>
      <c r="AI5497">
        <v>91.100123145224998</v>
      </c>
      <c r="AJ5497">
        <v>82.057550088567098</v>
      </c>
      <c r="AK5497">
        <v>58.331985381223703</v>
      </c>
      <c r="AL5497">
        <v>77.658072960799998</v>
      </c>
      <c r="AM5497">
        <v>90.145254474081199</v>
      </c>
      <c r="AN5497">
        <v>1.0000000149167001</v>
      </c>
    </row>
    <row r="5498" spans="1:40" x14ac:dyDescent="0.25">
      <c r="A5498" t="str">
        <f>"20190303170922806"</f>
        <v>20190303170922806</v>
      </c>
      <c r="B5498" t="str">
        <f>"1551604162799192"</f>
        <v>1551604162799192</v>
      </c>
      <c r="C5498" t="s">
        <v>40</v>
      </c>
      <c r="D5498">
        <v>4.6970580000000002</v>
      </c>
      <c r="E5498">
        <v>0.55995719999999904</v>
      </c>
      <c r="F5498" t="s">
        <v>58</v>
      </c>
      <c r="G5498">
        <v>-178.8314</v>
      </c>
      <c r="H5498" s="1">
        <v>-6.7230330000000001E-6</v>
      </c>
      <c r="I5498">
        <v>135.31370000000001</v>
      </c>
      <c r="J5498">
        <v>-187.84010000000001</v>
      </c>
      <c r="K5498">
        <v>1.1199269999999999</v>
      </c>
      <c r="L5498">
        <v>72.169309999999996</v>
      </c>
      <c r="M5498">
        <v>1.3364729999999999E-3</v>
      </c>
      <c r="N5498">
        <v>-1.299998E-2</v>
      </c>
      <c r="O5498">
        <v>0.99991459999999999</v>
      </c>
      <c r="P5498">
        <v>-1.451361E-3</v>
      </c>
      <c r="Q5498">
        <v>0.20082159999999999</v>
      </c>
      <c r="R5498">
        <v>0.97962680000000002</v>
      </c>
      <c r="S5498">
        <v>0.43601990000000002</v>
      </c>
      <c r="T5498">
        <v>-5.41991E-2</v>
      </c>
      <c r="U5498">
        <v>3.0747680000000002</v>
      </c>
      <c r="V5498">
        <v>-2.2763779999999999E-3</v>
      </c>
      <c r="W5498">
        <v>0.2135454</v>
      </c>
      <c r="X5498">
        <v>0.97693050000000003</v>
      </c>
      <c r="Y5498">
        <v>0.1390489</v>
      </c>
      <c r="Z5498">
        <v>-4.4531850000000001E-3</v>
      </c>
      <c r="AA5498">
        <v>0.99027549999999998</v>
      </c>
      <c r="AB5498">
        <v>40</v>
      </c>
      <c r="AC5498">
        <v>9.0086999999999993</v>
      </c>
      <c r="AD5498">
        <v>-1.119933723033</v>
      </c>
      <c r="AE5498">
        <v>63.144390000000001</v>
      </c>
      <c r="AF5498">
        <v>8.9215435962158995</v>
      </c>
      <c r="AG5498">
        <v>-1.119933723033</v>
      </c>
      <c r="AH5498">
        <v>63.1369098110641</v>
      </c>
      <c r="AI5498">
        <v>91.006222247699299</v>
      </c>
      <c r="AJ5498">
        <v>81.957084652014899</v>
      </c>
      <c r="AK5498">
        <v>63.773956848964701</v>
      </c>
      <c r="AL5498">
        <v>77.669797030191305</v>
      </c>
      <c r="AM5498">
        <v>90.133506545169197</v>
      </c>
      <c r="AN5498">
        <v>1.0000000107941001</v>
      </c>
    </row>
    <row r="5499" spans="1:40" x14ac:dyDescent="0.25">
      <c r="A5499" t="str">
        <f>"20190303170922829"</f>
        <v>20190303170922829</v>
      </c>
      <c r="B5499" t="str">
        <f>"1551604162819687"</f>
        <v>1551604162819687</v>
      </c>
      <c r="C5499" t="s">
        <v>40</v>
      </c>
      <c r="D5499">
        <v>4.7056760000000004</v>
      </c>
      <c r="E5499">
        <v>0.55994999999999995</v>
      </c>
      <c r="F5499" t="s">
        <v>58</v>
      </c>
      <c r="G5499">
        <v>-178.8997</v>
      </c>
      <c r="H5499" s="1">
        <v>-6.5720059999999997E-6</v>
      </c>
      <c r="I5499">
        <v>134.7602</v>
      </c>
      <c r="J5499">
        <v>-187.83869999999999</v>
      </c>
      <c r="K5499">
        <v>1.119904</v>
      </c>
      <c r="L5499">
        <v>72.572050000000004</v>
      </c>
      <c r="M5499">
        <v>2.2529189999999999E-3</v>
      </c>
      <c r="N5499">
        <v>-1.301417E-2</v>
      </c>
      <c r="O5499">
        <v>0.99991280000000005</v>
      </c>
      <c r="P5499">
        <v>-9.140493E-4</v>
      </c>
      <c r="Q5499">
        <v>0.19931979999999999</v>
      </c>
      <c r="R5499">
        <v>0.97993410000000003</v>
      </c>
      <c r="S5499">
        <v>0.43913269999999999</v>
      </c>
      <c r="T5499">
        <v>-5.5008410000000001E-2</v>
      </c>
      <c r="U5499">
        <v>3.0743100000000001</v>
      </c>
      <c r="V5499">
        <v>-2.6331470000000002E-3</v>
      </c>
      <c r="W5499">
        <v>0.2120629</v>
      </c>
      <c r="X5499">
        <v>0.97725249999999997</v>
      </c>
      <c r="Y5499">
        <v>0.13914409999999999</v>
      </c>
      <c r="Z5499">
        <v>-4.7015920000000001E-3</v>
      </c>
      <c r="AA5499">
        <v>0.99026099999999995</v>
      </c>
      <c r="AB5499">
        <v>40</v>
      </c>
      <c r="AC5499">
        <v>8.9389999999999894</v>
      </c>
      <c r="AD5499">
        <v>-1.1199105720060001</v>
      </c>
      <c r="AE5499">
        <v>62.188149999999901</v>
      </c>
      <c r="AF5499">
        <v>8.7960657356680194</v>
      </c>
      <c r="AG5499">
        <v>-1.1199105720060001</v>
      </c>
      <c r="AH5499">
        <v>62.188373066301899</v>
      </c>
      <c r="AI5499">
        <v>91.021525977024794</v>
      </c>
      <c r="AJ5499">
        <v>81.949357276110604</v>
      </c>
      <c r="AK5499">
        <v>62.817344075892102</v>
      </c>
      <c r="AL5499">
        <v>77.756729437016304</v>
      </c>
      <c r="AM5499">
        <v>90.154379594667702</v>
      </c>
      <c r="AN5499">
        <v>1.00000002788789</v>
      </c>
    </row>
    <row r="5500" spans="1:40" x14ac:dyDescent="0.25">
      <c r="A5500" t="str">
        <f>"20190303170922850"</f>
        <v>20190303170922850</v>
      </c>
      <c r="B5500" t="str">
        <f>"1551604162839208"</f>
        <v>1551604162839208</v>
      </c>
      <c r="C5500" t="s">
        <v>40</v>
      </c>
      <c r="D5500">
        <v>4.731122</v>
      </c>
      <c r="E5500">
        <v>0.55995010000000001</v>
      </c>
      <c r="F5500" t="s">
        <v>58</v>
      </c>
      <c r="G5500">
        <v>-179.565</v>
      </c>
      <c r="H5500" s="1">
        <v>-5.3980349999999997E-6</v>
      </c>
      <c r="I5500">
        <v>130.2329</v>
      </c>
      <c r="J5500">
        <v>-187.83709999999999</v>
      </c>
      <c r="K5500">
        <v>1.1198980000000001</v>
      </c>
      <c r="L5500">
        <v>72.948359999999994</v>
      </c>
      <c r="M5500">
        <v>3.1179390000000001E-3</v>
      </c>
      <c r="N5500">
        <v>-1.303001E-2</v>
      </c>
      <c r="O5500">
        <v>0.99991019999999997</v>
      </c>
      <c r="P5500">
        <v>-1.4737839999999999E-3</v>
      </c>
      <c r="Q5500">
        <v>0.19878180000000001</v>
      </c>
      <c r="R5500">
        <v>0.98004270000000004</v>
      </c>
      <c r="S5500">
        <v>0.44108579999999997</v>
      </c>
      <c r="T5500">
        <v>-5.9703829999999999E-2</v>
      </c>
      <c r="U5500">
        <v>3.0739749999999999</v>
      </c>
      <c r="V5500">
        <v>-4.036703E-3</v>
      </c>
      <c r="W5500">
        <v>0.2115446</v>
      </c>
      <c r="X5500">
        <v>0.97736000000000001</v>
      </c>
      <c r="Y5500">
        <v>0.1389166</v>
      </c>
      <c r="Z5500">
        <v>-6.1996859999999899E-3</v>
      </c>
      <c r="AA5500">
        <v>0.99028470000000002</v>
      </c>
      <c r="AB5500">
        <v>40</v>
      </c>
      <c r="AC5500">
        <v>8.2720999999999894</v>
      </c>
      <c r="AD5500">
        <v>-1.1199033980349999</v>
      </c>
      <c r="AE5500">
        <v>57.28454</v>
      </c>
      <c r="AF5500">
        <v>8.0904059502254899</v>
      </c>
      <c r="AG5500">
        <v>-1.1199033980349999</v>
      </c>
      <c r="AH5500">
        <v>57.288607363906102</v>
      </c>
      <c r="AI5500">
        <v>91.108900592923703</v>
      </c>
      <c r="AJ5500">
        <v>81.961737285801405</v>
      </c>
      <c r="AK5500">
        <v>57.867895985219398</v>
      </c>
      <c r="AL5500">
        <v>77.787114769982793</v>
      </c>
      <c r="AM5500">
        <v>90.236642311859697</v>
      </c>
      <c r="AN5500">
        <v>0.99999999118013505</v>
      </c>
    </row>
    <row r="5501" spans="1:40" x14ac:dyDescent="0.25">
      <c r="A5501" t="str">
        <f>"20190303170922871"</f>
        <v>20190303170922871</v>
      </c>
      <c r="B5501" t="str">
        <f>"1551604162859704"</f>
        <v>1551604162859704</v>
      </c>
      <c r="C5501" t="s">
        <v>40</v>
      </c>
      <c r="D5501">
        <v>4.7371790000000003</v>
      </c>
      <c r="E5501">
        <v>0.56005729999999998</v>
      </c>
      <c r="F5501" t="s">
        <v>58</v>
      </c>
      <c r="G5501">
        <v>-179.72</v>
      </c>
      <c r="H5501" s="1">
        <v>-5.2633229999999996E-6</v>
      </c>
      <c r="I5501">
        <v>129.5882</v>
      </c>
      <c r="J5501">
        <v>-187.83510000000001</v>
      </c>
      <c r="K5501">
        <v>1.119902</v>
      </c>
      <c r="L5501">
        <v>73.325779999999995</v>
      </c>
      <c r="M5501">
        <v>3.9906830000000001E-3</v>
      </c>
      <c r="N5501">
        <v>-1.3046250000000001E-2</v>
      </c>
      <c r="O5501">
        <v>0.99990699999999999</v>
      </c>
      <c r="P5501">
        <v>-1.449957E-3</v>
      </c>
      <c r="Q5501">
        <v>0.19994770000000001</v>
      </c>
      <c r="R5501">
        <v>0.9798055</v>
      </c>
      <c r="S5501">
        <v>0.44055179999999999</v>
      </c>
      <c r="T5501">
        <v>-6.078219E-2</v>
      </c>
      <c r="U5501">
        <v>3.0740970000000001</v>
      </c>
      <c r="V5501">
        <v>-4.8603209999999999E-3</v>
      </c>
      <c r="W5501">
        <v>0.21272540000000001</v>
      </c>
      <c r="X5501">
        <v>0.97709999999999997</v>
      </c>
      <c r="Y5501">
        <v>0.13787759999999999</v>
      </c>
      <c r="Z5501">
        <v>-6.5322469999999997E-3</v>
      </c>
      <c r="AA5501">
        <v>0.99042770000000002</v>
      </c>
      <c r="AB5501">
        <v>40</v>
      </c>
      <c r="AC5501">
        <v>8.1151000000000106</v>
      </c>
      <c r="AD5501">
        <v>-1.1199072633230001</v>
      </c>
      <c r="AE5501">
        <v>56.262419999999899</v>
      </c>
      <c r="AF5501">
        <v>7.8874293906371804</v>
      </c>
      <c r="AG5501">
        <v>-1.1199072633230001</v>
      </c>
      <c r="AH5501">
        <v>56.272518025733198</v>
      </c>
      <c r="AI5501">
        <v>91.129086909640407</v>
      </c>
      <c r="AJ5501">
        <v>82.021125831621305</v>
      </c>
      <c r="AK5501">
        <v>56.833634580477103</v>
      </c>
      <c r="AL5501">
        <v>77.717885158778103</v>
      </c>
      <c r="AM5501">
        <v>90.285000085599293</v>
      </c>
      <c r="AN5501">
        <v>1.0000000642626801</v>
      </c>
    </row>
    <row r="5502" spans="1:40" x14ac:dyDescent="0.25">
      <c r="A5502" t="str">
        <f>"20190303170922892"</f>
        <v>20190303170922892</v>
      </c>
      <c r="B5502" t="str">
        <f>"1551604162879224"</f>
        <v>1551604162879224</v>
      </c>
      <c r="C5502" t="s">
        <v>40</v>
      </c>
      <c r="D5502">
        <v>4.7588210000000002</v>
      </c>
      <c r="E5502">
        <v>0.56014379999999997</v>
      </c>
      <c r="F5502" t="s">
        <v>58</v>
      </c>
      <c r="G5502">
        <v>-179.1591</v>
      </c>
      <c r="H5502" s="1">
        <v>-6.3864179999999996E-6</v>
      </c>
      <c r="I5502">
        <v>133.76750000000001</v>
      </c>
      <c r="J5502">
        <v>-187.83269999999999</v>
      </c>
      <c r="K5502">
        <v>1.119901</v>
      </c>
      <c r="L5502">
        <v>73.713409999999996</v>
      </c>
      <c r="M5502">
        <v>4.889577E-3</v>
      </c>
      <c r="N5502">
        <v>-1.306175E-2</v>
      </c>
      <c r="O5502">
        <v>0.99990270000000003</v>
      </c>
      <c r="P5502">
        <v>-1.2621869999999999E-3</v>
      </c>
      <c r="Q5502">
        <v>0.20161299999999999</v>
      </c>
      <c r="R5502">
        <v>0.97946449999999996</v>
      </c>
      <c r="S5502">
        <v>0.44126890000000002</v>
      </c>
      <c r="T5502">
        <v>-5.6959629999999997E-2</v>
      </c>
      <c r="U5502">
        <v>3.0741269999999998</v>
      </c>
      <c r="V5502">
        <v>-5.5436039999999997E-3</v>
      </c>
      <c r="W5502">
        <v>0.21440290000000001</v>
      </c>
      <c r="X5502">
        <v>0.97672959999999998</v>
      </c>
      <c r="Y5502">
        <v>0.13721439999999999</v>
      </c>
      <c r="Z5502">
        <v>-5.2870769999999899E-3</v>
      </c>
      <c r="AA5502">
        <v>0.9905273</v>
      </c>
      <c r="AB5502">
        <v>40</v>
      </c>
      <c r="AC5502">
        <v>8.6735999999999898</v>
      </c>
      <c r="AD5502">
        <v>-1.119907386418</v>
      </c>
      <c r="AE5502">
        <v>60.054090000000002</v>
      </c>
      <c r="AF5502">
        <v>8.3769784905585993</v>
      </c>
      <c r="AG5502">
        <v>-1.119907386418</v>
      </c>
      <c r="AH5502">
        <v>60.075320973773103</v>
      </c>
      <c r="AI5502">
        <v>91.057736868290604</v>
      </c>
      <c r="AJ5502">
        <v>82.061790017238906</v>
      </c>
      <c r="AK5502">
        <v>60.666895019337304</v>
      </c>
      <c r="AL5502">
        <v>77.619501165313494</v>
      </c>
      <c r="AM5502">
        <v>90.325188979600497</v>
      </c>
      <c r="AN5502">
        <v>1.00000002329493</v>
      </c>
    </row>
    <row r="5503" spans="1:40" x14ac:dyDescent="0.25">
      <c r="A5503" t="str">
        <f>"20190303170922915"</f>
        <v>20190303170922915</v>
      </c>
      <c r="B5503" t="str">
        <f>"1551604162909479"</f>
        <v>1551604162909479</v>
      </c>
      <c r="C5503" t="s">
        <v>40</v>
      </c>
      <c r="D5503">
        <v>4.779617</v>
      </c>
      <c r="E5503">
        <v>0.56023970000000001</v>
      </c>
      <c r="F5503" t="s">
        <v>58</v>
      </c>
      <c r="G5503">
        <v>-178.30940000000001</v>
      </c>
      <c r="H5503" s="1">
        <v>-8.0081009999999999E-6</v>
      </c>
      <c r="I5503">
        <v>139.94229999999999</v>
      </c>
      <c r="J5503">
        <v>-187.82990000000001</v>
      </c>
      <c r="K5503">
        <v>1.1199030000000001</v>
      </c>
      <c r="L5503">
        <v>74.111789999999999</v>
      </c>
      <c r="M5503">
        <v>5.8139940000000003E-3</v>
      </c>
      <c r="N5503">
        <v>-1.307607E-2</v>
      </c>
      <c r="O5503">
        <v>0.99989760000000005</v>
      </c>
      <c r="P5503">
        <v>-1.4473540000000001E-3</v>
      </c>
      <c r="Q5503">
        <v>0.2019601</v>
      </c>
      <c r="R5503">
        <v>0.9793927</v>
      </c>
      <c r="S5503">
        <v>0.44204710000000003</v>
      </c>
      <c r="T5503">
        <v>-5.1983000000000001E-2</v>
      </c>
      <c r="U5503">
        <v>3.0741580000000002</v>
      </c>
      <c r="V5503">
        <v>-6.6300999999999999E-3</v>
      </c>
      <c r="W5503">
        <v>0.21476519999999999</v>
      </c>
      <c r="X5503">
        <v>0.97664320000000004</v>
      </c>
      <c r="Y5503">
        <v>0.13654539999999901</v>
      </c>
      <c r="Z5503">
        <v>-3.6713599999999998E-3</v>
      </c>
      <c r="AA5503">
        <v>0.99062700000000004</v>
      </c>
      <c r="AB5503">
        <v>40</v>
      </c>
      <c r="AC5503">
        <v>9.5204999999999895</v>
      </c>
      <c r="AD5503">
        <v>-1.119911008101</v>
      </c>
      <c r="AE5503">
        <v>65.830509999999904</v>
      </c>
      <c r="AF5503">
        <v>9.1349785603738205</v>
      </c>
      <c r="AG5503">
        <v>-1.119911008101</v>
      </c>
      <c r="AH5503">
        <v>65.866082308726504</v>
      </c>
      <c r="AI5503">
        <v>90.964863994617502</v>
      </c>
      <c r="AJ5503">
        <v>82.104007528985704</v>
      </c>
      <c r="AK5503">
        <v>66.505960880694602</v>
      </c>
      <c r="AL5503">
        <v>77.598247459387295</v>
      </c>
      <c r="AM5503">
        <v>90.388955672096102</v>
      </c>
      <c r="AN5503">
        <v>0.99999999473164503</v>
      </c>
    </row>
    <row r="5504" spans="1:40" x14ac:dyDescent="0.25">
      <c r="A5504" t="str">
        <f>"20190303170922938"</f>
        <v>20190303170922938</v>
      </c>
      <c r="B5504" t="str">
        <f>"1551604162929908"</f>
        <v>1551604162929908</v>
      </c>
      <c r="C5504" t="s">
        <v>40</v>
      </c>
      <c r="D5504">
        <v>4.7602260000000003</v>
      </c>
      <c r="E5504">
        <v>0.56027249999999995</v>
      </c>
      <c r="F5504" t="s">
        <v>58</v>
      </c>
      <c r="G5504">
        <v>-178.11969999999999</v>
      </c>
      <c r="H5504" s="1">
        <v>-8.4485749999999905E-6</v>
      </c>
      <c r="I5504">
        <v>141.66839999999999</v>
      </c>
      <c r="J5504">
        <v>-187.82669999999999</v>
      </c>
      <c r="K5504">
        <v>1.1198950000000001</v>
      </c>
      <c r="L5504">
        <v>74.516390000000001</v>
      </c>
      <c r="M5504">
        <v>6.7514949999999997E-3</v>
      </c>
      <c r="N5504">
        <v>-1.308901E-2</v>
      </c>
      <c r="O5504">
        <v>0.99989150000000004</v>
      </c>
      <c r="P5504">
        <v>-1.8108040000000001E-3</v>
      </c>
      <c r="Q5504">
        <v>0.20121829999999999</v>
      </c>
      <c r="R5504">
        <v>0.97954479999999999</v>
      </c>
      <c r="S5504">
        <v>0.44187929999999997</v>
      </c>
      <c r="T5504">
        <v>-5.0963519999999998E-2</v>
      </c>
      <c r="U5504">
        <v>3.0742799999999999</v>
      </c>
      <c r="V5504">
        <v>-7.9120530000000005E-3</v>
      </c>
      <c r="W5504">
        <v>0.2140415</v>
      </c>
      <c r="X5504">
        <v>0.97679249999999995</v>
      </c>
      <c r="Y5504">
        <v>0.1355587</v>
      </c>
      <c r="Z5504">
        <v>-3.3314019999999998E-3</v>
      </c>
      <c r="AA5504">
        <v>0.99076370000000002</v>
      </c>
      <c r="AB5504">
        <v>40</v>
      </c>
      <c r="AC5504">
        <v>9.7069999999999901</v>
      </c>
      <c r="AD5504">
        <v>-1.1199034485749999</v>
      </c>
      <c r="AE5504">
        <v>67.152009999999905</v>
      </c>
      <c r="AF5504">
        <v>9.2508431562262299</v>
      </c>
      <c r="AG5504">
        <v>-1.1199034485749999</v>
      </c>
      <c r="AH5504">
        <v>67.197714649731097</v>
      </c>
      <c r="AI5504">
        <v>90.9458720784977</v>
      </c>
      <c r="AJ5504">
        <v>82.161586930735695</v>
      </c>
      <c r="AK5504">
        <v>67.840733611760996</v>
      </c>
      <c r="AL5504">
        <v>77.640699399848302</v>
      </c>
      <c r="AM5504">
        <v>90.464087644225998</v>
      </c>
      <c r="AN5504">
        <v>0.999999976180587</v>
      </c>
    </row>
    <row r="5505" spans="1:40" x14ac:dyDescent="0.25">
      <c r="A5505" t="str">
        <f>"20190303170922963"</f>
        <v>20190303170922963</v>
      </c>
      <c r="B5505" t="str">
        <f>"1551604162949429"</f>
        <v>1551604162949429</v>
      </c>
      <c r="C5505" t="s">
        <v>40</v>
      </c>
      <c r="D5505">
        <v>4.7988869999999997</v>
      </c>
      <c r="E5505">
        <v>0.56032230000000005</v>
      </c>
      <c r="F5505" t="s">
        <v>58</v>
      </c>
      <c r="G5505">
        <v>-178.41200000000001</v>
      </c>
      <c r="H5505" s="1">
        <v>-8.0944959999999992E-6</v>
      </c>
      <c r="I5505">
        <v>140.01179999999999</v>
      </c>
      <c r="J5505">
        <v>-187.8228</v>
      </c>
      <c r="K5505">
        <v>1.119888</v>
      </c>
      <c r="L5505">
        <v>74.949979999999996</v>
      </c>
      <c r="M5505">
        <v>7.750575E-3</v>
      </c>
      <c r="N5505">
        <v>-1.309889E-2</v>
      </c>
      <c r="O5505">
        <v>0.9998842</v>
      </c>
      <c r="P5505">
        <v>-1.5333910000000001E-3</v>
      </c>
      <c r="Q5505">
        <v>0.20096720000000001</v>
      </c>
      <c r="R5505">
        <v>0.97959680000000005</v>
      </c>
      <c r="S5505">
        <v>0.44190980000000002</v>
      </c>
      <c r="T5505">
        <v>-5.2566410000000001E-2</v>
      </c>
      <c r="U5505">
        <v>3.074249</v>
      </c>
      <c r="V5505">
        <v>-8.6125679999999993E-3</v>
      </c>
      <c r="W5505">
        <v>0.21380250000000001</v>
      </c>
      <c r="X5505">
        <v>0.97683889999999995</v>
      </c>
      <c r="Y5505">
        <v>0.13457910000000001</v>
      </c>
      <c r="Z5505">
        <v>-3.8397309999999999E-3</v>
      </c>
      <c r="AA5505">
        <v>0.99089539999999998</v>
      </c>
      <c r="AB5505">
        <v>40</v>
      </c>
      <c r="AC5505">
        <v>9.4107999999999894</v>
      </c>
      <c r="AD5505">
        <v>-1.1198960944959999</v>
      </c>
      <c r="AE5505">
        <v>65.061819999999898</v>
      </c>
      <c r="AF5505">
        <v>8.9036236117838605</v>
      </c>
      <c r="AG5505">
        <v>-1.1198960944959999</v>
      </c>
      <c r="AH5505">
        <v>65.113914195783096</v>
      </c>
      <c r="AI5505">
        <v>90.976251886123904</v>
      </c>
      <c r="AJ5505">
        <v>82.213710459031503</v>
      </c>
      <c r="AK5505">
        <v>65.729373209993298</v>
      </c>
      <c r="AL5505">
        <v>77.654717411408697</v>
      </c>
      <c r="AM5505">
        <v>90.505150860815306</v>
      </c>
      <c r="AN5505">
        <v>0.99999996094350596</v>
      </c>
    </row>
    <row r="5506" spans="1:40" x14ac:dyDescent="0.25">
      <c r="A5506" t="str">
        <f>"20190303170923006"</f>
        <v>20190303170923006</v>
      </c>
      <c r="B5506" t="str">
        <f>"1551604162999205"</f>
        <v>1551604162999205</v>
      </c>
      <c r="C5506" t="s">
        <v>40</v>
      </c>
      <c r="D5506">
        <v>4.7836230000000004</v>
      </c>
      <c r="E5506">
        <v>0.56071649999999995</v>
      </c>
      <c r="F5506" t="s">
        <v>58</v>
      </c>
      <c r="G5506">
        <v>-178.55840000000001</v>
      </c>
      <c r="H5506" s="1">
        <v>-7.9101370000000003E-6</v>
      </c>
      <c r="I5506">
        <v>139.1944</v>
      </c>
      <c r="J5506">
        <v>-187.81489999999999</v>
      </c>
      <c r="K5506">
        <v>1.1198920000000001</v>
      </c>
      <c r="L5506">
        <v>75.712040000000002</v>
      </c>
      <c r="M5506">
        <v>9.4835900000000001E-3</v>
      </c>
      <c r="N5506">
        <v>-1.309313E-2</v>
      </c>
      <c r="O5506">
        <v>0.99986929999999996</v>
      </c>
      <c r="P5506">
        <v>1.524851E-3</v>
      </c>
      <c r="Q5506">
        <v>0.20128309999999999</v>
      </c>
      <c r="R5506">
        <v>0.97953190000000001</v>
      </c>
      <c r="S5506">
        <v>0.44331359999999997</v>
      </c>
      <c r="T5506">
        <v>-5.3588629999999998E-2</v>
      </c>
      <c r="U5506">
        <v>3.0741879999999999</v>
      </c>
      <c r="V5506">
        <v>-7.2542750000000001E-3</v>
      </c>
      <c r="W5506">
        <v>0.21410860000000001</v>
      </c>
      <c r="X5506">
        <v>0.97678290000000001</v>
      </c>
      <c r="Y5506">
        <v>0.13330739999999999</v>
      </c>
      <c r="Z5506">
        <v>-4.1772149999999997E-3</v>
      </c>
      <c r="AA5506">
        <v>0.99106590000000006</v>
      </c>
      <c r="AB5506">
        <v>40</v>
      </c>
      <c r="AC5506">
        <v>9.2564999999999795</v>
      </c>
      <c r="AD5506">
        <v>-1.119899910137</v>
      </c>
      <c r="AE5506">
        <v>63.48236</v>
      </c>
      <c r="AF5506">
        <v>8.6513550431543997</v>
      </c>
      <c r="AG5506">
        <v>-1.119899910137</v>
      </c>
      <c r="AH5506">
        <v>63.5479320970353</v>
      </c>
      <c r="AI5506">
        <v>91.000388182125405</v>
      </c>
      <c r="AJ5506">
        <v>82.247467356808698</v>
      </c>
      <c r="AK5506">
        <v>64.143899115199204</v>
      </c>
      <c r="AL5506">
        <v>77.636763600786907</v>
      </c>
      <c r="AM5506">
        <v>90.425510826947203</v>
      </c>
      <c r="AN5506">
        <v>0.999999975416072</v>
      </c>
    </row>
    <row r="5507" spans="1:40" x14ac:dyDescent="0.25">
      <c r="A5507" t="str">
        <f>"20190303170923027"</f>
        <v>20190303170923027</v>
      </c>
      <c r="B5507" t="str">
        <f>"1551604163019700"</f>
        <v>1551604163019700</v>
      </c>
      <c r="C5507" t="s">
        <v>40</v>
      </c>
      <c r="D5507">
        <v>4.7963690000000003</v>
      </c>
      <c r="E5507">
        <v>0.56090289999999998</v>
      </c>
      <c r="F5507" t="s">
        <v>58</v>
      </c>
      <c r="G5507">
        <v>-178.4308</v>
      </c>
      <c r="H5507" s="1">
        <v>-7.7807070000000007E-6</v>
      </c>
      <c r="I5507">
        <v>139.0515</v>
      </c>
      <c r="J5507">
        <v>-187.81030000000001</v>
      </c>
      <c r="K5507">
        <v>1.1198969999999999</v>
      </c>
      <c r="L5507">
        <v>76.112119999999905</v>
      </c>
      <c r="M5507">
        <v>1.0380779999999999E-2</v>
      </c>
      <c r="N5507">
        <v>-1.308262E-2</v>
      </c>
      <c r="O5507">
        <v>0.99986050000000004</v>
      </c>
      <c r="P5507">
        <v>3.495911E-3</v>
      </c>
      <c r="Q5507">
        <v>0.20143220000000001</v>
      </c>
      <c r="R5507">
        <v>0.97949620000000004</v>
      </c>
      <c r="S5507">
        <v>0.45530700000000002</v>
      </c>
      <c r="T5507">
        <v>-5.433607E-2</v>
      </c>
      <c r="U5507">
        <v>3.0731510000000002</v>
      </c>
      <c r="V5507">
        <v>-6.1646549999999998E-3</v>
      </c>
      <c r="W5507">
        <v>0.21424460000000001</v>
      </c>
      <c r="X5507">
        <v>0.97676059999999998</v>
      </c>
      <c r="Y5507">
        <v>0.1362507</v>
      </c>
      <c r="Z5507">
        <v>-4.4267059999999999E-3</v>
      </c>
      <c r="AA5507">
        <v>0.99066449999999995</v>
      </c>
      <c r="AB5507">
        <v>40</v>
      </c>
      <c r="AC5507">
        <v>9.3795000000000002</v>
      </c>
      <c r="AD5507">
        <v>-1.1199047807069999</v>
      </c>
      <c r="AE5507">
        <v>62.93938</v>
      </c>
      <c r="AF5507">
        <v>8.7228770279428591</v>
      </c>
      <c r="AG5507">
        <v>-1.1199047807069999</v>
      </c>
      <c r="AH5507">
        <v>63.013845961314999</v>
      </c>
      <c r="AI5507">
        <v>91.008558771267502</v>
      </c>
      <c r="AJ5507">
        <v>82.118749404954599</v>
      </c>
      <c r="AK5507">
        <v>63.624582931432997</v>
      </c>
      <c r="AL5507">
        <v>77.628786702882394</v>
      </c>
      <c r="AM5507">
        <v>90.361607566887301</v>
      </c>
      <c r="AN5507">
        <v>1.00000001065639</v>
      </c>
    </row>
    <row r="5508" spans="1:40" x14ac:dyDescent="0.25">
      <c r="A5508" t="str">
        <f>"20190303170923050"</f>
        <v>20190303170923050</v>
      </c>
      <c r="B5508" t="str">
        <f>"1551604163039220"</f>
        <v>1551604163039220</v>
      </c>
      <c r="C5508" t="s">
        <v>40</v>
      </c>
      <c r="D5508">
        <v>4.7976140000000003</v>
      </c>
      <c r="E5508">
        <v>0.56112949999999995</v>
      </c>
      <c r="F5508" t="s">
        <v>58</v>
      </c>
      <c r="G5508">
        <v>-178.3545</v>
      </c>
      <c r="H5508" s="1">
        <v>-7.6989849999999993E-6</v>
      </c>
      <c r="I5508">
        <v>138.9537</v>
      </c>
      <c r="J5508">
        <v>-187.80539999999999</v>
      </c>
      <c r="K5508">
        <v>1.1198939999999999</v>
      </c>
      <c r="L5508">
        <v>76.503509999999906</v>
      </c>
      <c r="M5508">
        <v>1.125055E-2</v>
      </c>
      <c r="N5508">
        <v>-1.307139E-2</v>
      </c>
      <c r="O5508">
        <v>0.9998513</v>
      </c>
      <c r="P5508">
        <v>5.3319719999999999E-3</v>
      </c>
      <c r="Q5508">
        <v>0.2010025</v>
      </c>
      <c r="R5508">
        <v>0.97957620000000001</v>
      </c>
      <c r="S5508">
        <v>0.46231080000000002</v>
      </c>
      <c r="T5508">
        <v>-5.4753780000000002E-2</v>
      </c>
      <c r="U5508">
        <v>3.0724179999999999</v>
      </c>
      <c r="V5508">
        <v>-5.1861470000000003E-3</v>
      </c>
      <c r="W5508">
        <v>0.21380250000000001</v>
      </c>
      <c r="X5508">
        <v>0.97686309999999998</v>
      </c>
      <c r="Y5508">
        <v>0.13763159999999999</v>
      </c>
      <c r="Z5508">
        <v>-4.5726969999999997E-3</v>
      </c>
      <c r="AA5508">
        <v>0.99047289999999999</v>
      </c>
      <c r="AB5508">
        <v>40</v>
      </c>
      <c r="AC5508">
        <v>9.4508999999999901</v>
      </c>
      <c r="AD5508">
        <v>-1.1199016989849999</v>
      </c>
      <c r="AE5508">
        <v>62.450189999999999</v>
      </c>
      <c r="AF5508">
        <v>8.7448935198250801</v>
      </c>
      <c r="AG5508">
        <v>-1.1199016989849999</v>
      </c>
      <c r="AH5508">
        <v>62.532914548440203</v>
      </c>
      <c r="AI5508">
        <v>91.016114565333297</v>
      </c>
      <c r="AJ5508">
        <v>82.039119612963205</v>
      </c>
      <c r="AK5508">
        <v>63.151347922360202</v>
      </c>
      <c r="AL5508">
        <v>77.654717407531095</v>
      </c>
      <c r="AM5508">
        <v>90.304179309653094</v>
      </c>
      <c r="AN5508">
        <v>0.99999996063428198</v>
      </c>
    </row>
    <row r="5509" spans="1:40" x14ac:dyDescent="0.25">
      <c r="A5509" t="str">
        <f>"20190303170923073"</f>
        <v>20190303170923073</v>
      </c>
      <c r="B5509" t="str">
        <f>"1551604163059716"</f>
        <v>1551604163059716</v>
      </c>
      <c r="C5509" t="s">
        <v>40</v>
      </c>
      <c r="D5509">
        <v>4.8239369999999999</v>
      </c>
      <c r="E5509">
        <v>0.56135950000000001</v>
      </c>
      <c r="F5509" t="s">
        <v>58</v>
      </c>
      <c r="G5509">
        <v>-178.5179</v>
      </c>
      <c r="H5509" s="1">
        <v>-7.2089899999999899E-6</v>
      </c>
      <c r="I5509">
        <v>137.26159999999999</v>
      </c>
      <c r="J5509">
        <v>-187.79990000000001</v>
      </c>
      <c r="K5509">
        <v>1.119893</v>
      </c>
      <c r="L5509">
        <v>76.911709999999999</v>
      </c>
      <c r="M5509">
        <v>1.2150940000000001E-2</v>
      </c>
      <c r="N5509">
        <v>-1.3059980000000001E-2</v>
      </c>
      <c r="O5509">
        <v>0.99984090000000003</v>
      </c>
      <c r="P5509">
        <v>7.0970060000000003E-3</v>
      </c>
      <c r="Q5509">
        <v>0.20036119999999999</v>
      </c>
      <c r="R5509">
        <v>0.97969640000000002</v>
      </c>
      <c r="S5509">
        <v>0.46952820000000001</v>
      </c>
      <c r="T5509">
        <v>-5.6616069999999998E-2</v>
      </c>
      <c r="U5509">
        <v>3.0715940000000002</v>
      </c>
      <c r="V5509">
        <v>-4.3091989999999997E-3</v>
      </c>
      <c r="W5509">
        <v>0.2131499</v>
      </c>
      <c r="X5509">
        <v>0.97701000000000005</v>
      </c>
      <c r="Y5509">
        <v>0.13905229999999999</v>
      </c>
      <c r="Z5509">
        <v>-5.184307E-3</v>
      </c>
      <c r="AA5509">
        <v>0.99027140000000002</v>
      </c>
      <c r="AB5509">
        <v>40</v>
      </c>
      <c r="AC5509">
        <v>9.282</v>
      </c>
      <c r="AD5509">
        <v>-1.1199002089899901</v>
      </c>
      <c r="AE5509">
        <v>60.349889999999903</v>
      </c>
      <c r="AF5509">
        <v>8.5450696757056797</v>
      </c>
      <c r="AG5509">
        <v>-1.1199002089899901</v>
      </c>
      <c r="AH5509">
        <v>60.437897410720602</v>
      </c>
      <c r="AI5509">
        <v>91.051104589910494</v>
      </c>
      <c r="AJ5509">
        <v>81.952521760369507</v>
      </c>
      <c r="AK5509">
        <v>61.0492574538752</v>
      </c>
      <c r="AL5509">
        <v>77.692991330488397</v>
      </c>
      <c r="AM5509">
        <v>90.252707049871006</v>
      </c>
      <c r="AN5509">
        <v>0.99999999458301503</v>
      </c>
    </row>
    <row r="5510" spans="1:40" x14ac:dyDescent="0.25">
      <c r="A5510" t="str">
        <f>"20190303170923093"</f>
        <v>20190303170923093</v>
      </c>
      <c r="B5510" t="str">
        <f>"1551604163089973"</f>
        <v>1551604163089973</v>
      </c>
      <c r="C5510" t="s">
        <v>40</v>
      </c>
      <c r="D5510">
        <v>4.8561300000000003</v>
      </c>
      <c r="E5510">
        <v>0.56169329999999995</v>
      </c>
      <c r="F5510" t="s">
        <v>58</v>
      </c>
      <c r="G5510">
        <v>-178.7578</v>
      </c>
      <c r="H5510" s="1">
        <v>-6.6244740000000004E-6</v>
      </c>
      <c r="I5510">
        <v>135.1628</v>
      </c>
      <c r="J5510">
        <v>-187.79470000000001</v>
      </c>
      <c r="K5510">
        <v>1.1198939999999999</v>
      </c>
      <c r="L5510">
        <v>77.278660000000002</v>
      </c>
      <c r="M5510">
        <v>1.2955909999999999E-2</v>
      </c>
      <c r="N5510">
        <v>-1.305012E-2</v>
      </c>
      <c r="O5510">
        <v>0.99983089999999997</v>
      </c>
      <c r="P5510">
        <v>9.2262909999999993E-3</v>
      </c>
      <c r="Q5510">
        <v>0.19972470000000001</v>
      </c>
      <c r="R5510">
        <v>0.97980860000000003</v>
      </c>
      <c r="S5510">
        <v>0.47666930000000002</v>
      </c>
      <c r="T5510">
        <v>-5.9037329999999999E-2</v>
      </c>
      <c r="U5510">
        <v>3.0708009999999999</v>
      </c>
      <c r="V5510">
        <v>-2.9739609999999998E-3</v>
      </c>
      <c r="W5510">
        <v>0.21250269999999999</v>
      </c>
      <c r="X5510">
        <v>0.97715589999999997</v>
      </c>
      <c r="Y5510">
        <v>0.1405409</v>
      </c>
      <c r="Z5510">
        <v>-5.9739149999999998E-3</v>
      </c>
      <c r="AA5510">
        <v>0.99005690000000002</v>
      </c>
      <c r="AB5510">
        <v>40</v>
      </c>
      <c r="AC5510">
        <v>9.0368999999999993</v>
      </c>
      <c r="AD5510">
        <v>-1.119900624474</v>
      </c>
      <c r="AE5510">
        <v>57.884140000000002</v>
      </c>
      <c r="AF5510">
        <v>8.2831090740989293</v>
      </c>
      <c r="AG5510">
        <v>-1.119900624474</v>
      </c>
      <c r="AH5510">
        <v>57.975187352860502</v>
      </c>
      <c r="AI5510">
        <v>91.095516901206196</v>
      </c>
      <c r="AJ5510">
        <v>81.868987773890296</v>
      </c>
      <c r="AK5510">
        <v>58.574622678608897</v>
      </c>
      <c r="AL5510">
        <v>77.730942034609498</v>
      </c>
      <c r="AM5510">
        <v>90.174378405355597</v>
      </c>
      <c r="AN5510">
        <v>0.99999994742806297</v>
      </c>
    </row>
    <row r="5511" spans="1:40" x14ac:dyDescent="0.25">
      <c r="A5511" t="str">
        <f>"20190303170923116"</f>
        <v>20190303170923116</v>
      </c>
      <c r="B5511" t="str">
        <f>"1551604163109492"</f>
        <v>1551604163109492</v>
      </c>
      <c r="C5511" t="s">
        <v>40</v>
      </c>
      <c r="D5511">
        <v>4.831359</v>
      </c>
      <c r="E5511">
        <v>0.56188139999999998</v>
      </c>
      <c r="F5511" t="s">
        <v>58</v>
      </c>
      <c r="G5511">
        <v>-178.91919999999999</v>
      </c>
      <c r="H5511" s="1">
        <v>-6.0915419999999898E-6</v>
      </c>
      <c r="I5511">
        <v>133.35149999999999</v>
      </c>
      <c r="J5511">
        <v>-187.78870000000001</v>
      </c>
      <c r="K5511">
        <v>1.119899</v>
      </c>
      <c r="L5511">
        <v>77.680759999999907</v>
      </c>
      <c r="M5511">
        <v>1.383442E-2</v>
      </c>
      <c r="N5511">
        <v>-1.3038650000000001E-2</v>
      </c>
      <c r="O5511">
        <v>0.99981929999999997</v>
      </c>
      <c r="P5511">
        <v>1.097187E-2</v>
      </c>
      <c r="Q5511">
        <v>0.1999851</v>
      </c>
      <c r="R5511">
        <v>0.97973750000000004</v>
      </c>
      <c r="S5511">
        <v>0.48590090000000002</v>
      </c>
      <c r="T5511">
        <v>-6.1310049999999998E-2</v>
      </c>
      <c r="U5511">
        <v>3.069763</v>
      </c>
      <c r="V5511">
        <v>-2.0899489999999998E-3</v>
      </c>
      <c r="W5511">
        <v>0.21274879999999999</v>
      </c>
      <c r="X5511">
        <v>0.97710469999999905</v>
      </c>
      <c r="Y5511">
        <v>0.14262549999999999</v>
      </c>
      <c r="Z5511">
        <v>-6.7169150000000004E-3</v>
      </c>
      <c r="AA5511">
        <v>0.98975400000000002</v>
      </c>
      <c r="AB5511">
        <v>40</v>
      </c>
      <c r="AC5511">
        <v>8.8695000000000093</v>
      </c>
      <c r="AD5511">
        <v>-1.1199050915419999</v>
      </c>
      <c r="AE5511">
        <v>55.670740000000002</v>
      </c>
      <c r="AF5511">
        <v>8.0952183274365108</v>
      </c>
      <c r="AG5511">
        <v>-1.1199050915419999</v>
      </c>
      <c r="AH5511">
        <v>55.766117597961397</v>
      </c>
      <c r="AI5511">
        <v>91.138539181021699</v>
      </c>
      <c r="AJ5511">
        <v>81.740424428057906</v>
      </c>
      <c r="AK5511">
        <v>56.361747836033103</v>
      </c>
      <c r="AL5511">
        <v>77.716512317922593</v>
      </c>
      <c r="AM5511">
        <v>90.122550914438705</v>
      </c>
      <c r="AN5511">
        <v>1.00000000727517</v>
      </c>
    </row>
    <row r="5512" spans="1:40" x14ac:dyDescent="0.25">
      <c r="A5512" t="str">
        <f>"20190303170923138"</f>
        <v>20190303170923138</v>
      </c>
      <c r="B5512" t="str">
        <f>"1551604163129988"</f>
        <v>1551604163129988</v>
      </c>
      <c r="C5512" t="s">
        <v>40</v>
      </c>
      <c r="D5512">
        <v>4.8124120000000001</v>
      </c>
      <c r="E5512">
        <v>0.56207759999999996</v>
      </c>
      <c r="F5512" t="s">
        <v>58</v>
      </c>
      <c r="G5512">
        <v>-178.76519999999999</v>
      </c>
      <c r="H5512" s="1">
        <v>-6.196819E-6</v>
      </c>
      <c r="I5512">
        <v>133.92660000000001</v>
      </c>
      <c r="J5512">
        <v>-187.78229999999999</v>
      </c>
      <c r="K5512">
        <v>1.119901</v>
      </c>
      <c r="L5512">
        <v>78.081569999999999</v>
      </c>
      <c r="M5512">
        <v>1.470834E-2</v>
      </c>
      <c r="N5512">
        <v>-1.302363E-2</v>
      </c>
      <c r="O5512">
        <v>0.999807</v>
      </c>
      <c r="P5512">
        <v>1.290933E-2</v>
      </c>
      <c r="Q5512">
        <v>0.2005073</v>
      </c>
      <c r="R5512">
        <v>0.97960720000000001</v>
      </c>
      <c r="S5512">
        <v>0.4923553</v>
      </c>
      <c r="T5512">
        <v>-6.1106559999999997E-2</v>
      </c>
      <c r="U5512">
        <v>3.069</v>
      </c>
      <c r="V5512">
        <v>-1.0070369999999999E-3</v>
      </c>
      <c r="W5512">
        <v>0.21325240000000001</v>
      </c>
      <c r="X5512">
        <v>0.97699669999999905</v>
      </c>
      <c r="Y5512">
        <v>0.14382809999999999</v>
      </c>
      <c r="Z5512">
        <v>-6.6670059999999996E-3</v>
      </c>
      <c r="AA5512">
        <v>0.98958020000000002</v>
      </c>
      <c r="AB5512">
        <v>40</v>
      </c>
      <c r="AC5512">
        <v>9.0170999999999992</v>
      </c>
      <c r="AD5512">
        <v>-1.119907196819</v>
      </c>
      <c r="AE5512">
        <v>55.845030000000001</v>
      </c>
      <c r="AF5512">
        <v>8.1914565175553502</v>
      </c>
      <c r="AG5512">
        <v>-1.119907196819</v>
      </c>
      <c r="AH5512">
        <v>55.949697031346702</v>
      </c>
      <c r="AI5512">
        <v>91.134605156519399</v>
      </c>
      <c r="AJ5512">
        <v>81.670644164706502</v>
      </c>
      <c r="AK5512">
        <v>56.557251965667199</v>
      </c>
      <c r="AL5512">
        <v>77.686981328084599</v>
      </c>
      <c r="AM5512">
        <v>90.0590574660893</v>
      </c>
      <c r="AN5512">
        <v>1.00000007602008</v>
      </c>
    </row>
    <row r="5513" spans="1:40" x14ac:dyDescent="0.25">
      <c r="A5513" t="str">
        <f>"20190303170923163"</f>
        <v>20190303170923163</v>
      </c>
      <c r="B5513" t="str">
        <f>"1551604163149508"</f>
        <v>1551604163149508</v>
      </c>
      <c r="C5513" t="s">
        <v>40</v>
      </c>
      <c r="D5513">
        <v>4.8286850000000001</v>
      </c>
      <c r="E5513">
        <v>0.56223529999999999</v>
      </c>
      <c r="F5513" t="s">
        <v>58</v>
      </c>
      <c r="G5513">
        <v>-178.47620000000001</v>
      </c>
      <c r="H5513" s="1">
        <v>-6.4794199999999999E-6</v>
      </c>
      <c r="I5513">
        <v>135.24940000000001</v>
      </c>
      <c r="J5513">
        <v>-187.77520000000001</v>
      </c>
      <c r="K5513">
        <v>1.1198969999999999</v>
      </c>
      <c r="L5513">
        <v>78.505369999999999</v>
      </c>
      <c r="M5513">
        <v>1.56318999999999E-2</v>
      </c>
      <c r="N5513">
        <v>-1.3005650000000001E-2</v>
      </c>
      <c r="O5513">
        <v>0.99979320000000005</v>
      </c>
      <c r="P5513">
        <v>1.4003150000000001E-2</v>
      </c>
      <c r="Q5513">
        <v>0.201184</v>
      </c>
      <c r="R5513">
        <v>0.97945340000000003</v>
      </c>
      <c r="S5513">
        <v>0.49945070000000003</v>
      </c>
      <c r="T5513">
        <v>-6.0104489999999997E-2</v>
      </c>
      <c r="U5513">
        <v>3.068146</v>
      </c>
      <c r="V5513">
        <v>-8.1591080000000004E-4</v>
      </c>
      <c r="W5513">
        <v>0.21390919999999999</v>
      </c>
      <c r="X5513">
        <v>0.97685319999999998</v>
      </c>
      <c r="Y5513">
        <v>0.1451876</v>
      </c>
      <c r="Z5513">
        <v>-6.3630190000000001E-3</v>
      </c>
      <c r="AA5513">
        <v>0.98938369999999998</v>
      </c>
      <c r="AB5513">
        <v>40</v>
      </c>
      <c r="AC5513">
        <v>9.2989999999999995</v>
      </c>
      <c r="AD5513">
        <v>-1.11990347942</v>
      </c>
      <c r="AE5513">
        <v>56.744030000000002</v>
      </c>
      <c r="AF5513">
        <v>8.4075823429145498</v>
      </c>
      <c r="AG5513">
        <v>-1.11990347942</v>
      </c>
      <c r="AH5513">
        <v>56.860900095672903</v>
      </c>
      <c r="AI5513">
        <v>91.116190082638795</v>
      </c>
      <c r="AJ5513">
        <v>81.589058904372493</v>
      </c>
      <c r="AK5513">
        <v>57.490030303924897</v>
      </c>
      <c r="AL5513">
        <v>77.648459570065796</v>
      </c>
      <c r="AM5513">
        <v>90.047855946449303</v>
      </c>
      <c r="AN5513">
        <v>0.99999999295265596</v>
      </c>
    </row>
    <row r="5514" spans="1:40" x14ac:dyDescent="0.25">
      <c r="A5514" t="str">
        <f>"20190303170923185"</f>
        <v>20190303170923185</v>
      </c>
      <c r="B5514" t="str">
        <f>"1551604163179764"</f>
        <v>1551604163179764</v>
      </c>
      <c r="C5514" t="s">
        <v>40</v>
      </c>
      <c r="D5514">
        <v>4.7889839999999904</v>
      </c>
      <c r="E5514">
        <v>0.56246839999999998</v>
      </c>
      <c r="F5514" t="s">
        <v>58</v>
      </c>
      <c r="G5514">
        <v>-178.1533</v>
      </c>
      <c r="H5514" s="1">
        <v>-6.9394190000000003E-6</v>
      </c>
      <c r="I5514">
        <v>137.1397</v>
      </c>
      <c r="J5514">
        <v>-187.768</v>
      </c>
      <c r="K5514">
        <v>1.119899</v>
      </c>
      <c r="L5514">
        <v>78.910919999999905</v>
      </c>
      <c r="M5514">
        <v>1.651561E-2</v>
      </c>
      <c r="N5514">
        <v>-1.2988609999999999E-2</v>
      </c>
      <c r="O5514">
        <v>0.99977919999999998</v>
      </c>
      <c r="P5514">
        <v>1.4861589999999999E-2</v>
      </c>
      <c r="Q5514">
        <v>0.20046700000000001</v>
      </c>
      <c r="R5514">
        <v>0.97958769999999995</v>
      </c>
      <c r="S5514">
        <v>0.50341800000000003</v>
      </c>
      <c r="T5514">
        <v>-5.8593390000000002E-2</v>
      </c>
      <c r="U5514">
        <v>3.0677490000000001</v>
      </c>
      <c r="V5514">
        <v>-8.2815720000000001E-4</v>
      </c>
      <c r="W5514">
        <v>0.21317739999999999</v>
      </c>
      <c r="X5514">
        <v>0.97701320000000003</v>
      </c>
      <c r="Y5514">
        <v>0.1455805</v>
      </c>
      <c r="Z5514">
        <v>-5.8941820000000004E-3</v>
      </c>
      <c r="AA5514">
        <v>0.98932889999999996</v>
      </c>
      <c r="AB5514">
        <v>40</v>
      </c>
      <c r="AC5514">
        <v>9.6146999999999991</v>
      </c>
      <c r="AD5514">
        <v>-1.1199059394190001</v>
      </c>
      <c r="AE5514">
        <v>58.22878</v>
      </c>
      <c r="AF5514">
        <v>8.6485092180951</v>
      </c>
      <c r="AG5514">
        <v>-1.1199059394190001</v>
      </c>
      <c r="AH5514">
        <v>58.358628670078403</v>
      </c>
      <c r="AI5514">
        <v>91.0875007530273</v>
      </c>
      <c r="AJ5514">
        <v>81.570354046180597</v>
      </c>
      <c r="AK5514">
        <v>59.0066135383206</v>
      </c>
      <c r="AL5514">
        <v>77.691379215672299</v>
      </c>
      <c r="AM5514">
        <v>90.048566284436205</v>
      </c>
      <c r="AN5514">
        <v>1.0000000413446699</v>
      </c>
    </row>
    <row r="5515" spans="1:40" x14ac:dyDescent="0.25">
      <c r="A5515" t="str">
        <f>"20190303170923207"</f>
        <v>20190303170923207</v>
      </c>
      <c r="B5515" t="str">
        <f>"1551604163199284"</f>
        <v>1551604163199284</v>
      </c>
      <c r="C5515" t="s">
        <v>40</v>
      </c>
      <c r="D5515">
        <v>4.8156499999999998</v>
      </c>
      <c r="E5515">
        <v>0.5626042</v>
      </c>
      <c r="F5515" t="s">
        <v>58</v>
      </c>
      <c r="G5515">
        <v>-178.45750000000001</v>
      </c>
      <c r="H5515" s="1">
        <v>-6.4490350000000003E-6</v>
      </c>
      <c r="I5515">
        <v>135.19579999999999</v>
      </c>
      <c r="J5515">
        <v>-187.76089999999999</v>
      </c>
      <c r="K5515">
        <v>1.1198999999999999</v>
      </c>
      <c r="L5515">
        <v>79.295199999999994</v>
      </c>
      <c r="M5515">
        <v>1.7353690000000001E-2</v>
      </c>
      <c r="N5515">
        <v>-1.297333E-2</v>
      </c>
      <c r="O5515">
        <v>0.99976520000000002</v>
      </c>
      <c r="P5515">
        <v>1.529169E-2</v>
      </c>
      <c r="Q5515">
        <v>0.20005149999999999</v>
      </c>
      <c r="R5515">
        <v>0.97966609999999998</v>
      </c>
      <c r="S5515">
        <v>0.50738530000000004</v>
      </c>
      <c r="T5515">
        <v>-6.1030149999999998E-2</v>
      </c>
      <c r="U5515">
        <v>3.067291</v>
      </c>
      <c r="V5515">
        <v>-1.222405E-3</v>
      </c>
      <c r="W5515">
        <v>0.2127492</v>
      </c>
      <c r="X5515">
        <v>0.97710609999999998</v>
      </c>
      <c r="Y5515">
        <v>0.14601889999999901</v>
      </c>
      <c r="Z5515">
        <v>-6.6946269999999999E-3</v>
      </c>
      <c r="AA5515">
        <v>0.98925920000000001</v>
      </c>
      <c r="AB5515">
        <v>40</v>
      </c>
      <c r="AC5515">
        <v>9.3033999999999804</v>
      </c>
      <c r="AD5515">
        <v>-1.1199064490349999</v>
      </c>
      <c r="AE5515">
        <v>55.900599999999997</v>
      </c>
      <c r="AF5515">
        <v>8.3285827841419096</v>
      </c>
      <c r="AG5515">
        <v>-1.1199064490349999</v>
      </c>
      <c r="AH5515">
        <v>56.031759998116499</v>
      </c>
      <c r="AI5515">
        <v>91.132578024078398</v>
      </c>
      <c r="AJ5515">
        <v>81.545435153726501</v>
      </c>
      <c r="AK5515">
        <v>56.658429294619701</v>
      </c>
      <c r="AL5515">
        <v>77.716489065253597</v>
      </c>
      <c r="AM5515">
        <v>90.071679637263699</v>
      </c>
      <c r="AN5515">
        <v>1.0000000235159101</v>
      </c>
    </row>
    <row r="5516" spans="1:40" x14ac:dyDescent="0.25">
      <c r="A5516" t="str">
        <f>"20190303170923228"</f>
        <v>20190303170923228</v>
      </c>
      <c r="B5516" t="str">
        <f>"1551604163219780"</f>
        <v>1551604163219780</v>
      </c>
      <c r="C5516" t="s">
        <v>40</v>
      </c>
      <c r="D5516">
        <v>4.8172759999999997</v>
      </c>
      <c r="E5516">
        <v>0.56278169999999905</v>
      </c>
      <c r="F5516" t="s">
        <v>58</v>
      </c>
      <c r="G5516">
        <v>-178.59389999999999</v>
      </c>
      <c r="H5516" s="1">
        <v>-6.2688909999999998E-6</v>
      </c>
      <c r="I5516">
        <v>134.43780000000001</v>
      </c>
      <c r="J5516">
        <v>-187.75370000000001</v>
      </c>
      <c r="K5516">
        <v>1.1198980000000001</v>
      </c>
      <c r="L5516">
        <v>79.667569999999998</v>
      </c>
      <c r="M5516">
        <v>1.8166249999999998E-2</v>
      </c>
      <c r="N5516">
        <v>-1.2959500000000001E-2</v>
      </c>
      <c r="O5516">
        <v>0.99975099999999995</v>
      </c>
      <c r="P5516">
        <v>1.5519079999999999E-2</v>
      </c>
      <c r="Q5516">
        <v>0.19975560000000001</v>
      </c>
      <c r="R5516">
        <v>0.97972289999999995</v>
      </c>
      <c r="S5516">
        <v>0.5098724</v>
      </c>
      <c r="T5516">
        <v>-6.2289480000000001E-2</v>
      </c>
      <c r="U5516">
        <v>3.0670470000000001</v>
      </c>
      <c r="V5516">
        <v>-1.7942120000000001E-3</v>
      </c>
      <c r="W5516">
        <v>0.2124422</v>
      </c>
      <c r="X5516">
        <v>0.97717200000000004</v>
      </c>
      <c r="Y5516">
        <v>0.14600750000000001</v>
      </c>
      <c r="Z5516">
        <v>-7.1145799999999997E-3</v>
      </c>
      <c r="AA5516">
        <v>0.98925790000000002</v>
      </c>
      <c r="AB5516">
        <v>40</v>
      </c>
      <c r="AC5516">
        <v>9.1598000000000095</v>
      </c>
      <c r="AD5516">
        <v>-1.1199042688909999</v>
      </c>
      <c r="AE5516">
        <v>54.770229999999998</v>
      </c>
      <c r="AF5516">
        <v>8.1599161770237494</v>
      </c>
      <c r="AG5516">
        <v>-1.1199042688909999</v>
      </c>
      <c r="AH5516">
        <v>54.905272575598801</v>
      </c>
      <c r="AI5516">
        <v>91.155810303321203</v>
      </c>
      <c r="AJ5516">
        <v>81.546685936134097</v>
      </c>
      <c r="AK5516">
        <v>55.519612518355501</v>
      </c>
      <c r="AL5516">
        <v>77.7344902381829</v>
      </c>
      <c r="AM5516">
        <v>90.105202215808205</v>
      </c>
      <c r="AN5516">
        <v>1.00000001256077</v>
      </c>
    </row>
    <row r="5517" spans="1:40" x14ac:dyDescent="0.25">
      <c r="A5517" t="str">
        <f>"20190303170923274"</f>
        <v>20190303170923274</v>
      </c>
      <c r="B5517" t="str">
        <f>"1551604163269556"</f>
        <v>1551604163269556</v>
      </c>
      <c r="C5517" t="s">
        <v>40</v>
      </c>
      <c r="D5517">
        <v>4.8293670000000004</v>
      </c>
      <c r="E5517">
        <v>0.56309370000000003</v>
      </c>
      <c r="F5517" t="s">
        <v>58</v>
      </c>
      <c r="G5517">
        <v>-178.58330000000001</v>
      </c>
      <c r="H5517" s="1">
        <v>-6.2920659999999998E-6</v>
      </c>
      <c r="I5517">
        <v>134.52289999999999</v>
      </c>
      <c r="J5517">
        <v>-187.7373</v>
      </c>
      <c r="K5517">
        <v>1.119904</v>
      </c>
      <c r="L5517">
        <v>80.458069999999907</v>
      </c>
      <c r="M5517">
        <v>1.9891519999999999E-2</v>
      </c>
      <c r="N5517">
        <v>-1.2934070000000001E-2</v>
      </c>
      <c r="O5517">
        <v>0.99971849999999995</v>
      </c>
      <c r="P5517">
        <v>1.6532089999999999E-2</v>
      </c>
      <c r="Q5517">
        <v>0.20004730000000001</v>
      </c>
      <c r="R5517">
        <v>0.97964669999999998</v>
      </c>
      <c r="S5517">
        <v>0.51268009999999997</v>
      </c>
      <c r="T5517">
        <v>-6.2609310000000001E-2</v>
      </c>
      <c r="U5517">
        <v>3.0667420000000001</v>
      </c>
      <c r="V5517">
        <v>-2.4715599999999998E-3</v>
      </c>
      <c r="W5517">
        <v>0.2127096</v>
      </c>
      <c r="X5517">
        <v>0.97711239999999999</v>
      </c>
      <c r="Y5517">
        <v>0.1451973</v>
      </c>
      <c r="Z5517">
        <v>-7.2455549999999999E-3</v>
      </c>
      <c r="AA5517">
        <v>0.98937620000000004</v>
      </c>
      <c r="AB5517">
        <v>40</v>
      </c>
      <c r="AC5517">
        <v>9.1539999999999893</v>
      </c>
      <c r="AD5517">
        <v>-1.119910292066</v>
      </c>
      <c r="AE5517">
        <v>54.064830000000001</v>
      </c>
      <c r="AF5517">
        <v>8.0732993939605606</v>
      </c>
      <c r="AG5517">
        <v>-1.119910292066</v>
      </c>
      <c r="AH5517">
        <v>54.213619748956503</v>
      </c>
      <c r="AI5517">
        <v>91.170507434522193</v>
      </c>
      <c r="AJ5517">
        <v>81.529961150216707</v>
      </c>
      <c r="AK5517">
        <v>54.822886903657697</v>
      </c>
      <c r="AL5517">
        <v>77.718811612230894</v>
      </c>
      <c r="AM5517">
        <v>90.1449266786517</v>
      </c>
      <c r="AN5517">
        <v>1.0000000623873699</v>
      </c>
    </row>
    <row r="5518" spans="1:40" x14ac:dyDescent="0.25">
      <c r="A5518" t="str">
        <f>"20190303170923294"</f>
        <v>20190303170923294</v>
      </c>
      <c r="B5518" t="str">
        <f>"1551604163289077"</f>
        <v>1551604163289077</v>
      </c>
      <c r="C5518" t="s">
        <v>40</v>
      </c>
      <c r="D5518">
        <v>4.8374379999999997</v>
      </c>
      <c r="E5518">
        <v>0.56952009999999997</v>
      </c>
      <c r="F5518" t="s">
        <v>58</v>
      </c>
      <c r="G5518">
        <v>-178.45650000000001</v>
      </c>
      <c r="H5518" s="1">
        <v>-6.551964E-6</v>
      </c>
      <c r="I5518">
        <v>135.49189999999999</v>
      </c>
      <c r="J5518">
        <v>-187.72900000000001</v>
      </c>
      <c r="K5518">
        <v>1.119904</v>
      </c>
      <c r="L5518">
        <v>80.838259999999906</v>
      </c>
      <c r="M5518">
        <v>2.0721300000000002E-2</v>
      </c>
      <c r="N5518">
        <v>-1.292361E-2</v>
      </c>
      <c r="O5518">
        <v>0.99970170000000003</v>
      </c>
      <c r="P5518">
        <v>1.7047509999999998E-2</v>
      </c>
      <c r="Q5518">
        <v>0.19942009999999999</v>
      </c>
      <c r="R5518">
        <v>0.97976580000000002</v>
      </c>
      <c r="S5518">
        <v>0.51710509999999998</v>
      </c>
      <c r="T5518">
        <v>-6.2398549999999997E-2</v>
      </c>
      <c r="U5518">
        <v>3.0663450000000001</v>
      </c>
      <c r="V5518">
        <v>-2.7738709999999998E-3</v>
      </c>
      <c r="W5518">
        <v>0.21207400000000001</v>
      </c>
      <c r="X5518">
        <v>0.9772497</v>
      </c>
      <c r="Y5518">
        <v>0.14578559999999999</v>
      </c>
      <c r="Z5518">
        <v>-7.1880329999999999E-3</v>
      </c>
      <c r="AA5518">
        <v>0.98929009999999995</v>
      </c>
      <c r="AB5518">
        <v>40</v>
      </c>
      <c r="AC5518">
        <v>9.2725000000000009</v>
      </c>
      <c r="AD5518">
        <v>-1.119910551964</v>
      </c>
      <c r="AE5518">
        <v>54.653640000000003</v>
      </c>
      <c r="AF5518">
        <v>8.1345996346492306</v>
      </c>
      <c r="AG5518">
        <v>-1.119910551964</v>
      </c>
      <c r="AH5518">
        <v>54.811687127920003</v>
      </c>
      <c r="AI5518">
        <v>91.157824696900803</v>
      </c>
      <c r="AJ5518">
        <v>81.558353659349294</v>
      </c>
      <c r="AK5518">
        <v>55.4233430665223</v>
      </c>
      <c r="AL5518">
        <v>77.756078628090293</v>
      </c>
      <c r="AM5518">
        <v>90.162630568616706</v>
      </c>
      <c r="AN5518">
        <v>1.0000000259932</v>
      </c>
    </row>
    <row r="5519" spans="1:40" x14ac:dyDescent="0.25">
      <c r="A5519" t="str">
        <f>"20190303170923318"</f>
        <v>20190303170923318</v>
      </c>
      <c r="B5519" t="str">
        <f>"1551604163309572"</f>
        <v>1551604163309572</v>
      </c>
      <c r="C5519" t="s">
        <v>40</v>
      </c>
      <c r="D5519">
        <v>4.8328110000000004</v>
      </c>
      <c r="E5519">
        <v>0.569407</v>
      </c>
      <c r="F5519" t="s">
        <v>58</v>
      </c>
      <c r="G5519">
        <v>-176.95930000000001</v>
      </c>
      <c r="H5519" s="1">
        <v>-6.7229749999999998E-6</v>
      </c>
      <c r="I5519">
        <v>138.6464</v>
      </c>
      <c r="J5519">
        <v>-187.71940000000001</v>
      </c>
      <c r="K5519">
        <v>1.1198969999999999</v>
      </c>
      <c r="L5519">
        <v>81.258209999999906</v>
      </c>
      <c r="M5519">
        <v>2.163789E-2</v>
      </c>
      <c r="N5519">
        <v>-1.2913330000000001E-2</v>
      </c>
      <c r="O5519">
        <v>0.99968250000000003</v>
      </c>
      <c r="P5519">
        <v>1.7385109999999999E-2</v>
      </c>
      <c r="Q5519">
        <v>0.19820670000000001</v>
      </c>
      <c r="R5519">
        <v>0.98000600000000004</v>
      </c>
      <c r="S5519">
        <v>0.57084659999999998</v>
      </c>
      <c r="T5519">
        <v>-5.9360860000000001E-2</v>
      </c>
      <c r="U5519">
        <v>3.064117</v>
      </c>
      <c r="V5519">
        <v>-3.3432760000000001E-3</v>
      </c>
      <c r="W5519">
        <v>0.2108553</v>
      </c>
      <c r="X5519">
        <v>0.97751160000000004</v>
      </c>
      <c r="Y5519">
        <v>0.1617961</v>
      </c>
      <c r="Z5519">
        <v>-6.1841099999999996E-3</v>
      </c>
      <c r="AA5519">
        <v>0.98680480000000004</v>
      </c>
      <c r="AB5519">
        <v>40</v>
      </c>
      <c r="AC5519">
        <v>10.7600999999999</v>
      </c>
      <c r="AD5519">
        <v>-1.119903722975</v>
      </c>
      <c r="AE5519">
        <v>57.388190000000002</v>
      </c>
      <c r="AF5519">
        <v>9.5122181051475199</v>
      </c>
      <c r="AG5519">
        <v>-1.119903722975</v>
      </c>
      <c r="AH5519">
        <v>57.586411808804499</v>
      </c>
      <c r="AI5519">
        <v>91.099219810316697</v>
      </c>
      <c r="AJ5519">
        <v>80.620483664805903</v>
      </c>
      <c r="AK5519">
        <v>58.377489691163099</v>
      </c>
      <c r="AL5519">
        <v>77.827520681220804</v>
      </c>
      <c r="AM5519">
        <v>90.195961723249496</v>
      </c>
      <c r="AN5519">
        <v>1.00000003158353</v>
      </c>
    </row>
    <row r="5520" spans="1:40" x14ac:dyDescent="0.25">
      <c r="A5520" t="str">
        <f>"20190303170923339"</f>
        <v>20190303170923339</v>
      </c>
      <c r="B5520" t="str">
        <f>"1551604163329093"</f>
        <v>1551604163329093</v>
      </c>
      <c r="C5520" t="s">
        <v>40</v>
      </c>
      <c r="D5520">
        <v>4.8278249999999998</v>
      </c>
      <c r="E5520">
        <v>0.56982889999999997</v>
      </c>
      <c r="F5520" t="s">
        <v>58</v>
      </c>
      <c r="G5520">
        <v>-177.85980000000001</v>
      </c>
      <c r="H5520" s="1">
        <v>-5.711428E-6</v>
      </c>
      <c r="I5520">
        <v>134.15049999999999</v>
      </c>
      <c r="J5520">
        <v>-187.71039999999999</v>
      </c>
      <c r="K5520">
        <v>1.1198939999999999</v>
      </c>
      <c r="L5520">
        <v>81.638120000000001</v>
      </c>
      <c r="M5520">
        <v>2.2467049999999999E-2</v>
      </c>
      <c r="N5520">
        <v>-1.2905170000000001E-2</v>
      </c>
      <c r="O5520">
        <v>0.99966429999999995</v>
      </c>
      <c r="P5520">
        <v>1.8359199999999999E-2</v>
      </c>
      <c r="Q5520">
        <v>0.19820180000000001</v>
      </c>
      <c r="R5520">
        <v>0.97998929999999995</v>
      </c>
      <c r="S5520">
        <v>0.57119750000000002</v>
      </c>
      <c r="T5520">
        <v>-6.4879300000000001E-2</v>
      </c>
      <c r="U5520">
        <v>3.064209</v>
      </c>
      <c r="V5520">
        <v>-3.182477E-3</v>
      </c>
      <c r="W5520">
        <v>0.21084230000000001</v>
      </c>
      <c r="X5520">
        <v>0.97751489999999996</v>
      </c>
      <c r="Y5520">
        <v>0.16107759999999999</v>
      </c>
      <c r="Z5520">
        <v>-7.9655650000000008E-3</v>
      </c>
      <c r="AA5520">
        <v>0.98690960000000005</v>
      </c>
      <c r="AB5520">
        <v>40</v>
      </c>
      <c r="AC5520">
        <v>9.8505999999999805</v>
      </c>
      <c r="AD5520">
        <v>-1.119899711428</v>
      </c>
      <c r="AE5520">
        <v>52.512379999999901</v>
      </c>
      <c r="AF5520">
        <v>8.6644098776787803</v>
      </c>
      <c r="AG5520">
        <v>-1.119899711428</v>
      </c>
      <c r="AH5520">
        <v>52.697302364397402</v>
      </c>
      <c r="AI5520">
        <v>91.201316504305694</v>
      </c>
      <c r="AJ5520">
        <v>80.663054018180702</v>
      </c>
      <c r="AK5520">
        <v>53.416587782980002</v>
      </c>
      <c r="AL5520">
        <v>77.828282163345506</v>
      </c>
      <c r="AM5520">
        <v>90.186536140019399</v>
      </c>
      <c r="AN5520">
        <v>0.99999999167557696</v>
      </c>
    </row>
    <row r="5521" spans="1:40" x14ac:dyDescent="0.25">
      <c r="A5521" t="str">
        <f>"20190303170923364"</f>
        <v>20190303170923364</v>
      </c>
      <c r="B5521" t="str">
        <f>"1551604163359349"</f>
        <v>1551604163359349</v>
      </c>
      <c r="C5521" t="s">
        <v>40</v>
      </c>
      <c r="D5521">
        <v>4.8389189999999997</v>
      </c>
      <c r="E5521">
        <v>0.57017559999999901</v>
      </c>
      <c r="F5521" t="s">
        <v>58</v>
      </c>
      <c r="G5521">
        <v>-177.72470000000001</v>
      </c>
      <c r="H5521" s="1">
        <v>-5.7540609999999997E-6</v>
      </c>
      <c r="I5521">
        <v>134.51300000000001</v>
      </c>
      <c r="J5521">
        <v>-187.69970000000001</v>
      </c>
      <c r="K5521">
        <v>1.119899</v>
      </c>
      <c r="L5521">
        <v>82.073520000000002</v>
      </c>
      <c r="M5521">
        <v>2.3416989999999999E-2</v>
      </c>
      <c r="N5521">
        <v>-1.289683E-2</v>
      </c>
      <c r="O5521">
        <v>0.99964260000000005</v>
      </c>
      <c r="P5521">
        <v>1.9575039999999998E-2</v>
      </c>
      <c r="Q5521">
        <v>0.19848740000000001</v>
      </c>
      <c r="R5521">
        <v>0.97990790000000005</v>
      </c>
      <c r="S5521">
        <v>0.57856750000000001</v>
      </c>
      <c r="T5521">
        <v>-6.4886330000000006E-2</v>
      </c>
      <c r="U5521">
        <v>3.0635379999999999</v>
      </c>
      <c r="V5521">
        <v>-2.8956379999999999E-3</v>
      </c>
      <c r="W5521">
        <v>0.21111820000000001</v>
      </c>
      <c r="X5521">
        <v>0.97745629999999994</v>
      </c>
      <c r="Y5521">
        <v>0.1624717</v>
      </c>
      <c r="Z5521">
        <v>-7.9744559999999996E-3</v>
      </c>
      <c r="AA5521">
        <v>0.98668100000000003</v>
      </c>
      <c r="AB5521">
        <v>40</v>
      </c>
      <c r="AC5521">
        <v>9.9749999999999908</v>
      </c>
      <c r="AD5521">
        <v>-1.1199047540610001</v>
      </c>
      <c r="AE5521">
        <v>52.439480000000003</v>
      </c>
      <c r="AF5521">
        <v>8.7403402068191909</v>
      </c>
      <c r="AG5521">
        <v>-1.1199047540610001</v>
      </c>
      <c r="AH5521">
        <v>52.635533839540003</v>
      </c>
      <c r="AI5521">
        <v>91.202415005413897</v>
      </c>
      <c r="AJ5521">
        <v>80.571836432930596</v>
      </c>
      <c r="AK5521">
        <v>53.368034966283602</v>
      </c>
      <c r="AL5521">
        <v>77.812110938969795</v>
      </c>
      <c r="AM5521">
        <v>90.169733778448801</v>
      </c>
      <c r="AN5521">
        <v>1.0000000487501699</v>
      </c>
    </row>
    <row r="5522" spans="1:40" x14ac:dyDescent="0.25">
      <c r="A5522" t="str">
        <f>"20190303170923386"</f>
        <v>20190303170923386</v>
      </c>
      <c r="B5522" t="str">
        <f>"1551604163379845"</f>
        <v>1551604163379845</v>
      </c>
      <c r="C5522" t="s">
        <v>40</v>
      </c>
      <c r="D5522">
        <v>4.8734469999999996</v>
      </c>
      <c r="E5522">
        <v>0.57027939999999999</v>
      </c>
      <c r="F5522" t="s">
        <v>58</v>
      </c>
      <c r="G5522">
        <v>-177.41249999999999</v>
      </c>
      <c r="H5522" s="1">
        <v>-6.0643779999999997E-6</v>
      </c>
      <c r="I5522">
        <v>135.9562</v>
      </c>
      <c r="J5522">
        <v>-187.68969999999999</v>
      </c>
      <c r="K5522">
        <v>1.1198999999999999</v>
      </c>
      <c r="L5522">
        <v>82.465669999999903</v>
      </c>
      <c r="M5522">
        <v>2.4272780000000001E-2</v>
      </c>
      <c r="N5522">
        <v>-1.28901E-2</v>
      </c>
      <c r="O5522">
        <v>0.99962229999999996</v>
      </c>
      <c r="P5522">
        <v>2.0507689999999999E-2</v>
      </c>
      <c r="Q5522">
        <v>0.19928860000000001</v>
      </c>
      <c r="R5522">
        <v>0.97972630000000005</v>
      </c>
      <c r="S5522">
        <v>0.58473209999999998</v>
      </c>
      <c r="T5522">
        <v>-6.365585E-2</v>
      </c>
      <c r="U5522">
        <v>3.0627140000000002</v>
      </c>
      <c r="V5522">
        <v>-2.796804E-3</v>
      </c>
      <c r="W5522">
        <v>0.2119105</v>
      </c>
      <c r="X5522">
        <v>0.97728510000000002</v>
      </c>
      <c r="Y5522">
        <v>0.16359279999999901</v>
      </c>
      <c r="Z5522">
        <v>-7.5864340000000004E-3</v>
      </c>
      <c r="AA5522">
        <v>0.98649880000000001</v>
      </c>
      <c r="AB5522">
        <v>40</v>
      </c>
      <c r="AC5522">
        <v>10.277199999999899</v>
      </c>
      <c r="AD5522">
        <v>-1.1199060643780001</v>
      </c>
      <c r="AE5522">
        <v>53.49053</v>
      </c>
      <c r="AF5522">
        <v>8.97190712633566</v>
      </c>
      <c r="AG5522">
        <v>-1.1199060643780001</v>
      </c>
      <c r="AH5522">
        <v>53.701543111147302</v>
      </c>
      <c r="AI5522">
        <v>91.178360536310393</v>
      </c>
      <c r="AJ5522">
        <v>80.515204590256502</v>
      </c>
      <c r="AK5522">
        <v>54.457369010952398</v>
      </c>
      <c r="AL5522">
        <v>77.765664338774599</v>
      </c>
      <c r="AM5522">
        <v>90.163969171187404</v>
      </c>
      <c r="AN5522">
        <v>1.0000000244024301</v>
      </c>
    </row>
    <row r="5523" spans="1:40" x14ac:dyDescent="0.25">
      <c r="A5523" t="str">
        <f>"20190303170923408"</f>
        <v>20190303170923408</v>
      </c>
      <c r="B5523" t="str">
        <f>"1551604163399364"</f>
        <v>1551604163399364</v>
      </c>
      <c r="C5523" t="s">
        <v>40</v>
      </c>
      <c r="D5523">
        <v>4.8689689999999999</v>
      </c>
      <c r="E5523">
        <v>0.57035049999999998</v>
      </c>
      <c r="F5523" t="s">
        <v>58</v>
      </c>
      <c r="G5523">
        <v>-176.9151</v>
      </c>
      <c r="H5523" s="1">
        <v>-6.6444240000000001E-6</v>
      </c>
      <c r="I5523">
        <v>138.50049999999999</v>
      </c>
      <c r="J5523">
        <v>-187.6797</v>
      </c>
      <c r="K5523">
        <v>1.1198999999999999</v>
      </c>
      <c r="L5523">
        <v>82.849519999999998</v>
      </c>
      <c r="M5523">
        <v>2.5110400000000001E-2</v>
      </c>
      <c r="N5523">
        <v>-1.28842E-2</v>
      </c>
      <c r="O5523">
        <v>0.99960170000000004</v>
      </c>
      <c r="P5523">
        <v>2.0901400000000001E-2</v>
      </c>
      <c r="Q5523">
        <v>0.19866549999999999</v>
      </c>
      <c r="R5523">
        <v>0.97984450000000001</v>
      </c>
      <c r="S5523">
        <v>0.58882139999999905</v>
      </c>
      <c r="T5523">
        <v>-6.1201329999999998E-2</v>
      </c>
      <c r="U5523">
        <v>3.0622250000000002</v>
      </c>
      <c r="V5523">
        <v>-3.228772E-3</v>
      </c>
      <c r="W5523">
        <v>0.21128459999999999</v>
      </c>
      <c r="X5523">
        <v>0.97741929999999999</v>
      </c>
      <c r="Y5523">
        <v>0.16406760000000001</v>
      </c>
      <c r="Z5523">
        <v>-6.8045830000000003E-3</v>
      </c>
      <c r="AA5523">
        <v>0.98642560000000001</v>
      </c>
      <c r="AB5523">
        <v>40</v>
      </c>
      <c r="AC5523">
        <v>10.7646</v>
      </c>
      <c r="AD5523">
        <v>-1.11990664442399</v>
      </c>
      <c r="AE5523">
        <v>55.650979999999898</v>
      </c>
      <c r="AF5523">
        <v>9.3600171068467795</v>
      </c>
      <c r="AG5523">
        <v>-1.11990664442399</v>
      </c>
      <c r="AH5523">
        <v>55.881941216186497</v>
      </c>
      <c r="AI5523">
        <v>91.132317577763303</v>
      </c>
      <c r="AJ5523">
        <v>80.491435531003702</v>
      </c>
      <c r="AK5523">
        <v>56.671469587632998</v>
      </c>
      <c r="AL5523">
        <v>77.802356881155404</v>
      </c>
      <c r="AM5523">
        <v>90.189268142866197</v>
      </c>
      <c r="AN5523">
        <v>1.00000004758913</v>
      </c>
    </row>
    <row r="5524" spans="1:40" x14ac:dyDescent="0.25">
      <c r="A5524" t="str">
        <f>"20190303170923428"</f>
        <v>20190303170923428</v>
      </c>
      <c r="B5524" t="str">
        <f>"1551604163419861"</f>
        <v>1551604163419861</v>
      </c>
      <c r="C5524" t="s">
        <v>40</v>
      </c>
      <c r="D5524">
        <v>4.8516550000000001</v>
      </c>
      <c r="E5524">
        <v>0.57056419999999997</v>
      </c>
      <c r="F5524" t="s">
        <v>58</v>
      </c>
      <c r="G5524">
        <v>-177.31950000000001</v>
      </c>
      <c r="H5524" s="1">
        <v>-6.1882079999999997E-6</v>
      </c>
      <c r="I5524">
        <v>136.4759</v>
      </c>
      <c r="J5524">
        <v>-187.66970000000001</v>
      </c>
      <c r="K5524">
        <v>1.1198950000000001</v>
      </c>
      <c r="L5524">
        <v>83.216030000000003</v>
      </c>
      <c r="M5524">
        <v>2.5910599999999999E-2</v>
      </c>
      <c r="N5524">
        <v>-1.287921E-2</v>
      </c>
      <c r="O5524">
        <v>0.99958130000000001</v>
      </c>
      <c r="P5524">
        <v>2.1139310000000001E-2</v>
      </c>
      <c r="Q5524">
        <v>0.1979716</v>
      </c>
      <c r="R5524">
        <v>0.97997979999999996</v>
      </c>
      <c r="S5524">
        <v>0.59156799999999998</v>
      </c>
      <c r="T5524">
        <v>-6.3946840000000005E-2</v>
      </c>
      <c r="U5524">
        <v>3.0620729999999998</v>
      </c>
      <c r="V5524">
        <v>-3.7807140000000001E-3</v>
      </c>
      <c r="W5524">
        <v>0.21058869999999999</v>
      </c>
      <c r="X5524">
        <v>0.97756739999999998</v>
      </c>
      <c r="Y5524">
        <v>0.16413810000000001</v>
      </c>
      <c r="Z5524">
        <v>-7.6908300000000001E-3</v>
      </c>
      <c r="AA5524">
        <v>0.98640740000000005</v>
      </c>
      <c r="AB5524">
        <v>40</v>
      </c>
      <c r="AC5524">
        <v>10.350199999999999</v>
      </c>
      <c r="AD5524">
        <v>-1.1199011882080001</v>
      </c>
      <c r="AE5524">
        <v>53.2598699999999</v>
      </c>
      <c r="AF5524">
        <v>8.9627962470072298</v>
      </c>
      <c r="AG5524">
        <v>-1.1199011882080001</v>
      </c>
      <c r="AH5524">
        <v>53.487399643885297</v>
      </c>
      <c r="AI5524">
        <v>91.182975792523294</v>
      </c>
      <c r="AJ5524">
        <v>80.487417809609497</v>
      </c>
      <c r="AK5524">
        <v>54.244703113773397</v>
      </c>
      <c r="AL5524">
        <v>77.843145690727695</v>
      </c>
      <c r="AM5524">
        <v>90.221588686101398</v>
      </c>
      <c r="AN5524">
        <v>0.999999957954399</v>
      </c>
    </row>
    <row r="5525" spans="1:40" x14ac:dyDescent="0.25">
      <c r="A5525" t="str">
        <f>"20190303170923453"</f>
        <v>20190303170923453</v>
      </c>
      <c r="B5525" t="str">
        <f>"1551604163439380"</f>
        <v>1551604163439380</v>
      </c>
      <c r="C5525" t="s">
        <v>40</v>
      </c>
      <c r="D5525">
        <v>4.8442509999999999</v>
      </c>
      <c r="E5525">
        <v>0.57069459999999905</v>
      </c>
      <c r="F5525" t="s">
        <v>58</v>
      </c>
      <c r="G5525">
        <v>-177.68170000000001</v>
      </c>
      <c r="H5525" s="1">
        <v>-5.79814499999999E-6</v>
      </c>
      <c r="I5525">
        <v>134.71549999999999</v>
      </c>
      <c r="J5525">
        <v>-187.65790000000001</v>
      </c>
      <c r="K5525">
        <v>1.119896</v>
      </c>
      <c r="L5525">
        <v>83.639430000000004</v>
      </c>
      <c r="M5525">
        <v>2.6831150000000002E-2</v>
      </c>
      <c r="N5525">
        <v>-1.287402E-2</v>
      </c>
      <c r="O5525">
        <v>0.99955709999999998</v>
      </c>
      <c r="P5525">
        <v>2.1517379999999999E-2</v>
      </c>
      <c r="Q5525">
        <v>0.19784979999999999</v>
      </c>
      <c r="R5525">
        <v>0.97999610000000004</v>
      </c>
      <c r="S5525">
        <v>0.59384159999999997</v>
      </c>
      <c r="T5525">
        <v>-6.6584110000000002E-2</v>
      </c>
      <c r="U5525">
        <v>3.0619200000000002</v>
      </c>
      <c r="V5525">
        <v>-4.3075700000000001E-3</v>
      </c>
      <c r="W5525">
        <v>0.21046329999999999</v>
      </c>
      <c r="X5525">
        <v>0.97759229999999997</v>
      </c>
      <c r="Y5525">
        <v>0.16394259999999999</v>
      </c>
      <c r="Z5525">
        <v>-8.5431359999999998E-3</v>
      </c>
      <c r="AA5525">
        <v>0.98643289999999995</v>
      </c>
      <c r="AB5525">
        <v>40</v>
      </c>
      <c r="AC5525">
        <v>9.9762000000000004</v>
      </c>
      <c r="AD5525">
        <v>-1.1199017981449999</v>
      </c>
      <c r="AE5525">
        <v>51.076069999999902</v>
      </c>
      <c r="AF5525">
        <v>8.5980828462382899</v>
      </c>
      <c r="AG5525">
        <v>-1.1199017981449999</v>
      </c>
      <c r="AH5525">
        <v>51.301616404321997</v>
      </c>
      <c r="AI5525">
        <v>91.233357601560598</v>
      </c>
      <c r="AJ5525">
        <v>80.485728856892095</v>
      </c>
      <c r="AK5525">
        <v>52.029194250578797</v>
      </c>
      <c r="AL5525">
        <v>77.850496193097101</v>
      </c>
      <c r="AM5525">
        <v>90.252461055277394</v>
      </c>
      <c r="AN5525">
        <v>1.0000000304127401</v>
      </c>
    </row>
    <row r="5526" spans="1:40" x14ac:dyDescent="0.25">
      <c r="A5526" t="str">
        <f>"20190303170923476"</f>
        <v>20190303170923476</v>
      </c>
      <c r="B5526" t="str">
        <f>"1551604163469637"</f>
        <v>1551604163469637</v>
      </c>
      <c r="C5526" t="s">
        <v>40</v>
      </c>
      <c r="D5526">
        <v>4.8872410000000004</v>
      </c>
      <c r="E5526">
        <v>0.57075319999999996</v>
      </c>
      <c r="F5526" t="s">
        <v>58</v>
      </c>
      <c r="G5526">
        <v>-177.71960000000001</v>
      </c>
      <c r="H5526" s="1">
        <v>-5.7995320000000002E-6</v>
      </c>
      <c r="I5526">
        <v>134.65199999999999</v>
      </c>
      <c r="J5526">
        <v>-187.64590000000001</v>
      </c>
      <c r="K5526">
        <v>1.1199079999999999</v>
      </c>
      <c r="L5526">
        <v>84.052800000000005</v>
      </c>
      <c r="M5526">
        <v>2.772057E-2</v>
      </c>
      <c r="N5526">
        <v>-1.2869500000000001E-2</v>
      </c>
      <c r="O5526">
        <v>0.99953289999999995</v>
      </c>
      <c r="P5526">
        <v>2.1569410000000001E-2</v>
      </c>
      <c r="Q5526">
        <v>0.19847890000000001</v>
      </c>
      <c r="R5526">
        <v>0.97986779999999996</v>
      </c>
      <c r="S5526">
        <v>0.59648129999999999</v>
      </c>
      <c r="T5526">
        <v>-6.7214969999999999E-2</v>
      </c>
      <c r="U5526">
        <v>3.0617070000000002</v>
      </c>
      <c r="V5526">
        <v>-5.1254270000000001E-3</v>
      </c>
      <c r="W5526">
        <v>0.21108740000000001</v>
      </c>
      <c r="X5526">
        <v>0.97745380000000004</v>
      </c>
      <c r="Y5526">
        <v>0.16389670000000001</v>
      </c>
      <c r="Z5526">
        <v>-8.7504419999999902E-3</v>
      </c>
      <c r="AA5526">
        <v>0.9864387</v>
      </c>
      <c r="AB5526">
        <v>40</v>
      </c>
      <c r="AC5526">
        <v>9.9262999999999906</v>
      </c>
      <c r="AD5526">
        <v>-1.1199137995320001</v>
      </c>
      <c r="AE5526">
        <v>50.599200000000003</v>
      </c>
      <c r="AF5526">
        <v>8.5157130080909198</v>
      </c>
      <c r="AG5526">
        <v>-1.1199137995320001</v>
      </c>
      <c r="AH5526">
        <v>50.830959702082403</v>
      </c>
      <c r="AI5526">
        <v>91.244801249261499</v>
      </c>
      <c r="AJ5526">
        <v>80.489553531778398</v>
      </c>
      <c r="AK5526">
        <v>51.551508602457801</v>
      </c>
      <c r="AL5526">
        <v>77.813916298892394</v>
      </c>
      <c r="AM5526">
        <v>90.300436341664195</v>
      </c>
      <c r="AN5526">
        <v>1.00000004578756</v>
      </c>
    </row>
    <row r="5527" spans="1:40" x14ac:dyDescent="0.25">
      <c r="A5527" t="str">
        <f>"20190303170923497"</f>
        <v>20190303170923497</v>
      </c>
      <c r="B5527" t="str">
        <f>"1551604163489157"</f>
        <v>1551604163489157</v>
      </c>
      <c r="C5527" t="s">
        <v>40</v>
      </c>
      <c r="D5527">
        <v>5.0018900000000004</v>
      </c>
      <c r="E5527">
        <v>0.54869869999999898</v>
      </c>
      <c r="F5527" t="s">
        <v>58</v>
      </c>
      <c r="G5527">
        <v>-177.47229999999999</v>
      </c>
      <c r="H5527" s="1">
        <v>-6.17811E-6</v>
      </c>
      <c r="I5527">
        <v>136.17490000000001</v>
      </c>
      <c r="J5527">
        <v>-187.6345</v>
      </c>
      <c r="K5527">
        <v>1.1199159999999999</v>
      </c>
      <c r="L5527">
        <v>84.437619999999995</v>
      </c>
      <c r="M5527">
        <v>2.8538250000000001E-2</v>
      </c>
      <c r="N5527">
        <v>-1.2865720000000001E-2</v>
      </c>
      <c r="O5527">
        <v>0.99950989999999995</v>
      </c>
      <c r="P5527">
        <v>2.1708769999999999E-2</v>
      </c>
      <c r="Q5527">
        <v>0.1998258</v>
      </c>
      <c r="R5527">
        <v>0.97959090000000004</v>
      </c>
      <c r="S5527">
        <v>0.59762569999999904</v>
      </c>
      <c r="T5527">
        <v>-6.5786960000000005E-2</v>
      </c>
      <c r="U5527">
        <v>3.061798</v>
      </c>
      <c r="V5527">
        <v>-5.7813539999999998E-3</v>
      </c>
      <c r="W5527">
        <v>0.2124286</v>
      </c>
      <c r="X5527">
        <v>0.97715949999999996</v>
      </c>
      <c r="Y5527">
        <v>0.16344069999999999</v>
      </c>
      <c r="Z5527">
        <v>-8.2955470000000003E-3</v>
      </c>
      <c r="AA5527">
        <v>0.98651829999999996</v>
      </c>
      <c r="AB5527">
        <v>40</v>
      </c>
      <c r="AC5527">
        <v>10.1622</v>
      </c>
      <c r="AD5527">
        <v>-1.1199221781099999</v>
      </c>
      <c r="AE5527">
        <v>51.737279999999998</v>
      </c>
      <c r="AF5527">
        <v>8.6775316814003904</v>
      </c>
      <c r="AG5527">
        <v>-1.1199221781099999</v>
      </c>
      <c r="AH5527">
        <v>51.982786956131903</v>
      </c>
      <c r="AI5527">
        <v>91.2173552354283</v>
      </c>
      <c r="AJ5527">
        <v>80.522949997887906</v>
      </c>
      <c r="AK5527">
        <v>52.713982220026999</v>
      </c>
      <c r="AL5527">
        <v>77.735287646128398</v>
      </c>
      <c r="AM5527">
        <v>90.338985927135099</v>
      </c>
      <c r="AN5527">
        <v>1.00000001129614</v>
      </c>
    </row>
    <row r="5528" spans="1:40" x14ac:dyDescent="0.25">
      <c r="A5528" t="str">
        <f>"20190303170923520"</f>
        <v>20190303170923520</v>
      </c>
      <c r="B5528" t="str">
        <f>"1551604163509653"</f>
        <v>1551604163509653</v>
      </c>
      <c r="C5528" t="s">
        <v>40</v>
      </c>
      <c r="D5528">
        <v>5.0744999999999996</v>
      </c>
      <c r="E5528">
        <v>0.52977359999999996</v>
      </c>
      <c r="F5528" t="s">
        <v>43</v>
      </c>
      <c r="G5528">
        <v>-183.18600000000001</v>
      </c>
      <c r="H5528" s="1">
        <v>-4.3585440000000002E-6</v>
      </c>
      <c r="I5528">
        <v>116.9751</v>
      </c>
      <c r="J5528">
        <v>-187.6223</v>
      </c>
      <c r="K5528">
        <v>1.1199300000000001</v>
      </c>
      <c r="L5528">
        <v>84.835269999999994</v>
      </c>
      <c r="M5528">
        <v>2.936329E-2</v>
      </c>
      <c r="N5528">
        <v>-1.2862190000000001E-2</v>
      </c>
      <c r="O5528">
        <v>0.99948599999999999</v>
      </c>
      <c r="P5528">
        <v>2.1917430000000002E-2</v>
      </c>
      <c r="Q5528">
        <v>0.19995019999999999</v>
      </c>
      <c r="R5528">
        <v>0.97956089999999996</v>
      </c>
      <c r="S5528">
        <v>0.42037960000000002</v>
      </c>
      <c r="T5528">
        <v>-0.1058315</v>
      </c>
      <c r="U5528">
        <v>3.0747680000000002</v>
      </c>
      <c r="V5528">
        <v>-6.3878429999999998E-3</v>
      </c>
      <c r="W5528">
        <v>0.2125503</v>
      </c>
      <c r="X5528">
        <v>0.97712929999999998</v>
      </c>
      <c r="Y5528">
        <v>0.1062429</v>
      </c>
      <c r="Z5528">
        <v>-2.128909E-2</v>
      </c>
      <c r="AA5528">
        <v>0.99411229999999995</v>
      </c>
      <c r="AB5528">
        <v>40</v>
      </c>
      <c r="AC5528">
        <v>4.4363000000000099</v>
      </c>
      <c r="AD5528">
        <v>-1.11993435854399</v>
      </c>
      <c r="AE5528">
        <v>32.139829999999897</v>
      </c>
      <c r="AF5528">
        <v>3.4864233642476301</v>
      </c>
      <c r="AG5528">
        <v>-1.11993435854399</v>
      </c>
      <c r="AH5528">
        <v>32.217856114272799</v>
      </c>
      <c r="AI5528">
        <v>91.979327559417797</v>
      </c>
      <c r="AJ5528">
        <v>83.823827407352496</v>
      </c>
      <c r="AK5528">
        <v>32.425293421065597</v>
      </c>
      <c r="AL5528">
        <v>77.728152294981797</v>
      </c>
      <c r="AM5528">
        <v>90.374557625442307</v>
      </c>
      <c r="AN5528">
        <v>1.00000005174338</v>
      </c>
    </row>
    <row r="5529" spans="1:40" x14ac:dyDescent="0.25">
      <c r="A5529" t="str">
        <f>"20190303170923567"</f>
        <v>20190303170923567</v>
      </c>
      <c r="B5529" t="str">
        <f>"1551604163559429"</f>
        <v>1551604163559429</v>
      </c>
      <c r="C5529" t="s">
        <v>40</v>
      </c>
      <c r="D5529">
        <v>4.9624519999999999</v>
      </c>
      <c r="E5529">
        <v>0.51437319999999997</v>
      </c>
      <c r="F5529" t="s">
        <v>58</v>
      </c>
      <c r="G5529">
        <v>-184.45439999999999</v>
      </c>
      <c r="H5529" s="1">
        <v>-1.8334530000000001E-6</v>
      </c>
      <c r="I5529">
        <v>120.86960000000001</v>
      </c>
      <c r="J5529">
        <v>-187.59649999999999</v>
      </c>
      <c r="K5529">
        <v>1.119999</v>
      </c>
      <c r="L5529">
        <v>85.651669999999996</v>
      </c>
      <c r="M5529">
        <v>3.0936660000000001E-2</v>
      </c>
      <c r="N5529">
        <v>-1.285567E-2</v>
      </c>
      <c r="O5529">
        <v>0.99943859999999995</v>
      </c>
      <c r="P5529">
        <v>2.297076E-2</v>
      </c>
      <c r="Q5529">
        <v>0.1996638</v>
      </c>
      <c r="R5529">
        <v>0.9795952</v>
      </c>
      <c r="S5529">
        <v>0.27043149999999999</v>
      </c>
      <c r="T5529">
        <v>-9.5602270000000003E-2</v>
      </c>
      <c r="U5529">
        <v>3.07605</v>
      </c>
      <c r="V5529">
        <v>-6.9101319999999898E-3</v>
      </c>
      <c r="W5529">
        <v>0.21225849999999999</v>
      </c>
      <c r="X5529">
        <v>0.97718910000000003</v>
      </c>
      <c r="Y5529">
        <v>5.6684819999999997E-2</v>
      </c>
      <c r="Z5529">
        <v>-1.812304E-2</v>
      </c>
      <c r="AA5529">
        <v>0.99822759999999999</v>
      </c>
      <c r="AB5529">
        <v>40</v>
      </c>
      <c r="AC5529">
        <v>3.1420999999999899</v>
      </c>
      <c r="AD5529">
        <v>-1.1200008334530001</v>
      </c>
      <c r="AE5529">
        <v>35.217930000000003</v>
      </c>
      <c r="AF5529">
        <v>2.0489246784507</v>
      </c>
      <c r="AG5529">
        <v>-1.1200008334530001</v>
      </c>
      <c r="AH5529">
        <v>35.2629020459988</v>
      </c>
      <c r="AI5529">
        <v>91.816124294126993</v>
      </c>
      <c r="AJ5529">
        <v>86.674610299149904</v>
      </c>
      <c r="AK5529">
        <v>35.340129525945599</v>
      </c>
      <c r="AL5529">
        <v>77.745260699507199</v>
      </c>
      <c r="AM5529">
        <v>90.405156791347295</v>
      </c>
      <c r="AN5529">
        <v>0.99999997895265802</v>
      </c>
    </row>
    <row r="5530" spans="1:40" x14ac:dyDescent="0.25">
      <c r="A5530" t="str">
        <f>"20190303170923588"</f>
        <v>20190303170923588</v>
      </c>
      <c r="B5530" t="str">
        <f>"1551604163579924"</f>
        <v>1551604163579924</v>
      </c>
      <c r="C5530" t="s">
        <v>40</v>
      </c>
      <c r="D5530">
        <v>5.0784779999999996</v>
      </c>
      <c r="E5530">
        <v>0.51231579999999999</v>
      </c>
      <c r="F5530" t="s">
        <v>58</v>
      </c>
      <c r="G5530">
        <v>-185.6123</v>
      </c>
      <c r="H5530" s="1">
        <v>-3.7075749999999998E-6</v>
      </c>
      <c r="I5530">
        <v>126.0082</v>
      </c>
      <c r="J5530">
        <v>-187.5838</v>
      </c>
      <c r="K5530">
        <v>1.1200349999999999</v>
      </c>
      <c r="L5530">
        <v>86.040989999999994</v>
      </c>
      <c r="M5530">
        <v>3.1610069999999997E-2</v>
      </c>
      <c r="N5530">
        <v>-1.285273E-2</v>
      </c>
      <c r="O5530">
        <v>0.99941769999999996</v>
      </c>
      <c r="P5530">
        <v>2.3768310000000001E-2</v>
      </c>
      <c r="Q5530">
        <v>0.19902049999999999</v>
      </c>
      <c r="R5530">
        <v>0.97970710000000005</v>
      </c>
      <c r="S5530">
        <v>0.15126039999999999</v>
      </c>
      <c r="T5530">
        <v>-8.5377220000000004E-2</v>
      </c>
      <c r="U5530">
        <v>3.076355</v>
      </c>
      <c r="V5530">
        <v>-6.8006739999999996E-3</v>
      </c>
      <c r="W5530">
        <v>0.2116131</v>
      </c>
      <c r="X5530">
        <v>0.97732989999999997</v>
      </c>
      <c r="Y5530">
        <v>1.7500310000000002E-2</v>
      </c>
      <c r="Z5530">
        <v>-1.486231E-2</v>
      </c>
      <c r="AA5530">
        <v>0.99973639999999997</v>
      </c>
      <c r="AB5530">
        <v>39</v>
      </c>
      <c r="AC5530">
        <v>1.97149999999999</v>
      </c>
      <c r="AD5530">
        <v>-1.120038707575</v>
      </c>
      <c r="AE5530">
        <v>39.967210000000001</v>
      </c>
      <c r="AF5530">
        <v>0.70649055666678895</v>
      </c>
      <c r="AG5530">
        <v>-1.120038707575</v>
      </c>
      <c r="AH5530">
        <v>39.978238211104397</v>
      </c>
      <c r="AI5530">
        <v>91.604540399379104</v>
      </c>
      <c r="AJ5530">
        <v>88.987581344983198</v>
      </c>
      <c r="AK5530">
        <v>40.000164325624098</v>
      </c>
      <c r="AL5530">
        <v>77.783099745120296</v>
      </c>
      <c r="AM5530">
        <v>90.398681785264401</v>
      </c>
      <c r="AN5530">
        <v>1.0000000433462299</v>
      </c>
    </row>
    <row r="5531" spans="1:40" x14ac:dyDescent="0.25">
      <c r="A5531" t="str">
        <f>"20190303170923610"</f>
        <v>20190303170923610</v>
      </c>
      <c r="B5531" t="str">
        <f>"1551604163599444"</f>
        <v>1551604163599444</v>
      </c>
      <c r="C5531" t="s">
        <v>40</v>
      </c>
      <c r="D5531">
        <v>5.0183350000000004</v>
      </c>
      <c r="E5531">
        <v>0.51080720000000002</v>
      </c>
      <c r="F5531" t="s">
        <v>58</v>
      </c>
      <c r="G5531">
        <v>-185.85579999999999</v>
      </c>
      <c r="H5531" s="1">
        <v>-3.3556620000000001E-6</v>
      </c>
      <c r="I5531">
        <v>124.7838</v>
      </c>
      <c r="J5531">
        <v>-187.5718</v>
      </c>
      <c r="K5531">
        <v>1.1200889999999999</v>
      </c>
      <c r="L5531">
        <v>86.40625</v>
      </c>
      <c r="M5531">
        <v>3.2159559999999997E-2</v>
      </c>
      <c r="N5531">
        <v>-1.285006E-2</v>
      </c>
      <c r="O5531">
        <v>0.99940010000000001</v>
      </c>
      <c r="P5531">
        <v>2.4148739999999998E-2</v>
      </c>
      <c r="Q5531">
        <v>0.19852600000000001</v>
      </c>
      <c r="R5531">
        <v>0.97979810000000001</v>
      </c>
      <c r="S5531">
        <v>0.13723750000000001</v>
      </c>
      <c r="T5531">
        <v>-8.895111E-2</v>
      </c>
      <c r="U5531">
        <v>3.0768740000000001</v>
      </c>
      <c r="V5531">
        <v>-6.9934460000000004E-3</v>
      </c>
      <c r="W5531">
        <v>0.21111679999999999</v>
      </c>
      <c r="X5531">
        <v>0.97743579999999997</v>
      </c>
      <c r="Y5531">
        <v>1.2396249999999999E-2</v>
      </c>
      <c r="Z5531">
        <v>-1.6021770000000001E-2</v>
      </c>
      <c r="AA5531">
        <v>0.99979479999999998</v>
      </c>
      <c r="AB5531">
        <v>39</v>
      </c>
      <c r="AC5531">
        <v>1.716</v>
      </c>
      <c r="AD5531">
        <v>-1.1200923556619999</v>
      </c>
      <c r="AE5531">
        <v>38.377549999999999</v>
      </c>
      <c r="AF5531">
        <v>0.48039676645886198</v>
      </c>
      <c r="AG5531">
        <v>-1.1200923556619999</v>
      </c>
      <c r="AH5531">
        <v>38.380257962859503</v>
      </c>
      <c r="AI5531">
        <v>91.671519031445499</v>
      </c>
      <c r="AJ5531">
        <v>89.282879496420406</v>
      </c>
      <c r="AK5531">
        <v>38.399604024443697</v>
      </c>
      <c r="AL5531">
        <v>77.812192118834105</v>
      </c>
      <c r="AM5531">
        <v>90.409938026357594</v>
      </c>
      <c r="AN5531">
        <v>0.99999997732541701</v>
      </c>
    </row>
    <row r="5532" spans="1:40" x14ac:dyDescent="0.25">
      <c r="A5532" t="str">
        <f>"20190303170923632"</f>
        <v>20190303170923632</v>
      </c>
      <c r="B5532" t="str">
        <f>"1551604163619941"</f>
        <v>1551604163619941</v>
      </c>
      <c r="C5532" t="s">
        <v>40</v>
      </c>
      <c r="D5532">
        <v>4.9630679999999998</v>
      </c>
      <c r="E5532">
        <v>0.5097353</v>
      </c>
      <c r="F5532" t="s">
        <v>58</v>
      </c>
      <c r="G5532">
        <v>-185.99690000000001</v>
      </c>
      <c r="H5532" s="1">
        <v>-3.2756270000000001E-6</v>
      </c>
      <c r="I5532">
        <v>124.5855</v>
      </c>
      <c r="J5532">
        <v>-187.55799999999999</v>
      </c>
      <c r="K5532">
        <v>1.120166</v>
      </c>
      <c r="L5532">
        <v>86.81747</v>
      </c>
      <c r="M5532">
        <v>3.2656810000000001E-2</v>
      </c>
      <c r="N5532">
        <v>-1.2847249999999999E-2</v>
      </c>
      <c r="O5532">
        <v>0.99938400000000005</v>
      </c>
      <c r="P5532">
        <v>2.448111E-2</v>
      </c>
      <c r="Q5532">
        <v>0.1982892</v>
      </c>
      <c r="R5532">
        <v>0.97983779999999998</v>
      </c>
      <c r="S5532">
        <v>0.1269226</v>
      </c>
      <c r="T5532">
        <v>-9.0272900000000003E-2</v>
      </c>
      <c r="U5532">
        <v>3.077026</v>
      </c>
      <c r="V5532">
        <v>-7.1965709999999997E-3</v>
      </c>
      <c r="W5532">
        <v>0.21087629999999999</v>
      </c>
      <c r="X5532">
        <v>0.97748630000000003</v>
      </c>
      <c r="Y5532">
        <v>8.5517690000000007E-3</v>
      </c>
      <c r="Z5532">
        <v>-1.6453160000000001E-2</v>
      </c>
      <c r="AA5532">
        <v>0.99982800000000005</v>
      </c>
      <c r="AB5532">
        <v>39</v>
      </c>
      <c r="AC5532">
        <v>1.5610999999999799</v>
      </c>
      <c r="AD5532">
        <v>-1.1201692756270001</v>
      </c>
      <c r="AE5532">
        <v>37.768030000000003</v>
      </c>
      <c r="AF5532">
        <v>0.32649525081715303</v>
      </c>
      <c r="AG5532">
        <v>-1.1201692756270001</v>
      </c>
      <c r="AH5532">
        <v>37.765702265177403</v>
      </c>
      <c r="AI5532">
        <v>91.698889734711202</v>
      </c>
      <c r="AJ5532">
        <v>89.504674009825607</v>
      </c>
      <c r="AK5532">
        <v>37.783721970405303</v>
      </c>
      <c r="AL5532">
        <v>77.826289843192995</v>
      </c>
      <c r="AM5532">
        <v>90.421822480272496</v>
      </c>
      <c r="AN5532">
        <v>1.00000003561176</v>
      </c>
    </row>
    <row r="5533" spans="1:40" x14ac:dyDescent="0.25">
      <c r="A5533" t="str">
        <f>"20190303170923654"</f>
        <v>20190303170923654</v>
      </c>
      <c r="B5533" t="str">
        <f>"1551604163639461"</f>
        <v>1551604163639461</v>
      </c>
      <c r="C5533" t="s">
        <v>40</v>
      </c>
      <c r="D5533">
        <v>5.0757399999999997</v>
      </c>
      <c r="E5533">
        <v>0.5088937</v>
      </c>
      <c r="F5533" t="s">
        <v>58</v>
      </c>
      <c r="G5533">
        <v>-186.06890000000001</v>
      </c>
      <c r="H5533" s="1">
        <v>-3.3813429999999998E-6</v>
      </c>
      <c r="I5533">
        <v>124.9969</v>
      </c>
      <c r="J5533">
        <v>-187.54560000000001</v>
      </c>
      <c r="K5533">
        <v>1.1202460000000001</v>
      </c>
      <c r="L5533">
        <v>87.186340000000001</v>
      </c>
      <c r="M5533">
        <v>3.3023789999999997E-2</v>
      </c>
      <c r="N5533">
        <v>-1.2844980000000001E-2</v>
      </c>
      <c r="O5533">
        <v>0.99937200000000004</v>
      </c>
      <c r="P5533">
        <v>2.4188310000000001E-2</v>
      </c>
      <c r="Q5533">
        <v>0.19770499999999999</v>
      </c>
      <c r="R5533">
        <v>0.97996309999999998</v>
      </c>
      <c r="S5533">
        <v>0.1200104</v>
      </c>
      <c r="T5533">
        <v>-9.0277789999999997E-2</v>
      </c>
      <c r="U5533">
        <v>3.0769959999999998</v>
      </c>
      <c r="V5533">
        <v>-7.8967399999999993E-3</v>
      </c>
      <c r="W5533">
        <v>0.2102908</v>
      </c>
      <c r="X5533">
        <v>0.977607</v>
      </c>
      <c r="Y5533">
        <v>5.9432490000000003E-3</v>
      </c>
      <c r="Z5533">
        <v>-1.6457989999999999E-2</v>
      </c>
      <c r="AA5533">
        <v>0.99984689999999998</v>
      </c>
      <c r="AB5533">
        <v>39</v>
      </c>
      <c r="AC5533">
        <v>1.4766999999999899</v>
      </c>
      <c r="AD5533">
        <v>-1.1202493813429999</v>
      </c>
      <c r="AE5533">
        <v>37.810560000000002</v>
      </c>
      <c r="AF5533">
        <v>0.22694447129070999</v>
      </c>
      <c r="AG5533">
        <v>-1.1202493813429999</v>
      </c>
      <c r="AH5533">
        <v>37.805567913187403</v>
      </c>
      <c r="AI5533">
        <v>91.6972534357824</v>
      </c>
      <c r="AJ5533">
        <v>89.656061132749997</v>
      </c>
      <c r="AK5533">
        <v>37.822842670905601</v>
      </c>
      <c r="AL5533">
        <v>77.860605750679596</v>
      </c>
      <c r="AM5533">
        <v>90.462803594713606</v>
      </c>
      <c r="AN5533">
        <v>1.0000000127581301</v>
      </c>
    </row>
    <row r="5534" spans="1:40" x14ac:dyDescent="0.25">
      <c r="A5534" t="str">
        <f>"20190303170923675"</f>
        <v>20190303170923675</v>
      </c>
      <c r="B5534" t="str">
        <f>"1551604163669717"</f>
        <v>1551604163669717</v>
      </c>
      <c r="C5534" t="s">
        <v>40</v>
      </c>
      <c r="D5534">
        <v>5.0756690000000004</v>
      </c>
      <c r="E5534">
        <v>0.508023</v>
      </c>
      <c r="F5534" t="s">
        <v>58</v>
      </c>
      <c r="G5534">
        <v>-186.17699999999999</v>
      </c>
      <c r="H5534" s="1">
        <v>-3.304046E-6</v>
      </c>
      <c r="I5534">
        <v>124.7573</v>
      </c>
      <c r="J5534">
        <v>-187.5324</v>
      </c>
      <c r="K5534">
        <v>1.120328</v>
      </c>
      <c r="L5534">
        <v>87.577579999999998</v>
      </c>
      <c r="M5534">
        <v>3.3334040000000002E-2</v>
      </c>
      <c r="N5534">
        <v>-1.28428E-2</v>
      </c>
      <c r="O5534">
        <v>0.99936179999999997</v>
      </c>
      <c r="P5534">
        <v>2.3643999999999998E-2</v>
      </c>
      <c r="Q5534">
        <v>0.19801669999999999</v>
      </c>
      <c r="R5534">
        <v>0.97991340000000005</v>
      </c>
      <c r="S5534">
        <v>0.1120911</v>
      </c>
      <c r="T5534">
        <v>-9.1749310000000001E-2</v>
      </c>
      <c r="U5534">
        <v>3.0770870000000001</v>
      </c>
      <c r="V5534">
        <v>-8.7851049999999997E-3</v>
      </c>
      <c r="W5534">
        <v>0.21059939999999999</v>
      </c>
      <c r="X5534">
        <v>0.97753299999999999</v>
      </c>
      <c r="Y5534">
        <v>3.0625140000000001E-3</v>
      </c>
      <c r="Z5534">
        <v>-1.693716E-2</v>
      </c>
      <c r="AA5534">
        <v>0.99985190000000002</v>
      </c>
      <c r="AB5534">
        <v>39</v>
      </c>
      <c r="AC5534">
        <v>1.35539999999997</v>
      </c>
      <c r="AD5534">
        <v>-1.1203313040459999</v>
      </c>
      <c r="AE5534">
        <v>37.179719999999897</v>
      </c>
      <c r="AF5534">
        <v>0.11508984278518899</v>
      </c>
      <c r="AG5534">
        <v>-1.1203313040459999</v>
      </c>
      <c r="AH5534">
        <v>37.170533606750297</v>
      </c>
      <c r="AI5534">
        <v>91.726381482975995</v>
      </c>
      <c r="AJ5534">
        <v>89.822597618482902</v>
      </c>
      <c r="AK5534">
        <v>37.187591431999103</v>
      </c>
      <c r="AL5534">
        <v>77.842519398057902</v>
      </c>
      <c r="AM5534">
        <v>90.514904242091902</v>
      </c>
      <c r="AN5534">
        <v>1.00000002571961</v>
      </c>
    </row>
    <row r="5535" spans="1:40" x14ac:dyDescent="0.25">
      <c r="A5535" t="str">
        <f>"20190303170923697"</f>
        <v>20190303170923697</v>
      </c>
      <c r="B5535" t="str">
        <f>"1551604163689237"</f>
        <v>1551604163689237</v>
      </c>
      <c r="C5535" t="s">
        <v>40</v>
      </c>
      <c r="D5535">
        <v>5.0725749999999996</v>
      </c>
      <c r="E5535">
        <v>0.5075501</v>
      </c>
      <c r="F5535" t="s">
        <v>58</v>
      </c>
      <c r="G5535">
        <v>-186.2567</v>
      </c>
      <c r="H5535" s="1">
        <v>-3.4694160000000002E-6</v>
      </c>
      <c r="I5535">
        <v>125.4367</v>
      </c>
      <c r="J5535">
        <v>-187.51929999999999</v>
      </c>
      <c r="K5535">
        <v>1.1204080000000001</v>
      </c>
      <c r="L5535">
        <v>87.962069999999997</v>
      </c>
      <c r="M5535">
        <v>3.3560890000000003E-2</v>
      </c>
      <c r="N5535">
        <v>-1.284077E-2</v>
      </c>
      <c r="O5535">
        <v>0.99935419999999997</v>
      </c>
      <c r="P5535">
        <v>2.3045300000000001E-2</v>
      </c>
      <c r="Q5535">
        <v>0.19790820000000001</v>
      </c>
      <c r="R5535">
        <v>0.97994959999999998</v>
      </c>
      <c r="S5535">
        <v>0.1036987</v>
      </c>
      <c r="T5535">
        <v>-9.1066599999999998E-2</v>
      </c>
      <c r="U5535">
        <v>3.0773929999999998</v>
      </c>
      <c r="V5535">
        <v>-9.6448720000000005E-3</v>
      </c>
      <c r="W5535">
        <v>0.21048800000000001</v>
      </c>
      <c r="X5535">
        <v>0.9775488</v>
      </c>
      <c r="Y5535">
        <v>1.095005E-4</v>
      </c>
      <c r="Z5535">
        <v>-1.6715480000000001E-2</v>
      </c>
      <c r="AA5535">
        <v>0.99986030000000004</v>
      </c>
      <c r="AB5535">
        <v>39</v>
      </c>
      <c r="AC5535">
        <v>1.26259999999999</v>
      </c>
      <c r="AD5535">
        <v>-1.1204114694159999</v>
      </c>
      <c r="AE5535">
        <v>37.474629999999998</v>
      </c>
      <c r="AF5535">
        <v>4.0993557164883399E-3</v>
      </c>
      <c r="AG5535">
        <v>-1.1204114694159999</v>
      </c>
      <c r="AH5535">
        <v>37.462444532963303</v>
      </c>
      <c r="AI5535">
        <v>91.713068092684793</v>
      </c>
      <c r="AJ5535">
        <v>89.993730366950999</v>
      </c>
      <c r="AK5535">
        <v>37.479195416268801</v>
      </c>
      <c r="AL5535">
        <v>77.849047431876201</v>
      </c>
      <c r="AM5535">
        <v>90.565283829517199</v>
      </c>
      <c r="AN5535">
        <v>0.99999993904066597</v>
      </c>
    </row>
    <row r="5536" spans="1:40" x14ac:dyDescent="0.25">
      <c r="A5536" t="str">
        <f>"20190303170923719"</f>
        <v>20190303170923719</v>
      </c>
      <c r="B5536" t="str">
        <f>"1551604163709732"</f>
        <v>1551604163709732</v>
      </c>
      <c r="C5536" t="s">
        <v>40</v>
      </c>
      <c r="D5536">
        <v>5.0114299999999998</v>
      </c>
      <c r="E5536">
        <v>0.50710189999999999</v>
      </c>
      <c r="F5536" t="s">
        <v>58</v>
      </c>
      <c r="G5536">
        <v>-186.31479999999999</v>
      </c>
      <c r="H5536" s="1">
        <v>-3.5151309999999998E-6</v>
      </c>
      <c r="I5536">
        <v>125.6439</v>
      </c>
      <c r="J5536">
        <v>-187.50630000000001</v>
      </c>
      <c r="K5536">
        <v>1.120479</v>
      </c>
      <c r="L5536">
        <v>88.346369999999993</v>
      </c>
      <c r="M5536">
        <v>3.3715019999999998E-2</v>
      </c>
      <c r="N5536">
        <v>-1.283891E-2</v>
      </c>
      <c r="O5536">
        <v>0.99934900000000004</v>
      </c>
      <c r="P5536">
        <v>2.246006E-2</v>
      </c>
      <c r="Q5536">
        <v>0.1982526</v>
      </c>
      <c r="R5536">
        <v>0.97989360000000003</v>
      </c>
      <c r="S5536">
        <v>9.8373409999999994E-2</v>
      </c>
      <c r="T5536">
        <v>-9.1506119999999996E-2</v>
      </c>
      <c r="U5536">
        <v>3.0775450000000002</v>
      </c>
      <c r="V5536">
        <v>-1.041274E-2</v>
      </c>
      <c r="W5536">
        <v>0.21082819999999999</v>
      </c>
      <c r="X5536">
        <v>0.97746770000000005</v>
      </c>
      <c r="Y5536">
        <v>-1.7742389999999999E-3</v>
      </c>
      <c r="Z5536">
        <v>-1.6858640000000001E-2</v>
      </c>
      <c r="AA5536">
        <v>0.99985630000000003</v>
      </c>
      <c r="AB5536">
        <v>39</v>
      </c>
      <c r="AC5536">
        <v>1.19150000000001</v>
      </c>
      <c r="AD5536">
        <v>-1.1204825151310001</v>
      </c>
      <c r="AE5536">
        <v>37.297530000000002</v>
      </c>
      <c r="AF5536">
        <v>-6.6707997800208502E-2</v>
      </c>
      <c r="AG5536">
        <v>-1.1204825151310001</v>
      </c>
      <c r="AH5536">
        <v>37.282883417923699</v>
      </c>
      <c r="AI5536">
        <v>91.721419927123506</v>
      </c>
      <c r="AJ5536">
        <v>90.102515747299805</v>
      </c>
      <c r="AK5536">
        <v>37.2997765003783</v>
      </c>
      <c r="AL5536">
        <v>77.829109082252998</v>
      </c>
      <c r="AM5536">
        <v>90.610335757160101</v>
      </c>
      <c r="AN5536">
        <v>1.00000002980641</v>
      </c>
    </row>
    <row r="5537" spans="1:40" x14ac:dyDescent="0.25">
      <c r="A5537" t="str">
        <f>"20190303170923743"</f>
        <v>20190303170923743</v>
      </c>
      <c r="B5537" t="str">
        <f>"1551604163729253"</f>
        <v>1551604163729253</v>
      </c>
      <c r="C5537" t="s">
        <v>40</v>
      </c>
      <c r="D5537">
        <v>5.1237349999999999</v>
      </c>
      <c r="E5537">
        <v>0.50687740000000003</v>
      </c>
      <c r="F5537" t="s">
        <v>58</v>
      </c>
      <c r="G5537">
        <v>-186.34719999999999</v>
      </c>
      <c r="H5537" s="1">
        <v>-3.7571180000000001E-6</v>
      </c>
      <c r="I5537">
        <v>126.527</v>
      </c>
      <c r="J5537">
        <v>-187.49189999999999</v>
      </c>
      <c r="K5537">
        <v>1.1205480000000001</v>
      </c>
      <c r="L5537">
        <v>88.766779999999997</v>
      </c>
      <c r="M5537">
        <v>3.3815640000000001E-2</v>
      </c>
      <c r="N5537">
        <v>-1.2837019999999999E-2</v>
      </c>
      <c r="O5537">
        <v>0.9993457</v>
      </c>
      <c r="P5537">
        <v>2.3385980000000001E-2</v>
      </c>
      <c r="Q5537">
        <v>0.1979824</v>
      </c>
      <c r="R5537">
        <v>0.97992650000000003</v>
      </c>
      <c r="S5537">
        <v>9.3429570000000003E-2</v>
      </c>
      <c r="T5537">
        <v>-9.0320830000000005E-2</v>
      </c>
      <c r="U5537">
        <v>3.0776979999999998</v>
      </c>
      <c r="V5537">
        <v>-9.6214249999999994E-3</v>
      </c>
      <c r="W5537">
        <v>0.2105551</v>
      </c>
      <c r="X5537">
        <v>0.97753469999999998</v>
      </c>
      <c r="Y5537">
        <v>-3.4804089999999998E-3</v>
      </c>
      <c r="Z5537">
        <v>-1.6474929999999999E-2</v>
      </c>
      <c r="AA5537">
        <v>0.99985820000000003</v>
      </c>
      <c r="AB5537">
        <v>39</v>
      </c>
      <c r="AC5537">
        <v>1.1447000000000001</v>
      </c>
      <c r="AD5537">
        <v>-1.1205517571179999</v>
      </c>
      <c r="AE5537">
        <v>37.760219999999897</v>
      </c>
      <c r="AF5537">
        <v>-0.132829063678151</v>
      </c>
      <c r="AG5537">
        <v>-1.1205517571179999</v>
      </c>
      <c r="AH5537">
        <v>37.744124666378198</v>
      </c>
      <c r="AI5537">
        <v>91.700493448082099</v>
      </c>
      <c r="AJ5537">
        <v>90.201634384018305</v>
      </c>
      <c r="AK5537">
        <v>37.760988157510397</v>
      </c>
      <c r="AL5537">
        <v>77.845116191593604</v>
      </c>
      <c r="AM5537">
        <v>90.563917828178603</v>
      </c>
      <c r="AN5537">
        <v>1.0000000558295601</v>
      </c>
    </row>
    <row r="5538" spans="1:40" x14ac:dyDescent="0.25">
      <c r="A5538" t="str">
        <f>"20190303170923764"</f>
        <v>20190303170923764</v>
      </c>
      <c r="B5538" t="str">
        <f>"1551604163759509"</f>
        <v>1551604163759509</v>
      </c>
      <c r="C5538" t="s">
        <v>40</v>
      </c>
      <c r="D5538">
        <v>5.0093389999999998</v>
      </c>
      <c r="E5538">
        <v>0.50649650000000002</v>
      </c>
      <c r="F5538" t="s">
        <v>58</v>
      </c>
      <c r="G5538">
        <v>-186.33709999999999</v>
      </c>
      <c r="H5538" s="1">
        <v>-3.7123949999999999E-6</v>
      </c>
      <c r="I5538">
        <v>126.4153</v>
      </c>
      <c r="J5538">
        <v>-187.4794</v>
      </c>
      <c r="K5538">
        <v>1.1206050000000001</v>
      </c>
      <c r="L5538">
        <v>89.134860000000003</v>
      </c>
      <c r="M5538">
        <v>3.3862049999999998E-2</v>
      </c>
      <c r="N5538">
        <v>-1.283546E-2</v>
      </c>
      <c r="O5538">
        <v>0.99934409999999896</v>
      </c>
      <c r="P5538">
        <v>2.4260360000000002E-2</v>
      </c>
      <c r="Q5538">
        <v>0.1975847</v>
      </c>
      <c r="R5538">
        <v>0.97998560000000001</v>
      </c>
      <c r="S5538">
        <v>9.4406130000000005E-2</v>
      </c>
      <c r="T5538">
        <v>-9.1603039999999997E-2</v>
      </c>
      <c r="U5538">
        <v>3.0776979999999998</v>
      </c>
      <c r="V5538">
        <v>-8.8223260000000001E-3</v>
      </c>
      <c r="W5538">
        <v>0.21015510000000001</v>
      </c>
      <c r="X5538">
        <v>0.97762819999999995</v>
      </c>
      <c r="Y5538">
        <v>-3.2101529999999999E-3</v>
      </c>
      <c r="Z5538">
        <v>-1.6892109999999998E-2</v>
      </c>
      <c r="AA5538">
        <v>0.99985219999999997</v>
      </c>
      <c r="AB5538">
        <v>39</v>
      </c>
      <c r="AC5538">
        <v>1.1423000000000001</v>
      </c>
      <c r="AD5538">
        <v>-1.1206087123949999</v>
      </c>
      <c r="AE5538">
        <v>37.280439999999999</v>
      </c>
      <c r="AF5538">
        <v>-0.120742319460914</v>
      </c>
      <c r="AG5538">
        <v>-1.1206087123949999</v>
      </c>
      <c r="AH5538">
        <v>37.264102645970702</v>
      </c>
      <c r="AI5538">
        <v>91.722474564123004</v>
      </c>
      <c r="AJ5538">
        <v>90.185647865169202</v>
      </c>
      <c r="AK5538">
        <v>37.2811438746646</v>
      </c>
      <c r="AL5538">
        <v>77.868557712440705</v>
      </c>
      <c r="AM5538">
        <v>90.517035335526003</v>
      </c>
      <c r="AN5538">
        <v>0.99999994846364804</v>
      </c>
    </row>
    <row r="5539" spans="1:40" x14ac:dyDescent="0.25">
      <c r="A5539" t="str">
        <f>"20190303170923787"</f>
        <v>20190303170923787</v>
      </c>
      <c r="B5539" t="str">
        <f>"1551604163779028"</f>
        <v>1551604163779028</v>
      </c>
      <c r="C5539" t="s">
        <v>40</v>
      </c>
      <c r="D5539">
        <v>5.0695050000000004</v>
      </c>
      <c r="E5539">
        <v>0.50624209999999903</v>
      </c>
      <c r="F5539" t="s">
        <v>58</v>
      </c>
      <c r="G5539">
        <v>-186.33199999999999</v>
      </c>
      <c r="H5539" s="1">
        <v>-3.6971199999999998E-6</v>
      </c>
      <c r="I5539">
        <v>126.35380000000001</v>
      </c>
      <c r="J5539">
        <v>-187.46510000000001</v>
      </c>
      <c r="K5539">
        <v>1.1206510000000001</v>
      </c>
      <c r="L5539">
        <v>89.553219999999996</v>
      </c>
      <c r="M5539">
        <v>3.3888969999999997E-2</v>
      </c>
      <c r="N5539">
        <v>-1.2836770000000001E-2</v>
      </c>
      <c r="O5539">
        <v>0.99934319999999999</v>
      </c>
      <c r="P5539">
        <v>2.480398E-2</v>
      </c>
      <c r="Q5539">
        <v>0.19741310000000001</v>
      </c>
      <c r="R5539">
        <v>0.9800065</v>
      </c>
      <c r="S5539">
        <v>9.4879149999999995E-2</v>
      </c>
      <c r="T5539">
        <v>-9.2662330000000001E-2</v>
      </c>
      <c r="U5539">
        <v>3.0776059999999998</v>
      </c>
      <c r="V5539">
        <v>-8.3326939999999999E-3</v>
      </c>
      <c r="W5539">
        <v>0.20998449999999999</v>
      </c>
      <c r="X5539">
        <v>0.97766920000000002</v>
      </c>
      <c r="Y5539">
        <v>-3.0828650000000002E-3</v>
      </c>
      <c r="Z5539">
        <v>-1.7235070000000002E-2</v>
      </c>
      <c r="AA5539">
        <v>0.99984669999999998</v>
      </c>
      <c r="AB5539">
        <v>39</v>
      </c>
      <c r="AC5539">
        <v>1.13310000000001</v>
      </c>
      <c r="AD5539">
        <v>-1.12065469712</v>
      </c>
      <c r="AE5539">
        <v>36.800579999999997</v>
      </c>
      <c r="AF5539">
        <v>-0.114681178609446</v>
      </c>
      <c r="AG5539">
        <v>-1.12065469712</v>
      </c>
      <c r="AH5539">
        <v>36.783762782873602</v>
      </c>
      <c r="AI5539">
        <v>91.745025879345405</v>
      </c>
      <c r="AJ5539">
        <v>90.178631160528994</v>
      </c>
      <c r="AK5539">
        <v>36.801008453432601</v>
      </c>
      <c r="AL5539">
        <v>77.878556023170304</v>
      </c>
      <c r="AM5539">
        <v>90.488321242248901</v>
      </c>
      <c r="AN5539">
        <v>0.99999999432909303</v>
      </c>
    </row>
    <row r="5540" spans="1:40" x14ac:dyDescent="0.25">
      <c r="A5540" t="str">
        <f>"20190303170923811"</f>
        <v>20190303170923811</v>
      </c>
      <c r="B5540" t="str">
        <f>"1551604163799525"</f>
        <v>1551604163799525</v>
      </c>
      <c r="C5540" t="s">
        <v>40</v>
      </c>
      <c r="D5540">
        <v>5.0962120000000004</v>
      </c>
      <c r="E5540">
        <v>0.50617109999999998</v>
      </c>
      <c r="F5540" t="s">
        <v>58</v>
      </c>
      <c r="G5540">
        <v>-186.32640000000001</v>
      </c>
      <c r="H5540" s="1">
        <v>-3.7052819999999998E-6</v>
      </c>
      <c r="I5540">
        <v>126.3822</v>
      </c>
      <c r="J5540">
        <v>-187.45169999999999</v>
      </c>
      <c r="K5540">
        <v>1.1206879999999999</v>
      </c>
      <c r="L5540">
        <v>89.945099999999996</v>
      </c>
      <c r="M5540">
        <v>3.3901199999999902E-2</v>
      </c>
      <c r="N5540">
        <v>-1.284599E-2</v>
      </c>
      <c r="O5540">
        <v>0.99934259999999997</v>
      </c>
      <c r="P5540">
        <v>2.5835960000000002E-2</v>
      </c>
      <c r="Q5540">
        <v>0.19712650000000001</v>
      </c>
      <c r="R5540">
        <v>0.98003759999999995</v>
      </c>
      <c r="S5540">
        <v>9.5153810000000005E-2</v>
      </c>
      <c r="T5540">
        <v>-9.3648079999999995E-2</v>
      </c>
      <c r="U5540">
        <v>3.0776370000000002</v>
      </c>
      <c r="V5540">
        <v>-7.3331619999999998E-3</v>
      </c>
      <c r="W5540">
        <v>0.20970620000000001</v>
      </c>
      <c r="X5540">
        <v>0.97773690000000002</v>
      </c>
      <c r="Y5540">
        <v>-3.0064499999999999E-3</v>
      </c>
      <c r="Z5540">
        <v>-1.7545120000000001E-2</v>
      </c>
      <c r="AA5540">
        <v>0.9998416</v>
      </c>
      <c r="AB5540">
        <v>39</v>
      </c>
      <c r="AC5540">
        <v>1.12529999999998</v>
      </c>
      <c r="AD5540">
        <v>-1.120691705282</v>
      </c>
      <c r="AE5540">
        <v>36.437100000000001</v>
      </c>
      <c r="AF5540">
        <v>-0.110605793121129</v>
      </c>
      <c r="AG5540">
        <v>-1.120691705282</v>
      </c>
      <c r="AH5540">
        <v>36.419884397355602</v>
      </c>
      <c r="AI5540">
        <v>91.762508445600901</v>
      </c>
      <c r="AJ5540">
        <v>90.174004551563399</v>
      </c>
      <c r="AK5540">
        <v>36.437290830363601</v>
      </c>
      <c r="AL5540">
        <v>77.894864079012393</v>
      </c>
      <c r="AM5540">
        <v>90.429718214660099</v>
      </c>
      <c r="AN5540">
        <v>0.999999955602483</v>
      </c>
    </row>
    <row r="5541" spans="1:40" x14ac:dyDescent="0.25">
      <c r="A5541" t="str">
        <f>"20190303170923834"</f>
        <v>20190303170923834</v>
      </c>
      <c r="B5541" t="str">
        <f>"1551604163819045"</f>
        <v>1551604163819045</v>
      </c>
      <c r="C5541" t="s">
        <v>40</v>
      </c>
      <c r="D5541">
        <v>4.9778880000000001</v>
      </c>
      <c r="E5541">
        <v>0.54310829999999999</v>
      </c>
      <c r="F5541" t="s">
        <v>58</v>
      </c>
      <c r="G5541">
        <v>-186.28809999999999</v>
      </c>
      <c r="H5541" s="1">
        <v>-3.712493E-6</v>
      </c>
      <c r="I5541">
        <v>126.38939999999999</v>
      </c>
      <c r="J5541">
        <v>-187.43709999999999</v>
      </c>
      <c r="K5541">
        <v>1.1207240000000001</v>
      </c>
      <c r="L5541">
        <v>90.374790000000004</v>
      </c>
      <c r="M5541">
        <v>3.390729E-2</v>
      </c>
      <c r="N5541">
        <v>-1.286239E-2</v>
      </c>
      <c r="O5541">
        <v>0.99934219999999896</v>
      </c>
      <c r="P5541">
        <v>2.6521570000000001E-2</v>
      </c>
      <c r="Q5541">
        <v>0.19716919999999999</v>
      </c>
      <c r="R5541">
        <v>0.98001070000000001</v>
      </c>
      <c r="S5541">
        <v>9.8266599999999996E-2</v>
      </c>
      <c r="T5541">
        <v>-9.4636919999999999E-2</v>
      </c>
      <c r="U5541">
        <v>3.0775450000000002</v>
      </c>
      <c r="V5541">
        <v>-6.6687099999999996E-3</v>
      </c>
      <c r="W5541">
        <v>0.20976449999999999</v>
      </c>
      <c r="X5541">
        <v>0.97772919999999996</v>
      </c>
      <c r="Y5541">
        <v>-2.0017839999999999E-3</v>
      </c>
      <c r="Z5541">
        <v>-1.7850000000000001E-2</v>
      </c>
      <c r="AA5541">
        <v>0.99983869999999997</v>
      </c>
      <c r="AB5541">
        <v>39</v>
      </c>
      <c r="AC5541">
        <v>1.149</v>
      </c>
      <c r="AD5541">
        <v>-1.120727712493</v>
      </c>
      <c r="AE5541">
        <v>36.014609999999898</v>
      </c>
      <c r="AF5541">
        <v>-7.2849197226110704E-2</v>
      </c>
      <c r="AG5541">
        <v>-1.120727712493</v>
      </c>
      <c r="AH5541">
        <v>35.998036151274398</v>
      </c>
      <c r="AI5541">
        <v>91.783211224975105</v>
      </c>
      <c r="AJ5541">
        <v>90.115949265301694</v>
      </c>
      <c r="AK5541">
        <v>36.015551423788402</v>
      </c>
      <c r="AL5541">
        <v>77.891448330253894</v>
      </c>
      <c r="AM5541">
        <v>90.3907861327489</v>
      </c>
      <c r="AN5541">
        <v>1.0000000028429701</v>
      </c>
    </row>
    <row r="5542" spans="1:40" x14ac:dyDescent="0.25">
      <c r="A5542" t="str">
        <f>"20190303170923875"</f>
        <v>20190303170923875</v>
      </c>
      <c r="B5542" t="str">
        <f>"1551604163869797"</f>
        <v>1551604163869797</v>
      </c>
      <c r="C5542" t="s">
        <v>40</v>
      </c>
      <c r="D5542">
        <v>4.9460259999999998</v>
      </c>
      <c r="E5542">
        <v>0.55919839999999998</v>
      </c>
      <c r="F5542" t="s">
        <v>43</v>
      </c>
      <c r="G5542">
        <v>-184.45249999999999</v>
      </c>
      <c r="H5542" s="1">
        <v>-2.872139E-6</v>
      </c>
      <c r="I5542">
        <v>113.75060000000001</v>
      </c>
      <c r="J5542">
        <v>-187.41300000000001</v>
      </c>
      <c r="K5542">
        <v>1.120768</v>
      </c>
      <c r="L5542">
        <v>91.083309999999997</v>
      </c>
      <c r="M5542">
        <v>3.3917089999999997E-2</v>
      </c>
      <c r="N5542">
        <v>-1.2891929999999999E-2</v>
      </c>
      <c r="O5542">
        <v>0.99934149999999999</v>
      </c>
      <c r="P5542">
        <v>2.594424E-2</v>
      </c>
      <c r="Q5542">
        <v>0.19690469999999999</v>
      </c>
      <c r="R5542">
        <v>0.98007929999999999</v>
      </c>
      <c r="S5542">
        <v>0.39328000000000002</v>
      </c>
      <c r="T5542">
        <v>-0.147679799999999</v>
      </c>
      <c r="U5542">
        <v>3.0802610000000001</v>
      </c>
      <c r="V5542">
        <v>-7.2765649999999996E-3</v>
      </c>
      <c r="W5542">
        <v>0.20952899999999999</v>
      </c>
      <c r="X5542">
        <v>0.97777530000000001</v>
      </c>
      <c r="Y5542">
        <v>9.2817469999999999E-2</v>
      </c>
      <c r="Z5542">
        <v>-3.4698300000000001E-2</v>
      </c>
      <c r="AA5542">
        <v>0.99507840000000003</v>
      </c>
      <c r="AB5542">
        <v>39</v>
      </c>
      <c r="AC5542">
        <v>2.9604999999999899</v>
      </c>
      <c r="AD5542">
        <v>-1.120770872139</v>
      </c>
      <c r="AE5542">
        <v>22.667290000000001</v>
      </c>
      <c r="AF5542">
        <v>2.1846725836232501</v>
      </c>
      <c r="AG5542">
        <v>-1.120770872139</v>
      </c>
      <c r="AH5542">
        <v>22.7001008035665</v>
      </c>
      <c r="AI5542">
        <v>92.8135871834955</v>
      </c>
      <c r="AJ5542">
        <v>84.502747232948195</v>
      </c>
      <c r="AK5542">
        <v>22.8325096767208</v>
      </c>
      <c r="AL5542">
        <v>77.905247431865902</v>
      </c>
      <c r="AM5542">
        <v>90.426385047203496</v>
      </c>
      <c r="AN5542">
        <v>0.99999994376464296</v>
      </c>
    </row>
    <row r="5543" spans="1:40" x14ac:dyDescent="0.25">
      <c r="A5543" t="str">
        <f>"20190303170923899"</f>
        <v>20190303170923899</v>
      </c>
      <c r="B5543" t="str">
        <f>"1551604163889317"</f>
        <v>1551604163889317</v>
      </c>
      <c r="C5543" t="s">
        <v>40</v>
      </c>
      <c r="D5543">
        <v>4.9303280000000003</v>
      </c>
      <c r="E5543">
        <v>0.5613127</v>
      </c>
      <c r="F5543" t="s">
        <v>43</v>
      </c>
      <c r="G5543">
        <v>-183.07380000000001</v>
      </c>
      <c r="H5543" s="1">
        <v>-4.2640460000000002E-6</v>
      </c>
      <c r="I5543">
        <v>116.7085</v>
      </c>
      <c r="J5543">
        <v>-187.39859999999999</v>
      </c>
      <c r="K5543">
        <v>1.1207929999999999</v>
      </c>
      <c r="L5543">
        <v>91.506709999999998</v>
      </c>
      <c r="M5543">
        <v>3.3931330000000003E-2</v>
      </c>
      <c r="N5543">
        <v>-1.29132999999999E-2</v>
      </c>
      <c r="O5543">
        <v>0.99934069999999997</v>
      </c>
      <c r="P5543">
        <v>2.5463599999999999E-2</v>
      </c>
      <c r="Q5543">
        <v>0.19687180000000001</v>
      </c>
      <c r="R5543">
        <v>0.98009849999999998</v>
      </c>
      <c r="S5543">
        <v>0.52056880000000005</v>
      </c>
      <c r="T5543">
        <v>-0.13445760000000001</v>
      </c>
      <c r="U5543">
        <v>3.0742189999999998</v>
      </c>
      <c r="V5543">
        <v>-7.7810569999999897E-3</v>
      </c>
      <c r="W5543">
        <v>0.20951639999999999</v>
      </c>
      <c r="X5543">
        <v>0.97777409999999998</v>
      </c>
      <c r="Y5543">
        <v>0.13327849999999999</v>
      </c>
      <c r="Z5543">
        <v>-3.0288260000000001E-2</v>
      </c>
      <c r="AA5543">
        <v>0.99061569999999999</v>
      </c>
      <c r="AB5543">
        <v>39</v>
      </c>
      <c r="AC5543">
        <v>4.3247999999999802</v>
      </c>
      <c r="AD5543">
        <v>-1.120797264046</v>
      </c>
      <c r="AE5543">
        <v>25.201789999999999</v>
      </c>
      <c r="AF5543">
        <v>3.4604591793852899</v>
      </c>
      <c r="AG5543">
        <v>-1.120797264046</v>
      </c>
      <c r="AH5543">
        <v>25.2854540276427</v>
      </c>
      <c r="AI5543">
        <v>92.514609380875697</v>
      </c>
      <c r="AJ5543">
        <v>82.207155832713994</v>
      </c>
      <c r="AK5543">
        <v>25.5457462138673</v>
      </c>
      <c r="AL5543">
        <v>77.905985561255093</v>
      </c>
      <c r="AM5543">
        <v>90.455946128573402</v>
      </c>
      <c r="AN5543">
        <v>0.99999992867390097</v>
      </c>
    </row>
    <row r="5544" spans="1:40" x14ac:dyDescent="0.25">
      <c r="A5544" t="str">
        <f>"20190303170923920"</f>
        <v>20190303170923920</v>
      </c>
      <c r="B5544" t="str">
        <f>"1551604163909813"</f>
        <v>1551604163909813</v>
      </c>
      <c r="C5544" t="s">
        <v>40</v>
      </c>
      <c r="D5544">
        <v>4.9204230000000004</v>
      </c>
      <c r="E5544">
        <v>0.56259389999999998</v>
      </c>
      <c r="F5544" t="s">
        <v>43</v>
      </c>
      <c r="G5544">
        <v>-182.98070000000001</v>
      </c>
      <c r="H5544" s="1">
        <v>-4.3723560000000003E-6</v>
      </c>
      <c r="I5544">
        <v>116.9225</v>
      </c>
      <c r="J5544">
        <v>-187.38570000000001</v>
      </c>
      <c r="K5544">
        <v>1.1208089999999999</v>
      </c>
      <c r="L5544">
        <v>91.885679999999994</v>
      </c>
      <c r="M5544">
        <v>3.3942479999999997E-2</v>
      </c>
      <c r="N5544">
        <v>-1.294004E-2</v>
      </c>
      <c r="O5544">
        <v>0.99934000000000001</v>
      </c>
      <c r="P5544">
        <v>2.5455370000000001E-2</v>
      </c>
      <c r="Q5544">
        <v>0.19637760000000001</v>
      </c>
      <c r="R5544">
        <v>0.98019789999999996</v>
      </c>
      <c r="S5544">
        <v>0.53437809999999997</v>
      </c>
      <c r="T5544">
        <v>-0.1355711</v>
      </c>
      <c r="U5544">
        <v>3.0742799999999999</v>
      </c>
      <c r="V5544">
        <v>-7.8084290000000004E-3</v>
      </c>
      <c r="W5544">
        <v>0.20905009999999999</v>
      </c>
      <c r="X5544">
        <v>0.97787369999999996</v>
      </c>
      <c r="Y5544">
        <v>0.1375818</v>
      </c>
      <c r="Z5544">
        <v>-3.0589379999999999E-2</v>
      </c>
      <c r="AA5544">
        <v>0.99001799999999995</v>
      </c>
      <c r="AB5544">
        <v>39</v>
      </c>
      <c r="AC5544">
        <v>4.4050000000000002</v>
      </c>
      <c r="AD5544">
        <v>-1.1208133723560001</v>
      </c>
      <c r="AE5544">
        <v>25.036819999999899</v>
      </c>
      <c r="AF5544">
        <v>3.5456860569955202</v>
      </c>
      <c r="AG5544">
        <v>-1.1208133723560001</v>
      </c>
      <c r="AH5544">
        <v>25.123084061212801</v>
      </c>
      <c r="AI5544">
        <v>92.529402876012</v>
      </c>
      <c r="AJ5544">
        <v>81.966754045607104</v>
      </c>
      <c r="AK5544">
        <v>25.3968002901387</v>
      </c>
      <c r="AL5544">
        <v>77.933307825076398</v>
      </c>
      <c r="AM5544">
        <v>90.457503374788104</v>
      </c>
      <c r="AN5544">
        <v>0.99999994451257201</v>
      </c>
    </row>
    <row r="5545" spans="1:40" x14ac:dyDescent="0.25">
      <c r="A5545" t="str">
        <f>"20190303170923947"</f>
        <v>20190303170923947</v>
      </c>
      <c r="B5545" t="str">
        <f>"1551604163939093"</f>
        <v>1551604163939093</v>
      </c>
      <c r="C5545" t="s">
        <v>40</v>
      </c>
      <c r="D5545">
        <v>5.0188689999999996</v>
      </c>
      <c r="E5545">
        <v>0.56427989999999995</v>
      </c>
      <c r="F5545" t="s">
        <v>43</v>
      </c>
      <c r="G5545">
        <v>-182.80690000000001</v>
      </c>
      <c r="H5545" s="1">
        <v>-4.7416499999999997E-6</v>
      </c>
      <c r="I5545">
        <v>117.7114</v>
      </c>
      <c r="J5545">
        <v>-187.36969999999999</v>
      </c>
      <c r="K5545">
        <v>1.120825</v>
      </c>
      <c r="L5545">
        <v>92.356449999999995</v>
      </c>
      <c r="M5545">
        <v>3.3952459999999997E-2</v>
      </c>
      <c r="N5545">
        <v>-1.300073E-2</v>
      </c>
      <c r="O5545">
        <v>0.99933890000000003</v>
      </c>
      <c r="P5545">
        <v>2.4924950000000001E-2</v>
      </c>
      <c r="Q5545">
        <v>0.19633030000000001</v>
      </c>
      <c r="R5545">
        <v>0.98022100000000001</v>
      </c>
      <c r="S5545">
        <v>0.54486080000000003</v>
      </c>
      <c r="T5545">
        <v>-0.1333733</v>
      </c>
      <c r="U5545">
        <v>3.0731809999999999</v>
      </c>
      <c r="V5545">
        <v>-8.3525630000000003E-3</v>
      </c>
      <c r="W5545">
        <v>0.20906179999999999</v>
      </c>
      <c r="X5545">
        <v>0.97786680000000004</v>
      </c>
      <c r="Y5545">
        <v>0.14091010000000001</v>
      </c>
      <c r="Z5545">
        <v>-2.9818130000000002E-2</v>
      </c>
      <c r="AA5545">
        <v>0.98957320000000004</v>
      </c>
      <c r="AB5545">
        <v>39</v>
      </c>
      <c r="AC5545">
        <v>4.5627999999999798</v>
      </c>
      <c r="AD5545">
        <v>-1.1208297416499999</v>
      </c>
      <c r="AE5545">
        <v>25.354949999999999</v>
      </c>
      <c r="AF5545">
        <v>3.6922443914785501</v>
      </c>
      <c r="AG5545">
        <v>-1.1208297416499999</v>
      </c>
      <c r="AH5545">
        <v>25.447093385737698</v>
      </c>
      <c r="AI5545">
        <v>92.495888744526695</v>
      </c>
      <c r="AJ5545">
        <v>81.744285408217607</v>
      </c>
      <c r="AK5545">
        <v>25.737977576698398</v>
      </c>
      <c r="AL5545">
        <v>77.932623487275293</v>
      </c>
      <c r="AM5545">
        <v>90.489386662797898</v>
      </c>
      <c r="AN5545">
        <v>1.0000000400350699</v>
      </c>
    </row>
    <row r="5546" spans="1:40" x14ac:dyDescent="0.25">
      <c r="A5546" t="str">
        <f>"20190303170923966"</f>
        <v>20190303170923966</v>
      </c>
      <c r="B5546" t="str">
        <f>"1551604163959589"</f>
        <v>1551604163959589</v>
      </c>
      <c r="C5546" t="s">
        <v>40</v>
      </c>
      <c r="D5546">
        <v>4.9052389999999999</v>
      </c>
      <c r="E5546">
        <v>0.56490569999999996</v>
      </c>
      <c r="F5546" t="s">
        <v>58</v>
      </c>
      <c r="G5546">
        <v>-182.32679999999999</v>
      </c>
      <c r="H5546" s="1">
        <v>-2.1845789999999999E-6</v>
      </c>
      <c r="I5546">
        <v>120.13979999999999</v>
      </c>
      <c r="J5546">
        <v>-187.3579</v>
      </c>
      <c r="K5546">
        <v>1.120846</v>
      </c>
      <c r="L5546">
        <v>92.70102</v>
      </c>
      <c r="M5546">
        <v>3.3958519999999999E-2</v>
      </c>
      <c r="N5546">
        <v>-1.307548E-2</v>
      </c>
      <c r="O5546">
        <v>0.9993377</v>
      </c>
      <c r="P5546">
        <v>2.532825E-2</v>
      </c>
      <c r="Q5546">
        <v>0.1959835</v>
      </c>
      <c r="R5546">
        <v>0.98028000000000004</v>
      </c>
      <c r="S5546">
        <v>0.55743409999999904</v>
      </c>
      <c r="T5546">
        <v>-0.1238961</v>
      </c>
      <c r="U5546">
        <v>3.071167</v>
      </c>
      <c r="V5546">
        <v>-7.9585609999999994E-3</v>
      </c>
      <c r="W5546">
        <v>0.208789</v>
      </c>
      <c r="X5546">
        <v>0.97792829999999997</v>
      </c>
      <c r="Y5546">
        <v>0.144956</v>
      </c>
      <c r="Z5546">
        <v>-2.6708639999999999E-2</v>
      </c>
      <c r="AA5546">
        <v>0.9890776</v>
      </c>
      <c r="AB5546">
        <v>39</v>
      </c>
      <c r="AC5546">
        <v>5.0311000000000003</v>
      </c>
      <c r="AD5546">
        <v>-1.1208481845789999</v>
      </c>
      <c r="AE5546">
        <v>27.438779999999898</v>
      </c>
      <c r="AF5546">
        <v>4.0897354075566499</v>
      </c>
      <c r="AG5546">
        <v>-1.1208481845789999</v>
      </c>
      <c r="AH5546">
        <v>27.5493402719842</v>
      </c>
      <c r="AI5546">
        <v>92.304572898260503</v>
      </c>
      <c r="AJ5546">
        <v>81.556035375542095</v>
      </c>
      <c r="AK5546">
        <v>27.8737938892119</v>
      </c>
      <c r="AL5546">
        <v>77.948605669878901</v>
      </c>
      <c r="AM5546">
        <v>90.466273335077503</v>
      </c>
      <c r="AN5546">
        <v>0.99999997257754003</v>
      </c>
    </row>
    <row r="5547" spans="1:40" x14ac:dyDescent="0.25">
      <c r="A5547" t="str">
        <f>"20190303170923990"</f>
        <v>20190303170923990</v>
      </c>
      <c r="B5547" t="str">
        <f>"1551604163979109"</f>
        <v>1551604163979109</v>
      </c>
      <c r="C5547" t="s">
        <v>40</v>
      </c>
      <c r="D5547">
        <v>4.8806260000000004</v>
      </c>
      <c r="E5547">
        <v>0.5655597</v>
      </c>
      <c r="F5547" t="s">
        <v>58</v>
      </c>
      <c r="G5547">
        <v>-182.14160000000001</v>
      </c>
      <c r="H5547" s="1">
        <v>-2.5181329999999999E-6</v>
      </c>
      <c r="I5547">
        <v>121.105</v>
      </c>
      <c r="J5547">
        <v>-187.34450000000001</v>
      </c>
      <c r="K5547">
        <v>1.12087</v>
      </c>
      <c r="L5547">
        <v>93.096710000000002</v>
      </c>
      <c r="M5547">
        <v>3.396598E-2</v>
      </c>
      <c r="N5547">
        <v>-1.3189279999999999E-2</v>
      </c>
      <c r="O5547">
        <v>0.99933590000000005</v>
      </c>
      <c r="P5547">
        <v>2.5905669999999999E-2</v>
      </c>
      <c r="Q5547">
        <v>0.195468</v>
      </c>
      <c r="R5547">
        <v>0.98036789999999996</v>
      </c>
      <c r="S5547">
        <v>0.56379699999999999</v>
      </c>
      <c r="T5547">
        <v>-0.1211444</v>
      </c>
      <c r="U5547">
        <v>3.0699770000000002</v>
      </c>
      <c r="V5547">
        <v>-7.3935719999999898E-3</v>
      </c>
      <c r="W5547">
        <v>0.20838660000000001</v>
      </c>
      <c r="X5547">
        <v>0.97801859999999996</v>
      </c>
      <c r="Y5547">
        <v>0.14700379999999999</v>
      </c>
      <c r="Z5547">
        <v>-2.5715829999999999E-2</v>
      </c>
      <c r="AA5547">
        <v>0.98880159999999995</v>
      </c>
      <c r="AB5547">
        <v>39</v>
      </c>
      <c r="AC5547">
        <v>5.2028999999999996</v>
      </c>
      <c r="AD5547">
        <v>-1.1208725181329999</v>
      </c>
      <c r="AE5547">
        <v>28.008289999999999</v>
      </c>
      <c r="AF5547">
        <v>4.2419185099845302</v>
      </c>
      <c r="AG5547">
        <v>-1.1208725181329999</v>
      </c>
      <c r="AH5547">
        <v>28.1253216344465</v>
      </c>
      <c r="AI5547">
        <v>92.256693252302796</v>
      </c>
      <c r="AJ5547">
        <v>81.423176699363907</v>
      </c>
      <c r="AK5547">
        <v>28.4654869076276</v>
      </c>
      <c r="AL5547">
        <v>77.972180511187403</v>
      </c>
      <c r="AM5547">
        <v>90.433133277288604</v>
      </c>
      <c r="AN5547">
        <v>1.0000000109562099</v>
      </c>
    </row>
    <row r="5548" spans="1:40" x14ac:dyDescent="0.25">
      <c r="A5548" t="str">
        <f>"20190303170924013"</f>
        <v>20190303170924013</v>
      </c>
      <c r="B5548" t="str">
        <f>"1551604163999606"</f>
        <v>1551604163999606</v>
      </c>
      <c r="C5548" t="s">
        <v>40</v>
      </c>
      <c r="D5548">
        <v>4.8601159999999997</v>
      </c>
      <c r="E5548">
        <v>0.56601599999999996</v>
      </c>
      <c r="F5548" t="s">
        <v>58</v>
      </c>
      <c r="G5548">
        <v>-181.9975</v>
      </c>
      <c r="H5548" s="1">
        <v>-2.775187E-6</v>
      </c>
      <c r="I5548">
        <v>121.8475</v>
      </c>
      <c r="J5548">
        <v>-187.3306</v>
      </c>
      <c r="K5548">
        <v>1.1208979999999999</v>
      </c>
      <c r="L5548">
        <v>93.504059999999996</v>
      </c>
      <c r="M5548">
        <v>3.397472E-2</v>
      </c>
      <c r="N5548">
        <v>-1.3340319999999999E-2</v>
      </c>
      <c r="O5548">
        <v>0.99933369999999999</v>
      </c>
      <c r="P5548">
        <v>2.563319E-2</v>
      </c>
      <c r="Q5548">
        <v>0.19540660000000001</v>
      </c>
      <c r="R5548">
        <v>0.98038729999999996</v>
      </c>
      <c r="S5548">
        <v>0.57073969999999996</v>
      </c>
      <c r="T5548">
        <v>-0.11964139999999999</v>
      </c>
      <c r="U5548">
        <v>3.068848</v>
      </c>
      <c r="V5548">
        <v>-7.6769719999999998E-3</v>
      </c>
      <c r="W5548">
        <v>0.20847280000000001</v>
      </c>
      <c r="X5548">
        <v>0.97799800000000003</v>
      </c>
      <c r="Y5548">
        <v>0.1492243</v>
      </c>
      <c r="Z5548">
        <v>-2.5083859999999999E-2</v>
      </c>
      <c r="AA5548">
        <v>0.98848519999999895</v>
      </c>
      <c r="AB5548">
        <v>39</v>
      </c>
      <c r="AC5548">
        <v>5.3331</v>
      </c>
      <c r="AD5548">
        <v>-1.1209007751869999</v>
      </c>
      <c r="AE5548">
        <v>28.343440000000001</v>
      </c>
      <c r="AF5548">
        <v>4.3603881766109698</v>
      </c>
      <c r="AG5548">
        <v>-1.1209007751869999</v>
      </c>
      <c r="AH5548">
        <v>28.465284233507901</v>
      </c>
      <c r="AI5548">
        <v>92.229043842606799</v>
      </c>
      <c r="AJ5548">
        <v>81.290977431300007</v>
      </c>
      <c r="AK5548">
        <v>28.819122299142599</v>
      </c>
      <c r="AL5548">
        <v>77.967130160428795</v>
      </c>
      <c r="AM5548">
        <v>90.4497443359366</v>
      </c>
      <c r="AN5548">
        <v>0.99999996612146302</v>
      </c>
    </row>
    <row r="5549" spans="1:40" x14ac:dyDescent="0.25">
      <c r="A5549" t="str">
        <f>"20190303170924035"</f>
        <v>20190303170924035</v>
      </c>
      <c r="B5549" t="str">
        <f>"1551604164029861"</f>
        <v>1551604164029861</v>
      </c>
      <c r="C5549" t="s">
        <v>40</v>
      </c>
      <c r="D5549">
        <v>4.8378699999999997</v>
      </c>
      <c r="E5549">
        <v>0.56675969999999998</v>
      </c>
      <c r="F5549" t="s">
        <v>58</v>
      </c>
      <c r="G5549">
        <v>-181.81139999999999</v>
      </c>
      <c r="H5549" s="1">
        <v>-3.1612669999999998E-6</v>
      </c>
      <c r="I5549">
        <v>122.9903</v>
      </c>
      <c r="J5549">
        <v>-187.31700000000001</v>
      </c>
      <c r="K5549">
        <v>1.120924</v>
      </c>
      <c r="L5549">
        <v>93.903869999999998</v>
      </c>
      <c r="M5549">
        <v>3.3984420000000001E-2</v>
      </c>
      <c r="N5549">
        <v>-1.350204E-2</v>
      </c>
      <c r="O5549">
        <v>0.99933119999999998</v>
      </c>
      <c r="P5549">
        <v>2.5192229999999999E-2</v>
      </c>
      <c r="Q5549">
        <v>0.1948454</v>
      </c>
      <c r="R5549">
        <v>0.9805104</v>
      </c>
      <c r="S5549">
        <v>0.57431030000000005</v>
      </c>
      <c r="T5549">
        <v>-0.1166382</v>
      </c>
      <c r="U5549">
        <v>3.0682680000000002</v>
      </c>
      <c r="V5549">
        <v>-8.1323679999999992E-3</v>
      </c>
      <c r="W5549">
        <v>0.20807129999999999</v>
      </c>
      <c r="X5549">
        <v>0.9780799</v>
      </c>
      <c r="Y5549">
        <v>0.15036459999999999</v>
      </c>
      <c r="Z5549">
        <v>-2.396034E-2</v>
      </c>
      <c r="AA5549">
        <v>0.9883402</v>
      </c>
      <c r="AB5549">
        <v>39</v>
      </c>
      <c r="AC5549">
        <v>5.50560000000001</v>
      </c>
      <c r="AD5549">
        <v>-1.120927161267</v>
      </c>
      <c r="AE5549">
        <v>29.08643</v>
      </c>
      <c r="AF5549">
        <v>4.5073810120936599</v>
      </c>
      <c r="AG5549">
        <v>-1.120927161267</v>
      </c>
      <c r="AH5549">
        <v>29.214859177885899</v>
      </c>
      <c r="AI5549">
        <v>92.171600298901296</v>
      </c>
      <c r="AJ5549">
        <v>81.229340932768196</v>
      </c>
      <c r="AK5549">
        <v>29.581767325039099</v>
      </c>
      <c r="AL5549">
        <v>77.990651163206493</v>
      </c>
      <c r="AM5549">
        <v>90.476381967135495</v>
      </c>
      <c r="AN5549">
        <v>1.0000000460384899</v>
      </c>
    </row>
    <row r="5550" spans="1:40" x14ac:dyDescent="0.25">
      <c r="A5550" t="str">
        <f>"20190303170924054"</f>
        <v>20190303170924054</v>
      </c>
      <c r="B5550" t="str">
        <f>"1551604164039622"</f>
        <v>1551604164039622</v>
      </c>
      <c r="C5550" t="s">
        <v>40</v>
      </c>
      <c r="D5550">
        <v>4.8743780000000001</v>
      </c>
      <c r="E5550">
        <v>0.56700660000000003</v>
      </c>
      <c r="F5550" t="s">
        <v>58</v>
      </c>
      <c r="G5550">
        <v>-181.62459999999999</v>
      </c>
      <c r="H5550" s="1">
        <v>-3.5675199999999901E-6</v>
      </c>
      <c r="I5550">
        <v>124.0074</v>
      </c>
      <c r="J5550">
        <v>-187.30590000000001</v>
      </c>
      <c r="K5550">
        <v>1.1209370000000001</v>
      </c>
      <c r="L5550">
        <v>94.228549999999998</v>
      </c>
      <c r="M5550">
        <v>3.3992309999999998E-2</v>
      </c>
      <c r="N5550">
        <v>-1.363516E-2</v>
      </c>
      <c r="O5550">
        <v>0.99932909999999997</v>
      </c>
      <c r="P5550">
        <v>2.4908759999999999E-2</v>
      </c>
      <c r="Q5550">
        <v>0.19446959999999999</v>
      </c>
      <c r="R5550">
        <v>0.98059229999999997</v>
      </c>
      <c r="S5550">
        <v>0.58003229999999995</v>
      </c>
      <c r="T5550">
        <v>-0.11421729999999999</v>
      </c>
      <c r="U5550">
        <v>3.0674130000000002</v>
      </c>
      <c r="V5550">
        <v>-8.4271060000000002E-3</v>
      </c>
      <c r="W5550">
        <v>0.20782639999999999</v>
      </c>
      <c r="X5550">
        <v>0.97812940000000004</v>
      </c>
      <c r="Y5550">
        <v>0.1521904</v>
      </c>
      <c r="Z5550">
        <v>-2.3050890000000001E-2</v>
      </c>
      <c r="AA5550">
        <v>0.98808229999999997</v>
      </c>
      <c r="AB5550">
        <v>39</v>
      </c>
      <c r="AC5550">
        <v>5.6813000000000198</v>
      </c>
      <c r="AD5550">
        <v>-1.1209405675199999</v>
      </c>
      <c r="AE5550">
        <v>29.778849999999998</v>
      </c>
      <c r="AF5550">
        <v>4.6593000880219702</v>
      </c>
      <c r="AG5550">
        <v>-1.1209405675199999</v>
      </c>
      <c r="AH5550">
        <v>29.913878524744501</v>
      </c>
      <c r="AI5550">
        <v>92.120454630086002</v>
      </c>
      <c r="AJ5550">
        <v>81.146908868905697</v>
      </c>
      <c r="AK5550">
        <v>30.2953084397457</v>
      </c>
      <c r="AL5550">
        <v>78.004995638306298</v>
      </c>
      <c r="AM5550">
        <v>90.493621458722004</v>
      </c>
      <c r="AN5550">
        <v>0.99999997589842704</v>
      </c>
    </row>
    <row r="5551" spans="1:40" x14ac:dyDescent="0.25">
      <c r="A5551" t="str">
        <f>"20190303170924078"</f>
        <v>20190303170924078</v>
      </c>
      <c r="B5551" t="str">
        <f>"1551604164069877"</f>
        <v>1551604164069877</v>
      </c>
      <c r="C5551" t="s">
        <v>40</v>
      </c>
      <c r="D5551">
        <v>4.8500809999999897</v>
      </c>
      <c r="E5551">
        <v>0.56775180000000003</v>
      </c>
      <c r="F5551" t="s">
        <v>58</v>
      </c>
      <c r="G5551">
        <v>-181.63159999999999</v>
      </c>
      <c r="H5551" s="1">
        <v>-3.676651E-6</v>
      </c>
      <c r="I5551">
        <v>124.20829999999999</v>
      </c>
      <c r="J5551">
        <v>-187.29150000000001</v>
      </c>
      <c r="K5551">
        <v>1.12096</v>
      </c>
      <c r="L5551">
        <v>94.65213</v>
      </c>
      <c r="M5551">
        <v>3.4001910000000003E-2</v>
      </c>
      <c r="N5551">
        <v>-1.3802190000000001E-2</v>
      </c>
      <c r="O5551">
        <v>0.99932650000000001</v>
      </c>
      <c r="P5551">
        <v>2.5198729999999999E-2</v>
      </c>
      <c r="Q5551">
        <v>0.19393630000000001</v>
      </c>
      <c r="R5551">
        <v>0.98069039999999996</v>
      </c>
      <c r="S5551">
        <v>0.58056640000000004</v>
      </c>
      <c r="T5551">
        <v>-0.1146882</v>
      </c>
      <c r="U5551">
        <v>3.0673520000000001</v>
      </c>
      <c r="V5551">
        <v>-8.1507100000000002E-3</v>
      </c>
      <c r="W5551">
        <v>0.2074579</v>
      </c>
      <c r="X5551">
        <v>0.97821000000000002</v>
      </c>
      <c r="Y5551">
        <v>0.1523495</v>
      </c>
      <c r="Z5551">
        <v>-2.3035030000000001E-2</v>
      </c>
      <c r="AA5551">
        <v>0.9880582</v>
      </c>
      <c r="AB5551">
        <v>39</v>
      </c>
      <c r="AC5551">
        <v>5.6599000000000199</v>
      </c>
      <c r="AD5551">
        <v>-1.1209636766509901</v>
      </c>
      <c r="AE5551">
        <v>29.556169999999899</v>
      </c>
      <c r="AF5551">
        <v>4.6451194191510901</v>
      </c>
      <c r="AG5551">
        <v>-1.1209636766509901</v>
      </c>
      <c r="AH5551">
        <v>29.690345576570799</v>
      </c>
      <c r="AI5551">
        <v>92.136222324624995</v>
      </c>
      <c r="AJ5551">
        <v>81.108032969013394</v>
      </c>
      <c r="AK5551">
        <v>30.0724178349322</v>
      </c>
      <c r="AL5551">
        <v>78.026579963327805</v>
      </c>
      <c r="AM5551">
        <v>90.477392866591501</v>
      </c>
      <c r="AN5551">
        <v>1.00000000922295</v>
      </c>
    </row>
    <row r="5552" spans="1:40" x14ac:dyDescent="0.25">
      <c r="A5552" t="str">
        <f>"20190303170924100"</f>
        <v>20190303170924100</v>
      </c>
      <c r="B5552" t="str">
        <f>"1551604164089397"</f>
        <v>1551604164089397</v>
      </c>
      <c r="C5552" t="s">
        <v>40</v>
      </c>
      <c r="D5552">
        <v>4.8213990000000004</v>
      </c>
      <c r="E5552">
        <v>0.56823970000000001</v>
      </c>
      <c r="F5552" t="s">
        <v>58</v>
      </c>
      <c r="G5552">
        <v>-181.5462</v>
      </c>
      <c r="H5552" s="1">
        <v>-3.9323660000000002E-6</v>
      </c>
      <c r="I5552">
        <v>124.6939</v>
      </c>
      <c r="J5552">
        <v>-187.2791</v>
      </c>
      <c r="K5552">
        <v>1.1209789999999999</v>
      </c>
      <c r="L5552">
        <v>95.016170000000002</v>
      </c>
      <c r="M5552">
        <v>3.4009930000000001E-2</v>
      </c>
      <c r="N5552">
        <v>-1.3935309999999999E-2</v>
      </c>
      <c r="O5552">
        <v>0.99932430000000005</v>
      </c>
      <c r="P5552">
        <v>2.5514100000000001E-2</v>
      </c>
      <c r="Q5552">
        <v>0.1942673</v>
      </c>
      <c r="R5552">
        <v>0.98061670000000001</v>
      </c>
      <c r="S5552">
        <v>0.58647159999999998</v>
      </c>
      <c r="T5552">
        <v>-0.114426399999999</v>
      </c>
      <c r="U5552">
        <v>3.0666199999999999</v>
      </c>
      <c r="V5552">
        <v>-7.8406729999999994E-3</v>
      </c>
      <c r="W5552">
        <v>0.2079183</v>
      </c>
      <c r="X5552">
        <v>0.97811479999999995</v>
      </c>
      <c r="Y5552">
        <v>0.1542203</v>
      </c>
      <c r="Z5552">
        <v>-2.281561E-2</v>
      </c>
      <c r="AA5552">
        <v>0.98777300000000001</v>
      </c>
      <c r="AB5552">
        <v>39</v>
      </c>
      <c r="AC5552">
        <v>5.7328999999999999</v>
      </c>
      <c r="AD5552">
        <v>-1.1209829323659899</v>
      </c>
      <c r="AE5552">
        <v>29.67773</v>
      </c>
      <c r="AF5552">
        <v>4.7136641426541699</v>
      </c>
      <c r="AG5552">
        <v>-1.1209829323659899</v>
      </c>
      <c r="AH5552">
        <v>29.814545790737402</v>
      </c>
      <c r="AI5552">
        <v>92.126830748664204</v>
      </c>
      <c r="AJ5552">
        <v>81.015928255275497</v>
      </c>
      <c r="AK5552">
        <v>30.205667896809999</v>
      </c>
      <c r="AL5552">
        <v>77.999613212374101</v>
      </c>
      <c r="AM5552">
        <v>90.459279268087897</v>
      </c>
      <c r="AN5552">
        <v>1.00000002880351</v>
      </c>
    </row>
    <row r="5553" spans="1:40" x14ac:dyDescent="0.25">
      <c r="A5553" t="str">
        <f>"20190303170924122"</f>
        <v>20190303170924122</v>
      </c>
      <c r="B5553" t="str">
        <f>"1551604164109893"</f>
        <v>1551604164109893</v>
      </c>
      <c r="C5553" t="s">
        <v>40</v>
      </c>
      <c r="D5553">
        <v>4.8045999999999998</v>
      </c>
      <c r="E5553">
        <v>0.56868390000000002</v>
      </c>
      <c r="F5553" t="s">
        <v>58</v>
      </c>
      <c r="G5553">
        <v>-181.36519999999999</v>
      </c>
      <c r="H5553" s="1">
        <v>-4.2185329999999998E-6</v>
      </c>
      <c r="I5553">
        <v>125.6987</v>
      </c>
      <c r="J5553">
        <v>-187.2653</v>
      </c>
      <c r="K5553">
        <v>1.1209990000000001</v>
      </c>
      <c r="L5553">
        <v>95.420439999999999</v>
      </c>
      <c r="M5553">
        <v>3.4018390000000003E-2</v>
      </c>
      <c r="N5553">
        <v>-1.4069949999999999E-2</v>
      </c>
      <c r="O5553">
        <v>0.99932220000000005</v>
      </c>
      <c r="P5553">
        <v>2.611438E-2</v>
      </c>
      <c r="Q5553">
        <v>0.19556100000000001</v>
      </c>
      <c r="R5553">
        <v>0.98034379999999999</v>
      </c>
      <c r="S5553">
        <v>0.59097290000000002</v>
      </c>
      <c r="T5553">
        <v>-0.1120198</v>
      </c>
      <c r="U5553">
        <v>3.0661010000000002</v>
      </c>
      <c r="V5553">
        <v>-7.24003199999999E-3</v>
      </c>
      <c r="W5553">
        <v>0.2093402</v>
      </c>
      <c r="X5553">
        <v>0.97781600000000002</v>
      </c>
      <c r="Y5553">
        <v>0.15564459999999999</v>
      </c>
      <c r="Z5553">
        <v>-2.1907610000000001E-2</v>
      </c>
      <c r="AA5553">
        <v>0.98757019999999995</v>
      </c>
      <c r="AB5553">
        <v>39</v>
      </c>
      <c r="AC5553">
        <v>5.9001000000000001</v>
      </c>
      <c r="AD5553">
        <v>-1.1210032185329999</v>
      </c>
      <c r="AE5553">
        <v>30.27826</v>
      </c>
      <c r="AF5553">
        <v>4.8601465618301196</v>
      </c>
      <c r="AG5553">
        <v>-1.1210032185329999</v>
      </c>
      <c r="AH5553">
        <v>30.421289541789999</v>
      </c>
      <c r="AI5553">
        <v>92.083950762292105</v>
      </c>
      <c r="AJ5553">
        <v>80.923055398772405</v>
      </c>
      <c r="AK5553">
        <v>30.8274638951026</v>
      </c>
      <c r="AL5553">
        <v>77.9163100945769</v>
      </c>
      <c r="AM5553">
        <v>90.424226742763594</v>
      </c>
      <c r="AN5553">
        <v>0.99999993362769801</v>
      </c>
    </row>
    <row r="5554" spans="1:40" x14ac:dyDescent="0.25">
      <c r="A5554" t="str">
        <f>"20190303170924143"</f>
        <v>20190303170924143</v>
      </c>
      <c r="B5554" t="str">
        <f>"1551604164129413"</f>
        <v>1551604164129413</v>
      </c>
      <c r="C5554" t="s">
        <v>40</v>
      </c>
      <c r="D5554">
        <v>4.766197</v>
      </c>
      <c r="E5554">
        <v>0.56914849999999995</v>
      </c>
      <c r="F5554" t="s">
        <v>58</v>
      </c>
      <c r="G5554">
        <v>-181.02359999999999</v>
      </c>
      <c r="H5554" s="1">
        <v>-4.7406769999999998E-6</v>
      </c>
      <c r="I5554">
        <v>127.526</v>
      </c>
      <c r="J5554">
        <v>-187.25309999999999</v>
      </c>
      <c r="K5554">
        <v>1.1210100000000001</v>
      </c>
      <c r="L5554">
        <v>95.779660000000007</v>
      </c>
      <c r="M5554">
        <v>3.402583E-2</v>
      </c>
      <c r="N5554">
        <v>-1.4177530000000001E-2</v>
      </c>
      <c r="O5554">
        <v>0.9993204</v>
      </c>
      <c r="P5554">
        <v>2.7143219999999999E-2</v>
      </c>
      <c r="Q5554">
        <v>0.19617609999999999</v>
      </c>
      <c r="R5554">
        <v>0.98019299999999998</v>
      </c>
      <c r="S5554">
        <v>0.59599299999999999</v>
      </c>
      <c r="T5554">
        <v>-0.1070397</v>
      </c>
      <c r="U5554">
        <v>3.0656129999999999</v>
      </c>
      <c r="V5554">
        <v>-6.2142119999999898E-3</v>
      </c>
      <c r="W5554">
        <v>0.21005860000000001</v>
      </c>
      <c r="X5554">
        <v>0.97766909999999896</v>
      </c>
      <c r="Y5554">
        <v>0.1572326</v>
      </c>
      <c r="Z5554">
        <v>-2.0200630000000001E-2</v>
      </c>
      <c r="AA5554">
        <v>0.98735499999999998</v>
      </c>
      <c r="AB5554">
        <v>39</v>
      </c>
      <c r="AC5554">
        <v>6.2294999999999998</v>
      </c>
      <c r="AD5554">
        <v>-1.1210147406769999</v>
      </c>
      <c r="AE5554">
        <v>31.74634</v>
      </c>
      <c r="AF5554">
        <v>5.1394171859991804</v>
      </c>
      <c r="AG5554">
        <v>-1.1210147406769999</v>
      </c>
      <c r="AH5554">
        <v>31.901635316770101</v>
      </c>
      <c r="AI5554">
        <v>91.986931766835198</v>
      </c>
      <c r="AJ5554">
        <v>80.848169889127206</v>
      </c>
      <c r="AK5554">
        <v>32.332408183504498</v>
      </c>
      <c r="AL5554">
        <v>77.874214245975296</v>
      </c>
      <c r="AM5554">
        <v>90.364175696927802</v>
      </c>
      <c r="AN5554">
        <v>1.0000000504797699</v>
      </c>
    </row>
    <row r="5555" spans="1:40" x14ac:dyDescent="0.25">
      <c r="A5555" t="str">
        <f>"20190303170924165"</f>
        <v>20190303170924165</v>
      </c>
      <c r="B5555" t="str">
        <f>"1551604164159669"</f>
        <v>1551604164159669</v>
      </c>
      <c r="C5555" t="s">
        <v>40</v>
      </c>
      <c r="D5555">
        <v>4.7782010000000001</v>
      </c>
      <c r="E5555">
        <v>0.56986309999999996</v>
      </c>
      <c r="F5555" t="s">
        <v>58</v>
      </c>
      <c r="G5555">
        <v>-180.71080000000001</v>
      </c>
      <c r="H5555" s="1">
        <v>-5.1779869999999997E-6</v>
      </c>
      <c r="I5555">
        <v>129.042</v>
      </c>
      <c r="J5555">
        <v>-187.23990000000001</v>
      </c>
      <c r="K5555">
        <v>1.121022</v>
      </c>
      <c r="L5555">
        <v>96.165469999999999</v>
      </c>
      <c r="M5555">
        <v>3.4034179999999997E-2</v>
      </c>
      <c r="N5555">
        <v>-1.428104E-2</v>
      </c>
      <c r="O5555">
        <v>0.9993187</v>
      </c>
      <c r="P5555">
        <v>2.835242E-2</v>
      </c>
      <c r="Q5555">
        <v>0.19563</v>
      </c>
      <c r="R5555">
        <v>0.98026780000000002</v>
      </c>
      <c r="S5555">
        <v>0.60276790000000002</v>
      </c>
      <c r="T5555">
        <v>-0.103284</v>
      </c>
      <c r="U5555">
        <v>3.0646059999999999</v>
      </c>
      <c r="V5555">
        <v>-5.017054E-3</v>
      </c>
      <c r="W5555">
        <v>0.2096153</v>
      </c>
      <c r="X5555">
        <v>0.97777099999999995</v>
      </c>
      <c r="Y5555">
        <v>0.15939200000000001</v>
      </c>
      <c r="Z5555">
        <v>-1.889242E-2</v>
      </c>
      <c r="AA5555">
        <v>0.98703459999999998</v>
      </c>
      <c r="AB5555">
        <v>39</v>
      </c>
      <c r="AC5555">
        <v>6.5290999999999997</v>
      </c>
      <c r="AD5555">
        <v>-1.121027177987</v>
      </c>
      <c r="AE5555">
        <v>32.876529999999903</v>
      </c>
      <c r="AF5555">
        <v>5.4002364279851403</v>
      </c>
      <c r="AG5555">
        <v>-1.121027177987</v>
      </c>
      <c r="AH5555">
        <v>33.042754502774997</v>
      </c>
      <c r="AI5555">
        <v>91.917681297210905</v>
      </c>
      <c r="AJ5555">
        <v>80.718107453279998</v>
      </c>
      <c r="AK5555">
        <v>33.499893739272899</v>
      </c>
      <c r="AL5555">
        <v>77.900190420025496</v>
      </c>
      <c r="AM5555">
        <v>90.293988568983707</v>
      </c>
      <c r="AN5555">
        <v>0.99999993663296205</v>
      </c>
    </row>
    <row r="5556" spans="1:40" x14ac:dyDescent="0.25">
      <c r="A5556" t="str">
        <f>"20190303170924191"</f>
        <v>20190303170924191</v>
      </c>
      <c r="B5556" t="str">
        <f>"1551604164179189"</f>
        <v>1551604164179189</v>
      </c>
      <c r="C5556" t="s">
        <v>40</v>
      </c>
      <c r="D5556">
        <v>4.7836499999999997</v>
      </c>
      <c r="E5556">
        <v>0.57036909999999996</v>
      </c>
      <c r="F5556" t="s">
        <v>58</v>
      </c>
      <c r="G5556">
        <v>-180.59299999999999</v>
      </c>
      <c r="H5556" s="1">
        <v>-5.327071E-6</v>
      </c>
      <c r="I5556">
        <v>129.45509999999999</v>
      </c>
      <c r="J5556">
        <v>-187.22540000000001</v>
      </c>
      <c r="K5556">
        <v>1.1210199999999999</v>
      </c>
      <c r="L5556">
        <v>96.591160000000002</v>
      </c>
      <c r="M5556">
        <v>3.404364E-2</v>
      </c>
      <c r="N5556">
        <v>-1.4381400000000001E-2</v>
      </c>
      <c r="O5556">
        <v>0.99931689999999995</v>
      </c>
      <c r="P5556">
        <v>2.9216860000000001E-2</v>
      </c>
      <c r="Q5556">
        <v>0.19542019999999999</v>
      </c>
      <c r="R5556">
        <v>0.9802843</v>
      </c>
      <c r="S5556">
        <v>0.61164859999999999</v>
      </c>
      <c r="T5556">
        <v>-0.10315630000000001</v>
      </c>
      <c r="U5556">
        <v>3.0632929999999998</v>
      </c>
      <c r="V5556">
        <v>-4.1630080000000002E-3</v>
      </c>
      <c r="W5556">
        <v>0.2095043</v>
      </c>
      <c r="X5556">
        <v>0.97779890000000003</v>
      </c>
      <c r="Y5556">
        <v>0.16221440000000001</v>
      </c>
      <c r="Z5556">
        <v>-1.8749209999999999E-2</v>
      </c>
      <c r="AA5556">
        <v>0.98657740000000005</v>
      </c>
      <c r="AB5556">
        <v>39</v>
      </c>
      <c r="AC5556">
        <v>6.6324000000000103</v>
      </c>
      <c r="AD5556">
        <v>-1.121025327071</v>
      </c>
      <c r="AE5556">
        <v>32.8639399999999</v>
      </c>
      <c r="AF5556">
        <v>5.5034778302221801</v>
      </c>
      <c r="AG5556">
        <v>-1.121025327071</v>
      </c>
      <c r="AH5556">
        <v>33.033767982111797</v>
      </c>
      <c r="AI5556">
        <v>91.917223657991201</v>
      </c>
      <c r="AJ5556">
        <v>80.541306416482598</v>
      </c>
      <c r="AK5556">
        <v>33.507831817467398</v>
      </c>
      <c r="AL5556">
        <v>77.9066958884153</v>
      </c>
      <c r="AM5556">
        <v>90.243937017412904</v>
      </c>
      <c r="AN5556">
        <v>1.0000000355976499</v>
      </c>
    </row>
    <row r="5557" spans="1:40" x14ac:dyDescent="0.25">
      <c r="A5557" t="str">
        <f>"20190303170924232"</f>
        <v>20190303170924232</v>
      </c>
      <c r="B5557" t="str">
        <f>"1551604164219205"</f>
        <v>1551604164219205</v>
      </c>
      <c r="C5557" t="s">
        <v>40</v>
      </c>
      <c r="D5557">
        <v>4.7511099999999997</v>
      </c>
      <c r="E5557">
        <v>0.58132740000000005</v>
      </c>
      <c r="F5557" t="s">
        <v>58</v>
      </c>
      <c r="G5557">
        <v>-180.45939999999999</v>
      </c>
      <c r="H5557" s="1">
        <v>-5.5530519999999998E-6</v>
      </c>
      <c r="I5557">
        <v>130.08580000000001</v>
      </c>
      <c r="J5557">
        <v>-187.2003</v>
      </c>
      <c r="K5557">
        <v>1.1210199999999999</v>
      </c>
      <c r="L5557">
        <v>97.326480000000004</v>
      </c>
      <c r="M5557">
        <v>3.4059480000000003E-2</v>
      </c>
      <c r="N5557">
        <v>-1.452228E-2</v>
      </c>
      <c r="O5557">
        <v>0.99931429999999999</v>
      </c>
      <c r="P5557">
        <v>3.0508420000000001E-2</v>
      </c>
      <c r="Q5557">
        <v>0.1954004</v>
      </c>
      <c r="R5557">
        <v>0.98024889999999998</v>
      </c>
      <c r="S5557">
        <v>0.61860660000000001</v>
      </c>
      <c r="T5557">
        <v>-0.10249320000000001</v>
      </c>
      <c r="U5557">
        <v>3.0623469999999999</v>
      </c>
      <c r="V5557">
        <v>-2.886801E-3</v>
      </c>
      <c r="W5557">
        <v>0.20962230000000001</v>
      </c>
      <c r="X5557">
        <v>0.97777820000000004</v>
      </c>
      <c r="Y5557">
        <v>0.16441159999999999</v>
      </c>
      <c r="Z5557">
        <v>-1.839352E-2</v>
      </c>
      <c r="AA5557">
        <v>0.98622030000000005</v>
      </c>
      <c r="AB5557">
        <v>39</v>
      </c>
      <c r="AC5557">
        <v>6.7409000000000097</v>
      </c>
      <c r="AD5557">
        <v>-1.1210255530519999</v>
      </c>
      <c r="AE5557">
        <v>32.759320000000002</v>
      </c>
      <c r="AF5557">
        <v>5.6147971781241504</v>
      </c>
      <c r="AG5557">
        <v>-1.1210255530519999</v>
      </c>
      <c r="AH5557">
        <v>32.932926758684602</v>
      </c>
      <c r="AI5557">
        <v>91.921865392750306</v>
      </c>
      <c r="AJ5557">
        <v>80.324564882644495</v>
      </c>
      <c r="AK5557">
        <v>33.4269398918739</v>
      </c>
      <c r="AL5557">
        <v>77.899781326149295</v>
      </c>
      <c r="AM5557">
        <v>90.1691600743507</v>
      </c>
      <c r="AN5557">
        <v>1.00000002533627</v>
      </c>
    </row>
    <row r="5558" spans="1:40" x14ac:dyDescent="0.25">
      <c r="A5558" t="str">
        <f>"20190303170924257"</f>
        <v>20190303170924257</v>
      </c>
      <c r="B5558" t="str">
        <f>"1551604164249461"</f>
        <v>1551604164249461</v>
      </c>
      <c r="C5558" t="s">
        <v>40</v>
      </c>
      <c r="D5558">
        <v>4.7655260000000004</v>
      </c>
      <c r="E5558">
        <v>0.58129750000000002</v>
      </c>
      <c r="F5558" t="s">
        <v>58</v>
      </c>
      <c r="G5558">
        <v>-176.98830000000001</v>
      </c>
      <c r="H5558" s="1">
        <v>-7.6036039999999996E-6</v>
      </c>
      <c r="I5558">
        <v>141.23390000000001</v>
      </c>
      <c r="J5558">
        <v>-187.18639999999999</v>
      </c>
      <c r="K5558">
        <v>1.121024</v>
      </c>
      <c r="L5558">
        <v>97.734189999999998</v>
      </c>
      <c r="M5558">
        <v>3.4068300000000003E-2</v>
      </c>
      <c r="N5558">
        <v>-1.458538E-2</v>
      </c>
      <c r="O5558">
        <v>0.99931309999999995</v>
      </c>
      <c r="P5558">
        <v>3.1812849999999997E-2</v>
      </c>
      <c r="Q5558">
        <v>0.19528380000000001</v>
      </c>
      <c r="R5558">
        <v>0.98023070000000001</v>
      </c>
      <c r="S5558">
        <v>0.71028139999999995</v>
      </c>
      <c r="T5558">
        <v>-7.7970860000000003E-2</v>
      </c>
      <c r="U5558">
        <v>3.0538940000000001</v>
      </c>
      <c r="V5558">
        <v>-1.591135E-3</v>
      </c>
      <c r="W5558">
        <v>0.2095677</v>
      </c>
      <c r="X5558">
        <v>0.97779289999999996</v>
      </c>
      <c r="Y5558">
        <v>0.19315099999999999</v>
      </c>
      <c r="Z5558">
        <v>-1.0401850000000001E-2</v>
      </c>
      <c r="AA5558">
        <v>0.98111389999999998</v>
      </c>
      <c r="AB5558">
        <v>39</v>
      </c>
      <c r="AC5558">
        <v>10.198099999999901</v>
      </c>
      <c r="AD5558">
        <v>-1.121031603604</v>
      </c>
      <c r="AE5558">
        <v>43.49971</v>
      </c>
      <c r="AF5558">
        <v>8.70458011297025</v>
      </c>
      <c r="AG5558">
        <v>-1.121031603604</v>
      </c>
      <c r="AH5558">
        <v>43.794351764964702</v>
      </c>
      <c r="AI5558">
        <v>91.438194848947006</v>
      </c>
      <c r="AJ5558">
        <v>78.758379414748205</v>
      </c>
      <c r="AK5558">
        <v>44.665105768517599</v>
      </c>
      <c r="AL5558">
        <v>77.902981091370606</v>
      </c>
      <c r="AM5558">
        <v>90.093235734956394</v>
      </c>
      <c r="AN5558">
        <v>1.0000000539421401</v>
      </c>
    </row>
    <row r="5559" spans="1:40" x14ac:dyDescent="0.25">
      <c r="A5559" t="str">
        <f>"20190303170924277"</f>
        <v>20190303170924277</v>
      </c>
      <c r="B5559" t="str">
        <f>"1551604164269958"</f>
        <v>1551604164269958</v>
      </c>
      <c r="C5559" t="s">
        <v>40</v>
      </c>
      <c r="D5559">
        <v>4.7428809999999997</v>
      </c>
      <c r="E5559">
        <v>0.581646</v>
      </c>
      <c r="F5559" t="s">
        <v>58</v>
      </c>
      <c r="G5559">
        <v>-177.32910000000001</v>
      </c>
      <c r="H5559" s="1">
        <v>-7.3952529999999999E-6</v>
      </c>
      <c r="I5559">
        <v>139.9342</v>
      </c>
      <c r="J5559">
        <v>-187.17359999999999</v>
      </c>
      <c r="K5559">
        <v>1.121027</v>
      </c>
      <c r="L5559">
        <v>98.108670000000004</v>
      </c>
      <c r="M5559">
        <v>3.4076429999999998E-2</v>
      </c>
      <c r="N5559">
        <v>-1.463544E-2</v>
      </c>
      <c r="O5559">
        <v>0.99931199999999998</v>
      </c>
      <c r="P5559">
        <v>3.2930809999999998E-2</v>
      </c>
      <c r="Q5559">
        <v>0.1939497</v>
      </c>
      <c r="R5559">
        <v>0.98045859999999996</v>
      </c>
      <c r="S5559">
        <v>0.71325680000000002</v>
      </c>
      <c r="T5559">
        <v>-8.1116079999999993E-2</v>
      </c>
      <c r="U5559">
        <v>3.053528</v>
      </c>
      <c r="V5559">
        <v>-4.8952739999999896E-4</v>
      </c>
      <c r="W5559">
        <v>0.20828630000000001</v>
      </c>
      <c r="X5559">
        <v>0.97806780000000004</v>
      </c>
      <c r="Y5559">
        <v>0.1940713</v>
      </c>
      <c r="Z5559">
        <v>-1.1355209999999999E-2</v>
      </c>
      <c r="AA5559">
        <v>0.98092170000000001</v>
      </c>
      <c r="AB5559">
        <v>39</v>
      </c>
      <c r="AC5559">
        <v>9.8444999999999805</v>
      </c>
      <c r="AD5559">
        <v>-1.121034395253</v>
      </c>
      <c r="AE5559">
        <v>41.825530000000001</v>
      </c>
      <c r="AF5559">
        <v>8.4076410287159096</v>
      </c>
      <c r="AG5559">
        <v>-1.121034395253</v>
      </c>
      <c r="AH5559">
        <v>42.108073335710202</v>
      </c>
      <c r="AI5559">
        <v>91.495507453148505</v>
      </c>
      <c r="AJ5559">
        <v>78.708351101324098</v>
      </c>
      <c r="AK5559">
        <v>42.953870440609101</v>
      </c>
      <c r="AL5559">
        <v>77.978056340454899</v>
      </c>
      <c r="AM5559">
        <v>90.028676796878401</v>
      </c>
      <c r="AN5559">
        <v>1.0000000219008001</v>
      </c>
    </row>
    <row r="5560" spans="1:40" x14ac:dyDescent="0.25">
      <c r="A5560" t="str">
        <f>"20190303170924300"</f>
        <v>20190303170924300</v>
      </c>
      <c r="B5560" t="str">
        <f>"1551604164289477"</f>
        <v>1551604164289477</v>
      </c>
      <c r="C5560" t="s">
        <v>40</v>
      </c>
      <c r="D5560">
        <v>4.7378280000000004</v>
      </c>
      <c r="E5560">
        <v>0.5820225</v>
      </c>
      <c r="F5560" t="s">
        <v>58</v>
      </c>
      <c r="G5560">
        <v>-177.72099999999901</v>
      </c>
      <c r="H5560" s="1">
        <v>-7.0631899999999997E-6</v>
      </c>
      <c r="I5560">
        <v>138.26320000000001</v>
      </c>
      <c r="J5560">
        <v>-187.16040000000001</v>
      </c>
      <c r="K5560">
        <v>1.1210169999999999</v>
      </c>
      <c r="L5560">
        <v>98.497960000000006</v>
      </c>
      <c r="M5560">
        <v>3.4091299999999998E-2</v>
      </c>
      <c r="N5560">
        <v>-1.468037E-2</v>
      </c>
      <c r="O5560">
        <v>0.9993109</v>
      </c>
      <c r="P5560">
        <v>3.3773419999999998E-2</v>
      </c>
      <c r="Q5560">
        <v>0.1924177</v>
      </c>
      <c r="R5560">
        <v>0.98073169999999998</v>
      </c>
      <c r="S5560">
        <v>0.71858219999999995</v>
      </c>
      <c r="T5560">
        <v>-8.5220219999999999E-2</v>
      </c>
      <c r="U5560">
        <v>3.052521</v>
      </c>
      <c r="V5560">
        <v>3.2992889999999998E-4</v>
      </c>
      <c r="W5560">
        <v>0.20680299999999999</v>
      </c>
      <c r="X5560">
        <v>0.97838250000000004</v>
      </c>
      <c r="Y5560">
        <v>0.1957441</v>
      </c>
      <c r="Z5560">
        <v>-1.262113E-2</v>
      </c>
      <c r="AA5560">
        <v>0.98057380000000005</v>
      </c>
      <c r="AB5560">
        <v>39</v>
      </c>
      <c r="AC5560">
        <v>9.4394000000000293</v>
      </c>
      <c r="AD5560">
        <v>-1.1210240631899999</v>
      </c>
      <c r="AE5560">
        <v>39.765239999999999</v>
      </c>
      <c r="AF5560">
        <v>8.0720441408161907</v>
      </c>
      <c r="AG5560">
        <v>-1.1210240631899999</v>
      </c>
      <c r="AH5560">
        <v>40.033837333654603</v>
      </c>
      <c r="AI5560">
        <v>91.5723453654265</v>
      </c>
      <c r="AJ5560">
        <v>78.600266028728996</v>
      </c>
      <c r="AK5560">
        <v>40.854898399323602</v>
      </c>
      <c r="AL5560">
        <v>78.064934076334694</v>
      </c>
      <c r="AM5560">
        <v>89.980678790970899</v>
      </c>
      <c r="AN5560">
        <v>0.999999952984163</v>
      </c>
    </row>
    <row r="5561" spans="1:40" x14ac:dyDescent="0.25">
      <c r="A5561" t="str">
        <f>"20190303170924321"</f>
        <v>20190303170924321</v>
      </c>
      <c r="B5561" t="str">
        <f>"1551604164308998"</f>
        <v>1551604164308998</v>
      </c>
      <c r="C5561" t="s">
        <v>40</v>
      </c>
      <c r="D5561">
        <v>4.7851730000000003</v>
      </c>
      <c r="E5561">
        <v>0.5825283</v>
      </c>
      <c r="F5561" t="s">
        <v>58</v>
      </c>
      <c r="G5561">
        <v>-177.97290000000001</v>
      </c>
      <c r="H5561" s="1">
        <v>-6.8257989999999997E-6</v>
      </c>
      <c r="I5561">
        <v>137.13589999999999</v>
      </c>
      <c r="J5561">
        <v>-187.14779999999999</v>
      </c>
      <c r="K5561">
        <v>1.1210119999999999</v>
      </c>
      <c r="L5561">
        <v>98.865939999999995</v>
      </c>
      <c r="M5561">
        <v>3.412652E-2</v>
      </c>
      <c r="N5561">
        <v>-1.471684E-2</v>
      </c>
      <c r="O5561">
        <v>0.99930920000000001</v>
      </c>
      <c r="P5561">
        <v>3.407864E-2</v>
      </c>
      <c r="Q5561">
        <v>0.1922372</v>
      </c>
      <c r="R5561">
        <v>0.98075659999999998</v>
      </c>
      <c r="S5561">
        <v>0.72555539999999996</v>
      </c>
      <c r="T5561">
        <v>-8.8529940000000001E-2</v>
      </c>
      <c r="U5561">
        <v>3.0513309999999998</v>
      </c>
      <c r="V5561">
        <v>6.050672E-4</v>
      </c>
      <c r="W5561">
        <v>0.2066588</v>
      </c>
      <c r="X5561">
        <v>0.97841290000000003</v>
      </c>
      <c r="Y5561">
        <v>0.1979109</v>
      </c>
      <c r="Z5561">
        <v>-1.3640009999999999E-2</v>
      </c>
      <c r="AA5561">
        <v>0.98012509999999997</v>
      </c>
      <c r="AB5561">
        <v>39</v>
      </c>
      <c r="AC5561">
        <v>9.1748999999999796</v>
      </c>
      <c r="AD5561">
        <v>-1.1210188257989999</v>
      </c>
      <c r="AE5561">
        <v>38.269959999999898</v>
      </c>
      <c r="AF5561">
        <v>7.8570174489828899</v>
      </c>
      <c r="AG5561">
        <v>-1.1210188257989999</v>
      </c>
      <c r="AH5561">
        <v>38.529541841871499</v>
      </c>
      <c r="AI5561">
        <v>91.632965093691098</v>
      </c>
      <c r="AJ5561">
        <v>78.474165593631795</v>
      </c>
      <c r="AK5561">
        <v>39.338467191108798</v>
      </c>
      <c r="AL5561">
        <v>78.073379289053804</v>
      </c>
      <c r="AM5561">
        <v>89.964567318703203</v>
      </c>
      <c r="AN5561">
        <v>1.00000001430508</v>
      </c>
    </row>
    <row r="5562" spans="1:40" x14ac:dyDescent="0.25">
      <c r="A5562" t="str">
        <f>"20190303170924343"</f>
        <v>20190303170924343</v>
      </c>
      <c r="B5562" t="str">
        <f>"1551604164329399"</f>
        <v>1551604164329399</v>
      </c>
      <c r="C5562" t="s">
        <v>40</v>
      </c>
      <c r="D5562">
        <v>4.767347</v>
      </c>
      <c r="E5562">
        <v>0.58260230000000002</v>
      </c>
      <c r="F5562" t="s">
        <v>58</v>
      </c>
      <c r="G5562">
        <v>-177.7105</v>
      </c>
      <c r="H5562" s="1">
        <v>-7.0237070000000002E-6</v>
      </c>
      <c r="I5562">
        <v>138.16909999999999</v>
      </c>
      <c r="J5562">
        <v>-187.1352</v>
      </c>
      <c r="K5562">
        <v>1.1209899999999999</v>
      </c>
      <c r="L5562">
        <v>99.232759999999999</v>
      </c>
      <c r="M5562">
        <v>3.420434E-2</v>
      </c>
      <c r="N5562">
        <v>-1.474783E-2</v>
      </c>
      <c r="O5562">
        <v>0.99930600000000003</v>
      </c>
      <c r="P5562">
        <v>3.5859719999999998E-2</v>
      </c>
      <c r="Q5562">
        <v>0.19381970000000001</v>
      </c>
      <c r="R5562">
        <v>0.98038150000000002</v>
      </c>
      <c r="S5562">
        <v>0.73246769999999894</v>
      </c>
      <c r="T5562">
        <v>-8.7006810000000004E-2</v>
      </c>
      <c r="U5562">
        <v>3.0504760000000002</v>
      </c>
      <c r="V5562">
        <v>2.3350689999999999E-3</v>
      </c>
      <c r="W5562">
        <v>0.2082667</v>
      </c>
      <c r="X5562">
        <v>0.97806930000000003</v>
      </c>
      <c r="Y5562">
        <v>0.19999839999999999</v>
      </c>
      <c r="Z5562">
        <v>-1.311754E-2</v>
      </c>
      <c r="AA5562">
        <v>0.97970840000000003</v>
      </c>
      <c r="AB5562">
        <v>39</v>
      </c>
      <c r="AC5562">
        <v>9.4246999999999996</v>
      </c>
      <c r="AD5562">
        <v>-1.1209970237069999</v>
      </c>
      <c r="AE5562">
        <v>38.936339999999902</v>
      </c>
      <c r="AF5562">
        <v>8.0809198199959607</v>
      </c>
      <c r="AG5562">
        <v>-1.1209970237069999</v>
      </c>
      <c r="AH5562">
        <v>39.205254210510603</v>
      </c>
      <c r="AI5562">
        <v>91.604111198121203</v>
      </c>
      <c r="AJ5562">
        <v>78.353398302430804</v>
      </c>
      <c r="AK5562">
        <v>40.045097792053397</v>
      </c>
      <c r="AL5562">
        <v>77.9792044115663</v>
      </c>
      <c r="AM5562">
        <v>89.863210772098597</v>
      </c>
      <c r="AN5562">
        <v>1.0000000132393001</v>
      </c>
    </row>
    <row r="5563" spans="1:40" x14ac:dyDescent="0.25">
      <c r="A5563" t="str">
        <f>"20190303170924367"</f>
        <v>20190303170924367</v>
      </c>
      <c r="B5563" t="str">
        <f>"1551604164359655"</f>
        <v>1551604164359655</v>
      </c>
      <c r="C5563" t="s">
        <v>40</v>
      </c>
      <c r="D5563">
        <v>4.8121850000000004</v>
      </c>
      <c r="E5563">
        <v>0.58284899999999995</v>
      </c>
      <c r="F5563" t="s">
        <v>58</v>
      </c>
      <c r="G5563">
        <v>-176.92590000000001</v>
      </c>
      <c r="H5563" s="1">
        <v>-7.6015859999999901E-6</v>
      </c>
      <c r="I5563">
        <v>141.3477</v>
      </c>
      <c r="J5563">
        <v>-187.12119999999999</v>
      </c>
      <c r="K5563">
        <v>1.1209469999999999</v>
      </c>
      <c r="L5563">
        <v>99.638549999999995</v>
      </c>
      <c r="M5563">
        <v>3.4367479999999999E-2</v>
      </c>
      <c r="N5563">
        <v>-1.4776900000000001E-2</v>
      </c>
      <c r="O5563">
        <v>0.99929999999999997</v>
      </c>
      <c r="P5563">
        <v>3.7433109999999999E-2</v>
      </c>
      <c r="Q5563">
        <v>0.19470309999999999</v>
      </c>
      <c r="R5563">
        <v>0.98014769999999896</v>
      </c>
      <c r="S5563">
        <v>0.73913569999999995</v>
      </c>
      <c r="T5563">
        <v>-8.1158159999999993E-2</v>
      </c>
      <c r="U5563">
        <v>3.049042</v>
      </c>
      <c r="V5563">
        <v>3.782807E-3</v>
      </c>
      <c r="W5563">
        <v>0.2091751</v>
      </c>
      <c r="X5563">
        <v>0.97787089999999999</v>
      </c>
      <c r="Y5563">
        <v>0.20197470000000001</v>
      </c>
      <c r="Z5563">
        <v>-1.122104E-2</v>
      </c>
      <c r="AA5563">
        <v>0.97932649999999999</v>
      </c>
      <c r="AB5563">
        <v>38</v>
      </c>
      <c r="AC5563">
        <v>10.1952999999999</v>
      </c>
      <c r="AD5563">
        <v>-1.1209546015859999</v>
      </c>
      <c r="AE5563">
        <v>41.709150000000001</v>
      </c>
      <c r="AF5563">
        <v>8.7497174860133207</v>
      </c>
      <c r="AG5563">
        <v>-1.1209546015859999</v>
      </c>
      <c r="AH5563">
        <v>42.006300339501202</v>
      </c>
      <c r="AI5563">
        <v>91.496493204066795</v>
      </c>
      <c r="AJ5563">
        <v>78.233796246568602</v>
      </c>
      <c r="AK5563">
        <v>42.9225274595549</v>
      </c>
      <c r="AL5563">
        <v>77.9259847911582</v>
      </c>
      <c r="AM5563">
        <v>89.778357455278694</v>
      </c>
      <c r="AN5563">
        <v>1.0000000145778001</v>
      </c>
    </row>
    <row r="5564" spans="1:40" x14ac:dyDescent="0.25">
      <c r="A5564" t="str">
        <f>"20190303170924390"</f>
        <v>20190303170924390</v>
      </c>
      <c r="B5564" t="str">
        <f>"1551604164379175"</f>
        <v>1551604164379175</v>
      </c>
      <c r="C5564" t="s">
        <v>40</v>
      </c>
      <c r="D5564">
        <v>4.8172069999999998</v>
      </c>
      <c r="E5564">
        <v>0.58314290000000002</v>
      </c>
      <c r="F5564" t="s">
        <v>58</v>
      </c>
      <c r="G5564">
        <v>-176.4186</v>
      </c>
      <c r="H5564" s="1">
        <v>-7.9408500000000004E-6</v>
      </c>
      <c r="I5564">
        <v>143.37209999999999</v>
      </c>
      <c r="J5564">
        <v>-187.10730000000001</v>
      </c>
      <c r="K5564">
        <v>1.1208720000000001</v>
      </c>
      <c r="L5564">
        <v>100.0363</v>
      </c>
      <c r="M5564">
        <v>3.4641350000000001E-2</v>
      </c>
      <c r="N5564">
        <v>-1.4800789999999999E-2</v>
      </c>
      <c r="O5564">
        <v>0.99929020000000002</v>
      </c>
      <c r="P5564">
        <v>3.889401E-2</v>
      </c>
      <c r="Q5564">
        <v>0.19430259999999999</v>
      </c>
      <c r="R5564">
        <v>0.98017019999999999</v>
      </c>
      <c r="S5564">
        <v>0.74586490000000005</v>
      </c>
      <c r="T5564">
        <v>-7.8119279999999999E-2</v>
      </c>
      <c r="U5564">
        <v>3.0477910000000001</v>
      </c>
      <c r="V5564">
        <v>5.0142620000000002E-3</v>
      </c>
      <c r="W5564">
        <v>0.20879739999999999</v>
      </c>
      <c r="X5564">
        <v>0.97794599999999998</v>
      </c>
      <c r="Y5564">
        <v>0.2038423</v>
      </c>
      <c r="Z5564">
        <v>-1.022583E-2</v>
      </c>
      <c r="AA5564">
        <v>0.97895030000000005</v>
      </c>
      <c r="AB5564">
        <v>38</v>
      </c>
      <c r="AC5564">
        <v>10.688700000000001</v>
      </c>
      <c r="AD5564">
        <v>-1.1208799408500001</v>
      </c>
      <c r="AE5564">
        <v>43.3357999999999</v>
      </c>
      <c r="AF5564">
        <v>9.1751221121900794</v>
      </c>
      <c r="AG5564">
        <v>-1.1208799408500001</v>
      </c>
      <c r="AH5564">
        <v>43.652567333476398</v>
      </c>
      <c r="AI5564">
        <v>91.439439202753803</v>
      </c>
      <c r="AJ5564">
        <v>78.130060131757503</v>
      </c>
      <c r="AK5564">
        <v>44.620464726614898</v>
      </c>
      <c r="AL5564">
        <v>77.948113115587901</v>
      </c>
      <c r="AM5564">
        <v>89.706227611363005</v>
      </c>
      <c r="AN5564">
        <v>0.99999993799307996</v>
      </c>
    </row>
    <row r="5565" spans="1:40" x14ac:dyDescent="0.25">
      <c r="A5565" t="str">
        <f>"20190303170924414"</f>
        <v>20190303170924414</v>
      </c>
      <c r="B5565" t="str">
        <f>"1551604164399672"</f>
        <v>1551604164399672</v>
      </c>
      <c r="C5565" t="s">
        <v>40</v>
      </c>
      <c r="D5565">
        <v>4.8046790000000001</v>
      </c>
      <c r="E5565">
        <v>0.58341030000000005</v>
      </c>
      <c r="F5565" t="s">
        <v>58</v>
      </c>
      <c r="G5565">
        <v>-176.27500000000001</v>
      </c>
      <c r="H5565" s="1">
        <v>-7.9977650000000008E-6</v>
      </c>
      <c r="I5565">
        <v>143.82419999999999</v>
      </c>
      <c r="J5565">
        <v>-187.09280000000001</v>
      </c>
      <c r="K5565">
        <v>1.1207510000000001</v>
      </c>
      <c r="L5565">
        <v>100.44070000000001</v>
      </c>
      <c r="M5565">
        <v>3.507366E-2</v>
      </c>
      <c r="N5565">
        <v>-1.482113E-2</v>
      </c>
      <c r="O5565">
        <v>0.99927480000000002</v>
      </c>
      <c r="P5565">
        <v>4.0818380000000001E-2</v>
      </c>
      <c r="Q5565">
        <v>0.1933155</v>
      </c>
      <c r="R5565">
        <v>0.98028720000000003</v>
      </c>
      <c r="S5565">
        <v>0.75358579999999997</v>
      </c>
      <c r="T5565">
        <v>-7.7978130000000007E-2</v>
      </c>
      <c r="U5565">
        <v>3.046265</v>
      </c>
      <c r="V5565">
        <v>6.5639849999999996E-3</v>
      </c>
      <c r="W5565">
        <v>0.2078306</v>
      </c>
      <c r="X5565">
        <v>0.97814279999999998</v>
      </c>
      <c r="Y5565">
        <v>0.20587059999999999</v>
      </c>
      <c r="Z5565">
        <v>-1.016068E-2</v>
      </c>
      <c r="AA5565">
        <v>0.97852649999999997</v>
      </c>
      <c r="AB5565">
        <v>38</v>
      </c>
      <c r="AC5565">
        <v>10.8178</v>
      </c>
      <c r="AD5565">
        <v>-1.1207589977650001</v>
      </c>
      <c r="AE5565">
        <v>43.383499999999898</v>
      </c>
      <c r="AF5565">
        <v>9.2835243611417795</v>
      </c>
      <c r="AG5565">
        <v>-1.1207589977650001</v>
      </c>
      <c r="AH5565">
        <v>43.708800129589399</v>
      </c>
      <c r="AI5565">
        <v>91.436791021310398</v>
      </c>
      <c r="AJ5565">
        <v>78.008864776112304</v>
      </c>
      <c r="AK5565">
        <v>44.697864983278301</v>
      </c>
      <c r="AL5565">
        <v>78.004749804492505</v>
      </c>
      <c r="AM5565">
        <v>89.615513203208806</v>
      </c>
      <c r="AN5565">
        <v>0.99999999069363998</v>
      </c>
    </row>
    <row r="5566" spans="1:40" x14ac:dyDescent="0.25">
      <c r="A5566" t="str">
        <f>"20190303170924436"</f>
        <v>20190303170924436</v>
      </c>
      <c r="B5566" t="str">
        <f>"1551604164429927"</f>
        <v>1551604164429927</v>
      </c>
      <c r="C5566" t="s">
        <v>40</v>
      </c>
      <c r="D5566">
        <v>4.8295309999999896</v>
      </c>
      <c r="E5566">
        <v>0.58370949999999999</v>
      </c>
      <c r="F5566" t="s">
        <v>58</v>
      </c>
      <c r="G5566">
        <v>-176.63890000000001</v>
      </c>
      <c r="H5566" s="1">
        <v>-7.7031889999999993E-6</v>
      </c>
      <c r="I5566">
        <v>142.21369999999999</v>
      </c>
      <c r="J5566">
        <v>-187.0788</v>
      </c>
      <c r="K5566">
        <v>1.120636</v>
      </c>
      <c r="L5566">
        <v>100.825</v>
      </c>
      <c r="M5566">
        <v>3.5613239999999997E-2</v>
      </c>
      <c r="N5566">
        <v>-1.483758E-2</v>
      </c>
      <c r="O5566">
        <v>0.99925549999999996</v>
      </c>
      <c r="P5566">
        <v>4.3455029999999999E-2</v>
      </c>
      <c r="Q5566">
        <v>0.1925462</v>
      </c>
      <c r="R5566">
        <v>0.98032529999999996</v>
      </c>
      <c r="S5566">
        <v>0.7619629</v>
      </c>
      <c r="T5566">
        <v>-8.1689479999999995E-2</v>
      </c>
      <c r="U5566">
        <v>3.0447389999999999</v>
      </c>
      <c r="V5566">
        <v>8.7239969999999903E-3</v>
      </c>
      <c r="W5566">
        <v>0.20707539999999999</v>
      </c>
      <c r="X5566">
        <v>0.97828610000000005</v>
      </c>
      <c r="Y5566">
        <v>0.2079857</v>
      </c>
      <c r="Z5566">
        <v>-1.1328909999999999E-2</v>
      </c>
      <c r="AA5566">
        <v>0.97806630000000006</v>
      </c>
      <c r="AB5566">
        <v>38</v>
      </c>
      <c r="AC5566">
        <v>10.4398999999999</v>
      </c>
      <c r="AD5566">
        <v>-1.120643703189</v>
      </c>
      <c r="AE5566">
        <v>41.388699999999901</v>
      </c>
      <c r="AF5566">
        <v>8.9529570733163393</v>
      </c>
      <c r="AG5566">
        <v>-1.120643703189</v>
      </c>
      <c r="AH5566">
        <v>41.705532836119197</v>
      </c>
      <c r="AI5566">
        <v>91.504920106912095</v>
      </c>
      <c r="AJ5566">
        <v>77.884153428743005</v>
      </c>
      <c r="AK5566">
        <v>42.670396668073799</v>
      </c>
      <c r="AL5566">
        <v>78.048982099023704</v>
      </c>
      <c r="AM5566">
        <v>89.489070774685203</v>
      </c>
      <c r="AN5566">
        <v>1.0000000114310099</v>
      </c>
    </row>
    <row r="5567" spans="1:40" x14ac:dyDescent="0.25">
      <c r="A5567" t="str">
        <f>"20190303170924480"</f>
        <v>20190303170924480</v>
      </c>
      <c r="B5567" t="str">
        <f>"1551604164469943"</f>
        <v>1551604164469943</v>
      </c>
      <c r="C5567" t="s">
        <v>40</v>
      </c>
      <c r="D5567">
        <v>4.8624409999999996</v>
      </c>
      <c r="E5567">
        <v>0.5839799</v>
      </c>
      <c r="F5567" t="s">
        <v>58</v>
      </c>
      <c r="G5567">
        <v>-176.86189999999999</v>
      </c>
      <c r="H5567" s="1">
        <v>-7.4709849999999898E-6</v>
      </c>
      <c r="I5567">
        <v>141.06720000000001</v>
      </c>
      <c r="J5567">
        <v>-187.05090000000001</v>
      </c>
      <c r="K5567">
        <v>1.1203989999999999</v>
      </c>
      <c r="L5567">
        <v>101.5634</v>
      </c>
      <c r="M5567">
        <v>3.7117879999999999E-2</v>
      </c>
      <c r="N5567">
        <v>-1.4862770000000001E-2</v>
      </c>
      <c r="O5567">
        <v>0.99920030000000004</v>
      </c>
      <c r="P5567">
        <v>4.8714880000000002E-2</v>
      </c>
      <c r="Q5567">
        <v>0.19278049999999999</v>
      </c>
      <c r="R5567">
        <v>0.98003189999999996</v>
      </c>
      <c r="S5567">
        <v>0.77247619999999995</v>
      </c>
      <c r="T5567">
        <v>-8.4728600000000001E-2</v>
      </c>
      <c r="U5567">
        <v>3.0426030000000002</v>
      </c>
      <c r="V5567">
        <v>1.2643130000000001E-2</v>
      </c>
      <c r="W5567">
        <v>0.20732129999999999</v>
      </c>
      <c r="X5567">
        <v>0.97819120000000004</v>
      </c>
      <c r="Y5567">
        <v>0.2098467</v>
      </c>
      <c r="Z5567">
        <v>-1.227755E-2</v>
      </c>
      <c r="AA5567">
        <v>0.9776572</v>
      </c>
      <c r="AB5567">
        <v>38</v>
      </c>
      <c r="AC5567">
        <v>10.189</v>
      </c>
      <c r="AD5567">
        <v>-1.1204064709849999</v>
      </c>
      <c r="AE5567">
        <v>39.503799999999998</v>
      </c>
      <c r="AF5567">
        <v>8.7089492394030099</v>
      </c>
      <c r="AG5567">
        <v>-1.1204064709849999</v>
      </c>
      <c r="AH5567">
        <v>39.824770618059503</v>
      </c>
      <c r="AI5567">
        <v>91.574316149112093</v>
      </c>
      <c r="AJ5567">
        <v>77.664646411313896</v>
      </c>
      <c r="AK5567">
        <v>40.781288139240701</v>
      </c>
      <c r="AL5567">
        <v>78.034580362363599</v>
      </c>
      <c r="AM5567">
        <v>89.259492771383194</v>
      </c>
      <c r="AN5567">
        <v>0.99999999696366304</v>
      </c>
    </row>
    <row r="5568" spans="1:40" x14ac:dyDescent="0.25">
      <c r="A5568" t="str">
        <f>"20190303170924502"</f>
        <v>20190303170924502</v>
      </c>
      <c r="B5568" t="str">
        <f>"1551604164489463"</f>
        <v>1551604164489463</v>
      </c>
      <c r="C5568" t="s">
        <v>40</v>
      </c>
      <c r="D5568">
        <v>4.8577380000000003</v>
      </c>
      <c r="E5568">
        <v>0.58412299999999995</v>
      </c>
      <c r="F5568" t="s">
        <v>58</v>
      </c>
      <c r="G5568">
        <v>-176.42769999999999</v>
      </c>
      <c r="H5568" s="1">
        <v>-7.5984550000000004E-6</v>
      </c>
      <c r="I5568">
        <v>142.29650000000001</v>
      </c>
      <c r="J5568">
        <v>-187.036</v>
      </c>
      <c r="K5568">
        <v>1.1202510000000001</v>
      </c>
      <c r="L5568">
        <v>101.9391</v>
      </c>
      <c r="M5568">
        <v>3.8148700000000001E-2</v>
      </c>
      <c r="N5568">
        <v>-1.4873300000000001E-2</v>
      </c>
      <c r="O5568">
        <v>0.99916139999999998</v>
      </c>
      <c r="P5568">
        <v>5.2194230000000001E-2</v>
      </c>
      <c r="Q5568">
        <v>0.19412650000000001</v>
      </c>
      <c r="R5568">
        <v>0.97958699999999999</v>
      </c>
      <c r="S5568">
        <v>0.79235840000000002</v>
      </c>
      <c r="T5568">
        <v>-8.3568329999999996E-2</v>
      </c>
      <c r="U5568">
        <v>3.0381770000000001</v>
      </c>
      <c r="V5568">
        <v>1.5205079999999999E-2</v>
      </c>
      <c r="W5568">
        <v>0.2086636</v>
      </c>
      <c r="X5568">
        <v>0.97786930000000005</v>
      </c>
      <c r="Y5568">
        <v>0.21517449999999999</v>
      </c>
      <c r="Z5568">
        <v>-1.189931E-2</v>
      </c>
      <c r="AA5568">
        <v>0.97650309999999996</v>
      </c>
      <c r="AB5568">
        <v>38</v>
      </c>
      <c r="AC5568">
        <v>10.6082999999999</v>
      </c>
      <c r="AD5568">
        <v>-1.120258598455</v>
      </c>
      <c r="AE5568">
        <v>40.357399999999998</v>
      </c>
      <c r="AF5568">
        <v>9.0542978711842608</v>
      </c>
      <c r="AG5568">
        <v>-1.120258598455</v>
      </c>
      <c r="AH5568">
        <v>40.7034176201741</v>
      </c>
      <c r="AI5568">
        <v>91.538927207247696</v>
      </c>
      <c r="AJ5568">
        <v>77.458994248827295</v>
      </c>
      <c r="AK5568">
        <v>41.713349125068397</v>
      </c>
      <c r="AL5568">
        <v>77.955953082583207</v>
      </c>
      <c r="AM5568">
        <v>89.109168566570901</v>
      </c>
      <c r="AN5568">
        <v>1.00000003015262</v>
      </c>
    </row>
    <row r="5569" spans="1:40" x14ac:dyDescent="0.25">
      <c r="A5569" t="str">
        <f>"20190303170924524"</f>
        <v>20190303170924524</v>
      </c>
      <c r="B5569" t="str">
        <f>"1551604164519719"</f>
        <v>1551604164519719</v>
      </c>
      <c r="C5569" t="s">
        <v>40</v>
      </c>
      <c r="D5569">
        <v>4.8858430000000004</v>
      </c>
      <c r="E5569">
        <v>0.58432510000000004</v>
      </c>
      <c r="F5569" t="s">
        <v>58</v>
      </c>
      <c r="G5569">
        <v>-175.6335</v>
      </c>
      <c r="H5569" s="1">
        <v>-7.9620619999999904E-6</v>
      </c>
      <c r="I5569">
        <v>144.94810000000001</v>
      </c>
      <c r="J5569">
        <v>-187.02</v>
      </c>
      <c r="K5569">
        <v>1.1200680000000001</v>
      </c>
      <c r="L5569">
        <v>102.3271</v>
      </c>
      <c r="M5569">
        <v>3.9421409999999997E-2</v>
      </c>
      <c r="N5569">
        <v>-1.488284E-2</v>
      </c>
      <c r="O5569">
        <v>0.99911179999999999</v>
      </c>
      <c r="P5569">
        <v>5.5848090000000003E-2</v>
      </c>
      <c r="Q5569">
        <v>0.1941833</v>
      </c>
      <c r="R5569">
        <v>0.97937419999999997</v>
      </c>
      <c r="S5569">
        <v>0.80471800000000004</v>
      </c>
      <c r="T5569">
        <v>-7.9060909999999998E-2</v>
      </c>
      <c r="U5569">
        <v>3.0353089999999998</v>
      </c>
      <c r="V5569">
        <v>1.770613E-2</v>
      </c>
      <c r="W5569">
        <v>0.20871629999999999</v>
      </c>
      <c r="X5569">
        <v>0.97781589999999996</v>
      </c>
      <c r="Y5569">
        <v>0.2178794</v>
      </c>
      <c r="Z5569">
        <v>-1.0454649999999999E-2</v>
      </c>
      <c r="AA5569">
        <v>0.97591969999999995</v>
      </c>
      <c r="AB5569">
        <v>38</v>
      </c>
      <c r="AC5569">
        <v>11.3865</v>
      </c>
      <c r="AD5569">
        <v>-1.120075962062</v>
      </c>
      <c r="AE5569">
        <v>42.621000000000002</v>
      </c>
      <c r="AF5569">
        <v>9.6910338554077295</v>
      </c>
      <c r="AG5569">
        <v>-1.120075962062</v>
      </c>
      <c r="AH5569">
        <v>43.009059160127997</v>
      </c>
      <c r="AI5569">
        <v>91.455333757003899</v>
      </c>
      <c r="AJ5569">
        <v>77.301871570574704</v>
      </c>
      <c r="AK5569">
        <v>44.101585880632904</v>
      </c>
      <c r="AL5569">
        <v>77.952864850002896</v>
      </c>
      <c r="AM5569">
        <v>88.962610793029498</v>
      </c>
      <c r="AN5569">
        <v>0.99999996760903698</v>
      </c>
    </row>
    <row r="5570" spans="1:40" x14ac:dyDescent="0.25">
      <c r="A5570" t="str">
        <f>"20190303170924546"</f>
        <v>20190303170924546</v>
      </c>
      <c r="B5570" t="str">
        <f>"1551604164539746"</f>
        <v>1551604164539746</v>
      </c>
      <c r="C5570" t="s">
        <v>40</v>
      </c>
      <c r="D5570">
        <v>4.8790250000000004</v>
      </c>
      <c r="E5570">
        <v>0.58439859999999999</v>
      </c>
      <c r="F5570" t="s">
        <v>58</v>
      </c>
      <c r="G5570">
        <v>-175.47370000000001</v>
      </c>
      <c r="H5570" s="1">
        <v>-7.9341209999999999E-6</v>
      </c>
      <c r="I5570">
        <v>145.16919999999999</v>
      </c>
      <c r="J5570">
        <v>-187.00389999999999</v>
      </c>
      <c r="K5570">
        <v>1.1198600000000001</v>
      </c>
      <c r="L5570">
        <v>102.7025</v>
      </c>
      <c r="M5570">
        <v>4.0902359999999999E-2</v>
      </c>
      <c r="N5570">
        <v>-1.4891329999999999E-2</v>
      </c>
      <c r="O5570">
        <v>0.99905219999999995</v>
      </c>
      <c r="P5570">
        <v>5.9372250000000001E-2</v>
      </c>
      <c r="Q5570">
        <v>0.19313540000000001</v>
      </c>
      <c r="R5570">
        <v>0.97937410000000003</v>
      </c>
      <c r="S5570">
        <v>0.81723020000000002</v>
      </c>
      <c r="T5570">
        <v>-7.9276920000000001E-2</v>
      </c>
      <c r="U5570">
        <v>3.0322879999999999</v>
      </c>
      <c r="V5570">
        <v>1.987419E-2</v>
      </c>
      <c r="W5570">
        <v>0.20766409999999999</v>
      </c>
      <c r="X5570">
        <v>0.97799829999999999</v>
      </c>
      <c r="Y5570">
        <v>0.22042990000000001</v>
      </c>
      <c r="Z5570">
        <v>-1.052079E-2</v>
      </c>
      <c r="AA5570">
        <v>0.97534609999999999</v>
      </c>
      <c r="AB5570">
        <v>38</v>
      </c>
      <c r="AC5570">
        <v>11.530199999999899</v>
      </c>
      <c r="AD5570">
        <v>-1.1198679341210001</v>
      </c>
      <c r="AE5570">
        <v>42.466699999999904</v>
      </c>
      <c r="AF5570">
        <v>9.7770357833346697</v>
      </c>
      <c r="AG5570">
        <v>-1.1198679341210001</v>
      </c>
      <c r="AH5570">
        <v>42.8750500691635</v>
      </c>
      <c r="AI5570">
        <v>91.458757272712006</v>
      </c>
      <c r="AJ5570">
        <v>77.154180752509106</v>
      </c>
      <c r="AK5570">
        <v>43.989935795949499</v>
      </c>
      <c r="AL5570">
        <v>78.0145026635319</v>
      </c>
      <c r="AM5570">
        <v>88.835835908772793</v>
      </c>
      <c r="AN5570">
        <v>1.00000001832992</v>
      </c>
    </row>
    <row r="5571" spans="1:40" x14ac:dyDescent="0.25">
      <c r="A5571" t="str">
        <f>"20190303170924569"</f>
        <v>20190303170924569</v>
      </c>
      <c r="B5571" t="str">
        <f>"1551604164559266"</f>
        <v>1551604164559266</v>
      </c>
      <c r="C5571" t="s">
        <v>40</v>
      </c>
      <c r="D5571">
        <v>4.893802</v>
      </c>
      <c r="E5571">
        <v>0.60419659999999997</v>
      </c>
      <c r="F5571" t="s">
        <v>58</v>
      </c>
      <c r="G5571">
        <v>-175.73560000000001</v>
      </c>
      <c r="H5571" s="1">
        <v>-7.6759489999999995E-6</v>
      </c>
      <c r="I5571">
        <v>143.86750000000001</v>
      </c>
      <c r="J5571">
        <v>-186.98670000000001</v>
      </c>
      <c r="K5571">
        <v>1.119623</v>
      </c>
      <c r="L5571">
        <v>103.083</v>
      </c>
      <c r="M5571">
        <v>4.2677890000000003E-2</v>
      </c>
      <c r="N5571">
        <v>-1.4900149999999999E-2</v>
      </c>
      <c r="O5571">
        <v>0.99897780000000003</v>
      </c>
      <c r="P5571">
        <v>6.2692010000000006E-2</v>
      </c>
      <c r="Q5571">
        <v>0.1913289</v>
      </c>
      <c r="R5571">
        <v>0.9795218</v>
      </c>
      <c r="S5571">
        <v>0.82919310000000002</v>
      </c>
      <c r="T5571">
        <v>-8.2406880000000002E-2</v>
      </c>
      <c r="U5571">
        <v>3.029175</v>
      </c>
      <c r="V5571">
        <v>2.1554799999999999E-2</v>
      </c>
      <c r="W5571">
        <v>0.20585439999999999</v>
      </c>
      <c r="X5571">
        <v>0.97834520000000003</v>
      </c>
      <c r="Y5571">
        <v>0.22252939999999999</v>
      </c>
      <c r="Z5571">
        <v>-1.151979E-2</v>
      </c>
      <c r="AA5571">
        <v>0.97485790000000005</v>
      </c>
      <c r="AB5571">
        <v>38</v>
      </c>
      <c r="AC5571">
        <v>11.251099999999999</v>
      </c>
      <c r="AD5571">
        <v>-1.119630675949</v>
      </c>
      <c r="AE5571">
        <v>40.784500000000001</v>
      </c>
      <c r="AF5571">
        <v>9.4934084988903695</v>
      </c>
      <c r="AG5571">
        <v>-1.119630675949</v>
      </c>
      <c r="AH5571">
        <v>41.198705952206303</v>
      </c>
      <c r="AI5571">
        <v>91.516973456684198</v>
      </c>
      <c r="AJ5571">
        <v>77.023850626163394</v>
      </c>
      <c r="AK5571">
        <v>42.293164340277102</v>
      </c>
      <c r="AL5571">
        <v>78.120480463842497</v>
      </c>
      <c r="AM5571">
        <v>88.737869515031406</v>
      </c>
      <c r="AN5571">
        <v>0.99999998688271996</v>
      </c>
    </row>
    <row r="5572" spans="1:40" x14ac:dyDescent="0.25">
      <c r="A5572" t="str">
        <f>"20190303170924590"</f>
        <v>20190303170924590</v>
      </c>
      <c r="B5572" t="str">
        <f>"1551604164579762"</f>
        <v>1551604164579762</v>
      </c>
      <c r="C5572" t="s">
        <v>40</v>
      </c>
      <c r="D5572">
        <v>4.93825</v>
      </c>
      <c r="E5572">
        <v>0.61045169999999904</v>
      </c>
      <c r="F5572" t="s">
        <v>58</v>
      </c>
      <c r="G5572">
        <v>-171.5746</v>
      </c>
      <c r="H5572">
        <v>8.4626489999999992E-3</v>
      </c>
      <c r="I5572">
        <v>149.6163</v>
      </c>
      <c r="J5572">
        <v>-186.96979999999999</v>
      </c>
      <c r="K5572">
        <v>1.119383</v>
      </c>
      <c r="L5572">
        <v>103.43770000000001</v>
      </c>
      <c r="M5572">
        <v>4.4610190000000001E-2</v>
      </c>
      <c r="N5572">
        <v>-1.4908899999999999E-2</v>
      </c>
      <c r="O5572">
        <v>0.99889320000000004</v>
      </c>
      <c r="P5572">
        <v>6.7003060000000003E-2</v>
      </c>
      <c r="Q5572">
        <v>0.19064729999999999</v>
      </c>
      <c r="R5572">
        <v>0.9793693</v>
      </c>
      <c r="S5572">
        <v>0.99789430000000001</v>
      </c>
      <c r="T5572">
        <v>-7.1944709999999995E-2</v>
      </c>
      <c r="U5572">
        <v>3.0129090000000001</v>
      </c>
      <c r="V5572">
        <v>2.408884E-2</v>
      </c>
      <c r="W5572">
        <v>0.20515949999999999</v>
      </c>
      <c r="X5572">
        <v>0.97843210000000003</v>
      </c>
      <c r="Y5572">
        <v>0.27166010000000002</v>
      </c>
      <c r="Z5572">
        <v>-7.9789969999999998E-3</v>
      </c>
      <c r="AA5572">
        <v>0.9623602</v>
      </c>
      <c r="AB5572">
        <v>38</v>
      </c>
      <c r="AC5572">
        <v>15.3951999999999</v>
      </c>
      <c r="AD5572">
        <v>-1.1109203509999901</v>
      </c>
      <c r="AE5572">
        <v>46.178599999999904</v>
      </c>
      <c r="AF5572">
        <v>13.3126711480263</v>
      </c>
      <c r="AG5572">
        <v>-1.1109203509999901</v>
      </c>
      <c r="AH5572">
        <v>46.795103450358802</v>
      </c>
      <c r="AI5572">
        <v>91.308067469831997</v>
      </c>
      <c r="AJ5572">
        <v>74.119554222612194</v>
      </c>
      <c r="AK5572">
        <v>48.664597646045998</v>
      </c>
      <c r="AL5572">
        <v>78.161164218276895</v>
      </c>
      <c r="AM5572">
        <v>88.589672082692303</v>
      </c>
      <c r="AN5572">
        <v>1.0000000334815999</v>
      </c>
    </row>
    <row r="5573" spans="1:40" x14ac:dyDescent="0.25">
      <c r="A5573" t="str">
        <f>"20190303170924615"</f>
        <v>20190303170924615</v>
      </c>
      <c r="B5573" t="str">
        <f>"1551604164599282"</f>
        <v>1551604164599282</v>
      </c>
      <c r="C5573" t="s">
        <v>40</v>
      </c>
      <c r="D5573">
        <v>4.9086980000000002</v>
      </c>
      <c r="E5573">
        <v>0.61274490000000004</v>
      </c>
      <c r="F5573" t="s">
        <v>58</v>
      </c>
      <c r="G5573">
        <v>-170.9238</v>
      </c>
      <c r="H5573" s="1">
        <v>-7.016781E-6</v>
      </c>
      <c r="I5573">
        <v>148.8552</v>
      </c>
      <c r="J5573">
        <v>-186.9479</v>
      </c>
      <c r="K5573">
        <v>1.119078</v>
      </c>
      <c r="L5573">
        <v>103.8686</v>
      </c>
      <c r="M5573">
        <v>4.7320429999999997E-2</v>
      </c>
      <c r="N5573">
        <v>-1.49202E-2</v>
      </c>
      <c r="O5573">
        <v>0.99876830000000005</v>
      </c>
      <c r="P5573">
        <v>7.2320560000000006E-2</v>
      </c>
      <c r="Q5573">
        <v>0.19124969999999999</v>
      </c>
      <c r="R5573">
        <v>0.97887349999999995</v>
      </c>
      <c r="S5573">
        <v>1.061661</v>
      </c>
      <c r="T5573">
        <v>-7.4062589999999998E-2</v>
      </c>
      <c r="U5573">
        <v>3.0049739999999998</v>
      </c>
      <c r="V5573">
        <v>2.6915080000000001E-2</v>
      </c>
      <c r="W5573">
        <v>0.20573959999999999</v>
      </c>
      <c r="X5573">
        <v>0.97823660000000001</v>
      </c>
      <c r="Y5573">
        <v>0.28803430000000002</v>
      </c>
      <c r="Z5573">
        <v>-8.5705160000000002E-3</v>
      </c>
      <c r="AA5573">
        <v>0.95758180000000004</v>
      </c>
      <c r="AB5573">
        <v>38</v>
      </c>
      <c r="AC5573">
        <v>16.024100000000001</v>
      </c>
      <c r="AD5573">
        <v>-1.119085016781</v>
      </c>
      <c r="AE5573">
        <v>44.986600000000003</v>
      </c>
      <c r="AF5573">
        <v>13.8695065759947</v>
      </c>
      <c r="AG5573">
        <v>-1.119085016781</v>
      </c>
      <c r="AH5573">
        <v>45.669465803750597</v>
      </c>
      <c r="AI5573">
        <v>91.343146093392704</v>
      </c>
      <c r="AJ5573">
        <v>73.106820400815195</v>
      </c>
      <c r="AK5573">
        <v>47.742179157808501</v>
      </c>
      <c r="AL5573">
        <v>78.1272023534856</v>
      </c>
      <c r="AM5573">
        <v>88.423968669085596</v>
      </c>
      <c r="AN5573">
        <v>1.00000002505956</v>
      </c>
    </row>
    <row r="5574" spans="1:40" x14ac:dyDescent="0.25">
      <c r="A5574" t="str">
        <f>"20190303170924635"</f>
        <v>20190303170924635</v>
      </c>
      <c r="B5574" t="str">
        <f>"1551604164619778"</f>
        <v>1551604164619778</v>
      </c>
      <c r="C5574" t="s">
        <v>40</v>
      </c>
      <c r="D5574">
        <v>4.923654</v>
      </c>
      <c r="E5574">
        <v>0.61377459999999995</v>
      </c>
      <c r="F5574" t="s">
        <v>58</v>
      </c>
      <c r="G5574">
        <v>-170.21850000000001</v>
      </c>
      <c r="H5574">
        <v>2.7246010000000001E-2</v>
      </c>
      <c r="I5574">
        <v>149.6163</v>
      </c>
      <c r="J5574">
        <v>-186.92939999999999</v>
      </c>
      <c r="K5574">
        <v>1.1188530000000001</v>
      </c>
      <c r="L5574">
        <v>104.21420000000001</v>
      </c>
      <c r="M5574">
        <v>4.9717490000000003E-2</v>
      </c>
      <c r="N5574">
        <v>-1.4928749999999999E-2</v>
      </c>
      <c r="O5574">
        <v>0.99865170000000003</v>
      </c>
      <c r="P5574">
        <v>7.7500630000000001E-2</v>
      </c>
      <c r="Q5574">
        <v>0.19183320000000001</v>
      </c>
      <c r="R5574">
        <v>0.97836270000000003</v>
      </c>
      <c r="S5574">
        <v>1.0962369999999999</v>
      </c>
      <c r="T5574">
        <v>-7.154489E-2</v>
      </c>
      <c r="U5574">
        <v>2.9977260000000001</v>
      </c>
      <c r="V5574">
        <v>2.987621E-2</v>
      </c>
      <c r="W5574">
        <v>0.20629810000000001</v>
      </c>
      <c r="X5574">
        <v>0.97803289999999998</v>
      </c>
      <c r="Y5574">
        <v>0.296232</v>
      </c>
      <c r="Z5574">
        <v>-7.7538310000000001E-3</v>
      </c>
      <c r="AA5574">
        <v>0.95508459999999995</v>
      </c>
      <c r="AB5574">
        <v>38</v>
      </c>
      <c r="AC5574">
        <v>16.710899999999899</v>
      </c>
      <c r="AD5574">
        <v>-1.0916069900000001</v>
      </c>
      <c r="AE5574">
        <v>45.402099999999898</v>
      </c>
      <c r="AF5574">
        <v>14.4253552669631</v>
      </c>
      <c r="AG5574">
        <v>-1.0916069900000001</v>
      </c>
      <c r="AH5574">
        <v>46.153359527899703</v>
      </c>
      <c r="AI5574">
        <v>91.293219289414296</v>
      </c>
      <c r="AJ5574">
        <v>72.643226667209206</v>
      </c>
      <c r="AK5574">
        <v>48.367500205306101</v>
      </c>
      <c r="AL5574">
        <v>78.094499931644293</v>
      </c>
      <c r="AM5574">
        <v>88.250315916364499</v>
      </c>
      <c r="AN5574">
        <v>0.99999992373498903</v>
      </c>
    </row>
    <row r="5575" spans="1:40" x14ac:dyDescent="0.25">
      <c r="A5575" t="str">
        <f>"20190303170924658"</f>
        <v>20190303170924658</v>
      </c>
      <c r="B5575" t="str">
        <f>"1551604164649566"</f>
        <v>1551604164649566</v>
      </c>
      <c r="C5575" t="s">
        <v>40</v>
      </c>
      <c r="D5575">
        <v>4.919753</v>
      </c>
      <c r="E5575">
        <v>0.61485409999999996</v>
      </c>
      <c r="F5575" t="s">
        <v>43</v>
      </c>
      <c r="G5575">
        <v>-169.9391</v>
      </c>
      <c r="H5575">
        <v>3.6583900000000003E-2</v>
      </c>
      <c r="I5575">
        <v>149.6163</v>
      </c>
      <c r="J5575">
        <v>-186.90719999999999</v>
      </c>
      <c r="K5575">
        <v>1.1186149999999999</v>
      </c>
      <c r="L5575">
        <v>104.60339999999999</v>
      </c>
      <c r="M5575">
        <v>5.2668859999999998E-2</v>
      </c>
      <c r="N5575">
        <v>-1.4936960000000001E-2</v>
      </c>
      <c r="O5575">
        <v>0.99850030000000001</v>
      </c>
      <c r="P5575">
        <v>8.2715419999999998E-2</v>
      </c>
      <c r="Q5575">
        <v>0.1908918</v>
      </c>
      <c r="R5575">
        <v>0.97811990000000004</v>
      </c>
      <c r="S5575">
        <v>1.1195219999999999</v>
      </c>
      <c r="T5575">
        <v>-7.1312899999999901E-2</v>
      </c>
      <c r="U5575">
        <v>2.991638</v>
      </c>
      <c r="V5575">
        <v>3.2311850000000003E-2</v>
      </c>
      <c r="W5575">
        <v>0.20533509999999999</v>
      </c>
      <c r="X5575">
        <v>0.97815819999999998</v>
      </c>
      <c r="Y5575">
        <v>0.30056919999999998</v>
      </c>
      <c r="Z5575">
        <v>-7.6760369999999897E-3</v>
      </c>
      <c r="AA5575">
        <v>0.95372920000000005</v>
      </c>
      <c r="AB5575">
        <v>38</v>
      </c>
      <c r="AC5575">
        <v>16.9680999999999</v>
      </c>
      <c r="AD5575">
        <v>-1.0820311</v>
      </c>
      <c r="AE5575">
        <v>45.012900000000002</v>
      </c>
      <c r="AF5575">
        <v>14.566131251741799</v>
      </c>
      <c r="AG5575">
        <v>-1.0820311</v>
      </c>
      <c r="AH5575">
        <v>45.821016986064102</v>
      </c>
      <c r="AI5575">
        <v>91.289198495801898</v>
      </c>
      <c r="AJ5575">
        <v>72.3649597817884</v>
      </c>
      <c r="AK5575">
        <v>48.092708060385903</v>
      </c>
      <c r="AL5575">
        <v>78.150883956827599</v>
      </c>
      <c r="AM5575">
        <v>88.108015982772102</v>
      </c>
      <c r="AN5575">
        <v>1.00000001158483</v>
      </c>
    </row>
    <row r="5576" spans="1:40" x14ac:dyDescent="0.25">
      <c r="A5576" t="str">
        <f>"20190303170924679"</f>
        <v>20190303170924679</v>
      </c>
      <c r="B5576" t="str">
        <f>"1551604164670061"</f>
        <v>1551604164670061</v>
      </c>
      <c r="C5576" t="s">
        <v>40</v>
      </c>
      <c r="D5576">
        <v>4.9291210000000003</v>
      </c>
      <c r="E5576">
        <v>0.61547430000000003</v>
      </c>
      <c r="F5576" t="s">
        <v>58</v>
      </c>
      <c r="G5576">
        <v>-170.09399999999999</v>
      </c>
      <c r="H5576" s="1">
        <v>-6.5277729999999999E-6</v>
      </c>
      <c r="I5576">
        <v>148.4811</v>
      </c>
      <c r="J5576">
        <v>-186.88550000000001</v>
      </c>
      <c r="K5576">
        <v>1.118393</v>
      </c>
      <c r="L5576">
        <v>104.96380000000001</v>
      </c>
      <c r="M5576">
        <v>5.5631300000000002E-2</v>
      </c>
      <c r="N5576">
        <v>-1.4943659999999999E-2</v>
      </c>
      <c r="O5576">
        <v>0.99833950000000005</v>
      </c>
      <c r="P5576">
        <v>8.6872130000000006E-2</v>
      </c>
      <c r="Q5576">
        <v>0.18997729999999999</v>
      </c>
      <c r="R5576">
        <v>0.97793759999999996</v>
      </c>
      <c r="S5576">
        <v>1.1438900000000001</v>
      </c>
      <c r="T5576">
        <v>-7.6105709999999993E-2</v>
      </c>
      <c r="U5576">
        <v>2.9852289999999999</v>
      </c>
      <c r="V5576">
        <v>3.3662079999999997E-2</v>
      </c>
      <c r="W5576">
        <v>0.2044049</v>
      </c>
      <c r="X5576">
        <v>0.9783075</v>
      </c>
      <c r="Y5576">
        <v>0.30520550000000002</v>
      </c>
      <c r="Z5576">
        <v>-9.1809379999999996E-3</v>
      </c>
      <c r="AA5576">
        <v>0.95224229999999999</v>
      </c>
      <c r="AB5576">
        <v>38</v>
      </c>
      <c r="AC5576">
        <v>16.7914999999999</v>
      </c>
      <c r="AD5576">
        <v>-1.1183995277729999</v>
      </c>
      <c r="AE5576">
        <v>43.517299999999899</v>
      </c>
      <c r="AF5576">
        <v>14.336054288617699</v>
      </c>
      <c r="AG5576">
        <v>-1.1183995277729999</v>
      </c>
      <c r="AH5576">
        <v>44.358628693886899</v>
      </c>
      <c r="AI5576">
        <v>91.374312259105196</v>
      </c>
      <c r="AJ5576">
        <v>72.089932862996804</v>
      </c>
      <c r="AK5576">
        <v>46.631118469022901</v>
      </c>
      <c r="AL5576">
        <v>78.205335693003903</v>
      </c>
      <c r="AM5576">
        <v>88.029316448805702</v>
      </c>
      <c r="AN5576">
        <v>1.0000000316650901</v>
      </c>
    </row>
    <row r="5577" spans="1:40" x14ac:dyDescent="0.25">
      <c r="A5577" t="str">
        <f>"20190303170924702"</f>
        <v>20190303170924702</v>
      </c>
      <c r="B5577" t="str">
        <f>"1551604164689581"</f>
        <v>1551604164689581</v>
      </c>
      <c r="C5577" t="s">
        <v>40</v>
      </c>
      <c r="D5577">
        <v>4.9702260000000003</v>
      </c>
      <c r="E5577">
        <v>0.61574659999999903</v>
      </c>
      <c r="F5577" t="s">
        <v>58</v>
      </c>
      <c r="G5577">
        <v>-170.43639999999999</v>
      </c>
      <c r="H5577" s="1">
        <v>-6.2469969999999998E-6</v>
      </c>
      <c r="I5577">
        <v>147.14420000000001</v>
      </c>
      <c r="J5577">
        <v>-186.8612</v>
      </c>
      <c r="K5577">
        <v>1.118163</v>
      </c>
      <c r="L5577">
        <v>105.345</v>
      </c>
      <c r="M5577">
        <v>5.8996819999999998E-2</v>
      </c>
      <c r="N5577">
        <v>-1.495089E-2</v>
      </c>
      <c r="O5577">
        <v>0.99814619999999998</v>
      </c>
      <c r="P5577">
        <v>9.2655329999999994E-2</v>
      </c>
      <c r="Q5577">
        <v>0.19002540000000001</v>
      </c>
      <c r="R5577">
        <v>0.97739719999999997</v>
      </c>
      <c r="S5577">
        <v>1.1620330000000001</v>
      </c>
      <c r="T5577">
        <v>-7.9008339999999996E-2</v>
      </c>
      <c r="U5577">
        <v>2.979797</v>
      </c>
      <c r="V5577">
        <v>3.6270900000000002E-2</v>
      </c>
      <c r="W5577">
        <v>0.20442170000000001</v>
      </c>
      <c r="X5577">
        <v>0.97821069999999999</v>
      </c>
      <c r="Y5577">
        <v>0.30761080000000002</v>
      </c>
      <c r="Z5577">
        <v>-1.00982E-2</v>
      </c>
      <c r="AA5577">
        <v>0.95145869999999999</v>
      </c>
      <c r="AB5577">
        <v>38</v>
      </c>
      <c r="AC5577">
        <v>16.424800000000001</v>
      </c>
      <c r="AD5577">
        <v>-1.1181692469969999</v>
      </c>
      <c r="AE5577">
        <v>41.799199999999999</v>
      </c>
      <c r="AF5577">
        <v>13.921259081364401</v>
      </c>
      <c r="AG5577">
        <v>-1.1181692469969999</v>
      </c>
      <c r="AH5577">
        <v>42.6690454498465</v>
      </c>
      <c r="AI5577">
        <v>91.427125684931099</v>
      </c>
      <c r="AJ5577">
        <v>71.930498443562698</v>
      </c>
      <c r="AK5577">
        <v>44.8965388028573</v>
      </c>
      <c r="AL5577">
        <v>78.204351881240797</v>
      </c>
      <c r="AM5577">
        <v>87.876512809390206</v>
      </c>
      <c r="AN5577">
        <v>0.99999999160609498</v>
      </c>
    </row>
    <row r="5578" spans="1:40" x14ac:dyDescent="0.25">
      <c r="A5578" t="str">
        <f>"20190303170924724"</f>
        <v>20190303170924724</v>
      </c>
      <c r="B5578" t="str">
        <f>"1551604164709101"</f>
        <v>1551604164709101</v>
      </c>
      <c r="C5578" t="s">
        <v>40</v>
      </c>
      <c r="D5578">
        <v>4.9789309999999896</v>
      </c>
      <c r="E5578">
        <v>0.61597400000000002</v>
      </c>
      <c r="F5578" t="s">
        <v>58</v>
      </c>
      <c r="G5578">
        <v>-170.16159999999999</v>
      </c>
      <c r="H5578" s="1">
        <v>-6.1991989999999996E-6</v>
      </c>
      <c r="I5578">
        <v>147.37299999999999</v>
      </c>
      <c r="J5578">
        <v>-186.8372</v>
      </c>
      <c r="K5578">
        <v>1.1179399999999999</v>
      </c>
      <c r="L5578">
        <v>105.6998</v>
      </c>
      <c r="M5578">
        <v>6.2339819999999997E-2</v>
      </c>
      <c r="N5578">
        <v>-1.4958040000000001E-2</v>
      </c>
      <c r="O5578">
        <v>0.99794289999999997</v>
      </c>
      <c r="P5578">
        <v>9.8314399999999899E-2</v>
      </c>
      <c r="Q5578">
        <v>0.1884787</v>
      </c>
      <c r="R5578">
        <v>0.97714380000000001</v>
      </c>
      <c r="S5578">
        <v>1.1812129999999901</v>
      </c>
      <c r="T5578">
        <v>-7.9091670000000003E-2</v>
      </c>
      <c r="U5578">
        <v>2.9727779999999999</v>
      </c>
      <c r="V5578">
        <v>3.8742220000000001E-2</v>
      </c>
      <c r="W5578">
        <v>0.20284840000000001</v>
      </c>
      <c r="X5578">
        <v>0.97844339999999996</v>
      </c>
      <c r="Y5578">
        <v>0.31049480000000002</v>
      </c>
      <c r="Z5578">
        <v>-1.0136289999999999E-2</v>
      </c>
      <c r="AA5578">
        <v>0.95052110000000001</v>
      </c>
      <c r="AB5578">
        <v>38</v>
      </c>
      <c r="AC5578">
        <v>16.675599999999999</v>
      </c>
      <c r="AD5578">
        <v>-1.1179461991989901</v>
      </c>
      <c r="AE5578">
        <v>41.673200000000001</v>
      </c>
      <c r="AF5578">
        <v>14.0362608087406</v>
      </c>
      <c r="AG5578">
        <v>-1.1179461991989901</v>
      </c>
      <c r="AH5578">
        <v>42.605367416095902</v>
      </c>
      <c r="AI5578">
        <v>91.427625874328896</v>
      </c>
      <c r="AJ5578">
        <v>71.765626671553306</v>
      </c>
      <c r="AK5578">
        <v>44.8718592645303</v>
      </c>
      <c r="AL5578">
        <v>78.296424178760702</v>
      </c>
      <c r="AM5578">
        <v>87.732513994212795</v>
      </c>
      <c r="AN5578">
        <v>0.99999995999832303</v>
      </c>
    </row>
    <row r="5579" spans="1:40" x14ac:dyDescent="0.25">
      <c r="A5579" t="str">
        <f>"20190303170924745"</f>
        <v>20190303170924745</v>
      </c>
      <c r="B5579" t="str">
        <f>"1551604164729127"</f>
        <v>1551604164729127</v>
      </c>
      <c r="C5579" t="s">
        <v>40</v>
      </c>
      <c r="D5579">
        <v>4.9660440000000001</v>
      </c>
      <c r="E5579">
        <v>0.61615200000000003</v>
      </c>
      <c r="F5579" t="s">
        <v>58</v>
      </c>
      <c r="G5579">
        <v>-171.33770000000001</v>
      </c>
      <c r="H5579" s="1">
        <v>-5.648361E-6</v>
      </c>
      <c r="I5579">
        <v>144.0591</v>
      </c>
      <c r="J5579">
        <v>-186.8109</v>
      </c>
      <c r="K5579">
        <v>1.1177090000000001</v>
      </c>
      <c r="L5579">
        <v>106.06829999999999</v>
      </c>
      <c r="M5579">
        <v>6.6021869999999996E-2</v>
      </c>
      <c r="N5579">
        <v>-1.496594E-2</v>
      </c>
      <c r="O5579">
        <v>0.99770590000000003</v>
      </c>
      <c r="P5579">
        <v>0.1036026</v>
      </c>
      <c r="Q5579">
        <v>0.1852055</v>
      </c>
      <c r="R5579">
        <v>0.97722330000000002</v>
      </c>
      <c r="S5579">
        <v>1.198547</v>
      </c>
      <c r="T5579">
        <v>-8.6448549999999999E-2</v>
      </c>
      <c r="U5579">
        <v>2.9662480000000002</v>
      </c>
      <c r="V5579">
        <v>4.0476619999999998E-2</v>
      </c>
      <c r="W5579">
        <v>0.19955729999999999</v>
      </c>
      <c r="X5579">
        <v>0.97904979999999997</v>
      </c>
      <c r="Y5579">
        <v>0.31247350000000002</v>
      </c>
      <c r="Z5579">
        <v>-1.246647E-2</v>
      </c>
      <c r="AA5579">
        <v>0.94984469999999999</v>
      </c>
      <c r="AB5579">
        <v>38</v>
      </c>
      <c r="AC5579">
        <v>15.473199999999901</v>
      </c>
      <c r="AD5579">
        <v>-1.1177146483609901</v>
      </c>
      <c r="AE5579">
        <v>37.9908</v>
      </c>
      <c r="AF5579">
        <v>12.9213348791088</v>
      </c>
      <c r="AG5579">
        <v>-1.1177146483609901</v>
      </c>
      <c r="AH5579">
        <v>38.900695565576001</v>
      </c>
      <c r="AI5579">
        <v>91.561932462788405</v>
      </c>
      <c r="AJ5579">
        <v>71.625470893578097</v>
      </c>
      <c r="AK5579">
        <v>41.005783696679401</v>
      </c>
      <c r="AL5579">
        <v>78.4889275619024</v>
      </c>
      <c r="AM5579">
        <v>87.632582592904598</v>
      </c>
      <c r="AN5579">
        <v>0.99999999181497701</v>
      </c>
    </row>
    <row r="5580" spans="1:40" x14ac:dyDescent="0.25">
      <c r="A5580" t="str">
        <f>"20190303170924768"</f>
        <v>20190303170924768</v>
      </c>
      <c r="B5580" t="str">
        <f>"1551604164759384"</f>
        <v>1551604164759384</v>
      </c>
      <c r="C5580" t="s">
        <v>40</v>
      </c>
      <c r="D5580">
        <v>5.003158</v>
      </c>
      <c r="E5580">
        <v>0.61647489999999905</v>
      </c>
      <c r="F5580" t="s">
        <v>58</v>
      </c>
      <c r="G5580">
        <v>-172.9693</v>
      </c>
      <c r="H5580" s="1">
        <v>-4.9894330000000003E-6</v>
      </c>
      <c r="I5580">
        <v>139.78659999999999</v>
      </c>
      <c r="J5580">
        <v>-186.78190000000001</v>
      </c>
      <c r="K5580">
        <v>1.117456</v>
      </c>
      <c r="L5580">
        <v>106.4513</v>
      </c>
      <c r="M5580">
        <v>7.0074719999999993E-2</v>
      </c>
      <c r="N5580">
        <v>-1.4974660000000001E-2</v>
      </c>
      <c r="O5580">
        <v>0.99742940000000002</v>
      </c>
      <c r="P5580">
        <v>0.10988489999999999</v>
      </c>
      <c r="Q5580">
        <v>0.1829305</v>
      </c>
      <c r="R5580">
        <v>0.97696559999999999</v>
      </c>
      <c r="S5580">
        <v>1.2149810000000001</v>
      </c>
      <c r="T5580">
        <v>-9.8110439999999993E-2</v>
      </c>
      <c r="U5580">
        <v>2.9597169999999999</v>
      </c>
      <c r="V5580">
        <v>4.2867420000000003E-2</v>
      </c>
      <c r="W5580">
        <v>0.19725319999999999</v>
      </c>
      <c r="X5580">
        <v>0.97941489999999998</v>
      </c>
      <c r="Y5580">
        <v>0.31383519999999998</v>
      </c>
      <c r="Z5580">
        <v>-1.6156529999999999E-2</v>
      </c>
      <c r="AA5580">
        <v>0.94933999999999996</v>
      </c>
      <c r="AB5580">
        <v>38</v>
      </c>
      <c r="AC5580">
        <v>13.8126</v>
      </c>
      <c r="AD5580">
        <v>-1.1174609894329901</v>
      </c>
      <c r="AE5580">
        <v>33.335299999999897</v>
      </c>
      <c r="AF5580">
        <v>11.4314504633157</v>
      </c>
      <c r="AG5580">
        <v>-1.1174609894329901</v>
      </c>
      <c r="AH5580">
        <v>34.188568779821203</v>
      </c>
      <c r="AI5580">
        <v>91.775504390142402</v>
      </c>
      <c r="AJ5580">
        <v>71.511884102245105</v>
      </c>
      <c r="AK5580">
        <v>36.066397296801298</v>
      </c>
      <c r="AL5580">
        <v>78.623620507469397</v>
      </c>
      <c r="AM5580">
        <v>87.493855086829896</v>
      </c>
      <c r="AN5580">
        <v>0.99999999347485302</v>
      </c>
    </row>
    <row r="5581" spans="1:40" x14ac:dyDescent="0.25">
      <c r="A5581" t="str">
        <f>"20190303170924792"</f>
        <v>20190303170924792</v>
      </c>
      <c r="B5581" t="str">
        <f>"1551604164779880"</f>
        <v>1551604164779880</v>
      </c>
      <c r="C5581" t="s">
        <v>40</v>
      </c>
      <c r="D5581">
        <v>5.0052130000000004</v>
      </c>
      <c r="E5581">
        <v>0.61667609999999995</v>
      </c>
      <c r="F5581" t="s">
        <v>58</v>
      </c>
      <c r="G5581">
        <v>-173.48349999999999</v>
      </c>
      <c r="H5581" s="1">
        <v>-4.6130179999999998E-6</v>
      </c>
      <c r="I5581">
        <v>138.1688</v>
      </c>
      <c r="J5581">
        <v>-186.7499</v>
      </c>
      <c r="K5581">
        <v>1.117205</v>
      </c>
      <c r="L5581">
        <v>106.8472</v>
      </c>
      <c r="M5581">
        <v>7.4550309999999995E-2</v>
      </c>
      <c r="N5581">
        <v>-1.4984620000000001E-2</v>
      </c>
      <c r="O5581">
        <v>0.99710460000000001</v>
      </c>
      <c r="P5581">
        <v>0.1183616</v>
      </c>
      <c r="Q5581">
        <v>0.18278320000000001</v>
      </c>
      <c r="R5581">
        <v>0.9760025</v>
      </c>
      <c r="S5581">
        <v>1.2373050000000001</v>
      </c>
      <c r="T5581">
        <v>-0.1039706</v>
      </c>
      <c r="U5581">
        <v>2.95105</v>
      </c>
      <c r="V5581">
        <v>4.710321E-2</v>
      </c>
      <c r="W5581">
        <v>0.19704849999999999</v>
      </c>
      <c r="X5581">
        <v>0.97926159999999995</v>
      </c>
      <c r="Y5581">
        <v>0.31665870000000002</v>
      </c>
      <c r="Z5581">
        <v>-1.8020789999999998E-2</v>
      </c>
      <c r="AA5581">
        <v>0.9483684</v>
      </c>
      <c r="AB5581">
        <v>38</v>
      </c>
      <c r="AC5581">
        <v>13.266400000000001</v>
      </c>
      <c r="AD5581">
        <v>-1.117209613018</v>
      </c>
      <c r="AE5581">
        <v>31.3216</v>
      </c>
      <c r="AF5581">
        <v>10.8824378967938</v>
      </c>
      <c r="AG5581">
        <v>-1.117209613018</v>
      </c>
      <c r="AH5581">
        <v>32.188821970553199</v>
      </c>
      <c r="AI5581">
        <v>91.883193404382794</v>
      </c>
      <c r="AJ5581">
        <v>71.320567705209299</v>
      </c>
      <c r="AK5581">
        <v>33.9969979814243</v>
      </c>
      <c r="AL5581">
        <v>78.635584433916193</v>
      </c>
      <c r="AM5581">
        <v>87.246152999679794</v>
      </c>
      <c r="AN5581">
        <v>1.00000005248955</v>
      </c>
    </row>
    <row r="5582" spans="1:40" x14ac:dyDescent="0.25">
      <c r="A5582" t="str">
        <f>"20190303170924815"</f>
        <v>20190303170924815</v>
      </c>
      <c r="B5582" t="str">
        <f>"1551604164799401"</f>
        <v>1551604164799401</v>
      </c>
      <c r="C5582" t="s">
        <v>40</v>
      </c>
      <c r="D5582">
        <v>5.0032909999999999</v>
      </c>
      <c r="E5582">
        <v>0.61673919999999904</v>
      </c>
      <c r="F5582" t="s">
        <v>58</v>
      </c>
      <c r="G5582">
        <v>-173.209</v>
      </c>
      <c r="H5582" s="1">
        <v>-4.5509120000000002E-6</v>
      </c>
      <c r="I5582">
        <v>138.32589999999999</v>
      </c>
      <c r="J5582">
        <v>-186.71619999999999</v>
      </c>
      <c r="K5582">
        <v>1.116957</v>
      </c>
      <c r="L5582">
        <v>107.23869999999999</v>
      </c>
      <c r="M5582">
        <v>7.9258800000000004E-2</v>
      </c>
      <c r="N5582">
        <v>-1.49959E-2</v>
      </c>
      <c r="O5582">
        <v>0.99674130000000005</v>
      </c>
      <c r="P5582">
        <v>0.12637960000000001</v>
      </c>
      <c r="Q5582">
        <v>0.18383350000000001</v>
      </c>
      <c r="R5582">
        <v>0.97479919999999998</v>
      </c>
      <c r="S5582">
        <v>1.264648</v>
      </c>
      <c r="T5582">
        <v>-0.1043414</v>
      </c>
      <c r="U5582">
        <v>2.9399410000000001</v>
      </c>
      <c r="V5582">
        <v>5.0685380000000002E-2</v>
      </c>
      <c r="W5582">
        <v>0.19804040000000001</v>
      </c>
      <c r="X5582">
        <v>0.97888260000000005</v>
      </c>
      <c r="Y5582">
        <v>0.32091819999999999</v>
      </c>
      <c r="Z5582">
        <v>-1.8160450000000002E-2</v>
      </c>
      <c r="AA5582">
        <v>0.94693280000000002</v>
      </c>
      <c r="AB5582">
        <v>37</v>
      </c>
      <c r="AC5582">
        <v>13.5071999999999</v>
      </c>
      <c r="AD5582">
        <v>-1.1169615509119999</v>
      </c>
      <c r="AE5582">
        <v>31.087199999999999</v>
      </c>
      <c r="AF5582">
        <v>10.988553551164699</v>
      </c>
      <c r="AG5582">
        <v>-1.1169615509119999</v>
      </c>
      <c r="AH5582">
        <v>32.025286867540203</v>
      </c>
      <c r="AI5582">
        <v>91.889476457688403</v>
      </c>
      <c r="AJ5582">
        <v>71.061820817388295</v>
      </c>
      <c r="AK5582">
        <v>33.8764654472876</v>
      </c>
      <c r="AL5582">
        <v>78.577610582707194</v>
      </c>
      <c r="AM5582">
        <v>87.035939529776101</v>
      </c>
      <c r="AN5582">
        <v>1.0000000761803201</v>
      </c>
    </row>
    <row r="5583" spans="1:40" x14ac:dyDescent="0.25">
      <c r="A5583" t="str">
        <f>"20190303170924857"</f>
        <v>20190303170924857</v>
      </c>
      <c r="B5583" t="str">
        <f>"1551604164849682"</f>
        <v>1551604164849682</v>
      </c>
      <c r="C5583" t="s">
        <v>40</v>
      </c>
      <c r="D5583">
        <v>5.0101469999999999</v>
      </c>
      <c r="E5583">
        <v>0.61668690000000004</v>
      </c>
      <c r="F5583" t="s">
        <v>58</v>
      </c>
      <c r="G5583">
        <v>-172.5052</v>
      </c>
      <c r="H5583" s="1">
        <v>-4.692265E-6</v>
      </c>
      <c r="I5583">
        <v>139.52080000000001</v>
      </c>
      <c r="J5583">
        <v>-186.65020000000001</v>
      </c>
      <c r="K5583">
        <v>1.116527</v>
      </c>
      <c r="L5583">
        <v>107.94410000000001</v>
      </c>
      <c r="M5583">
        <v>8.8381829999999995E-2</v>
      </c>
      <c r="N5583">
        <v>-1.501807E-2</v>
      </c>
      <c r="O5583">
        <v>0.99597349999999996</v>
      </c>
      <c r="P5583">
        <v>0.13799600000000001</v>
      </c>
      <c r="Q5583">
        <v>0.18568209999999999</v>
      </c>
      <c r="R5583">
        <v>0.97287170000000001</v>
      </c>
      <c r="S5583">
        <v>1.2895970000000001</v>
      </c>
      <c r="T5583">
        <v>-0.1013602</v>
      </c>
      <c r="U5583">
        <v>2.9294889999999998</v>
      </c>
      <c r="V5583">
        <v>5.366858E-2</v>
      </c>
      <c r="W5583">
        <v>0.19981850000000001</v>
      </c>
      <c r="X5583">
        <v>0.97836199999999995</v>
      </c>
      <c r="Y5583">
        <v>0.32025720000000002</v>
      </c>
      <c r="Z5583">
        <v>-1.7251229999999999E-2</v>
      </c>
      <c r="AA5583">
        <v>0.9471735</v>
      </c>
      <c r="AB5583">
        <v>37</v>
      </c>
      <c r="AC5583">
        <v>14.145</v>
      </c>
      <c r="AD5583">
        <v>-1.1165316922649999</v>
      </c>
      <c r="AE5583">
        <v>31.576699999999999</v>
      </c>
      <c r="AF5583">
        <v>11.286759069130101</v>
      </c>
      <c r="AG5583">
        <v>-1.1165316922649999</v>
      </c>
      <c r="AH5583">
        <v>32.669384454719903</v>
      </c>
      <c r="AI5583">
        <v>91.850192721384502</v>
      </c>
      <c r="AJ5583">
        <v>70.940773002477897</v>
      </c>
      <c r="AK5583">
        <v>34.5821667041659</v>
      </c>
      <c r="AL5583">
        <v>78.473654111589596</v>
      </c>
      <c r="AM5583">
        <v>86.860155708059295</v>
      </c>
      <c r="AN5583">
        <v>0.99999997623273196</v>
      </c>
    </row>
    <row r="5584" spans="1:40" x14ac:dyDescent="0.25">
      <c r="A5584" t="str">
        <f>"20190303170924880"</f>
        <v>20190303170924880</v>
      </c>
      <c r="B5584" t="str">
        <f>"1551604164869201"</f>
        <v>1551604164869201</v>
      </c>
      <c r="C5584" t="s">
        <v>40</v>
      </c>
      <c r="D5584">
        <v>5.0170909999999997</v>
      </c>
      <c r="E5584">
        <v>0.61660619999999999</v>
      </c>
      <c r="F5584" t="s">
        <v>58</v>
      </c>
      <c r="G5584">
        <v>-170.89959999999999</v>
      </c>
      <c r="H5584" s="1">
        <v>-4.9665489999999997E-6</v>
      </c>
      <c r="I5584">
        <v>142.55240000000001</v>
      </c>
      <c r="J5584">
        <v>-186.6104</v>
      </c>
      <c r="K5584">
        <v>1.11629</v>
      </c>
      <c r="L5584">
        <v>108.33620000000001</v>
      </c>
      <c r="M5584">
        <v>9.3815899999999994E-2</v>
      </c>
      <c r="N5584">
        <v>-1.503079E-2</v>
      </c>
      <c r="O5584">
        <v>0.99547609999999997</v>
      </c>
      <c r="P5584">
        <v>0.14567249999999901</v>
      </c>
      <c r="Q5584">
        <v>0.1853639</v>
      </c>
      <c r="R5584">
        <v>0.97181260000000003</v>
      </c>
      <c r="S5584">
        <v>1.325974</v>
      </c>
      <c r="T5584">
        <v>-9.3995809999999999E-2</v>
      </c>
      <c r="U5584">
        <v>2.913513</v>
      </c>
      <c r="V5584">
        <v>5.6165779999999998E-2</v>
      </c>
      <c r="W5584">
        <v>0.19945309999999999</v>
      </c>
      <c r="X5584">
        <v>0.97829639999999995</v>
      </c>
      <c r="Y5584">
        <v>0.32685429999999999</v>
      </c>
      <c r="Z5584">
        <v>-1.496077E-2</v>
      </c>
      <c r="AA5584">
        <v>0.94495640000000003</v>
      </c>
      <c r="AB5584">
        <v>37</v>
      </c>
      <c r="AC5584">
        <v>15.710800000000001</v>
      </c>
      <c r="AD5584">
        <v>-1.1162949665490001</v>
      </c>
      <c r="AE5584">
        <v>34.216200000000001</v>
      </c>
      <c r="AF5584">
        <v>12.420188652470999</v>
      </c>
      <c r="AG5584">
        <v>-1.1162949665490001</v>
      </c>
      <c r="AH5584">
        <v>35.508133523700401</v>
      </c>
      <c r="AI5584">
        <v>91.699739424554593</v>
      </c>
      <c r="AJ5584">
        <v>70.720963027030507</v>
      </c>
      <c r="AK5584">
        <v>37.634223081555</v>
      </c>
      <c r="AL5584">
        <v>78.495020245186097</v>
      </c>
      <c r="AM5584">
        <v>86.714151846517694</v>
      </c>
      <c r="AN5584">
        <v>0.99999999009778895</v>
      </c>
    </row>
    <row r="5585" spans="1:40" x14ac:dyDescent="0.25">
      <c r="A5585" t="str">
        <f>"20190303170924901"</f>
        <v>20190303170924901</v>
      </c>
      <c r="B5585" t="str">
        <f>"1551604164889699"</f>
        <v>1551604164889699</v>
      </c>
      <c r="C5585" t="s">
        <v>40</v>
      </c>
      <c r="D5585">
        <v>4.9957459999999996</v>
      </c>
      <c r="E5585">
        <v>0.61664240000000003</v>
      </c>
      <c r="F5585" t="s">
        <v>58</v>
      </c>
      <c r="G5585">
        <v>-171.11660000000001</v>
      </c>
      <c r="H5585" s="1">
        <v>-4.7982589999999998E-6</v>
      </c>
      <c r="I5585">
        <v>141.73490000000001</v>
      </c>
      <c r="J5585">
        <v>-186.57480000000001</v>
      </c>
      <c r="K5585">
        <v>1.1160909999999999</v>
      </c>
      <c r="L5585">
        <v>108.6681</v>
      </c>
      <c r="M5585">
        <v>9.8621130000000001E-2</v>
      </c>
      <c r="N5585">
        <v>-1.504195E-2</v>
      </c>
      <c r="O5585">
        <v>0.99501139999999999</v>
      </c>
      <c r="P5585">
        <v>0.1538177</v>
      </c>
      <c r="Q5585">
        <v>0.18501809999999999</v>
      </c>
      <c r="R5585">
        <v>0.97062269999999995</v>
      </c>
      <c r="S5585">
        <v>1.347</v>
      </c>
      <c r="T5585">
        <v>-9.7048519999999999E-2</v>
      </c>
      <c r="U5585">
        <v>2.9036249999999999</v>
      </c>
      <c r="V5585">
        <v>5.9742110000000001E-2</v>
      </c>
      <c r="W5585">
        <v>0.199047</v>
      </c>
      <c r="X5585">
        <v>0.97816720000000001</v>
      </c>
      <c r="Y5585">
        <v>0.32913999999999999</v>
      </c>
      <c r="Z5585">
        <v>-1.5950450000000001E-2</v>
      </c>
      <c r="AA5585">
        <v>0.94414640000000005</v>
      </c>
      <c r="AB5585">
        <v>37</v>
      </c>
      <c r="AC5585">
        <v>15.4582</v>
      </c>
      <c r="AD5585">
        <v>-1.1160957982589901</v>
      </c>
      <c r="AE5585">
        <v>33.066800000000001</v>
      </c>
      <c r="AF5585">
        <v>12.110048936452401</v>
      </c>
      <c r="AG5585">
        <v>-1.1160957982589901</v>
      </c>
      <c r="AH5585">
        <v>34.398082418371303</v>
      </c>
      <c r="AI5585">
        <v>91.753000796056497</v>
      </c>
      <c r="AJ5585">
        <v>70.605080209960207</v>
      </c>
      <c r="AK5585">
        <v>36.484613594434997</v>
      </c>
      <c r="AL5585">
        <v>78.518763686416406</v>
      </c>
      <c r="AM5585">
        <v>86.504969586589198</v>
      </c>
      <c r="AN5585">
        <v>0.99999994953604399</v>
      </c>
    </row>
    <row r="5586" spans="1:40" x14ac:dyDescent="0.25">
      <c r="A5586" t="str">
        <f>"20190303170924922"</f>
        <v>20190303170924922</v>
      </c>
      <c r="B5586" t="str">
        <f>"1551604164909217"</f>
        <v>1551604164909217</v>
      </c>
      <c r="C5586" t="s">
        <v>40</v>
      </c>
      <c r="D5586">
        <v>4.9728899999999996</v>
      </c>
      <c r="E5586">
        <v>0.61665740000000002</v>
      </c>
      <c r="F5586" t="s">
        <v>58</v>
      </c>
      <c r="G5586">
        <v>-171.39400000000001</v>
      </c>
      <c r="H5586" s="1">
        <v>-4.5948649999999999E-6</v>
      </c>
      <c r="I5586">
        <v>140.72620000000001</v>
      </c>
      <c r="J5586">
        <v>-186.53380000000001</v>
      </c>
      <c r="K5586">
        <v>1.1158619999999999</v>
      </c>
      <c r="L5586">
        <v>109.0309</v>
      </c>
      <c r="M5586">
        <v>0.1041096</v>
      </c>
      <c r="N5586">
        <v>-1.5054909999999999E-2</v>
      </c>
      <c r="O5586">
        <v>0.99445190000000006</v>
      </c>
      <c r="P5586">
        <v>0.16130849999999999</v>
      </c>
      <c r="Q5586">
        <v>0.18536749999999999</v>
      </c>
      <c r="R5586">
        <v>0.96933919999999996</v>
      </c>
      <c r="S5586">
        <v>1.369904</v>
      </c>
      <c r="T5586">
        <v>-0.1007156</v>
      </c>
      <c r="U5586">
        <v>2.8928989999999999</v>
      </c>
      <c r="V5586">
        <v>6.2026280000000003E-2</v>
      </c>
      <c r="W5586">
        <v>0.19934569999999999</v>
      </c>
      <c r="X5586">
        <v>0.97796419999999995</v>
      </c>
      <c r="Y5586">
        <v>0.33137729999999999</v>
      </c>
      <c r="Z5586">
        <v>-1.7135629999999999E-2</v>
      </c>
      <c r="AA5586">
        <v>0.94334269999999998</v>
      </c>
      <c r="AB5586">
        <v>37</v>
      </c>
      <c r="AC5586">
        <v>15.139799999999999</v>
      </c>
      <c r="AD5586">
        <v>-1.1158665948649999</v>
      </c>
      <c r="AE5586">
        <v>31.6953</v>
      </c>
      <c r="AF5586">
        <v>11.7454965405345</v>
      </c>
      <c r="AG5586">
        <v>-1.1158665948649999</v>
      </c>
      <c r="AH5586">
        <v>33.066030082413299</v>
      </c>
      <c r="AI5586">
        <v>91.821391412406697</v>
      </c>
      <c r="AJ5586">
        <v>70.444280585424806</v>
      </c>
      <c r="AK5586">
        <v>35.107893594636302</v>
      </c>
      <c r="AL5586">
        <v>78.501299707536802</v>
      </c>
      <c r="AM5586">
        <v>86.370940455491706</v>
      </c>
      <c r="AN5586">
        <v>0.99999997200038304</v>
      </c>
    </row>
    <row r="5587" spans="1:40" x14ac:dyDescent="0.25">
      <c r="A5587" t="str">
        <f>"20190303170924945"</f>
        <v>20190303170924945</v>
      </c>
      <c r="B5587" t="str">
        <f>"1551604164939004"</f>
        <v>1551604164939004</v>
      </c>
      <c r="C5587" t="s">
        <v>40</v>
      </c>
      <c r="D5587">
        <v>4.9983490000000002</v>
      </c>
      <c r="E5587">
        <v>0.58959410000000001</v>
      </c>
      <c r="F5587" t="s">
        <v>58</v>
      </c>
      <c r="G5587">
        <v>-170.81880000000001</v>
      </c>
      <c r="H5587" s="1">
        <v>-4.6028649999999997E-6</v>
      </c>
      <c r="I5587">
        <v>141.53919999999999</v>
      </c>
      <c r="J5587">
        <v>-186.488</v>
      </c>
      <c r="K5587">
        <v>1.1156159999999999</v>
      </c>
      <c r="L5587">
        <v>109.4162</v>
      </c>
      <c r="M5587">
        <v>0.1102177</v>
      </c>
      <c r="N5587">
        <v>-1.5071050000000001E-2</v>
      </c>
      <c r="O5587">
        <v>0.99379320000000004</v>
      </c>
      <c r="P5587">
        <v>0.16892019999999999</v>
      </c>
      <c r="Q5587">
        <v>0.1860329</v>
      </c>
      <c r="R5587">
        <v>0.9679141</v>
      </c>
      <c r="S5587">
        <v>1.3931880000000001</v>
      </c>
      <c r="T5587">
        <v>-9.8924880000000007E-2</v>
      </c>
      <c r="U5587">
        <v>2.881958</v>
      </c>
      <c r="V5587">
        <v>6.3854220000000003E-2</v>
      </c>
      <c r="W5587">
        <v>0.1999619</v>
      </c>
      <c r="X5587">
        <v>0.9777207</v>
      </c>
      <c r="Y5587">
        <v>0.33316620000000002</v>
      </c>
      <c r="Z5587">
        <v>-1.6594769999999998E-2</v>
      </c>
      <c r="AA5587">
        <v>0.94272210000000001</v>
      </c>
      <c r="AB5587">
        <v>37</v>
      </c>
      <c r="AC5587">
        <v>15.669199999999901</v>
      </c>
      <c r="AD5587">
        <v>-1.115620602865</v>
      </c>
      <c r="AE5587">
        <v>32.122999999999898</v>
      </c>
      <c r="AF5587">
        <v>12.0210754432768</v>
      </c>
      <c r="AG5587">
        <v>-1.115620602865</v>
      </c>
      <c r="AH5587">
        <v>33.621706045316003</v>
      </c>
      <c r="AI5587">
        <v>91.789598115093</v>
      </c>
      <c r="AJ5587">
        <v>70.326042248525297</v>
      </c>
      <c r="AK5587">
        <v>35.723521404533003</v>
      </c>
      <c r="AL5587">
        <v>78.465268299250496</v>
      </c>
      <c r="AM5587">
        <v>86.263361368656703</v>
      </c>
      <c r="AN5587">
        <v>0.99999994503595202</v>
      </c>
    </row>
    <row r="5588" spans="1:40" x14ac:dyDescent="0.25">
      <c r="A5588" t="str">
        <f>"20190303170924969"</f>
        <v>20190303170924969</v>
      </c>
      <c r="B5588" t="str">
        <f>"1551604164959501"</f>
        <v>1551604164959501</v>
      </c>
      <c r="C5588" t="s">
        <v>40</v>
      </c>
      <c r="D5588">
        <v>5.002027</v>
      </c>
      <c r="E5588">
        <v>0.58575149999999998</v>
      </c>
      <c r="F5588" t="s">
        <v>58</v>
      </c>
      <c r="G5588">
        <v>-177.7</v>
      </c>
      <c r="H5588" s="1">
        <v>-4.3141319999999999E-6</v>
      </c>
      <c r="I5588">
        <v>130.72909999999999</v>
      </c>
      <c r="J5588">
        <v>-186.44069999999999</v>
      </c>
      <c r="K5588">
        <v>1.115353</v>
      </c>
      <c r="L5588">
        <v>109.7915</v>
      </c>
      <c r="M5588">
        <v>0.1164541</v>
      </c>
      <c r="N5588">
        <v>-1.508927E-2</v>
      </c>
      <c r="O5588">
        <v>0.99308149999999995</v>
      </c>
      <c r="P5588">
        <v>0.17689920000000001</v>
      </c>
      <c r="Q5588">
        <v>0.18633659999999999</v>
      </c>
      <c r="R5588">
        <v>0.96642919999999999</v>
      </c>
      <c r="S5588">
        <v>1.203506</v>
      </c>
      <c r="T5588">
        <v>-0.15278329999999901</v>
      </c>
      <c r="U5588">
        <v>2.918777</v>
      </c>
      <c r="V5588">
        <v>6.5926659999999998E-2</v>
      </c>
      <c r="W5588">
        <v>0.2002128</v>
      </c>
      <c r="X5588">
        <v>0.97753190000000001</v>
      </c>
      <c r="Y5588">
        <v>0.27058549999999998</v>
      </c>
      <c r="Z5588">
        <v>-3.4051909999999998E-2</v>
      </c>
      <c r="AA5588">
        <v>0.96209350000000005</v>
      </c>
      <c r="AB5588">
        <v>37</v>
      </c>
      <c r="AC5588">
        <v>8.7407000000000004</v>
      </c>
      <c r="AD5588">
        <v>-1.1153573141319999</v>
      </c>
      <c r="AE5588">
        <v>20.9375999999999</v>
      </c>
      <c r="AF5588">
        <v>6.2276188534535004</v>
      </c>
      <c r="AG5588">
        <v>-1.1153573141319999</v>
      </c>
      <c r="AH5588">
        <v>21.760529398648199</v>
      </c>
      <c r="AI5588">
        <v>92.821120712518706</v>
      </c>
      <c r="AJ5588">
        <v>74.029473778092694</v>
      </c>
      <c r="AK5588">
        <v>22.661595226980602</v>
      </c>
      <c r="AL5588">
        <v>78.450597346734796</v>
      </c>
      <c r="AM5588">
        <v>86.1417033932767</v>
      </c>
      <c r="AN5588">
        <v>1.0000000526501001</v>
      </c>
    </row>
    <row r="5589" spans="1:40" x14ac:dyDescent="0.25">
      <c r="A5589" t="str">
        <f>"20190303170924990"</f>
        <v>20190303170924990</v>
      </c>
      <c r="B5589" t="str">
        <f>"1551604164979020"</f>
        <v>1551604164979020</v>
      </c>
      <c r="C5589" t="s">
        <v>40</v>
      </c>
      <c r="D5589">
        <v>4.9723119999999996</v>
      </c>
      <c r="E5589">
        <v>0.58375219999999906</v>
      </c>
      <c r="F5589" t="s">
        <v>58</v>
      </c>
      <c r="G5589">
        <v>-178.7183</v>
      </c>
      <c r="H5589">
        <v>7.9987730000000007E-2</v>
      </c>
      <c r="I5589">
        <v>128.60939999999999</v>
      </c>
      <c r="J5589">
        <v>-186.3921</v>
      </c>
      <c r="K5589">
        <v>1.115076</v>
      </c>
      <c r="L5589">
        <v>110.1563</v>
      </c>
      <c r="M5589">
        <v>0.1228283</v>
      </c>
      <c r="N5589">
        <v>-1.510918E-2</v>
      </c>
      <c r="O5589">
        <v>0.99231290000000005</v>
      </c>
      <c r="P5589">
        <v>0.18653439999999999</v>
      </c>
      <c r="Q5589">
        <v>0.1860078</v>
      </c>
      <c r="R5589">
        <v>0.96467919999999996</v>
      </c>
      <c r="S5589">
        <v>1.196701</v>
      </c>
      <c r="T5589">
        <v>-0.16044430000000001</v>
      </c>
      <c r="U5589">
        <v>2.9160919999999999</v>
      </c>
      <c r="V5589">
        <v>6.953252E-2</v>
      </c>
      <c r="W5589">
        <v>0.19980729999999999</v>
      </c>
      <c r="X5589">
        <v>0.97736500000000004</v>
      </c>
      <c r="Y5589">
        <v>0.26275270000000001</v>
      </c>
      <c r="Z5589">
        <v>-3.6553339999999997E-2</v>
      </c>
      <c r="AA5589">
        <v>0.96417059999999999</v>
      </c>
      <c r="AB5589">
        <v>37</v>
      </c>
      <c r="AC5589">
        <v>7.6738</v>
      </c>
      <c r="AD5589">
        <v>-1.0350882699999999</v>
      </c>
      <c r="AE5589">
        <v>18.4530999999999</v>
      </c>
      <c r="AF5589">
        <v>5.3345484731264099</v>
      </c>
      <c r="AG5589">
        <v>-1.0350882699999999</v>
      </c>
      <c r="AH5589">
        <v>19.204491002166701</v>
      </c>
      <c r="AI5589">
        <v>92.972810553835203</v>
      </c>
      <c r="AJ5589">
        <v>74.4759786343961</v>
      </c>
      <c r="AK5589">
        <v>19.958489166044799</v>
      </c>
      <c r="AL5589">
        <v>78.474309727929807</v>
      </c>
      <c r="AM5589">
        <v>85.930671758661703</v>
      </c>
      <c r="AN5589">
        <v>1.00000003584791</v>
      </c>
    </row>
    <row r="5590" spans="1:40" x14ac:dyDescent="0.25">
      <c r="A5590" t="str">
        <f>"20190303170925014"</f>
        <v>20190303170925014</v>
      </c>
      <c r="B5590" t="str">
        <f>"1551604164999517"</f>
        <v>1551604164999517</v>
      </c>
      <c r="C5590" t="s">
        <v>40</v>
      </c>
      <c r="D5590">
        <v>4.9569660000000004</v>
      </c>
      <c r="E5590">
        <v>0.58288450000000003</v>
      </c>
      <c r="F5590" t="s">
        <v>58</v>
      </c>
      <c r="G5590">
        <v>-179.04499999999999</v>
      </c>
      <c r="H5590">
        <v>7.9987959999999997E-2</v>
      </c>
      <c r="I5590">
        <v>127.8352</v>
      </c>
      <c r="J5590">
        <v>-186.339</v>
      </c>
      <c r="K5590">
        <v>1.1147929999999999</v>
      </c>
      <c r="L5590">
        <v>110.5333</v>
      </c>
      <c r="M5590">
        <v>0.12973699999999999</v>
      </c>
      <c r="N5590">
        <v>-1.5132039999999999E-2</v>
      </c>
      <c r="O5590">
        <v>0.99143300000000001</v>
      </c>
      <c r="P5590">
        <v>0.1962826</v>
      </c>
      <c r="Q5590">
        <v>0.1856305</v>
      </c>
      <c r="R5590">
        <v>0.96281589999999995</v>
      </c>
      <c r="S5590">
        <v>1.2089080000000001</v>
      </c>
      <c r="T5590">
        <v>-0.17031540000000001</v>
      </c>
      <c r="U5590">
        <v>2.9089200000000002</v>
      </c>
      <c r="V5590">
        <v>7.2742899999999999E-2</v>
      </c>
      <c r="W5590">
        <v>0.19935549999999999</v>
      </c>
      <c r="X5590">
        <v>0.97722359999999997</v>
      </c>
      <c r="Y5590">
        <v>0.26027</v>
      </c>
      <c r="Z5590">
        <v>-3.9731589999999997E-2</v>
      </c>
      <c r="AA5590">
        <v>0.96471799999999996</v>
      </c>
      <c r="AB5590">
        <v>37</v>
      </c>
      <c r="AC5590">
        <v>7.2940000000000396</v>
      </c>
      <c r="AD5590">
        <v>-1.03480504</v>
      </c>
      <c r="AE5590">
        <v>17.3019</v>
      </c>
      <c r="AF5590">
        <v>4.9722843140607003</v>
      </c>
      <c r="AG5590">
        <v>-1.03480504</v>
      </c>
      <c r="AH5590">
        <v>18.047233671410801</v>
      </c>
      <c r="AI5590">
        <v>93.164033450083096</v>
      </c>
      <c r="AJ5590">
        <v>74.596317486929195</v>
      </c>
      <c r="AK5590">
        <v>18.7482552777896</v>
      </c>
      <c r="AL5590">
        <v>78.500727671012299</v>
      </c>
      <c r="AM5590">
        <v>85.742848902906999</v>
      </c>
      <c r="AN5590">
        <v>1.0000000546387999</v>
      </c>
    </row>
    <row r="5591" spans="1:40" x14ac:dyDescent="0.25">
      <c r="A5591" t="str">
        <f>"20190303170925035"</f>
        <v>20190303170925035</v>
      </c>
      <c r="B5591" t="str">
        <f>"1551604165030081"</f>
        <v>1551604165030081</v>
      </c>
      <c r="C5591" t="s">
        <v>40</v>
      </c>
      <c r="D5591">
        <v>5.3196430000000001</v>
      </c>
      <c r="E5591">
        <v>0.58155829999999997</v>
      </c>
      <c r="F5591" t="s">
        <v>58</v>
      </c>
      <c r="G5591">
        <v>-179.0258</v>
      </c>
      <c r="H5591">
        <v>7.9988000000000004E-2</v>
      </c>
      <c r="I5591">
        <v>127.73050000000001</v>
      </c>
      <c r="J5591">
        <v>-186.28540000000001</v>
      </c>
      <c r="K5591">
        <v>1.11453</v>
      </c>
      <c r="L5591">
        <v>110.89400000000001</v>
      </c>
      <c r="M5591">
        <v>0.13661409999999999</v>
      </c>
      <c r="N5591">
        <v>-1.515529E-2</v>
      </c>
      <c r="O5591">
        <v>0.99050839999999996</v>
      </c>
      <c r="P5591">
        <v>0.2042939</v>
      </c>
      <c r="Q5591">
        <v>0.1858967</v>
      </c>
      <c r="R5591">
        <v>0.96109650000000002</v>
      </c>
      <c r="S5591">
        <v>1.2324679999999999</v>
      </c>
      <c r="T5591">
        <v>-0.17439389999999999</v>
      </c>
      <c r="U5591">
        <v>2.8982239999999999</v>
      </c>
      <c r="V5591">
        <v>7.4241409999999994E-2</v>
      </c>
      <c r="W5591">
        <v>0.1995741</v>
      </c>
      <c r="X5591">
        <v>0.9770662</v>
      </c>
      <c r="Y5591">
        <v>0.26146710000000001</v>
      </c>
      <c r="Z5591">
        <v>-4.1056219999999997E-2</v>
      </c>
      <c r="AA5591">
        <v>0.96433880000000005</v>
      </c>
      <c r="AB5591">
        <v>37</v>
      </c>
      <c r="AC5591">
        <v>7.2595999999999998</v>
      </c>
      <c r="AD5591">
        <v>-1.0345420000000001</v>
      </c>
      <c r="AE5591">
        <v>16.836500000000001</v>
      </c>
      <c r="AF5591">
        <v>4.8756305090742602</v>
      </c>
      <c r="AG5591">
        <v>-1.0345420000000001</v>
      </c>
      <c r="AH5591">
        <v>17.6144082071269</v>
      </c>
      <c r="AI5591">
        <v>93.239730496162693</v>
      </c>
      <c r="AJ5591">
        <v>74.528025420845395</v>
      </c>
      <c r="AK5591">
        <v>18.305994277779099</v>
      </c>
      <c r="AL5591">
        <v>78.487945138776794</v>
      </c>
      <c r="AM5591">
        <v>85.654786422894503</v>
      </c>
      <c r="AN5591">
        <v>0.99999998376601895</v>
      </c>
    </row>
    <row r="5592" spans="1:40" x14ac:dyDescent="0.25">
      <c r="A5592" t="str">
        <f>"20190303170925059"</f>
        <v>20190303170925059</v>
      </c>
      <c r="B5592" t="str">
        <f>"1551604165049601"</f>
        <v>1551604165049601</v>
      </c>
      <c r="C5592" t="s">
        <v>40</v>
      </c>
      <c r="D5592">
        <v>4.9499570000000004</v>
      </c>
      <c r="E5592">
        <v>0.580596</v>
      </c>
      <c r="F5592" t="s">
        <v>58</v>
      </c>
      <c r="G5592">
        <v>-178.9211</v>
      </c>
      <c r="H5592">
        <v>7.9987970000000005E-2</v>
      </c>
      <c r="I5592">
        <v>127.9469</v>
      </c>
      <c r="J5592">
        <v>-186.2259</v>
      </c>
      <c r="K5592">
        <v>1.1142510000000001</v>
      </c>
      <c r="L5592">
        <v>111.2749</v>
      </c>
      <c r="M5592">
        <v>0.14418139999999999</v>
      </c>
      <c r="N5592">
        <v>-1.517954E-2</v>
      </c>
      <c r="O5592">
        <v>0.98943479999999995</v>
      </c>
      <c r="P5592">
        <v>0.2127819</v>
      </c>
      <c r="Q5592">
        <v>0.18630160000000001</v>
      </c>
      <c r="R5592">
        <v>0.95917439999999998</v>
      </c>
      <c r="S5592">
        <v>1.2480770000000001</v>
      </c>
      <c r="T5592">
        <v>-0.17533029999999999</v>
      </c>
      <c r="U5592">
        <v>2.8900450000000002</v>
      </c>
      <c r="V5592">
        <v>7.556409E-2</v>
      </c>
      <c r="W5592">
        <v>0.1999311</v>
      </c>
      <c r="X5592">
        <v>0.97689179999999998</v>
      </c>
      <c r="Y5592">
        <v>0.259465</v>
      </c>
      <c r="Z5592">
        <v>-4.137296E-2</v>
      </c>
      <c r="AA5592">
        <v>0.96486590000000005</v>
      </c>
      <c r="AB5592">
        <v>37</v>
      </c>
      <c r="AC5592">
        <v>7.3048000000000002</v>
      </c>
      <c r="AD5592">
        <v>-1.03426303</v>
      </c>
      <c r="AE5592">
        <v>16.671999999999901</v>
      </c>
      <c r="AF5592">
        <v>4.8088609754853504</v>
      </c>
      <c r="AG5592">
        <v>-1.03426303</v>
      </c>
      <c r="AH5592">
        <v>17.494612306146099</v>
      </c>
      <c r="AI5592">
        <v>93.262592256166599</v>
      </c>
      <c r="AJ5592">
        <v>74.630317815878996</v>
      </c>
      <c r="AK5592">
        <v>18.172955280832301</v>
      </c>
      <c r="AL5592">
        <v>78.467069818952098</v>
      </c>
      <c r="AM5592">
        <v>85.576890443556493</v>
      </c>
      <c r="AN5592">
        <v>0.999999982675988</v>
      </c>
    </row>
    <row r="5593" spans="1:40" x14ac:dyDescent="0.25">
      <c r="A5593" t="str">
        <f>"20190303170925081"</f>
        <v>20190303170925081</v>
      </c>
      <c r="B5593" t="str">
        <f>"1551604165070097"</f>
        <v>1551604165070097</v>
      </c>
      <c r="C5593" t="s">
        <v>40</v>
      </c>
      <c r="D5593">
        <v>4.9468110000000003</v>
      </c>
      <c r="E5593">
        <v>0.57977539999999905</v>
      </c>
      <c r="F5593" t="s">
        <v>58</v>
      </c>
      <c r="G5593">
        <v>-178.5857</v>
      </c>
      <c r="H5593">
        <v>7.9987790000000003E-2</v>
      </c>
      <c r="I5593">
        <v>128.65710000000001</v>
      </c>
      <c r="J5593">
        <v>-186.16380000000001</v>
      </c>
      <c r="K5593">
        <v>1.1139669999999999</v>
      </c>
      <c r="L5593">
        <v>111.65130000000001</v>
      </c>
      <c r="M5593">
        <v>0.15200429999999901</v>
      </c>
      <c r="N5593">
        <v>-1.520469E-2</v>
      </c>
      <c r="O5593">
        <v>0.98826290000000006</v>
      </c>
      <c r="P5593">
        <v>0.22256319999999999</v>
      </c>
      <c r="Q5593">
        <v>0.18692239999999999</v>
      </c>
      <c r="R5593">
        <v>0.95683099999999999</v>
      </c>
      <c r="S5593">
        <v>1.2659450000000001</v>
      </c>
      <c r="T5593">
        <v>-0.17137249999999901</v>
      </c>
      <c r="U5593">
        <v>2.8801570000000001</v>
      </c>
      <c r="V5593">
        <v>7.7982399999999993E-2</v>
      </c>
      <c r="W5593">
        <v>0.20048050000000001</v>
      </c>
      <c r="X5593">
        <v>0.97658909999999999</v>
      </c>
      <c r="Y5593">
        <v>0.25808130000000001</v>
      </c>
      <c r="Z5593">
        <v>-4.0137119999999998E-2</v>
      </c>
      <c r="AA5593">
        <v>0.96528910000000001</v>
      </c>
      <c r="AB5593">
        <v>37</v>
      </c>
      <c r="AC5593">
        <v>7.5781000000000001</v>
      </c>
      <c r="AD5593">
        <v>-1.03397921</v>
      </c>
      <c r="AE5593">
        <v>17.005800000000001</v>
      </c>
      <c r="AF5593">
        <v>4.8896857057245802</v>
      </c>
      <c r="AG5593">
        <v>-1.03397921</v>
      </c>
      <c r="AH5593">
        <v>17.9049555423023</v>
      </c>
      <c r="AI5593">
        <v>93.188551210128097</v>
      </c>
      <c r="AJ5593">
        <v>74.725475424673704</v>
      </c>
      <c r="AK5593">
        <v>18.589394080477799</v>
      </c>
      <c r="AL5593">
        <v>78.434940977115602</v>
      </c>
      <c r="AM5593">
        <v>85.434515929633903</v>
      </c>
      <c r="AN5593">
        <v>0.99999997791440898</v>
      </c>
    </row>
    <row r="5594" spans="1:40" x14ac:dyDescent="0.25">
      <c r="A5594" t="str">
        <f>"20190303170925102"</f>
        <v>20190303170925102</v>
      </c>
      <c r="B5594" t="str">
        <f>"1551604165089617"</f>
        <v>1551604165089617</v>
      </c>
      <c r="C5594" t="s">
        <v>40</v>
      </c>
      <c r="D5594">
        <v>4.9298169999999999</v>
      </c>
      <c r="E5594">
        <v>0.57891519999999996</v>
      </c>
      <c r="F5594" t="s">
        <v>58</v>
      </c>
      <c r="G5594">
        <v>-177.58599999999899</v>
      </c>
      <c r="H5594" s="1">
        <v>-4.2472590000000003E-6</v>
      </c>
      <c r="I5594">
        <v>130.7578</v>
      </c>
      <c r="J5594">
        <v>-186.1069</v>
      </c>
      <c r="K5594">
        <v>1.1137010000000001</v>
      </c>
      <c r="L5594">
        <v>111.9802</v>
      </c>
      <c r="M5594">
        <v>0.1591485</v>
      </c>
      <c r="N5594">
        <v>-1.523029E-2</v>
      </c>
      <c r="O5594">
        <v>0.98713720000000005</v>
      </c>
      <c r="P5594">
        <v>0.2312419</v>
      </c>
      <c r="Q5594">
        <v>0.18666730000000001</v>
      </c>
      <c r="R5594">
        <v>0.95482069999999997</v>
      </c>
      <c r="S5594">
        <v>1.287811</v>
      </c>
      <c r="T5594">
        <v>-0.16724249999999999</v>
      </c>
      <c r="U5594">
        <v>2.868484</v>
      </c>
      <c r="V5594">
        <v>7.9909469999999996E-2</v>
      </c>
      <c r="W5594">
        <v>0.2001666</v>
      </c>
      <c r="X5594">
        <v>0.97649770000000002</v>
      </c>
      <c r="Y5594">
        <v>0.25870399999999999</v>
      </c>
      <c r="Z5594">
        <v>-3.8848899999999999E-2</v>
      </c>
      <c r="AA5594">
        <v>0.96517509999999995</v>
      </c>
      <c r="AB5594">
        <v>37</v>
      </c>
      <c r="AC5594">
        <v>8.5209000000000099</v>
      </c>
      <c r="AD5594">
        <v>-1.1137052472589899</v>
      </c>
      <c r="AE5594">
        <v>18.7776</v>
      </c>
      <c r="AF5594">
        <v>5.4077248151917399</v>
      </c>
      <c r="AG5594">
        <v>-1.1137052472589899</v>
      </c>
      <c r="AH5594">
        <v>19.836598610975901</v>
      </c>
      <c r="AI5594">
        <v>93.100523498318296</v>
      </c>
      <c r="AJ5594">
        <v>74.750948230228801</v>
      </c>
      <c r="AK5594">
        <v>20.590640386048801</v>
      </c>
      <c r="AL5594">
        <v>78.453298189539098</v>
      </c>
      <c r="AM5594">
        <v>85.321754288805295</v>
      </c>
      <c r="AN5594">
        <v>0.99999997462826495</v>
      </c>
    </row>
    <row r="5595" spans="1:40" x14ac:dyDescent="0.25">
      <c r="A5595" t="str">
        <f>"20190303170925123"</f>
        <v>20190303170925123</v>
      </c>
      <c r="B5595" t="str">
        <f>"1551604165109137"</f>
        <v>1551604165109137</v>
      </c>
      <c r="C5595" t="s">
        <v>40</v>
      </c>
      <c r="D5595">
        <v>4.9332019999999996</v>
      </c>
      <c r="E5595">
        <v>0.57819809999999905</v>
      </c>
      <c r="F5595" t="s">
        <v>58</v>
      </c>
      <c r="G5595">
        <v>-177.37899999999999</v>
      </c>
      <c r="H5595" s="1">
        <v>-4.2210160000000003E-6</v>
      </c>
      <c r="I5595">
        <v>131.0607</v>
      </c>
      <c r="J5595">
        <v>-186.04519999999999</v>
      </c>
      <c r="K5595">
        <v>1.113405</v>
      </c>
      <c r="L5595">
        <v>112.3199</v>
      </c>
      <c r="M5595">
        <v>0.16685630000000001</v>
      </c>
      <c r="N5595">
        <v>-1.5261459999999999E-2</v>
      </c>
      <c r="O5595">
        <v>0.98586309999999999</v>
      </c>
      <c r="P5595">
        <v>0.23973269999999999</v>
      </c>
      <c r="Q5595">
        <v>0.18633730000000001</v>
      </c>
      <c r="R5595">
        <v>0.95278890000000005</v>
      </c>
      <c r="S5595">
        <v>1.3072969999999999</v>
      </c>
      <c r="T5595">
        <v>-0.16681550000000001</v>
      </c>
      <c r="U5595">
        <v>2.8579560000000002</v>
      </c>
      <c r="V5595">
        <v>8.1106209999999998E-2</v>
      </c>
      <c r="W5595">
        <v>0.1997881</v>
      </c>
      <c r="X5595">
        <v>0.97647660000000003</v>
      </c>
      <c r="Y5595">
        <v>0.25794289999999997</v>
      </c>
      <c r="Z5595">
        <v>-3.8725250000000003E-2</v>
      </c>
      <c r="AA5595">
        <v>0.96538380000000001</v>
      </c>
      <c r="AB5595">
        <v>37</v>
      </c>
      <c r="AC5595">
        <v>8.6661999999999697</v>
      </c>
      <c r="AD5595">
        <v>-1.113409221016</v>
      </c>
      <c r="AE5595">
        <v>18.7408</v>
      </c>
      <c r="AF5595">
        <v>5.4015901330919096</v>
      </c>
      <c r="AG5595">
        <v>-1.113409221016</v>
      </c>
      <c r="AH5595">
        <v>19.8664250330451</v>
      </c>
      <c r="AI5595">
        <v>93.095618589726897</v>
      </c>
      <c r="AJ5595">
        <v>74.789252239563098</v>
      </c>
      <c r="AK5595">
        <v>20.617752051398799</v>
      </c>
      <c r="AL5595">
        <v>78.4754323321512</v>
      </c>
      <c r="AM5595">
        <v>85.251907794818607</v>
      </c>
      <c r="AN5595">
        <v>1.0000000262748601</v>
      </c>
    </row>
    <row r="5596" spans="1:40" x14ac:dyDescent="0.25">
      <c r="A5596" t="str">
        <f>"20190303170925146"</f>
        <v>20190303170925146</v>
      </c>
      <c r="B5596" t="str">
        <f>"1551604165139394"</f>
        <v>1551604165139394</v>
      </c>
      <c r="C5596" t="s">
        <v>40</v>
      </c>
      <c r="D5596">
        <v>4.9318039999999996</v>
      </c>
      <c r="E5596">
        <v>0.57737450000000001</v>
      </c>
      <c r="F5596" t="s">
        <v>58</v>
      </c>
      <c r="G5596">
        <v>-177.16319999999999</v>
      </c>
      <c r="H5596" s="1">
        <v>-4.1836439999999996E-6</v>
      </c>
      <c r="I5596">
        <v>131.3501</v>
      </c>
      <c r="J5596">
        <v>-185.97110000000001</v>
      </c>
      <c r="K5596">
        <v>1.113022</v>
      </c>
      <c r="L5596">
        <v>112.7085</v>
      </c>
      <c r="M5596">
        <v>0.17608799999999999</v>
      </c>
      <c r="N5596">
        <v>-1.5302899999999999E-2</v>
      </c>
      <c r="O5596">
        <v>0.98425549999999995</v>
      </c>
      <c r="P5596">
        <v>0.2500367</v>
      </c>
      <c r="Q5596">
        <v>0.1863081</v>
      </c>
      <c r="R5596">
        <v>0.95014259999999995</v>
      </c>
      <c r="S5596">
        <v>1.328735</v>
      </c>
      <c r="T5596">
        <v>-0.16656489999999999</v>
      </c>
      <c r="U5596">
        <v>2.8468930000000001</v>
      </c>
      <c r="V5596">
        <v>8.2713259999999997E-2</v>
      </c>
      <c r="W5596">
        <v>0.19969700000000001</v>
      </c>
      <c r="X5596">
        <v>0.97636040000000002</v>
      </c>
      <c r="Y5596">
        <v>0.2562953</v>
      </c>
      <c r="Z5596">
        <v>-3.8634849999999998E-2</v>
      </c>
      <c r="AA5596">
        <v>0.96582610000000002</v>
      </c>
      <c r="AB5596">
        <v>37</v>
      </c>
      <c r="AC5596">
        <v>8.8079000000000107</v>
      </c>
      <c r="AD5596">
        <v>-1.1130261836440001</v>
      </c>
      <c r="AE5596">
        <v>18.6416</v>
      </c>
      <c r="AF5596">
        <v>5.37163818200289</v>
      </c>
      <c r="AG5596">
        <v>-1.1130261836440001</v>
      </c>
      <c r="AH5596">
        <v>19.843562950830599</v>
      </c>
      <c r="AI5596">
        <v>93.099048810080006</v>
      </c>
      <c r="AJ5596">
        <v>74.853088056162406</v>
      </c>
      <c r="AK5596">
        <v>20.587868141879198</v>
      </c>
      <c r="AL5596">
        <v>78.480759052379298</v>
      </c>
      <c r="AM5596">
        <v>85.157697853931097</v>
      </c>
      <c r="AN5596">
        <v>1.0000000029384899</v>
      </c>
    </row>
    <row r="5597" spans="1:40" x14ac:dyDescent="0.25">
      <c r="A5597" t="str">
        <f>"20190303170925170"</f>
        <v>20190303170925170</v>
      </c>
      <c r="B5597" t="str">
        <f>"1551604165159889"</f>
        <v>1551604165159889</v>
      </c>
      <c r="C5597" t="s">
        <v>40</v>
      </c>
      <c r="D5597">
        <v>4.9273720000000001</v>
      </c>
      <c r="E5597">
        <v>0.57685600000000004</v>
      </c>
      <c r="F5597" t="s">
        <v>58</v>
      </c>
      <c r="G5597">
        <v>-176.9057</v>
      </c>
      <c r="H5597" s="1">
        <v>-4.1372169999999998E-6</v>
      </c>
      <c r="I5597">
        <v>131.69069999999999</v>
      </c>
      <c r="J5597">
        <v>-185.89340000000001</v>
      </c>
      <c r="K5597">
        <v>1.1126320000000001</v>
      </c>
      <c r="L5597">
        <v>113.0933</v>
      </c>
      <c r="M5597">
        <v>0.1857087</v>
      </c>
      <c r="N5597">
        <v>-1.5349990000000001E-2</v>
      </c>
      <c r="O5597">
        <v>0.98248489999999999</v>
      </c>
      <c r="P5597">
        <v>0.26173829999999998</v>
      </c>
      <c r="Q5597">
        <v>0.18703230000000001</v>
      </c>
      <c r="R5597">
        <v>0.94684310000000005</v>
      </c>
      <c r="S5597">
        <v>1.353378</v>
      </c>
      <c r="T5597">
        <v>-0.1661648</v>
      </c>
      <c r="U5597">
        <v>2.8338619999999999</v>
      </c>
      <c r="V5597">
        <v>8.5442219999999999E-2</v>
      </c>
      <c r="W5597">
        <v>0.20033190000000001</v>
      </c>
      <c r="X5597">
        <v>0.97599519999999995</v>
      </c>
      <c r="Y5597">
        <v>0.25540429999999997</v>
      </c>
      <c r="Z5597">
        <v>-3.849636E-2</v>
      </c>
      <c r="AA5597">
        <v>0.96606769999999997</v>
      </c>
      <c r="AB5597">
        <v>37</v>
      </c>
      <c r="AC5597">
        <v>8.9877000000000091</v>
      </c>
      <c r="AD5597">
        <v>-1.1126361372169999</v>
      </c>
      <c r="AE5597">
        <v>18.5974</v>
      </c>
      <c r="AF5597">
        <v>5.3616567333320102</v>
      </c>
      <c r="AG5597">
        <v>-1.1126361372169999</v>
      </c>
      <c r="AH5597">
        <v>19.885409011369401</v>
      </c>
      <c r="AI5597">
        <v>93.092290937003796</v>
      </c>
      <c r="AJ5597">
        <v>74.910309545105804</v>
      </c>
      <c r="AK5597">
        <v>20.6255863831644</v>
      </c>
      <c r="AL5597">
        <v>78.443630952343298</v>
      </c>
      <c r="AM5597">
        <v>84.996871250842204</v>
      </c>
      <c r="AN5597">
        <v>0.99999993676958698</v>
      </c>
    </row>
    <row r="5598" spans="1:40" x14ac:dyDescent="0.25">
      <c r="A5598" t="str">
        <f>"20190303170925191"</f>
        <v>20190303170925191</v>
      </c>
      <c r="B5598" t="str">
        <f>"1551604165179409"</f>
        <v>1551604165179409</v>
      </c>
      <c r="C5598" t="s">
        <v>40</v>
      </c>
      <c r="D5598">
        <v>4.9344429999999999</v>
      </c>
      <c r="E5598">
        <v>0.57616840000000002</v>
      </c>
      <c r="F5598" t="s">
        <v>58</v>
      </c>
      <c r="G5598">
        <v>-176.6292</v>
      </c>
      <c r="H5598" s="1">
        <v>-4.0610419999999996E-6</v>
      </c>
      <c r="I5598">
        <v>131.98699999999999</v>
      </c>
      <c r="J5598">
        <v>-185.82159999999999</v>
      </c>
      <c r="K5598">
        <v>1.112277</v>
      </c>
      <c r="L5598">
        <v>113.43040000000001</v>
      </c>
      <c r="M5598">
        <v>0.19455359999999999</v>
      </c>
      <c r="N5598">
        <v>-1.539549E-2</v>
      </c>
      <c r="O5598">
        <v>0.98077110000000001</v>
      </c>
      <c r="P5598">
        <v>0.2722813</v>
      </c>
      <c r="Q5598">
        <v>0.18721960000000001</v>
      </c>
      <c r="R5598">
        <v>0.94382820000000001</v>
      </c>
      <c r="S5598">
        <v>1.382309</v>
      </c>
      <c r="T5598">
        <v>-0.1660162</v>
      </c>
      <c r="U5598">
        <v>2.8191220000000001</v>
      </c>
      <c r="V5598">
        <v>8.7720039999999999E-2</v>
      </c>
      <c r="W5598">
        <v>0.20044310000000001</v>
      </c>
      <c r="X5598">
        <v>0.97577040000000004</v>
      </c>
      <c r="Y5598">
        <v>0.25668010000000002</v>
      </c>
      <c r="Z5598">
        <v>-3.8439809999999998E-2</v>
      </c>
      <c r="AA5598">
        <v>0.96573169999999997</v>
      </c>
      <c r="AB5598">
        <v>37</v>
      </c>
      <c r="AC5598">
        <v>9.1923999999999904</v>
      </c>
      <c r="AD5598">
        <v>-1.112281061042</v>
      </c>
      <c r="AE5598">
        <v>18.5565999999999</v>
      </c>
      <c r="AF5598">
        <v>5.3904766142133296</v>
      </c>
      <c r="AG5598">
        <v>-1.112281061042</v>
      </c>
      <c r="AH5598">
        <v>19.933055737877801</v>
      </c>
      <c r="AI5598">
        <v>93.083310327721094</v>
      </c>
      <c r="AJ5598">
        <v>74.867516823674293</v>
      </c>
      <c r="AK5598">
        <v>20.679001869927799</v>
      </c>
      <c r="AL5598">
        <v>78.4371291719076</v>
      </c>
      <c r="AM5598">
        <v>84.863019159667601</v>
      </c>
      <c r="AN5598">
        <v>1.00000005763568</v>
      </c>
    </row>
    <row r="5599" spans="1:40" x14ac:dyDescent="0.25">
      <c r="A5599" t="str">
        <f>"20190303170925214"</f>
        <v>20190303170925214</v>
      </c>
      <c r="B5599" t="str">
        <f>"1551604165199907"</f>
        <v>1551604165199907</v>
      </c>
      <c r="C5599" t="s">
        <v>40</v>
      </c>
      <c r="D5599">
        <v>4.9069419999999999</v>
      </c>
      <c r="E5599">
        <v>0.56644589999999995</v>
      </c>
      <c r="F5599" t="s">
        <v>58</v>
      </c>
      <c r="G5599">
        <v>-176.43620000000001</v>
      </c>
      <c r="H5599" s="1">
        <v>-3.9850750000000001E-6</v>
      </c>
      <c r="I5599">
        <v>132.1337</v>
      </c>
      <c r="J5599">
        <v>-185.73849999999999</v>
      </c>
      <c r="K5599">
        <v>1.111909</v>
      </c>
      <c r="L5599">
        <v>113.8015</v>
      </c>
      <c r="M5599">
        <v>0.2046897</v>
      </c>
      <c r="N5599">
        <v>-1.5448740000000001E-2</v>
      </c>
      <c r="O5599">
        <v>0.97870500000000005</v>
      </c>
      <c r="P5599">
        <v>0.28408299999999997</v>
      </c>
      <c r="Q5599">
        <v>0.18715300000000001</v>
      </c>
      <c r="R5599">
        <v>0.94035670000000005</v>
      </c>
      <c r="S5599">
        <v>1.4078219999999999</v>
      </c>
      <c r="T5599">
        <v>-0.16684280000000001</v>
      </c>
      <c r="U5599">
        <v>2.8054960000000002</v>
      </c>
      <c r="V5599">
        <v>9.0029890000000001E-2</v>
      </c>
      <c r="W5599">
        <v>0.20030020000000001</v>
      </c>
      <c r="X5599">
        <v>0.97558929999999999</v>
      </c>
      <c r="Y5599">
        <v>0.25557029999999997</v>
      </c>
      <c r="Z5599">
        <v>-3.8672570000000003E-2</v>
      </c>
      <c r="AA5599">
        <v>0.96601669999999995</v>
      </c>
      <c r="AB5599">
        <v>37</v>
      </c>
      <c r="AC5599">
        <v>9.3022999999999705</v>
      </c>
      <c r="AD5599">
        <v>-1.111912985075</v>
      </c>
      <c r="AE5599">
        <v>18.3322</v>
      </c>
      <c r="AF5599">
        <v>5.3368205060077401</v>
      </c>
      <c r="AG5599">
        <v>-1.111912985075</v>
      </c>
      <c r="AH5599">
        <v>19.790371318920499</v>
      </c>
      <c r="AI5599">
        <v>93.105065228971498</v>
      </c>
      <c r="AJ5599">
        <v>74.908181287803501</v>
      </c>
      <c r="AK5599">
        <v>20.527464542423999</v>
      </c>
      <c r="AL5599">
        <v>78.445485740574696</v>
      </c>
      <c r="AM5599">
        <v>84.727531162899894</v>
      </c>
      <c r="AN5599">
        <v>1.00000001674397</v>
      </c>
    </row>
    <row r="5600" spans="1:40" x14ac:dyDescent="0.25">
      <c r="A5600" t="str">
        <f>"20190303170925236"</f>
        <v>20190303170925236</v>
      </c>
      <c r="B5600" t="str">
        <f>"1551604165229186"</f>
        <v>1551604165229186</v>
      </c>
      <c r="C5600" t="s">
        <v>40</v>
      </c>
      <c r="D5600">
        <v>4.8903730000000003</v>
      </c>
      <c r="E5600">
        <v>0.56678189999999995</v>
      </c>
      <c r="F5600" t="s">
        <v>58</v>
      </c>
      <c r="G5600">
        <v>-177.29650000000001</v>
      </c>
      <c r="H5600" s="1">
        <v>-4.1821350000000001E-6</v>
      </c>
      <c r="I5600">
        <v>131.10650000000001</v>
      </c>
      <c r="J5600">
        <v>-185.65360000000001</v>
      </c>
      <c r="K5600">
        <v>1.111556</v>
      </c>
      <c r="L5600">
        <v>114.16240000000001</v>
      </c>
      <c r="M5600">
        <v>0.21493989999999999</v>
      </c>
      <c r="N5600">
        <v>-1.5499799999999999E-2</v>
      </c>
      <c r="O5600">
        <v>0.97650429999999999</v>
      </c>
      <c r="P5600">
        <v>0.29633130000000002</v>
      </c>
      <c r="Q5600">
        <v>0.18740599999999999</v>
      </c>
      <c r="R5600">
        <v>0.93651839999999997</v>
      </c>
      <c r="S5600">
        <v>1.3717189999999999</v>
      </c>
      <c r="T5600">
        <v>-0.18067130000000001</v>
      </c>
      <c r="U5600">
        <v>2.8118289999999999</v>
      </c>
      <c r="V5600">
        <v>9.2726059999999999E-2</v>
      </c>
      <c r="W5600">
        <v>0.20046459999999999</v>
      </c>
      <c r="X5600">
        <v>0.97530289999999997</v>
      </c>
      <c r="Y5600">
        <v>0.23445659999999999</v>
      </c>
      <c r="Z5600">
        <v>-4.3057999999999999E-2</v>
      </c>
      <c r="AA5600">
        <v>0.97117260000000005</v>
      </c>
      <c r="AB5600">
        <v>36</v>
      </c>
      <c r="AC5600">
        <v>8.3571000000000009</v>
      </c>
      <c r="AD5600">
        <v>-1.1115601821349901</v>
      </c>
      <c r="AE5600">
        <v>16.944099999999999</v>
      </c>
      <c r="AF5600">
        <v>4.5037339641282399</v>
      </c>
      <c r="AG5600">
        <v>-1.1115601821349901</v>
      </c>
      <c r="AH5600">
        <v>18.281183368525198</v>
      </c>
      <c r="AI5600">
        <v>93.3787237710754</v>
      </c>
      <c r="AJ5600">
        <v>76.160266902974598</v>
      </c>
      <c r="AK5600">
        <v>18.860563380021102</v>
      </c>
      <c r="AL5600">
        <v>78.435870675370197</v>
      </c>
      <c r="AM5600">
        <v>84.568979040103699</v>
      </c>
      <c r="AN5600">
        <v>0.99999996240234601</v>
      </c>
    </row>
    <row r="5601" spans="1:40" x14ac:dyDescent="0.25">
      <c r="A5601" t="str">
        <f>"20190303170925259"</f>
        <v>20190303170925259</v>
      </c>
      <c r="B5601" t="str">
        <f>"1551604165249681"</f>
        <v>1551604165249681</v>
      </c>
      <c r="C5601" t="s">
        <v>40</v>
      </c>
      <c r="D5601">
        <v>4.9161109999999999</v>
      </c>
      <c r="E5601">
        <v>0.56630469999999999</v>
      </c>
      <c r="F5601" t="s">
        <v>58</v>
      </c>
      <c r="G5601">
        <v>-177.12260000000001</v>
      </c>
      <c r="H5601" s="1">
        <v>-4.0368900000000004E-6</v>
      </c>
      <c r="I5601">
        <v>131.03639999999999</v>
      </c>
      <c r="J5601">
        <v>-185.56559999999999</v>
      </c>
      <c r="K5601">
        <v>1.1112010000000001</v>
      </c>
      <c r="L5601">
        <v>114.5188</v>
      </c>
      <c r="M5601">
        <v>0.22545319999999999</v>
      </c>
      <c r="N5601">
        <v>-1.5550370000000001E-2</v>
      </c>
      <c r="O5601">
        <v>0.97412989999999999</v>
      </c>
      <c r="P5601">
        <v>0.30975970000000003</v>
      </c>
      <c r="Q5601">
        <v>0.1878454</v>
      </c>
      <c r="R5601">
        <v>0.93207459999999998</v>
      </c>
      <c r="S5601">
        <v>1.412231</v>
      </c>
      <c r="T5601">
        <v>-0.1840088</v>
      </c>
      <c r="U5601">
        <v>2.7933349999999999</v>
      </c>
      <c r="V5601">
        <v>9.6435389999999996E-2</v>
      </c>
      <c r="W5601">
        <v>0.20078650000000001</v>
      </c>
      <c r="X5601">
        <v>0.97487690000000005</v>
      </c>
      <c r="Y5601">
        <v>0.23776620000000001</v>
      </c>
      <c r="Z5601">
        <v>-4.4066750000000002E-2</v>
      </c>
      <c r="AA5601">
        <v>0.97032229999999997</v>
      </c>
      <c r="AB5601">
        <v>36</v>
      </c>
      <c r="AC5601">
        <v>8.4429999999999801</v>
      </c>
      <c r="AD5601">
        <v>-1.1112050368899999</v>
      </c>
      <c r="AE5601">
        <v>16.517599999999899</v>
      </c>
      <c r="AF5601">
        <v>4.4850835156438302</v>
      </c>
      <c r="AG5601">
        <v>-1.1112050368899999</v>
      </c>
      <c r="AH5601">
        <v>17.931621793689001</v>
      </c>
      <c r="AI5601">
        <v>93.440313406467595</v>
      </c>
      <c r="AJ5601">
        <v>75.957206657422205</v>
      </c>
      <c r="AK5601">
        <v>18.517392120064098</v>
      </c>
      <c r="AL5601">
        <v>78.417044671065995</v>
      </c>
      <c r="AM5601">
        <v>84.350647161262401</v>
      </c>
      <c r="AN5601">
        <v>0.99999998659015599</v>
      </c>
    </row>
    <row r="5602" spans="1:40" x14ac:dyDescent="0.25">
      <c r="A5602" t="str">
        <f>"20190303170925280"</f>
        <v>20190303170925280</v>
      </c>
      <c r="B5602" t="str">
        <f>"1551604165269201"</f>
        <v>1551604165269201</v>
      </c>
      <c r="C5602" t="s">
        <v>40</v>
      </c>
      <c r="D5602">
        <v>4.9207199999999904</v>
      </c>
      <c r="E5602">
        <v>0.5655538</v>
      </c>
      <c r="F5602" t="s">
        <v>58</v>
      </c>
      <c r="G5602">
        <v>-176.9931</v>
      </c>
      <c r="H5602" s="1">
        <v>-3.9263710000000001E-6</v>
      </c>
      <c r="I5602">
        <v>130.97799999999901</v>
      </c>
      <c r="J5602">
        <v>-185.47790000000001</v>
      </c>
      <c r="K5602">
        <v>1.11087</v>
      </c>
      <c r="L5602">
        <v>114.8571</v>
      </c>
      <c r="M5602">
        <v>0.23580309999999999</v>
      </c>
      <c r="N5602">
        <v>-1.560097E-2</v>
      </c>
      <c r="O5602">
        <v>0.97167559999999997</v>
      </c>
      <c r="P5602">
        <v>0.3231849</v>
      </c>
      <c r="Q5602">
        <v>0.18833349999999999</v>
      </c>
      <c r="R5602">
        <v>0.92740610000000001</v>
      </c>
      <c r="S5602">
        <v>1.445786</v>
      </c>
      <c r="T5602">
        <v>-0.1874094</v>
      </c>
      <c r="U5602">
        <v>2.775909</v>
      </c>
      <c r="V5602">
        <v>0.1003453</v>
      </c>
      <c r="W5602">
        <v>0.20114799999999999</v>
      </c>
      <c r="X5602">
        <v>0.97440769999999999</v>
      </c>
      <c r="Y5602">
        <v>0.2391296</v>
      </c>
      <c r="Z5602">
        <v>-4.5104230000000002E-2</v>
      </c>
      <c r="AA5602">
        <v>0.96993949999999995</v>
      </c>
      <c r="AB5602">
        <v>36</v>
      </c>
      <c r="AC5602">
        <v>8.4847999999999999</v>
      </c>
      <c r="AD5602">
        <v>-1.1108739263709999</v>
      </c>
      <c r="AE5602">
        <v>16.120899999999899</v>
      </c>
      <c r="AF5602">
        <v>4.4271937970628503</v>
      </c>
      <c r="AG5602">
        <v>-1.1108739263709999</v>
      </c>
      <c r="AH5602">
        <v>17.601727732436199</v>
      </c>
      <c r="AI5602">
        <v>93.502437795257507</v>
      </c>
      <c r="AJ5602">
        <v>75.881797066335196</v>
      </c>
      <c r="AK5602">
        <v>18.183918856062199</v>
      </c>
      <c r="AL5602">
        <v>78.395901397801495</v>
      </c>
      <c r="AM5602">
        <v>84.120360043388004</v>
      </c>
      <c r="AN5602">
        <v>1.00000003147768</v>
      </c>
    </row>
    <row r="5603" spans="1:40" x14ac:dyDescent="0.25">
      <c r="A5603" t="str">
        <f>"20190303170925301"</f>
        <v>20190303170925301</v>
      </c>
      <c r="B5603" t="str">
        <f>"1551604165289698"</f>
        <v>1551604165289698</v>
      </c>
      <c r="C5603" t="s">
        <v>40</v>
      </c>
      <c r="D5603">
        <v>4.8937809999999997</v>
      </c>
      <c r="E5603">
        <v>0.56494540000000004</v>
      </c>
      <c r="F5603" t="s">
        <v>58</v>
      </c>
      <c r="G5603">
        <v>-176.77350000000001</v>
      </c>
      <c r="H5603" s="1">
        <v>-3.8185090000000004E-6</v>
      </c>
      <c r="I5603">
        <v>131.0883</v>
      </c>
      <c r="J5603">
        <v>-185.38890000000001</v>
      </c>
      <c r="K5603">
        <v>1.1105389999999999</v>
      </c>
      <c r="L5603">
        <v>115.18559999999999</v>
      </c>
      <c r="M5603">
        <v>0.2462097</v>
      </c>
      <c r="N5603">
        <v>-1.5653920000000002E-2</v>
      </c>
      <c r="O5603">
        <v>0.96909020000000001</v>
      </c>
      <c r="P5603">
        <v>0.33539469999999999</v>
      </c>
      <c r="Q5603">
        <v>0.18727740000000001</v>
      </c>
      <c r="R5603">
        <v>0.92327550000000003</v>
      </c>
      <c r="S5603">
        <v>1.478928</v>
      </c>
      <c r="T5603">
        <v>-0.18874440000000001</v>
      </c>
      <c r="U5603">
        <v>2.7577970000000001</v>
      </c>
      <c r="V5603">
        <v>0.1028398</v>
      </c>
      <c r="W5603">
        <v>0.20000490000000001</v>
      </c>
      <c r="X5603">
        <v>0.97438290000000005</v>
      </c>
      <c r="Y5603">
        <v>0.2404106</v>
      </c>
      <c r="Z5603">
        <v>-4.5482599999999998E-2</v>
      </c>
      <c r="AA5603">
        <v>0.9696051</v>
      </c>
      <c r="AB5603">
        <v>36</v>
      </c>
      <c r="AC5603">
        <v>8.6153999999999904</v>
      </c>
      <c r="AD5603">
        <v>-1.1105428185090001</v>
      </c>
      <c r="AE5603">
        <v>15.902699999999999</v>
      </c>
      <c r="AF5603">
        <v>4.4175887602035298</v>
      </c>
      <c r="AG5603">
        <v>-1.1105428185090001</v>
      </c>
      <c r="AH5603">
        <v>17.468633685914501</v>
      </c>
      <c r="AI5603">
        <v>93.526866479782299</v>
      </c>
      <c r="AJ5603">
        <v>75.808184806230202</v>
      </c>
      <c r="AK5603">
        <v>18.052743798622</v>
      </c>
      <c r="AL5603">
        <v>78.462754547178307</v>
      </c>
      <c r="AM5603">
        <v>83.975107043945499</v>
      </c>
      <c r="AN5603">
        <v>1.00000001015023</v>
      </c>
    </row>
    <row r="5604" spans="1:40" x14ac:dyDescent="0.25">
      <c r="A5604" t="str">
        <f>"20190303170925324"</f>
        <v>20190303170925324</v>
      </c>
      <c r="B5604" t="str">
        <f>"1551604165309218"</f>
        <v>1551604165309218</v>
      </c>
      <c r="C5604" t="s">
        <v>40</v>
      </c>
      <c r="D5604">
        <v>4.9135119999999999</v>
      </c>
      <c r="E5604">
        <v>0.55977119999999903</v>
      </c>
      <c r="F5604" t="s">
        <v>58</v>
      </c>
      <c r="G5604">
        <v>-176.71809999999999</v>
      </c>
      <c r="H5604" s="1">
        <v>-3.712907E-6</v>
      </c>
      <c r="I5604">
        <v>130.90969999999999</v>
      </c>
      <c r="J5604">
        <v>-185.2859</v>
      </c>
      <c r="K5604">
        <v>1.1101589999999999</v>
      </c>
      <c r="L5604">
        <v>115.5485</v>
      </c>
      <c r="M5604">
        <v>0.25810369999999999</v>
      </c>
      <c r="N5604">
        <v>-1.57167E-2</v>
      </c>
      <c r="O5604">
        <v>0.9659894</v>
      </c>
      <c r="P5604">
        <v>0.34798420000000002</v>
      </c>
      <c r="Q5604">
        <v>0.1855977</v>
      </c>
      <c r="R5604">
        <v>0.91894529999999996</v>
      </c>
      <c r="S5604">
        <v>1.5107729999999999</v>
      </c>
      <c r="T5604">
        <v>-0.19349930000000001</v>
      </c>
      <c r="U5604">
        <v>2.7397309999999999</v>
      </c>
      <c r="V5604">
        <v>0.1042319</v>
      </c>
      <c r="W5604">
        <v>0.19826569999999999</v>
      </c>
      <c r="X5604">
        <v>0.97459039999999997</v>
      </c>
      <c r="Y5604">
        <v>0.23978640000000001</v>
      </c>
      <c r="Z5604">
        <v>-4.6911460000000002E-2</v>
      </c>
      <c r="AA5604">
        <v>0.96969159999999999</v>
      </c>
      <c r="AB5604">
        <v>36</v>
      </c>
      <c r="AC5604">
        <v>8.5678000000000001</v>
      </c>
      <c r="AD5604">
        <v>-1.110162712907</v>
      </c>
      <c r="AE5604">
        <v>15.361199999999901</v>
      </c>
      <c r="AF5604">
        <v>4.2950436249967403</v>
      </c>
      <c r="AG5604">
        <v>-1.110162712907</v>
      </c>
      <c r="AH5604">
        <v>16.984580994877401</v>
      </c>
      <c r="AI5604">
        <v>93.625884583487704</v>
      </c>
      <c r="AJ5604">
        <v>75.808611405590895</v>
      </c>
      <c r="AK5604">
        <v>17.554368475149001</v>
      </c>
      <c r="AL5604">
        <v>78.564439959504298</v>
      </c>
      <c r="AM5604">
        <v>83.895452726406901</v>
      </c>
      <c r="AN5604">
        <v>1.0000000122731201</v>
      </c>
    </row>
    <row r="5605" spans="1:40" x14ac:dyDescent="0.25">
      <c r="A5605" t="str">
        <f>"20190303170925348"</f>
        <v>20190303170925348</v>
      </c>
      <c r="B5605" t="str">
        <f>"1551604165339474"</f>
        <v>1551604165339474</v>
      </c>
      <c r="C5605" t="s">
        <v>40</v>
      </c>
      <c r="D5605">
        <v>4.9184549999999998</v>
      </c>
      <c r="E5605">
        <v>0.55797379999999996</v>
      </c>
      <c r="F5605" t="s">
        <v>58</v>
      </c>
      <c r="G5605">
        <v>-176.99359999999999</v>
      </c>
      <c r="H5605" s="1">
        <v>-3.760437E-6</v>
      </c>
      <c r="I5605">
        <v>130.53980000000001</v>
      </c>
      <c r="J5605">
        <v>-185.17400000000001</v>
      </c>
      <c r="K5605">
        <v>1.1097600000000001</v>
      </c>
      <c r="L5605">
        <v>115.9242</v>
      </c>
      <c r="M5605">
        <v>0.27086310000000002</v>
      </c>
      <c r="N5605">
        <v>-1.5786049999999999E-2</v>
      </c>
      <c r="O5605">
        <v>0.96248849999999997</v>
      </c>
      <c r="P5605">
        <v>0.36171449999999999</v>
      </c>
      <c r="Q5605">
        <v>0.18440819999999999</v>
      </c>
      <c r="R5605">
        <v>0.91386880000000004</v>
      </c>
      <c r="S5605">
        <v>1.511749</v>
      </c>
      <c r="T5605">
        <v>-0.20239080000000001</v>
      </c>
      <c r="U5605">
        <v>2.7330169999999998</v>
      </c>
      <c r="V5605">
        <v>0.106033</v>
      </c>
      <c r="W5605">
        <v>0.19700319999999999</v>
      </c>
      <c r="X5605">
        <v>0.97465210000000002</v>
      </c>
      <c r="Y5605">
        <v>0.228131</v>
      </c>
      <c r="Z5605">
        <v>-4.9600279999999997E-2</v>
      </c>
      <c r="AA5605">
        <v>0.97236619999999996</v>
      </c>
      <c r="AB5605">
        <v>36</v>
      </c>
      <c r="AC5605">
        <v>8.1804000000000094</v>
      </c>
      <c r="AD5605">
        <v>-1.1097637604369901</v>
      </c>
      <c r="AE5605">
        <v>14.615600000000001</v>
      </c>
      <c r="AF5605">
        <v>3.8980888057502101</v>
      </c>
      <c r="AG5605">
        <v>-1.1097637604369901</v>
      </c>
      <c r="AH5605">
        <v>16.2139626794586</v>
      </c>
      <c r="AI5605">
        <v>93.807346452521003</v>
      </c>
      <c r="AJ5605">
        <v>76.481756135502593</v>
      </c>
      <c r="AK5605">
        <v>16.712847085771202</v>
      </c>
      <c r="AL5605">
        <v>78.638231071620197</v>
      </c>
      <c r="AM5605">
        <v>83.791174796668301</v>
      </c>
      <c r="AN5605">
        <v>0.99999998696682402</v>
      </c>
    </row>
    <row r="5606" spans="1:40" x14ac:dyDescent="0.25">
      <c r="A5606" t="str">
        <f>"20190303170925368"</f>
        <v>20190303170925368</v>
      </c>
      <c r="B5606" t="str">
        <f>"1551604165359969"</f>
        <v>1551604165359969</v>
      </c>
      <c r="C5606" t="s">
        <v>40</v>
      </c>
      <c r="D5606">
        <v>4.8754939999999998</v>
      </c>
      <c r="E5606">
        <v>0.55661050000000001</v>
      </c>
      <c r="F5606" t="s">
        <v>58</v>
      </c>
      <c r="G5606">
        <v>-177.6627</v>
      </c>
      <c r="H5606">
        <v>7.9987790000000003E-2</v>
      </c>
      <c r="I5606">
        <v>129.17509999999999</v>
      </c>
      <c r="J5606">
        <v>-185.07310000000001</v>
      </c>
      <c r="K5606">
        <v>1.1094200000000001</v>
      </c>
      <c r="L5606">
        <v>116.2469</v>
      </c>
      <c r="M5606">
        <v>0.28221829999999998</v>
      </c>
      <c r="N5606">
        <v>-1.5849559999999999E-2</v>
      </c>
      <c r="O5606">
        <v>0.9592193</v>
      </c>
      <c r="P5606">
        <v>0.37343530000000003</v>
      </c>
      <c r="Q5606">
        <v>0.18535380000000001</v>
      </c>
      <c r="R5606">
        <v>0.90895000000000004</v>
      </c>
      <c r="S5606">
        <v>1.5395509999999999</v>
      </c>
      <c r="T5606">
        <v>-0.2110668</v>
      </c>
      <c r="U5606">
        <v>2.715973</v>
      </c>
      <c r="V5606">
        <v>0.10729180000000001</v>
      </c>
      <c r="W5606">
        <v>0.19788890000000001</v>
      </c>
      <c r="X5606">
        <v>0.97433479999999995</v>
      </c>
      <c r="Y5606">
        <v>0.22669810000000001</v>
      </c>
      <c r="Z5606">
        <v>-5.2238369999999999E-2</v>
      </c>
      <c r="AA5606">
        <v>0.97256310000000001</v>
      </c>
      <c r="AB5606">
        <v>36</v>
      </c>
      <c r="AC5606">
        <v>7.4104000000000099</v>
      </c>
      <c r="AD5606">
        <v>-1.02943221</v>
      </c>
      <c r="AE5606">
        <v>12.928199999999901</v>
      </c>
      <c r="AF5606">
        <v>3.44362415177606</v>
      </c>
      <c r="AG5606">
        <v>-1.02943221</v>
      </c>
      <c r="AH5606">
        <v>14.425305933204699</v>
      </c>
      <c r="AI5606">
        <v>93.970674977816799</v>
      </c>
      <c r="AJ5606">
        <v>76.573574381138599</v>
      </c>
      <c r="AK5606">
        <v>14.8663287075267</v>
      </c>
      <c r="AL5606">
        <v>78.586464400661001</v>
      </c>
      <c r="AM5606">
        <v>83.716021494325801</v>
      </c>
      <c r="AN5606">
        <v>0.99999992479074196</v>
      </c>
    </row>
    <row r="5607" spans="1:40" x14ac:dyDescent="0.25">
      <c r="A5607" t="str">
        <f>"20190303170925391"</f>
        <v>20190303170925391</v>
      </c>
      <c r="B5607" t="str">
        <f>"1551604165379489"</f>
        <v>1551604165379489</v>
      </c>
      <c r="C5607" t="s">
        <v>40</v>
      </c>
      <c r="D5607">
        <v>4.8827590000000001</v>
      </c>
      <c r="E5607">
        <v>0.5553361</v>
      </c>
      <c r="F5607" t="s">
        <v>58</v>
      </c>
      <c r="G5607">
        <v>-176.82259999999999</v>
      </c>
      <c r="H5607" s="1">
        <v>-3.6288100000000002E-6</v>
      </c>
      <c r="I5607">
        <v>130.50020000000001</v>
      </c>
      <c r="J5607">
        <v>-184.96180000000001</v>
      </c>
      <c r="K5607">
        <v>1.10907</v>
      </c>
      <c r="L5607">
        <v>116.5868</v>
      </c>
      <c r="M5607">
        <v>0.29457689999999997</v>
      </c>
      <c r="N5607">
        <v>-1.592037E-2</v>
      </c>
      <c r="O5607">
        <v>0.95549519999999999</v>
      </c>
      <c r="P5607">
        <v>0.3851272</v>
      </c>
      <c r="Q5607">
        <v>0.1869353</v>
      </c>
      <c r="R5607">
        <v>0.90373239999999999</v>
      </c>
      <c r="S5607">
        <v>1.563477</v>
      </c>
      <c r="T5607">
        <v>-0.21023800000000001</v>
      </c>
      <c r="U5607">
        <v>2.7010350000000001</v>
      </c>
      <c r="V5607">
        <v>0.1075923</v>
      </c>
      <c r="W5607">
        <v>0.19944000000000001</v>
      </c>
      <c r="X5607">
        <v>0.9739854</v>
      </c>
      <c r="Y5607">
        <v>0.22291859999999999</v>
      </c>
      <c r="Z5607">
        <v>-5.1812940000000002E-2</v>
      </c>
      <c r="AA5607">
        <v>0.97345910000000002</v>
      </c>
      <c r="AB5607">
        <v>36</v>
      </c>
      <c r="AC5607">
        <v>8.1392000000000095</v>
      </c>
      <c r="AD5607">
        <v>-1.10907362881</v>
      </c>
      <c r="AE5607">
        <v>13.913399999999999</v>
      </c>
      <c r="AF5607">
        <v>3.66153251182434</v>
      </c>
      <c r="AG5607">
        <v>-1.10907362881</v>
      </c>
      <c r="AH5607">
        <v>15.619850411750599</v>
      </c>
      <c r="AI5607">
        <v>93.954573848994102</v>
      </c>
      <c r="AJ5607">
        <v>76.807198464067795</v>
      </c>
      <c r="AK5607">
        <v>16.081560606319702</v>
      </c>
      <c r="AL5607">
        <v>78.495786184837399</v>
      </c>
      <c r="AM5607">
        <v>83.696320546667494</v>
      </c>
      <c r="AN5607">
        <v>0.99999998801622403</v>
      </c>
    </row>
    <row r="5608" spans="1:40" x14ac:dyDescent="0.25">
      <c r="A5608" t="str">
        <f>"20190303170925414"</f>
        <v>20190303170925414</v>
      </c>
      <c r="B5608" t="str">
        <f>"1551604165399986"</f>
        <v>1551604165399986</v>
      </c>
      <c r="C5608" t="s">
        <v>40</v>
      </c>
      <c r="D5608">
        <v>4.8966440000000002</v>
      </c>
      <c r="E5608">
        <v>0.54961530000000003</v>
      </c>
      <c r="F5608" t="s">
        <v>58</v>
      </c>
      <c r="G5608">
        <v>-176.44280000000001</v>
      </c>
      <c r="H5608" s="1">
        <v>-3.5542109999999999E-6</v>
      </c>
      <c r="I5608">
        <v>130.98650000000001</v>
      </c>
      <c r="J5608">
        <v>-184.83799999999999</v>
      </c>
      <c r="K5608">
        <v>1.1087020000000001</v>
      </c>
      <c r="L5608">
        <v>116.9474</v>
      </c>
      <c r="M5608">
        <v>0.30810539999999997</v>
      </c>
      <c r="N5608">
        <v>-1.5999659999999999E-2</v>
      </c>
      <c r="O5608">
        <v>0.95121770000000005</v>
      </c>
      <c r="P5608">
        <v>0.39754640000000002</v>
      </c>
      <c r="Q5608">
        <v>0.1870483</v>
      </c>
      <c r="R5608">
        <v>0.89831499999999997</v>
      </c>
      <c r="S5608">
        <v>1.5886690000000001</v>
      </c>
      <c r="T5608">
        <v>-0.20682600000000001</v>
      </c>
      <c r="U5608">
        <v>2.6853180000000001</v>
      </c>
      <c r="V5608">
        <v>0.1073833</v>
      </c>
      <c r="W5608">
        <v>0.199547</v>
      </c>
      <c r="X5608">
        <v>0.97398660000000004</v>
      </c>
      <c r="Y5608">
        <v>0.21837999999999999</v>
      </c>
      <c r="Z5608">
        <v>-5.0533870000000002E-2</v>
      </c>
      <c r="AA5608">
        <v>0.97455449999999999</v>
      </c>
      <c r="AB5608">
        <v>36</v>
      </c>
      <c r="AC5608">
        <v>8.3951999999999796</v>
      </c>
      <c r="AD5608">
        <v>-1.108705554211</v>
      </c>
      <c r="AE5608">
        <v>14.039099999999999</v>
      </c>
      <c r="AF5608">
        <v>3.6438690769415398</v>
      </c>
      <c r="AG5608">
        <v>-1.108705554211</v>
      </c>
      <c r="AH5608">
        <v>15.869981469079701</v>
      </c>
      <c r="AI5608">
        <v>93.895258155461704</v>
      </c>
      <c r="AJ5608">
        <v>77.068588123238001</v>
      </c>
      <c r="AK5608">
        <v>16.320640970402</v>
      </c>
      <c r="AL5608">
        <v>78.489530356400095</v>
      </c>
      <c r="AM5608">
        <v>83.708474958926899</v>
      </c>
      <c r="AN5608">
        <v>1.0000000376537199</v>
      </c>
    </row>
    <row r="5609" spans="1:40" x14ac:dyDescent="0.25">
      <c r="A5609" t="str">
        <f>"20190303170925438"</f>
        <v>20190303170925438</v>
      </c>
      <c r="B5609" t="str">
        <f>"1551604165429265"</f>
        <v>1551604165429265</v>
      </c>
      <c r="C5609" t="s">
        <v>40</v>
      </c>
      <c r="D5609">
        <v>4.9070119999999999</v>
      </c>
      <c r="E5609">
        <v>0.54807790000000001</v>
      </c>
      <c r="F5609" t="s">
        <v>58</v>
      </c>
      <c r="G5609">
        <v>-176.88659999999999</v>
      </c>
      <c r="H5609" s="1">
        <v>-3.6373229999999999E-6</v>
      </c>
      <c r="I5609">
        <v>130.4076</v>
      </c>
      <c r="J5609">
        <v>-184.7055</v>
      </c>
      <c r="K5609">
        <v>1.1083480000000001</v>
      </c>
      <c r="L5609">
        <v>117.31529999999999</v>
      </c>
      <c r="M5609">
        <v>0.32230170000000002</v>
      </c>
      <c r="N5609">
        <v>-1.6081720000000001E-2</v>
      </c>
      <c r="O5609">
        <v>0.94650040000000002</v>
      </c>
      <c r="P5609">
        <v>0.41067330000000002</v>
      </c>
      <c r="Q5609">
        <v>0.1870569</v>
      </c>
      <c r="R5609">
        <v>0.89238850000000003</v>
      </c>
      <c r="S5609">
        <v>1.5854950000000001</v>
      </c>
      <c r="T5609">
        <v>-0.22107599999999999</v>
      </c>
      <c r="U5609">
        <v>2.6839750000000002</v>
      </c>
      <c r="V5609">
        <v>0.107261</v>
      </c>
      <c r="W5609">
        <v>0.1995545</v>
      </c>
      <c r="X5609">
        <v>0.97399849999999999</v>
      </c>
      <c r="Y5609">
        <v>0.2029975</v>
      </c>
      <c r="Z5609">
        <v>-5.4651159999999997E-2</v>
      </c>
      <c r="AA5609">
        <v>0.97765290000000005</v>
      </c>
      <c r="AB5609">
        <v>36</v>
      </c>
      <c r="AC5609">
        <v>7.81890000000001</v>
      </c>
      <c r="AD5609">
        <v>-1.10835163732299</v>
      </c>
      <c r="AE5609">
        <v>13.0923</v>
      </c>
      <c r="AF5609">
        <v>3.1646152958245302</v>
      </c>
      <c r="AG5609">
        <v>-1.10835163732299</v>
      </c>
      <c r="AH5609">
        <v>14.8354700588468</v>
      </c>
      <c r="AI5609">
        <v>94.178931042935105</v>
      </c>
      <c r="AJ5609">
        <v>77.9584775796706</v>
      </c>
      <c r="AK5609">
        <v>15.2096812980898</v>
      </c>
      <c r="AL5609">
        <v>78.489091370401596</v>
      </c>
      <c r="AM5609">
        <v>83.715659247532002</v>
      </c>
      <c r="AN5609">
        <v>0.99999999929674899</v>
      </c>
    </row>
    <row r="5610" spans="1:40" x14ac:dyDescent="0.25">
      <c r="A5610" t="str">
        <f>"20190303170925461"</f>
        <v>20190303170925461</v>
      </c>
      <c r="B5610" t="str">
        <f>"1551604165449761"</f>
        <v>1551604165449761</v>
      </c>
      <c r="C5610" t="s">
        <v>40</v>
      </c>
      <c r="D5610">
        <v>4.9223089999999896</v>
      </c>
      <c r="E5610">
        <v>0.54708869999999998</v>
      </c>
      <c r="F5610" t="s">
        <v>58</v>
      </c>
      <c r="G5610">
        <v>-177.45230000000001</v>
      </c>
      <c r="H5610">
        <v>7.9987790000000003E-2</v>
      </c>
      <c r="I5610">
        <v>129.27520000000001</v>
      </c>
      <c r="J5610">
        <v>-184.5744</v>
      </c>
      <c r="K5610">
        <v>1.1080369999999999</v>
      </c>
      <c r="L5610">
        <v>117.6631</v>
      </c>
      <c r="M5610">
        <v>0.33606180000000002</v>
      </c>
      <c r="N5610">
        <v>-1.6156670000000001E-2</v>
      </c>
      <c r="O5610">
        <v>0.94170140000000002</v>
      </c>
      <c r="P5610">
        <v>0.42364259999999898</v>
      </c>
      <c r="Q5610">
        <v>0.18864600000000001</v>
      </c>
      <c r="R5610">
        <v>0.88596819999999898</v>
      </c>
      <c r="S5610">
        <v>1.6166990000000001</v>
      </c>
      <c r="T5610">
        <v>-0.22921849999999999</v>
      </c>
      <c r="U5610">
        <v>2.6658170000000001</v>
      </c>
      <c r="V5610">
        <v>0.10758280000000001</v>
      </c>
      <c r="W5610">
        <v>0.2011261</v>
      </c>
      <c r="X5610">
        <v>0.9736397</v>
      </c>
      <c r="Y5610">
        <v>0.19997280000000001</v>
      </c>
      <c r="Z5610">
        <v>-5.6920850000000002E-2</v>
      </c>
      <c r="AA5610">
        <v>0.97814670000000004</v>
      </c>
      <c r="AB5610">
        <v>36</v>
      </c>
      <c r="AC5610">
        <v>7.1220999999999801</v>
      </c>
      <c r="AD5610">
        <v>-1.02804921</v>
      </c>
      <c r="AE5610">
        <v>11.6121</v>
      </c>
      <c r="AF5610">
        <v>2.7889896175266</v>
      </c>
      <c r="AG5610">
        <v>-1.02804921</v>
      </c>
      <c r="AH5610">
        <v>13.254843026523799</v>
      </c>
      <c r="AI5610">
        <v>94.340332002689493</v>
      </c>
      <c r="AJ5610">
        <v>78.117565979735204</v>
      </c>
      <c r="AK5610">
        <v>13.584042547144801</v>
      </c>
      <c r="AL5610">
        <v>78.397182174208297</v>
      </c>
      <c r="AM5610">
        <v>83.694652695339698</v>
      </c>
      <c r="AN5610">
        <v>1.0000000161865601</v>
      </c>
    </row>
    <row r="5611" spans="1:40" x14ac:dyDescent="0.25">
      <c r="A5611" t="str">
        <f>"20190303170925503"</f>
        <v>20190303170925503</v>
      </c>
      <c r="B5611" t="str">
        <f>"1551604165489777"</f>
        <v>1551604165489777</v>
      </c>
      <c r="C5611" t="s">
        <v>40</v>
      </c>
      <c r="D5611">
        <v>4.9665850000000002</v>
      </c>
      <c r="E5611">
        <v>0.5416472</v>
      </c>
      <c r="F5611" t="s">
        <v>58</v>
      </c>
      <c r="G5611">
        <v>-177.2013</v>
      </c>
      <c r="H5611">
        <v>7.9987730000000007E-2</v>
      </c>
      <c r="I5611">
        <v>129.4922</v>
      </c>
      <c r="J5611">
        <v>-184.3194</v>
      </c>
      <c r="K5611">
        <v>1.1075029999999999</v>
      </c>
      <c r="L5611">
        <v>118.2978</v>
      </c>
      <c r="M5611">
        <v>0.362008</v>
      </c>
      <c r="N5611">
        <v>-1.6288219999999999E-2</v>
      </c>
      <c r="O5611">
        <v>0.93203270000000005</v>
      </c>
      <c r="P5611">
        <v>0.44657910000000001</v>
      </c>
      <c r="Q5611">
        <v>0.1896601</v>
      </c>
      <c r="R5611">
        <v>0.87441190000000002</v>
      </c>
      <c r="S5611">
        <v>1.649475</v>
      </c>
      <c r="T5611">
        <v>-0.22999140000000001</v>
      </c>
      <c r="U5611">
        <v>2.6463619999999999</v>
      </c>
      <c r="V5611">
        <v>0.1063511</v>
      </c>
      <c r="W5611">
        <v>0.20218159999999999</v>
      </c>
      <c r="X5611">
        <v>0.97355639999999999</v>
      </c>
      <c r="Y5611">
        <v>0.1847898</v>
      </c>
      <c r="Z5611">
        <v>-5.6456859999999998E-2</v>
      </c>
      <c r="AA5611">
        <v>0.98115509999999995</v>
      </c>
      <c r="AB5611">
        <v>36</v>
      </c>
      <c r="AC5611">
        <v>7.1180999999999903</v>
      </c>
      <c r="AD5611">
        <v>-1.0275152700000001</v>
      </c>
      <c r="AE5611">
        <v>11.1944</v>
      </c>
      <c r="AF5611">
        <v>2.56678291598387</v>
      </c>
      <c r="AG5611">
        <v>-1.0275152700000001</v>
      </c>
      <c r="AH5611">
        <v>12.9344826184041</v>
      </c>
      <c r="AI5611">
        <v>94.455515324768299</v>
      </c>
      <c r="AJ5611">
        <v>78.775763373111801</v>
      </c>
      <c r="AK5611">
        <v>13.2266776922124</v>
      </c>
      <c r="AL5611">
        <v>78.335437983956396</v>
      </c>
      <c r="AM5611">
        <v>83.765740953714996</v>
      </c>
      <c r="AN5611">
        <v>1.0000000099153601</v>
      </c>
    </row>
    <row r="5612" spans="1:40" x14ac:dyDescent="0.25">
      <c r="A5612" t="str">
        <f>"20190303170925525"</f>
        <v>20190303170925525</v>
      </c>
      <c r="B5612" t="str">
        <f>"1551604165520035"</f>
        <v>1551604165520035</v>
      </c>
      <c r="C5612" t="s">
        <v>40</v>
      </c>
      <c r="D5612">
        <v>4.9514870000000002</v>
      </c>
      <c r="E5612">
        <v>0.53765109999999905</v>
      </c>
      <c r="F5612" t="s">
        <v>58</v>
      </c>
      <c r="G5612">
        <v>-177.56319999999999</v>
      </c>
      <c r="H5612">
        <v>7.9988000000000004E-2</v>
      </c>
      <c r="I5612">
        <v>128.8674</v>
      </c>
      <c r="J5612">
        <v>-184.1773</v>
      </c>
      <c r="K5612">
        <v>1.1072420000000001</v>
      </c>
      <c r="L5612">
        <v>118.63079999999999</v>
      </c>
      <c r="M5612">
        <v>0.3759924</v>
      </c>
      <c r="N5612">
        <v>-1.635522E-2</v>
      </c>
      <c r="O5612">
        <v>0.92647840000000004</v>
      </c>
      <c r="P5612">
        <v>0.45781169999999999</v>
      </c>
      <c r="Q5612">
        <v>0.18833240000000001</v>
      </c>
      <c r="R5612">
        <v>0.86887250000000005</v>
      </c>
      <c r="S5612">
        <v>1.6800079999999999</v>
      </c>
      <c r="T5612">
        <v>-0.25550400000000001</v>
      </c>
      <c r="U5612">
        <v>2.6282649999999999</v>
      </c>
      <c r="V5612">
        <v>0.1042107</v>
      </c>
      <c r="W5612">
        <v>0.2009388</v>
      </c>
      <c r="X5612">
        <v>0.97404500000000005</v>
      </c>
      <c r="Y5612">
        <v>0.1808884</v>
      </c>
      <c r="Z5612">
        <v>-6.390854E-2</v>
      </c>
      <c r="AA5612">
        <v>0.98142499999999999</v>
      </c>
      <c r="AB5612">
        <v>36</v>
      </c>
      <c r="AC5612">
        <v>6.6140999999999996</v>
      </c>
      <c r="AD5612">
        <v>-1.0272539999999999</v>
      </c>
      <c r="AE5612">
        <v>10.236599999999999</v>
      </c>
      <c r="AF5612">
        <v>2.26316336622545</v>
      </c>
      <c r="AG5612">
        <v>-1.0272539999999999</v>
      </c>
      <c r="AH5612">
        <v>11.887984188526801</v>
      </c>
      <c r="AI5612">
        <v>94.852010251161005</v>
      </c>
      <c r="AJ5612">
        <v>79.2213511002101</v>
      </c>
      <c r="AK5612">
        <v>12.1450124441849</v>
      </c>
      <c r="AL5612">
        <v>78.408136745774996</v>
      </c>
      <c r="AM5612">
        <v>83.893293341270194</v>
      </c>
      <c r="AN5612">
        <v>0.99999996668246405</v>
      </c>
    </row>
    <row r="5613" spans="1:40" x14ac:dyDescent="0.25">
      <c r="A5613" t="str">
        <f>"20190303170925547"</f>
        <v>20190303170925547</v>
      </c>
      <c r="B5613" t="str">
        <f>"1551604165539554"</f>
        <v>1551604165539554</v>
      </c>
      <c r="C5613" t="s">
        <v>40</v>
      </c>
      <c r="D5613">
        <v>4.9674389999999997</v>
      </c>
      <c r="E5613">
        <v>0.53688910000000001</v>
      </c>
      <c r="F5613" t="s">
        <v>58</v>
      </c>
      <c r="G5613">
        <v>-177.80520000000001</v>
      </c>
      <c r="H5613">
        <v>7.9987989999999995E-2</v>
      </c>
      <c r="I5613">
        <v>128.542</v>
      </c>
      <c r="J5613">
        <v>-184.0333</v>
      </c>
      <c r="K5613">
        <v>1.107019</v>
      </c>
      <c r="L5613">
        <v>118.9545</v>
      </c>
      <c r="M5613">
        <v>0.38979360000000002</v>
      </c>
      <c r="N5613">
        <v>-1.6416719999999999E-2</v>
      </c>
      <c r="O5613">
        <v>0.92075589999999996</v>
      </c>
      <c r="P5613">
        <v>0.46875660000000002</v>
      </c>
      <c r="Q5613">
        <v>0.18789890000000001</v>
      </c>
      <c r="R5613">
        <v>0.86311139999999997</v>
      </c>
      <c r="S5613">
        <v>1.686447</v>
      </c>
      <c r="T5613">
        <v>-0.27187230000000001</v>
      </c>
      <c r="U5613">
        <v>2.6230929999999999</v>
      </c>
      <c r="V5613">
        <v>0.1020143</v>
      </c>
      <c r="W5613">
        <v>0.20059399999999999</v>
      </c>
      <c r="X5613">
        <v>0.97434849999999995</v>
      </c>
      <c r="Y5613">
        <v>0.16858809999999999</v>
      </c>
      <c r="Z5613">
        <v>-6.8349950000000007E-2</v>
      </c>
      <c r="AA5613">
        <v>0.98331400000000002</v>
      </c>
      <c r="AB5613">
        <v>36</v>
      </c>
      <c r="AC5613">
        <v>6.22809999999998</v>
      </c>
      <c r="AD5613">
        <v>-1.02703101</v>
      </c>
      <c r="AE5613">
        <v>9.5875000000000004</v>
      </c>
      <c r="AF5613">
        <v>1.9816911470232299</v>
      </c>
      <c r="AG5613">
        <v>-1.02703101</v>
      </c>
      <c r="AH5613">
        <v>11.166824275981501</v>
      </c>
      <c r="AI5613">
        <v>95.174405230898103</v>
      </c>
      <c r="AJ5613">
        <v>79.936920620031799</v>
      </c>
      <c r="AK5613">
        <v>11.387706393666001</v>
      </c>
      <c r="AL5613">
        <v>78.428302558677402</v>
      </c>
      <c r="AM5613">
        <v>84.022908173783804</v>
      </c>
      <c r="AN5613">
        <v>0.99999993484636696</v>
      </c>
    </row>
    <row r="5614" spans="1:40" x14ac:dyDescent="0.25">
      <c r="A5614" t="str">
        <f>"20190303170925569"</f>
        <v>20190303170925569</v>
      </c>
      <c r="B5614" t="str">
        <f>"1551604165559073"</f>
        <v>1551604165559073</v>
      </c>
      <c r="C5614" t="s">
        <v>40</v>
      </c>
      <c r="D5614">
        <v>5.0044469999999999</v>
      </c>
      <c r="E5614">
        <v>0.53647080000000003</v>
      </c>
      <c r="F5614" t="s">
        <v>58</v>
      </c>
      <c r="G5614">
        <v>-177.69159999999999</v>
      </c>
      <c r="H5614">
        <v>7.9987989999999995E-2</v>
      </c>
      <c r="I5614">
        <v>128.59360000000001</v>
      </c>
      <c r="J5614">
        <v>-183.8845</v>
      </c>
      <c r="K5614">
        <v>1.10683</v>
      </c>
      <c r="L5614">
        <v>119.276</v>
      </c>
      <c r="M5614">
        <v>0.40367219999999998</v>
      </c>
      <c r="N5614">
        <v>-1.6472199999999999E-2</v>
      </c>
      <c r="O5614">
        <v>0.9147554</v>
      </c>
      <c r="P5614">
        <v>0.48181980000000002</v>
      </c>
      <c r="Q5614">
        <v>0.18699089999999999</v>
      </c>
      <c r="R5614">
        <v>0.85608649999999997</v>
      </c>
      <c r="S5614">
        <v>1.714081</v>
      </c>
      <c r="T5614">
        <v>-0.27759020000000001</v>
      </c>
      <c r="U5614">
        <v>2.6053009999999999</v>
      </c>
      <c r="V5614">
        <v>0.1020688</v>
      </c>
      <c r="W5614">
        <v>0.1996984</v>
      </c>
      <c r="X5614">
        <v>0.97452680000000003</v>
      </c>
      <c r="Y5614">
        <v>0.1639862</v>
      </c>
      <c r="Z5614">
        <v>-6.9621440000000007E-2</v>
      </c>
      <c r="AA5614">
        <v>0.98400270000000001</v>
      </c>
      <c r="AB5614">
        <v>36</v>
      </c>
      <c r="AC5614">
        <v>6.1928999999999998</v>
      </c>
      <c r="AD5614">
        <v>-1.02684201</v>
      </c>
      <c r="AE5614">
        <v>9.3176000000000005</v>
      </c>
      <c r="AF5614">
        <v>1.88808607044085</v>
      </c>
      <c r="AG5614">
        <v>-1.02684201</v>
      </c>
      <c r="AH5614">
        <v>10.9326278749334</v>
      </c>
      <c r="AI5614">
        <v>95.287912428754296</v>
      </c>
      <c r="AJ5614">
        <v>80.201560608040495</v>
      </c>
      <c r="AK5614">
        <v>11.1418860959293</v>
      </c>
      <c r="AL5614">
        <v>78.480677008005898</v>
      </c>
      <c r="AM5614">
        <v>84.020824339295103</v>
      </c>
      <c r="AN5614">
        <v>0.99999998740712004</v>
      </c>
    </row>
    <row r="5615" spans="1:40" x14ac:dyDescent="0.25">
      <c r="A5615" t="str">
        <f>"20190303170925591"</f>
        <v>20190303170925591</v>
      </c>
      <c r="B5615" t="str">
        <f>"1551604165579570"</f>
        <v>1551604165579570</v>
      </c>
      <c r="C5615" t="s">
        <v>40</v>
      </c>
      <c r="D5615">
        <v>4.9791509999999999</v>
      </c>
      <c r="E5615">
        <v>0.53600040000000004</v>
      </c>
      <c r="F5615" t="s">
        <v>47</v>
      </c>
      <c r="G5615">
        <v>-183.29150000000001</v>
      </c>
      <c r="H5615">
        <v>1.0105459999999999</v>
      </c>
      <c r="I5615">
        <v>120.1508</v>
      </c>
      <c r="J5615">
        <v>-183.73240000000001</v>
      </c>
      <c r="K5615">
        <v>1.106671</v>
      </c>
      <c r="L5615">
        <v>119.5911</v>
      </c>
      <c r="M5615">
        <v>0.41741729999999999</v>
      </c>
      <c r="N5615">
        <v>-1.6519909999999999E-2</v>
      </c>
      <c r="O5615">
        <v>0.9085647</v>
      </c>
      <c r="P5615">
        <v>0.49316680000000002</v>
      </c>
      <c r="Q5615">
        <v>0.18441779999999999</v>
      </c>
      <c r="R5615">
        <v>0.85016270000000005</v>
      </c>
      <c r="S5615">
        <v>1.7495419999999999</v>
      </c>
      <c r="T5615">
        <v>-0.2837635</v>
      </c>
      <c r="U5615">
        <v>2.581604</v>
      </c>
      <c r="V5615">
        <v>0.10008789999999999</v>
      </c>
      <c r="W5615">
        <v>0.19721540000000001</v>
      </c>
      <c r="X5615">
        <v>0.97523769999999999</v>
      </c>
      <c r="Y5615">
        <v>0.16250029999999999</v>
      </c>
      <c r="Z5615">
        <v>-7.1068759999999995E-2</v>
      </c>
      <c r="AA5615">
        <v>0.98414579999999996</v>
      </c>
      <c r="AB5615">
        <v>35</v>
      </c>
      <c r="AC5615">
        <v>0.44089999999999901</v>
      </c>
      <c r="AD5615">
        <v>-9.6125000000000002E-2</v>
      </c>
      <c r="AE5615">
        <v>0.55970000000000597</v>
      </c>
      <c r="AF5615">
        <v>0.16399557377700899</v>
      </c>
      <c r="AG5615">
        <v>-9.6125000000000002E-2</v>
      </c>
      <c r="AH5615">
        <v>0.68027559830359496</v>
      </c>
      <c r="AI5615">
        <v>97.821640830952404</v>
      </c>
      <c r="AJ5615">
        <v>76.446191050796401</v>
      </c>
      <c r="AK5615">
        <v>0.70633522741738197</v>
      </c>
      <c r="AL5615">
        <v>78.625830181381403</v>
      </c>
      <c r="AM5615">
        <v>84.140293420406493</v>
      </c>
      <c r="AN5615">
        <v>1.00000003661242</v>
      </c>
    </row>
    <row r="5616" spans="1:40" x14ac:dyDescent="0.25">
      <c r="A5616" t="str">
        <f>"20190303170925613"</f>
        <v>20190303170925613</v>
      </c>
      <c r="B5616" t="str">
        <f>"1551604165600065"</f>
        <v>1551604165600065</v>
      </c>
      <c r="C5616" t="s">
        <v>40</v>
      </c>
      <c r="D5616">
        <v>5.0113339999999997</v>
      </c>
      <c r="E5616">
        <v>0.5351688</v>
      </c>
      <c r="F5616" t="s">
        <v>47</v>
      </c>
      <c r="G5616">
        <v>-183.14519999999999</v>
      </c>
      <c r="H5616">
        <v>1.0099750000000001</v>
      </c>
      <c r="I5616">
        <v>120.4336</v>
      </c>
      <c r="J5616">
        <v>-183.5701</v>
      </c>
      <c r="K5616">
        <v>1.1065259999999999</v>
      </c>
      <c r="L5616">
        <v>119.9143</v>
      </c>
      <c r="M5616">
        <v>0.43162109999999898</v>
      </c>
      <c r="N5616">
        <v>-1.656057E-2</v>
      </c>
      <c r="O5616">
        <v>0.90190300000000001</v>
      </c>
      <c r="P5616">
        <v>0.50366029999999995</v>
      </c>
      <c r="Q5616">
        <v>0.18035480000000001</v>
      </c>
      <c r="R5616">
        <v>0.84486600000000001</v>
      </c>
      <c r="S5616">
        <v>1.7827</v>
      </c>
      <c r="T5616">
        <v>-0.29353570000000001</v>
      </c>
      <c r="U5616">
        <v>2.5582729999999998</v>
      </c>
      <c r="V5616">
        <v>9.6399760000000001E-2</v>
      </c>
      <c r="W5616">
        <v>0.19330849999999999</v>
      </c>
      <c r="X5616">
        <v>0.9763908</v>
      </c>
      <c r="Y5616">
        <v>0.15969079999999999</v>
      </c>
      <c r="Z5616">
        <v>-7.3517230000000003E-2</v>
      </c>
      <c r="AA5616">
        <v>0.98442569999999996</v>
      </c>
      <c r="AB5616">
        <v>35</v>
      </c>
      <c r="AC5616">
        <v>0.42490000000000799</v>
      </c>
      <c r="AD5616">
        <v>-9.6550999999999998E-2</v>
      </c>
      <c r="AE5616">
        <v>0.51930000000000098</v>
      </c>
      <c r="AF5616">
        <v>0.155872076205195</v>
      </c>
      <c r="AG5616">
        <v>-9.6550999999999998E-2</v>
      </c>
      <c r="AH5616">
        <v>0.63862014618466401</v>
      </c>
      <c r="AI5616">
        <v>98.355591394723007</v>
      </c>
      <c r="AJ5616">
        <v>76.283634329210898</v>
      </c>
      <c r="AK5616">
        <v>0.66441996572532303</v>
      </c>
      <c r="AL5616">
        <v>78.854072691698306</v>
      </c>
      <c r="AM5616">
        <v>84.361420606698999</v>
      </c>
      <c r="AN5616">
        <v>1.00000004211247</v>
      </c>
    </row>
    <row r="5617" spans="1:40" x14ac:dyDescent="0.25">
      <c r="A5617" t="str">
        <f>"20190303170925637"</f>
        <v>20190303170925637</v>
      </c>
      <c r="B5617" t="str">
        <f>"1551604165629345"</f>
        <v>1551604165629345</v>
      </c>
      <c r="C5617" t="s">
        <v>40</v>
      </c>
      <c r="D5617">
        <v>5.0218759999999998</v>
      </c>
      <c r="E5617">
        <v>0.52920279999999997</v>
      </c>
      <c r="F5617" t="s">
        <v>47</v>
      </c>
      <c r="G5617">
        <v>-182.9974</v>
      </c>
      <c r="H5617">
        <v>1.0097830000000001</v>
      </c>
      <c r="I5617">
        <v>120.71639999999999</v>
      </c>
      <c r="J5617">
        <v>-183.39529999999999</v>
      </c>
      <c r="K5617">
        <v>1.106419</v>
      </c>
      <c r="L5617">
        <v>120.24930000000001</v>
      </c>
      <c r="M5617">
        <v>0.44640449999999998</v>
      </c>
      <c r="N5617">
        <v>-1.6593839999999999E-2</v>
      </c>
      <c r="O5617">
        <v>0.89467739999999996</v>
      </c>
      <c r="P5617">
        <v>0.51618589999999998</v>
      </c>
      <c r="Q5617">
        <v>0.18082200000000001</v>
      </c>
      <c r="R5617">
        <v>0.83717109999999995</v>
      </c>
      <c r="S5617">
        <v>1.8110809999999999</v>
      </c>
      <c r="T5617">
        <v>-0.30572120000000003</v>
      </c>
      <c r="U5617">
        <v>2.5364529999999998</v>
      </c>
      <c r="V5617">
        <v>9.4974859999999994E-2</v>
      </c>
      <c r="W5617">
        <v>0.1938386</v>
      </c>
      <c r="X5617">
        <v>0.97642530000000005</v>
      </c>
      <c r="Y5617">
        <v>0.15457969999999999</v>
      </c>
      <c r="Z5617">
        <v>-7.6570529999999998E-2</v>
      </c>
      <c r="AA5617">
        <v>0.98500869999999996</v>
      </c>
      <c r="AB5617">
        <v>35</v>
      </c>
      <c r="AC5617">
        <v>0.39789999999999198</v>
      </c>
      <c r="AD5617">
        <v>-9.6635999999999903E-2</v>
      </c>
      <c r="AE5617">
        <v>0.46709999999998703</v>
      </c>
      <c r="AF5617">
        <v>0.14392707512608599</v>
      </c>
      <c r="AG5617">
        <v>-9.6635999999999903E-2</v>
      </c>
      <c r="AH5617">
        <v>0.58119477545756504</v>
      </c>
      <c r="AI5617">
        <v>99.168251670132094</v>
      </c>
      <c r="AJ5617">
        <v>76.091090981438398</v>
      </c>
      <c r="AK5617">
        <v>0.60649887590128304</v>
      </c>
      <c r="AL5617">
        <v>78.823114137978607</v>
      </c>
      <c r="AM5617">
        <v>84.444435087127104</v>
      </c>
      <c r="AN5617">
        <v>0.99999999668103401</v>
      </c>
    </row>
    <row r="5618" spans="1:40" x14ac:dyDescent="0.25">
      <c r="A5618" t="str">
        <f>"20190303170925660"</f>
        <v>20190303170925660</v>
      </c>
      <c r="B5618" t="str">
        <f>"1551604165649841"</f>
        <v>1551604165649841</v>
      </c>
      <c r="C5618" t="s">
        <v>40</v>
      </c>
      <c r="D5618">
        <v>5.0342949999999904</v>
      </c>
      <c r="E5618">
        <v>0.52821689999999999</v>
      </c>
      <c r="F5618" t="s">
        <v>47</v>
      </c>
      <c r="G5618">
        <v>-182.857</v>
      </c>
      <c r="H5618">
        <v>1.0118799999999999</v>
      </c>
      <c r="I5618">
        <v>121.00369999999999</v>
      </c>
      <c r="J5618">
        <v>-183.2167</v>
      </c>
      <c r="K5618">
        <v>1.1063730000000001</v>
      </c>
      <c r="L5618">
        <v>120.57850000000001</v>
      </c>
      <c r="M5618">
        <v>0.46091090000000001</v>
      </c>
      <c r="N5618">
        <v>-1.661582E-2</v>
      </c>
      <c r="O5618">
        <v>0.88729080000000005</v>
      </c>
      <c r="P5618">
        <v>0.53119609999999995</v>
      </c>
      <c r="Q5618">
        <v>0.1853892</v>
      </c>
      <c r="R5618">
        <v>0.82671740000000005</v>
      </c>
      <c r="S5618">
        <v>1.809555</v>
      </c>
      <c r="T5618">
        <v>-0.31758520000000001</v>
      </c>
      <c r="U5618">
        <v>2.536346</v>
      </c>
      <c r="V5618">
        <v>9.7333779999999995E-2</v>
      </c>
      <c r="W5618">
        <v>0.1983203</v>
      </c>
      <c r="X5618">
        <v>0.97529239999999995</v>
      </c>
      <c r="Y5618">
        <v>0.1379676</v>
      </c>
      <c r="Z5618">
        <v>-7.9125630000000002E-2</v>
      </c>
      <c r="AA5618">
        <v>0.98727100000000001</v>
      </c>
      <c r="AB5618">
        <v>35</v>
      </c>
      <c r="AC5618">
        <v>0.35970000000000302</v>
      </c>
      <c r="AD5618">
        <v>-9.4493000000000105E-2</v>
      </c>
      <c r="AE5618">
        <v>0.42519999999998898</v>
      </c>
      <c r="AF5618">
        <v>0.119749060175456</v>
      </c>
      <c r="AG5618">
        <v>-9.4493000000000105E-2</v>
      </c>
      <c r="AH5618">
        <v>0.52794314628255401</v>
      </c>
      <c r="AI5618">
        <v>99.901197445869599</v>
      </c>
      <c r="AJ5618">
        <v>77.220298897159495</v>
      </c>
      <c r="AK5618">
        <v>0.54953865211523301</v>
      </c>
      <c r="AL5618">
        <v>78.561248504019204</v>
      </c>
      <c r="AM5618">
        <v>84.300776141525105</v>
      </c>
      <c r="AN5618">
        <v>1.0000000358094601</v>
      </c>
    </row>
    <row r="5619" spans="1:40" x14ac:dyDescent="0.25">
      <c r="A5619" t="str">
        <f>"20190303170925681"</f>
        <v>20190303170925681</v>
      </c>
      <c r="B5619" t="str">
        <f>"1551604165669361"</f>
        <v>1551604165669361</v>
      </c>
      <c r="C5619" t="s">
        <v>40</v>
      </c>
      <c r="D5619">
        <v>5.0620180000000001</v>
      </c>
      <c r="E5619">
        <v>0.52743050000000002</v>
      </c>
      <c r="F5619" t="s">
        <v>47</v>
      </c>
      <c r="G5619">
        <v>-182.69669999999999</v>
      </c>
      <c r="H5619">
        <v>1.0192380000000001</v>
      </c>
      <c r="I5619">
        <v>121.2837</v>
      </c>
      <c r="J5619">
        <v>-183.05549999999999</v>
      </c>
      <c r="K5619">
        <v>1.1064050000000001</v>
      </c>
      <c r="L5619">
        <v>120.86539999999999</v>
      </c>
      <c r="M5619">
        <v>0.47343869999999999</v>
      </c>
      <c r="N5619">
        <v>-1.662164E-2</v>
      </c>
      <c r="O5619">
        <v>0.88066999999999995</v>
      </c>
      <c r="P5619">
        <v>0.5449638</v>
      </c>
      <c r="Q5619">
        <v>0.18605769999999999</v>
      </c>
      <c r="R5619">
        <v>0.81755549999999999</v>
      </c>
      <c r="S5619">
        <v>1.8499300000000001</v>
      </c>
      <c r="T5619">
        <v>-0.30966169999999998</v>
      </c>
      <c r="U5619">
        <v>2.5095830000000001</v>
      </c>
      <c r="V5619">
        <v>9.9930640000000001E-2</v>
      </c>
      <c r="W5619">
        <v>0.19890350000000001</v>
      </c>
      <c r="X5619">
        <v>0.97491090000000002</v>
      </c>
      <c r="Y5619">
        <v>0.1393982</v>
      </c>
      <c r="Z5619">
        <v>-7.6348750000000007E-2</v>
      </c>
      <c r="AA5619">
        <v>0.98728870000000002</v>
      </c>
      <c r="AB5619">
        <v>35</v>
      </c>
      <c r="AC5619">
        <v>0.35880000000000201</v>
      </c>
      <c r="AD5619">
        <v>-8.7166999999999994E-2</v>
      </c>
      <c r="AE5619">
        <v>0.418300000000002</v>
      </c>
      <c r="AF5619">
        <v>0.115082221005741</v>
      </c>
      <c r="AG5619">
        <v>-8.7166999999999994E-2</v>
      </c>
      <c r="AH5619">
        <v>0.52518953628946696</v>
      </c>
      <c r="AI5619">
        <v>99.208996167291104</v>
      </c>
      <c r="AJ5619">
        <v>77.640402945572504</v>
      </c>
      <c r="AK5619">
        <v>0.54467059082399505</v>
      </c>
      <c r="AL5619">
        <v>78.527153962914497</v>
      </c>
      <c r="AM5619">
        <v>84.147488829709104</v>
      </c>
      <c r="AN5619">
        <v>0.99999999903093395</v>
      </c>
    </row>
    <row r="5620" spans="1:40" x14ac:dyDescent="0.25">
      <c r="A5620" t="str">
        <f>"20190303170925702"</f>
        <v>20190303170925702</v>
      </c>
      <c r="B5620" t="str">
        <f>"1551604165689858"</f>
        <v>1551604165689858</v>
      </c>
      <c r="C5620" t="s">
        <v>40</v>
      </c>
      <c r="D5620">
        <v>5.1054019999999998</v>
      </c>
      <c r="E5620">
        <v>0.52687980000000001</v>
      </c>
      <c r="F5620" t="s">
        <v>47</v>
      </c>
      <c r="G5620">
        <v>-182.53030000000001</v>
      </c>
      <c r="H5620">
        <v>1.0202420000000001</v>
      </c>
      <c r="I5620">
        <v>121.5561</v>
      </c>
      <c r="J5620">
        <v>-182.87950000000001</v>
      </c>
      <c r="K5620">
        <v>1.1065240000000001</v>
      </c>
      <c r="L5620">
        <v>121.1686</v>
      </c>
      <c r="M5620">
        <v>0.48644609999999999</v>
      </c>
      <c r="N5620">
        <v>-1.6607400000000001E-2</v>
      </c>
      <c r="O5620">
        <v>0.87355269999999996</v>
      </c>
      <c r="P5620">
        <v>0.55644419999999895</v>
      </c>
      <c r="Q5620">
        <v>0.1835435</v>
      </c>
      <c r="R5620">
        <v>0.81035889999999999</v>
      </c>
      <c r="S5620">
        <v>1.8873139999999999</v>
      </c>
      <c r="T5620">
        <v>-0.30957580000000001</v>
      </c>
      <c r="U5620">
        <v>2.4818880000000001</v>
      </c>
      <c r="V5620">
        <v>9.8799680000000001E-2</v>
      </c>
      <c r="W5620">
        <v>0.1964515</v>
      </c>
      <c r="X5620">
        <v>0.97552320000000003</v>
      </c>
      <c r="Y5620">
        <v>0.1394608</v>
      </c>
      <c r="Z5620">
        <v>-7.5852530000000001E-2</v>
      </c>
      <c r="AA5620">
        <v>0.98731809999999998</v>
      </c>
      <c r="AB5620">
        <v>35</v>
      </c>
      <c r="AC5620">
        <v>0.34919999999999601</v>
      </c>
      <c r="AD5620">
        <v>-8.62819999999999E-2</v>
      </c>
      <c r="AE5620">
        <v>0.38750000000000201</v>
      </c>
      <c r="AF5620">
        <v>0.113458586235787</v>
      </c>
      <c r="AG5620">
        <v>-8.62819999999999E-2</v>
      </c>
      <c r="AH5620">
        <v>0.49489834459957199</v>
      </c>
      <c r="AI5620">
        <v>99.644387542682097</v>
      </c>
      <c r="AJ5620">
        <v>77.0877095471498</v>
      </c>
      <c r="AK5620">
        <v>0.51501631605418197</v>
      </c>
      <c r="AL5620">
        <v>78.670471805096597</v>
      </c>
      <c r="AM5620">
        <v>84.216879771374593</v>
      </c>
      <c r="AN5620">
        <v>1.00000004117929</v>
      </c>
    </row>
    <row r="5621" spans="1:40" x14ac:dyDescent="0.25">
      <c r="A5621" t="str">
        <f>"20190303170925724"</f>
        <v>20190303170925724</v>
      </c>
      <c r="B5621" t="str">
        <f>"1551604165719138"</f>
        <v>1551604165719138</v>
      </c>
      <c r="C5621" t="s">
        <v>40</v>
      </c>
      <c r="D5621">
        <v>5.1387330000000002</v>
      </c>
      <c r="E5621">
        <v>0.52074069999999995</v>
      </c>
      <c r="F5621" t="s">
        <v>47</v>
      </c>
      <c r="G5621">
        <v>-182.36410000000001</v>
      </c>
      <c r="H5621">
        <v>1.021312</v>
      </c>
      <c r="I5621">
        <v>121.8279</v>
      </c>
      <c r="J5621">
        <v>-182.6951</v>
      </c>
      <c r="K5621">
        <v>1.1067670000000001</v>
      </c>
      <c r="L5621">
        <v>121.4766</v>
      </c>
      <c r="M5621">
        <v>0.49926090000000001</v>
      </c>
      <c r="N5621">
        <v>-1.6564240000000001E-2</v>
      </c>
      <c r="O5621">
        <v>0.86629339999999999</v>
      </c>
      <c r="P5621">
        <v>0.56737990000000005</v>
      </c>
      <c r="Q5621">
        <v>0.18098800000000001</v>
      </c>
      <c r="R5621">
        <v>0.80332019999999904</v>
      </c>
      <c r="S5621">
        <v>1.9196470000000001</v>
      </c>
      <c r="T5621">
        <v>-0.31725599999999998</v>
      </c>
      <c r="U5621">
        <v>2.455765</v>
      </c>
      <c r="V5621">
        <v>9.7153630000000005E-2</v>
      </c>
      <c r="W5621">
        <v>0.19397610000000001</v>
      </c>
      <c r="X5621">
        <v>0.97618360000000004</v>
      </c>
      <c r="Y5621">
        <v>0.13792869999999999</v>
      </c>
      <c r="Z5621">
        <v>-7.7572799999999997E-2</v>
      </c>
      <c r="AA5621">
        <v>0.98739969999999999</v>
      </c>
      <c r="AB5621">
        <v>35</v>
      </c>
      <c r="AC5621">
        <v>0.33099999999998803</v>
      </c>
      <c r="AD5621">
        <v>-8.5455000000000003E-2</v>
      </c>
      <c r="AE5621">
        <v>0.35129999999999401</v>
      </c>
      <c r="AF5621">
        <v>0.107983287197898</v>
      </c>
      <c r="AG5621">
        <v>-8.5455000000000003E-2</v>
      </c>
      <c r="AH5621">
        <v>0.45537486577033398</v>
      </c>
      <c r="AI5621">
        <v>100.347927234118</v>
      </c>
      <c r="AJ5621">
        <v>76.659821511338805</v>
      </c>
      <c r="AK5621">
        <v>0.47574070218388298</v>
      </c>
      <c r="AL5621">
        <v>78.815083448632507</v>
      </c>
      <c r="AM5621">
        <v>84.316414767610496</v>
      </c>
      <c r="AN5621">
        <v>0.99999998805117296</v>
      </c>
    </row>
    <row r="5622" spans="1:40" x14ac:dyDescent="0.25">
      <c r="A5622" t="str">
        <f>"20190303170925747"</f>
        <v>20190303170925747</v>
      </c>
      <c r="B5622" t="str">
        <f>"1551604165739634"</f>
        <v>1551604165739634</v>
      </c>
      <c r="C5622" t="s">
        <v>40</v>
      </c>
      <c r="D5622">
        <v>5.149521</v>
      </c>
      <c r="E5622">
        <v>0.51931000000000005</v>
      </c>
      <c r="F5622" t="s">
        <v>47</v>
      </c>
      <c r="G5622">
        <v>-182.20849999999999</v>
      </c>
      <c r="H5622">
        <v>1.01668799999999</v>
      </c>
      <c r="I5622">
        <v>122.1018</v>
      </c>
      <c r="J5622">
        <v>-182.50620000000001</v>
      </c>
      <c r="K5622">
        <v>1.1071580000000001</v>
      </c>
      <c r="L5622">
        <v>121.7826</v>
      </c>
      <c r="M5622">
        <v>0.51141689999999995</v>
      </c>
      <c r="N5622">
        <v>-1.6488989999999999E-2</v>
      </c>
      <c r="O5622">
        <v>0.85917449999999995</v>
      </c>
      <c r="P5622">
        <v>0.5778508</v>
      </c>
      <c r="Q5622">
        <v>0.179874799999999</v>
      </c>
      <c r="R5622">
        <v>0.7960739</v>
      </c>
      <c r="S5622">
        <v>1.9154359999999999</v>
      </c>
      <c r="T5622">
        <v>-0.35451939999999998</v>
      </c>
      <c r="U5622">
        <v>2.4615170000000002</v>
      </c>
      <c r="V5622">
        <v>9.5817869999999999E-2</v>
      </c>
      <c r="W5622">
        <v>0.19292909999999999</v>
      </c>
      <c r="X5622">
        <v>0.97652300000000003</v>
      </c>
      <c r="Y5622">
        <v>0.121214</v>
      </c>
      <c r="Z5622">
        <v>-8.7060940000000003E-2</v>
      </c>
      <c r="AA5622">
        <v>0.98880109999999999</v>
      </c>
      <c r="AB5622">
        <v>35</v>
      </c>
      <c r="AC5622">
        <v>0.29770000000002</v>
      </c>
      <c r="AD5622">
        <v>-9.0470000000000203E-2</v>
      </c>
      <c r="AE5622">
        <v>0.31919999999999499</v>
      </c>
      <c r="AF5622">
        <v>8.8732452325560707E-2</v>
      </c>
      <c r="AG5622">
        <v>-9.0470000000000203E-2</v>
      </c>
      <c r="AH5622">
        <v>0.40898459912657298</v>
      </c>
      <c r="AI5622">
        <v>102.19832589154301</v>
      </c>
      <c r="AJ5622">
        <v>77.758938374346698</v>
      </c>
      <c r="AK5622">
        <v>0.42816663966081198</v>
      </c>
      <c r="AL5622">
        <v>78.876226571561702</v>
      </c>
      <c r="AM5622">
        <v>84.395992873393396</v>
      </c>
      <c r="AN5622">
        <v>0.99999993568357104</v>
      </c>
    </row>
    <row r="5623" spans="1:40" x14ac:dyDescent="0.25">
      <c r="A5623" t="str">
        <f>"20190303170925769"</f>
        <v>20190303170925769</v>
      </c>
      <c r="B5623" t="str">
        <f>"1551604165759154"</f>
        <v>1551604165759154</v>
      </c>
      <c r="C5623" t="s">
        <v>40</v>
      </c>
      <c r="D5623">
        <v>5.1703409999999996</v>
      </c>
      <c r="E5623">
        <v>0.51853479999999996</v>
      </c>
      <c r="F5623" t="s">
        <v>47</v>
      </c>
      <c r="G5623">
        <v>-182.0385</v>
      </c>
      <c r="H5623">
        <v>1.0208710000000001</v>
      </c>
      <c r="I5623">
        <v>122.372</v>
      </c>
      <c r="J5623">
        <v>-182.3236</v>
      </c>
      <c r="K5623">
        <v>1.1077239999999999</v>
      </c>
      <c r="L5623">
        <v>122.0706</v>
      </c>
      <c r="M5623">
        <v>0.5221247</v>
      </c>
      <c r="N5623">
        <v>-1.6387619999999999E-2</v>
      </c>
      <c r="O5623">
        <v>0.85271169999999996</v>
      </c>
      <c r="P5623">
        <v>0.58599409999999996</v>
      </c>
      <c r="Q5623">
        <v>0.1817501</v>
      </c>
      <c r="R5623">
        <v>0.78966950000000002</v>
      </c>
      <c r="S5623">
        <v>1.9376370000000001</v>
      </c>
      <c r="T5623">
        <v>-0.357357599999999</v>
      </c>
      <c r="U5623">
        <v>2.4427639999999999</v>
      </c>
      <c r="V5623">
        <v>9.3637170000000006E-2</v>
      </c>
      <c r="W5623">
        <v>0.1948966</v>
      </c>
      <c r="X5623">
        <v>0.97634390000000004</v>
      </c>
      <c r="Y5623">
        <v>0.11797580000000001</v>
      </c>
      <c r="Z5623">
        <v>-8.7320889999999998E-2</v>
      </c>
      <c r="AA5623">
        <v>0.98916970000000004</v>
      </c>
      <c r="AB5623">
        <v>35</v>
      </c>
      <c r="AC5623">
        <v>0.28509999999999902</v>
      </c>
      <c r="AD5623">
        <v>-8.6853E-2</v>
      </c>
      <c r="AE5623">
        <v>0.30140000000001499</v>
      </c>
      <c r="AF5623">
        <v>8.2150919452928101E-2</v>
      </c>
      <c r="AG5623">
        <v>-8.6853E-2</v>
      </c>
      <c r="AH5623">
        <v>0.38887679238277501</v>
      </c>
      <c r="AI5623">
        <v>102.32653565734699</v>
      </c>
      <c r="AJ5623">
        <v>78.071545139604495</v>
      </c>
      <c r="AK5623">
        <v>0.406838268639858</v>
      </c>
      <c r="AL5623">
        <v>78.761316770312504</v>
      </c>
      <c r="AM5623">
        <v>84.5217501826248</v>
      </c>
      <c r="AN5623">
        <v>1.00000000768218</v>
      </c>
    </row>
    <row r="5624" spans="1:40" x14ac:dyDescent="0.25">
      <c r="A5624" t="str">
        <f>"20190303170925792"</f>
        <v>20190303170925792</v>
      </c>
      <c r="B5624" t="str">
        <f>"1551604165779649"</f>
        <v>1551604165779649</v>
      </c>
      <c r="C5624" t="s">
        <v>40</v>
      </c>
      <c r="D5624">
        <v>5.2082850000000001</v>
      </c>
      <c r="E5624">
        <v>0.51206890000000005</v>
      </c>
      <c r="F5624" t="s">
        <v>47</v>
      </c>
      <c r="G5624">
        <v>-181.67619999999999</v>
      </c>
      <c r="H5624">
        <v>0.99039940000000004</v>
      </c>
      <c r="I5624">
        <v>122.8736</v>
      </c>
      <c r="J5624">
        <v>-182.12809999999999</v>
      </c>
      <c r="K5624">
        <v>1.1085370000000001</v>
      </c>
      <c r="L5624">
        <v>122.3716</v>
      </c>
      <c r="M5624">
        <v>0.53230140000000004</v>
      </c>
      <c r="N5624">
        <v>-1.6252949999999999E-2</v>
      </c>
      <c r="O5624">
        <v>0.84639889999999995</v>
      </c>
      <c r="P5624">
        <v>0.59400620000000004</v>
      </c>
      <c r="Q5624">
        <v>0.18644640000000001</v>
      </c>
      <c r="R5624">
        <v>0.78255629999999998</v>
      </c>
      <c r="S5624">
        <v>1.9572449999999999</v>
      </c>
      <c r="T5624">
        <v>-0.35459350000000001</v>
      </c>
      <c r="U5624">
        <v>2.4282530000000002</v>
      </c>
      <c r="V5624">
        <v>9.2227149999999994E-2</v>
      </c>
      <c r="W5624">
        <v>0.19966239999999999</v>
      </c>
      <c r="X5624">
        <v>0.97551480000000002</v>
      </c>
      <c r="Y5624">
        <v>0.1138898</v>
      </c>
      <c r="Z5624">
        <v>-8.5957179999999994E-2</v>
      </c>
      <c r="AA5624">
        <v>0.98976790000000003</v>
      </c>
      <c r="AB5624">
        <v>35</v>
      </c>
      <c r="AC5624">
        <v>0.45189999999999397</v>
      </c>
      <c r="AD5624">
        <v>-0.1181376</v>
      </c>
      <c r="AE5624">
        <v>0.50199999999999501</v>
      </c>
      <c r="AF5624">
        <v>0.1118654275182</v>
      </c>
      <c r="AG5624">
        <v>-0.1181376</v>
      </c>
      <c r="AH5624">
        <v>0.645771858657743</v>
      </c>
      <c r="AI5624">
        <v>100.218158627957</v>
      </c>
      <c r="AJ5624">
        <v>80.1723245496473</v>
      </c>
      <c r="AK5624">
        <v>0.66595169482618399</v>
      </c>
      <c r="AL5624">
        <v>78.482782466004593</v>
      </c>
      <c r="AM5624">
        <v>84.599193643659106</v>
      </c>
      <c r="AN5624">
        <v>1.0000000230949599</v>
      </c>
    </row>
    <row r="5625" spans="1:40" x14ac:dyDescent="0.25">
      <c r="A5625" t="str">
        <f>"20190303170925816"</f>
        <v>20190303170925816</v>
      </c>
      <c r="B5625" t="str">
        <f>"1551604165809906"</f>
        <v>1551604165809906</v>
      </c>
      <c r="C5625" t="s">
        <v>40</v>
      </c>
      <c r="D5625">
        <v>5.1897760000000002</v>
      </c>
      <c r="E5625">
        <v>0.51238700000000004</v>
      </c>
      <c r="F5625" t="s">
        <v>47</v>
      </c>
      <c r="G5625">
        <v>-181.51609999999999</v>
      </c>
      <c r="H5625">
        <v>0.9865024</v>
      </c>
      <c r="I5625">
        <v>123.14279999999999</v>
      </c>
      <c r="J5625">
        <v>-181.9152</v>
      </c>
      <c r="K5625">
        <v>1.1094759999999999</v>
      </c>
      <c r="L5625">
        <v>122.6927</v>
      </c>
      <c r="M5625">
        <v>0.54214479999999998</v>
      </c>
      <c r="N5625">
        <v>-1.6102999999999999E-2</v>
      </c>
      <c r="O5625">
        <v>0.84013079999999996</v>
      </c>
      <c r="P5625">
        <v>0.60329560000000004</v>
      </c>
      <c r="Q5625">
        <v>0.1893194</v>
      </c>
      <c r="R5625">
        <v>0.77472099999999999</v>
      </c>
      <c r="S5625">
        <v>1.9440770000000001</v>
      </c>
      <c r="T5625">
        <v>-0.38762449999999998</v>
      </c>
      <c r="U5625">
        <v>2.450272</v>
      </c>
      <c r="V5625">
        <v>9.2479130000000007E-2</v>
      </c>
      <c r="W5625">
        <v>0.20256679999999999</v>
      </c>
      <c r="X5625">
        <v>0.97489199999999998</v>
      </c>
      <c r="Y5625">
        <v>9.4142619999999996E-2</v>
      </c>
      <c r="Z5625">
        <v>-9.3565229999999999E-2</v>
      </c>
      <c r="AA5625">
        <v>0.99115220000000004</v>
      </c>
      <c r="AB5625">
        <v>35</v>
      </c>
      <c r="AC5625">
        <v>0.39910000000000401</v>
      </c>
      <c r="AD5625">
        <v>-0.1229736</v>
      </c>
      <c r="AE5625">
        <v>0.45009999999999201</v>
      </c>
      <c r="AF5625">
        <v>8.7626758082070405E-2</v>
      </c>
      <c r="AG5625">
        <v>-0.1229736</v>
      </c>
      <c r="AH5625">
        <v>0.57073888365065095</v>
      </c>
      <c r="AI5625">
        <v>102.0225756116</v>
      </c>
      <c r="AJ5625">
        <v>81.271414644852101</v>
      </c>
      <c r="AK5625">
        <v>0.590376005897703</v>
      </c>
      <c r="AL5625">
        <v>78.312901859328306</v>
      </c>
      <c r="AM5625">
        <v>84.581086310206899</v>
      </c>
      <c r="AN5625">
        <v>1.00000005480589</v>
      </c>
    </row>
    <row r="5626" spans="1:40" x14ac:dyDescent="0.25">
      <c r="A5626" t="str">
        <f>"20190303170925837"</f>
        <v>20190303170925837</v>
      </c>
      <c r="B5626" t="str">
        <f>"1551604165829426"</f>
        <v>1551604165829426</v>
      </c>
      <c r="C5626" t="s">
        <v>40</v>
      </c>
      <c r="D5626">
        <v>5.1919430000000002</v>
      </c>
      <c r="E5626">
        <v>0.51181809999999905</v>
      </c>
      <c r="F5626" t="s">
        <v>47</v>
      </c>
      <c r="G5626">
        <v>-181.3348</v>
      </c>
      <c r="H5626">
        <v>1.0007820000000001</v>
      </c>
      <c r="I5626">
        <v>123.40860000000001</v>
      </c>
      <c r="J5626">
        <v>-181.7277</v>
      </c>
      <c r="K5626">
        <v>1.1102909999999999</v>
      </c>
      <c r="L5626">
        <v>122.9705</v>
      </c>
      <c r="M5626">
        <v>0.54966389999999998</v>
      </c>
      <c r="N5626">
        <v>-1.5892320000000001E-2</v>
      </c>
      <c r="O5626">
        <v>0.83523479999999894</v>
      </c>
      <c r="P5626">
        <v>0.6114195</v>
      </c>
      <c r="Q5626">
        <v>0.1891864</v>
      </c>
      <c r="R5626">
        <v>0.76835850000000006</v>
      </c>
      <c r="S5626">
        <v>1.9686429999999999</v>
      </c>
      <c r="T5626">
        <v>-0.36864629999999998</v>
      </c>
      <c r="U5626">
        <v>2.4294129999999998</v>
      </c>
      <c r="V5626">
        <v>9.359054E-2</v>
      </c>
      <c r="W5626">
        <v>0.20236270000000001</v>
      </c>
      <c r="X5626">
        <v>0.97482820000000003</v>
      </c>
      <c r="Y5626">
        <v>9.5774929999999994E-2</v>
      </c>
      <c r="Z5626">
        <v>-8.8213050000000001E-2</v>
      </c>
      <c r="AA5626">
        <v>0.99148650000000005</v>
      </c>
      <c r="AB5626">
        <v>35</v>
      </c>
      <c r="AC5626">
        <v>0.39289999999999697</v>
      </c>
      <c r="AD5626">
        <v>-0.109508999999999</v>
      </c>
      <c r="AE5626">
        <v>0.43810000000000499</v>
      </c>
      <c r="AF5626">
        <v>8.4442824007053996E-2</v>
      </c>
      <c r="AG5626">
        <v>-0.109508999999999</v>
      </c>
      <c r="AH5626">
        <v>0.56247462443268503</v>
      </c>
      <c r="AI5626">
        <v>100.898022495505</v>
      </c>
      <c r="AJ5626">
        <v>81.462098546969301</v>
      </c>
      <c r="AK5626">
        <v>0.57922406263722903</v>
      </c>
      <c r="AL5626">
        <v>78.324841826347907</v>
      </c>
      <c r="AM5626">
        <v>84.515999975867004</v>
      </c>
      <c r="AN5626">
        <v>0.99999993552200805</v>
      </c>
    </row>
    <row r="5627" spans="1:40" x14ac:dyDescent="0.25">
      <c r="A5627" t="str">
        <f>"20190303170925860"</f>
        <v>20190303170925860</v>
      </c>
      <c r="B5627" t="str">
        <f>"1551604165849921"</f>
        <v>1551604165849921</v>
      </c>
      <c r="C5627" t="s">
        <v>40</v>
      </c>
      <c r="D5627">
        <v>5.2650629999999996</v>
      </c>
      <c r="E5627">
        <v>0.5115596</v>
      </c>
      <c r="F5627" t="s">
        <v>47</v>
      </c>
      <c r="G5627">
        <v>-181.155</v>
      </c>
      <c r="H5627">
        <v>1.0026010000000001</v>
      </c>
      <c r="I5627">
        <v>123.6674</v>
      </c>
      <c r="J5627">
        <v>-181.5273</v>
      </c>
      <c r="K5627">
        <v>1.11124</v>
      </c>
      <c r="L5627">
        <v>123.26349999999999</v>
      </c>
      <c r="M5627">
        <v>0.55697410000000003</v>
      </c>
      <c r="N5627">
        <v>-1.5743259999999999E-2</v>
      </c>
      <c r="O5627">
        <v>0.83038069999999897</v>
      </c>
      <c r="P5627">
        <v>0.61827310000000002</v>
      </c>
      <c r="Q5627">
        <v>0.18863379999999999</v>
      </c>
      <c r="R5627">
        <v>0.76299119999999998</v>
      </c>
      <c r="S5627">
        <v>1.9854890000000001</v>
      </c>
      <c r="T5627">
        <v>-0.3733361</v>
      </c>
      <c r="U5627">
        <v>2.4163969999999999</v>
      </c>
      <c r="V5627">
        <v>9.3296710000000005E-2</v>
      </c>
      <c r="W5627">
        <v>0.20183599999999999</v>
      </c>
      <c r="X5627">
        <v>0.97496559999999999</v>
      </c>
      <c r="Y5627">
        <v>9.3715649999999998E-2</v>
      </c>
      <c r="Z5627">
        <v>-8.905826E-2</v>
      </c>
      <c r="AA5627">
        <v>0.99160780000000004</v>
      </c>
      <c r="AB5627">
        <v>35</v>
      </c>
      <c r="AC5627">
        <v>0.37229999999999502</v>
      </c>
      <c r="AD5627">
        <v>-0.108638999999999</v>
      </c>
      <c r="AE5627">
        <v>0.40390000000000698</v>
      </c>
      <c r="AF5627">
        <v>8.10299021961709E-2</v>
      </c>
      <c r="AG5627">
        <v>-0.108638999999999</v>
      </c>
      <c r="AH5627">
        <v>0.52238670141119903</v>
      </c>
      <c r="AI5627">
        <v>101.613110096903</v>
      </c>
      <c r="AJ5627">
        <v>81.182844586315795</v>
      </c>
      <c r="AK5627">
        <v>0.53968152014145698</v>
      </c>
      <c r="AL5627">
        <v>78.355655925620098</v>
      </c>
      <c r="AM5627">
        <v>84.533878441670296</v>
      </c>
      <c r="AN5627">
        <v>0.99999998408809099</v>
      </c>
    </row>
    <row r="5628" spans="1:40" x14ac:dyDescent="0.25">
      <c r="A5628" t="str">
        <f>"20190303170925881"</f>
        <v>20190303170925881</v>
      </c>
      <c r="B5628" t="str">
        <f>"1551604165869441"</f>
        <v>1551604165869441</v>
      </c>
      <c r="C5628" t="s">
        <v>40</v>
      </c>
      <c r="D5628">
        <v>5.277056</v>
      </c>
      <c r="E5628">
        <v>0.51076319999999997</v>
      </c>
      <c r="F5628" t="s">
        <v>47</v>
      </c>
      <c r="G5628">
        <v>-180.97489999999999</v>
      </c>
      <c r="H5628">
        <v>1.0081850000000001</v>
      </c>
      <c r="I5628">
        <v>123.926</v>
      </c>
      <c r="J5628">
        <v>-181.33959999999999</v>
      </c>
      <c r="K5628">
        <v>1.1121829999999999</v>
      </c>
      <c r="L5628">
        <v>123.5355</v>
      </c>
      <c r="M5628">
        <v>0.56392759999999997</v>
      </c>
      <c r="N5628">
        <v>-1.5830139999999999E-2</v>
      </c>
      <c r="O5628">
        <v>0.82567250000000003</v>
      </c>
      <c r="P5628">
        <v>0.62359049999999905</v>
      </c>
      <c r="Q5628">
        <v>0.19290109999999999</v>
      </c>
      <c r="R5628">
        <v>0.75757769999999902</v>
      </c>
      <c r="S5628">
        <v>2.00238</v>
      </c>
      <c r="T5628">
        <v>-0.37352099999999999</v>
      </c>
      <c r="U5628">
        <v>2.4016570000000002</v>
      </c>
      <c r="V5628">
        <v>9.2379379999999997E-2</v>
      </c>
      <c r="W5628">
        <v>0.20630419999999999</v>
      </c>
      <c r="X5628">
        <v>0.97411729999999996</v>
      </c>
      <c r="Y5628">
        <v>9.2479439999999996E-2</v>
      </c>
      <c r="Z5628">
        <v>-8.8571540000000004E-2</v>
      </c>
      <c r="AA5628">
        <v>0.99176739999999997</v>
      </c>
      <c r="AB5628">
        <v>35</v>
      </c>
      <c r="AC5628">
        <v>0.36469999999999902</v>
      </c>
      <c r="AD5628">
        <v>-0.10399799999999899</v>
      </c>
      <c r="AE5628">
        <v>0.39050000000000201</v>
      </c>
      <c r="AF5628">
        <v>7.7965568071672806E-2</v>
      </c>
      <c r="AG5628">
        <v>-0.10399799999999899</v>
      </c>
      <c r="AH5628">
        <v>0.50887764817373204</v>
      </c>
      <c r="AI5628">
        <v>101.420635662579</v>
      </c>
      <c r="AJ5628">
        <v>81.289400718311597</v>
      </c>
      <c r="AK5628">
        <v>0.52521488423269802</v>
      </c>
      <c r="AL5628">
        <v>78.094142982170695</v>
      </c>
      <c r="AM5628">
        <v>84.582617177423501</v>
      </c>
      <c r="AN5628">
        <v>0.99999994347305499</v>
      </c>
    </row>
    <row r="5629" spans="1:40" x14ac:dyDescent="0.25">
      <c r="A5629" t="str">
        <f>"20190303170925902"</f>
        <v>20190303170925902</v>
      </c>
      <c r="B5629" t="str">
        <f>"1551604165889938"</f>
        <v>1551604165889938</v>
      </c>
      <c r="C5629" t="s">
        <v>40</v>
      </c>
      <c r="D5629">
        <v>5.3098320000000001</v>
      </c>
      <c r="E5629">
        <v>0.50989969999999996</v>
      </c>
      <c r="F5629" t="s">
        <v>47</v>
      </c>
      <c r="G5629">
        <v>-180.79560000000001</v>
      </c>
      <c r="H5629">
        <v>1.0132019999999999</v>
      </c>
      <c r="I5629">
        <v>124.1824</v>
      </c>
      <c r="J5629">
        <v>-181.15010000000001</v>
      </c>
      <c r="K5629">
        <v>1.1128640000000001</v>
      </c>
      <c r="L5629">
        <v>123.80840000000001</v>
      </c>
      <c r="M5629">
        <v>0.57076669999999996</v>
      </c>
      <c r="N5629">
        <v>-1.5704889999999999E-2</v>
      </c>
      <c r="O5629">
        <v>0.82096209999999903</v>
      </c>
      <c r="P5629">
        <v>0.629355</v>
      </c>
      <c r="Q5629">
        <v>0.1969321</v>
      </c>
      <c r="R5629">
        <v>0.75175139999999996</v>
      </c>
      <c r="S5629">
        <v>2.0142820000000001</v>
      </c>
      <c r="T5629">
        <v>-0.36649999999999999</v>
      </c>
      <c r="U5629">
        <v>2.3952640000000001</v>
      </c>
      <c r="V5629">
        <v>9.2420000000000002E-2</v>
      </c>
      <c r="W5629">
        <v>0.21019479999999999</v>
      </c>
      <c r="X5629">
        <v>0.97328139999999996</v>
      </c>
      <c r="Y5629">
        <v>8.8561979999999998E-2</v>
      </c>
      <c r="Z5629">
        <v>-8.6122809999999994E-2</v>
      </c>
      <c r="AA5629">
        <v>0.99234049999999996</v>
      </c>
      <c r="AB5629">
        <v>35</v>
      </c>
      <c r="AC5629">
        <v>0.35450000000000098</v>
      </c>
      <c r="AD5629">
        <v>-9.9661999999999903E-2</v>
      </c>
      <c r="AE5629">
        <v>0.373999999999995</v>
      </c>
      <c r="AF5629">
        <v>7.4776922002856905E-2</v>
      </c>
      <c r="AG5629">
        <v>-9.9661999999999903E-2</v>
      </c>
      <c r="AH5629">
        <v>0.49107136487356901</v>
      </c>
      <c r="AI5629">
        <v>101.34493124568</v>
      </c>
      <c r="AJ5629">
        <v>81.341908143466796</v>
      </c>
      <c r="AK5629">
        <v>0.50663121469863204</v>
      </c>
      <c r="AL5629">
        <v>77.866231699702894</v>
      </c>
      <c r="AM5629">
        <v>84.575622303373805</v>
      </c>
      <c r="AN5629">
        <v>0.99999999696649999</v>
      </c>
    </row>
    <row r="5630" spans="1:40" x14ac:dyDescent="0.25">
      <c r="A5630" t="str">
        <f>"20190303170925927"</f>
        <v>20190303170925927</v>
      </c>
      <c r="B5630" t="str">
        <f>"1551604165919218"</f>
        <v>1551604165919218</v>
      </c>
      <c r="C5630" t="s">
        <v>40</v>
      </c>
      <c r="D5630">
        <v>5.2756869999999996</v>
      </c>
      <c r="E5630">
        <v>0.50947180000000003</v>
      </c>
      <c r="F5630" t="s">
        <v>47</v>
      </c>
      <c r="G5630">
        <v>-180.6172</v>
      </c>
      <c r="H5630">
        <v>1.019074</v>
      </c>
      <c r="I5630">
        <v>124.4378</v>
      </c>
      <c r="J5630">
        <v>-180.93719999999999</v>
      </c>
      <c r="K5630">
        <v>1.1132249999999999</v>
      </c>
      <c r="L5630">
        <v>124.1131</v>
      </c>
      <c r="M5630">
        <v>0.57678439999999997</v>
      </c>
      <c r="N5630">
        <v>-1.475098E-2</v>
      </c>
      <c r="O5630">
        <v>0.81676319999999902</v>
      </c>
      <c r="P5630">
        <v>0.63575619999999999</v>
      </c>
      <c r="Q5630">
        <v>0.19635639999999999</v>
      </c>
      <c r="R5630">
        <v>0.74649739999999998</v>
      </c>
      <c r="S5630">
        <v>2.0234220000000001</v>
      </c>
      <c r="T5630">
        <v>-0.3561782</v>
      </c>
      <c r="U5630">
        <v>2.390015</v>
      </c>
      <c r="V5630">
        <v>9.3746599999999999E-2</v>
      </c>
      <c r="W5630">
        <v>0.20854510000000001</v>
      </c>
      <c r="X5630">
        <v>0.97350939999999997</v>
      </c>
      <c r="Y5630">
        <v>8.4709899999999894E-2</v>
      </c>
      <c r="Z5630">
        <v>-8.3550769999999996E-2</v>
      </c>
      <c r="AA5630">
        <v>0.99289649999999996</v>
      </c>
      <c r="AB5630">
        <v>34</v>
      </c>
      <c r="AC5630">
        <v>0.31999999999999301</v>
      </c>
      <c r="AD5630">
        <v>-9.4150999999999804E-2</v>
      </c>
      <c r="AE5630">
        <v>0.324699999999992</v>
      </c>
      <c r="AF5630">
        <v>7.1059545898922299E-2</v>
      </c>
      <c r="AG5630">
        <v>-9.4150999999999804E-2</v>
      </c>
      <c r="AH5630">
        <v>0.43142187676173799</v>
      </c>
      <c r="AI5630">
        <v>102.15210451144399</v>
      </c>
      <c r="AJ5630">
        <v>80.646784776346294</v>
      </c>
      <c r="AK5630">
        <v>0.44725686759733702</v>
      </c>
      <c r="AL5630">
        <v>77.962895210875601</v>
      </c>
      <c r="AM5630">
        <v>84.499515615540403</v>
      </c>
      <c r="AN5630">
        <v>1.0000000178169599</v>
      </c>
    </row>
    <row r="5631" spans="1:40" x14ac:dyDescent="0.25">
      <c r="A5631" t="str">
        <f>"20190303170925948"</f>
        <v>20190303170925948</v>
      </c>
      <c r="B5631" t="str">
        <f>"1551604165939714"</f>
        <v>1551604165939714</v>
      </c>
      <c r="C5631" t="s">
        <v>40</v>
      </c>
      <c r="D5631">
        <v>5.2425499999999996</v>
      </c>
      <c r="E5631">
        <v>0.50966270000000002</v>
      </c>
      <c r="F5631" t="s">
        <v>47</v>
      </c>
      <c r="G5631">
        <v>-180.43960000000001</v>
      </c>
      <c r="H5631">
        <v>1.025237</v>
      </c>
      <c r="I5631">
        <v>124.69370000000001</v>
      </c>
      <c r="J5631">
        <v>-180.7432</v>
      </c>
      <c r="K5631">
        <v>1.1133999999999999</v>
      </c>
      <c r="L5631">
        <v>124.3883</v>
      </c>
      <c r="M5631">
        <v>0.57959019999999895</v>
      </c>
      <c r="N5631">
        <v>-1.3162979999999999E-2</v>
      </c>
      <c r="O5631">
        <v>0.81480180000000002</v>
      </c>
      <c r="P5631">
        <v>0.63962750000000002</v>
      </c>
      <c r="Q5631">
        <v>0.193081</v>
      </c>
      <c r="R5631">
        <v>0.74404059999999905</v>
      </c>
      <c r="S5631">
        <v>2.0382389999999999</v>
      </c>
      <c r="T5631">
        <v>-0.36031069999999998</v>
      </c>
      <c r="U5631">
        <v>2.3776700000000002</v>
      </c>
      <c r="V5631">
        <v>9.5210539999999996E-2</v>
      </c>
      <c r="W5631">
        <v>0.20354169999999999</v>
      </c>
      <c r="X5631">
        <v>0.97442589999999996</v>
      </c>
      <c r="Y5631">
        <v>8.7260690000000002E-2</v>
      </c>
      <c r="Z5631">
        <v>-8.5802459999999997E-2</v>
      </c>
      <c r="AA5631">
        <v>0.99248349999999996</v>
      </c>
      <c r="AB5631">
        <v>34</v>
      </c>
      <c r="AC5631">
        <v>0.30359999999998799</v>
      </c>
      <c r="AD5631">
        <v>-8.81629999999997E-2</v>
      </c>
      <c r="AE5631">
        <v>0.305400000000005</v>
      </c>
      <c r="AF5631">
        <v>6.7542082015544402E-2</v>
      </c>
      <c r="AG5631">
        <v>-8.81629999999997E-2</v>
      </c>
      <c r="AH5631">
        <v>0.40775020514135202</v>
      </c>
      <c r="AI5631">
        <v>102.041378157873</v>
      </c>
      <c r="AJ5631">
        <v>80.594601381266799</v>
      </c>
      <c r="AK5631">
        <v>0.42260487125068602</v>
      </c>
      <c r="AL5631">
        <v>78.255855765104997</v>
      </c>
      <c r="AM5631">
        <v>84.419380155040898</v>
      </c>
      <c r="AN5631">
        <v>1.0000000525783901</v>
      </c>
    </row>
    <row r="5632" spans="1:40" x14ac:dyDescent="0.25">
      <c r="A5632" t="str">
        <f>"20190303170925970"</f>
        <v>20190303170925970</v>
      </c>
      <c r="B5632" t="str">
        <f>"1551604165959235"</f>
        <v>1551604165959235</v>
      </c>
      <c r="C5632" t="s">
        <v>40</v>
      </c>
      <c r="D5632">
        <v>5.2489670000000004</v>
      </c>
      <c r="E5632">
        <v>0.52985230000000005</v>
      </c>
      <c r="F5632" t="s">
        <v>47</v>
      </c>
      <c r="G5632">
        <v>-180.25989999999999</v>
      </c>
      <c r="H5632">
        <v>1.0267109999999999</v>
      </c>
      <c r="I5632">
        <v>124.9451</v>
      </c>
      <c r="J5632">
        <v>-180.54740000000001</v>
      </c>
      <c r="K5632">
        <v>1.1139540000000001</v>
      </c>
      <c r="L5632">
        <v>124.664</v>
      </c>
      <c r="M5632">
        <v>0.58044560000000001</v>
      </c>
      <c r="N5632">
        <v>-1.1460359999999999E-2</v>
      </c>
      <c r="O5632">
        <v>0.81421840000000001</v>
      </c>
      <c r="P5632">
        <v>0.64175479999999996</v>
      </c>
      <c r="Q5632">
        <v>0.1926696</v>
      </c>
      <c r="R5632">
        <v>0.74231340000000001</v>
      </c>
      <c r="S5632">
        <v>2.0512700000000001</v>
      </c>
      <c r="T5632">
        <v>-0.3681333</v>
      </c>
      <c r="U5632">
        <v>2.3641359999999998</v>
      </c>
      <c r="V5632">
        <v>9.7125420000000004E-2</v>
      </c>
      <c r="W5632">
        <v>0.20130770000000001</v>
      </c>
      <c r="X5632">
        <v>0.97470089999999998</v>
      </c>
      <c r="Y5632">
        <v>9.1910329999999998E-2</v>
      </c>
      <c r="Z5632">
        <v>-8.9378280000000004E-2</v>
      </c>
      <c r="AA5632">
        <v>0.99174799999999996</v>
      </c>
      <c r="AB5632">
        <v>34</v>
      </c>
      <c r="AC5632">
        <v>0.28750000000002202</v>
      </c>
      <c r="AD5632">
        <v>-8.7242999999999904E-2</v>
      </c>
      <c r="AE5632">
        <v>0.28109999999999502</v>
      </c>
      <c r="AF5632">
        <v>6.7740088078506303E-2</v>
      </c>
      <c r="AG5632">
        <v>-8.7242999999999904E-2</v>
      </c>
      <c r="AH5632">
        <v>0.37798588499263602</v>
      </c>
      <c r="AI5632">
        <v>102.799794431439</v>
      </c>
      <c r="AJ5632">
        <v>79.839693692869403</v>
      </c>
      <c r="AK5632">
        <v>0.39379358785479202</v>
      </c>
      <c r="AL5632">
        <v>78.386559704413898</v>
      </c>
      <c r="AM5632">
        <v>84.3094676770679</v>
      </c>
      <c r="AN5632">
        <v>0.99999999087513802</v>
      </c>
    </row>
    <row r="5633" spans="1:40" x14ac:dyDescent="0.25">
      <c r="A5633" t="str">
        <f>"20190303170925992"</f>
        <v>20190303170925992</v>
      </c>
      <c r="B5633" t="str">
        <f>"1551604165979729"</f>
        <v>1551604165979729</v>
      </c>
      <c r="C5633" t="s">
        <v>40</v>
      </c>
      <c r="D5633">
        <v>5.2237349999999996</v>
      </c>
      <c r="E5633">
        <v>0.53457089999999996</v>
      </c>
      <c r="F5633" t="s">
        <v>43</v>
      </c>
      <c r="G5633">
        <v>-168.19810000000001</v>
      </c>
      <c r="H5633" s="1">
        <v>-1.295464E-6</v>
      </c>
      <c r="I5633">
        <v>137.28880000000001</v>
      </c>
      <c r="J5633">
        <v>-180.34970000000001</v>
      </c>
      <c r="K5633">
        <v>1.1150709999999999</v>
      </c>
      <c r="L5633">
        <v>124.94110000000001</v>
      </c>
      <c r="M5633">
        <v>0.58054259999999902</v>
      </c>
      <c r="N5633">
        <v>-9.869928E-3</v>
      </c>
      <c r="O5633">
        <v>0.81417010000000001</v>
      </c>
      <c r="P5633">
        <v>0.64367010000000002</v>
      </c>
      <c r="Q5633">
        <v>0.19675400000000001</v>
      </c>
      <c r="R5633">
        <v>0.73957879999999998</v>
      </c>
      <c r="S5633">
        <v>2.1688230000000002</v>
      </c>
      <c r="T5633">
        <v>-0.195636</v>
      </c>
      <c r="U5633">
        <v>2.217209</v>
      </c>
      <c r="V5633">
        <v>0.10030169999999999</v>
      </c>
      <c r="W5633">
        <v>0.2037149</v>
      </c>
      <c r="X5633">
        <v>0.97387869999999999</v>
      </c>
      <c r="Y5633">
        <v>0.15334449999999999</v>
      </c>
      <c r="Z5633">
        <v>-4.6510330000000003E-2</v>
      </c>
      <c r="AA5633">
        <v>0.98707769999999995</v>
      </c>
      <c r="AB5633">
        <v>35</v>
      </c>
      <c r="AC5633">
        <v>12.1516</v>
      </c>
      <c r="AD5633">
        <v>-1.115072295464</v>
      </c>
      <c r="AE5633">
        <v>12.3477</v>
      </c>
      <c r="AF5633">
        <v>2.7139924559969599</v>
      </c>
      <c r="AG5633">
        <v>-1.115072295464</v>
      </c>
      <c r="AH5633">
        <v>17.037896553707</v>
      </c>
      <c r="AI5633">
        <v>93.697983305883199</v>
      </c>
      <c r="AJ5633">
        <v>80.949307068571798</v>
      </c>
      <c r="AK5633">
        <v>17.288697471184399</v>
      </c>
      <c r="AL5633">
        <v>78.2457186294249</v>
      </c>
      <c r="AM5633">
        <v>84.119726846150101</v>
      </c>
      <c r="AN5633">
        <v>0.999999956909294</v>
      </c>
    </row>
    <row r="5634" spans="1:40" x14ac:dyDescent="0.25">
      <c r="A5634" t="str">
        <f>"20190303170926017"</f>
        <v>20190303170926017</v>
      </c>
      <c r="B5634" t="str">
        <f>"1551604166009986"</f>
        <v>1551604166009986</v>
      </c>
      <c r="C5634" t="s">
        <v>40</v>
      </c>
      <c r="D5634">
        <v>5.2103099999999998</v>
      </c>
      <c r="E5634">
        <v>0.53819340000000004</v>
      </c>
      <c r="F5634" t="s">
        <v>43</v>
      </c>
      <c r="G5634">
        <v>-163.2423</v>
      </c>
      <c r="H5634" s="1">
        <v>-3.7696680000000001E-6</v>
      </c>
      <c r="I5634">
        <v>141.85169999999999</v>
      </c>
      <c r="J5634">
        <v>-180.1317</v>
      </c>
      <c r="K5634">
        <v>1.116951</v>
      </c>
      <c r="L5634">
        <v>125.2452</v>
      </c>
      <c r="M5634">
        <v>0.58056619999999903</v>
      </c>
      <c r="N5634">
        <v>-8.4093829999999994E-3</v>
      </c>
      <c r="O5634">
        <v>0.81416959999999905</v>
      </c>
      <c r="P5634">
        <v>0.64534159999999996</v>
      </c>
      <c r="Q5634">
        <v>0.20355390000000001</v>
      </c>
      <c r="R5634">
        <v>0.73627449999999905</v>
      </c>
      <c r="S5634">
        <v>2.2027739999999998</v>
      </c>
      <c r="T5634">
        <v>-0.1435785</v>
      </c>
      <c r="U5634">
        <v>2.1774290000000001</v>
      </c>
      <c r="V5634">
        <v>0.1036189</v>
      </c>
      <c r="W5634">
        <v>0.2090301</v>
      </c>
      <c r="X5634">
        <v>0.97240400000000005</v>
      </c>
      <c r="Y5634">
        <v>0.17036789999999999</v>
      </c>
      <c r="Z5634">
        <v>-3.3593930000000001E-2</v>
      </c>
      <c r="AA5634">
        <v>0.98480769999999995</v>
      </c>
      <c r="AB5634">
        <v>34</v>
      </c>
      <c r="AC5634">
        <v>16.889399999999899</v>
      </c>
      <c r="AD5634">
        <v>-1.116954769668</v>
      </c>
      <c r="AE5634">
        <v>16.606499999999901</v>
      </c>
      <c r="AF5634">
        <v>4.10068990004544</v>
      </c>
      <c r="AG5634">
        <v>-1.116954769668</v>
      </c>
      <c r="AH5634">
        <v>23.274989568597899</v>
      </c>
      <c r="AI5634">
        <v>92.705874979915706</v>
      </c>
      <c r="AJ5634">
        <v>80.007923543166697</v>
      </c>
      <c r="AK5634">
        <v>23.659847527660901</v>
      </c>
      <c r="AL5634">
        <v>77.934480298835098</v>
      </c>
      <c r="AM5634">
        <v>83.917542106281203</v>
      </c>
      <c r="AN5634">
        <v>0.99999999917961002</v>
      </c>
    </row>
    <row r="5635" spans="1:40" x14ac:dyDescent="0.25">
      <c r="A5635" t="str">
        <f>"20190303170926038"</f>
        <v>20190303170926038</v>
      </c>
      <c r="B5635" t="str">
        <f>"1551604166029506"</f>
        <v>1551604166029506</v>
      </c>
      <c r="C5635" t="s">
        <v>40</v>
      </c>
      <c r="D5635">
        <v>5.2187739999999998</v>
      </c>
      <c r="E5635">
        <v>0.53869389999999995</v>
      </c>
      <c r="F5635" t="s">
        <v>43</v>
      </c>
      <c r="G5635">
        <v>-155.97799999999901</v>
      </c>
      <c r="H5635" s="1">
        <v>-3.809549E-6</v>
      </c>
      <c r="I5635">
        <v>148.45490000000001</v>
      </c>
      <c r="J5635">
        <v>-179.9434</v>
      </c>
      <c r="K5635">
        <v>1.1193489999999999</v>
      </c>
      <c r="L5635">
        <v>125.50660000000001</v>
      </c>
      <c r="M5635">
        <v>0.580323699999999</v>
      </c>
      <c r="N5635">
        <v>-7.7646719999999898E-3</v>
      </c>
      <c r="O5635">
        <v>0.81434890000000004</v>
      </c>
      <c r="P5635">
        <v>0.6464183</v>
      </c>
      <c r="Q5635">
        <v>0.2057747</v>
      </c>
      <c r="R5635">
        <v>0.73471089999999994</v>
      </c>
      <c r="S5635">
        <v>2.2331089999999998</v>
      </c>
      <c r="T5635">
        <v>-0.103267</v>
      </c>
      <c r="U5635">
        <v>2.1458279999999998</v>
      </c>
      <c r="V5635">
        <v>0.10553070000000001</v>
      </c>
      <c r="W5635">
        <v>0.21066650000000001</v>
      </c>
      <c r="X5635">
        <v>0.97184510000000002</v>
      </c>
      <c r="Y5635">
        <v>0.1848467</v>
      </c>
      <c r="Z5635">
        <v>-2.3044439999999999E-2</v>
      </c>
      <c r="AA5635">
        <v>0.98249719999999996</v>
      </c>
      <c r="AB5635">
        <v>34</v>
      </c>
      <c r="AC5635">
        <v>23.965399999999999</v>
      </c>
      <c r="AD5635">
        <v>-1.119352809549</v>
      </c>
      <c r="AE5635">
        <v>22.9483</v>
      </c>
      <c r="AF5635">
        <v>6.1918949056230996</v>
      </c>
      <c r="AG5635">
        <v>-1.119352809549</v>
      </c>
      <c r="AH5635">
        <v>32.559540496988298</v>
      </c>
      <c r="AI5635">
        <v>91.934335575381496</v>
      </c>
      <c r="AJ5635">
        <v>79.232552323101899</v>
      </c>
      <c r="AK5635">
        <v>33.161969039994403</v>
      </c>
      <c r="AL5635">
        <v>77.838586310555399</v>
      </c>
      <c r="AM5635">
        <v>83.802649077320197</v>
      </c>
      <c r="AN5635">
        <v>1.0000000006293699</v>
      </c>
    </row>
    <row r="5636" spans="1:40" x14ac:dyDescent="0.25">
      <c r="A5636" t="str">
        <f>"20190303170926060"</f>
        <v>20190303170926060</v>
      </c>
      <c r="B5636" t="str">
        <f>"1551604166050002"</f>
        <v>1551604166050002</v>
      </c>
      <c r="C5636" t="s">
        <v>40</v>
      </c>
      <c r="D5636">
        <v>5.2075610000000001</v>
      </c>
      <c r="E5636">
        <v>0.53870609999999997</v>
      </c>
      <c r="F5636" t="s">
        <v>43</v>
      </c>
      <c r="G5636">
        <v>-153.97739999999999</v>
      </c>
      <c r="H5636">
        <v>7.9986589999999996E-2</v>
      </c>
      <c r="I5636">
        <v>150.2612</v>
      </c>
      <c r="J5636">
        <v>-179.74599999999899</v>
      </c>
      <c r="K5636">
        <v>1.1226510000000001</v>
      </c>
      <c r="L5636">
        <v>125.78019999999999</v>
      </c>
      <c r="M5636">
        <v>0.58019189999999998</v>
      </c>
      <c r="N5636">
        <v>-7.37901599999999E-3</v>
      </c>
      <c r="O5636">
        <v>0.81444640000000001</v>
      </c>
      <c r="P5636">
        <v>0.64905419999999903</v>
      </c>
      <c r="Q5636">
        <v>0.2075099</v>
      </c>
      <c r="R5636">
        <v>0.73189369999999998</v>
      </c>
      <c r="S5636">
        <v>2.2411189999999999</v>
      </c>
      <c r="T5636">
        <v>-8.9707019999999998E-2</v>
      </c>
      <c r="U5636">
        <v>2.1365660000000002</v>
      </c>
      <c r="V5636">
        <v>0.10921740000000001</v>
      </c>
      <c r="W5636">
        <v>0.21206749999999999</v>
      </c>
      <c r="X5636">
        <v>0.97113280000000002</v>
      </c>
      <c r="Y5636">
        <v>0.1889554</v>
      </c>
      <c r="Z5636">
        <v>-1.9590050000000001E-2</v>
      </c>
      <c r="AA5636">
        <v>0.98179019999999995</v>
      </c>
      <c r="AB5636">
        <v>34</v>
      </c>
      <c r="AC5636">
        <v>25.7685999999999</v>
      </c>
      <c r="AD5636">
        <v>-1.04266441</v>
      </c>
      <c r="AE5636">
        <v>24.481000000000002</v>
      </c>
      <c r="AF5636">
        <v>6.7778176341366896</v>
      </c>
      <c r="AG5636">
        <v>-1.04266441</v>
      </c>
      <c r="AH5636">
        <v>34.860146303610399</v>
      </c>
      <c r="AI5636">
        <v>91.681728414802805</v>
      </c>
      <c r="AJ5636">
        <v>78.997320922970303</v>
      </c>
      <c r="AK5636">
        <v>35.528238927121301</v>
      </c>
      <c r="AL5636">
        <v>77.756459272883902</v>
      </c>
      <c r="AM5636">
        <v>83.583254762316102</v>
      </c>
      <c r="AN5636">
        <v>0.99999999012742402</v>
      </c>
    </row>
    <row r="5637" spans="1:40" x14ac:dyDescent="0.25">
      <c r="A5637" t="str">
        <f>"20190303170926083"</f>
        <v>20190303170926083</v>
      </c>
      <c r="B5637" t="str">
        <f>"1551604166069522"</f>
        <v>1551604166069522</v>
      </c>
      <c r="C5637" t="s">
        <v>40</v>
      </c>
      <c r="D5637">
        <v>5.2305840000000003</v>
      </c>
      <c r="E5637">
        <v>0.53813949999999999</v>
      </c>
      <c r="F5637" t="s">
        <v>43</v>
      </c>
      <c r="G5637">
        <v>-151.50799999999899</v>
      </c>
      <c r="H5637">
        <v>7.998595E-2</v>
      </c>
      <c r="I5637">
        <v>152.5154</v>
      </c>
      <c r="J5637">
        <v>-179.5514</v>
      </c>
      <c r="K5637">
        <v>1.126209</v>
      </c>
      <c r="L5637">
        <v>126.0504</v>
      </c>
      <c r="M5637">
        <v>0.5807833</v>
      </c>
      <c r="N5637">
        <v>-6.568829E-3</v>
      </c>
      <c r="O5637">
        <v>0.81403169999999903</v>
      </c>
      <c r="P5637">
        <v>0.65386560000000005</v>
      </c>
      <c r="Q5637">
        <v>0.21026839999999999</v>
      </c>
      <c r="R5637">
        <v>0.72680599999999995</v>
      </c>
      <c r="S5637">
        <v>2.2483219999999999</v>
      </c>
      <c r="T5637">
        <v>-8.3017469999999996E-2</v>
      </c>
      <c r="U5637">
        <v>2.1286770000000002</v>
      </c>
      <c r="V5637">
        <v>0.1151906</v>
      </c>
      <c r="W5637">
        <v>0.2140089</v>
      </c>
      <c r="X5637">
        <v>0.97001610000000005</v>
      </c>
      <c r="Y5637">
        <v>0.1916564</v>
      </c>
      <c r="Z5637">
        <v>-1.8349359999999999E-2</v>
      </c>
      <c r="AA5637">
        <v>0.98129049999999995</v>
      </c>
      <c r="AB5637">
        <v>34</v>
      </c>
      <c r="AC5637">
        <v>28.043399999999998</v>
      </c>
      <c r="AD5637">
        <v>-1.04622305</v>
      </c>
      <c r="AE5637">
        <v>26.465</v>
      </c>
      <c r="AF5637">
        <v>7.4524610484379403</v>
      </c>
      <c r="AG5637">
        <v>-1.04622305</v>
      </c>
      <c r="AH5637">
        <v>37.803473155520102</v>
      </c>
      <c r="AI5637">
        <v>91.555354477606201</v>
      </c>
      <c r="AJ5637">
        <v>78.847885952996293</v>
      </c>
      <c r="AK5637">
        <v>38.545250563058502</v>
      </c>
      <c r="AL5637">
        <v>77.642611333895502</v>
      </c>
      <c r="AM5637">
        <v>83.2277708309839</v>
      </c>
      <c r="AN5637">
        <v>0.999999958933389</v>
      </c>
    </row>
    <row r="5638" spans="1:40" x14ac:dyDescent="0.25">
      <c r="A5638" t="str">
        <f>"20190303170926107"</f>
        <v>20190303170926107</v>
      </c>
      <c r="B5638" t="str">
        <f>"1551604166099778"</f>
        <v>1551604166099778</v>
      </c>
      <c r="C5638" t="s">
        <v>40</v>
      </c>
      <c r="D5638">
        <v>5.200672</v>
      </c>
      <c r="E5638">
        <v>0.53712869999999902</v>
      </c>
      <c r="F5638" t="s">
        <v>46</v>
      </c>
      <c r="G5638">
        <v>-144.23480000000001</v>
      </c>
      <c r="H5638">
        <v>-0.05</v>
      </c>
      <c r="I5638">
        <v>159.184</v>
      </c>
      <c r="J5638">
        <v>-179.33199999999999</v>
      </c>
      <c r="K5638">
        <v>1.1302219999999901</v>
      </c>
      <c r="L5638">
        <v>126.35599999999999</v>
      </c>
      <c r="M5638">
        <v>0.58173269999999899</v>
      </c>
      <c r="N5638">
        <v>-5.0522880000000003E-3</v>
      </c>
      <c r="O5638">
        <v>0.81336430000000004</v>
      </c>
      <c r="P5638">
        <v>0.65966449999999999</v>
      </c>
      <c r="Q5638">
        <v>0.21245410000000001</v>
      </c>
      <c r="R5638">
        <v>0.72090650000000001</v>
      </c>
      <c r="S5638">
        <v>2.2577820000000002</v>
      </c>
      <c r="T5638">
        <v>-7.5194839999999999E-2</v>
      </c>
      <c r="U5638">
        <v>2.1182249999999998</v>
      </c>
      <c r="V5638">
        <v>0.12208819999999999</v>
      </c>
      <c r="W5638">
        <v>0.21463109999999999</v>
      </c>
      <c r="X5638">
        <v>0.96903459999999997</v>
      </c>
      <c r="Y5638">
        <v>0.19500590000000001</v>
      </c>
      <c r="Z5638">
        <v>-1.7322480000000001E-2</v>
      </c>
      <c r="AA5638">
        <v>0.98064910000000005</v>
      </c>
      <c r="AB5638">
        <v>34</v>
      </c>
      <c r="AC5638">
        <v>35.097199999999901</v>
      </c>
      <c r="AD5638">
        <v>-1.1802220000000001</v>
      </c>
      <c r="AE5638">
        <v>32.827999999999903</v>
      </c>
      <c r="AF5638">
        <v>9.4441132733660407</v>
      </c>
      <c r="AG5638">
        <v>-1.1802220000000001</v>
      </c>
      <c r="AH5638">
        <v>47.090513128440797</v>
      </c>
      <c r="AI5638">
        <v>91.407675852976396</v>
      </c>
      <c r="AJ5638">
        <v>78.659640404614805</v>
      </c>
      <c r="AK5638">
        <v>48.042695867210703</v>
      </c>
      <c r="AL5638">
        <v>77.606114930021903</v>
      </c>
      <c r="AM5638">
        <v>82.819167622045796</v>
      </c>
      <c r="AN5638">
        <v>1.0000000468318</v>
      </c>
    </row>
    <row r="5639" spans="1:40" x14ac:dyDescent="0.25">
      <c r="A5639" t="str">
        <f>"20190303170926127"</f>
        <v>20190303170926127</v>
      </c>
      <c r="B5639" t="str">
        <f>"1551604166119298"</f>
        <v>1551604166119298</v>
      </c>
      <c r="C5639" t="s">
        <v>40</v>
      </c>
      <c r="D5639">
        <v>5.2119309999999999</v>
      </c>
      <c r="E5639">
        <v>0.53623569999999998</v>
      </c>
      <c r="F5639" t="s">
        <v>54</v>
      </c>
      <c r="G5639">
        <v>-143.05779999999999</v>
      </c>
      <c r="H5639">
        <v>-1.046944E-2</v>
      </c>
      <c r="I5639">
        <v>160.00749999999999</v>
      </c>
      <c r="J5639">
        <v>-179.15599999999901</v>
      </c>
      <c r="K5639">
        <v>1.1333629999999999</v>
      </c>
      <c r="L5639">
        <v>126.6014</v>
      </c>
      <c r="M5639">
        <v>0.58223780000000003</v>
      </c>
      <c r="N5639">
        <v>-3.839748E-3</v>
      </c>
      <c r="O5639">
        <v>0.81300939999999999</v>
      </c>
      <c r="P5639">
        <v>0.66411509999999996</v>
      </c>
      <c r="Q5639">
        <v>0.2130956</v>
      </c>
      <c r="R5639">
        <v>0.71661809999999904</v>
      </c>
      <c r="S5639">
        <v>2.2696839999999998</v>
      </c>
      <c r="T5639">
        <v>-7.1371199999999996E-2</v>
      </c>
      <c r="U5639">
        <v>2.1055760000000001</v>
      </c>
      <c r="V5639">
        <v>0.12762409999999999</v>
      </c>
      <c r="W5639">
        <v>0.21394920000000001</v>
      </c>
      <c r="X5639">
        <v>0.96847190000000005</v>
      </c>
      <c r="Y5639">
        <v>0.19990520000000001</v>
      </c>
      <c r="Z5639">
        <v>-1.719799E-2</v>
      </c>
      <c r="AA5639">
        <v>0.97966430000000004</v>
      </c>
      <c r="AB5639">
        <v>34</v>
      </c>
      <c r="AC5639">
        <v>36.098199999999899</v>
      </c>
      <c r="AD5639">
        <v>-1.14383244</v>
      </c>
      <c r="AE5639">
        <v>33.406099999999903</v>
      </c>
      <c r="AF5639">
        <v>9.8926048340075301</v>
      </c>
      <c r="AG5639">
        <v>-1.14383244</v>
      </c>
      <c r="AH5639">
        <v>48.1515248574933</v>
      </c>
      <c r="AI5639">
        <v>91.332966705305907</v>
      </c>
      <c r="AJ5639">
        <v>78.390276498610106</v>
      </c>
      <c r="AK5639">
        <v>49.170533138806</v>
      </c>
      <c r="AL5639">
        <v>77.646113462940804</v>
      </c>
      <c r="AM5639">
        <v>82.492884765608395</v>
      </c>
      <c r="AN5639">
        <v>0.99999999608553003</v>
      </c>
    </row>
    <row r="5640" spans="1:40" x14ac:dyDescent="0.25">
      <c r="A5640" t="str">
        <f>"20190303170926148"</f>
        <v>20190303170926148</v>
      </c>
      <c r="B5640" t="str">
        <f>"1551604166139794"</f>
        <v>1551604166139794</v>
      </c>
      <c r="C5640" t="s">
        <v>40</v>
      </c>
      <c r="D5640">
        <v>5.1946640000000004</v>
      </c>
      <c r="E5640">
        <v>0.53545790000000004</v>
      </c>
      <c r="F5640" t="s">
        <v>54</v>
      </c>
      <c r="G5640">
        <v>-142.8126</v>
      </c>
      <c r="H5640">
        <v>2.5255199999999998E-2</v>
      </c>
      <c r="I5640">
        <v>160.00739999999999</v>
      </c>
      <c r="J5640">
        <v>-178.96430000000001</v>
      </c>
      <c r="K5640">
        <v>1.1366750000000001</v>
      </c>
      <c r="L5640">
        <v>126.8681</v>
      </c>
      <c r="M5640">
        <v>0.58268759999999997</v>
      </c>
      <c r="N5640">
        <v>-2.736441E-3</v>
      </c>
      <c r="O5640">
        <v>0.81269159999999996</v>
      </c>
      <c r="P5640">
        <v>0.66894439999999999</v>
      </c>
      <c r="Q5640">
        <v>0.21240909999999999</v>
      </c>
      <c r="R5640">
        <v>0.71231719999999998</v>
      </c>
      <c r="S5640">
        <v>2.279083</v>
      </c>
      <c r="T5640">
        <v>-6.9486980000000004E-2</v>
      </c>
      <c r="U5640">
        <v>2.0948790000000002</v>
      </c>
      <c r="V5640">
        <v>0.13360449999999999</v>
      </c>
      <c r="W5640">
        <v>0.211979</v>
      </c>
      <c r="X5640">
        <v>0.96809849999999997</v>
      </c>
      <c r="Y5640">
        <v>0.20386650000000001</v>
      </c>
      <c r="Z5640">
        <v>-1.7526750000000001E-2</v>
      </c>
      <c r="AA5640">
        <v>0.97884179999999998</v>
      </c>
      <c r="AB5640">
        <v>34</v>
      </c>
      <c r="AC5640">
        <v>36.151699999999998</v>
      </c>
      <c r="AD5640">
        <v>-1.1114198</v>
      </c>
      <c r="AE5640">
        <v>33.139299999999899</v>
      </c>
      <c r="AF5640">
        <v>10.065192284073101</v>
      </c>
      <c r="AG5640">
        <v>-1.1114198</v>
      </c>
      <c r="AH5640">
        <v>47.972720536187502</v>
      </c>
      <c r="AI5640">
        <v>91.298905278104499</v>
      </c>
      <c r="AJ5640">
        <v>78.150606730252406</v>
      </c>
      <c r="AK5640">
        <v>49.029840559911499</v>
      </c>
      <c r="AL5640">
        <v>77.761647817663203</v>
      </c>
      <c r="AM5640">
        <v>82.142407930564602</v>
      </c>
      <c r="AN5640">
        <v>0.99999998228174902</v>
      </c>
    </row>
    <row r="5641" spans="1:40" x14ac:dyDescent="0.25">
      <c r="A5641" t="str">
        <f>"20190303170926172"</f>
        <v>20190303170926172</v>
      </c>
      <c r="B5641" t="str">
        <f>"1551604166159314"</f>
        <v>1551604166159314</v>
      </c>
      <c r="C5641" t="s">
        <v>40</v>
      </c>
      <c r="D5641">
        <v>5.3568059999999997</v>
      </c>
      <c r="E5641">
        <v>0.53462100000000001</v>
      </c>
      <c r="F5641" t="s">
        <v>54</v>
      </c>
      <c r="G5641">
        <v>-142.5694</v>
      </c>
      <c r="H5641">
        <v>-2.7168270000000001E-2</v>
      </c>
      <c r="I5641">
        <v>160.00729999999999</v>
      </c>
      <c r="J5641">
        <v>-178.768</v>
      </c>
      <c r="K5641">
        <v>1.1399079999999999</v>
      </c>
      <c r="L5641">
        <v>127.14019999999999</v>
      </c>
      <c r="M5641">
        <v>0.58332259999999903</v>
      </c>
      <c r="N5641">
        <v>-1.8532259999999999E-3</v>
      </c>
      <c r="O5641">
        <v>0.81223849999999997</v>
      </c>
      <c r="P5641">
        <v>0.67437429999999998</v>
      </c>
      <c r="Q5641">
        <v>0.2096751</v>
      </c>
      <c r="R5641">
        <v>0.70799409999999996</v>
      </c>
      <c r="S5641">
        <v>2.2887729999999999</v>
      </c>
      <c r="T5641">
        <v>-7.3188899999999904E-2</v>
      </c>
      <c r="U5641">
        <v>2.0840299999999998</v>
      </c>
      <c r="V5641">
        <v>0.13987840000000001</v>
      </c>
      <c r="W5641">
        <v>0.20812159999999999</v>
      </c>
      <c r="X5641">
        <v>0.9680493</v>
      </c>
      <c r="Y5641">
        <v>0.20767369999999999</v>
      </c>
      <c r="Z5641">
        <v>-1.9256599999999999E-2</v>
      </c>
      <c r="AA5641">
        <v>0.97800860000000001</v>
      </c>
      <c r="AB5641">
        <v>34</v>
      </c>
      <c r="AC5641">
        <v>36.198599999999999</v>
      </c>
      <c r="AD5641">
        <v>-1.1670762699999999</v>
      </c>
      <c r="AE5641">
        <v>32.867099999999901</v>
      </c>
      <c r="AF5641">
        <v>10.2239663047955</v>
      </c>
      <c r="AG5641">
        <v>-1.1670762699999999</v>
      </c>
      <c r="AH5641">
        <v>47.784240181544099</v>
      </c>
      <c r="AI5641">
        <v>91.368152801136205</v>
      </c>
      <c r="AJ5641">
        <v>77.923029213285702</v>
      </c>
      <c r="AK5641">
        <v>48.879700937598699</v>
      </c>
      <c r="AL5641">
        <v>77.987704208713097</v>
      </c>
      <c r="AM5641">
        <v>81.777946603670401</v>
      </c>
      <c r="AN5641">
        <v>1.0000000072018</v>
      </c>
    </row>
    <row r="5642" spans="1:40" x14ac:dyDescent="0.25">
      <c r="A5642" t="str">
        <f>"20190303170926193"</f>
        <v>20190303170926193</v>
      </c>
      <c r="B5642" t="str">
        <f>"1551604166189569"</f>
        <v>1551604166189569</v>
      </c>
      <c r="C5642" t="s">
        <v>40</v>
      </c>
      <c r="D5642">
        <v>5.2046830000000002</v>
      </c>
      <c r="E5642">
        <v>0.52231539999999999</v>
      </c>
      <c r="F5642" t="s">
        <v>43</v>
      </c>
      <c r="G5642">
        <v>-149.71610000000001</v>
      </c>
      <c r="H5642">
        <v>7.9986929999999998E-2</v>
      </c>
      <c r="I5642">
        <v>153.36699999999999</v>
      </c>
      <c r="J5642">
        <v>-178.56790000000001</v>
      </c>
      <c r="K5642">
        <v>1.143194</v>
      </c>
      <c r="L5642">
        <v>127.41589999999999</v>
      </c>
      <c r="M5642">
        <v>0.58376549999999905</v>
      </c>
      <c r="N5642">
        <v>-1.509102E-3</v>
      </c>
      <c r="O5642">
        <v>0.81192089999999995</v>
      </c>
      <c r="P5642">
        <v>0.6815194</v>
      </c>
      <c r="Q5642">
        <v>0.20736950000000001</v>
      </c>
      <c r="R5642">
        <v>0.70180430000000005</v>
      </c>
      <c r="S5642">
        <v>2.2973180000000002</v>
      </c>
      <c r="T5642">
        <v>-8.3814379999999994E-2</v>
      </c>
      <c r="U5642">
        <v>2.0739139999999998</v>
      </c>
      <c r="V5642">
        <v>0.14889150000000001</v>
      </c>
      <c r="W5642">
        <v>0.20512549999999999</v>
      </c>
      <c r="X5642">
        <v>0.96734419999999999</v>
      </c>
      <c r="Y5642">
        <v>0.21125920000000001</v>
      </c>
      <c r="Z5642">
        <v>-2.253879E-2</v>
      </c>
      <c r="AA5642">
        <v>0.97717019999999999</v>
      </c>
      <c r="AB5642">
        <v>34</v>
      </c>
      <c r="AC5642">
        <v>28.851800000000001</v>
      </c>
      <c r="AD5642">
        <v>-1.06320707</v>
      </c>
      <c r="AE5642">
        <v>25.9511</v>
      </c>
      <c r="AF5642">
        <v>8.2698242133654993</v>
      </c>
      <c r="AG5642">
        <v>-1.06320707</v>
      </c>
      <c r="AH5642">
        <v>37.884530965794902</v>
      </c>
      <c r="AI5642">
        <v>91.570585325635605</v>
      </c>
      <c r="AJ5642">
        <v>77.686053247037094</v>
      </c>
      <c r="AK5642">
        <v>38.791211482653402</v>
      </c>
      <c r="AL5642">
        <v>78.1631539085718</v>
      </c>
      <c r="AM5642">
        <v>81.249827157649094</v>
      </c>
      <c r="AN5642">
        <v>0.99999997539806895</v>
      </c>
    </row>
    <row r="5643" spans="1:40" x14ac:dyDescent="0.25">
      <c r="A5643" t="str">
        <f>"20190303170926228"</f>
        <v>20190303170926228</v>
      </c>
      <c r="B5643" t="str">
        <f>"1551604166219826"</f>
        <v>1551604166219826</v>
      </c>
      <c r="C5643" t="s">
        <v>40</v>
      </c>
      <c r="D5643">
        <v>5.2191460000000003</v>
      </c>
      <c r="E5643">
        <v>0.52073959999999997</v>
      </c>
      <c r="F5643" t="s">
        <v>43</v>
      </c>
      <c r="G5643">
        <v>-153.32159999999999</v>
      </c>
      <c r="H5643">
        <v>7.9986429999999997E-2</v>
      </c>
      <c r="I5643">
        <v>151.23079999999999</v>
      </c>
      <c r="J5643">
        <v>-178.25710000000001</v>
      </c>
      <c r="K5643">
        <v>1.1497219999999999</v>
      </c>
      <c r="L5643">
        <v>127.8382</v>
      </c>
      <c r="M5643">
        <v>0.58429830000000005</v>
      </c>
      <c r="N5643">
        <v>-2.2885399999999999E-3</v>
      </c>
      <c r="O5643">
        <v>0.81153580000000003</v>
      </c>
      <c r="P5643">
        <v>0.68678600000000001</v>
      </c>
      <c r="Q5643">
        <v>0.206403</v>
      </c>
      <c r="R5643">
        <v>0.69693819999999995</v>
      </c>
      <c r="S5643">
        <v>2.2475429999999998</v>
      </c>
      <c r="T5643">
        <v>-9.4651819999999998E-2</v>
      </c>
      <c r="U5643">
        <v>2.120117</v>
      </c>
      <c r="V5643">
        <v>0.15518889999999999</v>
      </c>
      <c r="W5643">
        <v>0.20488139999999999</v>
      </c>
      <c r="X5643">
        <v>0.96640570000000003</v>
      </c>
      <c r="Y5643">
        <v>0.1891169</v>
      </c>
      <c r="Z5643">
        <v>-2.482999E-2</v>
      </c>
      <c r="AA5643">
        <v>0.98164059999999997</v>
      </c>
      <c r="AB5643">
        <v>34</v>
      </c>
      <c r="AC5643">
        <v>24.935500000000001</v>
      </c>
      <c r="AD5643">
        <v>-1.06973557</v>
      </c>
      <c r="AE5643">
        <v>23.392599999999899</v>
      </c>
      <c r="AF5643">
        <v>6.5613884312961197</v>
      </c>
      <c r="AG5643">
        <v>-1.06973557</v>
      </c>
      <c r="AH5643">
        <v>33.520974996115498</v>
      </c>
      <c r="AI5643">
        <v>91.793808718868604</v>
      </c>
      <c r="AJ5643">
        <v>78.924962838876198</v>
      </c>
      <c r="AK5643">
        <v>34.173848437456897</v>
      </c>
      <c r="AL5643">
        <v>78.177443351146096</v>
      </c>
      <c r="AM5643">
        <v>80.877123243127897</v>
      </c>
      <c r="AN5643">
        <v>0.999999979870829</v>
      </c>
    </row>
    <row r="5644" spans="1:40" x14ac:dyDescent="0.25">
      <c r="A5644" t="str">
        <f>"20190303170926251"</f>
        <v>20190303170926251</v>
      </c>
      <c r="B5644" t="str">
        <f>"1551604166239346"</f>
        <v>1551604166239346</v>
      </c>
      <c r="C5644" t="s">
        <v>40</v>
      </c>
      <c r="D5644">
        <v>5.2614409999999996</v>
      </c>
      <c r="E5644">
        <v>0.52021740000000005</v>
      </c>
      <c r="F5644" t="s">
        <v>43</v>
      </c>
      <c r="G5644">
        <v>-152.29589999999999</v>
      </c>
      <c r="H5644">
        <v>7.9986160000000001E-2</v>
      </c>
      <c r="I5644">
        <v>152.1463</v>
      </c>
      <c r="J5644">
        <v>-178.0625</v>
      </c>
      <c r="K5644">
        <v>1.154644</v>
      </c>
      <c r="L5644">
        <v>128.09950000000001</v>
      </c>
      <c r="M5644">
        <v>0.58603519999999998</v>
      </c>
      <c r="N5644">
        <v>-2.9430350000000001E-3</v>
      </c>
      <c r="O5644">
        <v>0.81028029999999995</v>
      </c>
      <c r="P5644">
        <v>0.69256229999999996</v>
      </c>
      <c r="Q5644">
        <v>0.20339879999999999</v>
      </c>
      <c r="R5644">
        <v>0.69208840000000005</v>
      </c>
      <c r="S5644">
        <v>2.2542110000000002</v>
      </c>
      <c r="T5644">
        <v>-9.2885019999999999E-2</v>
      </c>
      <c r="U5644">
        <v>2.1106720000000001</v>
      </c>
      <c r="V5644">
        <v>0.160078</v>
      </c>
      <c r="W5644">
        <v>0.2027728</v>
      </c>
      <c r="X5644">
        <v>0.96605289999999999</v>
      </c>
      <c r="Y5644">
        <v>0.19067000000000001</v>
      </c>
      <c r="Z5644">
        <v>-2.3840549999999999E-2</v>
      </c>
      <c r="AA5644">
        <v>0.98136469999999998</v>
      </c>
      <c r="AB5644">
        <v>34</v>
      </c>
      <c r="AC5644">
        <v>25.7666</v>
      </c>
      <c r="AD5644">
        <v>-1.07465784</v>
      </c>
      <c r="AE5644">
        <v>24.046799999999902</v>
      </c>
      <c r="AF5644">
        <v>6.7796229669036698</v>
      </c>
      <c r="AG5644">
        <v>-1.07465784</v>
      </c>
      <c r="AH5644">
        <v>34.552806203355097</v>
      </c>
      <c r="AI5644">
        <v>91.748122173987895</v>
      </c>
      <c r="AJ5644">
        <v>78.898991011903206</v>
      </c>
      <c r="AK5644">
        <v>35.228037038317296</v>
      </c>
      <c r="AL5644">
        <v>78.300848025477706</v>
      </c>
      <c r="AM5644">
        <v>80.591400065890099</v>
      </c>
      <c r="AN5644">
        <v>0.99999999005112405</v>
      </c>
    </row>
    <row r="5645" spans="1:40" x14ac:dyDescent="0.25">
      <c r="A5645" t="str">
        <f>"20190303170926272"</f>
        <v>20190303170926272</v>
      </c>
      <c r="B5645" t="str">
        <f>"1551604166259844"</f>
        <v>1551604166259844</v>
      </c>
      <c r="C5645" t="s">
        <v>40</v>
      </c>
      <c r="D5645">
        <v>5.4051819999999999</v>
      </c>
      <c r="E5645">
        <v>0.54445449999999995</v>
      </c>
      <c r="F5645" t="s">
        <v>43</v>
      </c>
      <c r="G5645">
        <v>-153.85339999999999</v>
      </c>
      <c r="H5645">
        <v>7.9986559999999998E-2</v>
      </c>
      <c r="I5645">
        <v>150.5712</v>
      </c>
      <c r="J5645">
        <v>-177.86250000000001</v>
      </c>
      <c r="K5645">
        <v>1.159646</v>
      </c>
      <c r="L5645">
        <v>128.36670000000001</v>
      </c>
      <c r="M5645">
        <v>0.59027430000000003</v>
      </c>
      <c r="N5645">
        <v>-3.1414809999999998E-3</v>
      </c>
      <c r="O5645">
        <v>0.80719659999999904</v>
      </c>
      <c r="P5645">
        <v>0.70232669999999997</v>
      </c>
      <c r="Q5645">
        <v>0.1993492</v>
      </c>
      <c r="R5645">
        <v>0.68337199999999998</v>
      </c>
      <c r="S5645">
        <v>2.262527</v>
      </c>
      <c r="T5645">
        <v>-0.1004351</v>
      </c>
      <c r="U5645">
        <v>2.1001590000000001</v>
      </c>
      <c r="V5645">
        <v>0.16734569999999999</v>
      </c>
      <c r="W5645">
        <v>0.19924800000000001</v>
      </c>
      <c r="X5645">
        <v>0.96555460000000004</v>
      </c>
      <c r="Y5645">
        <v>0.1897266</v>
      </c>
      <c r="Z5645">
        <v>-2.5731250000000001E-2</v>
      </c>
      <c r="AA5645">
        <v>0.98149969999999997</v>
      </c>
      <c r="AB5645">
        <v>34</v>
      </c>
      <c r="AC5645">
        <v>24.0091</v>
      </c>
      <c r="AD5645">
        <v>-1.0796594399999999</v>
      </c>
      <c r="AE5645">
        <v>22.204499999999999</v>
      </c>
      <c r="AF5645">
        <v>6.2665191225543202</v>
      </c>
      <c r="AG5645">
        <v>-1.0796594399999999</v>
      </c>
      <c r="AH5645">
        <v>32.0605664034873</v>
      </c>
      <c r="AI5645">
        <v>91.892948493323701</v>
      </c>
      <c r="AJ5645">
        <v>78.9404700645036</v>
      </c>
      <c r="AK5645">
        <v>32.685085964888302</v>
      </c>
      <c r="AL5645">
        <v>78.507012627266107</v>
      </c>
      <c r="AM5645">
        <v>80.167420997857207</v>
      </c>
      <c r="AN5645">
        <v>1.00000001719682</v>
      </c>
    </row>
    <row r="5646" spans="1:40" x14ac:dyDescent="0.25">
      <c r="A5646" t="str">
        <f>"20190303170926294"</f>
        <v>20190303170926294</v>
      </c>
      <c r="B5646" t="str">
        <f>"1551604166290098"</f>
        <v>1551604166290098</v>
      </c>
      <c r="C5646" t="s">
        <v>40</v>
      </c>
      <c r="D5646">
        <v>5.2382109999999997</v>
      </c>
      <c r="E5646">
        <v>0.56634180000000001</v>
      </c>
      <c r="F5646" t="s">
        <v>43</v>
      </c>
      <c r="G5646">
        <v>-160.91560000000001</v>
      </c>
      <c r="H5646" s="1">
        <v>-4.7732780000000003E-6</v>
      </c>
      <c r="I5646">
        <v>141.9479</v>
      </c>
      <c r="J5646">
        <v>-177.6567</v>
      </c>
      <c r="K5646">
        <v>1.164137</v>
      </c>
      <c r="L5646">
        <v>128.64009999999999</v>
      </c>
      <c r="M5646">
        <v>0.5958928</v>
      </c>
      <c r="N5646">
        <v>-3.571711E-3</v>
      </c>
      <c r="O5646">
        <v>0.80305609999999905</v>
      </c>
      <c r="P5646">
        <v>0.7121326</v>
      </c>
      <c r="Q5646">
        <v>0.19494330000000001</v>
      </c>
      <c r="R5646">
        <v>0.67443619999999904</v>
      </c>
      <c r="S5646">
        <v>2.4265140000000001</v>
      </c>
      <c r="T5646">
        <v>-0.166042</v>
      </c>
      <c r="U5646">
        <v>1.9445950000000001</v>
      </c>
      <c r="V5646">
        <v>0.1733275</v>
      </c>
      <c r="W5646">
        <v>0.19548489999999999</v>
      </c>
      <c r="X5646">
        <v>0.96526849999999997</v>
      </c>
      <c r="Y5646">
        <v>0.25304840000000001</v>
      </c>
      <c r="Z5646">
        <v>-4.4329680000000003E-2</v>
      </c>
      <c r="AA5646">
        <v>0.96643749999999995</v>
      </c>
      <c r="AB5646">
        <v>34</v>
      </c>
      <c r="AC5646">
        <v>16.7410999999999</v>
      </c>
      <c r="AD5646">
        <v>-1.1641417732779999</v>
      </c>
      <c r="AE5646">
        <v>13.3078</v>
      </c>
      <c r="AF5646">
        <v>5.4977645783745803</v>
      </c>
      <c r="AG5646">
        <v>-1.1641417732779999</v>
      </c>
      <c r="AH5646">
        <v>20.6018955995293</v>
      </c>
      <c r="AI5646">
        <v>93.125017865227605</v>
      </c>
      <c r="AJ5646">
        <v>75.058390264581405</v>
      </c>
      <c r="AK5646">
        <v>21.354595377141301</v>
      </c>
      <c r="AL5646">
        <v>78.726948773418798</v>
      </c>
      <c r="AM5646">
        <v>79.820223537756306</v>
      </c>
      <c r="AN5646">
        <v>1.0000000227382499</v>
      </c>
    </row>
    <row r="5647" spans="1:40" x14ac:dyDescent="0.25">
      <c r="A5647" t="str">
        <f>"20190303170926317"</f>
        <v>20190303170926317</v>
      </c>
      <c r="B5647" t="str">
        <f>"1551604166309618"</f>
        <v>1551604166309618</v>
      </c>
      <c r="C5647" t="s">
        <v>40</v>
      </c>
      <c r="D5647">
        <v>5.2354120000000002</v>
      </c>
      <c r="E5647">
        <v>0.5718763</v>
      </c>
      <c r="F5647" t="s">
        <v>43</v>
      </c>
      <c r="G5647">
        <v>-159.34899999999999</v>
      </c>
      <c r="H5647" s="1">
        <v>-7.1415930000000004E-7</v>
      </c>
      <c r="I5647">
        <v>141.31710000000001</v>
      </c>
      <c r="J5647">
        <v>-177.44280000000001</v>
      </c>
      <c r="K5647">
        <v>1.1677919999999999</v>
      </c>
      <c r="L5647">
        <v>128.92160000000001</v>
      </c>
      <c r="M5647">
        <v>0.60194619999999999</v>
      </c>
      <c r="N5647">
        <v>-4.4790719999999997E-3</v>
      </c>
      <c r="O5647">
        <v>0.79852409999999996</v>
      </c>
      <c r="P5647">
        <v>0.71934330000000002</v>
      </c>
      <c r="Q5647">
        <v>0.19169739999999999</v>
      </c>
      <c r="R5647">
        <v>0.66768050000000001</v>
      </c>
      <c r="S5647">
        <v>2.571259</v>
      </c>
      <c r="T5647">
        <v>-0.16349910000000001</v>
      </c>
      <c r="U5647">
        <v>1.7804409999999999</v>
      </c>
      <c r="V5647">
        <v>0.17574000000000001</v>
      </c>
      <c r="W5647">
        <v>0.19312979999999999</v>
      </c>
      <c r="X5647">
        <v>0.96530629999999995</v>
      </c>
      <c r="Y5647">
        <v>0.31283640000000001</v>
      </c>
      <c r="Z5647">
        <v>-4.3604820000000002E-2</v>
      </c>
      <c r="AA5647">
        <v>0.94880560000000003</v>
      </c>
      <c r="AB5647">
        <v>34</v>
      </c>
      <c r="AC5647">
        <v>18.093800000000002</v>
      </c>
      <c r="AD5647">
        <v>-1.1677927141593001</v>
      </c>
      <c r="AE5647">
        <v>12.395499999999901</v>
      </c>
      <c r="AF5647">
        <v>6.9672290118808196</v>
      </c>
      <c r="AG5647">
        <v>-1.1677927141593001</v>
      </c>
      <c r="AH5647">
        <v>20.731035042408202</v>
      </c>
      <c r="AI5647">
        <v>93.056453245171696</v>
      </c>
      <c r="AJ5647">
        <v>71.423675065236395</v>
      </c>
      <c r="AK5647">
        <v>21.9016399809876</v>
      </c>
      <c r="AL5647">
        <v>78.864507170064101</v>
      </c>
      <c r="AM5647">
        <v>79.681952862143703</v>
      </c>
      <c r="AN5647">
        <v>0.99999996003386404</v>
      </c>
    </row>
    <row r="5648" spans="1:40" x14ac:dyDescent="0.25">
      <c r="A5648" t="str">
        <f>"20190303170926338"</f>
        <v>20190303170926338</v>
      </c>
      <c r="B5648" t="str">
        <f>"1551604166329138"</f>
        <v>1551604166329138</v>
      </c>
      <c r="C5648" t="s">
        <v>40</v>
      </c>
      <c r="D5648">
        <v>5.2358140000000004</v>
      </c>
      <c r="E5648">
        <v>0.57498380000000004</v>
      </c>
      <c r="F5648" t="s">
        <v>43</v>
      </c>
      <c r="G5648">
        <v>-158.86600000000001</v>
      </c>
      <c r="H5648" s="1">
        <v>-8.6507710000000003E-7</v>
      </c>
      <c r="I5648">
        <v>141.10550000000001</v>
      </c>
      <c r="J5648">
        <v>-177.24359999999999</v>
      </c>
      <c r="K5648">
        <v>1.1702399999999999</v>
      </c>
      <c r="L5648">
        <v>129.18049999999999</v>
      </c>
      <c r="M5648">
        <v>0.60749249999999999</v>
      </c>
      <c r="N5648">
        <v>-5.5874089999999998E-3</v>
      </c>
      <c r="O5648">
        <v>0.79430579999999995</v>
      </c>
      <c r="P5648">
        <v>0.7252575</v>
      </c>
      <c r="Q5648">
        <v>0.1881833</v>
      </c>
      <c r="R5648">
        <v>0.66226030000000002</v>
      </c>
      <c r="S5648">
        <v>2.6196290000000002</v>
      </c>
      <c r="T5648">
        <v>-0.16467679999999901</v>
      </c>
      <c r="U5648">
        <v>1.718124</v>
      </c>
      <c r="V5648">
        <v>0.17716119999999999</v>
      </c>
      <c r="W5648">
        <v>0.19047449999999999</v>
      </c>
      <c r="X5648">
        <v>0.96557409999999999</v>
      </c>
      <c r="Y5648">
        <v>0.33002890000000001</v>
      </c>
      <c r="Z5648">
        <v>-4.3267970000000003E-2</v>
      </c>
      <c r="AA5648">
        <v>0.94297869999999995</v>
      </c>
      <c r="AB5648">
        <v>34</v>
      </c>
      <c r="AC5648">
        <v>18.377599999999902</v>
      </c>
      <c r="AD5648">
        <v>-1.1702408650770999</v>
      </c>
      <c r="AE5648">
        <v>11.925000000000001</v>
      </c>
      <c r="AF5648">
        <v>7.3322788760573498</v>
      </c>
      <c r="AG5648">
        <v>-1.1702408650770999</v>
      </c>
      <c r="AH5648">
        <v>20.577955299331801</v>
      </c>
      <c r="AI5648">
        <v>93.066381132325802</v>
      </c>
      <c r="AJ5648">
        <v>70.388143474883506</v>
      </c>
      <c r="AK5648">
        <v>21.876563292708301</v>
      </c>
      <c r="AL5648">
        <v>79.019523060927895</v>
      </c>
      <c r="AM5648">
        <v>79.603146370292194</v>
      </c>
      <c r="AN5648">
        <v>0.99999998426324899</v>
      </c>
    </row>
    <row r="5649" spans="1:40" x14ac:dyDescent="0.25">
      <c r="A5649" t="str">
        <f>"20190303170926361"</f>
        <v>20190303170926361</v>
      </c>
      <c r="B5649" t="str">
        <f>"1551604166349634"</f>
        <v>1551604166349634</v>
      </c>
      <c r="C5649" t="s">
        <v>40</v>
      </c>
      <c r="D5649">
        <v>5.272335</v>
      </c>
      <c r="E5649">
        <v>0.57688009999999901</v>
      </c>
      <c r="F5649" t="s">
        <v>43</v>
      </c>
      <c r="G5649">
        <v>-158.86199999999999</v>
      </c>
      <c r="H5649" s="1">
        <v>-7.8860959999999899E-7</v>
      </c>
      <c r="I5649">
        <v>140.8117</v>
      </c>
      <c r="J5649">
        <v>-177.03700000000001</v>
      </c>
      <c r="K5649">
        <v>1.1718440000000001</v>
      </c>
      <c r="L5649">
        <v>129.44479999999999</v>
      </c>
      <c r="M5649">
        <v>0.61285649999999903</v>
      </c>
      <c r="N5649">
        <v>-6.7342189999999996E-3</v>
      </c>
      <c r="O5649">
        <v>0.79016549999999997</v>
      </c>
      <c r="P5649">
        <v>0.73238689999999995</v>
      </c>
      <c r="Q5649">
        <v>0.18434510000000001</v>
      </c>
      <c r="R5649">
        <v>0.65545889999999996</v>
      </c>
      <c r="S5649">
        <v>2.6494140000000002</v>
      </c>
      <c r="T5649">
        <v>-0.1686716</v>
      </c>
      <c r="U5649">
        <v>1.6764680000000001</v>
      </c>
      <c r="V5649">
        <v>0.18076819999999999</v>
      </c>
      <c r="W5649">
        <v>0.18729409999999999</v>
      </c>
      <c r="X5649">
        <v>0.96552769999999999</v>
      </c>
      <c r="Y5649">
        <v>0.33897880000000002</v>
      </c>
      <c r="Z5649">
        <v>-4.3621220000000002E-2</v>
      </c>
      <c r="AA5649">
        <v>0.93978220000000001</v>
      </c>
      <c r="AB5649">
        <v>34</v>
      </c>
      <c r="AC5649">
        <v>18.175000000000001</v>
      </c>
      <c r="AD5649">
        <v>-1.1718447886096</v>
      </c>
      <c r="AE5649">
        <v>11.366899999999999</v>
      </c>
      <c r="AF5649">
        <v>7.3731144107034803</v>
      </c>
      <c r="AG5649">
        <v>-1.1718447886096</v>
      </c>
      <c r="AH5649">
        <v>20.060908400802401</v>
      </c>
      <c r="AI5649">
        <v>93.138294514053797</v>
      </c>
      <c r="AJ5649">
        <v>69.819781638165594</v>
      </c>
      <c r="AK5649">
        <v>21.4050480538423</v>
      </c>
      <c r="AL5649">
        <v>79.205086881411702</v>
      </c>
      <c r="AM5649">
        <v>79.395722850825706</v>
      </c>
      <c r="AN5649">
        <v>0.99999998074666896</v>
      </c>
    </row>
    <row r="5650" spans="1:40" x14ac:dyDescent="0.25">
      <c r="A5650" t="str">
        <f>"20190303170926383"</f>
        <v>20190303170926383</v>
      </c>
      <c r="B5650" t="str">
        <f>"1551604166369154"</f>
        <v>1551604166369154</v>
      </c>
      <c r="C5650" t="s">
        <v>40</v>
      </c>
      <c r="D5650">
        <v>5.273434</v>
      </c>
      <c r="E5650">
        <v>0.57807549999999996</v>
      </c>
      <c r="F5650" t="s">
        <v>43</v>
      </c>
      <c r="G5650">
        <v>-159.35720000000001</v>
      </c>
      <c r="H5650" s="1">
        <v>-4.310951E-7</v>
      </c>
      <c r="I5650">
        <v>140.26650000000001</v>
      </c>
      <c r="J5650">
        <v>-176.82089999999999</v>
      </c>
      <c r="K5650">
        <v>1.172749</v>
      </c>
      <c r="L5650">
        <v>129.71629999999999</v>
      </c>
      <c r="M5650">
        <v>0.61792259999999999</v>
      </c>
      <c r="N5650">
        <v>-7.9474990000000002E-3</v>
      </c>
      <c r="O5650">
        <v>0.78619879999999998</v>
      </c>
      <c r="P5650">
        <v>0.73878009999999905</v>
      </c>
      <c r="Q5650">
        <v>0.17959149999999999</v>
      </c>
      <c r="R5650">
        <v>0.64957739999999997</v>
      </c>
      <c r="S5650">
        <v>2.6753079999999998</v>
      </c>
      <c r="T5650">
        <v>-0.17732319999999999</v>
      </c>
      <c r="U5650">
        <v>1.637543</v>
      </c>
      <c r="V5650">
        <v>0.1836467</v>
      </c>
      <c r="W5650">
        <v>0.1831546</v>
      </c>
      <c r="X5650">
        <v>0.96577860000000004</v>
      </c>
      <c r="Y5650">
        <v>0.34682350000000001</v>
      </c>
      <c r="Z5650">
        <v>-4.5274979999999999E-2</v>
      </c>
      <c r="AA5650">
        <v>0.93683700000000003</v>
      </c>
      <c r="AB5650">
        <v>34</v>
      </c>
      <c r="AC5650">
        <v>17.4636999999999</v>
      </c>
      <c r="AD5650">
        <v>-1.1727494310951001</v>
      </c>
      <c r="AE5650">
        <v>10.5502</v>
      </c>
      <c r="AF5650">
        <v>7.1872152025145803</v>
      </c>
      <c r="AG5650">
        <v>-1.1727494310951001</v>
      </c>
      <c r="AH5650">
        <v>19.023521355558302</v>
      </c>
      <c r="AI5650">
        <v>93.300523852672498</v>
      </c>
      <c r="AJ5650">
        <v>69.303095490943093</v>
      </c>
      <c r="AK5650">
        <v>20.369726762054899</v>
      </c>
      <c r="AL5650">
        <v>79.446439581850697</v>
      </c>
      <c r="AM5650">
        <v>79.2335149673073</v>
      </c>
      <c r="AN5650">
        <v>1.00000001107</v>
      </c>
    </row>
    <row r="5651" spans="1:40" x14ac:dyDescent="0.25">
      <c r="A5651" t="str">
        <f>"20190303170926405"</f>
        <v>20190303170926405</v>
      </c>
      <c r="B5651" t="str">
        <f>"1551604166399410"</f>
        <v>1551604166399410</v>
      </c>
      <c r="C5651" t="s">
        <v>40</v>
      </c>
      <c r="D5651">
        <v>5.2803990000000001</v>
      </c>
      <c r="E5651">
        <v>0.57910699999999904</v>
      </c>
      <c r="F5651" t="s">
        <v>43</v>
      </c>
      <c r="G5651">
        <v>-160.00620000000001</v>
      </c>
      <c r="H5651" s="1">
        <v>-4.7279580000000004E-6</v>
      </c>
      <c r="I5651">
        <v>139.72370000000001</v>
      </c>
      <c r="J5651">
        <v>-176.6061</v>
      </c>
      <c r="K5651">
        <v>1.1732180000000001</v>
      </c>
      <c r="L5651">
        <v>129.9813</v>
      </c>
      <c r="M5651">
        <v>0.62294259999999901</v>
      </c>
      <c r="N5651">
        <v>-9.4382110000000002E-3</v>
      </c>
      <c r="O5651">
        <v>0.78221059999999998</v>
      </c>
      <c r="P5651">
        <v>0.74306680000000003</v>
      </c>
      <c r="Q5651">
        <v>0.1761732</v>
      </c>
      <c r="R5651">
        <v>0.64561199999999996</v>
      </c>
      <c r="S5651">
        <v>2.6958009999999999</v>
      </c>
      <c r="T5651">
        <v>-0.18801989999999999</v>
      </c>
      <c r="U5651">
        <v>1.6044160000000001</v>
      </c>
      <c r="V5651">
        <v>0.18369060000000001</v>
      </c>
      <c r="W5651">
        <v>0.18071499999999999</v>
      </c>
      <c r="X5651">
        <v>0.96622969999999997</v>
      </c>
      <c r="Y5651">
        <v>0.35231469999999998</v>
      </c>
      <c r="Z5651">
        <v>-4.7301910000000003E-2</v>
      </c>
      <c r="AA5651">
        <v>0.9346854</v>
      </c>
      <c r="AB5651">
        <v>34</v>
      </c>
      <c r="AC5651">
        <v>16.599899999999899</v>
      </c>
      <c r="AD5651">
        <v>-1.1732227279580001</v>
      </c>
      <c r="AE5651">
        <v>9.7423999999999999</v>
      </c>
      <c r="AF5651">
        <v>6.89036930373668</v>
      </c>
      <c r="AG5651">
        <v>-1.1732227279580001</v>
      </c>
      <c r="AH5651">
        <v>17.8957037324701</v>
      </c>
      <c r="AI5651">
        <v>93.501027909356296</v>
      </c>
      <c r="AJ5651">
        <v>68.941835095425702</v>
      </c>
      <c r="AK5651">
        <v>19.212231853473401</v>
      </c>
      <c r="AL5651">
        <v>79.588590605952504</v>
      </c>
      <c r="AM5651">
        <v>79.235911649564798</v>
      </c>
      <c r="AN5651">
        <v>0.99999999045772403</v>
      </c>
    </row>
    <row r="5652" spans="1:40" x14ac:dyDescent="0.25">
      <c r="A5652" t="str">
        <f>"20190303170926429"</f>
        <v>20190303170926429</v>
      </c>
      <c r="B5652" t="str">
        <f>"1551604166419906"</f>
        <v>1551604166419906</v>
      </c>
      <c r="C5652" t="s">
        <v>40</v>
      </c>
      <c r="D5652">
        <v>5.3561459999999999</v>
      </c>
      <c r="E5652">
        <v>0.5793391</v>
      </c>
      <c r="F5652" t="s">
        <v>43</v>
      </c>
      <c r="G5652">
        <v>-159.7784</v>
      </c>
      <c r="H5652" s="1">
        <v>-1.154473E-7</v>
      </c>
      <c r="I5652">
        <v>139.75919999999999</v>
      </c>
      <c r="J5652">
        <v>-176.37729999999999</v>
      </c>
      <c r="K5652">
        <v>1.1733979999999999</v>
      </c>
      <c r="L5652">
        <v>130.25819999999999</v>
      </c>
      <c r="M5652">
        <v>0.62870709999999996</v>
      </c>
      <c r="N5652">
        <v>-1.137355E-2</v>
      </c>
      <c r="O5652">
        <v>0.777559</v>
      </c>
      <c r="P5652">
        <v>0.74630010000000002</v>
      </c>
      <c r="Q5652">
        <v>0.1752737</v>
      </c>
      <c r="R5652">
        <v>0.64211790000000002</v>
      </c>
      <c r="S5652">
        <v>2.712631</v>
      </c>
      <c r="T5652">
        <v>-0.18912319999999999</v>
      </c>
      <c r="U5652">
        <v>1.5762179999999999</v>
      </c>
      <c r="V5652">
        <v>0.1816641</v>
      </c>
      <c r="W5652">
        <v>0.18134249999999999</v>
      </c>
      <c r="X5652">
        <v>0.9664952</v>
      </c>
      <c r="Y5652">
        <v>0.35519309999999998</v>
      </c>
      <c r="Z5652">
        <v>-4.6239509999999998E-2</v>
      </c>
      <c r="AA5652">
        <v>0.93364860000000005</v>
      </c>
      <c r="AB5652">
        <v>34</v>
      </c>
      <c r="AC5652">
        <v>16.598899999999901</v>
      </c>
      <c r="AD5652">
        <v>-1.1733981154473001</v>
      </c>
      <c r="AE5652">
        <v>9.5009999999999994</v>
      </c>
      <c r="AF5652">
        <v>6.9077254382374802</v>
      </c>
      <c r="AG5652">
        <v>-1.1733981154473001</v>
      </c>
      <c r="AH5652">
        <v>17.7577463465263</v>
      </c>
      <c r="AI5652">
        <v>93.523985867847898</v>
      </c>
      <c r="AJ5652">
        <v>68.744070999463901</v>
      </c>
      <c r="AK5652">
        <v>19.0900782914837</v>
      </c>
      <c r="AL5652">
        <v>79.552033173375193</v>
      </c>
      <c r="AM5652">
        <v>79.354790723100805</v>
      </c>
      <c r="AN5652">
        <v>0.99999995957904897</v>
      </c>
    </row>
    <row r="5653" spans="1:40" x14ac:dyDescent="0.25">
      <c r="A5653" t="str">
        <f>"20190303170926451"</f>
        <v>20190303170926451</v>
      </c>
      <c r="B5653" t="str">
        <f>"1551604166439426"</f>
        <v>1551604166439426</v>
      </c>
      <c r="C5653" t="s">
        <v>40</v>
      </c>
      <c r="D5653">
        <v>5.3368789999999997</v>
      </c>
      <c r="E5653">
        <v>0.57947530000000003</v>
      </c>
      <c r="F5653" t="s">
        <v>43</v>
      </c>
      <c r="G5653">
        <v>-159.25200000000001</v>
      </c>
      <c r="H5653" s="1">
        <v>-4.2112009999999999E-7</v>
      </c>
      <c r="I5653">
        <v>140.05930000000001</v>
      </c>
      <c r="J5653">
        <v>-176.16309999999999</v>
      </c>
      <c r="K5653">
        <v>1.173287</v>
      </c>
      <c r="L5653">
        <v>130.5129</v>
      </c>
      <c r="M5653">
        <v>0.63519999999999999</v>
      </c>
      <c r="N5653">
        <v>-1.322283E-2</v>
      </c>
      <c r="O5653">
        <v>0.77223459999999999</v>
      </c>
      <c r="P5653">
        <v>0.75093169999999898</v>
      </c>
      <c r="Q5653">
        <v>0.17527789999999999</v>
      </c>
      <c r="R5653">
        <v>0.63669419999999899</v>
      </c>
      <c r="S5653">
        <v>2.722855</v>
      </c>
      <c r="T5653">
        <v>-0.18656490000000001</v>
      </c>
      <c r="U5653">
        <v>1.5583340000000001</v>
      </c>
      <c r="V5653">
        <v>0.18084439999999999</v>
      </c>
      <c r="W5653">
        <v>0.1829221</v>
      </c>
      <c r="X5653">
        <v>0.96635130000000002</v>
      </c>
      <c r="Y5653">
        <v>0.35355569999999997</v>
      </c>
      <c r="Z5653">
        <v>-4.4091720000000001E-2</v>
      </c>
      <c r="AA5653">
        <v>0.93437369999999997</v>
      </c>
      <c r="AB5653">
        <v>34</v>
      </c>
      <c r="AC5653">
        <v>16.911099999999902</v>
      </c>
      <c r="AD5653">
        <v>-1.1732874211201001</v>
      </c>
      <c r="AE5653">
        <v>9.5464000000000002</v>
      </c>
      <c r="AF5653">
        <v>6.9706293435296898</v>
      </c>
      <c r="AG5653">
        <v>-1.1732874211201001</v>
      </c>
      <c r="AH5653">
        <v>18.049686369839399</v>
      </c>
      <c r="AI5653">
        <v>93.470074326801296</v>
      </c>
      <c r="AJ5653">
        <v>68.883879874897204</v>
      </c>
      <c r="AK5653">
        <v>19.384464265669099</v>
      </c>
      <c r="AL5653">
        <v>79.459989794680695</v>
      </c>
      <c r="AM5653">
        <v>79.400190767629994</v>
      </c>
      <c r="AN5653">
        <v>1.0000000133457301</v>
      </c>
    </row>
    <row r="5654" spans="1:40" x14ac:dyDescent="0.25">
      <c r="A5654" t="str">
        <f>"20190303170926473"</f>
        <v>20190303170926473</v>
      </c>
      <c r="B5654" t="str">
        <f>"1551604166459922"</f>
        <v>1551604166459922</v>
      </c>
      <c r="C5654" t="s">
        <v>40</v>
      </c>
      <c r="D5654">
        <v>5.3758599999999896</v>
      </c>
      <c r="E5654">
        <v>0.57961109999999905</v>
      </c>
      <c r="F5654" t="s">
        <v>43</v>
      </c>
      <c r="G5654">
        <v>-158.631</v>
      </c>
      <c r="H5654" s="1">
        <v>-7.6771519999999995E-7</v>
      </c>
      <c r="I5654">
        <v>140.36070000000001</v>
      </c>
      <c r="J5654">
        <v>-175.93770000000001</v>
      </c>
      <c r="K5654">
        <v>1.1726049999999999</v>
      </c>
      <c r="L5654">
        <v>130.77610000000001</v>
      </c>
      <c r="M5654">
        <v>0.64253459999999996</v>
      </c>
      <c r="N5654">
        <v>-1.5268469999999999E-2</v>
      </c>
      <c r="O5654">
        <v>0.76610459999999903</v>
      </c>
      <c r="P5654">
        <v>0.75658950000000003</v>
      </c>
      <c r="Q5654">
        <v>0.1747716</v>
      </c>
      <c r="R5654">
        <v>0.63010100000000002</v>
      </c>
      <c r="S5654">
        <v>2.7351230000000002</v>
      </c>
      <c r="T5654">
        <v>-0.1830406</v>
      </c>
      <c r="U5654">
        <v>1.5363309999999999</v>
      </c>
      <c r="V5654">
        <v>0.18045600000000001</v>
      </c>
      <c r="W5654">
        <v>0.18415529999999999</v>
      </c>
      <c r="X5654">
        <v>0.96618959999999998</v>
      </c>
      <c r="Y5654">
        <v>0.35221019999999997</v>
      </c>
      <c r="Z5654">
        <v>-4.1559640000000002E-2</v>
      </c>
      <c r="AA5654">
        <v>0.93499770000000004</v>
      </c>
      <c r="AB5654">
        <v>34</v>
      </c>
      <c r="AC5654">
        <v>17.306699999999999</v>
      </c>
      <c r="AD5654">
        <v>-1.1726057677152</v>
      </c>
      <c r="AE5654">
        <v>9.5845999999999894</v>
      </c>
      <c r="AF5654">
        <v>7.0762726899444104</v>
      </c>
      <c r="AG5654">
        <v>-1.1726057677152</v>
      </c>
      <c r="AH5654">
        <v>18.4004674546857</v>
      </c>
      <c r="AI5654">
        <v>93.403952378668293</v>
      </c>
      <c r="AJ5654">
        <v>68.964740911075907</v>
      </c>
      <c r="AK5654">
        <v>19.749071928064801</v>
      </c>
      <c r="AL5654">
        <v>79.388110846097405</v>
      </c>
      <c r="AM5654">
        <v>79.420711445416998</v>
      </c>
      <c r="AN5654">
        <v>0.99999994280112303</v>
      </c>
    </row>
    <row r="5655" spans="1:40" x14ac:dyDescent="0.25">
      <c r="A5655" t="str">
        <f>"20190303170926497"</f>
        <v>20190303170926497</v>
      </c>
      <c r="B5655" t="str">
        <f>"1551604166490179"</f>
        <v>1551604166490179</v>
      </c>
      <c r="C5655" t="s">
        <v>40</v>
      </c>
      <c r="D5655">
        <v>5.4027669999999999</v>
      </c>
      <c r="E5655">
        <v>0.57963719999999996</v>
      </c>
      <c r="F5655" t="s">
        <v>43</v>
      </c>
      <c r="G5655">
        <v>-157.9716</v>
      </c>
      <c r="H5655" s="1">
        <v>-1.1222579999999999E-6</v>
      </c>
      <c r="I5655">
        <v>140.6301</v>
      </c>
      <c r="J5655">
        <v>-175.69120000000001</v>
      </c>
      <c r="K5655">
        <v>1.170971</v>
      </c>
      <c r="L5655">
        <v>131.05840000000001</v>
      </c>
      <c r="M5655">
        <v>0.65041470000000001</v>
      </c>
      <c r="N5655">
        <v>-1.7669290000000001E-2</v>
      </c>
      <c r="O5655">
        <v>0.75937379999999999</v>
      </c>
      <c r="P5655">
        <v>0.76318710000000001</v>
      </c>
      <c r="Q5655">
        <v>0.1724967</v>
      </c>
      <c r="R5655">
        <v>0.62272819999999995</v>
      </c>
      <c r="S5655">
        <v>2.7503359999999999</v>
      </c>
      <c r="T5655">
        <v>-0.17950729999999901</v>
      </c>
      <c r="U5655">
        <v>1.5084839999999999</v>
      </c>
      <c r="V5655">
        <v>0.18063090000000001</v>
      </c>
      <c r="W5655">
        <v>0.1838052</v>
      </c>
      <c r="X5655">
        <v>0.96622370000000002</v>
      </c>
      <c r="Y5655">
        <v>0.35205839999999999</v>
      </c>
      <c r="Z5655">
        <v>-3.8852560000000001E-2</v>
      </c>
      <c r="AA5655">
        <v>0.93517130000000004</v>
      </c>
      <c r="AB5655">
        <v>34</v>
      </c>
      <c r="AC5655">
        <v>17.7196</v>
      </c>
      <c r="AD5655">
        <v>-1.1709721222579901</v>
      </c>
      <c r="AE5655">
        <v>9.5716999999999892</v>
      </c>
      <c r="AF5655">
        <v>7.2069903948102398</v>
      </c>
      <c r="AG5655">
        <v>-1.1709721222579901</v>
      </c>
      <c r="AH5655">
        <v>18.7331910478702</v>
      </c>
      <c r="AI5655">
        <v>93.338820268712894</v>
      </c>
      <c r="AJ5655">
        <v>68.957381763841596</v>
      </c>
      <c r="AK5655">
        <v>20.105828336529601</v>
      </c>
      <c r="AL5655">
        <v>79.408519671894993</v>
      </c>
      <c r="AM5655">
        <v>79.411054940265004</v>
      </c>
      <c r="AN5655">
        <v>1.0000000560117599</v>
      </c>
    </row>
    <row r="5656" spans="1:40" x14ac:dyDescent="0.25">
      <c r="A5656" t="str">
        <f>"20190303170926519"</f>
        <v>20190303170926519</v>
      </c>
      <c r="B5656" t="str">
        <f>"1551604166509699"</f>
        <v>1551604166509699</v>
      </c>
      <c r="C5656" t="s">
        <v>40</v>
      </c>
      <c r="D5656">
        <v>5.4185809999999996</v>
      </c>
      <c r="E5656">
        <v>0.57948940000000004</v>
      </c>
      <c r="F5656" t="s">
        <v>43</v>
      </c>
      <c r="G5656">
        <v>-157.89080000000001</v>
      </c>
      <c r="H5656" s="1">
        <v>-1.1407139999999999E-6</v>
      </c>
      <c r="I5656">
        <v>140.56909999999999</v>
      </c>
      <c r="J5656">
        <v>-175.46870000000001</v>
      </c>
      <c r="K5656">
        <v>1.1687860000000001</v>
      </c>
      <c r="L5656">
        <v>131.3075</v>
      </c>
      <c r="M5656">
        <v>0.657304</v>
      </c>
      <c r="N5656">
        <v>-1.984238E-2</v>
      </c>
      <c r="O5656">
        <v>0.75336419999999904</v>
      </c>
      <c r="P5656">
        <v>0.769451</v>
      </c>
      <c r="Q5656">
        <v>0.16898560000000001</v>
      </c>
      <c r="R5656">
        <v>0.61594559999999998</v>
      </c>
      <c r="S5656">
        <v>2.7660830000000001</v>
      </c>
      <c r="T5656">
        <v>-0.1819617</v>
      </c>
      <c r="U5656">
        <v>1.477905</v>
      </c>
      <c r="V5656">
        <v>0.18136099999999999</v>
      </c>
      <c r="W5656">
        <v>0.18193100000000001</v>
      </c>
      <c r="X5656">
        <v>0.96644160000000001</v>
      </c>
      <c r="Y5656">
        <v>0.35375289999999998</v>
      </c>
      <c r="Z5656">
        <v>-3.8073910000000002E-2</v>
      </c>
      <c r="AA5656">
        <v>0.93456360000000005</v>
      </c>
      <c r="AB5656">
        <v>34</v>
      </c>
      <c r="AC5656">
        <v>17.5779</v>
      </c>
      <c r="AD5656">
        <v>-1.168787140714</v>
      </c>
      <c r="AE5656">
        <v>9.2615999999999801</v>
      </c>
      <c r="AF5656">
        <v>7.1316043124369299</v>
      </c>
      <c r="AG5656">
        <v>-1.168787140714</v>
      </c>
      <c r="AH5656">
        <v>18.471112926521499</v>
      </c>
      <c r="AI5656">
        <v>93.378222134699001</v>
      </c>
      <c r="AJ5656">
        <v>68.888674686550402</v>
      </c>
      <c r="AK5656">
        <v>19.834511745787399</v>
      </c>
      <c r="AL5656">
        <v>79.517745017654505</v>
      </c>
      <c r="AM5656">
        <v>79.371570930513201</v>
      </c>
      <c r="AN5656">
        <v>1.00000003364627</v>
      </c>
    </row>
    <row r="5657" spans="1:40" x14ac:dyDescent="0.25">
      <c r="A5657" t="str">
        <f>"20190303170926539"</f>
        <v>20190303170926539</v>
      </c>
      <c r="B5657" t="str">
        <f>"1551604166529219"</f>
        <v>1551604166529219</v>
      </c>
      <c r="C5657" t="s">
        <v>40</v>
      </c>
      <c r="D5657">
        <v>5.4047859999999996</v>
      </c>
      <c r="E5657">
        <v>0.57925179999999998</v>
      </c>
      <c r="F5657" t="s">
        <v>43</v>
      </c>
      <c r="G5657">
        <v>-158.26920000000001</v>
      </c>
      <c r="H5657" s="1">
        <v>-9.0075219999999995E-7</v>
      </c>
      <c r="I5657">
        <v>140.2774</v>
      </c>
      <c r="J5657">
        <v>-175.25970000000001</v>
      </c>
      <c r="K5657">
        <v>1.166258</v>
      </c>
      <c r="L5657">
        <v>131.53630000000001</v>
      </c>
      <c r="M5657">
        <v>0.66369709999999904</v>
      </c>
      <c r="N5657">
        <v>-2.172609E-2</v>
      </c>
      <c r="O5657">
        <v>0.74768590000000001</v>
      </c>
      <c r="P5657">
        <v>0.77481630000000001</v>
      </c>
      <c r="Q5657">
        <v>0.16814970000000001</v>
      </c>
      <c r="R5657">
        <v>0.60941409999999996</v>
      </c>
      <c r="S5657">
        <v>2.779846</v>
      </c>
      <c r="T5657">
        <v>-0.1889036</v>
      </c>
      <c r="U5657">
        <v>1.4497530000000001</v>
      </c>
      <c r="V5657">
        <v>0.18191599999999999</v>
      </c>
      <c r="W5657">
        <v>0.18244489999999999</v>
      </c>
      <c r="X5657">
        <v>0.96624030000000005</v>
      </c>
      <c r="Y5657">
        <v>0.35502399999999901</v>
      </c>
      <c r="Z5657">
        <v>-3.8742550000000001E-2</v>
      </c>
      <c r="AA5657">
        <v>0.9340541</v>
      </c>
      <c r="AB5657">
        <v>34</v>
      </c>
      <c r="AC5657">
        <v>16.990499999999901</v>
      </c>
      <c r="AD5657">
        <v>-1.1662589007522</v>
      </c>
      <c r="AE5657">
        <v>8.7410999999999799</v>
      </c>
      <c r="AF5657">
        <v>6.8781187027072699</v>
      </c>
      <c r="AG5657">
        <v>-1.1662589007522</v>
      </c>
      <c r="AH5657">
        <v>17.7502171825377</v>
      </c>
      <c r="AI5657">
        <v>93.505853584572193</v>
      </c>
      <c r="AJ5657">
        <v>68.818904361891398</v>
      </c>
      <c r="AK5657">
        <v>19.071939773902699</v>
      </c>
      <c r="AL5657">
        <v>79.487798598656198</v>
      </c>
      <c r="AM5657">
        <v>79.337620237481502</v>
      </c>
      <c r="AN5657">
        <v>0.999999944968048</v>
      </c>
    </row>
    <row r="5658" spans="1:40" x14ac:dyDescent="0.25">
      <c r="A5658" t="str">
        <f>"20190303170926561"</f>
        <v>20190303170926561</v>
      </c>
      <c r="B5658" t="str">
        <f>"1551604166549714"</f>
        <v>1551604166549714</v>
      </c>
      <c r="C5658" t="s">
        <v>40</v>
      </c>
      <c r="D5658">
        <v>5.4625560000000002</v>
      </c>
      <c r="E5658">
        <v>0.57905289999999998</v>
      </c>
      <c r="F5658" t="s">
        <v>43</v>
      </c>
      <c r="G5658">
        <v>-157.95480000000001</v>
      </c>
      <c r="H5658" s="1">
        <v>-1.0592289999999999E-6</v>
      </c>
      <c r="I5658">
        <v>140.36600000000001</v>
      </c>
      <c r="J5658">
        <v>-175.0324</v>
      </c>
      <c r="K5658">
        <v>1.16316</v>
      </c>
      <c r="L5658">
        <v>131.77940000000001</v>
      </c>
      <c r="M5658">
        <v>0.67069880000000004</v>
      </c>
      <c r="N5658">
        <v>-2.3507759999999999E-2</v>
      </c>
      <c r="O5658">
        <v>0.74135719999999905</v>
      </c>
      <c r="P5658">
        <v>0.78050719999999996</v>
      </c>
      <c r="Q5658">
        <v>0.16867739999999901</v>
      </c>
      <c r="R5658">
        <v>0.60196050000000001</v>
      </c>
      <c r="S5658">
        <v>2.79216</v>
      </c>
      <c r="T5658">
        <v>-0.18817639999999999</v>
      </c>
      <c r="U5658">
        <v>1.4246829999999999</v>
      </c>
      <c r="V5658">
        <v>0.18254970000000001</v>
      </c>
      <c r="W5658">
        <v>0.1841999</v>
      </c>
      <c r="X5658">
        <v>0.96578779999999997</v>
      </c>
      <c r="Y5658">
        <v>0.35455490000000001</v>
      </c>
      <c r="Z5658">
        <v>-3.7299140000000001E-2</v>
      </c>
      <c r="AA5658">
        <v>0.93429099999999998</v>
      </c>
      <c r="AB5658">
        <v>34</v>
      </c>
      <c r="AC5658">
        <v>17.077599999999901</v>
      </c>
      <c r="AD5658">
        <v>-1.163161059229</v>
      </c>
      <c r="AE5658">
        <v>8.5866000000000007</v>
      </c>
      <c r="AF5658">
        <v>6.8780185631375002</v>
      </c>
      <c r="AG5658">
        <v>-1.163161059229</v>
      </c>
      <c r="AH5658">
        <v>17.758830204925701</v>
      </c>
      <c r="AI5658">
        <v>93.495100092648499</v>
      </c>
      <c r="AJ5658">
        <v>68.8285480215105</v>
      </c>
      <c r="AK5658">
        <v>19.079730953342899</v>
      </c>
      <c r="AL5658">
        <v>79.385511972259494</v>
      </c>
      <c r="AM5658">
        <v>79.296437162438494</v>
      </c>
      <c r="AN5658">
        <v>1.00000003537946</v>
      </c>
    </row>
    <row r="5659" spans="1:40" x14ac:dyDescent="0.25">
      <c r="A5659" t="str">
        <f>"20190303170926584"</f>
        <v>20190303170926584</v>
      </c>
      <c r="B5659" t="str">
        <f>"1551604166579971"</f>
        <v>1551604166579971</v>
      </c>
      <c r="C5659" t="s">
        <v>40</v>
      </c>
      <c r="D5659">
        <v>5.4554549999999997</v>
      </c>
      <c r="E5659">
        <v>0.57870849999999996</v>
      </c>
      <c r="F5659" t="s">
        <v>43</v>
      </c>
      <c r="G5659">
        <v>-157.38229999999999</v>
      </c>
      <c r="H5659" s="1">
        <v>-1.3596010000000001E-6</v>
      </c>
      <c r="I5659">
        <v>140.5719</v>
      </c>
      <c r="J5659">
        <v>-174.7869</v>
      </c>
      <c r="K5659">
        <v>1.159613</v>
      </c>
      <c r="L5659">
        <v>132.03540000000001</v>
      </c>
      <c r="M5659">
        <v>0.67844550000000003</v>
      </c>
      <c r="N5659">
        <v>-2.5119349999999999E-2</v>
      </c>
      <c r="O5659">
        <v>0.73422119999999902</v>
      </c>
      <c r="P5659">
        <v>0.78788930000000001</v>
      </c>
      <c r="Q5659">
        <v>0.16795779999999999</v>
      </c>
      <c r="R5659">
        <v>0.59246999999999905</v>
      </c>
      <c r="S5659">
        <v>2.805679</v>
      </c>
      <c r="T5659">
        <v>-0.1848968</v>
      </c>
      <c r="U5659">
        <v>1.397659</v>
      </c>
      <c r="V5659">
        <v>0.18466270000000001</v>
      </c>
      <c r="W5659">
        <v>0.1845195</v>
      </c>
      <c r="X5659">
        <v>0.96532490000000004</v>
      </c>
      <c r="Y5659">
        <v>0.35377380000000003</v>
      </c>
      <c r="Z5659">
        <v>-3.5257219999999999E-2</v>
      </c>
      <c r="AA5659">
        <v>0.93466629999999995</v>
      </c>
      <c r="AB5659">
        <v>34</v>
      </c>
      <c r="AC5659">
        <v>17.404599999999999</v>
      </c>
      <c r="AD5659">
        <v>-1.159614359601</v>
      </c>
      <c r="AE5659">
        <v>8.5364999999999895</v>
      </c>
      <c r="AF5659">
        <v>6.9645601261909604</v>
      </c>
      <c r="AG5659">
        <v>-1.159614359601</v>
      </c>
      <c r="AH5659">
        <v>18.016986194813899</v>
      </c>
      <c r="AI5659">
        <v>93.435522891102906</v>
      </c>
      <c r="AJ5659">
        <v>68.865730126535297</v>
      </c>
      <c r="AK5659">
        <v>19.351010174108101</v>
      </c>
      <c r="AL5659">
        <v>79.366880078913496</v>
      </c>
      <c r="AM5659">
        <v>79.170387137981507</v>
      </c>
      <c r="AN5659">
        <v>0.99999996060577401</v>
      </c>
    </row>
    <row r="5660" spans="1:40" x14ac:dyDescent="0.25">
      <c r="A5660" t="str">
        <f>"20190303170926607"</f>
        <v>20190303170926607</v>
      </c>
      <c r="B5660" t="str">
        <f>"1551604166599490"</f>
        <v>1551604166599490</v>
      </c>
      <c r="C5660" t="s">
        <v>40</v>
      </c>
      <c r="D5660">
        <v>5.4135470000000003</v>
      </c>
      <c r="E5660">
        <v>0.57842839999999995</v>
      </c>
      <c r="F5660" t="s">
        <v>43</v>
      </c>
      <c r="G5660">
        <v>-157.27090000000001</v>
      </c>
      <c r="H5660" s="1">
        <v>-1.39037999999999E-6</v>
      </c>
      <c r="I5660">
        <v>140.50790000000001</v>
      </c>
      <c r="J5660">
        <v>-174.55549999999999</v>
      </c>
      <c r="K5660">
        <v>1.156223</v>
      </c>
      <c r="L5660">
        <v>132.27019999999999</v>
      </c>
      <c r="M5660">
        <v>0.68604739999999997</v>
      </c>
      <c r="N5660">
        <v>-2.639644E-2</v>
      </c>
      <c r="O5660">
        <v>0.72707790000000005</v>
      </c>
      <c r="P5660">
        <v>0.79545719999999998</v>
      </c>
      <c r="Q5660">
        <v>0.16646549999999999</v>
      </c>
      <c r="R5660">
        <v>0.5826981</v>
      </c>
      <c r="S5660">
        <v>2.8212890000000002</v>
      </c>
      <c r="T5660">
        <v>-0.18677750000000001</v>
      </c>
      <c r="U5660">
        <v>1.36467</v>
      </c>
      <c r="V5660">
        <v>0.18704280000000001</v>
      </c>
      <c r="W5660">
        <v>0.1838516</v>
      </c>
      <c r="X5660">
        <v>0.96499409999999997</v>
      </c>
      <c r="Y5660">
        <v>0.35488560000000002</v>
      </c>
      <c r="Z5660">
        <v>-3.4920189999999997E-2</v>
      </c>
      <c r="AA5660">
        <v>0.93425740000000002</v>
      </c>
      <c r="AB5660">
        <v>34</v>
      </c>
      <c r="AC5660">
        <v>17.284599999999902</v>
      </c>
      <c r="AD5660">
        <v>-1.15622439037999</v>
      </c>
      <c r="AE5660">
        <v>8.2377000000000091</v>
      </c>
      <c r="AF5660">
        <v>6.8930730345314997</v>
      </c>
      <c r="AG5660">
        <v>-1.15622439037999</v>
      </c>
      <c r="AH5660">
        <v>17.788858493295301</v>
      </c>
      <c r="AI5660">
        <v>93.468233004654707</v>
      </c>
      <c r="AJ5660">
        <v>68.818957511092194</v>
      </c>
      <c r="AK5660">
        <v>19.112686812554099</v>
      </c>
      <c r="AL5660">
        <v>79.405814632751998</v>
      </c>
      <c r="AM5660">
        <v>79.030500374449403</v>
      </c>
      <c r="AN5660">
        <v>1.0000000164445999</v>
      </c>
    </row>
    <row r="5661" spans="1:40" x14ac:dyDescent="0.25">
      <c r="A5661" t="str">
        <f>"20190303170926628"</f>
        <v>20190303170926628</v>
      </c>
      <c r="B5661" t="str">
        <f>"1551604166619987"</f>
        <v>1551604166619987</v>
      </c>
      <c r="C5661" t="s">
        <v>40</v>
      </c>
      <c r="D5661">
        <v>5.4444169999999996</v>
      </c>
      <c r="E5661">
        <v>0.57823899999999995</v>
      </c>
      <c r="F5661" t="s">
        <v>43</v>
      </c>
      <c r="G5661">
        <v>-157.40770000000001</v>
      </c>
      <c r="H5661" s="1">
        <v>-1.279117E-6</v>
      </c>
      <c r="I5661">
        <v>140.31030000000001</v>
      </c>
      <c r="J5661">
        <v>-174.32220000000001</v>
      </c>
      <c r="K5661">
        <v>1.15279</v>
      </c>
      <c r="L5661">
        <v>132.50110000000001</v>
      </c>
      <c r="M5661">
        <v>0.69398079999999995</v>
      </c>
      <c r="N5661">
        <v>-2.756107E-2</v>
      </c>
      <c r="O5661">
        <v>0.71946589999999999</v>
      </c>
      <c r="P5661">
        <v>0.80275019999999997</v>
      </c>
      <c r="Q5661">
        <v>0.16517219999999999</v>
      </c>
      <c r="R5661">
        <v>0.57298359999999904</v>
      </c>
      <c r="S5661">
        <v>2.837021</v>
      </c>
      <c r="T5661">
        <v>-0.19129070000000001</v>
      </c>
      <c r="U5661">
        <v>1.3302</v>
      </c>
      <c r="V5661">
        <v>0.1885858</v>
      </c>
      <c r="W5661">
        <v>0.1833825</v>
      </c>
      <c r="X5661">
        <v>0.96478299999999995</v>
      </c>
      <c r="Y5661">
        <v>0.35585220000000001</v>
      </c>
      <c r="Z5661">
        <v>-3.5363579999999999E-2</v>
      </c>
      <c r="AA5661">
        <v>0.93387290000000001</v>
      </c>
      <c r="AB5661">
        <v>33</v>
      </c>
      <c r="AC5661">
        <v>16.9145</v>
      </c>
      <c r="AD5661">
        <v>-1.1527912791169901</v>
      </c>
      <c r="AE5661">
        <v>7.8091999999999997</v>
      </c>
      <c r="AF5661">
        <v>6.7267800123734096</v>
      </c>
      <c r="AG5661">
        <v>-1.1527912791169901</v>
      </c>
      <c r="AH5661">
        <v>17.297158069310001</v>
      </c>
      <c r="AI5661">
        <v>93.554333187342905</v>
      </c>
      <c r="AJ5661">
        <v>68.749185386342802</v>
      </c>
      <c r="AK5661">
        <v>18.594896459587201</v>
      </c>
      <c r="AL5661">
        <v>79.433156690979104</v>
      </c>
      <c r="AM5661">
        <v>78.939869786698694</v>
      </c>
      <c r="AN5661">
        <v>0.99999999117844496</v>
      </c>
    </row>
    <row r="5662" spans="1:40" x14ac:dyDescent="0.25">
      <c r="A5662" t="str">
        <f>"20190303170926653"</f>
        <v>20190303170926653</v>
      </c>
      <c r="B5662" t="str">
        <f>"1551604166639770"</f>
        <v>1551604166639770</v>
      </c>
      <c r="C5662" t="s">
        <v>40</v>
      </c>
      <c r="D5662">
        <v>5.4579579999999996</v>
      </c>
      <c r="E5662">
        <v>0.57005150000000004</v>
      </c>
      <c r="F5662" t="s">
        <v>43</v>
      </c>
      <c r="G5662">
        <v>-157.32089999999999</v>
      </c>
      <c r="H5662" s="1">
        <v>-1.2899189999999901E-6</v>
      </c>
      <c r="I5662">
        <v>140.21100000000001</v>
      </c>
      <c r="J5662">
        <v>-174.07660000000001</v>
      </c>
      <c r="K5662">
        <v>1.149125</v>
      </c>
      <c r="L5662">
        <v>132.73740000000001</v>
      </c>
      <c r="M5662">
        <v>0.70257230000000004</v>
      </c>
      <c r="N5662">
        <v>-2.8646399999999999E-2</v>
      </c>
      <c r="O5662">
        <v>0.71103549999999904</v>
      </c>
      <c r="P5662">
        <v>0.80988629999999995</v>
      </c>
      <c r="Q5662">
        <v>0.16483229999999999</v>
      </c>
      <c r="R5662">
        <v>0.5629516</v>
      </c>
      <c r="S5662">
        <v>2.8533330000000001</v>
      </c>
      <c r="T5662">
        <v>-0.19347300000000001</v>
      </c>
      <c r="U5662">
        <v>1.2939609999999999</v>
      </c>
      <c r="V5662">
        <v>0.18926109999999999</v>
      </c>
      <c r="W5662">
        <v>0.1838573</v>
      </c>
      <c r="X5662">
        <v>0.96456039999999998</v>
      </c>
      <c r="Y5662">
        <v>0.356427299999999</v>
      </c>
      <c r="Z5662">
        <v>-3.5201290000000003E-2</v>
      </c>
      <c r="AA5662">
        <v>0.93365969999999998</v>
      </c>
      <c r="AB5662">
        <v>33</v>
      </c>
      <c r="AC5662">
        <v>16.755700000000001</v>
      </c>
      <c r="AD5662">
        <v>-1.149126289919</v>
      </c>
      <c r="AE5662">
        <v>7.4736000000000002</v>
      </c>
      <c r="AF5662">
        <v>6.6398413809831398</v>
      </c>
      <c r="AG5662">
        <v>-1.149126289919</v>
      </c>
      <c r="AH5662">
        <v>17.026307971198801</v>
      </c>
      <c r="AI5662">
        <v>93.597965930857697</v>
      </c>
      <c r="AJ5662">
        <v>68.695439441052898</v>
      </c>
      <c r="AK5662">
        <v>18.311284715303501</v>
      </c>
      <c r="AL5662">
        <v>79.405482399700702</v>
      </c>
      <c r="AM5662">
        <v>78.898748877282799</v>
      </c>
      <c r="AN5662">
        <v>1.0000000179923201</v>
      </c>
    </row>
    <row r="5663" spans="1:40" x14ac:dyDescent="0.25">
      <c r="A5663" t="str">
        <f>"20190303170926672"</f>
        <v>20190303170926672</v>
      </c>
      <c r="B5663" t="str">
        <f>"1551604166659291"</f>
        <v>1551604166659291</v>
      </c>
      <c r="C5663" t="s">
        <v>40</v>
      </c>
      <c r="D5663">
        <v>5.4822419999999896</v>
      </c>
      <c r="E5663">
        <v>0.56935380000000002</v>
      </c>
      <c r="F5663" t="s">
        <v>43</v>
      </c>
      <c r="G5663">
        <v>-159.16749999999999</v>
      </c>
      <c r="H5663" s="1">
        <v>-3.48390799999999E-7</v>
      </c>
      <c r="I5663">
        <v>139.6497</v>
      </c>
      <c r="J5663">
        <v>-173.83609999999999</v>
      </c>
      <c r="K5663">
        <v>1.1454959999999901</v>
      </c>
      <c r="L5663">
        <v>132.96250000000001</v>
      </c>
      <c r="M5663">
        <v>0.71116440000000003</v>
      </c>
      <c r="N5663">
        <v>-2.948717E-2</v>
      </c>
      <c r="O5663">
        <v>0.70240719999999901</v>
      </c>
      <c r="P5663">
        <v>0.81641200000000003</v>
      </c>
      <c r="Q5663">
        <v>0.1648358</v>
      </c>
      <c r="R5663">
        <v>0.5534443</v>
      </c>
      <c r="S5663">
        <v>2.8350520000000001</v>
      </c>
      <c r="T5663">
        <v>-0.2185116</v>
      </c>
      <c r="U5663">
        <v>1.3144070000000001</v>
      </c>
      <c r="V5663">
        <v>0.18901080000000001</v>
      </c>
      <c r="W5663">
        <v>0.184505</v>
      </c>
      <c r="X5663">
        <v>0.96448579999999995</v>
      </c>
      <c r="Y5663">
        <v>0.33686379999999999</v>
      </c>
      <c r="Z5663">
        <v>-4.0607919999999999E-2</v>
      </c>
      <c r="AA5663">
        <v>0.94067730000000005</v>
      </c>
      <c r="AB5663">
        <v>33</v>
      </c>
      <c r="AC5663">
        <v>14.6685999999999</v>
      </c>
      <c r="AD5663">
        <v>-1.1454963483907901</v>
      </c>
      <c r="AE5663">
        <v>6.68719999999999</v>
      </c>
      <c r="AF5663">
        <v>5.5221632911645502</v>
      </c>
      <c r="AG5663">
        <v>-1.1454963483907901</v>
      </c>
      <c r="AH5663">
        <v>15.0594688119766</v>
      </c>
      <c r="AI5663">
        <v>94.084839965568193</v>
      </c>
      <c r="AJ5663">
        <v>69.8624957394955</v>
      </c>
      <c r="AK5663">
        <v>16.080859746834399</v>
      </c>
      <c r="AL5663">
        <v>79.367725998441898</v>
      </c>
      <c r="AM5663">
        <v>78.912230136540003</v>
      </c>
      <c r="AN5663">
        <v>1.00000001797163</v>
      </c>
    </row>
    <row r="5664" spans="1:40" x14ac:dyDescent="0.25">
      <c r="A5664" t="str">
        <f>"20190303170926695"</f>
        <v>20190303170926695</v>
      </c>
      <c r="B5664" t="str">
        <f>"1551604166689546"</f>
        <v>1551604166689546</v>
      </c>
      <c r="C5664" t="s">
        <v>40</v>
      </c>
      <c r="D5664">
        <v>5.4941610000000001</v>
      </c>
      <c r="E5664">
        <v>0.57270489999999996</v>
      </c>
      <c r="F5664" t="s">
        <v>43</v>
      </c>
      <c r="G5664">
        <v>-159.05500000000001</v>
      </c>
      <c r="H5664" s="1">
        <v>-3.9543560000000003E-7</v>
      </c>
      <c r="I5664">
        <v>139.64519999999999</v>
      </c>
      <c r="J5664">
        <v>-173.5847</v>
      </c>
      <c r="K5664">
        <v>1.1418360000000001</v>
      </c>
      <c r="L5664">
        <v>133.1909</v>
      </c>
      <c r="M5664">
        <v>0.72026539999999994</v>
      </c>
      <c r="N5664">
        <v>-3.0077969999999999E-2</v>
      </c>
      <c r="O5664">
        <v>0.693046099999999</v>
      </c>
      <c r="P5664">
        <v>0.82373180000000001</v>
      </c>
      <c r="Q5664">
        <v>0.16449269999999999</v>
      </c>
      <c r="R5664">
        <v>0.54259380000000001</v>
      </c>
      <c r="S5664">
        <v>2.8466800000000001</v>
      </c>
      <c r="T5664">
        <v>-0.2206109</v>
      </c>
      <c r="U5664">
        <v>1.2870330000000001</v>
      </c>
      <c r="V5664">
        <v>0.1893813</v>
      </c>
      <c r="W5664">
        <v>0.18457100000000001</v>
      </c>
      <c r="X5664">
        <v>0.96440049999999999</v>
      </c>
      <c r="Y5664">
        <v>0.33350479999999999</v>
      </c>
      <c r="Z5664">
        <v>-4.0482070000000002E-2</v>
      </c>
      <c r="AA5664">
        <v>0.94187889999999996</v>
      </c>
      <c r="AB5664">
        <v>33</v>
      </c>
      <c r="AC5664">
        <v>14.529699999999901</v>
      </c>
      <c r="AD5664">
        <v>-1.1418363954355999</v>
      </c>
      <c r="AE5664">
        <v>6.4542999999999804</v>
      </c>
      <c r="AF5664">
        <v>5.3955668298522204</v>
      </c>
      <c r="AG5664">
        <v>-1.1418363954355999</v>
      </c>
      <c r="AH5664">
        <v>14.8684392414348</v>
      </c>
      <c r="AI5664">
        <v>94.129003181424395</v>
      </c>
      <c r="AJ5664">
        <v>70.054811642690098</v>
      </c>
      <c r="AK5664">
        <v>15.858323279766401</v>
      </c>
      <c r="AL5664">
        <v>79.363878499718595</v>
      </c>
      <c r="AM5664">
        <v>78.890077809634604</v>
      </c>
      <c r="AN5664">
        <v>1.0000000276154599</v>
      </c>
    </row>
    <row r="5665" spans="1:40" x14ac:dyDescent="0.25">
      <c r="A5665" t="str">
        <f>"20190303170926717"</f>
        <v>20190303170926717</v>
      </c>
      <c r="B5665" t="str">
        <f>"1551604166710042"</f>
        <v>1551604166710042</v>
      </c>
      <c r="C5665" t="s">
        <v>40</v>
      </c>
      <c r="D5665">
        <v>5.4228870000000002</v>
      </c>
      <c r="E5665">
        <v>0.59910339999999995</v>
      </c>
      <c r="F5665" t="s">
        <v>43</v>
      </c>
      <c r="G5665">
        <v>-158.2595</v>
      </c>
      <c r="H5665" s="1">
        <v>-7.5486890000000002E-7</v>
      </c>
      <c r="I5665">
        <v>139.71350000000001</v>
      </c>
      <c r="J5665">
        <v>-173.33949999999999</v>
      </c>
      <c r="K5665">
        <v>1.138501</v>
      </c>
      <c r="L5665">
        <v>133.40719999999999</v>
      </c>
      <c r="M5665">
        <v>0.72923519999999997</v>
      </c>
      <c r="N5665">
        <v>-3.0380049999999999E-2</v>
      </c>
      <c r="O5665">
        <v>0.68358839999999998</v>
      </c>
      <c r="P5665">
        <v>0.83007389999999903</v>
      </c>
      <c r="Q5665">
        <v>0.16501099999999999</v>
      </c>
      <c r="R5665">
        <v>0.53268079999999995</v>
      </c>
      <c r="S5665">
        <v>2.8779300000000001</v>
      </c>
      <c r="T5665">
        <v>-0.21442700000000001</v>
      </c>
      <c r="U5665">
        <v>1.224899</v>
      </c>
      <c r="V5665">
        <v>0.1884074</v>
      </c>
      <c r="W5665">
        <v>0.18535740000000001</v>
      </c>
      <c r="X5665">
        <v>0.96444039999999998</v>
      </c>
      <c r="Y5665">
        <v>0.34220279999999997</v>
      </c>
      <c r="Z5665">
        <v>-3.8770779999999998E-2</v>
      </c>
      <c r="AA5665">
        <v>0.93882589999999999</v>
      </c>
      <c r="AB5665">
        <v>33</v>
      </c>
      <c r="AC5665">
        <v>15.079999999999901</v>
      </c>
      <c r="AD5665">
        <v>-1.13850175486889</v>
      </c>
      <c r="AE5665">
        <v>6.3063000000000198</v>
      </c>
      <c r="AF5665">
        <v>5.6847943648164296</v>
      </c>
      <c r="AG5665">
        <v>-1.13850175486889</v>
      </c>
      <c r="AH5665">
        <v>15.2409088976083</v>
      </c>
      <c r="AI5665">
        <v>94.003611899449595</v>
      </c>
      <c r="AJ5665">
        <v>69.544697982410099</v>
      </c>
      <c r="AK5665">
        <v>16.3063906871289</v>
      </c>
      <c r="AL5665">
        <v>79.318029692158404</v>
      </c>
      <c r="AM5665">
        <v>78.946246287985701</v>
      </c>
      <c r="AN5665">
        <v>0.99999999963083996</v>
      </c>
    </row>
    <row r="5666" spans="1:40" x14ac:dyDescent="0.25">
      <c r="A5666" t="str">
        <f>"20190303170926740"</f>
        <v>20190303170926740</v>
      </c>
      <c r="B5666" t="str">
        <f>"1551604166729563"</f>
        <v>1551604166729563</v>
      </c>
      <c r="C5666" t="s">
        <v>40</v>
      </c>
      <c r="D5666">
        <v>5.4367700000000001</v>
      </c>
      <c r="E5666">
        <v>0.5990683</v>
      </c>
      <c r="F5666" t="s">
        <v>43</v>
      </c>
      <c r="G5666">
        <v>-146.2722</v>
      </c>
      <c r="H5666" s="1">
        <v>-2.3384200000000001E-6</v>
      </c>
      <c r="I5666">
        <v>142.46080000000001</v>
      </c>
      <c r="J5666">
        <v>-173.08860000000001</v>
      </c>
      <c r="K5666">
        <v>1.1354029999999999</v>
      </c>
      <c r="L5666">
        <v>133.62209999999999</v>
      </c>
      <c r="M5666">
        <v>0.738487</v>
      </c>
      <c r="N5666">
        <v>-3.0448869999999999E-2</v>
      </c>
      <c r="O5666">
        <v>0.67357979999999995</v>
      </c>
      <c r="P5666">
        <v>0.8364568</v>
      </c>
      <c r="Q5666">
        <v>0.166340299999999</v>
      </c>
      <c r="R5666">
        <v>0.52217899999999995</v>
      </c>
      <c r="S5666">
        <v>2.9960939999999998</v>
      </c>
      <c r="T5666">
        <v>-0.1260213</v>
      </c>
      <c r="U5666">
        <v>1.002151</v>
      </c>
      <c r="V5666">
        <v>0.18729850000000001</v>
      </c>
      <c r="W5666">
        <v>0.186806</v>
      </c>
      <c r="X5666">
        <v>0.96437689999999998</v>
      </c>
      <c r="Y5666">
        <v>0.4042096</v>
      </c>
      <c r="Z5666">
        <v>-1.73190999999999E-2</v>
      </c>
      <c r="AA5666">
        <v>0.91450240000000005</v>
      </c>
      <c r="AB5666">
        <v>33</v>
      </c>
      <c r="AC5666">
        <v>26.816400000000002</v>
      </c>
      <c r="AD5666">
        <v>-1.13540533842</v>
      </c>
      <c r="AE5666">
        <v>8.83870000000001</v>
      </c>
      <c r="AF5666">
        <v>11.5224401466704</v>
      </c>
      <c r="AG5666">
        <v>-1.13540533842</v>
      </c>
      <c r="AH5666">
        <v>25.7274804317106</v>
      </c>
      <c r="AI5666">
        <v>92.306457787754198</v>
      </c>
      <c r="AJ5666">
        <v>65.874058787491094</v>
      </c>
      <c r="AK5666">
        <v>28.2127457291942</v>
      </c>
      <c r="AL5666">
        <v>79.233555702287603</v>
      </c>
      <c r="AM5666">
        <v>79.009010142369405</v>
      </c>
      <c r="AN5666">
        <v>1.0000000074959201</v>
      </c>
    </row>
    <row r="5667" spans="1:40" x14ac:dyDescent="0.25">
      <c r="A5667" t="str">
        <f>"20190303170926762"</f>
        <v>20190303170926762</v>
      </c>
      <c r="B5667" t="str">
        <f>"1551604166750058"</f>
        <v>1551604166750058</v>
      </c>
      <c r="C5667" t="s">
        <v>40</v>
      </c>
      <c r="D5667">
        <v>5.42788</v>
      </c>
      <c r="E5667">
        <v>0.59876580000000001</v>
      </c>
      <c r="F5667" t="s">
        <v>43</v>
      </c>
      <c r="G5667">
        <v>-144.44229999999999</v>
      </c>
      <c r="H5667" s="1">
        <v>-3.217641E-6</v>
      </c>
      <c r="I5667">
        <v>142.81489999999999</v>
      </c>
      <c r="J5667">
        <v>-172.83170000000001</v>
      </c>
      <c r="K5667">
        <v>1.132574</v>
      </c>
      <c r="L5667">
        <v>133.8357</v>
      </c>
      <c r="M5667">
        <v>0.74800119999999903</v>
      </c>
      <c r="N5667">
        <v>-3.0323389999999999E-2</v>
      </c>
      <c r="O5667">
        <v>0.66300429999999999</v>
      </c>
      <c r="P5667">
        <v>0.84304029999999996</v>
      </c>
      <c r="Q5667">
        <v>0.17031360000000001</v>
      </c>
      <c r="R5667">
        <v>0.51017290000000004</v>
      </c>
      <c r="S5667">
        <v>3.0077060000000002</v>
      </c>
      <c r="T5667">
        <v>-0.11921130000000001</v>
      </c>
      <c r="U5667">
        <v>0.96519469999999996</v>
      </c>
      <c r="V5667">
        <v>0.18694730000000001</v>
      </c>
      <c r="W5667">
        <v>0.1907258</v>
      </c>
      <c r="X5667">
        <v>0.96367749999999996</v>
      </c>
      <c r="Y5667">
        <v>0.4024549</v>
      </c>
      <c r="Z5667">
        <v>-1.560958E-2</v>
      </c>
      <c r="AA5667">
        <v>0.91530670000000003</v>
      </c>
      <c r="AB5667">
        <v>33</v>
      </c>
      <c r="AC5667">
        <v>28.389399999999998</v>
      </c>
      <c r="AD5667">
        <v>-1.1325772176410001</v>
      </c>
      <c r="AE5667">
        <v>8.9791999999999899</v>
      </c>
      <c r="AF5667">
        <v>12.0939136541986</v>
      </c>
      <c r="AG5667">
        <v>-1.1325772176410001</v>
      </c>
      <c r="AH5667">
        <v>27.161763789464199</v>
      </c>
      <c r="AI5667">
        <v>92.181466072259994</v>
      </c>
      <c r="AJ5667">
        <v>65.998737287918104</v>
      </c>
      <c r="AK5667">
        <v>29.754107124627101</v>
      </c>
      <c r="AL5667">
        <v>79.004855630930606</v>
      </c>
      <c r="AM5667">
        <v>79.021349796323705</v>
      </c>
      <c r="AN5667">
        <v>0.99999997388458906</v>
      </c>
    </row>
    <row r="5668" spans="1:40" x14ac:dyDescent="0.25">
      <c r="A5668" t="str">
        <f>"20190303170926784"</f>
        <v>20190303170926784</v>
      </c>
      <c r="B5668" t="str">
        <f>"1551604166769578"</f>
        <v>1551604166769578</v>
      </c>
      <c r="C5668" t="s">
        <v>40</v>
      </c>
      <c r="D5668">
        <v>5.4582230000000003</v>
      </c>
      <c r="E5668">
        <v>0.59865590000000002</v>
      </c>
      <c r="F5668" t="s">
        <v>43</v>
      </c>
      <c r="G5668">
        <v>-142.46700000000001</v>
      </c>
      <c r="H5668" s="1">
        <v>-4.06541099999999E-6</v>
      </c>
      <c r="I5668">
        <v>143.1617</v>
      </c>
      <c r="J5668">
        <v>-172.57419999999999</v>
      </c>
      <c r="K5668">
        <v>1.1300570000000001</v>
      </c>
      <c r="L5668">
        <v>134.04339999999999</v>
      </c>
      <c r="M5668">
        <v>0.75752339999999996</v>
      </c>
      <c r="N5668">
        <v>-3.0047150000000002E-2</v>
      </c>
      <c r="O5668">
        <v>0.65211619999999904</v>
      </c>
      <c r="P5668">
        <v>0.84983299999999995</v>
      </c>
      <c r="Q5668">
        <v>0.17299149999999999</v>
      </c>
      <c r="R5668">
        <v>0.4978534</v>
      </c>
      <c r="S5668">
        <v>3.0199889999999998</v>
      </c>
      <c r="T5668">
        <v>-0.11264299999999999</v>
      </c>
      <c r="U5668">
        <v>0.92753600000000003</v>
      </c>
      <c r="V5668">
        <v>0.18665999999999999</v>
      </c>
      <c r="W5668">
        <v>0.19325800000000001</v>
      </c>
      <c r="X5668">
        <v>0.96322859999999999</v>
      </c>
      <c r="Y5668">
        <v>0.4007289</v>
      </c>
      <c r="Z5668">
        <v>-1.4062470000000001E-2</v>
      </c>
      <c r="AA5668">
        <v>0.91608880000000004</v>
      </c>
      <c r="AB5668">
        <v>33</v>
      </c>
      <c r="AC5668">
        <v>30.107199999999899</v>
      </c>
      <c r="AD5668">
        <v>-1.1300610654109999</v>
      </c>
      <c r="AE5668">
        <v>9.1182999999999996</v>
      </c>
      <c r="AF5668">
        <v>12.7154064983919</v>
      </c>
      <c r="AG5668">
        <v>-1.1300610654109999</v>
      </c>
      <c r="AH5668">
        <v>28.729012926913299</v>
      </c>
      <c r="AI5668">
        <v>92.060015418555096</v>
      </c>
      <c r="AJ5668">
        <v>66.125909812421696</v>
      </c>
      <c r="AK5668">
        <v>31.437474201749399</v>
      </c>
      <c r="AL5668">
        <v>78.857020958763499</v>
      </c>
      <c r="AM5668">
        <v>79.032827776695001</v>
      </c>
      <c r="AN5668">
        <v>0.99999997301097898</v>
      </c>
    </row>
    <row r="5669" spans="1:40" x14ac:dyDescent="0.25">
      <c r="A5669" t="str">
        <f>"20190303170926807"</f>
        <v>20190303170926807</v>
      </c>
      <c r="B5669" t="str">
        <f>"1551604166799834"</f>
        <v>1551604166799834</v>
      </c>
      <c r="C5669" t="s">
        <v>40</v>
      </c>
      <c r="D5669">
        <v>5.4471699999999998</v>
      </c>
      <c r="E5669">
        <v>0.59829709999999903</v>
      </c>
      <c r="F5669" t="s">
        <v>43</v>
      </c>
      <c r="G5669">
        <v>-139.95359999999999</v>
      </c>
      <c r="H5669" s="1">
        <v>-1.05571E-6</v>
      </c>
      <c r="I5669">
        <v>143.57560000000001</v>
      </c>
      <c r="J5669">
        <v>-172.3082</v>
      </c>
      <c r="K5669">
        <v>1.1277469999999901</v>
      </c>
      <c r="L5669">
        <v>134.2516</v>
      </c>
      <c r="M5669">
        <v>0.76729239999999999</v>
      </c>
      <c r="N5669">
        <v>-2.9642470000000001E-2</v>
      </c>
      <c r="O5669">
        <v>0.64061190000000001</v>
      </c>
      <c r="P5669">
        <v>0.85699059999999905</v>
      </c>
      <c r="Q5669">
        <v>0.17410590000000001</v>
      </c>
      <c r="R5669">
        <v>0.48503049999999998</v>
      </c>
      <c r="S5669">
        <v>3.032394</v>
      </c>
      <c r="T5669">
        <v>-0.1050495</v>
      </c>
      <c r="U5669">
        <v>0.88610840000000002</v>
      </c>
      <c r="V5669">
        <v>0.1863042</v>
      </c>
      <c r="W5669">
        <v>0.19415199999999999</v>
      </c>
      <c r="X5669">
        <v>0.96311769999999997</v>
      </c>
      <c r="Y5669">
        <v>0.39948260000000002</v>
      </c>
      <c r="Z5669">
        <v>-1.2367960000000001E-2</v>
      </c>
      <c r="AA5669">
        <v>0.91665730000000001</v>
      </c>
      <c r="AB5669">
        <v>33</v>
      </c>
      <c r="AC5669">
        <v>32.354599999999998</v>
      </c>
      <c r="AD5669">
        <v>-1.1277480557099999</v>
      </c>
      <c r="AE5669">
        <v>9.3240000000000105</v>
      </c>
      <c r="AF5669">
        <v>13.563260038086</v>
      </c>
      <c r="AG5669">
        <v>-1.1277480557099999</v>
      </c>
      <c r="AH5669">
        <v>30.777519987963299</v>
      </c>
      <c r="AI5669">
        <v>91.9204319993909</v>
      </c>
      <c r="AJ5669">
        <v>66.217525097417706</v>
      </c>
      <c r="AK5669">
        <v>33.652482451483102</v>
      </c>
      <c r="AL5669">
        <v>78.8048097051459</v>
      </c>
      <c r="AM5669">
        <v>79.051997216523404</v>
      </c>
      <c r="AN5669">
        <v>0.99999997904746396</v>
      </c>
    </row>
    <row r="5670" spans="1:40" x14ac:dyDescent="0.25">
      <c r="A5670" t="str">
        <f>"20190303170926829"</f>
        <v>20190303170926829</v>
      </c>
      <c r="B5670" t="str">
        <f>"1551604166819354"</f>
        <v>1551604166819354</v>
      </c>
      <c r="C5670" t="s">
        <v>40</v>
      </c>
      <c r="D5670">
        <v>5.4289639999999997</v>
      </c>
      <c r="E5670">
        <v>0.59796319999999903</v>
      </c>
      <c r="F5670" t="s">
        <v>43</v>
      </c>
      <c r="G5670">
        <v>-139.26060000000001</v>
      </c>
      <c r="H5670" s="1">
        <v>-1.308113E-6</v>
      </c>
      <c r="I5670">
        <v>143.40690000000001</v>
      </c>
      <c r="J5670">
        <v>-172.0523</v>
      </c>
      <c r="K5670">
        <v>1.12575</v>
      </c>
      <c r="L5670">
        <v>134.44579999999999</v>
      </c>
      <c r="M5670">
        <v>0.77657949999999998</v>
      </c>
      <c r="N5670">
        <v>-2.9162029999999999E-2</v>
      </c>
      <c r="O5670">
        <v>0.62934400000000001</v>
      </c>
      <c r="P5670">
        <v>0.86361270000000001</v>
      </c>
      <c r="Q5670">
        <v>0.17597889999999999</v>
      </c>
      <c r="R5670">
        <v>0.47244550000000002</v>
      </c>
      <c r="S5670">
        <v>3.044403</v>
      </c>
      <c r="T5670">
        <v>-0.10388989999999999</v>
      </c>
      <c r="U5670">
        <v>0.84339900000000001</v>
      </c>
      <c r="V5670">
        <v>0.1859575</v>
      </c>
      <c r="W5670">
        <v>0.19574259999999999</v>
      </c>
      <c r="X5670">
        <v>0.96286269999999996</v>
      </c>
      <c r="Y5670">
        <v>0.39897319999999997</v>
      </c>
      <c r="Z5670">
        <v>-1.237069E-2</v>
      </c>
      <c r="AA5670">
        <v>0.91687920000000001</v>
      </c>
      <c r="AB5670">
        <v>33</v>
      </c>
      <c r="AC5670">
        <v>32.791699999999899</v>
      </c>
      <c r="AD5670">
        <v>-1.1257513081129999</v>
      </c>
      <c r="AE5670">
        <v>8.9611000000000107</v>
      </c>
      <c r="AF5670">
        <v>13.6690822982161</v>
      </c>
      <c r="AG5670">
        <v>-1.1257513081129999</v>
      </c>
      <c r="AH5670">
        <v>31.084121712345201</v>
      </c>
      <c r="AI5670">
        <v>91.898798565531095</v>
      </c>
      <c r="AJ5670">
        <v>66.262754714611503</v>
      </c>
      <c r="AK5670">
        <v>33.975487480108598</v>
      </c>
      <c r="AL5670">
        <v>78.7118921607576</v>
      </c>
      <c r="AM5670">
        <v>79.069055330503701</v>
      </c>
      <c r="AN5670">
        <v>0.999999968156149</v>
      </c>
    </row>
    <row r="5671" spans="1:40" x14ac:dyDescent="0.25">
      <c r="A5671" t="str">
        <f>"20190303170926852"</f>
        <v>20190303170926852</v>
      </c>
      <c r="B5671" t="str">
        <f>"1551604166839851"</f>
        <v>1551604166839851</v>
      </c>
      <c r="C5671" t="s">
        <v>40</v>
      </c>
      <c r="D5671">
        <v>5.3980860000000002</v>
      </c>
      <c r="E5671">
        <v>0.59764240000000002</v>
      </c>
      <c r="F5671" t="s">
        <v>43</v>
      </c>
      <c r="G5671">
        <v>-137.35810000000001</v>
      </c>
      <c r="H5671" s="1">
        <v>-2.163287E-6</v>
      </c>
      <c r="I5671">
        <v>143.55340000000001</v>
      </c>
      <c r="J5671">
        <v>-171.7756</v>
      </c>
      <c r="K5671">
        <v>1.123831</v>
      </c>
      <c r="L5671">
        <v>134.64869999999999</v>
      </c>
      <c r="M5671">
        <v>0.78644959999999997</v>
      </c>
      <c r="N5671">
        <v>-2.855835E-2</v>
      </c>
      <c r="O5671">
        <v>0.61699389999999998</v>
      </c>
      <c r="P5671">
        <v>0.87100040000000001</v>
      </c>
      <c r="Q5671">
        <v>0.1762734</v>
      </c>
      <c r="R5671">
        <v>0.45856960000000002</v>
      </c>
      <c r="S5671">
        <v>3.0552220000000001</v>
      </c>
      <c r="T5671">
        <v>-9.913516E-2</v>
      </c>
      <c r="U5671">
        <v>0.80203250000000004</v>
      </c>
      <c r="V5671">
        <v>0.18586220000000001</v>
      </c>
      <c r="W5671">
        <v>0.19565750000000001</v>
      </c>
      <c r="X5671">
        <v>0.96289840000000004</v>
      </c>
      <c r="Y5671">
        <v>0.39691029999999999</v>
      </c>
      <c r="Z5671">
        <v>-1.1498619999999999E-2</v>
      </c>
      <c r="AA5671">
        <v>0.91778530000000003</v>
      </c>
      <c r="AB5671">
        <v>33</v>
      </c>
      <c r="AC5671">
        <v>34.417499999999897</v>
      </c>
      <c r="AD5671">
        <v>-1.123833163287</v>
      </c>
      <c r="AE5671">
        <v>8.9047000000000196</v>
      </c>
      <c r="AF5671">
        <v>14.2238827153624</v>
      </c>
      <c r="AG5671">
        <v>-1.123833163287</v>
      </c>
      <c r="AH5671">
        <v>32.542540286163799</v>
      </c>
      <c r="AI5671">
        <v>91.812442457788293</v>
      </c>
      <c r="AJ5671">
        <v>66.390543862267904</v>
      </c>
      <c r="AK5671">
        <v>35.533065850780197</v>
      </c>
      <c r="AL5671">
        <v>78.716864212159507</v>
      </c>
      <c r="AM5671">
        <v>79.0749177279055</v>
      </c>
      <c r="AN5671">
        <v>0.99999997170882404</v>
      </c>
    </row>
    <row r="5672" spans="1:40" x14ac:dyDescent="0.25">
      <c r="A5672" t="str">
        <f>"20190303170926874"</f>
        <v>20190303170926874</v>
      </c>
      <c r="B5672" t="str">
        <f>"1551604166859370"</f>
        <v>1551604166859370</v>
      </c>
      <c r="C5672" t="s">
        <v>40</v>
      </c>
      <c r="D5672">
        <v>5.3569879999999896</v>
      </c>
      <c r="E5672">
        <v>0.59709049999999997</v>
      </c>
      <c r="F5672" t="s">
        <v>43</v>
      </c>
      <c r="G5672">
        <v>-138.2105</v>
      </c>
      <c r="H5672" s="1">
        <v>-1.6361290000000001E-6</v>
      </c>
      <c r="I5672">
        <v>142.94649999999999</v>
      </c>
      <c r="J5672">
        <v>-171.5051</v>
      </c>
      <c r="K5672">
        <v>1.1221540000000001</v>
      </c>
      <c r="L5672">
        <v>134.8409</v>
      </c>
      <c r="M5672">
        <v>0.79589569999999998</v>
      </c>
      <c r="N5672">
        <v>-2.7910520000000001E-2</v>
      </c>
      <c r="O5672">
        <v>0.60479020000000006</v>
      </c>
      <c r="P5672">
        <v>0.87798659999999995</v>
      </c>
      <c r="Q5672">
        <v>0.17846919999999999</v>
      </c>
      <c r="R5672">
        <v>0.44417190000000001</v>
      </c>
      <c r="S5672">
        <v>3.0660099999999999</v>
      </c>
      <c r="T5672">
        <v>-0.102656399999999</v>
      </c>
      <c r="U5672">
        <v>0.75796509999999995</v>
      </c>
      <c r="V5672">
        <v>0.1864275</v>
      </c>
      <c r="W5672">
        <v>0.1973916</v>
      </c>
      <c r="X5672">
        <v>0.96243509999999999</v>
      </c>
      <c r="Y5672">
        <v>0.39590700000000001</v>
      </c>
      <c r="Z5672">
        <v>-1.269996E-2</v>
      </c>
      <c r="AA5672">
        <v>0.91820279999999999</v>
      </c>
      <c r="AB5672">
        <v>32</v>
      </c>
      <c r="AC5672">
        <v>33.294600000000003</v>
      </c>
      <c r="AD5672">
        <v>-1.1221556361289999</v>
      </c>
      <c r="AE5672">
        <v>8.1055999999999795</v>
      </c>
      <c r="AF5672">
        <v>13.675702327137399</v>
      </c>
      <c r="AG5672">
        <v>-1.1221556361289999</v>
      </c>
      <c r="AH5672">
        <v>31.379800592376899</v>
      </c>
      <c r="AI5672">
        <v>91.8776252155387</v>
      </c>
      <c r="AJ5672">
        <v>66.451836670542306</v>
      </c>
      <c r="AK5672">
        <v>34.248736511432199</v>
      </c>
      <c r="AL5672">
        <v>78.615531684988397</v>
      </c>
      <c r="AM5672">
        <v>79.037345225675494</v>
      </c>
      <c r="AN5672">
        <v>0.99999998910940902</v>
      </c>
    </row>
    <row r="5673" spans="1:40" x14ac:dyDescent="0.25">
      <c r="A5673" t="str">
        <f>"20190303170926897"</f>
        <v>20190303170926897</v>
      </c>
      <c r="B5673" t="str">
        <f>"1551604166889626"</f>
        <v>1551604166889626</v>
      </c>
      <c r="C5673" t="s">
        <v>40</v>
      </c>
      <c r="D5673">
        <v>5.316179</v>
      </c>
      <c r="E5673">
        <v>0.59641049999999995</v>
      </c>
      <c r="F5673" t="s">
        <v>43</v>
      </c>
      <c r="G5673">
        <v>-137.4128</v>
      </c>
      <c r="H5673" s="1">
        <v>-1.9330809999999999E-6</v>
      </c>
      <c r="I5673">
        <v>142.7766</v>
      </c>
      <c r="J5673">
        <v>-171.23560000000001</v>
      </c>
      <c r="K5673">
        <v>1.1206750000000001</v>
      </c>
      <c r="L5673">
        <v>135.02629999999999</v>
      </c>
      <c r="M5673">
        <v>0.80508859999999904</v>
      </c>
      <c r="N5673">
        <v>-2.7220540000000001E-2</v>
      </c>
      <c r="O5673">
        <v>0.59252969999999905</v>
      </c>
      <c r="P5673">
        <v>0.88496859999999999</v>
      </c>
      <c r="Q5673">
        <v>0.1815107</v>
      </c>
      <c r="R5673">
        <v>0.42881750000000002</v>
      </c>
      <c r="S5673">
        <v>3.0753330000000001</v>
      </c>
      <c r="T5673">
        <v>-0.1012253</v>
      </c>
      <c r="U5673">
        <v>0.71585080000000001</v>
      </c>
      <c r="V5673">
        <v>0.18794369999999999</v>
      </c>
      <c r="W5673">
        <v>0.1998895</v>
      </c>
      <c r="X5673">
        <v>0.96162429999999999</v>
      </c>
      <c r="Y5673">
        <v>0.39438119999999999</v>
      </c>
      <c r="Z5673">
        <v>-1.2673419999999999E-2</v>
      </c>
      <c r="AA5673">
        <v>0.91885950000000005</v>
      </c>
      <c r="AB5673">
        <v>32</v>
      </c>
      <c r="AC5673">
        <v>33.822800000000001</v>
      </c>
      <c r="AD5673">
        <v>-1.120676933081</v>
      </c>
      <c r="AE5673">
        <v>7.75030000000001</v>
      </c>
      <c r="AF5673">
        <v>13.7920647161346</v>
      </c>
      <c r="AG5673">
        <v>-1.120676933081</v>
      </c>
      <c r="AH5673">
        <v>31.801257708108398</v>
      </c>
      <c r="AI5673">
        <v>91.851750680384001</v>
      </c>
      <c r="AJ5673">
        <v>66.553835809397995</v>
      </c>
      <c r="AK5673">
        <v>34.681363262419701</v>
      </c>
      <c r="AL5673">
        <v>78.469502284838896</v>
      </c>
      <c r="AM5673">
        <v>78.941285593323599</v>
      </c>
      <c r="AN5673">
        <v>0.99999997046521405</v>
      </c>
    </row>
    <row r="5674" spans="1:40" x14ac:dyDescent="0.25">
      <c r="A5674" t="str">
        <f>"20190303170926919"</f>
        <v>20190303170926919</v>
      </c>
      <c r="B5674" t="str">
        <f>"1551604166909147"</f>
        <v>1551604166909147</v>
      </c>
      <c r="C5674" t="s">
        <v>40</v>
      </c>
      <c r="D5674">
        <v>5.3062899999999997</v>
      </c>
      <c r="E5674">
        <v>0.58955429999999998</v>
      </c>
      <c r="F5674" t="s">
        <v>43</v>
      </c>
      <c r="G5674">
        <v>-135.05629999999999</v>
      </c>
      <c r="H5674" s="1">
        <v>-2.971858E-6</v>
      </c>
      <c r="I5674">
        <v>142.8811</v>
      </c>
      <c r="J5674">
        <v>-170.9545</v>
      </c>
      <c r="K5674">
        <v>1.1192799999999901</v>
      </c>
      <c r="L5674">
        <v>135.21340000000001</v>
      </c>
      <c r="M5674">
        <v>0.81443460000000001</v>
      </c>
      <c r="N5674">
        <v>-2.6465079999999998E-2</v>
      </c>
      <c r="O5674">
        <v>0.57965159999999905</v>
      </c>
      <c r="P5674">
        <v>0.8916269</v>
      </c>
      <c r="Q5674">
        <v>0.18430079999999999</v>
      </c>
      <c r="R5674">
        <v>0.41356349999999997</v>
      </c>
      <c r="S5674">
        <v>3.0850070000000001</v>
      </c>
      <c r="T5674">
        <v>-9.5559950000000005E-2</v>
      </c>
      <c r="U5674">
        <v>0.6697845</v>
      </c>
      <c r="V5674">
        <v>0.18865489999999999</v>
      </c>
      <c r="W5674">
        <v>0.20212830000000001</v>
      </c>
      <c r="X5674">
        <v>0.96101689999999995</v>
      </c>
      <c r="Y5674">
        <v>0.39348630000000001</v>
      </c>
      <c r="Z5674">
        <v>-1.1677999999999999E-2</v>
      </c>
      <c r="AA5674">
        <v>0.91925630000000003</v>
      </c>
      <c r="AB5674">
        <v>32</v>
      </c>
      <c r="AC5674">
        <v>35.898200000000003</v>
      </c>
      <c r="AD5674">
        <v>-1.11928297185799</v>
      </c>
      <c r="AE5674">
        <v>7.6676999999999902</v>
      </c>
      <c r="AF5674">
        <v>14.555178586379601</v>
      </c>
      <c r="AG5674">
        <v>-1.11928297185799</v>
      </c>
      <c r="AH5674">
        <v>33.6618339381683</v>
      </c>
      <c r="AI5674">
        <v>91.748119318028898</v>
      </c>
      <c r="AJ5674">
        <v>66.616628974065804</v>
      </c>
      <c r="AK5674">
        <v>36.6909400551869</v>
      </c>
      <c r="AL5674">
        <v>78.338556130403504</v>
      </c>
      <c r="AM5674">
        <v>78.893634488444306</v>
      </c>
      <c r="AN5674">
        <v>1.0000000015202499</v>
      </c>
    </row>
    <row r="5675" spans="1:40" x14ac:dyDescent="0.25">
      <c r="A5675" t="str">
        <f>"20190303170926940"</f>
        <v>20190303170926940</v>
      </c>
      <c r="B5675" t="str">
        <f>"1551604166929642"</f>
        <v>1551604166929642</v>
      </c>
      <c r="C5675" t="s">
        <v>40</v>
      </c>
      <c r="D5675">
        <v>5.3217019999999904</v>
      </c>
      <c r="E5675">
        <v>0.58836369999999905</v>
      </c>
      <c r="F5675" t="s">
        <v>43</v>
      </c>
      <c r="G5675">
        <v>-137.8725</v>
      </c>
      <c r="H5675" s="1">
        <v>-1.6445300000000001E-6</v>
      </c>
      <c r="I5675">
        <v>142.4331</v>
      </c>
      <c r="J5675">
        <v>-170.69980000000001</v>
      </c>
      <c r="K5675">
        <v>1.118139</v>
      </c>
      <c r="L5675">
        <v>135.3776</v>
      </c>
      <c r="M5675">
        <v>0.82270169999999998</v>
      </c>
      <c r="N5675">
        <v>-2.5770109999999999E-2</v>
      </c>
      <c r="O5675">
        <v>0.56788899999999998</v>
      </c>
      <c r="P5675">
        <v>0.89746459999999995</v>
      </c>
      <c r="Q5675">
        <v>0.186228</v>
      </c>
      <c r="R5675">
        <v>0.39984570000000003</v>
      </c>
      <c r="S5675">
        <v>3.0748899999999999</v>
      </c>
      <c r="T5675">
        <v>-0.1040341</v>
      </c>
      <c r="U5675">
        <v>0.67105099999999995</v>
      </c>
      <c r="V5675">
        <v>0.189166</v>
      </c>
      <c r="W5675">
        <v>0.20355899999999999</v>
      </c>
      <c r="X5675">
        <v>0.96061439999999998</v>
      </c>
      <c r="Y5675">
        <v>0.3791949</v>
      </c>
      <c r="Z5675">
        <v>-1.366704E-2</v>
      </c>
      <c r="AA5675">
        <v>0.92521589999999998</v>
      </c>
      <c r="AB5675">
        <v>32</v>
      </c>
      <c r="AC5675">
        <v>32.827300000000001</v>
      </c>
      <c r="AD5675">
        <v>-1.1181406445299999</v>
      </c>
      <c r="AE5675">
        <v>7.0554999999999897</v>
      </c>
      <c r="AF5675">
        <v>12.827729682623</v>
      </c>
      <c r="AG5675">
        <v>-1.1181406445299999</v>
      </c>
      <c r="AH5675">
        <v>30.9897520630042</v>
      </c>
      <c r="AI5675">
        <v>91.909406180748206</v>
      </c>
      <c r="AJ5675">
        <v>67.513645488550793</v>
      </c>
      <c r="AK5675">
        <v>33.5583912045538</v>
      </c>
      <c r="AL5675">
        <v>78.254843128647195</v>
      </c>
      <c r="AM5675">
        <v>78.859747185931795</v>
      </c>
      <c r="AN5675">
        <v>1.0000000337621699</v>
      </c>
    </row>
    <row r="5676" spans="1:40" x14ac:dyDescent="0.25">
      <c r="A5676" t="str">
        <f>"20190303170926963"</f>
        <v>20190303170926963</v>
      </c>
      <c r="B5676" t="str">
        <f>"1551604166949162"</f>
        <v>1551604166949162</v>
      </c>
      <c r="C5676" t="s">
        <v>40</v>
      </c>
      <c r="D5676">
        <v>5.2703889999999998</v>
      </c>
      <c r="E5676">
        <v>0.58731769999999905</v>
      </c>
      <c r="F5676" t="s">
        <v>43</v>
      </c>
      <c r="G5676">
        <v>-136.26179999999999</v>
      </c>
      <c r="H5676" s="1">
        <v>-2.3494189999999998E-6</v>
      </c>
      <c r="I5676">
        <v>142.4855</v>
      </c>
      <c r="J5676">
        <v>-170.41990000000001</v>
      </c>
      <c r="K5676">
        <v>1.117016</v>
      </c>
      <c r="L5676">
        <v>135.5523</v>
      </c>
      <c r="M5676">
        <v>0.83159479999999997</v>
      </c>
      <c r="N5676">
        <v>-2.5026340000000001E-2</v>
      </c>
      <c r="O5676">
        <v>0.5548187</v>
      </c>
      <c r="P5676">
        <v>0.90408739999999999</v>
      </c>
      <c r="Q5676">
        <v>0.1854268</v>
      </c>
      <c r="R5676">
        <v>0.38502320000000001</v>
      </c>
      <c r="S5676">
        <v>3.0802610000000001</v>
      </c>
      <c r="T5676">
        <v>-0.10001060000000001</v>
      </c>
      <c r="U5676">
        <v>0.63575740000000003</v>
      </c>
      <c r="V5676">
        <v>0.1895654</v>
      </c>
      <c r="W5676">
        <v>0.20225070000000001</v>
      </c>
      <c r="X5676">
        <v>0.960812</v>
      </c>
      <c r="Y5676">
        <v>0.37506780000000001</v>
      </c>
      <c r="Z5676">
        <v>-1.295317E-2</v>
      </c>
      <c r="AA5676">
        <v>0.92690689999999998</v>
      </c>
      <c r="AB5676">
        <v>32</v>
      </c>
      <c r="AC5676">
        <v>34.158099999999997</v>
      </c>
      <c r="AD5676">
        <v>-1.117018349419</v>
      </c>
      <c r="AE5676">
        <v>6.9331999999999896</v>
      </c>
      <c r="AF5676">
        <v>13.1765374620374</v>
      </c>
      <c r="AG5676">
        <v>-1.117018349419</v>
      </c>
      <c r="AH5676">
        <v>32.229370109155298</v>
      </c>
      <c r="AI5676">
        <v>91.837466344154194</v>
      </c>
      <c r="AJ5676">
        <v>67.7634725263852</v>
      </c>
      <c r="AK5676">
        <v>34.836778942869103</v>
      </c>
      <c r="AL5676">
        <v>78.331395718781593</v>
      </c>
      <c r="AM5676">
        <v>78.839054276193295</v>
      </c>
      <c r="AN5676">
        <v>1.00000004293582</v>
      </c>
    </row>
    <row r="5677" spans="1:40" x14ac:dyDescent="0.25">
      <c r="A5677" t="str">
        <f>"20190303170926986"</f>
        <v>20190303170926986</v>
      </c>
      <c r="B5677" t="str">
        <f>"1551604166979418"</f>
        <v>1551604166979418</v>
      </c>
      <c r="C5677" t="s">
        <v>40</v>
      </c>
      <c r="D5677">
        <v>5.2934659999999996</v>
      </c>
      <c r="E5677">
        <v>0.58170339999999998</v>
      </c>
      <c r="F5677" t="s">
        <v>43</v>
      </c>
      <c r="G5677">
        <v>-138.9615</v>
      </c>
      <c r="H5677" s="1">
        <v>-9.6485890000000006E-7</v>
      </c>
      <c r="I5677">
        <v>141.6345</v>
      </c>
      <c r="J5677">
        <v>-170.1309</v>
      </c>
      <c r="K5677">
        <v>1.1159699999999999</v>
      </c>
      <c r="L5677">
        <v>135.72649999999999</v>
      </c>
      <c r="M5677">
        <v>0.84056819999999899</v>
      </c>
      <c r="N5677">
        <v>-2.4293660000000002E-2</v>
      </c>
      <c r="O5677">
        <v>0.54116070000000005</v>
      </c>
      <c r="P5677">
        <v>0.91039999999999999</v>
      </c>
      <c r="Q5677">
        <v>0.18923029999999999</v>
      </c>
      <c r="R5677">
        <v>0.36791810000000003</v>
      </c>
      <c r="S5677">
        <v>3.0866090000000002</v>
      </c>
      <c r="T5677">
        <v>-0.1095984</v>
      </c>
      <c r="U5677">
        <v>0.59677119999999995</v>
      </c>
      <c r="V5677">
        <v>0.19142780000000001</v>
      </c>
      <c r="W5677">
        <v>0.20547029999999999</v>
      </c>
      <c r="X5677">
        <v>0.95975900000000003</v>
      </c>
      <c r="Y5677">
        <v>0.37149300000000002</v>
      </c>
      <c r="Z5677">
        <v>-1.529559E-2</v>
      </c>
      <c r="AA5677">
        <v>0.92830979999999996</v>
      </c>
      <c r="AB5677">
        <v>32</v>
      </c>
      <c r="AC5677">
        <v>31.1694</v>
      </c>
      <c r="AD5677">
        <v>-1.1159709648589</v>
      </c>
      <c r="AE5677">
        <v>5.9080000000000101</v>
      </c>
      <c r="AF5677">
        <v>11.890377619291799</v>
      </c>
      <c r="AG5677">
        <v>-1.1159709648589</v>
      </c>
      <c r="AH5677">
        <v>29.3695201470569</v>
      </c>
      <c r="AI5677">
        <v>92.017158605287193</v>
      </c>
      <c r="AJ5677">
        <v>67.959222721258399</v>
      </c>
      <c r="AK5677">
        <v>31.704813274834802</v>
      </c>
      <c r="AL5677">
        <v>78.142968566534094</v>
      </c>
      <c r="AM5677">
        <v>78.720149334858306</v>
      </c>
      <c r="AN5677">
        <v>0.999999992437964</v>
      </c>
    </row>
    <row r="5678" spans="1:40" x14ac:dyDescent="0.25">
      <c r="A5678" t="str">
        <f>"20190303170927008"</f>
        <v>20190303170927008</v>
      </c>
      <c r="B5678" t="str">
        <f>"1551604166999914"</f>
        <v>1551604166999914</v>
      </c>
      <c r="C5678" t="s">
        <v>40</v>
      </c>
      <c r="D5678">
        <v>5.2592030000000003</v>
      </c>
      <c r="E5678">
        <v>0.58026180000000005</v>
      </c>
      <c r="F5678" t="s">
        <v>43</v>
      </c>
      <c r="G5678">
        <v>-139.6994</v>
      </c>
      <c r="H5678" s="1">
        <v>-6.195677E-7</v>
      </c>
      <c r="I5678">
        <v>141.5266</v>
      </c>
      <c r="J5678">
        <v>-169.85079999999999</v>
      </c>
      <c r="K5678">
        <v>1.1150150000000001</v>
      </c>
      <c r="L5678">
        <v>135.8895</v>
      </c>
      <c r="M5678">
        <v>0.84902599999999995</v>
      </c>
      <c r="N5678">
        <v>-2.3616169999999999E-2</v>
      </c>
      <c r="O5678">
        <v>0.52782309999999999</v>
      </c>
      <c r="P5678">
        <v>0.91649130000000001</v>
      </c>
      <c r="Q5678">
        <v>0.19434499999999999</v>
      </c>
      <c r="R5678">
        <v>0.349676599999999</v>
      </c>
      <c r="S5678">
        <v>3.0813899999999999</v>
      </c>
      <c r="T5678">
        <v>-0.1129993</v>
      </c>
      <c r="U5678">
        <v>0.58729549999999997</v>
      </c>
      <c r="V5678">
        <v>0.19483449999999999</v>
      </c>
      <c r="W5678">
        <v>0.20995</v>
      </c>
      <c r="X5678">
        <v>0.95810260000000003</v>
      </c>
      <c r="Y5678">
        <v>0.35924289999999998</v>
      </c>
      <c r="Z5678">
        <v>-1.595477E-2</v>
      </c>
      <c r="AA5678">
        <v>0.93310769999999998</v>
      </c>
      <c r="AB5678">
        <v>32</v>
      </c>
      <c r="AC5678">
        <v>30.151399999999899</v>
      </c>
      <c r="AD5678">
        <v>-1.1150156195676999</v>
      </c>
      <c r="AE5678">
        <v>5.6371000000000002</v>
      </c>
      <c r="AF5678">
        <v>11.11697535373</v>
      </c>
      <c r="AG5678">
        <v>-1.1150156195676999</v>
      </c>
      <c r="AH5678">
        <v>28.544965886428098</v>
      </c>
      <c r="AI5678">
        <v>92.0845743341267</v>
      </c>
      <c r="AJ5678">
        <v>68.721332661206901</v>
      </c>
      <c r="AK5678">
        <v>30.6536372769149</v>
      </c>
      <c r="AL5678">
        <v>77.880578339648594</v>
      </c>
      <c r="AM5678">
        <v>78.505379445911103</v>
      </c>
      <c r="AN5678">
        <v>1.0000000385084999</v>
      </c>
    </row>
    <row r="5679" spans="1:40" x14ac:dyDescent="0.25">
      <c r="A5679" t="str">
        <f>"20190303170927030"</f>
        <v>20190303170927030</v>
      </c>
      <c r="B5679" t="str">
        <f>"1551604167019434"</f>
        <v>1551604167019434</v>
      </c>
      <c r="C5679" t="s">
        <v>40</v>
      </c>
      <c r="D5679">
        <v>5.2936930000000002</v>
      </c>
      <c r="E5679">
        <v>0.57905680000000004</v>
      </c>
      <c r="F5679" t="s">
        <v>43</v>
      </c>
      <c r="G5679">
        <v>-134.99270000000001</v>
      </c>
      <c r="H5679" s="1">
        <v>-2.7610590000000001E-6</v>
      </c>
      <c r="I5679">
        <v>141.9864</v>
      </c>
      <c r="J5679">
        <v>-169.5761</v>
      </c>
      <c r="K5679">
        <v>1.1141270000000001</v>
      </c>
      <c r="L5679">
        <v>136.04349999999999</v>
      </c>
      <c r="M5679">
        <v>0.85704439999999904</v>
      </c>
      <c r="N5679">
        <v>-2.29812E-2</v>
      </c>
      <c r="O5679">
        <v>0.51472980000000002</v>
      </c>
      <c r="P5679">
        <v>0.92250080000000001</v>
      </c>
      <c r="Q5679">
        <v>0.19764109999999999</v>
      </c>
      <c r="R5679">
        <v>0.33155770000000001</v>
      </c>
      <c r="S5679">
        <v>3.0882109999999998</v>
      </c>
      <c r="T5679">
        <v>-9.8783609999999994E-2</v>
      </c>
      <c r="U5679">
        <v>0.54014589999999996</v>
      </c>
      <c r="V5679">
        <v>0.19858629999999999</v>
      </c>
      <c r="W5679">
        <v>0.2126104</v>
      </c>
      <c r="X5679">
        <v>0.95674459999999995</v>
      </c>
      <c r="Y5679">
        <v>0.3591664</v>
      </c>
      <c r="Z5679">
        <v>-1.306412E-2</v>
      </c>
      <c r="AA5679">
        <v>0.93318210000000001</v>
      </c>
      <c r="AB5679">
        <v>32</v>
      </c>
      <c r="AC5679">
        <v>34.583399999999898</v>
      </c>
      <c r="AD5679">
        <v>-1.114129761059</v>
      </c>
      <c r="AE5679">
        <v>5.9428999999999998</v>
      </c>
      <c r="AF5679">
        <v>12.6983334042956</v>
      </c>
      <c r="AG5679">
        <v>-1.114129761059</v>
      </c>
      <c r="AH5679">
        <v>32.674196599126397</v>
      </c>
      <c r="AI5679">
        <v>91.820382554476097</v>
      </c>
      <c r="AJ5679">
        <v>68.762135926192201</v>
      </c>
      <c r="AK5679">
        <v>35.072668557859899</v>
      </c>
      <c r="AL5679">
        <v>77.724627193181902</v>
      </c>
      <c r="AM5679">
        <v>78.273931139845303</v>
      </c>
      <c r="AN5679">
        <v>0.999999965182504</v>
      </c>
    </row>
    <row r="5680" spans="1:40" x14ac:dyDescent="0.25">
      <c r="A5680" t="str">
        <f>"20190303170927053"</f>
        <v>20190303170927053</v>
      </c>
      <c r="B5680" t="str">
        <f>"1551604167039931"</f>
        <v>1551604167039931</v>
      </c>
      <c r="C5680" t="s">
        <v>40</v>
      </c>
      <c r="D5680">
        <v>5.2840410000000002</v>
      </c>
      <c r="E5680">
        <v>0.57233859999999903</v>
      </c>
      <c r="F5680" t="s">
        <v>43</v>
      </c>
      <c r="G5680">
        <v>-131.9939</v>
      </c>
      <c r="H5680" s="1">
        <v>-4.0237339999999998E-6</v>
      </c>
      <c r="I5680">
        <v>142.01910000000001</v>
      </c>
      <c r="J5680">
        <v>-169.28210000000001</v>
      </c>
      <c r="K5680">
        <v>1.1132519999999999</v>
      </c>
      <c r="L5680">
        <v>136.20230000000001</v>
      </c>
      <c r="M5680">
        <v>0.8653054</v>
      </c>
      <c r="N5680">
        <v>-2.233396E-2</v>
      </c>
      <c r="O5680">
        <v>0.50074739999999995</v>
      </c>
      <c r="P5680">
        <v>0.92841830000000003</v>
      </c>
      <c r="Q5680">
        <v>0.19840269999999999</v>
      </c>
      <c r="R5680">
        <v>0.3141274</v>
      </c>
      <c r="S5680">
        <v>3.0948329999999999</v>
      </c>
      <c r="T5680">
        <v>-9.174657E-2</v>
      </c>
      <c r="U5680">
        <v>0.49208069999999998</v>
      </c>
      <c r="V5680">
        <v>0.2008645</v>
      </c>
      <c r="W5680">
        <v>0.2127744</v>
      </c>
      <c r="X5680">
        <v>0.95623239999999998</v>
      </c>
      <c r="Y5680">
        <v>0.35848540000000001</v>
      </c>
      <c r="Z5680">
        <v>-1.1756050000000001E-2</v>
      </c>
      <c r="AA5680">
        <v>0.93346130000000005</v>
      </c>
      <c r="AB5680">
        <v>32</v>
      </c>
      <c r="AC5680">
        <v>37.288200000000003</v>
      </c>
      <c r="AD5680">
        <v>-1.1132560237339999</v>
      </c>
      <c r="AE5680">
        <v>5.8167999999999997</v>
      </c>
      <c r="AF5680">
        <v>13.6302015541379</v>
      </c>
      <c r="AG5680">
        <v>-1.1132560237339999</v>
      </c>
      <c r="AH5680">
        <v>35.156609345777099</v>
      </c>
      <c r="AI5680">
        <v>91.691129774380698</v>
      </c>
      <c r="AJ5680">
        <v>68.808710552839301</v>
      </c>
      <c r="AK5680">
        <v>37.722790380251404</v>
      </c>
      <c r="AL5680">
        <v>77.715010433146404</v>
      </c>
      <c r="AM5680">
        <v>78.137024663946605</v>
      </c>
      <c r="AN5680">
        <v>0.99999994773268297</v>
      </c>
    </row>
    <row r="5681" spans="1:40" x14ac:dyDescent="0.25">
      <c r="A5681" t="str">
        <f>"20190303170927076"</f>
        <v>20190303170927076</v>
      </c>
      <c r="B5681" t="str">
        <f>"1551604167069211"</f>
        <v>1551604167069211</v>
      </c>
      <c r="C5681" t="s">
        <v>40</v>
      </c>
      <c r="D5681">
        <v>5.3024620000000002</v>
      </c>
      <c r="E5681">
        <v>0.5667991</v>
      </c>
      <c r="F5681" t="s">
        <v>43</v>
      </c>
      <c r="G5681">
        <v>-136.22319999999999</v>
      </c>
      <c r="H5681" s="1">
        <v>-2.0915510000000001E-6</v>
      </c>
      <c r="I5681">
        <v>141.45410000000001</v>
      </c>
      <c r="J5681">
        <v>-168.98830000000001</v>
      </c>
      <c r="K5681">
        <v>1.112463</v>
      </c>
      <c r="L5681">
        <v>136.35499999999999</v>
      </c>
      <c r="M5681">
        <v>0.87323449999999903</v>
      </c>
      <c r="N5681">
        <v>-2.1723940000000001E-2</v>
      </c>
      <c r="O5681">
        <v>0.48681590000000002</v>
      </c>
      <c r="P5681">
        <v>0.93377750000000004</v>
      </c>
      <c r="Q5681">
        <v>0.19930110000000001</v>
      </c>
      <c r="R5681">
        <v>0.29721839999999999</v>
      </c>
      <c r="S5681">
        <v>3.0875699999999999</v>
      </c>
      <c r="T5681">
        <v>-0.1039733</v>
      </c>
      <c r="U5681">
        <v>0.49049379999999998</v>
      </c>
      <c r="V5681">
        <v>0.2027149</v>
      </c>
      <c r="W5681">
        <v>0.21310799999999999</v>
      </c>
      <c r="X5681">
        <v>0.95576760000000005</v>
      </c>
      <c r="Y5681">
        <v>0.34354240000000003</v>
      </c>
      <c r="Z5681">
        <v>-1.411866E-2</v>
      </c>
      <c r="AA5681">
        <v>0.93903110000000001</v>
      </c>
      <c r="AB5681">
        <v>32</v>
      </c>
      <c r="AC5681">
        <v>32.765099999999997</v>
      </c>
      <c r="AD5681">
        <v>-1.1124650915509999</v>
      </c>
      <c r="AE5681">
        <v>5.0991000000000204</v>
      </c>
      <c r="AF5681">
        <v>11.4876451597118</v>
      </c>
      <c r="AG5681">
        <v>-1.1124650915509999</v>
      </c>
      <c r="AH5681">
        <v>31.066310094295801</v>
      </c>
      <c r="AI5681">
        <v>91.923651217486395</v>
      </c>
      <c r="AJ5681">
        <v>69.706703527482205</v>
      </c>
      <c r="AK5681">
        <v>33.140899094175403</v>
      </c>
      <c r="AL5681">
        <v>77.695448893757401</v>
      </c>
      <c r="AM5681">
        <v>78.025226098119902</v>
      </c>
      <c r="AN5681">
        <v>1.00000002777788</v>
      </c>
    </row>
    <row r="5682" spans="1:40" x14ac:dyDescent="0.25">
      <c r="A5682" t="str">
        <f>"20190303170927097"</f>
        <v>20190303170927097</v>
      </c>
      <c r="B5682" t="str">
        <f>"1551604167089707"</f>
        <v>1551604167089707</v>
      </c>
      <c r="C5682" t="s">
        <v>40</v>
      </c>
      <c r="D5682">
        <v>5.3576059999999996</v>
      </c>
      <c r="E5682">
        <v>0.56617229999999996</v>
      </c>
      <c r="F5682" t="s">
        <v>43</v>
      </c>
      <c r="G5682">
        <v>-136.45849999999999</v>
      </c>
      <c r="H5682" s="1">
        <v>-1.9787900000000002E-6</v>
      </c>
      <c r="I5682">
        <v>141.40960000000001</v>
      </c>
      <c r="J5682">
        <v>-168.70529999999999</v>
      </c>
      <c r="K5682">
        <v>1.1117969999999999</v>
      </c>
      <c r="L5682">
        <v>136.4966</v>
      </c>
      <c r="M5682">
        <v>0.88057890000000005</v>
      </c>
      <c r="N5682">
        <v>-2.1175300000000001E-2</v>
      </c>
      <c r="O5682">
        <v>0.47342620000000002</v>
      </c>
      <c r="P5682">
        <v>0.93851209999999996</v>
      </c>
      <c r="Q5682">
        <v>0.2009494</v>
      </c>
      <c r="R5682">
        <v>0.28073890000000001</v>
      </c>
      <c r="S5682">
        <v>3.0827939999999998</v>
      </c>
      <c r="T5682">
        <v>-0.1054262</v>
      </c>
      <c r="U5682">
        <v>0.47901919999999998</v>
      </c>
      <c r="V5682">
        <v>0.2047283</v>
      </c>
      <c r="W5682">
        <v>0.2142268</v>
      </c>
      <c r="X5682">
        <v>0.95508800000000005</v>
      </c>
      <c r="Y5682">
        <v>0.33235879999999901</v>
      </c>
      <c r="Z5682">
        <v>-1.425011E-2</v>
      </c>
      <c r="AA5682">
        <v>0.94304540000000003</v>
      </c>
      <c r="AB5682">
        <v>32</v>
      </c>
      <c r="AC5682">
        <v>32.2468</v>
      </c>
      <c r="AD5682">
        <v>-1.11179897879</v>
      </c>
      <c r="AE5682">
        <v>4.91300000000001</v>
      </c>
      <c r="AF5682">
        <v>10.929951758605901</v>
      </c>
      <c r="AG5682">
        <v>-1.11179897879</v>
      </c>
      <c r="AH5682">
        <v>30.693027568284698</v>
      </c>
      <c r="AI5682">
        <v>91.954407596752304</v>
      </c>
      <c r="AJ5682">
        <v>70.398912796887004</v>
      </c>
      <c r="AK5682">
        <v>32.600028891431599</v>
      </c>
      <c r="AL5682">
        <v>77.629829962187998</v>
      </c>
      <c r="AM5682">
        <v>77.901423864466807</v>
      </c>
      <c r="AN5682">
        <v>0.99999994320156305</v>
      </c>
    </row>
    <row r="5683" spans="1:40" x14ac:dyDescent="0.25">
      <c r="A5683" t="str">
        <f>"20190303170927118"</f>
        <v>20190303170927118</v>
      </c>
      <c r="B5683" t="str">
        <f>"1551604167109227"</f>
        <v>1551604167109227</v>
      </c>
      <c r="C5683" t="s">
        <v>40</v>
      </c>
      <c r="D5683">
        <v>5.2695689999999997</v>
      </c>
      <c r="E5683">
        <v>0.59197359999999999</v>
      </c>
      <c r="F5683" t="s">
        <v>43</v>
      </c>
      <c r="G5683">
        <v>-134.31370000000001</v>
      </c>
      <c r="H5683" s="1">
        <v>-2.868924E-6</v>
      </c>
      <c r="I5683">
        <v>141.29689999999999</v>
      </c>
      <c r="J5683">
        <v>-168.4247</v>
      </c>
      <c r="K5683">
        <v>1.1112249999999999</v>
      </c>
      <c r="L5683">
        <v>136.6317</v>
      </c>
      <c r="M5683">
        <v>0.88759319999999897</v>
      </c>
      <c r="N5683">
        <v>-2.0673029999999998E-2</v>
      </c>
      <c r="O5683">
        <v>0.46016400000000002</v>
      </c>
      <c r="P5683">
        <v>0.94311049999999996</v>
      </c>
      <c r="Q5683">
        <v>0.2025912</v>
      </c>
      <c r="R5683">
        <v>0.26362720000000001</v>
      </c>
      <c r="S5683">
        <v>3.088943</v>
      </c>
      <c r="T5683">
        <v>-9.9858050000000004E-2</v>
      </c>
      <c r="U5683">
        <v>0.43115229999999999</v>
      </c>
      <c r="V5683">
        <v>0.20757220000000001</v>
      </c>
      <c r="W5683">
        <v>0.21534639999999999</v>
      </c>
      <c r="X5683">
        <v>0.95422200000000001</v>
      </c>
      <c r="Y5683">
        <v>0.33282679999999998</v>
      </c>
      <c r="Z5683">
        <v>-1.3229579999999999E-2</v>
      </c>
      <c r="AA5683">
        <v>0.94289520000000004</v>
      </c>
      <c r="AB5683">
        <v>32</v>
      </c>
      <c r="AC5683">
        <v>34.110999999999898</v>
      </c>
      <c r="AD5683">
        <v>-1.1112278689239901</v>
      </c>
      <c r="AE5683">
        <v>4.6651999999999898</v>
      </c>
      <c r="AF5683">
        <v>11.546296204147501</v>
      </c>
      <c r="AG5683">
        <v>-1.1112278689239901</v>
      </c>
      <c r="AH5683">
        <v>32.396630304592698</v>
      </c>
      <c r="AI5683">
        <v>91.850581782019702</v>
      </c>
      <c r="AJ5683">
        <v>70.383717385074604</v>
      </c>
      <c r="AK5683">
        <v>34.410658792052203</v>
      </c>
      <c r="AL5683">
        <v>77.564148847792694</v>
      </c>
      <c r="AM5683">
        <v>77.727621888600893</v>
      </c>
      <c r="AN5683">
        <v>0.99999995774489903</v>
      </c>
    </row>
    <row r="5684" spans="1:40" x14ac:dyDescent="0.25">
      <c r="A5684" t="str">
        <f>"20190303170927142"</f>
        <v>20190303170927142</v>
      </c>
      <c r="B5684" t="str">
        <f>"1551604167129723"</f>
        <v>1551604167129723</v>
      </c>
      <c r="C5684" t="s">
        <v>40</v>
      </c>
      <c r="D5684">
        <v>5.3028089999999999</v>
      </c>
      <c r="E5684">
        <v>0.59773330000000002</v>
      </c>
      <c r="F5684" t="s">
        <v>43</v>
      </c>
      <c r="G5684">
        <v>-82.638450000000006</v>
      </c>
      <c r="H5684" s="1">
        <v>-3.5859849999999999E-6</v>
      </c>
      <c r="I5684">
        <v>141.2911</v>
      </c>
      <c r="J5684">
        <v>-168.12690000000001</v>
      </c>
      <c r="K5684">
        <v>1.110706</v>
      </c>
      <c r="L5684">
        <v>136.7696</v>
      </c>
      <c r="M5684">
        <v>0.89475640000000001</v>
      </c>
      <c r="N5684">
        <v>-2.0186309999999999E-2</v>
      </c>
      <c r="O5684">
        <v>0.4460982</v>
      </c>
      <c r="P5684">
        <v>0.94760540000000004</v>
      </c>
      <c r="Q5684">
        <v>0.20320840000000001</v>
      </c>
      <c r="R5684">
        <v>0.24647640000000001</v>
      </c>
      <c r="S5684">
        <v>3.1419980000000001</v>
      </c>
      <c r="T5684">
        <v>-4.0699720000000002E-2</v>
      </c>
      <c r="U5684">
        <v>0.17065429999999901</v>
      </c>
      <c r="V5684">
        <v>0.20969119999999999</v>
      </c>
      <c r="W5684">
        <v>0.2154884</v>
      </c>
      <c r="X5684">
        <v>0.95372650000000003</v>
      </c>
      <c r="Y5684">
        <v>0.39690310000000001</v>
      </c>
      <c r="Z5684">
        <v>-2.898674E-3</v>
      </c>
      <c r="AA5684">
        <v>0.91785589999999995</v>
      </c>
      <c r="AB5684">
        <v>32</v>
      </c>
      <c r="AC5684">
        <v>85.48845</v>
      </c>
      <c r="AD5684">
        <v>-1.110709585985</v>
      </c>
      <c r="AE5684">
        <v>4.5214999999999996</v>
      </c>
      <c r="AF5684">
        <v>34.091809825300302</v>
      </c>
      <c r="AG5684">
        <v>-1.110709585985</v>
      </c>
      <c r="AH5684">
        <v>78.511150926411702</v>
      </c>
      <c r="AI5684">
        <v>90.7434604004292</v>
      </c>
      <c r="AJ5684">
        <v>66.528121689122003</v>
      </c>
      <c r="AK5684">
        <v>85.600735935730398</v>
      </c>
      <c r="AL5684">
        <v>77.555817055695201</v>
      </c>
      <c r="AM5684">
        <v>77.599952471201902</v>
      </c>
      <c r="AN5684">
        <v>0.99999994334712305</v>
      </c>
    </row>
    <row r="5685" spans="1:40" x14ac:dyDescent="0.25">
      <c r="A5685" t="str">
        <f>"20190303170927164"</f>
        <v>20190303170927164</v>
      </c>
      <c r="B5685" t="str">
        <f>"1551604167150219"</f>
        <v>1551604167150219</v>
      </c>
      <c r="C5685" t="s">
        <v>40</v>
      </c>
      <c r="D5685">
        <v>5.2967129999999996</v>
      </c>
      <c r="E5685">
        <v>0.59958029999999995</v>
      </c>
      <c r="F5685" t="s">
        <v>49</v>
      </c>
      <c r="G5685">
        <v>488.50760000000002</v>
      </c>
      <c r="H5685">
        <v>-0.1</v>
      </c>
      <c r="I5685">
        <v>150.2165</v>
      </c>
      <c r="J5685">
        <v>-167.83199999999999</v>
      </c>
      <c r="K5685">
        <v>1.1102780000000001</v>
      </c>
      <c r="L5685">
        <v>136.9006</v>
      </c>
      <c r="M5685">
        <v>0.9015744</v>
      </c>
      <c r="N5685">
        <v>-1.9749900000000001E-2</v>
      </c>
      <c r="O5685">
        <v>0.43217299999999997</v>
      </c>
      <c r="P5685">
        <v>0.95125440000000006</v>
      </c>
      <c r="Q5685">
        <v>0.20424829999999999</v>
      </c>
      <c r="R5685">
        <v>0.2310799</v>
      </c>
      <c r="S5685">
        <v>3.1503299999999999</v>
      </c>
      <c r="T5685">
        <v>-5.8085919999999996E-3</v>
      </c>
      <c r="U5685">
        <v>6.4514160000000001E-2</v>
      </c>
      <c r="V5685">
        <v>0.21021919999999999</v>
      </c>
      <c r="W5685">
        <v>0.21615609999999999</v>
      </c>
      <c r="X5685">
        <v>0.95345919999999895</v>
      </c>
      <c r="Y5685">
        <v>0.41362640000000001</v>
      </c>
      <c r="Z5685">
        <v>3.5232919999999999E-3</v>
      </c>
      <c r="AA5685">
        <v>0.91043989999999997</v>
      </c>
      <c r="AB5685">
        <v>32</v>
      </c>
      <c r="AC5685">
        <v>656.33960000000002</v>
      </c>
      <c r="AD5685">
        <v>-1.210278</v>
      </c>
      <c r="AE5685">
        <v>13.315899999999999</v>
      </c>
      <c r="AF5685">
        <v>271.69905608862098</v>
      </c>
      <c r="AG5685">
        <v>-1.210278</v>
      </c>
      <c r="AH5685">
        <v>597.60829739117798</v>
      </c>
      <c r="AI5685">
        <v>90.105630852837393</v>
      </c>
      <c r="AJ5685">
        <v>65.551363646055606</v>
      </c>
      <c r="AK5685">
        <v>656.47354780148498</v>
      </c>
      <c r="AL5685">
        <v>77.516638129022297</v>
      </c>
      <c r="AM5685">
        <v>77.566322240541993</v>
      </c>
      <c r="AN5685">
        <v>1.0000000088402401</v>
      </c>
    </row>
    <row r="5686" spans="1:40" x14ac:dyDescent="0.25">
      <c r="A5686" t="str">
        <f>"20190303170927187"</f>
        <v>20190303170927187</v>
      </c>
      <c r="B5686" t="str">
        <f>"1551604167179499"</f>
        <v>1551604167179499</v>
      </c>
      <c r="C5686" t="s">
        <v>40</v>
      </c>
      <c r="D5686">
        <v>5.3183590000000001</v>
      </c>
      <c r="E5686">
        <v>0.59964669999999998</v>
      </c>
      <c r="F5686" t="s">
        <v>45</v>
      </c>
      <c r="G5686">
        <v>0</v>
      </c>
      <c r="H5686">
        <v>0</v>
      </c>
      <c r="I5686">
        <v>0</v>
      </c>
      <c r="J5686">
        <v>-167.5325</v>
      </c>
      <c r="K5686">
        <v>1.109901</v>
      </c>
      <c r="L5686">
        <v>137.0282</v>
      </c>
      <c r="M5686">
        <v>0.90822829999999999</v>
      </c>
      <c r="N5686">
        <v>-1.935106E-2</v>
      </c>
      <c r="O5686">
        <v>0.41802739999999999</v>
      </c>
      <c r="P5686">
        <v>0.95464179999999998</v>
      </c>
      <c r="Q5686">
        <v>0.20422940000000001</v>
      </c>
      <c r="R5686">
        <v>0.21667829999999999</v>
      </c>
      <c r="S5686">
        <v>3.152237</v>
      </c>
      <c r="T5686">
        <v>1.009762E-2</v>
      </c>
      <c r="U5686">
        <v>-2.7770999999999998E-3</v>
      </c>
      <c r="V5686">
        <v>0.20963860000000001</v>
      </c>
      <c r="W5686">
        <v>0.2158428</v>
      </c>
      <c r="X5686">
        <v>0.95365800000000001</v>
      </c>
      <c r="Y5686">
        <v>0.41880980000000001</v>
      </c>
      <c r="Z5686">
        <v>6.2089060000000001E-3</v>
      </c>
      <c r="AA5686">
        <v>0.90805270000000005</v>
      </c>
      <c r="AB5686">
        <v>32</v>
      </c>
      <c r="AC5686">
        <v>3.152237</v>
      </c>
      <c r="AD5686">
        <v>1.009762E-2</v>
      </c>
      <c r="AE5686">
        <v>-2.7770999999999998E-3</v>
      </c>
      <c r="AF5686">
        <v>1.32047737906023</v>
      </c>
      <c r="AG5686">
        <v>1.009762E-2</v>
      </c>
      <c r="AH5686">
        <v>2.8622965232699</v>
      </c>
      <c r="AI5686">
        <v>89.816462168826703</v>
      </c>
      <c r="AJ5686">
        <v>65.234473588710102</v>
      </c>
      <c r="AK5686">
        <v>3.15222205081787</v>
      </c>
      <c r="AL5686">
        <v>77.535023024919795</v>
      </c>
      <c r="AM5686">
        <v>77.602103848517899</v>
      </c>
      <c r="AN5686">
        <v>1.0000000189428899</v>
      </c>
    </row>
    <row r="5687" spans="1:40" x14ac:dyDescent="0.25">
      <c r="A5687" t="str">
        <f>"20190303170927208"</f>
        <v>20190303170927208</v>
      </c>
      <c r="B5687" t="str">
        <f>"1551604167199995"</f>
        <v>1551604167199995</v>
      </c>
      <c r="C5687" t="s">
        <v>40</v>
      </c>
      <c r="D5687">
        <v>5.3061980000000002</v>
      </c>
      <c r="E5687">
        <v>0.59883710000000001</v>
      </c>
      <c r="F5687" t="s">
        <v>45</v>
      </c>
      <c r="G5687">
        <v>0</v>
      </c>
      <c r="H5687">
        <v>0</v>
      </c>
      <c r="I5687">
        <v>0</v>
      </c>
      <c r="J5687">
        <v>-167.2433</v>
      </c>
      <c r="K5687">
        <v>1.109588</v>
      </c>
      <c r="L5687">
        <v>137.14609999999999</v>
      </c>
      <c r="M5687">
        <v>0.91439870000000001</v>
      </c>
      <c r="N5687">
        <v>-1.9006410000000001E-2</v>
      </c>
      <c r="O5687">
        <v>0.40436840000000002</v>
      </c>
      <c r="P5687">
        <v>0.95803530000000003</v>
      </c>
      <c r="Q5687">
        <v>0.20159850000000001</v>
      </c>
      <c r="R5687">
        <v>0.20378060000000001</v>
      </c>
      <c r="S5687">
        <v>3.150299</v>
      </c>
      <c r="T5687">
        <v>1.8756510000000001E-2</v>
      </c>
      <c r="U5687">
        <v>-5.178833E-2</v>
      </c>
      <c r="V5687">
        <v>0.2082696</v>
      </c>
      <c r="W5687">
        <v>0.21299850000000001</v>
      </c>
      <c r="X5687">
        <v>0.95459700000000003</v>
      </c>
      <c r="Y5687">
        <v>0.4193094</v>
      </c>
      <c r="Z5687">
        <v>7.4690909999999998E-3</v>
      </c>
      <c r="AA5687">
        <v>0.90781270000000003</v>
      </c>
      <c r="AB5687">
        <v>32</v>
      </c>
      <c r="AC5687">
        <v>3.150299</v>
      </c>
      <c r="AD5687">
        <v>1.8756510000000001E-2</v>
      </c>
      <c r="AE5687">
        <v>-5.178833E-2</v>
      </c>
      <c r="AF5687">
        <v>1.32142840707161</v>
      </c>
      <c r="AG5687">
        <v>1.8756510000000001E-2</v>
      </c>
      <c r="AH5687">
        <v>2.8601030068121598</v>
      </c>
      <c r="AI5687">
        <v>89.658905689991201</v>
      </c>
      <c r="AJ5687">
        <v>65.202058878495606</v>
      </c>
      <c r="AK5687">
        <v>3.1506688260207798</v>
      </c>
      <c r="AL5687">
        <v>77.701869987141293</v>
      </c>
      <c r="AM5687">
        <v>77.692334194523298</v>
      </c>
      <c r="AN5687">
        <v>1.0000000098477</v>
      </c>
    </row>
    <row r="5688" spans="1:40" x14ac:dyDescent="0.25">
      <c r="A5688" t="str">
        <f>"20190303170927231"</f>
        <v>20190303170927231</v>
      </c>
      <c r="B5688" t="str">
        <f>"1551604167219515"</f>
        <v>1551604167219515</v>
      </c>
      <c r="C5688" t="s">
        <v>40</v>
      </c>
      <c r="D5688">
        <v>5.342123</v>
      </c>
      <c r="E5688">
        <v>0.59781609999999996</v>
      </c>
      <c r="F5688" t="s">
        <v>45</v>
      </c>
      <c r="G5688">
        <v>0</v>
      </c>
      <c r="H5688">
        <v>0</v>
      </c>
      <c r="I5688">
        <v>0</v>
      </c>
      <c r="J5688">
        <v>-166.95189999999999</v>
      </c>
      <c r="K5688">
        <v>1.109335</v>
      </c>
      <c r="L5688">
        <v>137.25960000000001</v>
      </c>
      <c r="M5688">
        <v>0.92036929999999995</v>
      </c>
      <c r="N5688">
        <v>-1.8693029999999999E-2</v>
      </c>
      <c r="O5688">
        <v>0.39060319999999998</v>
      </c>
      <c r="P5688">
        <v>0.96128939999999996</v>
      </c>
      <c r="Q5688">
        <v>0.1983317</v>
      </c>
      <c r="R5688">
        <v>0.19127769999999999</v>
      </c>
      <c r="S5688">
        <v>3.1477970000000002</v>
      </c>
      <c r="T5688">
        <v>1.050186E-2</v>
      </c>
      <c r="U5688">
        <v>-8.7448120000000004E-2</v>
      </c>
      <c r="V5688">
        <v>0.20647370000000001</v>
      </c>
      <c r="W5688">
        <v>0.2095593</v>
      </c>
      <c r="X5688">
        <v>0.95574760000000003</v>
      </c>
      <c r="Y5688">
        <v>0.41599989999999998</v>
      </c>
      <c r="Z5688">
        <v>5.5241600000000002E-3</v>
      </c>
      <c r="AA5688">
        <v>0.90934780000000004</v>
      </c>
      <c r="AB5688">
        <v>32</v>
      </c>
      <c r="AC5688">
        <v>3.1477970000000002</v>
      </c>
      <c r="AD5688">
        <v>1.050186E-2</v>
      </c>
      <c r="AE5688">
        <v>-8.7448120000000004E-2</v>
      </c>
      <c r="AF5688">
        <v>1.3102385549808</v>
      </c>
      <c r="AG5688">
        <v>1.050186E-2</v>
      </c>
      <c r="AH5688">
        <v>2.8634467834229498</v>
      </c>
      <c r="AI5688">
        <v>89.808918854188505</v>
      </c>
      <c r="AJ5688">
        <v>65.412403381842793</v>
      </c>
      <c r="AK5688">
        <v>3.1489939411686598</v>
      </c>
      <c r="AL5688">
        <v>77.903472421543</v>
      </c>
      <c r="AM5688">
        <v>77.809521458064594</v>
      </c>
      <c r="AN5688">
        <v>0.99999998195696904</v>
      </c>
    </row>
    <row r="5689" spans="1:40" x14ac:dyDescent="0.25">
      <c r="A5689" t="str">
        <f>"20190303170927266"</f>
        <v>20190303170927266</v>
      </c>
      <c r="B5689" t="str">
        <f>"1551604167259531"</f>
        <v>1551604167259531</v>
      </c>
      <c r="C5689" t="s">
        <v>40</v>
      </c>
      <c r="D5689">
        <v>5.3418320000000001</v>
      </c>
      <c r="E5689">
        <v>0.59531559999999994</v>
      </c>
      <c r="F5689" t="s">
        <v>45</v>
      </c>
      <c r="G5689">
        <v>0</v>
      </c>
      <c r="H5689">
        <v>0</v>
      </c>
      <c r="I5689">
        <v>0</v>
      </c>
      <c r="J5689">
        <v>-166.47579999999999</v>
      </c>
      <c r="K5689">
        <v>1.1090359999999999</v>
      </c>
      <c r="L5689">
        <v>137.43430000000001</v>
      </c>
      <c r="M5689">
        <v>0.92960699999999996</v>
      </c>
      <c r="N5689">
        <v>-1.8235189999999998E-2</v>
      </c>
      <c r="O5689">
        <v>0.36810090000000001</v>
      </c>
      <c r="P5689">
        <v>0.96548120000000004</v>
      </c>
      <c r="Q5689">
        <v>0.19725190000000001</v>
      </c>
      <c r="R5689">
        <v>0.17011039999999999</v>
      </c>
      <c r="S5689">
        <v>3.1444700000000001</v>
      </c>
      <c r="T5689">
        <v>2.2875069999999998E-3</v>
      </c>
      <c r="U5689">
        <v>-0.121337899999999</v>
      </c>
      <c r="V5689">
        <v>0.20417450000000001</v>
      </c>
      <c r="W5689">
        <v>0.20819679999999999</v>
      </c>
      <c r="X5689">
        <v>0.95653900000000003</v>
      </c>
      <c r="Y5689">
        <v>0.40367599999999998</v>
      </c>
      <c r="Z5689">
        <v>3.5485260000000002E-3</v>
      </c>
      <c r="AA5689">
        <v>0.91489509999999996</v>
      </c>
      <c r="AB5689">
        <v>31</v>
      </c>
      <c r="AC5689">
        <v>3.1444700000000001</v>
      </c>
      <c r="AD5689">
        <v>2.2875069999999998E-3</v>
      </c>
      <c r="AE5689">
        <v>-0.121337899999999</v>
      </c>
      <c r="AF5689">
        <v>1.27048939705832</v>
      </c>
      <c r="AG5689">
        <v>2.2875069999999998E-3</v>
      </c>
      <c r="AH5689">
        <v>2.87893395086975</v>
      </c>
      <c r="AI5689">
        <v>89.958350032465802</v>
      </c>
      <c r="AJ5689">
        <v>66.187868244069804</v>
      </c>
      <c r="AK5689">
        <v>3.1468093736666698</v>
      </c>
      <c r="AL5689">
        <v>77.9832989378489</v>
      </c>
      <c r="AM5689">
        <v>77.950959841517204</v>
      </c>
      <c r="AN5689">
        <v>0.99999999625074498</v>
      </c>
    </row>
    <row r="5690" spans="1:40" x14ac:dyDescent="0.25">
      <c r="A5690" t="str">
        <f>"20190303170927287"</f>
        <v>20190303170927287</v>
      </c>
      <c r="B5690" t="str">
        <f>"1551604167280027"</f>
        <v>1551604167280027</v>
      </c>
      <c r="C5690" t="s">
        <v>40</v>
      </c>
      <c r="D5690">
        <v>5.3488290000000003</v>
      </c>
      <c r="E5690">
        <v>0.58255080000000004</v>
      </c>
      <c r="F5690" t="s">
        <v>45</v>
      </c>
      <c r="G5690">
        <v>0</v>
      </c>
      <c r="H5690">
        <v>0</v>
      </c>
      <c r="I5690">
        <v>0</v>
      </c>
      <c r="J5690">
        <v>-166.18709999999999</v>
      </c>
      <c r="K5690">
        <v>1.108897</v>
      </c>
      <c r="L5690">
        <v>137.5341</v>
      </c>
      <c r="M5690">
        <v>0.93490459999999997</v>
      </c>
      <c r="N5690">
        <v>-1.7986660000000002E-2</v>
      </c>
      <c r="O5690">
        <v>0.35444340000000002</v>
      </c>
      <c r="P5690">
        <v>0.96761540000000001</v>
      </c>
      <c r="Q5690">
        <v>0.19791010000000001</v>
      </c>
      <c r="R5690">
        <v>0.15669169999999999</v>
      </c>
      <c r="S5690">
        <v>3.1375890000000002</v>
      </c>
      <c r="T5690">
        <v>1.267195E-4</v>
      </c>
      <c r="U5690">
        <v>-0.172363299999999</v>
      </c>
      <c r="V5690">
        <v>0.20336409999999999</v>
      </c>
      <c r="W5690">
        <v>0.20867939999999999</v>
      </c>
      <c r="X5690">
        <v>0.95660639999999997</v>
      </c>
      <c r="Y5690">
        <v>0.40520050000000002</v>
      </c>
      <c r="Z5690">
        <v>2.8375789999999998E-3</v>
      </c>
      <c r="AA5690">
        <v>0.91422340000000002</v>
      </c>
      <c r="AB5690">
        <v>31</v>
      </c>
      <c r="AC5690">
        <v>3.1375890000000002</v>
      </c>
      <c r="AD5690">
        <v>1.267195E-4</v>
      </c>
      <c r="AE5690">
        <v>-0.172363299999999</v>
      </c>
      <c r="AF5690">
        <v>1.2734468000208801</v>
      </c>
      <c r="AG5690">
        <v>1.267195E-4</v>
      </c>
      <c r="AH5690">
        <v>2.8727177124647598</v>
      </c>
      <c r="AI5690">
        <v>89.997689448254803</v>
      </c>
      <c r="AJ5690">
        <v>66.092772909469403</v>
      </c>
      <c r="AK5690">
        <v>3.1423198156855401</v>
      </c>
      <c r="AL5690">
        <v>77.955026168729603</v>
      </c>
      <c r="AM5690">
        <v>77.998215926794501</v>
      </c>
      <c r="AN5690">
        <v>0.99999992683706196</v>
      </c>
    </row>
    <row r="5691" spans="1:40" x14ac:dyDescent="0.25">
      <c r="A5691" t="str">
        <f>"20190303170927309"</f>
        <v>20190303170927309</v>
      </c>
      <c r="B5691" t="str">
        <f>"1551604167299546"</f>
        <v>1551604167299546</v>
      </c>
      <c r="C5691" t="s">
        <v>40</v>
      </c>
      <c r="D5691">
        <v>5.3694680000000004</v>
      </c>
      <c r="E5691">
        <v>0.58133729999999995</v>
      </c>
      <c r="F5691" t="s">
        <v>45</v>
      </c>
      <c r="G5691">
        <v>0</v>
      </c>
      <c r="H5691">
        <v>0</v>
      </c>
      <c r="I5691">
        <v>0</v>
      </c>
      <c r="J5691">
        <v>-165.8904</v>
      </c>
      <c r="K5691">
        <v>1.10877</v>
      </c>
      <c r="L5691">
        <v>137.6318</v>
      </c>
      <c r="M5691">
        <v>0.94011889999999998</v>
      </c>
      <c r="N5691">
        <v>-1.7737280000000001E-2</v>
      </c>
      <c r="O5691">
        <v>0.34038489999999999</v>
      </c>
      <c r="P5691">
        <v>0.96955009999999997</v>
      </c>
      <c r="Q5691">
        <v>0.1985856</v>
      </c>
      <c r="R5691">
        <v>0.14330660000000001</v>
      </c>
      <c r="S5691">
        <v>3.1179199999999998</v>
      </c>
      <c r="T5691">
        <v>6.1651469999999898E-3</v>
      </c>
      <c r="U5691">
        <v>-0.1160736</v>
      </c>
      <c r="V5691">
        <v>0.2021656</v>
      </c>
      <c r="W5691">
        <v>0.20918909999999999</v>
      </c>
      <c r="X5691">
        <v>0.95674919999999997</v>
      </c>
      <c r="Y5691">
        <v>0.37512279999999998</v>
      </c>
      <c r="Z5691">
        <v>3.8252619999999998E-3</v>
      </c>
      <c r="AA5691">
        <v>0.92696719999999999</v>
      </c>
      <c r="AB5691">
        <v>31</v>
      </c>
      <c r="AC5691">
        <v>3.1179199999999998</v>
      </c>
      <c r="AD5691">
        <v>6.1651469999999898E-3</v>
      </c>
      <c r="AE5691">
        <v>-0.1160736</v>
      </c>
      <c r="AF5691">
        <v>1.1705954365525399</v>
      </c>
      <c r="AG5691">
        <v>6.1651469999999898E-3</v>
      </c>
      <c r="AH5691">
        <v>2.8921494624775899</v>
      </c>
      <c r="AI5691">
        <v>89.886785646278398</v>
      </c>
      <c r="AJ5691">
        <v>67.964394175195096</v>
      </c>
      <c r="AK5691">
        <v>3.12007374887592</v>
      </c>
      <c r="AL5691">
        <v>77.925164575869701</v>
      </c>
      <c r="AM5691">
        <v>78.068643450806306</v>
      </c>
      <c r="AN5691">
        <v>1.0000000205413999</v>
      </c>
    </row>
    <row r="5692" spans="1:40" x14ac:dyDescent="0.25">
      <c r="A5692" t="str">
        <f>"20190303170927331"</f>
        <v>20190303170927331</v>
      </c>
      <c r="B5692" t="str">
        <f>"1551604167320043"</f>
        <v>1551604167320043</v>
      </c>
      <c r="C5692" t="s">
        <v>40</v>
      </c>
      <c r="D5692">
        <v>5.3502989999999997</v>
      </c>
      <c r="E5692">
        <v>0.57981719999999903</v>
      </c>
      <c r="F5692" t="s">
        <v>45</v>
      </c>
      <c r="G5692">
        <v>0</v>
      </c>
      <c r="H5692">
        <v>0</v>
      </c>
      <c r="I5692">
        <v>0</v>
      </c>
      <c r="J5692">
        <v>-165.58369999999999</v>
      </c>
      <c r="K5692">
        <v>1.1086590000000001</v>
      </c>
      <c r="L5692">
        <v>137.72720000000001</v>
      </c>
      <c r="M5692">
        <v>0.94526120000000002</v>
      </c>
      <c r="N5692">
        <v>-1.7478980000000002E-2</v>
      </c>
      <c r="O5692">
        <v>0.32584639999999998</v>
      </c>
      <c r="P5692">
        <v>0.97125689999999998</v>
      </c>
      <c r="Q5692">
        <v>0.19897390000000001</v>
      </c>
      <c r="R5692">
        <v>0.1306504</v>
      </c>
      <c r="S5692">
        <v>3.1150359999999999</v>
      </c>
      <c r="T5692">
        <v>5.4372550000000002E-3</v>
      </c>
      <c r="U5692">
        <v>-0.14848329999999901</v>
      </c>
      <c r="V5692">
        <v>0.19982829999999999</v>
      </c>
      <c r="W5692">
        <v>0.20943899999999999</v>
      </c>
      <c r="X5692">
        <v>0.95718539999999996</v>
      </c>
      <c r="Y5692">
        <v>0.37048520000000001</v>
      </c>
      <c r="Z5692">
        <v>3.4062939999999998E-3</v>
      </c>
      <c r="AA5692">
        <v>0.92883210000000005</v>
      </c>
      <c r="AB5692">
        <v>31</v>
      </c>
      <c r="AC5692">
        <v>3.1150359999999999</v>
      </c>
      <c r="AD5692">
        <v>5.4372550000000002E-3</v>
      </c>
      <c r="AE5692">
        <v>-0.14848329999999901</v>
      </c>
      <c r="AF5692">
        <v>1.1555517156070501</v>
      </c>
      <c r="AG5692">
        <v>5.4372550000000002E-3</v>
      </c>
      <c r="AH5692">
        <v>2.8965734371871501</v>
      </c>
      <c r="AI5692">
        <v>89.900104178822204</v>
      </c>
      <c r="AJ5692">
        <v>68.251090557114296</v>
      </c>
      <c r="AK5692">
        <v>3.1185681022229601</v>
      </c>
      <c r="AL5692">
        <v>77.910521349487993</v>
      </c>
      <c r="AM5692">
        <v>78.207923784868697</v>
      </c>
      <c r="AN5692">
        <v>0.99999996708752403</v>
      </c>
    </row>
    <row r="5693" spans="1:40" x14ac:dyDescent="0.25">
      <c r="A5693" t="str">
        <f>"20190303170927354"</f>
        <v>20190303170927354</v>
      </c>
      <c r="B5693" t="str">
        <f>"1551604167349323"</f>
        <v>1551604167349323</v>
      </c>
      <c r="C5693" t="s">
        <v>40</v>
      </c>
      <c r="D5693">
        <v>5.3364830000000003</v>
      </c>
      <c r="E5693">
        <v>0.5717816</v>
      </c>
      <c r="F5693" t="s">
        <v>45</v>
      </c>
      <c r="G5693">
        <v>0</v>
      </c>
      <c r="H5693">
        <v>0</v>
      </c>
      <c r="I5693">
        <v>0</v>
      </c>
      <c r="J5693">
        <v>-165.27950000000001</v>
      </c>
      <c r="K5693">
        <v>1.1085830000000001</v>
      </c>
      <c r="L5693">
        <v>137.8169</v>
      </c>
      <c r="M5693">
        <v>0.9501172</v>
      </c>
      <c r="N5693">
        <v>-1.7232620000000001E-2</v>
      </c>
      <c r="O5693">
        <v>0.31141649999999998</v>
      </c>
      <c r="P5693">
        <v>0.97254300000000005</v>
      </c>
      <c r="Q5693">
        <v>0.1996655</v>
      </c>
      <c r="R5693">
        <v>0.1195568</v>
      </c>
      <c r="S5693">
        <v>3.1114809999999999</v>
      </c>
      <c r="T5693">
        <v>5.0106049999999996E-3</v>
      </c>
      <c r="U5693">
        <v>-0.1765137</v>
      </c>
      <c r="V5693">
        <v>0.1961087</v>
      </c>
      <c r="W5693">
        <v>0.21004790000000001</v>
      </c>
      <c r="X5693">
        <v>0.95782109999999998</v>
      </c>
      <c r="Y5693">
        <v>0.36473430000000001</v>
      </c>
      <c r="Z5693">
        <v>3.0630119999999999E-3</v>
      </c>
      <c r="AA5693">
        <v>0.93110660000000001</v>
      </c>
      <c r="AB5693">
        <v>31</v>
      </c>
      <c r="AC5693">
        <v>3.1114809999999999</v>
      </c>
      <c r="AD5693">
        <v>5.0106049999999996E-3</v>
      </c>
      <c r="AE5693">
        <v>-0.1765137</v>
      </c>
      <c r="AF5693">
        <v>1.1368411601377499</v>
      </c>
      <c r="AG5693">
        <v>5.0106049999999996E-3</v>
      </c>
      <c r="AH5693">
        <v>2.9017258768076402</v>
      </c>
      <c r="AI5693">
        <v>89.9078811137598</v>
      </c>
      <c r="AJ5693">
        <v>68.605696219277704</v>
      </c>
      <c r="AK5693">
        <v>3.1164797438264999</v>
      </c>
      <c r="AL5693">
        <v>77.874840692041303</v>
      </c>
      <c r="AM5693">
        <v>78.428917542718196</v>
      </c>
      <c r="AN5693">
        <v>1.00000000105765</v>
      </c>
    </row>
    <row r="5694" spans="1:40" x14ac:dyDescent="0.25">
      <c r="A5694" t="str">
        <f>"20190303170927377"</f>
        <v>20190303170927377</v>
      </c>
      <c r="B5694" t="str">
        <f>"1551604167369819"</f>
        <v>1551604167369819</v>
      </c>
      <c r="C5694" t="s">
        <v>40</v>
      </c>
      <c r="D5694">
        <v>5.3421059999999896</v>
      </c>
      <c r="E5694">
        <v>0.5701948</v>
      </c>
      <c r="F5694" t="s">
        <v>45</v>
      </c>
      <c r="G5694">
        <v>0</v>
      </c>
      <c r="H5694">
        <v>0</v>
      </c>
      <c r="I5694">
        <v>0</v>
      </c>
      <c r="J5694">
        <v>-164.96629999999999</v>
      </c>
      <c r="K5694">
        <v>1.1085259999999999</v>
      </c>
      <c r="L5694">
        <v>137.90389999999999</v>
      </c>
      <c r="M5694">
        <v>0.95486590000000005</v>
      </c>
      <c r="N5694">
        <v>-1.699063E-2</v>
      </c>
      <c r="O5694">
        <v>0.2965508</v>
      </c>
      <c r="P5694">
        <v>0.97355809999999998</v>
      </c>
      <c r="Q5694">
        <v>0.20109840000000001</v>
      </c>
      <c r="R5694">
        <v>0.1083707</v>
      </c>
      <c r="S5694">
        <v>3.1029969999999998</v>
      </c>
      <c r="T5694" s="1">
        <v>-1.1682509999999999E-5</v>
      </c>
      <c r="U5694">
        <v>-0.14889530000000001</v>
      </c>
      <c r="V5694">
        <v>0.19207879999999999</v>
      </c>
      <c r="W5694">
        <v>0.2114095</v>
      </c>
      <c r="X5694">
        <v>0.95833800000000002</v>
      </c>
      <c r="Y5694">
        <v>0.34198319999999999</v>
      </c>
      <c r="Z5694">
        <v>2.1761939999999998E-3</v>
      </c>
      <c r="AA5694">
        <v>0.93970350000000002</v>
      </c>
      <c r="AB5694">
        <v>31</v>
      </c>
      <c r="AC5694">
        <v>3.1029969999999998</v>
      </c>
      <c r="AD5694" s="1">
        <v>-1.1682509999999999E-5</v>
      </c>
      <c r="AE5694">
        <v>-0.14889530000000001</v>
      </c>
      <c r="AF5694">
        <v>1.0625246930313801</v>
      </c>
      <c r="AG5694" s="1">
        <v>-1.1682509999999999E-5</v>
      </c>
      <c r="AH5694">
        <v>2.9192124740752701</v>
      </c>
      <c r="AI5694">
        <v>90.000215465644004</v>
      </c>
      <c r="AJ5694">
        <v>69.999683793476194</v>
      </c>
      <c r="AK5694">
        <v>3.1065672682616401</v>
      </c>
      <c r="AL5694">
        <v>77.795034440229898</v>
      </c>
      <c r="AM5694">
        <v>78.666430772204905</v>
      </c>
      <c r="AN5694">
        <v>0.99999998217184405</v>
      </c>
    </row>
    <row r="5695" spans="1:40" x14ac:dyDescent="0.25">
      <c r="A5695" t="str">
        <f>"20190303170927399"</f>
        <v>20190303170927399</v>
      </c>
      <c r="B5695" t="str">
        <f>"1551604167389339"</f>
        <v>1551604167389339</v>
      </c>
      <c r="C5695" t="s">
        <v>40</v>
      </c>
      <c r="D5695">
        <v>5.3011910000000002</v>
      </c>
      <c r="E5695">
        <v>0.56850269999999903</v>
      </c>
      <c r="F5695" t="s">
        <v>45</v>
      </c>
      <c r="G5695">
        <v>0</v>
      </c>
      <c r="H5695">
        <v>0</v>
      </c>
      <c r="I5695">
        <v>0</v>
      </c>
      <c r="J5695">
        <v>-164.66380000000001</v>
      </c>
      <c r="K5695">
        <v>1.108476</v>
      </c>
      <c r="L5695">
        <v>137.98310000000001</v>
      </c>
      <c r="M5695">
        <v>0.95921679999999998</v>
      </c>
      <c r="N5695">
        <v>-1.6762039999999999E-2</v>
      </c>
      <c r="O5695">
        <v>0.28217449999999999</v>
      </c>
      <c r="P5695">
        <v>0.97433440000000004</v>
      </c>
      <c r="Q5695">
        <v>0.2031985</v>
      </c>
      <c r="R5695">
        <v>9.6865839999999995E-2</v>
      </c>
      <c r="S5695">
        <v>3.1000209999999999</v>
      </c>
      <c r="T5695">
        <v>3.7153960000000001E-3</v>
      </c>
      <c r="U5695">
        <v>-0.173233</v>
      </c>
      <c r="V5695">
        <v>0.1889023</v>
      </c>
      <c r="W5695">
        <v>0.21341589999999999</v>
      </c>
      <c r="X5695">
        <v>0.95852470000000001</v>
      </c>
      <c r="Y5695">
        <v>0.33525899999999997</v>
      </c>
      <c r="Z5695">
        <v>2.4898310000000001E-3</v>
      </c>
      <c r="AA5695">
        <v>0.94212280000000004</v>
      </c>
      <c r="AB5695">
        <v>31</v>
      </c>
      <c r="AC5695">
        <v>3.1000209999999999</v>
      </c>
      <c r="AD5695">
        <v>3.7153960000000001E-3</v>
      </c>
      <c r="AE5695">
        <v>-0.173233</v>
      </c>
      <c r="AF5695">
        <v>1.04105950270835</v>
      </c>
      <c r="AG5695">
        <v>3.7153960000000001E-3</v>
      </c>
      <c r="AH5695">
        <v>2.92511664319135</v>
      </c>
      <c r="AI5695">
        <v>89.931437524686501</v>
      </c>
      <c r="AJ5695">
        <v>70.409173411813299</v>
      </c>
      <c r="AK5695">
        <v>3.10485524117016</v>
      </c>
      <c r="AL5695">
        <v>77.677391942782506</v>
      </c>
      <c r="AM5695">
        <v>78.851242060028099</v>
      </c>
      <c r="AN5695">
        <v>1.00000001291409</v>
      </c>
    </row>
    <row r="5696" spans="1:40" x14ac:dyDescent="0.25">
      <c r="A5696" t="str">
        <f>"20190303170927421"</f>
        <v>20190303170927421</v>
      </c>
      <c r="B5696" t="str">
        <f>"1551604167409835"</f>
        <v>1551604167409835</v>
      </c>
      <c r="C5696" t="s">
        <v>40</v>
      </c>
      <c r="D5696">
        <v>5.2638780000000001</v>
      </c>
      <c r="E5696">
        <v>0.56715879999999996</v>
      </c>
      <c r="F5696" t="s">
        <v>45</v>
      </c>
      <c r="G5696">
        <v>0</v>
      </c>
      <c r="H5696">
        <v>0</v>
      </c>
      <c r="I5696">
        <v>0</v>
      </c>
      <c r="J5696">
        <v>-164.3597</v>
      </c>
      <c r="K5696">
        <v>1.1084339999999999</v>
      </c>
      <c r="L5696">
        <v>138.05789999999999</v>
      </c>
      <c r="M5696">
        <v>0.96335769999999998</v>
      </c>
      <c r="N5696">
        <v>-1.6535419999999999E-2</v>
      </c>
      <c r="O5696">
        <v>0.2677098</v>
      </c>
      <c r="P5696">
        <v>0.97519579999999995</v>
      </c>
      <c r="Q5696">
        <v>0.20394999999999999</v>
      </c>
      <c r="R5696">
        <v>8.6008409999999993E-2</v>
      </c>
      <c r="S5696">
        <v>3.0970610000000001</v>
      </c>
      <c r="T5696">
        <v>6.9464449999999999E-3</v>
      </c>
      <c r="U5696">
        <v>-0.19590759999999999</v>
      </c>
      <c r="V5696">
        <v>0.1850929</v>
      </c>
      <c r="W5696">
        <v>0.21409919999999999</v>
      </c>
      <c r="X5696">
        <v>0.9591153</v>
      </c>
      <c r="Y5696">
        <v>0.3279958</v>
      </c>
      <c r="Z5696">
        <v>2.7026860000000002E-3</v>
      </c>
      <c r="AA5696">
        <v>0.9446753</v>
      </c>
      <c r="AB5696">
        <v>31</v>
      </c>
      <c r="AC5696">
        <v>3.0970610000000001</v>
      </c>
      <c r="AD5696">
        <v>6.9464449999999999E-3</v>
      </c>
      <c r="AE5696">
        <v>-0.19590759999999999</v>
      </c>
      <c r="AF5696">
        <v>1.01797674524469</v>
      </c>
      <c r="AG5696">
        <v>6.9464449999999999E-3</v>
      </c>
      <c r="AH5696">
        <v>2.9315172634881099</v>
      </c>
      <c r="AI5696">
        <v>89.871746335192</v>
      </c>
      <c r="AJ5696">
        <v>70.850313601921201</v>
      </c>
      <c r="AK5696">
        <v>3.1032432023748799</v>
      </c>
      <c r="AL5696">
        <v>77.637315324301596</v>
      </c>
      <c r="AM5696">
        <v>79.077167999117705</v>
      </c>
      <c r="AN5696">
        <v>1.0000000038825601</v>
      </c>
    </row>
    <row r="5697" spans="1:40" x14ac:dyDescent="0.25">
      <c r="A5697" t="str">
        <f>"20190303170927443"</f>
        <v>20190303170927443</v>
      </c>
      <c r="B5697" t="str">
        <f>"1551604167429354"</f>
        <v>1551604167429354</v>
      </c>
      <c r="C5697" t="s">
        <v>40</v>
      </c>
      <c r="D5697">
        <v>5.2806579999999999</v>
      </c>
      <c r="E5697">
        <v>0.56650730000000005</v>
      </c>
      <c r="F5697" t="s">
        <v>45</v>
      </c>
      <c r="G5697">
        <v>0</v>
      </c>
      <c r="H5697">
        <v>0</v>
      </c>
      <c r="I5697">
        <v>0</v>
      </c>
      <c r="J5697">
        <v>-164.04429999999999</v>
      </c>
      <c r="K5697">
        <v>1.1084039999999999</v>
      </c>
      <c r="L5697">
        <v>138.13040000000001</v>
      </c>
      <c r="M5697">
        <v>0.96740409999999999</v>
      </c>
      <c r="N5697">
        <v>-1.6306319999999999E-2</v>
      </c>
      <c r="O5697">
        <v>0.25271189999999999</v>
      </c>
      <c r="P5697">
        <v>0.97608720000000004</v>
      </c>
      <c r="Q5697">
        <v>0.2036201</v>
      </c>
      <c r="R5697">
        <v>7.6110049999999999E-2</v>
      </c>
      <c r="S5697">
        <v>3.0934599999999999</v>
      </c>
      <c r="T5697">
        <v>1.131618E-2</v>
      </c>
      <c r="U5697">
        <v>-0.22134400000000001</v>
      </c>
      <c r="V5697">
        <v>0.17987999999999901</v>
      </c>
      <c r="W5697">
        <v>0.21375040000000001</v>
      </c>
      <c r="X5697">
        <v>0.96018429999999999</v>
      </c>
      <c r="Y5697">
        <v>0.32111119999999999</v>
      </c>
      <c r="Z5697">
        <v>3.023183E-3</v>
      </c>
      <c r="AA5697">
        <v>0.94703669999999995</v>
      </c>
      <c r="AB5697">
        <v>31</v>
      </c>
      <c r="AC5697">
        <v>3.0934599999999999</v>
      </c>
      <c r="AD5697">
        <v>1.131618E-2</v>
      </c>
      <c r="AE5697">
        <v>-0.22134400000000001</v>
      </c>
      <c r="AF5697">
        <v>0.99600246733322095</v>
      </c>
      <c r="AG5697">
        <v>1.131618E-2</v>
      </c>
      <c r="AH5697">
        <v>2.93704118395658</v>
      </c>
      <c r="AI5697">
        <v>89.790939044223293</v>
      </c>
      <c r="AJ5697">
        <v>71.267295963382907</v>
      </c>
      <c r="AK5697">
        <v>3.1013480757762002</v>
      </c>
      <c r="AL5697">
        <v>77.657773262809997</v>
      </c>
      <c r="AM5697">
        <v>79.389254388415694</v>
      </c>
      <c r="AN5697">
        <v>0.99999996893332399</v>
      </c>
    </row>
    <row r="5698" spans="1:40" x14ac:dyDescent="0.25">
      <c r="A5698" t="str">
        <f>"20190303170927468"</f>
        <v>20190303170927468</v>
      </c>
      <c r="B5698" t="str">
        <f>"1551604167459611"</f>
        <v>1551604167459611</v>
      </c>
      <c r="C5698" t="s">
        <v>40</v>
      </c>
      <c r="D5698">
        <v>5.2633340000000004</v>
      </c>
      <c r="E5698">
        <v>0.55903389999999997</v>
      </c>
      <c r="F5698" t="s">
        <v>45</v>
      </c>
      <c r="G5698">
        <v>0</v>
      </c>
      <c r="H5698">
        <v>0</v>
      </c>
      <c r="I5698">
        <v>0</v>
      </c>
      <c r="J5698">
        <v>-163.70689999999999</v>
      </c>
      <c r="K5698">
        <v>1.1083799999999999</v>
      </c>
      <c r="L5698">
        <v>138.20259999999999</v>
      </c>
      <c r="M5698">
        <v>0.97145190000000003</v>
      </c>
      <c r="N5698">
        <v>-1.6064760000000001E-2</v>
      </c>
      <c r="O5698">
        <v>0.23669219999999999</v>
      </c>
      <c r="P5698">
        <v>0.97663089999999997</v>
      </c>
      <c r="Q5698">
        <v>0.20507059999999999</v>
      </c>
      <c r="R5698">
        <v>6.4330090000000006E-2</v>
      </c>
      <c r="S5698">
        <v>3.0904850000000001</v>
      </c>
      <c r="T5698">
        <v>1.2156490000000001E-2</v>
      </c>
      <c r="U5698">
        <v>-0.25057980000000002</v>
      </c>
      <c r="V5698">
        <v>0.17551710000000001</v>
      </c>
      <c r="W5698">
        <v>0.21513740000000001</v>
      </c>
      <c r="X5698">
        <v>0.96068189999999998</v>
      </c>
      <c r="Y5698">
        <v>0.31442809999999999</v>
      </c>
      <c r="Z5698">
        <v>2.827188E-3</v>
      </c>
      <c r="AA5698">
        <v>0.94927709999999998</v>
      </c>
      <c r="AB5698">
        <v>31</v>
      </c>
      <c r="AC5698">
        <v>3.0904850000000001</v>
      </c>
      <c r="AD5698">
        <v>1.2156490000000001E-2</v>
      </c>
      <c r="AE5698">
        <v>-0.25057980000000002</v>
      </c>
      <c r="AF5698">
        <v>0.97503072193441398</v>
      </c>
      <c r="AG5698">
        <v>1.2156490000000001E-2</v>
      </c>
      <c r="AH5698">
        <v>2.9432817243671199</v>
      </c>
      <c r="AI5698">
        <v>89.775360690264804</v>
      </c>
      <c r="AJ5698">
        <v>71.6713435720539</v>
      </c>
      <c r="AK5698">
        <v>3.10060316679813</v>
      </c>
      <c r="AL5698">
        <v>77.576412035222504</v>
      </c>
      <c r="AM5698">
        <v>79.646223624231993</v>
      </c>
      <c r="AN5698">
        <v>1.0000000331293799</v>
      </c>
    </row>
    <row r="5699" spans="1:40" x14ac:dyDescent="0.25">
      <c r="A5699" t="str">
        <f>"20190303170927512"</f>
        <v>20190303170927512</v>
      </c>
      <c r="B5699" t="str">
        <f>"1551604167499627"</f>
        <v>1551604167499627</v>
      </c>
      <c r="C5699" t="s">
        <v>40</v>
      </c>
      <c r="D5699">
        <v>5.2070819999999998</v>
      </c>
      <c r="E5699">
        <v>0.55208900000000005</v>
      </c>
      <c r="F5699" t="s">
        <v>45</v>
      </c>
      <c r="G5699">
        <v>0</v>
      </c>
      <c r="H5699">
        <v>0</v>
      </c>
      <c r="I5699">
        <v>0</v>
      </c>
      <c r="J5699">
        <v>-163.1087</v>
      </c>
      <c r="K5699">
        <v>1.1084259999999999</v>
      </c>
      <c r="L5699">
        <v>138.3159</v>
      </c>
      <c r="M5699">
        <v>0.97789340000000002</v>
      </c>
      <c r="N5699">
        <v>-1.562146E-2</v>
      </c>
      <c r="O5699">
        <v>0.20852010000000001</v>
      </c>
      <c r="P5699">
        <v>0.97758809999999996</v>
      </c>
      <c r="Q5699">
        <v>0.20651330000000001</v>
      </c>
      <c r="R5699">
        <v>4.0916340000000002E-2</v>
      </c>
      <c r="S5699">
        <v>3.0854490000000001</v>
      </c>
      <c r="T5699">
        <v>6.4287190000000003E-3</v>
      </c>
      <c r="U5699">
        <v>-0.22798160000000001</v>
      </c>
      <c r="V5699">
        <v>0.17063220000000001</v>
      </c>
      <c r="W5699">
        <v>0.2163805</v>
      </c>
      <c r="X5699">
        <v>0.96128259999999999</v>
      </c>
      <c r="Y5699">
        <v>0.2800184</v>
      </c>
      <c r="Z5699">
        <v>1.7983280000000001E-3</v>
      </c>
      <c r="AA5699">
        <v>0.95999290000000004</v>
      </c>
      <c r="AB5699">
        <v>31</v>
      </c>
      <c r="AC5699">
        <v>3.0854490000000001</v>
      </c>
      <c r="AD5699">
        <v>6.4287190000000003E-3</v>
      </c>
      <c r="AE5699">
        <v>-0.22798160000000001</v>
      </c>
      <c r="AF5699">
        <v>0.86642174743795897</v>
      </c>
      <c r="AG5699">
        <v>6.4287190000000003E-3</v>
      </c>
      <c r="AH5699">
        <v>2.9700508145123399</v>
      </c>
      <c r="AI5699">
        <v>89.880945001110405</v>
      </c>
      <c r="AJ5699">
        <v>73.737005373644394</v>
      </c>
      <c r="AK5699">
        <v>3.09385355400783</v>
      </c>
      <c r="AL5699">
        <v>77.5034698600642</v>
      </c>
      <c r="AM5699">
        <v>79.934568399548397</v>
      </c>
      <c r="AN5699">
        <v>1.00000005275992</v>
      </c>
    </row>
    <row r="5700" spans="1:40" x14ac:dyDescent="0.25">
      <c r="A5700" t="str">
        <f>"20190303170927534"</f>
        <v>20190303170927534</v>
      </c>
      <c r="B5700" t="str">
        <f>"1551604167520123"</f>
        <v>1551604167520123</v>
      </c>
      <c r="C5700" t="s">
        <v>40</v>
      </c>
      <c r="D5700">
        <v>5.2284680000000003</v>
      </c>
      <c r="E5700">
        <v>0.55069699999999999</v>
      </c>
      <c r="F5700" t="s">
        <v>45</v>
      </c>
      <c r="G5700">
        <v>0</v>
      </c>
      <c r="H5700">
        <v>0</v>
      </c>
      <c r="I5700">
        <v>0</v>
      </c>
      <c r="J5700">
        <v>-162.78720000000001</v>
      </c>
      <c r="K5700">
        <v>1.108493</v>
      </c>
      <c r="L5700">
        <v>138.36949999999999</v>
      </c>
      <c r="M5700">
        <v>0.98096930000000004</v>
      </c>
      <c r="N5700">
        <v>-1.538114E-2</v>
      </c>
      <c r="O5700">
        <v>0.193553</v>
      </c>
      <c r="P5700">
        <v>0.97809069999999998</v>
      </c>
      <c r="Q5700">
        <v>0.20603369999999999</v>
      </c>
      <c r="R5700">
        <v>2.981263E-2</v>
      </c>
      <c r="S5700">
        <v>3.0783079999999998</v>
      </c>
      <c r="T5700">
        <v>2.8784280000000001E-3</v>
      </c>
      <c r="U5700">
        <v>-0.2420197</v>
      </c>
      <c r="V5700">
        <v>0.1667825</v>
      </c>
      <c r="W5700">
        <v>0.2158456</v>
      </c>
      <c r="X5700">
        <v>0.96207810000000005</v>
      </c>
      <c r="Y5700">
        <v>0.26985360000000003</v>
      </c>
      <c r="Z5700">
        <v>1.2087129999999999E-3</v>
      </c>
      <c r="AA5700">
        <v>0.9629006</v>
      </c>
      <c r="AB5700">
        <v>31</v>
      </c>
      <c r="AC5700">
        <v>3.0783079999999998</v>
      </c>
      <c r="AD5700">
        <v>2.8784280000000001E-3</v>
      </c>
      <c r="AE5700">
        <v>-0.2420197</v>
      </c>
      <c r="AF5700">
        <v>0.833327453692705</v>
      </c>
      <c r="AG5700">
        <v>2.8784280000000001E-3</v>
      </c>
      <c r="AH5700">
        <v>2.9732309803142098</v>
      </c>
      <c r="AI5700">
        <v>89.9465893245073</v>
      </c>
      <c r="AJ5700">
        <v>74.343051888790399</v>
      </c>
      <c r="AK5700">
        <v>3.0878059188889901</v>
      </c>
      <c r="AL5700">
        <v>77.534858457569698</v>
      </c>
      <c r="AM5700">
        <v>80.165146950654602</v>
      </c>
      <c r="AN5700">
        <v>0.99999999792260996</v>
      </c>
    </row>
    <row r="5701" spans="1:40" x14ac:dyDescent="0.25">
      <c r="A5701" t="str">
        <f>"20190303170927559"</f>
        <v>20190303170927559</v>
      </c>
      <c r="B5701" t="str">
        <f>"1551604167549403"</f>
        <v>1551604167549403</v>
      </c>
      <c r="C5701" t="s">
        <v>40</v>
      </c>
      <c r="D5701">
        <v>5.1906809999999997</v>
      </c>
      <c r="E5701">
        <v>0.54562929999999998</v>
      </c>
      <c r="F5701" t="s">
        <v>45</v>
      </c>
      <c r="G5701">
        <v>0</v>
      </c>
      <c r="H5701">
        <v>0</v>
      </c>
      <c r="I5701">
        <v>0</v>
      </c>
      <c r="J5701">
        <v>-162.42670000000001</v>
      </c>
      <c r="K5701">
        <v>1.1085929999999999</v>
      </c>
      <c r="L5701">
        <v>138.42400000000001</v>
      </c>
      <c r="M5701">
        <v>0.98410430000000004</v>
      </c>
      <c r="N5701">
        <v>-1.512081E-2</v>
      </c>
      <c r="O5701">
        <v>0.17694689999999999</v>
      </c>
      <c r="P5701">
        <v>0.97817719999999997</v>
      </c>
      <c r="Q5701">
        <v>0.20707010000000001</v>
      </c>
      <c r="R5701">
        <v>1.7076939999999999E-2</v>
      </c>
      <c r="S5701">
        <v>3.0755309999999998</v>
      </c>
      <c r="T5701">
        <v>-8.98838E-4</v>
      </c>
      <c r="U5701">
        <v>-0.26661679999999999</v>
      </c>
      <c r="V5701">
        <v>0.1629428</v>
      </c>
      <c r="W5701">
        <v>0.21681159999999999</v>
      </c>
      <c r="X5701">
        <v>0.96251880000000001</v>
      </c>
      <c r="Y5701">
        <v>0.26128889999999999</v>
      </c>
      <c r="Z5701">
        <v>6.0735550000000002E-4</v>
      </c>
      <c r="AA5701">
        <v>0.96526040000000002</v>
      </c>
      <c r="AB5701">
        <v>31</v>
      </c>
      <c r="AC5701">
        <v>3.0755309999999998</v>
      </c>
      <c r="AD5701">
        <v>-8.98838E-4</v>
      </c>
      <c r="AE5701">
        <v>-0.26661679999999999</v>
      </c>
      <c r="AF5701">
        <v>0.80667652390854805</v>
      </c>
      <c r="AG5701">
        <v>-8.98838E-4</v>
      </c>
      <c r="AH5701">
        <v>2.9798065071341</v>
      </c>
      <c r="AI5701">
        <v>90.016682386959701</v>
      </c>
      <c r="AJ5701">
        <v>74.852280958498298</v>
      </c>
      <c r="AK5701">
        <v>3.0870657009681</v>
      </c>
      <c r="AL5701">
        <v>77.478168793049903</v>
      </c>
      <c r="AM5701">
        <v>80.391612869424193</v>
      </c>
      <c r="AN5701">
        <v>1.0000000331599099</v>
      </c>
    </row>
    <row r="5702" spans="1:40" x14ac:dyDescent="0.25">
      <c r="A5702" t="str">
        <f>"20190303170927584"</f>
        <v>20190303170927584</v>
      </c>
      <c r="B5702" t="str">
        <f>"1551604167569899"</f>
        <v>1551604167569899</v>
      </c>
      <c r="C5702" t="s">
        <v>40</v>
      </c>
      <c r="D5702">
        <v>5.2139220000000002</v>
      </c>
      <c r="E5702">
        <v>0.54544280000000001</v>
      </c>
      <c r="F5702" t="s">
        <v>49</v>
      </c>
      <c r="G5702">
        <v>462.58339999999998</v>
      </c>
      <c r="H5702">
        <v>-0.1</v>
      </c>
      <c r="I5702">
        <v>84.355719999999906</v>
      </c>
      <c r="J5702">
        <v>-162.0823</v>
      </c>
      <c r="K5702">
        <v>1.108725</v>
      </c>
      <c r="L5702">
        <v>138.47059999999999</v>
      </c>
      <c r="M5702">
        <v>0.98678200000000005</v>
      </c>
      <c r="N5702">
        <v>-1.485737E-2</v>
      </c>
      <c r="O5702">
        <v>0.1613706</v>
      </c>
      <c r="P5702">
        <v>0.9777576</v>
      </c>
      <c r="Q5702">
        <v>0.2097058</v>
      </c>
      <c r="R5702">
        <v>3.6857589999999998E-3</v>
      </c>
      <c r="S5702">
        <v>3.0728300000000002</v>
      </c>
      <c r="T5702">
        <v>-5.9419869999999897E-3</v>
      </c>
      <c r="U5702">
        <v>-0.26582339999999999</v>
      </c>
      <c r="V5702">
        <v>0.16077559999999999</v>
      </c>
      <c r="W5702">
        <v>0.21932969999999999</v>
      </c>
      <c r="X5702">
        <v>0.96231270000000002</v>
      </c>
      <c r="Y5702">
        <v>0.24582670000000001</v>
      </c>
      <c r="Z5702" s="1">
        <v>1.904019E-5</v>
      </c>
      <c r="AA5702">
        <v>0.9693138</v>
      </c>
      <c r="AB5702">
        <v>31</v>
      </c>
      <c r="AC5702">
        <v>624.66570000000002</v>
      </c>
      <c r="AD5702">
        <v>-1.208725</v>
      </c>
      <c r="AE5702">
        <v>-54.114879999999999</v>
      </c>
      <c r="AF5702">
        <v>154.218723023759</v>
      </c>
      <c r="AG5702">
        <v>-1.208725</v>
      </c>
      <c r="AH5702">
        <v>607.74116237660098</v>
      </c>
      <c r="AI5702">
        <v>90.1104536304953</v>
      </c>
      <c r="AJ5702">
        <v>75.761325249197498</v>
      </c>
      <c r="AK5702">
        <v>627.00414352224698</v>
      </c>
      <c r="AL5702">
        <v>77.330334167739196</v>
      </c>
      <c r="AM5702">
        <v>80.515077698855805</v>
      </c>
      <c r="AN5702">
        <v>1.0000000217193601</v>
      </c>
    </row>
    <row r="5703" spans="1:40" x14ac:dyDescent="0.25">
      <c r="A5703" t="str">
        <f>"20190303170927604"</f>
        <v>20190303170927604</v>
      </c>
      <c r="B5703" t="str">
        <f>"1551604167589419"</f>
        <v>1551604167589419</v>
      </c>
      <c r="C5703" t="s">
        <v>40</v>
      </c>
      <c r="D5703">
        <v>5.2103659999999996</v>
      </c>
      <c r="E5703">
        <v>0.54405990000000004</v>
      </c>
      <c r="F5703" t="s">
        <v>45</v>
      </c>
      <c r="G5703">
        <v>0</v>
      </c>
      <c r="H5703">
        <v>0</v>
      </c>
      <c r="I5703">
        <v>0</v>
      </c>
      <c r="J5703">
        <v>-161.80950000000001</v>
      </c>
      <c r="K5703">
        <v>1.108884</v>
      </c>
      <c r="L5703">
        <v>138.50380000000001</v>
      </c>
      <c r="M5703">
        <v>0.98867760000000005</v>
      </c>
      <c r="N5703">
        <v>-1.4632020000000001E-2</v>
      </c>
      <c r="O5703">
        <v>0.1493408</v>
      </c>
      <c r="P5703">
        <v>0.97813470000000002</v>
      </c>
      <c r="Q5703">
        <v>0.20788599999999999</v>
      </c>
      <c r="R5703">
        <v>-5.9942750000000003E-3</v>
      </c>
      <c r="S5703">
        <v>3.0687259999999998</v>
      </c>
      <c r="T5703">
        <v>3.1301979999999998E-3</v>
      </c>
      <c r="U5703">
        <v>-0.30369570000000001</v>
      </c>
      <c r="V5703">
        <v>0.15846180000000001</v>
      </c>
      <c r="W5703">
        <v>0.2174497</v>
      </c>
      <c r="X5703">
        <v>0.96312279999999995</v>
      </c>
      <c r="Y5703">
        <v>0.2459935</v>
      </c>
      <c r="Z5703">
        <v>6.5486829999999996E-4</v>
      </c>
      <c r="AA5703">
        <v>0.9692712</v>
      </c>
      <c r="AB5703">
        <v>31</v>
      </c>
      <c r="AC5703">
        <v>3.0687259999999998</v>
      </c>
      <c r="AD5703">
        <v>3.1301979999999998E-3</v>
      </c>
      <c r="AE5703">
        <v>-0.30369570000000001</v>
      </c>
      <c r="AF5703">
        <v>0.75862350006038104</v>
      </c>
      <c r="AG5703">
        <v>3.1301979999999998E-3</v>
      </c>
      <c r="AH5703">
        <v>2.9889431460270099</v>
      </c>
      <c r="AI5703">
        <v>89.941840558172601</v>
      </c>
      <c r="AJ5703">
        <v>75.758488384340197</v>
      </c>
      <c r="AK5703">
        <v>3.0837153797270598</v>
      </c>
      <c r="AL5703">
        <v>77.440714644544997</v>
      </c>
      <c r="AM5703">
        <v>80.656878191888694</v>
      </c>
      <c r="AN5703">
        <v>1.0000000209845801</v>
      </c>
    </row>
    <row r="5704" spans="1:40" x14ac:dyDescent="0.25">
      <c r="A5704" t="str">
        <f>"20190303170927623"</f>
        <v>20190303170927623</v>
      </c>
      <c r="B5704" t="str">
        <f>"1551604167609916"</f>
        <v>1551604167609916</v>
      </c>
      <c r="C5704" t="s">
        <v>40</v>
      </c>
      <c r="D5704">
        <v>5.2017429999999996</v>
      </c>
      <c r="E5704">
        <v>0.54291440000000002</v>
      </c>
      <c r="F5704" t="s">
        <v>49</v>
      </c>
      <c r="G5704">
        <v>554.24189999999999</v>
      </c>
      <c r="H5704">
        <v>-0.1</v>
      </c>
      <c r="I5704">
        <v>63.843420000000002</v>
      </c>
      <c r="J5704">
        <v>-161.52019999999999</v>
      </c>
      <c r="K5704">
        <v>1.109111</v>
      </c>
      <c r="L5704">
        <v>138.53569999999999</v>
      </c>
      <c r="M5704">
        <v>0.99047549999999995</v>
      </c>
      <c r="N5704">
        <v>-1.4380169999999999E-2</v>
      </c>
      <c r="O5704">
        <v>0.13693629999999901</v>
      </c>
      <c r="P5704">
        <v>0.97909740000000001</v>
      </c>
      <c r="Q5704">
        <v>0.2028307</v>
      </c>
      <c r="R5704">
        <v>-1.510714E-2</v>
      </c>
      <c r="S5704">
        <v>3.0661930000000002</v>
      </c>
      <c r="T5704">
        <v>-5.1765439999999999E-3</v>
      </c>
      <c r="U5704">
        <v>-0.31970209999999999</v>
      </c>
      <c r="V5704">
        <v>0.15519639999999901</v>
      </c>
      <c r="W5704">
        <v>0.2123709</v>
      </c>
      <c r="X5704">
        <v>0.96478640000000004</v>
      </c>
      <c r="Y5704">
        <v>0.23892559999999999</v>
      </c>
      <c r="Z5704">
        <v>-1.8910300000000001E-4</v>
      </c>
      <c r="AA5704">
        <v>0.97103790000000001</v>
      </c>
      <c r="AB5704">
        <v>31</v>
      </c>
      <c r="AC5704">
        <v>715.76209999999901</v>
      </c>
      <c r="AD5704">
        <v>-1.209111</v>
      </c>
      <c r="AE5704">
        <v>-74.692279999999997</v>
      </c>
      <c r="AF5704">
        <v>172.01198276662299</v>
      </c>
      <c r="AG5704">
        <v>-1.209111</v>
      </c>
      <c r="AH5704">
        <v>698.78700215892798</v>
      </c>
      <c r="AI5704">
        <v>90.096265140221405</v>
      </c>
      <c r="AJ5704">
        <v>76.1711268001375</v>
      </c>
      <c r="AK5704">
        <v>719.64773226279101</v>
      </c>
      <c r="AL5704">
        <v>77.738671409111603</v>
      </c>
      <c r="AM5704">
        <v>80.861635335569105</v>
      </c>
      <c r="AN5704">
        <v>1.0000000596823599</v>
      </c>
    </row>
    <row r="5705" spans="1:40" x14ac:dyDescent="0.25">
      <c r="A5705" t="str">
        <f>"20190303170927650"</f>
        <v>20190303170927650</v>
      </c>
      <c r="B5705" t="str">
        <f>"1551604167629435"</f>
        <v>1551604167629435</v>
      </c>
      <c r="C5705" t="s">
        <v>40</v>
      </c>
      <c r="D5705">
        <v>5.1958099999999998</v>
      </c>
      <c r="E5705">
        <v>0.53616049999999904</v>
      </c>
      <c r="F5705" t="s">
        <v>49</v>
      </c>
      <c r="G5705">
        <v>22.223020000000002</v>
      </c>
      <c r="H5705">
        <v>-0.1</v>
      </c>
      <c r="I5705">
        <v>118.2325</v>
      </c>
      <c r="J5705">
        <v>-161.14429999999999</v>
      </c>
      <c r="K5705">
        <v>1.1095170000000001</v>
      </c>
      <c r="L5705">
        <v>138.57259999999999</v>
      </c>
      <c r="M5705">
        <v>0.99250360000000004</v>
      </c>
      <c r="N5705">
        <v>-1.403859E-2</v>
      </c>
      <c r="O5705">
        <v>0.12140670000000001</v>
      </c>
      <c r="P5705">
        <v>0.9793828</v>
      </c>
      <c r="Q5705">
        <v>0.20008200000000001</v>
      </c>
      <c r="R5705">
        <v>-2.7872339999999999E-2</v>
      </c>
      <c r="S5705">
        <v>3.0630039999999998</v>
      </c>
      <c r="T5705">
        <v>-2.0155909999999999E-2</v>
      </c>
      <c r="U5705">
        <v>-0.33845520000000001</v>
      </c>
      <c r="V5705">
        <v>0.15241389999999999</v>
      </c>
      <c r="W5705">
        <v>0.20954159999999999</v>
      </c>
      <c r="X5705">
        <v>0.96584800000000004</v>
      </c>
      <c r="Y5705">
        <v>0.2296822</v>
      </c>
      <c r="Z5705">
        <v>-1.46735299999999E-3</v>
      </c>
      <c r="AA5705">
        <v>0.97326460000000004</v>
      </c>
      <c r="AB5705">
        <v>31</v>
      </c>
      <c r="AC5705">
        <v>183.36732000000001</v>
      </c>
      <c r="AD5705">
        <v>-1.209517</v>
      </c>
      <c r="AE5705">
        <v>-20.3401</v>
      </c>
      <c r="AF5705">
        <v>42.452001358382901</v>
      </c>
      <c r="AG5705">
        <v>-1.209517</v>
      </c>
      <c r="AH5705">
        <v>179.53327161986999</v>
      </c>
      <c r="AI5705">
        <v>90.375638018836597</v>
      </c>
      <c r="AJ5705">
        <v>76.696332481065696</v>
      </c>
      <c r="AK5705">
        <v>184.48802391819299</v>
      </c>
      <c r="AL5705">
        <v>77.904510039850194</v>
      </c>
      <c r="AM5705">
        <v>81.032490854781301</v>
      </c>
      <c r="AN5705">
        <v>1.00000001907388</v>
      </c>
    </row>
    <row r="5706" spans="1:40" x14ac:dyDescent="0.25">
      <c r="A5706" t="str">
        <f>"20190303170927676"</f>
        <v>20190303170927676</v>
      </c>
      <c r="B5706" t="str">
        <f>"1551604167669450"</f>
        <v>1551604167669450</v>
      </c>
      <c r="C5706" t="s">
        <v>40</v>
      </c>
      <c r="D5706">
        <v>5.215376</v>
      </c>
      <c r="E5706">
        <v>0.5345472</v>
      </c>
      <c r="F5706" t="s">
        <v>43</v>
      </c>
      <c r="G5706">
        <v>-85.432950000000005</v>
      </c>
      <c r="H5706" s="1">
        <v>-3.9502669999999998E-6</v>
      </c>
      <c r="I5706">
        <v>130.55869999999999</v>
      </c>
      <c r="J5706">
        <v>-160.79470000000001</v>
      </c>
      <c r="K5706">
        <v>1.1099349999999999</v>
      </c>
      <c r="L5706">
        <v>138.6018</v>
      </c>
      <c r="M5706">
        <v>0.99409009999999998</v>
      </c>
      <c r="N5706">
        <v>-1.3719469999999999E-2</v>
      </c>
      <c r="O5706">
        <v>0.10768709999999999</v>
      </c>
      <c r="P5706">
        <v>0.97859700000000005</v>
      </c>
      <c r="Q5706">
        <v>0.20153740000000001</v>
      </c>
      <c r="R5706">
        <v>-4.1601109999999997E-2</v>
      </c>
      <c r="S5706">
        <v>3.0630799999999998</v>
      </c>
      <c r="T5706">
        <v>-4.4888259999999999E-2</v>
      </c>
      <c r="U5706">
        <v>-0.32421879999999997</v>
      </c>
      <c r="V5706">
        <v>0.15238409999999999</v>
      </c>
      <c r="W5706">
        <v>0.21084600000000001</v>
      </c>
      <c r="X5706">
        <v>0.9655688</v>
      </c>
      <c r="Y5706">
        <v>0.21170240000000001</v>
      </c>
      <c r="Z5706">
        <v>-3.1034639999999998E-3</v>
      </c>
      <c r="AA5706">
        <v>0.97732929999999996</v>
      </c>
      <c r="AB5706">
        <v>31</v>
      </c>
      <c r="AC5706">
        <v>75.361750000000001</v>
      </c>
      <c r="AD5706">
        <v>-1.1099389502670001</v>
      </c>
      <c r="AE5706">
        <v>-8.0431000000000097</v>
      </c>
      <c r="AF5706">
        <v>16.1091169497873</v>
      </c>
      <c r="AG5706">
        <v>-1.1099389502670001</v>
      </c>
      <c r="AH5706">
        <v>74.041326536436799</v>
      </c>
      <c r="AI5706">
        <v>90.839215272574506</v>
      </c>
      <c r="AJ5706">
        <v>77.725490396448805</v>
      </c>
      <c r="AK5706">
        <v>75.781618144841104</v>
      </c>
      <c r="AL5706">
        <v>77.8280657498793</v>
      </c>
      <c r="AM5706">
        <v>81.031665321449694</v>
      </c>
      <c r="AN5706">
        <v>1.0000000285911199</v>
      </c>
    </row>
    <row r="5707" spans="1:40" x14ac:dyDescent="0.25">
      <c r="A5707" t="str">
        <f>"20190303170927698"</f>
        <v>20190303170927698</v>
      </c>
      <c r="B5707" t="str">
        <f>"1551604167689947"</f>
        <v>1551604167689947</v>
      </c>
      <c r="C5707" t="s">
        <v>40</v>
      </c>
      <c r="D5707">
        <v>5.2291910000000001</v>
      </c>
      <c r="E5707">
        <v>0.53376269999999904</v>
      </c>
      <c r="F5707" t="s">
        <v>43</v>
      </c>
      <c r="G5707">
        <v>-66.355099999999993</v>
      </c>
      <c r="H5707">
        <v>7.9986520000000005E-2</v>
      </c>
      <c r="I5707">
        <v>127.6752</v>
      </c>
      <c r="J5707">
        <v>-160.46629999999999</v>
      </c>
      <c r="K5707">
        <v>1.110304</v>
      </c>
      <c r="L5707">
        <v>138.62549999999999</v>
      </c>
      <c r="M5707">
        <v>0.99535649999999998</v>
      </c>
      <c r="N5707">
        <v>-1.3434379999999999E-2</v>
      </c>
      <c r="O5707">
        <v>9.5316849999999995E-2</v>
      </c>
      <c r="P5707">
        <v>0.97768250000000001</v>
      </c>
      <c r="Q5707">
        <v>0.2023858</v>
      </c>
      <c r="R5707">
        <v>-5.6365480000000003E-2</v>
      </c>
      <c r="S5707">
        <v>3.0574650000000001</v>
      </c>
      <c r="T5707">
        <v>-3.3344390000000002E-2</v>
      </c>
      <c r="U5707">
        <v>-0.35374450000000002</v>
      </c>
      <c r="V5707">
        <v>0.15474839999999901</v>
      </c>
      <c r="W5707">
        <v>0.2114943</v>
      </c>
      <c r="X5707">
        <v>0.96505079999999999</v>
      </c>
      <c r="Y5707">
        <v>0.2090745</v>
      </c>
      <c r="Z5707">
        <v>-2.3057139999999999E-3</v>
      </c>
      <c r="AA5707">
        <v>0.97789700000000002</v>
      </c>
      <c r="AB5707">
        <v>31</v>
      </c>
      <c r="AC5707">
        <v>94.111199999999997</v>
      </c>
      <c r="AD5707">
        <v>-1.0303174799999999</v>
      </c>
      <c r="AE5707">
        <v>-10.950299999999899</v>
      </c>
      <c r="AF5707">
        <v>19.8692756540358</v>
      </c>
      <c r="AG5707">
        <v>-1.0303174799999999</v>
      </c>
      <c r="AH5707">
        <v>92.627837008306599</v>
      </c>
      <c r="AI5707">
        <v>90.623112557791899</v>
      </c>
      <c r="AJ5707">
        <v>77.893147251459297</v>
      </c>
      <c r="AK5707">
        <v>94.740518564989202</v>
      </c>
      <c r="AL5707">
        <v>77.790063282378895</v>
      </c>
      <c r="AM5707">
        <v>80.890026230283993</v>
      </c>
      <c r="AN5707">
        <v>0.99999997640784399</v>
      </c>
    </row>
    <row r="5708" spans="1:40" x14ac:dyDescent="0.25">
      <c r="A5708" t="str">
        <f>"20190303170927757"</f>
        <v>20190303170927757</v>
      </c>
      <c r="B5708" t="str">
        <f>"1551604167749483"</f>
        <v>1551604167749483</v>
      </c>
      <c r="C5708" t="s">
        <v>40</v>
      </c>
      <c r="D5708">
        <v>5.2533659999999998</v>
      </c>
      <c r="E5708">
        <v>0.53144919999999995</v>
      </c>
      <c r="F5708" t="s">
        <v>43</v>
      </c>
      <c r="G5708">
        <v>-70.453719999999905</v>
      </c>
      <c r="H5708">
        <v>7.9986799999999997E-2</v>
      </c>
      <c r="I5708">
        <v>127.1477</v>
      </c>
      <c r="J5708">
        <v>-159.64500000000001</v>
      </c>
      <c r="K5708">
        <v>1.1112820000000001</v>
      </c>
      <c r="L5708">
        <v>138.66990000000001</v>
      </c>
      <c r="M5708">
        <v>0.99766670000000002</v>
      </c>
      <c r="N5708">
        <v>-1.274137E-2</v>
      </c>
      <c r="O5708">
        <v>6.7075529999999994E-2</v>
      </c>
      <c r="P5708">
        <v>0.97670539999999995</v>
      </c>
      <c r="Q5708">
        <v>0.198958</v>
      </c>
      <c r="R5708">
        <v>-8.0390519999999993E-2</v>
      </c>
      <c r="S5708">
        <v>3.0532379999999999</v>
      </c>
      <c r="T5708">
        <v>-3.4948470000000002E-2</v>
      </c>
      <c r="U5708">
        <v>-0.38932800000000001</v>
      </c>
      <c r="V5708">
        <v>0.15053929999999999</v>
      </c>
      <c r="W5708">
        <v>0.20788889999999999</v>
      </c>
      <c r="X5708">
        <v>0.96649890000000005</v>
      </c>
      <c r="Y5708">
        <v>0.1927198</v>
      </c>
      <c r="Z5708">
        <v>-2.2455700000000001E-3</v>
      </c>
      <c r="AA5708">
        <v>0.98125119999999999</v>
      </c>
      <c r="AB5708">
        <v>31</v>
      </c>
      <c r="AC5708">
        <v>89.191280000000006</v>
      </c>
      <c r="AD5708">
        <v>-1.0312952</v>
      </c>
      <c r="AE5708">
        <v>-11.5222</v>
      </c>
      <c r="AF5708">
        <v>17.476985498086201</v>
      </c>
      <c r="AG5708">
        <v>-1.0312952</v>
      </c>
      <c r="AH5708">
        <v>88.205860228846802</v>
      </c>
      <c r="AI5708">
        <v>90.657093651293707</v>
      </c>
      <c r="AJ5708">
        <v>78.792652664470694</v>
      </c>
      <c r="AK5708">
        <v>89.926538744692706</v>
      </c>
      <c r="AL5708">
        <v>78.001334982777493</v>
      </c>
      <c r="AM5708">
        <v>81.146897407951897</v>
      </c>
      <c r="AN5708">
        <v>0.99999999964445496</v>
      </c>
    </row>
    <row r="5709" spans="1:40" x14ac:dyDescent="0.25">
      <c r="A5709" t="str">
        <f>"20190303170927781"</f>
        <v>20190303170927781</v>
      </c>
      <c r="B5709" t="str">
        <f>"1551604167769978"</f>
        <v>1551604167769978</v>
      </c>
      <c r="C5709" t="s">
        <v>40</v>
      </c>
      <c r="D5709">
        <v>5.2318199999999999</v>
      </c>
      <c r="E5709">
        <v>0.53102059999999995</v>
      </c>
      <c r="F5709" t="s">
        <v>43</v>
      </c>
      <c r="G5709">
        <v>-92.155820000000006</v>
      </c>
      <c r="H5709">
        <v>7.998624E-2</v>
      </c>
      <c r="I5709">
        <v>128.81299999999999</v>
      </c>
      <c r="J5709">
        <v>-159.28639999999999</v>
      </c>
      <c r="K5709">
        <v>1.1117509999999999</v>
      </c>
      <c r="L5709">
        <v>138.6832</v>
      </c>
      <c r="M5709">
        <v>0.99835099999999999</v>
      </c>
      <c r="N5709">
        <v>-1.2440420000000001E-2</v>
      </c>
      <c r="O5709">
        <v>5.6040949999999999E-2</v>
      </c>
      <c r="P5709">
        <v>0.97634799999999999</v>
      </c>
      <c r="Q5709">
        <v>0.19649839999999999</v>
      </c>
      <c r="R5709">
        <v>-9.0184180000000003E-2</v>
      </c>
      <c r="S5709">
        <v>3.0444339999999999</v>
      </c>
      <c r="T5709">
        <v>-4.6521659999999999E-2</v>
      </c>
      <c r="U5709">
        <v>-0.44464110000000001</v>
      </c>
      <c r="V5709">
        <v>0.14925559999999999</v>
      </c>
      <c r="W5709">
        <v>0.2053556</v>
      </c>
      <c r="X5709">
        <v>0.96723930000000002</v>
      </c>
      <c r="Y5709">
        <v>0.1997051</v>
      </c>
      <c r="Z5709">
        <v>-2.925885E-3</v>
      </c>
      <c r="AA5709">
        <v>0.97985169999999999</v>
      </c>
      <c r="AB5709">
        <v>31</v>
      </c>
      <c r="AC5709">
        <v>67.130579999999995</v>
      </c>
      <c r="AD5709">
        <v>-1.0317647599999999</v>
      </c>
      <c r="AE5709">
        <v>-9.8702000000000094</v>
      </c>
      <c r="AF5709">
        <v>13.6138909338546</v>
      </c>
      <c r="AG5709">
        <v>-1.0317647599999999</v>
      </c>
      <c r="AH5709">
        <v>66.456521530916802</v>
      </c>
      <c r="AI5709">
        <v>90.871376060405396</v>
      </c>
      <c r="AJ5709">
        <v>78.422896299816898</v>
      </c>
      <c r="AK5709">
        <v>67.844467857505293</v>
      </c>
      <c r="AL5709">
        <v>78.149683799123295</v>
      </c>
      <c r="AM5709">
        <v>81.227825323732702</v>
      </c>
      <c r="AN5709">
        <v>1.0000000100236</v>
      </c>
    </row>
    <row r="5710" spans="1:40" x14ac:dyDescent="0.25">
      <c r="A5710" t="str">
        <f>"20190303170927805"</f>
        <v>20190303170927805</v>
      </c>
      <c r="B5710" t="str">
        <f>"1551604167799259"</f>
        <v>1551604167799259</v>
      </c>
      <c r="C5710" t="s">
        <v>40</v>
      </c>
      <c r="D5710">
        <v>5.2847160000000004</v>
      </c>
      <c r="E5710">
        <v>0.52268779999999904</v>
      </c>
      <c r="F5710" t="s">
        <v>43</v>
      </c>
      <c r="G5710">
        <v>-100.58029999999999</v>
      </c>
      <c r="H5710">
        <v>3.5895530000000002E-2</v>
      </c>
      <c r="I5710">
        <v>129.6163</v>
      </c>
      <c r="J5710">
        <v>-158.96549999999999</v>
      </c>
      <c r="K5710">
        <v>1.1121799999999999</v>
      </c>
      <c r="L5710">
        <v>138.69229999999999</v>
      </c>
      <c r="M5710">
        <v>0.99883149999999998</v>
      </c>
      <c r="N5710">
        <v>-1.2185619999999999E-2</v>
      </c>
      <c r="O5710">
        <v>4.6767330000000003E-2</v>
      </c>
      <c r="P5710">
        <v>0.9759388</v>
      </c>
      <c r="Q5710">
        <v>0.1944005</v>
      </c>
      <c r="R5710">
        <v>-9.8751190000000003E-2</v>
      </c>
      <c r="S5710">
        <v>3.0405120000000001</v>
      </c>
      <c r="T5710">
        <v>-5.5720810000000003E-2</v>
      </c>
      <c r="U5710">
        <v>-0.46958919999999998</v>
      </c>
      <c r="V5710">
        <v>0.14850459999999999</v>
      </c>
      <c r="W5710">
        <v>0.20319390000000001</v>
      </c>
      <c r="X5710">
        <v>0.96781119999999998</v>
      </c>
      <c r="Y5710">
        <v>0.19863459999999999</v>
      </c>
      <c r="Z5710">
        <v>-3.313112E-3</v>
      </c>
      <c r="AA5710">
        <v>0.98006800000000005</v>
      </c>
      <c r="AB5710">
        <v>31</v>
      </c>
      <c r="AC5710">
        <v>58.385199999999998</v>
      </c>
      <c r="AD5710">
        <v>-1.07628447</v>
      </c>
      <c r="AE5710">
        <v>-9.0759999999999899</v>
      </c>
      <c r="AF5710">
        <v>11.792877369268499</v>
      </c>
      <c r="AG5710">
        <v>-1.07628447</v>
      </c>
      <c r="AH5710">
        <v>57.8776103033697</v>
      </c>
      <c r="AI5710">
        <v>91.043897905587698</v>
      </c>
      <c r="AJ5710">
        <v>78.483323230556906</v>
      </c>
      <c r="AK5710">
        <v>59.076629214399901</v>
      </c>
      <c r="AL5710">
        <v>78.276207317450499</v>
      </c>
      <c r="AM5710">
        <v>81.276360885649396</v>
      </c>
      <c r="AN5710">
        <v>0.99999994803190295</v>
      </c>
    </row>
    <row r="5711" spans="1:40" x14ac:dyDescent="0.25">
      <c r="A5711" t="str">
        <f>"20190303170927853"</f>
        <v>20190303170927853</v>
      </c>
      <c r="B5711" t="str">
        <f>"1551604167839275"</f>
        <v>1551604167839275</v>
      </c>
      <c r="C5711" t="s">
        <v>40</v>
      </c>
      <c r="D5711">
        <v>5.3067359999999999</v>
      </c>
      <c r="E5711">
        <v>0.52031679999999902</v>
      </c>
      <c r="F5711" t="s">
        <v>43</v>
      </c>
      <c r="G5711">
        <v>-123.0958</v>
      </c>
      <c r="H5711" s="1">
        <v>-3.9931970000000003E-6</v>
      </c>
      <c r="I5711">
        <v>133.70240000000001</v>
      </c>
      <c r="J5711">
        <v>-158.25069999999999</v>
      </c>
      <c r="K5711">
        <v>1.113264</v>
      </c>
      <c r="L5711">
        <v>138.70410000000001</v>
      </c>
      <c r="M5711">
        <v>0.99952700000000005</v>
      </c>
      <c r="N5711">
        <v>-1.165969E-2</v>
      </c>
      <c r="O5711">
        <v>2.8456680000000002E-2</v>
      </c>
      <c r="P5711">
        <v>0.97545950000000003</v>
      </c>
      <c r="Q5711">
        <v>0.1905927</v>
      </c>
      <c r="R5711">
        <v>-0.1102432</v>
      </c>
      <c r="S5711">
        <v>3.0498810000000001</v>
      </c>
      <c r="T5711">
        <v>-9.4565270000000007E-2</v>
      </c>
      <c r="U5711">
        <v>-0.4242706</v>
      </c>
      <c r="V5711">
        <v>0.14155479999999901</v>
      </c>
      <c r="W5711">
        <v>0.1994078</v>
      </c>
      <c r="X5711">
        <v>0.96963849999999996</v>
      </c>
      <c r="Y5711">
        <v>0.165801799999999</v>
      </c>
      <c r="Z5711">
        <v>-4.0773019999999997E-3</v>
      </c>
      <c r="AA5711">
        <v>0.98615070000000005</v>
      </c>
      <c r="AB5711">
        <v>32</v>
      </c>
      <c r="AC5711">
        <v>35.154899999999998</v>
      </c>
      <c r="AD5711">
        <v>-1.113267993197</v>
      </c>
      <c r="AE5711">
        <v>-5.0016999999999996</v>
      </c>
      <c r="AF5711">
        <v>5.9942419958512696</v>
      </c>
      <c r="AG5711">
        <v>-1.113267993197</v>
      </c>
      <c r="AH5711">
        <v>34.963952556961601</v>
      </c>
      <c r="AI5711">
        <v>91.797500206689904</v>
      </c>
      <c r="AJ5711">
        <v>80.2717503612119</v>
      </c>
      <c r="AK5711">
        <v>35.491524074558498</v>
      </c>
      <c r="AL5711">
        <v>78.497669374457104</v>
      </c>
      <c r="AM5711">
        <v>81.694223453030105</v>
      </c>
      <c r="AN5711">
        <v>1.00000002639306</v>
      </c>
    </row>
    <row r="5712" spans="1:40" x14ac:dyDescent="0.25">
      <c r="A5712" t="str">
        <f>"20190303170927891"</f>
        <v>20190303170927891</v>
      </c>
      <c r="B5712" t="str">
        <f>"1551604167879291"</f>
        <v>1551604167879291</v>
      </c>
      <c r="C5712" t="s">
        <v>40</v>
      </c>
      <c r="D5712">
        <v>5.2974319999999997</v>
      </c>
      <c r="E5712">
        <v>0.50999439999999996</v>
      </c>
      <c r="F5712" t="s">
        <v>43</v>
      </c>
      <c r="G5712">
        <v>-126.471</v>
      </c>
      <c r="H5712" s="1">
        <v>-2.6600229999999999E-6</v>
      </c>
      <c r="I5712">
        <v>134.08019999999999</v>
      </c>
      <c r="J5712">
        <v>-157.71700000000001</v>
      </c>
      <c r="K5712">
        <v>1.1140300000000001</v>
      </c>
      <c r="L5712">
        <v>138.70650000000001</v>
      </c>
      <c r="M5712">
        <v>0.99979790000000002</v>
      </c>
      <c r="N5712">
        <v>-1.129519E-2</v>
      </c>
      <c r="O5712">
        <v>1.6632850000000001E-2</v>
      </c>
      <c r="P5712">
        <v>0.97491349999999999</v>
      </c>
      <c r="Q5712">
        <v>0.1914102</v>
      </c>
      <c r="R5712">
        <v>-0.1136033</v>
      </c>
      <c r="S5712">
        <v>3.0462340000000001</v>
      </c>
      <c r="T5712">
        <v>-0.1067115</v>
      </c>
      <c r="U5712">
        <v>-0.443222</v>
      </c>
      <c r="V5712">
        <v>0.1330324</v>
      </c>
      <c r="W5712">
        <v>0.2002796</v>
      </c>
      <c r="X5712">
        <v>0.970665</v>
      </c>
      <c r="Y5712">
        <v>0.1602904</v>
      </c>
      <c r="Z5712">
        <v>-4.0951599999999996E-3</v>
      </c>
      <c r="AA5712">
        <v>0.98706139999999998</v>
      </c>
      <c r="AB5712">
        <v>32</v>
      </c>
      <c r="AC5712">
        <v>31.245999999999999</v>
      </c>
      <c r="AD5712">
        <v>-1.1140326600229999</v>
      </c>
      <c r="AE5712">
        <v>-4.6263000000000103</v>
      </c>
      <c r="AF5712">
        <v>5.1390106336399501</v>
      </c>
      <c r="AG5712">
        <v>-1.1140326600229999</v>
      </c>
      <c r="AH5712">
        <v>31.126005582625801</v>
      </c>
      <c r="AI5712">
        <v>92.022445051248297</v>
      </c>
      <c r="AJ5712">
        <v>80.624845332300097</v>
      </c>
      <c r="AK5712">
        <v>31.567051217842899</v>
      </c>
      <c r="AL5712">
        <v>78.446690716438496</v>
      </c>
      <c r="AM5712">
        <v>82.196069695928401</v>
      </c>
      <c r="AN5712">
        <v>1.0000000399254501</v>
      </c>
    </row>
    <row r="5713" spans="1:40" x14ac:dyDescent="0.25">
      <c r="A5713" t="str">
        <f>"20190303170927924"</f>
        <v>20190303170927924</v>
      </c>
      <c r="B5713" t="str">
        <f>"1551604167909548"</f>
        <v>1551604167909548</v>
      </c>
      <c r="C5713" t="s">
        <v>40</v>
      </c>
      <c r="D5713">
        <v>5.3099589999999903</v>
      </c>
      <c r="E5713">
        <v>0.51049179999999905</v>
      </c>
      <c r="F5713" t="s">
        <v>43</v>
      </c>
      <c r="G5713">
        <v>-118.05240000000001</v>
      </c>
      <c r="H5713" s="1">
        <v>-2.1744669999999998E-6</v>
      </c>
      <c r="I5713">
        <v>133.88249999999999</v>
      </c>
      <c r="J5713">
        <v>-157.2551</v>
      </c>
      <c r="K5713">
        <v>1.114635</v>
      </c>
      <c r="L5713">
        <v>138.70439999999999</v>
      </c>
      <c r="M5713">
        <v>0.99991070000000004</v>
      </c>
      <c r="N5713">
        <v>-1.098931E-2</v>
      </c>
      <c r="O5713">
        <v>7.6092619999999899E-3</v>
      </c>
      <c r="P5713">
        <v>0.97428970000000004</v>
      </c>
      <c r="Q5713">
        <v>0.191854</v>
      </c>
      <c r="R5713">
        <v>-0.118119</v>
      </c>
      <c r="S5713">
        <v>3.0507810000000002</v>
      </c>
      <c r="T5713">
        <v>-8.5685129999999998E-2</v>
      </c>
      <c r="U5713">
        <v>-0.37103269999999999</v>
      </c>
      <c r="V5713">
        <v>0.1284622</v>
      </c>
      <c r="W5713">
        <v>0.20069210000000001</v>
      </c>
      <c r="X5713">
        <v>0.97119520000000004</v>
      </c>
      <c r="Y5713">
        <v>0.1282093</v>
      </c>
      <c r="Z5713">
        <v>-2.630383E-3</v>
      </c>
      <c r="AA5713">
        <v>0.99174359999999995</v>
      </c>
      <c r="AB5713">
        <v>32</v>
      </c>
      <c r="AC5713">
        <v>39.202699999999901</v>
      </c>
      <c r="AD5713">
        <v>-1.1146371744670001</v>
      </c>
      <c r="AE5713">
        <v>-4.8218999999999896</v>
      </c>
      <c r="AF5713">
        <v>5.1160077771880799</v>
      </c>
      <c r="AG5713">
        <v>-1.1146371744670001</v>
      </c>
      <c r="AH5713">
        <v>39.133706754864903</v>
      </c>
      <c r="AI5713">
        <v>91.617744354594507</v>
      </c>
      <c r="AJ5713">
        <v>82.551876995247298</v>
      </c>
      <c r="AK5713">
        <v>39.482438576950997</v>
      </c>
      <c r="AL5713">
        <v>78.422565771535801</v>
      </c>
      <c r="AM5713">
        <v>82.465097088676202</v>
      </c>
      <c r="AN5713">
        <v>0.99999998616714403</v>
      </c>
    </row>
    <row r="5714" spans="1:40" x14ac:dyDescent="0.25">
      <c r="A5714" t="str">
        <f>"20190303170927947"</f>
        <v>20190303170927947</v>
      </c>
      <c r="B5714" t="str">
        <f>"1551604167939804"</f>
        <v>1551604167939804</v>
      </c>
      <c r="C5714" t="s">
        <v>40</v>
      </c>
      <c r="D5714">
        <v>5.4324209999999997</v>
      </c>
      <c r="E5714">
        <v>0.50873670000000004</v>
      </c>
      <c r="F5714" t="s">
        <v>43</v>
      </c>
      <c r="G5714">
        <v>-118.2872</v>
      </c>
      <c r="H5714" s="1">
        <v>-2.134344E-6</v>
      </c>
      <c r="I5714">
        <v>133.7329</v>
      </c>
      <c r="J5714">
        <v>-156.92349999999999</v>
      </c>
      <c r="K5714">
        <v>1.1150329999999999</v>
      </c>
      <c r="L5714">
        <v>138.70099999999999</v>
      </c>
      <c r="M5714">
        <v>0.99994050000000001</v>
      </c>
      <c r="N5714">
        <v>-1.077376E-2</v>
      </c>
      <c r="O5714">
        <v>1.6845919999999999E-3</v>
      </c>
      <c r="P5714">
        <v>0.9746842</v>
      </c>
      <c r="Q5714">
        <v>0.1899786</v>
      </c>
      <c r="R5714">
        <v>-0.1178941</v>
      </c>
      <c r="S5714">
        <v>3.0491640000000002</v>
      </c>
      <c r="T5714">
        <v>-8.7218050000000005E-2</v>
      </c>
      <c r="U5714">
        <v>-0.38900760000000001</v>
      </c>
      <c r="V5714">
        <v>0.1222433</v>
      </c>
      <c r="W5714">
        <v>0.19882739999999999</v>
      </c>
      <c r="X5714">
        <v>0.97238069999999999</v>
      </c>
      <c r="Y5714">
        <v>0.12815219999999999</v>
      </c>
      <c r="Z5714">
        <v>-2.5483089999999999E-3</v>
      </c>
      <c r="AA5714">
        <v>0.9917513</v>
      </c>
      <c r="AB5714">
        <v>32</v>
      </c>
      <c r="AC5714">
        <v>38.636299999999899</v>
      </c>
      <c r="AD5714">
        <v>-1.1150351343439999</v>
      </c>
      <c r="AE5714">
        <v>-4.96809999999999</v>
      </c>
      <c r="AF5714">
        <v>5.0290626220430399</v>
      </c>
      <c r="AG5714">
        <v>-1.1150351343439999</v>
      </c>
      <c r="AH5714">
        <v>38.596252026197398</v>
      </c>
      <c r="AI5714">
        <v>91.640935575729003</v>
      </c>
      <c r="AJ5714">
        <v>82.576227804595803</v>
      </c>
      <c r="AK5714">
        <v>38.938482824540003</v>
      </c>
      <c r="AL5714">
        <v>78.5316029586875</v>
      </c>
      <c r="AM5714">
        <v>82.834624277921293</v>
      </c>
      <c r="AN5714">
        <v>0.99999999255907002</v>
      </c>
    </row>
    <row r="5715" spans="1:40" x14ac:dyDescent="0.25">
      <c r="A5715" t="str">
        <f>"20190303170927979"</f>
        <v>20190303170927979</v>
      </c>
      <c r="B5715" t="str">
        <f>"1551604167970060"</f>
        <v>1551604167970060</v>
      </c>
      <c r="C5715" t="s">
        <v>40</v>
      </c>
      <c r="D5715">
        <v>5.2756179999999997</v>
      </c>
      <c r="E5715">
        <v>0.50834579999999996</v>
      </c>
      <c r="F5715" t="s">
        <v>43</v>
      </c>
      <c r="G5715">
        <v>-121.2945</v>
      </c>
      <c r="H5715" s="1">
        <v>-4.6589789999999998E-6</v>
      </c>
      <c r="I5715">
        <v>134.30549999999999</v>
      </c>
      <c r="J5715">
        <v>-156.45699999999999</v>
      </c>
      <c r="K5715">
        <v>1.115631</v>
      </c>
      <c r="L5715">
        <v>138.69370000000001</v>
      </c>
      <c r="M5715">
        <v>0.99992910000000002</v>
      </c>
      <c r="N5715">
        <v>-1.0461059999999999E-2</v>
      </c>
      <c r="O5715">
        <v>-5.7031219999999997E-3</v>
      </c>
      <c r="P5715">
        <v>0.97475789999999995</v>
      </c>
      <c r="Q5715">
        <v>0.19168350000000001</v>
      </c>
      <c r="R5715">
        <v>-0.1144757</v>
      </c>
      <c r="S5715">
        <v>3.0509949999999999</v>
      </c>
      <c r="T5715">
        <v>-9.5483299999999993E-2</v>
      </c>
      <c r="U5715">
        <v>-0.37640380000000001</v>
      </c>
      <c r="V5715">
        <v>0.1113519</v>
      </c>
      <c r="W5715">
        <v>0.20054259999999999</v>
      </c>
      <c r="X5715">
        <v>0.97333619999999998</v>
      </c>
      <c r="Y5715">
        <v>0.1167059</v>
      </c>
      <c r="Z5715">
        <v>-2.3135009999999999E-3</v>
      </c>
      <c r="AA5715">
        <v>0.99316380000000004</v>
      </c>
      <c r="AB5715">
        <v>32</v>
      </c>
      <c r="AC5715">
        <v>35.162499999999902</v>
      </c>
      <c r="AD5715">
        <v>-1.115635658979</v>
      </c>
      <c r="AE5715">
        <v>-4.3882000000000101</v>
      </c>
      <c r="AF5715">
        <v>4.1834349054483697</v>
      </c>
      <c r="AG5715">
        <v>-1.115635658979</v>
      </c>
      <c r="AH5715">
        <v>35.1521121459784</v>
      </c>
      <c r="AI5715">
        <v>91.805077863880996</v>
      </c>
      <c r="AJ5715">
        <v>83.213179593798401</v>
      </c>
      <c r="AK5715">
        <v>35.417746383065499</v>
      </c>
      <c r="AL5715">
        <v>78.431309048691901</v>
      </c>
      <c r="AM5715">
        <v>83.473604585407401</v>
      </c>
      <c r="AN5715">
        <v>0.99999996913940403</v>
      </c>
    </row>
    <row r="5716" spans="1:40" x14ac:dyDescent="0.25">
      <c r="A5716" t="str">
        <f>"20190303170928007"</f>
        <v>20190303170928007</v>
      </c>
      <c r="B5716" t="str">
        <f>"1551604168000316"</f>
        <v>1551604168000316</v>
      </c>
      <c r="C5716" t="s">
        <v>40</v>
      </c>
      <c r="D5716">
        <v>5.3325100000000001</v>
      </c>
      <c r="E5716">
        <v>0.50823339999999995</v>
      </c>
      <c r="F5716" t="s">
        <v>43</v>
      </c>
      <c r="G5716">
        <v>-121.2587</v>
      </c>
      <c r="H5716" s="1">
        <v>-4.649174E-6</v>
      </c>
      <c r="I5716">
        <v>134.44720000000001</v>
      </c>
      <c r="J5716">
        <v>-156.0607</v>
      </c>
      <c r="K5716">
        <v>1.116115</v>
      </c>
      <c r="L5716">
        <v>138.68549999999999</v>
      </c>
      <c r="M5716">
        <v>0.99988390000000005</v>
      </c>
      <c r="N5716">
        <v>-1.0203459999999999E-2</v>
      </c>
      <c r="O5716">
        <v>-1.132585E-2</v>
      </c>
      <c r="P5716">
        <v>0.97389440000000005</v>
      </c>
      <c r="Q5716">
        <v>0.19505030000000001</v>
      </c>
      <c r="R5716">
        <v>-0.116128</v>
      </c>
      <c r="S5716">
        <v>3.0534520000000001</v>
      </c>
      <c r="T5716">
        <v>-9.6781370000000005E-2</v>
      </c>
      <c r="U5716">
        <v>-0.36837769999999997</v>
      </c>
      <c r="V5716">
        <v>0.10732170000000001</v>
      </c>
      <c r="W5716">
        <v>0.20383019999999999</v>
      </c>
      <c r="X5716">
        <v>0.97310600000000003</v>
      </c>
      <c r="Y5716">
        <v>0.10845340000000001</v>
      </c>
      <c r="Z5716">
        <v>-2.0252360000000001E-3</v>
      </c>
      <c r="AA5716">
        <v>0.99409950000000002</v>
      </c>
      <c r="AB5716">
        <v>32</v>
      </c>
      <c r="AC5716">
        <v>34.8019999999999</v>
      </c>
      <c r="AD5716">
        <v>-1.116119649174</v>
      </c>
      <c r="AE5716">
        <v>-4.2382999999999802</v>
      </c>
      <c r="AF5716">
        <v>3.8399536637724401</v>
      </c>
      <c r="AG5716">
        <v>-1.116119649174</v>
      </c>
      <c r="AH5716">
        <v>34.812490331460502</v>
      </c>
      <c r="AI5716">
        <v>91.825262231220705</v>
      </c>
      <c r="AJ5716">
        <v>83.7054977164603</v>
      </c>
      <c r="AK5716">
        <v>35.0414105065596</v>
      </c>
      <c r="AL5716">
        <v>78.238971269796494</v>
      </c>
      <c r="AM5716">
        <v>83.706410593397905</v>
      </c>
      <c r="AN5716">
        <v>0.99999999247946503</v>
      </c>
    </row>
    <row r="5717" spans="1:40" x14ac:dyDescent="0.25">
      <c r="A5717" t="str">
        <f>"20190303170928032"</f>
        <v>20190303170928032</v>
      </c>
      <c r="B5717" t="str">
        <f>"1551604168019835"</f>
        <v>1551604168019835</v>
      </c>
      <c r="C5717" t="s">
        <v>40</v>
      </c>
      <c r="D5717">
        <v>5.3688570000000002</v>
      </c>
      <c r="E5717">
        <v>0.48282380000000003</v>
      </c>
      <c r="F5717" t="s">
        <v>43</v>
      </c>
      <c r="G5717">
        <v>-115.30629999999999</v>
      </c>
      <c r="H5717" s="1">
        <v>-3.1523599999999998E-6</v>
      </c>
      <c r="I5717">
        <v>133.71950000000001</v>
      </c>
      <c r="J5717">
        <v>-155.7046</v>
      </c>
      <c r="K5717">
        <v>1.116495</v>
      </c>
      <c r="L5717">
        <v>138.67679999999999</v>
      </c>
      <c r="M5717">
        <v>0.99982400000000005</v>
      </c>
      <c r="N5717">
        <v>-9.9834599999999996E-3</v>
      </c>
      <c r="O5717">
        <v>-1.588405E-2</v>
      </c>
      <c r="P5717">
        <v>0.97354070000000004</v>
      </c>
      <c r="Q5717">
        <v>0.19689989999999999</v>
      </c>
      <c r="R5717">
        <v>-0.11597</v>
      </c>
      <c r="S5717">
        <v>3.0527950000000001</v>
      </c>
      <c r="T5717">
        <v>-8.3605170000000006E-2</v>
      </c>
      <c r="U5717">
        <v>-0.37199399999999999</v>
      </c>
      <c r="V5717">
        <v>0.102544</v>
      </c>
      <c r="W5717">
        <v>0.20561550000000001</v>
      </c>
      <c r="X5717">
        <v>0.97324560000000004</v>
      </c>
      <c r="Y5717">
        <v>0.1051246</v>
      </c>
      <c r="Z5717">
        <v>-1.6855730000000001E-3</v>
      </c>
      <c r="AA5717">
        <v>0.99445760000000005</v>
      </c>
      <c r="AB5717">
        <v>32</v>
      </c>
      <c r="AC5717">
        <v>40.398299999999999</v>
      </c>
      <c r="AD5717">
        <v>-1.1164981523599999</v>
      </c>
      <c r="AE5717">
        <v>-4.9572999999999698</v>
      </c>
      <c r="AF5717">
        <v>4.3117094250344596</v>
      </c>
      <c r="AG5717">
        <v>-1.1164981523599999</v>
      </c>
      <c r="AH5717">
        <v>40.4415170712467</v>
      </c>
      <c r="AI5717">
        <v>91.572496765361905</v>
      </c>
      <c r="AJ5717">
        <v>83.914346894791805</v>
      </c>
      <c r="AK5717">
        <v>40.686038260244601</v>
      </c>
      <c r="AL5717">
        <v>78.134467823165096</v>
      </c>
      <c r="AM5717">
        <v>83.985340694793805</v>
      </c>
      <c r="AN5717">
        <v>1.0000000018477999</v>
      </c>
    </row>
    <row r="5718" spans="1:40" x14ac:dyDescent="0.25">
      <c r="A5718" t="str">
        <f>"20190303170928055"</f>
        <v>20190303170928055</v>
      </c>
      <c r="B5718" t="str">
        <f>"1551604168050091"</f>
        <v>1551604168050091</v>
      </c>
      <c r="C5718" t="s">
        <v>40</v>
      </c>
      <c r="D5718">
        <v>5.483155</v>
      </c>
      <c r="E5718">
        <v>0.47576220000000002</v>
      </c>
      <c r="F5718" t="s">
        <v>43</v>
      </c>
      <c r="G5718">
        <v>-82.347759999999994</v>
      </c>
      <c r="H5718" s="1">
        <v>-4.1579210000000004E-6</v>
      </c>
      <c r="I5718">
        <v>134.583</v>
      </c>
      <c r="J5718">
        <v>-155.35130000000001</v>
      </c>
      <c r="K5718">
        <v>1.1168389999999999</v>
      </c>
      <c r="L5718">
        <v>138.6669</v>
      </c>
      <c r="M5718">
        <v>0.99975320000000001</v>
      </c>
      <c r="N5718">
        <v>-9.7675430000000001E-3</v>
      </c>
      <c r="O5718">
        <v>-1.995392E-2</v>
      </c>
      <c r="P5718">
        <v>0.97368600000000005</v>
      </c>
      <c r="Q5718">
        <v>0.19680059999999999</v>
      </c>
      <c r="R5718">
        <v>-0.1149138</v>
      </c>
      <c r="S5718">
        <v>3.0705870000000002</v>
      </c>
      <c r="T5718">
        <v>-4.6734690000000002E-2</v>
      </c>
      <c r="U5718">
        <v>-0.17135619999999999</v>
      </c>
      <c r="V5718">
        <v>9.7333799999999998E-2</v>
      </c>
      <c r="W5718">
        <v>0.20544519999999999</v>
      </c>
      <c r="X5718">
        <v>0.97381640000000003</v>
      </c>
      <c r="Y5718">
        <v>3.5777539999999997E-2</v>
      </c>
      <c r="Z5718">
        <v>-3.383242E-4</v>
      </c>
      <c r="AA5718">
        <v>0.99935969999999996</v>
      </c>
      <c r="AB5718">
        <v>32</v>
      </c>
      <c r="AC5718">
        <v>73.003540000000001</v>
      </c>
      <c r="AD5718">
        <v>-1.1168431579210001</v>
      </c>
      <c r="AE5718">
        <v>-4.0838999999999999</v>
      </c>
      <c r="AF5718">
        <v>2.6256979381996</v>
      </c>
      <c r="AG5718">
        <v>-1.1168431579210001</v>
      </c>
      <c r="AH5718">
        <v>73.053453016204898</v>
      </c>
      <c r="AI5718">
        <v>90.875306081510203</v>
      </c>
      <c r="AJ5718">
        <v>87.941552765545595</v>
      </c>
      <c r="AK5718">
        <v>73.109155554505705</v>
      </c>
      <c r="AL5718">
        <v>78.144438009466299</v>
      </c>
      <c r="AM5718">
        <v>84.292193737293502</v>
      </c>
      <c r="AN5718">
        <v>0.99999998986722005</v>
      </c>
    </row>
    <row r="5719" spans="1:40" x14ac:dyDescent="0.25">
      <c r="A5719" t="str">
        <f>"20190303170928080"</f>
        <v>20190303170928080</v>
      </c>
      <c r="B5719" t="str">
        <f>"1551604168069612"</f>
        <v>1551604168069612</v>
      </c>
      <c r="C5719" t="s">
        <v>40</v>
      </c>
      <c r="D5719">
        <v>5.4263110000000001</v>
      </c>
      <c r="E5719">
        <v>0.4743521</v>
      </c>
      <c r="F5719" t="s">
        <v>43</v>
      </c>
      <c r="G5719">
        <v>-75.399969999999996</v>
      </c>
      <c r="H5719" s="1">
        <v>-2.6467800000000001E-6</v>
      </c>
      <c r="I5719">
        <v>135.72049999999999</v>
      </c>
      <c r="J5719">
        <v>-155.01419999999999</v>
      </c>
      <c r="K5719">
        <v>1.1171279999999999</v>
      </c>
      <c r="L5719">
        <v>138.65649999999999</v>
      </c>
      <c r="M5719">
        <v>0.99967799999999996</v>
      </c>
      <c r="N5719">
        <v>-9.5702909999999999E-3</v>
      </c>
      <c r="O5719">
        <v>-2.3507460000000001E-2</v>
      </c>
      <c r="P5719">
        <v>0.97393600000000002</v>
      </c>
      <c r="Q5719">
        <v>0.19656480000000001</v>
      </c>
      <c r="R5719">
        <v>-0.11318780000000001</v>
      </c>
      <c r="S5719">
        <v>3.0763850000000001</v>
      </c>
      <c r="T5719">
        <v>-4.2974110000000003E-2</v>
      </c>
      <c r="U5719">
        <v>-0.1133728</v>
      </c>
      <c r="V5719">
        <v>9.1980900000000004E-2</v>
      </c>
      <c r="W5719">
        <v>0.20513670000000001</v>
      </c>
      <c r="X5719">
        <v>0.97440159999999998</v>
      </c>
      <c r="Y5719">
        <v>1.332288E-2</v>
      </c>
      <c r="Z5719" s="1">
        <v>-5.3545719999999898E-5</v>
      </c>
      <c r="AA5719">
        <v>0.9999112</v>
      </c>
      <c r="AB5719">
        <v>32</v>
      </c>
      <c r="AC5719">
        <v>79.614229999999907</v>
      </c>
      <c r="AD5719">
        <v>-1.11713064678</v>
      </c>
      <c r="AE5719">
        <v>-2.9359999999999999</v>
      </c>
      <c r="AF5719">
        <v>1.06336574870436</v>
      </c>
      <c r="AG5719">
        <v>-1.11713064678</v>
      </c>
      <c r="AH5719">
        <v>79.645588339650601</v>
      </c>
      <c r="AI5719">
        <v>90.803521860696605</v>
      </c>
      <c r="AJ5719">
        <v>89.235076907685595</v>
      </c>
      <c r="AK5719">
        <v>79.660520143710897</v>
      </c>
      <c r="AL5719">
        <v>78.162498726962596</v>
      </c>
      <c r="AM5719">
        <v>84.607411583907705</v>
      </c>
      <c r="AN5719">
        <v>1.00000001486713</v>
      </c>
    </row>
    <row r="5720" spans="1:40" x14ac:dyDescent="0.25">
      <c r="A5720" t="str">
        <f>"20190303170928116"</f>
        <v>20190303170928116</v>
      </c>
      <c r="B5720" t="str">
        <f>"1551604168109627"</f>
        <v>1551604168109627</v>
      </c>
      <c r="C5720" t="s">
        <v>40</v>
      </c>
      <c r="D5720">
        <v>5.4219119999999998</v>
      </c>
      <c r="E5720">
        <v>0.4729138</v>
      </c>
      <c r="F5720" t="s">
        <v>43</v>
      </c>
      <c r="G5720">
        <v>-82.818529999999996</v>
      </c>
      <c r="H5720" s="1">
        <v>-3.6385599999999999E-6</v>
      </c>
      <c r="I5720">
        <v>136.3724</v>
      </c>
      <c r="J5720">
        <v>-154.4922</v>
      </c>
      <c r="K5720">
        <v>1.117553</v>
      </c>
      <c r="L5720">
        <v>138.6387</v>
      </c>
      <c r="M5720">
        <v>0.99955479999999997</v>
      </c>
      <c r="N5720">
        <v>-9.2844320000000004E-3</v>
      </c>
      <c r="O5720">
        <v>-2.835907E-2</v>
      </c>
      <c r="P5720">
        <v>0.97469479999999997</v>
      </c>
      <c r="Q5720">
        <v>0.19488949999999999</v>
      </c>
      <c r="R5720">
        <v>-0.10949109999999999</v>
      </c>
      <c r="S5720">
        <v>3.0785680000000002</v>
      </c>
      <c r="T5720">
        <v>-4.7636749999999999E-2</v>
      </c>
      <c r="U5720">
        <v>-9.7396849999999993E-2</v>
      </c>
      <c r="V5720">
        <v>8.3292069999999996E-2</v>
      </c>
      <c r="W5720">
        <v>0.20335310000000001</v>
      </c>
      <c r="X5720">
        <v>0.97555630000000004</v>
      </c>
      <c r="Y5720">
        <v>3.262338E-3</v>
      </c>
      <c r="Z5720">
        <v>1.3491990000000001E-4</v>
      </c>
      <c r="AA5720">
        <v>0.99999470000000001</v>
      </c>
      <c r="AB5720">
        <v>32</v>
      </c>
      <c r="AC5720">
        <v>71.673669999999902</v>
      </c>
      <c r="AD5720">
        <v>-1.11755663856</v>
      </c>
      <c r="AE5720">
        <v>-2.2663000000000002</v>
      </c>
      <c r="AF5720">
        <v>0.232645916627127</v>
      </c>
      <c r="AG5720">
        <v>-1.11755663856</v>
      </c>
      <c r="AH5720">
        <v>71.691701101807794</v>
      </c>
      <c r="AI5720">
        <v>90.893070676168904</v>
      </c>
      <c r="AJ5720">
        <v>89.814070775982898</v>
      </c>
      <c r="AK5720">
        <v>71.700788446389197</v>
      </c>
      <c r="AL5720">
        <v>78.266892820741802</v>
      </c>
      <c r="AM5720">
        <v>85.119975599945704</v>
      </c>
      <c r="AN5720">
        <v>1.00000007333708</v>
      </c>
    </row>
    <row r="5721" spans="1:40" x14ac:dyDescent="0.25">
      <c r="A5721" t="str">
        <f>"20190303170928158"</f>
        <v>20190303170928158</v>
      </c>
      <c r="B5721" t="str">
        <f>"1551604168150151"</f>
        <v>1551604168150151</v>
      </c>
      <c r="C5721" t="s">
        <v>40</v>
      </c>
      <c r="D5721">
        <v>5.4150859999999996</v>
      </c>
      <c r="E5721">
        <v>0.47227269999999999</v>
      </c>
      <c r="F5721" t="s">
        <v>43</v>
      </c>
      <c r="G5721">
        <v>-94.539019999999994</v>
      </c>
      <c r="H5721" s="1">
        <v>-2.7607199999999998E-6</v>
      </c>
      <c r="I5721">
        <v>137.16030000000001</v>
      </c>
      <c r="J5721">
        <v>-153.86000000000001</v>
      </c>
      <c r="K5721">
        <v>1.118047</v>
      </c>
      <c r="L5721">
        <v>138.61490000000001</v>
      </c>
      <c r="M5721">
        <v>0.99940850000000003</v>
      </c>
      <c r="N5721">
        <v>-8.9796570000000003E-3</v>
      </c>
      <c r="O5721">
        <v>-3.3197129999999998E-2</v>
      </c>
      <c r="P5721">
        <v>0.97559030000000002</v>
      </c>
      <c r="Q5721">
        <v>0.19288169999999999</v>
      </c>
      <c r="R5721">
        <v>-0.10497769999999999</v>
      </c>
      <c r="S5721">
        <v>3.0808409999999999</v>
      </c>
      <c r="T5721">
        <v>-5.7428359999999998E-2</v>
      </c>
      <c r="U5721">
        <v>-7.5973509999999994E-2</v>
      </c>
      <c r="V5721">
        <v>7.3744859999999995E-2</v>
      </c>
      <c r="W5721">
        <v>0.20122039999999999</v>
      </c>
      <c r="X5721">
        <v>0.97676609999999997</v>
      </c>
      <c r="Y5721">
        <v>-8.545726E-3</v>
      </c>
      <c r="Z5721">
        <v>4.384061E-4</v>
      </c>
      <c r="AA5721">
        <v>0.99996339999999995</v>
      </c>
      <c r="AB5721">
        <v>32</v>
      </c>
      <c r="AC5721">
        <v>59.320979999999999</v>
      </c>
      <c r="AD5721">
        <v>-1.11804976072</v>
      </c>
      <c r="AE5721">
        <v>-1.4545999999999899</v>
      </c>
      <c r="AF5721">
        <v>-0.51538449032093803</v>
      </c>
      <c r="AG5721">
        <v>-1.11804976072</v>
      </c>
      <c r="AH5721">
        <v>59.315513723814597</v>
      </c>
      <c r="AI5721">
        <v>91.0798107681738</v>
      </c>
      <c r="AJ5721">
        <v>90.497822764770504</v>
      </c>
      <c r="AK5721">
        <v>59.3282885709705</v>
      </c>
      <c r="AL5721">
        <v>78.391666036707903</v>
      </c>
      <c r="AM5721">
        <v>85.682417280791299</v>
      </c>
      <c r="AN5721">
        <v>0.99999998393089395</v>
      </c>
    </row>
    <row r="5722" spans="1:40" x14ac:dyDescent="0.25">
      <c r="A5722" t="str">
        <f>"20190303170928186"</f>
        <v>20190303170928186</v>
      </c>
      <c r="B5722" t="str">
        <f>"1551604168179431"</f>
        <v>1551604168179431</v>
      </c>
      <c r="C5722" t="s">
        <v>40</v>
      </c>
      <c r="D5722">
        <v>5.445252</v>
      </c>
      <c r="E5722">
        <v>0.47187610000000002</v>
      </c>
      <c r="F5722" t="s">
        <v>43</v>
      </c>
      <c r="G5722">
        <v>-102.69450000000001</v>
      </c>
      <c r="H5722" s="1">
        <v>-3.7829019999999999E-6</v>
      </c>
      <c r="I5722">
        <v>137.64830000000001</v>
      </c>
      <c r="J5722">
        <v>-153.46010000000001</v>
      </c>
      <c r="K5722">
        <v>1.1183559999999999</v>
      </c>
      <c r="L5722">
        <v>138.59899999999999</v>
      </c>
      <c r="M5722">
        <v>0.99932379999999998</v>
      </c>
      <c r="N5722">
        <v>-8.803155E-3</v>
      </c>
      <c r="O5722">
        <v>-3.5699979999999999E-2</v>
      </c>
      <c r="P5722">
        <v>0.97585270000000002</v>
      </c>
      <c r="Q5722">
        <v>0.1915357</v>
      </c>
      <c r="R5722">
        <v>-0.1050036</v>
      </c>
      <c r="S5722">
        <v>3.0821079999999998</v>
      </c>
      <c r="T5722">
        <v>-6.7349199999999998E-2</v>
      </c>
      <c r="U5722">
        <v>-5.8227540000000001E-2</v>
      </c>
      <c r="V5722">
        <v>7.1140040000000002E-2</v>
      </c>
      <c r="W5722">
        <v>0.19977829999999999</v>
      </c>
      <c r="X5722">
        <v>0.97725519999999999</v>
      </c>
      <c r="Y5722">
        <v>-1.6809629999999999E-2</v>
      </c>
      <c r="Z5722">
        <v>7.2307699999999905E-4</v>
      </c>
      <c r="AA5722">
        <v>0.99985840000000004</v>
      </c>
      <c r="AB5722">
        <v>33</v>
      </c>
      <c r="AC5722">
        <v>50.765599999999999</v>
      </c>
      <c r="AD5722">
        <v>-1.118359782902</v>
      </c>
      <c r="AE5722">
        <v>-0.950699999999983</v>
      </c>
      <c r="AF5722">
        <v>-0.86188902198921102</v>
      </c>
      <c r="AG5722">
        <v>-1.118359782902</v>
      </c>
      <c r="AH5722">
        <v>50.742560864957603</v>
      </c>
      <c r="AI5722">
        <v>91.262405468559805</v>
      </c>
      <c r="AJ5722">
        <v>90.973105303634597</v>
      </c>
      <c r="AK5722">
        <v>50.762201138486603</v>
      </c>
      <c r="AL5722">
        <v>78.476005078630706</v>
      </c>
      <c r="AM5722">
        <v>85.836454048241905</v>
      </c>
      <c r="AN5722">
        <v>1.0000000001845599</v>
      </c>
    </row>
    <row r="5723" spans="1:40" x14ac:dyDescent="0.25">
      <c r="A5723" t="str">
        <f>"20190303170928211"</f>
        <v>20190303170928211</v>
      </c>
      <c r="B5723" t="str">
        <f>"1551604168199927"</f>
        <v>1551604168199927</v>
      </c>
      <c r="C5723" t="s">
        <v>40</v>
      </c>
      <c r="D5723">
        <v>5.4331149999999999</v>
      </c>
      <c r="E5723">
        <v>0.47164790000000001</v>
      </c>
      <c r="F5723" t="s">
        <v>43</v>
      </c>
      <c r="G5723">
        <v>-106.8035</v>
      </c>
      <c r="H5723" s="1">
        <v>-1.818338E-6</v>
      </c>
      <c r="I5723">
        <v>137.77359999999999</v>
      </c>
      <c r="J5723">
        <v>-153.10329999999999</v>
      </c>
      <c r="K5723">
        <v>1.118673</v>
      </c>
      <c r="L5723">
        <v>138.58430000000001</v>
      </c>
      <c r="M5723">
        <v>0.99926139999999997</v>
      </c>
      <c r="N5723">
        <v>-8.6549750000000005E-3</v>
      </c>
      <c r="O5723">
        <v>-3.7441090000000003E-2</v>
      </c>
      <c r="P5723">
        <v>0.97577689999999995</v>
      </c>
      <c r="Q5723">
        <v>0.1915251</v>
      </c>
      <c r="R5723">
        <v>-0.1057265</v>
      </c>
      <c r="S5723">
        <v>3.0828700000000002</v>
      </c>
      <c r="T5723">
        <v>-7.3896409999999996E-2</v>
      </c>
      <c r="U5723">
        <v>-5.4534909999999999E-2</v>
      </c>
      <c r="V5723">
        <v>6.9994920000000002E-2</v>
      </c>
      <c r="W5723">
        <v>0.1996858</v>
      </c>
      <c r="X5723">
        <v>0.97735680000000003</v>
      </c>
      <c r="Y5723">
        <v>-1.9750050000000002E-2</v>
      </c>
      <c r="Z5723">
        <v>8.9509089999999995E-4</v>
      </c>
      <c r="AA5723">
        <v>0.99980460000000004</v>
      </c>
      <c r="AB5723">
        <v>33</v>
      </c>
      <c r="AC5723">
        <v>46.299799999999898</v>
      </c>
      <c r="AD5723">
        <v>-1.118674818338</v>
      </c>
      <c r="AE5723">
        <v>-0.81070000000002496</v>
      </c>
      <c r="AF5723">
        <v>-0.92290969686471502</v>
      </c>
      <c r="AG5723">
        <v>-1.118674818338</v>
      </c>
      <c r="AH5723">
        <v>46.270684832130499</v>
      </c>
      <c r="AI5723">
        <v>91.384680679977805</v>
      </c>
      <c r="AJ5723">
        <v>91.142663437113498</v>
      </c>
      <c r="AK5723">
        <v>46.293406339262901</v>
      </c>
      <c r="AL5723">
        <v>78.481414050061503</v>
      </c>
      <c r="AM5723">
        <v>85.903667781013894</v>
      </c>
      <c r="AN5723">
        <v>1.0000000110268401</v>
      </c>
    </row>
    <row r="5724" spans="1:40" x14ac:dyDescent="0.25">
      <c r="A5724" t="str">
        <f>"20190303170928235"</f>
        <v>20190303170928235</v>
      </c>
      <c r="B5724" t="str">
        <f>"1551604168230182"</f>
        <v>1551604168230182</v>
      </c>
      <c r="C5724" t="s">
        <v>40</v>
      </c>
      <c r="D5724">
        <v>5.5017809999999896</v>
      </c>
      <c r="E5724">
        <v>0.47172579999999997</v>
      </c>
      <c r="F5724" t="s">
        <v>43</v>
      </c>
      <c r="G5724">
        <v>-106.8729</v>
      </c>
      <c r="H5724" s="1">
        <v>-1.7812950000000001E-6</v>
      </c>
      <c r="I5724">
        <v>137.79750000000001</v>
      </c>
      <c r="J5724">
        <v>-152.7449</v>
      </c>
      <c r="K5724">
        <v>1.1190659999999999</v>
      </c>
      <c r="L5724">
        <v>138.5694</v>
      </c>
      <c r="M5724">
        <v>0.99921910000000003</v>
      </c>
      <c r="N5724">
        <v>-8.5098429999999996E-3</v>
      </c>
      <c r="O5724">
        <v>-3.85898E-2</v>
      </c>
      <c r="P5724">
        <v>0.9757209</v>
      </c>
      <c r="Q5724">
        <v>0.1914874</v>
      </c>
      <c r="R5724">
        <v>-0.10630920000000001</v>
      </c>
      <c r="S5724">
        <v>3.0834350000000001</v>
      </c>
      <c r="T5724">
        <v>-7.4612380000000006E-2</v>
      </c>
      <c r="U5724">
        <v>-5.2474979999999997E-2</v>
      </c>
      <c r="V5724">
        <v>6.9255720000000007E-2</v>
      </c>
      <c r="W5724">
        <v>0.1995779</v>
      </c>
      <c r="X5724">
        <v>0.97743150000000001</v>
      </c>
      <c r="Y5724">
        <v>-2.1569129999999999E-2</v>
      </c>
      <c r="Z5724">
        <v>9.5760889999999997E-4</v>
      </c>
      <c r="AA5724">
        <v>0.99976690000000001</v>
      </c>
      <c r="AB5724">
        <v>33</v>
      </c>
      <c r="AC5724">
        <v>45.872</v>
      </c>
      <c r="AD5724">
        <v>-1.1190677812949901</v>
      </c>
      <c r="AE5724">
        <v>-0.77189999999998704</v>
      </c>
      <c r="AF5724">
        <v>-0.99833607398951196</v>
      </c>
      <c r="AG5724">
        <v>-1.1190677812949901</v>
      </c>
      <c r="AH5724">
        <v>45.840344095410302</v>
      </c>
      <c r="AI5724">
        <v>91.398112038507406</v>
      </c>
      <c r="AJ5724">
        <v>91.247621582893998</v>
      </c>
      <c r="AK5724">
        <v>45.864868193437403</v>
      </c>
      <c r="AL5724">
        <v>78.4877233099443</v>
      </c>
      <c r="AM5724">
        <v>85.947091972658995</v>
      </c>
      <c r="AN5724">
        <v>1.0000000150566799</v>
      </c>
    </row>
    <row r="5725" spans="1:40" x14ac:dyDescent="0.25">
      <c r="A5725" t="str">
        <f>"20190303170928258"</f>
        <v>20190303170928258</v>
      </c>
      <c r="B5725" t="str">
        <f>"1551604168250208"</f>
        <v>1551604168250208</v>
      </c>
      <c r="C5725" t="s">
        <v>40</v>
      </c>
      <c r="D5725">
        <v>5.4469399999999997</v>
      </c>
      <c r="E5725">
        <v>0.471752</v>
      </c>
      <c r="F5725" t="s">
        <v>43</v>
      </c>
      <c r="G5725">
        <v>-106.5812</v>
      </c>
      <c r="H5725" s="1">
        <v>-1.9214919999999999E-6</v>
      </c>
      <c r="I5725">
        <v>137.78450000000001</v>
      </c>
      <c r="J5725">
        <v>-152.4127</v>
      </c>
      <c r="K5725">
        <v>1.119429</v>
      </c>
      <c r="L5725">
        <v>138.5558</v>
      </c>
      <c r="M5725">
        <v>0.9991951</v>
      </c>
      <c r="N5725">
        <v>-8.382044E-3</v>
      </c>
      <c r="O5725">
        <v>-3.9228899999999997E-2</v>
      </c>
      <c r="P5725">
        <v>0.9758829</v>
      </c>
      <c r="Q5725">
        <v>0.1903483</v>
      </c>
      <c r="R5725">
        <v>-0.106864899999999</v>
      </c>
      <c r="S5725">
        <v>3.0836030000000001</v>
      </c>
      <c r="T5725">
        <v>-7.4750419999999998E-2</v>
      </c>
      <c r="U5725">
        <v>-5.2429199999999898E-2</v>
      </c>
      <c r="V5725">
        <v>6.8989690000000006E-2</v>
      </c>
      <c r="W5725">
        <v>0.19838020000000001</v>
      </c>
      <c r="X5725">
        <v>0.97769410000000001</v>
      </c>
      <c r="Y5725">
        <v>-2.222387E-2</v>
      </c>
      <c r="Z5725">
        <v>9.841037999999999E-4</v>
      </c>
      <c r="AA5725">
        <v>0.99975250000000004</v>
      </c>
      <c r="AB5725">
        <v>33</v>
      </c>
      <c r="AC5725">
        <v>45.831499999999998</v>
      </c>
      <c r="AD5725">
        <v>-1.119430921492</v>
      </c>
      <c r="AE5725">
        <v>-0.77129999999999599</v>
      </c>
      <c r="AF5725">
        <v>-1.0266639205466901</v>
      </c>
      <c r="AG5725">
        <v>-1.119430921492</v>
      </c>
      <c r="AH5725">
        <v>45.799162069835603</v>
      </c>
      <c r="AI5725">
        <v>91.399802900594807</v>
      </c>
      <c r="AJ5725">
        <v>91.284164532174501</v>
      </c>
      <c r="AK5725">
        <v>45.824342992483999</v>
      </c>
      <c r="AL5725">
        <v>78.557746697927598</v>
      </c>
      <c r="AM5725">
        <v>85.963689531204295</v>
      </c>
      <c r="AN5725">
        <v>1.0000000171265699</v>
      </c>
    </row>
    <row r="5726" spans="1:40" x14ac:dyDescent="0.25">
      <c r="A5726" t="str">
        <f>"20190303170928293"</f>
        <v>20190303170928293</v>
      </c>
      <c r="B5726" t="str">
        <f>"1551604168290225"</f>
        <v>1551604168290225</v>
      </c>
      <c r="C5726" t="s">
        <v>40</v>
      </c>
      <c r="D5726">
        <v>5.4560019999999998</v>
      </c>
      <c r="E5726">
        <v>0.47187829999999897</v>
      </c>
      <c r="F5726" t="s">
        <v>43</v>
      </c>
      <c r="G5726">
        <v>-108.31189999999999</v>
      </c>
      <c r="H5726" s="1">
        <v>-1.1163E-6</v>
      </c>
      <c r="I5726">
        <v>137.7979</v>
      </c>
      <c r="J5726">
        <v>-151.88759999999999</v>
      </c>
      <c r="K5726">
        <v>1.1199870000000001</v>
      </c>
      <c r="L5726">
        <v>138.53479999999999</v>
      </c>
      <c r="M5726">
        <v>0.999193</v>
      </c>
      <c r="N5726">
        <v>-8.191584E-3</v>
      </c>
      <c r="O5726">
        <v>-3.9320769999999998E-2</v>
      </c>
      <c r="P5726">
        <v>0.9760721</v>
      </c>
      <c r="Q5726">
        <v>0.1880386</v>
      </c>
      <c r="R5726">
        <v>-0.1092011</v>
      </c>
      <c r="S5726">
        <v>3.0836030000000001</v>
      </c>
      <c r="T5726">
        <v>-7.8272460000000002E-2</v>
      </c>
      <c r="U5726">
        <v>-5.2993770000000003E-2</v>
      </c>
      <c r="V5726">
        <v>7.0930289999999993E-2</v>
      </c>
      <c r="W5726">
        <v>0.19598670000000001</v>
      </c>
      <c r="X5726">
        <v>0.97803790000000002</v>
      </c>
      <c r="Y5726">
        <v>-2.213122E-2</v>
      </c>
      <c r="Z5726">
        <v>1.046939E-3</v>
      </c>
      <c r="AA5726">
        <v>0.99975449999999999</v>
      </c>
      <c r="AB5726">
        <v>33</v>
      </c>
      <c r="AC5726">
        <v>43.575699999999998</v>
      </c>
      <c r="AD5726">
        <v>-1.1199881163000001</v>
      </c>
      <c r="AE5726">
        <v>-0.73689999999999101</v>
      </c>
      <c r="AF5726">
        <v>-0.97651270209496399</v>
      </c>
      <c r="AG5726">
        <v>-1.1199881163000001</v>
      </c>
      <c r="AH5726">
        <v>43.542218722734901</v>
      </c>
      <c r="AI5726">
        <v>91.4730605527119</v>
      </c>
      <c r="AJ5726">
        <v>91.284745718097795</v>
      </c>
      <c r="AK5726">
        <v>43.567565478650401</v>
      </c>
      <c r="AL5726">
        <v>78.697630532240694</v>
      </c>
      <c r="AM5726">
        <v>85.851997502752099</v>
      </c>
      <c r="AN5726">
        <v>1.00000001322639</v>
      </c>
    </row>
    <row r="5727" spans="1:40" x14ac:dyDescent="0.25">
      <c r="A5727" t="str">
        <f>"20190303170928325"</f>
        <v>20190303170928325</v>
      </c>
      <c r="B5727" t="str">
        <f>"1551604168319504"</f>
        <v>1551604168319504</v>
      </c>
      <c r="C5727" t="s">
        <v>40</v>
      </c>
      <c r="D5727">
        <v>5.4128160000000003</v>
      </c>
      <c r="E5727">
        <v>0.4719547</v>
      </c>
      <c r="F5727" t="s">
        <v>43</v>
      </c>
      <c r="G5727">
        <v>-111.5916</v>
      </c>
      <c r="H5727" s="1">
        <v>-3.9152600000000002E-6</v>
      </c>
      <c r="I5727">
        <v>137.77979999999999</v>
      </c>
      <c r="J5727">
        <v>-151.4204</v>
      </c>
      <c r="K5727">
        <v>1.120493</v>
      </c>
      <c r="L5727">
        <v>138.5171</v>
      </c>
      <c r="M5727">
        <v>0.99923019999999996</v>
      </c>
      <c r="N5727">
        <v>-8.033943E-3</v>
      </c>
      <c r="O5727">
        <v>-3.8398389999999998E-2</v>
      </c>
      <c r="P5727">
        <v>0.97625649999999997</v>
      </c>
      <c r="Q5727">
        <v>0.1862751</v>
      </c>
      <c r="R5727">
        <v>-0.11056489999999999</v>
      </c>
      <c r="S5727">
        <v>3.0835720000000002</v>
      </c>
      <c r="T5727">
        <v>-8.5705039999999996E-2</v>
      </c>
      <c r="U5727">
        <v>-5.776978E-2</v>
      </c>
      <c r="V5727">
        <v>7.2936210000000001E-2</v>
      </c>
      <c r="W5727">
        <v>0.19416320000000001</v>
      </c>
      <c r="X5727">
        <v>0.97825399999999996</v>
      </c>
      <c r="Y5727">
        <v>-1.9658040000000002E-2</v>
      </c>
      <c r="Z5727">
        <v>1.1102499999999999E-3</v>
      </c>
      <c r="AA5727">
        <v>0.99980619999999998</v>
      </c>
      <c r="AB5727">
        <v>33</v>
      </c>
      <c r="AC5727">
        <v>39.828800000000001</v>
      </c>
      <c r="AD5727">
        <v>-1.1204969152599999</v>
      </c>
      <c r="AE5727">
        <v>-0.73730000000000395</v>
      </c>
      <c r="AF5727">
        <v>-0.79202831988156497</v>
      </c>
      <c r="AG5727">
        <v>-1.1204969152599999</v>
      </c>
      <c r="AH5727">
        <v>39.796250603366701</v>
      </c>
      <c r="AI5727">
        <v>91.612465641632994</v>
      </c>
      <c r="AJ5727">
        <v>91.140154893225898</v>
      </c>
      <c r="AK5727">
        <v>39.819899350482601</v>
      </c>
      <c r="AL5727">
        <v>78.804155370343693</v>
      </c>
      <c r="AM5727">
        <v>85.736056890881699</v>
      </c>
      <c r="AN5727">
        <v>0.99999996373970101</v>
      </c>
    </row>
    <row r="5728" spans="1:40" x14ac:dyDescent="0.25">
      <c r="A5728" t="str">
        <f>"20190303170928359"</f>
        <v>20190303170928359</v>
      </c>
      <c r="B5728" t="str">
        <f>"1551604168349761"</f>
        <v>1551604168349761</v>
      </c>
      <c r="C5728" t="s">
        <v>40</v>
      </c>
      <c r="D5728">
        <v>5.4311879999999997</v>
      </c>
      <c r="E5728">
        <v>0.47196779999999999</v>
      </c>
      <c r="F5728" t="s">
        <v>43</v>
      </c>
      <c r="G5728">
        <v>-113.5026</v>
      </c>
      <c r="H5728" s="1">
        <v>-3.0965150000000001E-6</v>
      </c>
      <c r="I5728">
        <v>137.77359999999999</v>
      </c>
      <c r="J5728">
        <v>-150.90450000000001</v>
      </c>
      <c r="K5728">
        <v>1.121022</v>
      </c>
      <c r="L5728">
        <v>138.499</v>
      </c>
      <c r="M5728">
        <v>0.99930669999999999</v>
      </c>
      <c r="N5728">
        <v>-7.8765680000000005E-3</v>
      </c>
      <c r="O5728">
        <v>-3.6390899999999997E-2</v>
      </c>
      <c r="P5728">
        <v>0.97786629999999997</v>
      </c>
      <c r="Q5728">
        <v>0.17973649999999999</v>
      </c>
      <c r="R5728">
        <v>-0.10710980000000001</v>
      </c>
      <c r="S5728">
        <v>3.0834809999999999</v>
      </c>
      <c r="T5728">
        <v>-9.1118809999999995E-2</v>
      </c>
      <c r="U5728">
        <v>-6.045532E-2</v>
      </c>
      <c r="V5728">
        <v>7.1136660000000004E-2</v>
      </c>
      <c r="W5728">
        <v>0.18757889999999999</v>
      </c>
      <c r="X5728">
        <v>0.97967020000000005</v>
      </c>
      <c r="Y5728">
        <v>-1.6777790000000001E-2</v>
      </c>
      <c r="Z5728">
        <v>1.102043E-3</v>
      </c>
      <c r="AA5728">
        <v>0.99985860000000004</v>
      </c>
      <c r="AB5728">
        <v>33</v>
      </c>
      <c r="AC5728">
        <v>37.401899999999998</v>
      </c>
      <c r="AD5728">
        <v>-1.1210250965149999</v>
      </c>
      <c r="AE5728">
        <v>-0.72540000000000704</v>
      </c>
      <c r="AF5728">
        <v>-0.63564057861213896</v>
      </c>
      <c r="AG5728">
        <v>-1.1210250965149999</v>
      </c>
      <c r="AH5728">
        <v>37.369964902481598</v>
      </c>
      <c r="AI5728">
        <v>91.717996517391796</v>
      </c>
      <c r="AJ5728">
        <v>90.974472704282903</v>
      </c>
      <c r="AK5728">
        <v>37.392178500655803</v>
      </c>
      <c r="AL5728">
        <v>79.188474659738006</v>
      </c>
      <c r="AM5728">
        <v>85.8468783497391</v>
      </c>
      <c r="AN5728">
        <v>0.99999998444460203</v>
      </c>
    </row>
    <row r="5729" spans="1:40" x14ac:dyDescent="0.25">
      <c r="A5729" t="str">
        <f>"20190303170928386"</f>
        <v>20190303170928386</v>
      </c>
      <c r="B5729" t="str">
        <f>"1551604168380016"</f>
        <v>1551604168380016</v>
      </c>
      <c r="C5729" t="s">
        <v>40</v>
      </c>
      <c r="D5729">
        <v>5.4490270000000001</v>
      </c>
      <c r="E5729">
        <v>0.47193099999999999</v>
      </c>
      <c r="F5729" t="s">
        <v>43</v>
      </c>
      <c r="G5729">
        <v>-120.3429</v>
      </c>
      <c r="H5729" s="1">
        <v>-4.4150720000000004E-6</v>
      </c>
      <c r="I5729">
        <v>137.982</v>
      </c>
      <c r="J5729">
        <v>-150.49700000000001</v>
      </c>
      <c r="K5729">
        <v>1.1214440000000001</v>
      </c>
      <c r="L5729">
        <v>138.48609999999999</v>
      </c>
      <c r="M5729">
        <v>0.99938629999999995</v>
      </c>
      <c r="N5729">
        <v>-7.7677800000000002E-3</v>
      </c>
      <c r="O5729">
        <v>-3.4160299999999998E-2</v>
      </c>
      <c r="P5729">
        <v>0.97820620000000003</v>
      </c>
      <c r="Q5729">
        <v>0.18038979999999999</v>
      </c>
      <c r="R5729">
        <v>-0.1028222</v>
      </c>
      <c r="S5729">
        <v>3.0829620000000002</v>
      </c>
      <c r="T5729">
        <v>-0.1130857</v>
      </c>
      <c r="U5729">
        <v>-5.2154539999999999E-2</v>
      </c>
      <c r="V5729">
        <v>6.8830600000000006E-2</v>
      </c>
      <c r="W5729">
        <v>0.1881948</v>
      </c>
      <c r="X5729">
        <v>0.97971680000000005</v>
      </c>
      <c r="Y5729">
        <v>-1.7223410000000001E-2</v>
      </c>
      <c r="Z5729">
        <v>1.369606E-3</v>
      </c>
      <c r="AA5729">
        <v>0.99985069999999998</v>
      </c>
      <c r="AB5729">
        <v>33</v>
      </c>
      <c r="AC5729">
        <v>30.1541</v>
      </c>
      <c r="AD5729">
        <v>-1.1214484150720001</v>
      </c>
      <c r="AE5729">
        <v>-0.504099999999994</v>
      </c>
      <c r="AF5729">
        <v>-0.52557154772520998</v>
      </c>
      <c r="AG5729">
        <v>-1.1214484150720001</v>
      </c>
      <c r="AH5729">
        <v>30.112083164625599</v>
      </c>
      <c r="AI5729">
        <v>92.132526243186007</v>
      </c>
      <c r="AJ5729">
        <v>90.999929963897699</v>
      </c>
      <c r="AK5729">
        <v>30.137541779527599</v>
      </c>
      <c r="AL5729">
        <v>79.152546183615698</v>
      </c>
      <c r="AM5729">
        <v>85.981253439434894</v>
      </c>
      <c r="AN5729">
        <v>0.99999997122281903</v>
      </c>
    </row>
    <row r="5730" spans="1:40" x14ac:dyDescent="0.25">
      <c r="A5730" t="str">
        <f>"20190303170928411"</f>
        <v>20190303170928411</v>
      </c>
      <c r="B5730" t="str">
        <f>"1551604168399537"</f>
        <v>1551604168399537</v>
      </c>
      <c r="C5730" t="s">
        <v>40</v>
      </c>
      <c r="D5730">
        <v>5.4098319999999998</v>
      </c>
      <c r="E5730">
        <v>0.47186060000000002</v>
      </c>
      <c r="F5730" t="s">
        <v>43</v>
      </c>
      <c r="G5730">
        <v>-119.4062</v>
      </c>
      <c r="H5730" s="1">
        <v>-5.9310209999999998E-7</v>
      </c>
      <c r="I5730">
        <v>138.0943</v>
      </c>
      <c r="J5730">
        <v>-150.14609999999999</v>
      </c>
      <c r="K5730">
        <v>1.121767</v>
      </c>
      <c r="L5730">
        <v>138.4761</v>
      </c>
      <c r="M5730">
        <v>0.99946270000000004</v>
      </c>
      <c r="N5730">
        <v>-7.6774540000000002E-3</v>
      </c>
      <c r="O5730">
        <v>-3.1864400000000001E-2</v>
      </c>
      <c r="P5730">
        <v>0.97803180000000001</v>
      </c>
      <c r="Q5730">
        <v>0.1832733</v>
      </c>
      <c r="R5730">
        <v>-9.9320729999999996E-2</v>
      </c>
      <c r="S5730">
        <v>3.0832519999999999</v>
      </c>
      <c r="T5730">
        <v>-0.11121259999999999</v>
      </c>
      <c r="U5730">
        <v>-3.8848880000000002E-2</v>
      </c>
      <c r="V5730">
        <v>6.7430499999999893E-2</v>
      </c>
      <c r="W5730">
        <v>0.1910366</v>
      </c>
      <c r="X5730">
        <v>0.97926409999999997</v>
      </c>
      <c r="Y5730">
        <v>-1.9242240000000001E-2</v>
      </c>
      <c r="Z5730">
        <v>1.3249169999999999E-3</v>
      </c>
      <c r="AA5730">
        <v>0.99981399999999998</v>
      </c>
      <c r="AB5730">
        <v>33</v>
      </c>
      <c r="AC5730">
        <v>30.739899999999899</v>
      </c>
      <c r="AD5730">
        <v>-1.1217675931021001</v>
      </c>
      <c r="AE5730">
        <v>-0.38179999999999797</v>
      </c>
      <c r="AF5730">
        <v>-0.59713616788477997</v>
      </c>
      <c r="AG5730">
        <v>-1.1217675931021001</v>
      </c>
      <c r="AH5730">
        <v>30.695585091627301</v>
      </c>
      <c r="AI5730">
        <v>92.092542520559505</v>
      </c>
      <c r="AJ5730">
        <v>91.114462135479002</v>
      </c>
      <c r="AK5730">
        <v>30.721879471367998</v>
      </c>
      <c r="AL5730">
        <v>78.986715016539094</v>
      </c>
      <c r="AM5730">
        <v>86.060925570840396</v>
      </c>
      <c r="AN5730">
        <v>1.0000000162093099</v>
      </c>
    </row>
    <row r="5731" spans="1:40" x14ac:dyDescent="0.25">
      <c r="A5731" t="str">
        <f>"20190303170928448"</f>
        <v>20190303170928448</v>
      </c>
      <c r="B5731" t="str">
        <f>"1551604168439553"</f>
        <v>1551604168439553</v>
      </c>
      <c r="C5731" t="s">
        <v>40</v>
      </c>
      <c r="D5731">
        <v>5.4058510000000002</v>
      </c>
      <c r="E5731">
        <v>0.47177970000000002</v>
      </c>
      <c r="F5731" t="s">
        <v>43</v>
      </c>
      <c r="G5731">
        <v>-116.1455</v>
      </c>
      <c r="H5731" s="1">
        <v>-1.8908829999999999E-6</v>
      </c>
      <c r="I5731">
        <v>138.1788</v>
      </c>
      <c r="J5731">
        <v>-149.56729999999999</v>
      </c>
      <c r="K5731">
        <v>1.1221829999999999</v>
      </c>
      <c r="L5731">
        <v>138.46199999999999</v>
      </c>
      <c r="M5731">
        <v>0.99959180000000003</v>
      </c>
      <c r="N5731">
        <v>-7.5230969999999899E-3</v>
      </c>
      <c r="O5731">
        <v>-2.7560580000000001E-2</v>
      </c>
      <c r="P5731">
        <v>0.97785860000000002</v>
      </c>
      <c r="Q5731">
        <v>0.18872079999999999</v>
      </c>
      <c r="R5731">
        <v>-9.0427820000000006E-2</v>
      </c>
      <c r="S5731">
        <v>3.0836939999999999</v>
      </c>
      <c r="T5731">
        <v>-0.101739</v>
      </c>
      <c r="U5731">
        <v>-2.6962280000000002E-2</v>
      </c>
      <c r="V5731">
        <v>6.2555739999999999E-2</v>
      </c>
      <c r="W5731">
        <v>0.19637289999999999</v>
      </c>
      <c r="X5731">
        <v>0.97853179999999995</v>
      </c>
      <c r="Y5731">
        <v>-1.8798970000000002E-2</v>
      </c>
      <c r="Z5731">
        <v>1.082356E-3</v>
      </c>
      <c r="AA5731">
        <v>0.99982269999999895</v>
      </c>
      <c r="AB5731">
        <v>34</v>
      </c>
      <c r="AC5731">
        <v>33.421799999999898</v>
      </c>
      <c r="AD5731">
        <v>-1.1221848908830001</v>
      </c>
      <c r="AE5731">
        <v>-0.28320000000002199</v>
      </c>
      <c r="AF5731">
        <v>-0.63733939725056599</v>
      </c>
      <c r="AG5731">
        <v>-1.1221848908830001</v>
      </c>
      <c r="AH5731">
        <v>33.379280557404101</v>
      </c>
      <c r="AI5731">
        <v>91.925162726120305</v>
      </c>
      <c r="AJ5731">
        <v>91.093864823397197</v>
      </c>
      <c r="AK5731">
        <v>33.404219358735297</v>
      </c>
      <c r="AL5731">
        <v>78.675064359227505</v>
      </c>
      <c r="AM5731">
        <v>86.3421636339407</v>
      </c>
      <c r="AN5731">
        <v>1.00000001003629</v>
      </c>
    </row>
    <row r="5732" spans="1:40" x14ac:dyDescent="0.25">
      <c r="A5732" t="str">
        <f>"20190303170928478"</f>
        <v>20190303170928478</v>
      </c>
      <c r="B5732" t="str">
        <f>"1551604168469809"</f>
        <v>1551604168469809</v>
      </c>
      <c r="C5732" t="s">
        <v>40</v>
      </c>
      <c r="D5732">
        <v>5.3670609999999996</v>
      </c>
      <c r="E5732">
        <v>0.47174120000000003</v>
      </c>
      <c r="F5732" t="s">
        <v>43</v>
      </c>
      <c r="G5732">
        <v>-108.5523</v>
      </c>
      <c r="H5732" s="1">
        <v>-8.7443820000000002E-7</v>
      </c>
      <c r="I5732">
        <v>138.43459999999999</v>
      </c>
      <c r="J5732">
        <v>-149.13800000000001</v>
      </c>
      <c r="K5732">
        <v>1.122355</v>
      </c>
      <c r="L5732">
        <v>138.45339999999999</v>
      </c>
      <c r="M5732">
        <v>0.99968140000000005</v>
      </c>
      <c r="N5732">
        <v>-7.4160149999999998E-3</v>
      </c>
      <c r="O5732">
        <v>-2.4126649999999999E-2</v>
      </c>
      <c r="P5732">
        <v>0.97820010000000002</v>
      </c>
      <c r="Q5732">
        <v>0.1897865</v>
      </c>
      <c r="R5732">
        <v>-8.4295140000000005E-2</v>
      </c>
      <c r="S5732">
        <v>3.084015</v>
      </c>
      <c r="T5732">
        <v>-8.4379670000000004E-2</v>
      </c>
      <c r="U5732">
        <v>-2.059937E-3</v>
      </c>
      <c r="V5732">
        <v>5.9687360000000002E-2</v>
      </c>
      <c r="W5732">
        <v>0.1973481</v>
      </c>
      <c r="X5732">
        <v>0.97851469999999896</v>
      </c>
      <c r="Y5732">
        <v>-2.344361E-2</v>
      </c>
      <c r="Z5732">
        <v>8.8862849999999998E-4</v>
      </c>
      <c r="AA5732">
        <v>0.99972470000000002</v>
      </c>
      <c r="AB5732">
        <v>34</v>
      </c>
      <c r="AC5732">
        <v>40.585700000000003</v>
      </c>
      <c r="AD5732">
        <v>-1.1223558744382001</v>
      </c>
      <c r="AE5732">
        <v>-1.87999999999988E-2</v>
      </c>
      <c r="AF5732">
        <v>-0.95969546280554796</v>
      </c>
      <c r="AG5732">
        <v>-1.1223558744382001</v>
      </c>
      <c r="AH5732">
        <v>40.543333658988402</v>
      </c>
      <c r="AI5732">
        <v>91.585262859991502</v>
      </c>
      <c r="AJ5732">
        <v>91.355986997299198</v>
      </c>
      <c r="AK5732">
        <v>40.570218168926303</v>
      </c>
      <c r="AL5732">
        <v>78.618073447597396</v>
      </c>
      <c r="AM5732">
        <v>86.509401629251101</v>
      </c>
      <c r="AN5732">
        <v>0.99999993581673197</v>
      </c>
    </row>
    <row r="5733" spans="1:40" x14ac:dyDescent="0.25">
      <c r="A5733" t="str">
        <f>"20190303170928516"</f>
        <v>20190303170928516</v>
      </c>
      <c r="B5733" t="str">
        <f>"1551604168509824"</f>
        <v>1551604168509824</v>
      </c>
      <c r="C5733" t="s">
        <v>40</v>
      </c>
      <c r="D5733">
        <v>5.3781759999999998</v>
      </c>
      <c r="E5733">
        <v>0.47168130000000003</v>
      </c>
      <c r="F5733" t="s">
        <v>43</v>
      </c>
      <c r="G5733">
        <v>-106.4648</v>
      </c>
      <c r="H5733" s="1">
        <v>-1.818407E-6</v>
      </c>
      <c r="I5733">
        <v>138.67580000000001</v>
      </c>
      <c r="J5733">
        <v>-148.5454</v>
      </c>
      <c r="K5733">
        <v>1.122506</v>
      </c>
      <c r="L5733">
        <v>138.44399999999999</v>
      </c>
      <c r="M5733">
        <v>0.99978800000000001</v>
      </c>
      <c r="N5733">
        <v>-7.2701830000000004E-3</v>
      </c>
      <c r="O5733">
        <v>-1.9264750000000001E-2</v>
      </c>
      <c r="P5733">
        <v>0.978495</v>
      </c>
      <c r="Q5733">
        <v>0.1908019</v>
      </c>
      <c r="R5733">
        <v>-7.8370889999999999E-2</v>
      </c>
      <c r="S5733">
        <v>3.0839840000000001</v>
      </c>
      <c r="T5733">
        <v>-8.1112619999999996E-2</v>
      </c>
      <c r="U5733">
        <v>1.6067499999999998E-2</v>
      </c>
      <c r="V5733">
        <v>5.8436179999999997E-2</v>
      </c>
      <c r="W5733">
        <v>0.198239</v>
      </c>
      <c r="X5733">
        <v>0.97841020000000001</v>
      </c>
      <c r="Y5733">
        <v>-2.4459660000000001E-2</v>
      </c>
      <c r="Z5733">
        <v>7.7706879999999996E-4</v>
      </c>
      <c r="AA5733">
        <v>0.99970049999999999</v>
      </c>
      <c r="AB5733">
        <v>34</v>
      </c>
      <c r="AC5733">
        <v>42.080599999999997</v>
      </c>
      <c r="AD5733">
        <v>-1.1225078184070001</v>
      </c>
      <c r="AE5733">
        <v>0.23180000000002099</v>
      </c>
      <c r="AF5733">
        <v>-1.04170940904369</v>
      </c>
      <c r="AG5733">
        <v>-1.1225078184070001</v>
      </c>
      <c r="AH5733">
        <v>42.038412299226202</v>
      </c>
      <c r="AI5733">
        <v>91.529076743696706</v>
      </c>
      <c r="AJ5733">
        <v>91.419495582821696</v>
      </c>
      <c r="AK5733">
        <v>42.066296377682299</v>
      </c>
      <c r="AL5733">
        <v>78.566000639140199</v>
      </c>
      <c r="AM5733">
        <v>86.582032906602194</v>
      </c>
      <c r="AN5733">
        <v>1.00000000385901</v>
      </c>
    </row>
    <row r="5734" spans="1:40" x14ac:dyDescent="0.25">
      <c r="A5734" t="str">
        <f>"20190303170928561"</f>
        <v>20190303170928561</v>
      </c>
      <c r="B5734" t="str">
        <f>"1551604168549841"</f>
        <v>1551604168549841</v>
      </c>
      <c r="C5734" t="s">
        <v>40</v>
      </c>
      <c r="D5734">
        <v>5.343763</v>
      </c>
      <c r="E5734">
        <v>0.47179569999999998</v>
      </c>
      <c r="F5734" t="s">
        <v>43</v>
      </c>
      <c r="G5734">
        <v>-104.3951</v>
      </c>
      <c r="H5734" s="1">
        <v>-2.749979E-6</v>
      </c>
      <c r="I5734">
        <v>138.93969999999999</v>
      </c>
      <c r="J5734">
        <v>-147.8639</v>
      </c>
      <c r="K5734">
        <v>1.1225959999999999</v>
      </c>
      <c r="L5734">
        <v>138.43680000000001</v>
      </c>
      <c r="M5734">
        <v>0.99988149999999998</v>
      </c>
      <c r="N5734">
        <v>-7.1169579999999996E-3</v>
      </c>
      <c r="O5734">
        <v>-1.3649659999999999E-2</v>
      </c>
      <c r="P5734">
        <v>0.97860930000000002</v>
      </c>
      <c r="Q5734">
        <v>0.19164829999999999</v>
      </c>
      <c r="R5734">
        <v>-7.4798840000000005E-2</v>
      </c>
      <c r="S5734">
        <v>3.0840000000000001</v>
      </c>
      <c r="T5734">
        <v>-7.8409789999999993E-2</v>
      </c>
      <c r="U5734">
        <v>3.4622189999999997E-2</v>
      </c>
      <c r="V5734">
        <v>6.0297240000000002E-2</v>
      </c>
      <c r="W5734">
        <v>0.1989629</v>
      </c>
      <c r="X5734">
        <v>0.97815030000000003</v>
      </c>
      <c r="Y5734">
        <v>-2.4861210000000002E-2</v>
      </c>
      <c r="Z5734">
        <v>6.5431270000000001E-4</v>
      </c>
      <c r="AA5734">
        <v>0.99969070000000004</v>
      </c>
      <c r="AB5734">
        <v>34</v>
      </c>
      <c r="AC5734">
        <v>43.468800000000002</v>
      </c>
      <c r="AD5734">
        <v>-1.122598749979</v>
      </c>
      <c r="AE5734">
        <v>0.50289999999998203</v>
      </c>
      <c r="AF5734">
        <v>-1.09547199294507</v>
      </c>
      <c r="AG5734">
        <v>-1.122598749979</v>
      </c>
      <c r="AH5734">
        <v>43.428924532028603</v>
      </c>
      <c r="AI5734">
        <v>91.480244144538204</v>
      </c>
      <c r="AJ5734">
        <v>91.444949775095694</v>
      </c>
      <c r="AK5734">
        <v>43.457240741324298</v>
      </c>
      <c r="AL5734">
        <v>78.5236812069341</v>
      </c>
      <c r="AM5734">
        <v>86.472514227627599</v>
      </c>
      <c r="AN5734">
        <v>1.00000000105905</v>
      </c>
    </row>
    <row r="5735" spans="1:40" x14ac:dyDescent="0.25">
      <c r="A5735" t="str">
        <f>"20190303170928605"</f>
        <v>20190303170928605</v>
      </c>
      <c r="B5735" t="str">
        <f>"1551604168599617"</f>
        <v>1551604168599617</v>
      </c>
      <c r="C5735" t="s">
        <v>40</v>
      </c>
      <c r="D5735">
        <v>5.3371820000000003</v>
      </c>
      <c r="E5735">
        <v>0.47201720000000003</v>
      </c>
      <c r="F5735" t="s">
        <v>43</v>
      </c>
      <c r="G5735">
        <v>-102.4286</v>
      </c>
      <c r="H5735" s="1">
        <v>-3.6526949999999998E-6</v>
      </c>
      <c r="I5735">
        <v>139.09100000000001</v>
      </c>
      <c r="J5735">
        <v>-147.18389999999999</v>
      </c>
      <c r="K5735">
        <v>1.1226449999999999</v>
      </c>
      <c r="L5735">
        <v>138.43340000000001</v>
      </c>
      <c r="M5735">
        <v>0.99994280000000002</v>
      </c>
      <c r="N5735">
        <v>-6.9921050000000002E-3</v>
      </c>
      <c r="O5735">
        <v>-8.0820370000000002E-3</v>
      </c>
      <c r="P5735">
        <v>0.97926769999999996</v>
      </c>
      <c r="Q5735">
        <v>0.18938579999999999</v>
      </c>
      <c r="R5735">
        <v>-7.188891E-2</v>
      </c>
      <c r="S5735">
        <v>3.0838779999999999</v>
      </c>
      <c r="T5735">
        <v>-7.6195360000000004E-2</v>
      </c>
      <c r="U5735">
        <v>4.4403079999999998E-2</v>
      </c>
      <c r="V5735">
        <v>6.2802339999999998E-2</v>
      </c>
      <c r="W5735">
        <v>0.19661000000000001</v>
      </c>
      <c r="X5735">
        <v>0.97846840000000002</v>
      </c>
      <c r="Y5735">
        <v>-2.2467830000000001E-2</v>
      </c>
      <c r="Z5735">
        <v>4.9922289999999999E-4</v>
      </c>
      <c r="AA5735">
        <v>0.99974750000000001</v>
      </c>
      <c r="AB5735">
        <v>34</v>
      </c>
      <c r="AC5735">
        <v>44.755299999999899</v>
      </c>
      <c r="AD5735">
        <v>-1.1226486526949999</v>
      </c>
      <c r="AE5735">
        <v>0.65760000000000196</v>
      </c>
      <c r="AF5735">
        <v>-1.0186605707360901</v>
      </c>
      <c r="AG5735">
        <v>-1.1226486526949999</v>
      </c>
      <c r="AH5735">
        <v>44.720390685488198</v>
      </c>
      <c r="AI5735">
        <v>91.437663032269199</v>
      </c>
      <c r="AJ5735">
        <v>91.304882612803098</v>
      </c>
      <c r="AK5735">
        <v>44.746076391327001</v>
      </c>
      <c r="AL5735">
        <v>78.661209526123898</v>
      </c>
      <c r="AM5735">
        <v>86.327546222915501</v>
      </c>
      <c r="AN5735">
        <v>1.0000000179040101</v>
      </c>
    </row>
    <row r="5736" spans="1:40" x14ac:dyDescent="0.25">
      <c r="A5736" t="str">
        <f>"20190303170928633"</f>
        <v>20190303170928633</v>
      </c>
      <c r="B5736" t="str">
        <f>"1551604168620113"</f>
        <v>1551604168620113</v>
      </c>
      <c r="C5736" t="s">
        <v>40</v>
      </c>
      <c r="D5736">
        <v>5.3684649999999996</v>
      </c>
      <c r="E5736">
        <v>0.47211259999999999</v>
      </c>
      <c r="F5736" t="s">
        <v>43</v>
      </c>
      <c r="G5736">
        <v>-106.3807</v>
      </c>
      <c r="H5736" s="1">
        <v>-1.7815419999999999E-6</v>
      </c>
      <c r="I5736">
        <v>139.1079</v>
      </c>
      <c r="J5736">
        <v>-146.74809999999999</v>
      </c>
      <c r="K5736">
        <v>1.1226689999999999</v>
      </c>
      <c r="L5736">
        <v>138.4332</v>
      </c>
      <c r="M5736">
        <v>0.99996589999999996</v>
      </c>
      <c r="N5736">
        <v>-6.9222880000000004E-3</v>
      </c>
      <c r="O5736">
        <v>-4.5271419999999996E-3</v>
      </c>
      <c r="P5736">
        <v>0.97945159999999998</v>
      </c>
      <c r="Q5736">
        <v>0.18890380000000001</v>
      </c>
      <c r="R5736">
        <v>-7.0641910000000002E-2</v>
      </c>
      <c r="S5736">
        <v>3.0836489999999999</v>
      </c>
      <c r="T5736">
        <v>-8.4842440000000005E-2</v>
      </c>
      <c r="U5736">
        <v>5.0979610000000002E-2</v>
      </c>
      <c r="V5736">
        <v>6.5017950000000005E-2</v>
      </c>
      <c r="W5736">
        <v>0.1960797</v>
      </c>
      <c r="X5736">
        <v>0.97843009999999997</v>
      </c>
      <c r="Y5736">
        <v>-2.1045520000000002E-2</v>
      </c>
      <c r="Z5736">
        <v>4.555049E-4</v>
      </c>
      <c r="AA5736">
        <v>0.99977839999999996</v>
      </c>
      <c r="AB5736">
        <v>34</v>
      </c>
      <c r="AC5736">
        <v>40.367399999999897</v>
      </c>
      <c r="AD5736">
        <v>-1.1226707815420001</v>
      </c>
      <c r="AE5736">
        <v>0.67470000000000097</v>
      </c>
      <c r="AF5736">
        <v>-0.85678388541554495</v>
      </c>
      <c r="AG5736">
        <v>-1.1226707815420001</v>
      </c>
      <c r="AH5736">
        <v>40.332744335681497</v>
      </c>
      <c r="AI5736">
        <v>91.5940694385027</v>
      </c>
      <c r="AJ5736">
        <v>91.216944675102297</v>
      </c>
      <c r="AK5736">
        <v>40.357461936517801</v>
      </c>
      <c r="AL5736">
        <v>78.692196687180598</v>
      </c>
      <c r="AM5736">
        <v>86.198210464845701</v>
      </c>
      <c r="AN5736">
        <v>1.0000000215801499</v>
      </c>
    </row>
    <row r="5737" spans="1:40" x14ac:dyDescent="0.25">
      <c r="A5737" t="str">
        <f>"20190303170928656"</f>
        <v>20190303170928656</v>
      </c>
      <c r="B5737" t="str">
        <f>"1551604168649393"</f>
        <v>1551604168649393</v>
      </c>
      <c r="C5737" t="s">
        <v>40</v>
      </c>
      <c r="D5737">
        <v>5.315436</v>
      </c>
      <c r="E5737">
        <v>0.47222189999999997</v>
      </c>
      <c r="F5737" t="s">
        <v>43</v>
      </c>
      <c r="G5737">
        <v>-106.76139999999999</v>
      </c>
      <c r="H5737" s="1">
        <v>-1.5957330000000001E-6</v>
      </c>
      <c r="I5737">
        <v>139.14080000000001</v>
      </c>
      <c r="J5737">
        <v>-146.41650000000001</v>
      </c>
      <c r="K5737">
        <v>1.1226989999999999</v>
      </c>
      <c r="L5737">
        <v>138.4341</v>
      </c>
      <c r="M5737">
        <v>0.99997480000000005</v>
      </c>
      <c r="N5737">
        <v>-6.8758909999999899E-3</v>
      </c>
      <c r="O5737">
        <v>-1.8252240000000001E-3</v>
      </c>
      <c r="P5737">
        <v>0.97935309999999998</v>
      </c>
      <c r="Q5737">
        <v>0.1900867</v>
      </c>
      <c r="R5737">
        <v>-6.8808899999999895E-2</v>
      </c>
      <c r="S5737">
        <v>3.0835569999999999</v>
      </c>
      <c r="T5737">
        <v>-8.6574199999999907E-2</v>
      </c>
      <c r="U5737">
        <v>5.4565429999999998E-2</v>
      </c>
      <c r="V5737">
        <v>6.5810939999999998E-2</v>
      </c>
      <c r="W5737">
        <v>0.19722519999999999</v>
      </c>
      <c r="X5737">
        <v>0.97814679999999998</v>
      </c>
      <c r="Y5737">
        <v>-1.9507819999999999E-2</v>
      </c>
      <c r="Z5737">
        <v>3.795494E-4</v>
      </c>
      <c r="AA5737">
        <v>0.99980959999999997</v>
      </c>
      <c r="AB5737">
        <v>35</v>
      </c>
      <c r="AC5737">
        <v>39.655099999999997</v>
      </c>
      <c r="AD5737">
        <v>-1.1227005957330001</v>
      </c>
      <c r="AE5737">
        <v>0.70670000000001199</v>
      </c>
      <c r="AF5737">
        <v>-0.77845619416491796</v>
      </c>
      <c r="AG5737">
        <v>-1.1227005957330001</v>
      </c>
      <c r="AH5737">
        <v>39.621995158668298</v>
      </c>
      <c r="AI5737">
        <v>91.622745060589907</v>
      </c>
      <c r="AJ5737">
        <v>91.125549500413598</v>
      </c>
      <c r="AK5737">
        <v>39.645541376394704</v>
      </c>
      <c r="AL5737">
        <v>78.625257136519195</v>
      </c>
      <c r="AM5737">
        <v>86.150869343039503</v>
      </c>
      <c r="AN5737">
        <v>1.00000001084448</v>
      </c>
    </row>
    <row r="5738" spans="1:40" x14ac:dyDescent="0.25">
      <c r="A5738" t="str">
        <f>"20190303170928677"</f>
        <v>20190303170928677</v>
      </c>
      <c r="B5738" t="str">
        <f>"1551604168669888"</f>
        <v>1551604168669888</v>
      </c>
      <c r="C5738" t="s">
        <v>40</v>
      </c>
      <c r="D5738">
        <v>5.3083710000000002</v>
      </c>
      <c r="E5738">
        <v>0.47742000000000001</v>
      </c>
      <c r="F5738" t="s">
        <v>43</v>
      </c>
      <c r="G5738">
        <v>-104.8176</v>
      </c>
      <c r="H5738" s="1">
        <v>-2.4984180000000002E-6</v>
      </c>
      <c r="I5738">
        <v>139.2319</v>
      </c>
      <c r="J5738">
        <v>-146.06899999999999</v>
      </c>
      <c r="K5738">
        <v>1.1227279999999999</v>
      </c>
      <c r="L5738">
        <v>138.43600000000001</v>
      </c>
      <c r="M5738">
        <v>0.99997619999999998</v>
      </c>
      <c r="N5738">
        <v>-6.8342159999999997E-3</v>
      </c>
      <c r="O5738">
        <v>1.0049530000000001E-3</v>
      </c>
      <c r="P5738">
        <v>0.97957490000000003</v>
      </c>
      <c r="Q5738">
        <v>0.190022</v>
      </c>
      <c r="R5738">
        <v>-6.5763210000000002E-2</v>
      </c>
      <c r="S5738">
        <v>3.0835569999999999</v>
      </c>
      <c r="T5738">
        <v>-8.3221199999999995E-2</v>
      </c>
      <c r="U5738">
        <v>5.9143069999999999E-2</v>
      </c>
      <c r="V5738">
        <v>6.5525490000000006E-2</v>
      </c>
      <c r="W5738">
        <v>0.19712189999999999</v>
      </c>
      <c r="X5738">
        <v>0.97818680000000002</v>
      </c>
      <c r="Y5738">
        <v>-1.8163729999999999E-2</v>
      </c>
      <c r="Z5738">
        <v>2.8688040000000002E-4</v>
      </c>
      <c r="AA5738">
        <v>0.99983500000000003</v>
      </c>
      <c r="AB5738">
        <v>35</v>
      </c>
      <c r="AC5738">
        <v>41.251399999999897</v>
      </c>
      <c r="AD5738">
        <v>-1.122730498418</v>
      </c>
      <c r="AE5738">
        <v>0.79589999999998895</v>
      </c>
      <c r="AF5738">
        <v>-0.75388467932371706</v>
      </c>
      <c r="AG5738">
        <v>-1.122730498418</v>
      </c>
      <c r="AH5738">
        <v>41.221655310328202</v>
      </c>
      <c r="AI5738">
        <v>91.559885741374799</v>
      </c>
      <c r="AJ5738">
        <v>91.047740447126799</v>
      </c>
      <c r="AK5738">
        <v>41.243832659020697</v>
      </c>
      <c r="AL5738">
        <v>78.631294465900396</v>
      </c>
      <c r="AM5738">
        <v>86.167671046402504</v>
      </c>
      <c r="AN5738">
        <v>1.0000000244967899</v>
      </c>
    </row>
    <row r="5739" spans="1:40" x14ac:dyDescent="0.25">
      <c r="A5739" t="str">
        <f>"20190303170928706"</f>
        <v>20190303170928706</v>
      </c>
      <c r="B5739" t="str">
        <f>"1551604168700144"</f>
        <v>1551604168700144</v>
      </c>
      <c r="C5739" t="s">
        <v>40</v>
      </c>
      <c r="D5739">
        <v>5.327153</v>
      </c>
      <c r="E5739">
        <v>0.47720960000000001</v>
      </c>
      <c r="F5739" t="s">
        <v>43</v>
      </c>
      <c r="G5739">
        <v>-106.7393</v>
      </c>
      <c r="H5739" s="1">
        <v>-1.6691259999999999E-6</v>
      </c>
      <c r="I5739">
        <v>138.786</v>
      </c>
      <c r="J5739">
        <v>-145.62450000000001</v>
      </c>
      <c r="K5739">
        <v>1.1227469999999999</v>
      </c>
      <c r="L5739">
        <v>138.43979999999999</v>
      </c>
      <c r="M5739">
        <v>0.99996629999999997</v>
      </c>
      <c r="N5739">
        <v>-6.7901259999999996E-3</v>
      </c>
      <c r="O5739">
        <v>4.6221459999999997E-3</v>
      </c>
      <c r="P5739">
        <v>0.97998890000000005</v>
      </c>
      <c r="Q5739">
        <v>0.18970899999999999</v>
      </c>
      <c r="R5739">
        <v>-6.0269120000000002E-2</v>
      </c>
      <c r="S5739">
        <v>3.0814509999999999</v>
      </c>
      <c r="T5739">
        <v>-8.7964890000000004E-2</v>
      </c>
      <c r="U5739">
        <v>2.742004E-2</v>
      </c>
      <c r="V5739">
        <v>6.3565189999999994E-2</v>
      </c>
      <c r="W5739">
        <v>0.1967595</v>
      </c>
      <c r="X5739">
        <v>0.97838910000000001</v>
      </c>
      <c r="Y5739">
        <v>-4.2748389999999999E-3</v>
      </c>
      <c r="Z5739" s="1">
        <v>-2.5016030000000001E-5</v>
      </c>
      <c r="AA5739">
        <v>0.99999090000000002</v>
      </c>
      <c r="AB5739">
        <v>35</v>
      </c>
      <c r="AC5739">
        <v>38.885199999999998</v>
      </c>
      <c r="AD5739">
        <v>-1.122748669126</v>
      </c>
      <c r="AE5739">
        <v>0.34620000000001</v>
      </c>
      <c r="AF5739">
        <v>-0.166320446810867</v>
      </c>
      <c r="AG5739">
        <v>-1.122748669126</v>
      </c>
      <c r="AH5739">
        <v>38.853995814996303</v>
      </c>
      <c r="AI5739">
        <v>91.655177898552495</v>
      </c>
      <c r="AJ5739">
        <v>90.245261812687602</v>
      </c>
      <c r="AK5739">
        <v>38.870570073730597</v>
      </c>
      <c r="AL5739">
        <v>78.652473326930405</v>
      </c>
      <c r="AM5739">
        <v>86.282761398169299</v>
      </c>
      <c r="AN5739">
        <v>1.0000000326093901</v>
      </c>
    </row>
    <row r="5740" spans="1:40" x14ac:dyDescent="0.25">
      <c r="A5740" t="str">
        <f>"20190303170928740"</f>
        <v>20190303170928740</v>
      </c>
      <c r="B5740" t="str">
        <f>"1551604168729425"</f>
        <v>1551604168729425</v>
      </c>
      <c r="C5740" t="s">
        <v>40</v>
      </c>
      <c r="D5740">
        <v>5.3309850000000001</v>
      </c>
      <c r="E5740">
        <v>0.47728660000000001</v>
      </c>
      <c r="F5740" t="s">
        <v>43</v>
      </c>
      <c r="G5740">
        <v>-103.1837</v>
      </c>
      <c r="H5740" s="1">
        <v>-3.3011750000000002E-6</v>
      </c>
      <c r="I5740">
        <v>139.06049999999999</v>
      </c>
      <c r="J5740">
        <v>-145.09979999999999</v>
      </c>
      <c r="K5740">
        <v>1.1227279999999999</v>
      </c>
      <c r="L5740">
        <v>138.44640000000001</v>
      </c>
      <c r="M5740">
        <v>0.9999382</v>
      </c>
      <c r="N5740">
        <v>-6.7537989999999996E-3</v>
      </c>
      <c r="O5740">
        <v>8.8313719999999901E-3</v>
      </c>
      <c r="P5740">
        <v>0.97997049999999997</v>
      </c>
      <c r="Q5740">
        <v>0.19170809999999999</v>
      </c>
      <c r="R5740">
        <v>-5.3906669999999997E-2</v>
      </c>
      <c r="S5740">
        <v>3.0798030000000001</v>
      </c>
      <c r="T5740">
        <v>-8.1474779999999997E-2</v>
      </c>
      <c r="U5740">
        <v>4.5043949999999999E-2</v>
      </c>
      <c r="V5740">
        <v>6.131176E-2</v>
      </c>
      <c r="W5740">
        <v>0.1987082</v>
      </c>
      <c r="X5740">
        <v>0.97813899999999998</v>
      </c>
      <c r="Y5740">
        <v>-5.7919979999999996E-3</v>
      </c>
      <c r="Z5740" s="1">
        <v>-7.7774519999999905E-5</v>
      </c>
      <c r="AA5740">
        <v>0.99998330000000002</v>
      </c>
      <c r="AB5740">
        <v>35</v>
      </c>
      <c r="AC5740">
        <v>41.916099999999901</v>
      </c>
      <c r="AD5740">
        <v>-1.122731301175</v>
      </c>
      <c r="AE5740">
        <v>0.614099999999979</v>
      </c>
      <c r="AF5740">
        <v>-0.24371612196081799</v>
      </c>
      <c r="AG5740">
        <v>-1.122731301175</v>
      </c>
      <c r="AH5740">
        <v>41.889841480125298</v>
      </c>
      <c r="AI5740">
        <v>91.535247647433295</v>
      </c>
      <c r="AJ5740">
        <v>90.333344484982803</v>
      </c>
      <c r="AK5740">
        <v>41.905593210844401</v>
      </c>
      <c r="AL5740">
        <v>78.538571658367204</v>
      </c>
      <c r="AM5740">
        <v>86.413275498673698</v>
      </c>
      <c r="AN5740">
        <v>0.99999999199126799</v>
      </c>
    </row>
    <row r="5741" spans="1:40" x14ac:dyDescent="0.25">
      <c r="A5741" t="str">
        <f>"20190303170928770"</f>
        <v>20190303170928770</v>
      </c>
      <c r="B5741" t="str">
        <f>"1551604168759681"</f>
        <v>1551604168759681</v>
      </c>
      <c r="C5741" t="s">
        <v>40</v>
      </c>
      <c r="D5741">
        <v>5.3655929999999996</v>
      </c>
      <c r="E5741">
        <v>0.47894710000000001</v>
      </c>
      <c r="F5741" t="s">
        <v>43</v>
      </c>
      <c r="G5741">
        <v>-98.879109999999997</v>
      </c>
      <c r="H5741" s="1">
        <v>-4.9674789999999995E-7</v>
      </c>
      <c r="I5741">
        <v>139.4271</v>
      </c>
      <c r="J5741">
        <v>-144.61590000000001</v>
      </c>
      <c r="K5741">
        <v>1.1226879999999999</v>
      </c>
      <c r="L5741">
        <v>138.45429999999999</v>
      </c>
      <c r="M5741">
        <v>0.99989810000000001</v>
      </c>
      <c r="N5741">
        <v>-6.7426400000000003E-3</v>
      </c>
      <c r="O5741">
        <v>1.2587630000000001E-2</v>
      </c>
      <c r="P5741">
        <v>0.98023519999999997</v>
      </c>
      <c r="Q5741">
        <v>0.191547</v>
      </c>
      <c r="R5741">
        <v>-4.9488150000000002E-2</v>
      </c>
      <c r="S5741">
        <v>3.079529</v>
      </c>
      <c r="T5741">
        <v>-7.4803590000000003E-2</v>
      </c>
      <c r="U5741">
        <v>6.5338129999999994E-2</v>
      </c>
      <c r="V5741">
        <v>6.059494E-2</v>
      </c>
      <c r="W5741">
        <v>0.19852649999999999</v>
      </c>
      <c r="X5741">
        <v>0.9782206</v>
      </c>
      <c r="Y5741">
        <v>-8.6240819999999999E-3</v>
      </c>
      <c r="Z5741" s="1">
        <v>-8.7006049999999895E-5</v>
      </c>
      <c r="AA5741">
        <v>0.99996280000000004</v>
      </c>
      <c r="AB5741">
        <v>35</v>
      </c>
      <c r="AC5741">
        <v>45.736789999999999</v>
      </c>
      <c r="AD5741">
        <v>-1.1226884967478901</v>
      </c>
      <c r="AE5741">
        <v>0.97280000000000599</v>
      </c>
      <c r="AF5741">
        <v>-0.39675312967388199</v>
      </c>
      <c r="AG5741">
        <v>-1.1226884967478901</v>
      </c>
      <c r="AH5741">
        <v>45.7178772790623</v>
      </c>
      <c r="AI5741">
        <v>91.406669997790402</v>
      </c>
      <c r="AJ5741">
        <v>90.497217074383798</v>
      </c>
      <c r="AK5741">
        <v>45.733381084389997</v>
      </c>
      <c r="AL5741">
        <v>78.549194370275998</v>
      </c>
      <c r="AM5741">
        <v>86.455396700640406</v>
      </c>
      <c r="AN5741">
        <v>1.0000000301101</v>
      </c>
    </row>
    <row r="5742" spans="1:40" x14ac:dyDescent="0.25">
      <c r="A5742" t="str">
        <f>"20190303170928791"</f>
        <v>20190303170928791</v>
      </c>
      <c r="B5742" t="str">
        <f>"1551604168780178"</f>
        <v>1551604168780178</v>
      </c>
      <c r="C5742" t="s">
        <v>40</v>
      </c>
      <c r="D5742">
        <v>5.2963239999999896</v>
      </c>
      <c r="E5742">
        <v>0.47888439999999999</v>
      </c>
      <c r="F5742" t="s">
        <v>43</v>
      </c>
      <c r="G5742">
        <v>-105.0659</v>
      </c>
      <c r="H5742" s="1">
        <v>-2.371284E-6</v>
      </c>
      <c r="I5742">
        <v>139.28700000000001</v>
      </c>
      <c r="J5742">
        <v>-144.28219999999999</v>
      </c>
      <c r="K5742">
        <v>1.122638</v>
      </c>
      <c r="L5742">
        <v>138.4607</v>
      </c>
      <c r="M5742">
        <v>0.99986399999999998</v>
      </c>
      <c r="N5742">
        <v>-6.7515179999999998E-3</v>
      </c>
      <c r="O5742">
        <v>1.504745E-2</v>
      </c>
      <c r="P5742">
        <v>0.98047830000000002</v>
      </c>
      <c r="Q5742">
        <v>0.19101070000000001</v>
      </c>
      <c r="R5742">
        <v>-4.6663139999999999E-2</v>
      </c>
      <c r="S5742">
        <v>3.0808409999999999</v>
      </c>
      <c r="T5742">
        <v>-8.7454680000000007E-2</v>
      </c>
      <c r="U5742">
        <v>6.4865110000000004E-2</v>
      </c>
      <c r="V5742">
        <v>6.0215930000000001E-2</v>
      </c>
      <c r="W5742">
        <v>0.19798850000000001</v>
      </c>
      <c r="X5742">
        <v>0.97835300000000003</v>
      </c>
      <c r="Y5742">
        <v>-6.0033739999999997E-3</v>
      </c>
      <c r="Z5742">
        <v>-2.1995510000000001E-4</v>
      </c>
      <c r="AA5742">
        <v>0.99998189999999998</v>
      </c>
      <c r="AB5742">
        <v>35</v>
      </c>
      <c r="AC5742">
        <v>39.216299999999897</v>
      </c>
      <c r="AD5742">
        <v>-1.1226403712840001</v>
      </c>
      <c r="AE5742">
        <v>0.82630000000000303</v>
      </c>
      <c r="AF5742">
        <v>-0.23589445807089501</v>
      </c>
      <c r="AG5742">
        <v>-1.1226403712840001</v>
      </c>
      <c r="AH5742">
        <v>39.192190065342501</v>
      </c>
      <c r="AI5742">
        <v>91.640730136190797</v>
      </c>
      <c r="AJ5742">
        <v>90.344854258608905</v>
      </c>
      <c r="AK5742">
        <v>39.2089751168851</v>
      </c>
      <c r="AL5742">
        <v>78.580643404648896</v>
      </c>
      <c r="AM5742">
        <v>86.477987028492095</v>
      </c>
      <c r="AN5742">
        <v>0.99999999848350696</v>
      </c>
    </row>
    <row r="5743" spans="1:40" x14ac:dyDescent="0.25">
      <c r="A5743" t="str">
        <f>"20190303170928813"</f>
        <v>20190303170928813</v>
      </c>
      <c r="B5743" t="str">
        <f>"1551604168809457"</f>
        <v>1551604168809457</v>
      </c>
      <c r="C5743" t="s">
        <v>40</v>
      </c>
      <c r="D5743">
        <v>5.3164319999999998</v>
      </c>
      <c r="E5743">
        <v>0.4794428</v>
      </c>
      <c r="F5743" t="s">
        <v>43</v>
      </c>
      <c r="G5743">
        <v>-106.3839</v>
      </c>
      <c r="H5743" s="1">
        <v>-1.7369949999999999E-6</v>
      </c>
      <c r="I5743">
        <v>139.35050000000001</v>
      </c>
      <c r="J5743">
        <v>-143.9462</v>
      </c>
      <c r="K5743">
        <v>1.1225560000000001</v>
      </c>
      <c r="L5743">
        <v>138.46780000000001</v>
      </c>
      <c r="M5743">
        <v>0.99982550000000003</v>
      </c>
      <c r="N5743">
        <v>-6.7738750000000004E-3</v>
      </c>
      <c r="O5743">
        <v>1.7407869999999999E-2</v>
      </c>
      <c r="P5743">
        <v>0.98059580000000002</v>
      </c>
      <c r="Q5743">
        <v>0.19073000000000001</v>
      </c>
      <c r="R5743">
        <v>-4.5320180000000002E-2</v>
      </c>
      <c r="S5743">
        <v>3.0809630000000001</v>
      </c>
      <c r="T5743">
        <v>-9.1265440000000003E-2</v>
      </c>
      <c r="U5743">
        <v>7.2341920000000004E-2</v>
      </c>
      <c r="V5743">
        <v>6.1227459999999997E-2</v>
      </c>
      <c r="W5743">
        <v>0.1977235</v>
      </c>
      <c r="X5743">
        <v>0.97834379999999999</v>
      </c>
      <c r="Y5743">
        <v>-6.0680639999999997E-3</v>
      </c>
      <c r="Z5743">
        <v>-2.8713419999999999E-4</v>
      </c>
      <c r="AA5743">
        <v>0.99998149999999997</v>
      </c>
      <c r="AB5743">
        <v>35</v>
      </c>
      <c r="AC5743">
        <v>37.5623</v>
      </c>
      <c r="AD5743">
        <v>-1.1225577369949999</v>
      </c>
      <c r="AE5743">
        <v>0.88269999999999904</v>
      </c>
      <c r="AF5743">
        <v>-0.22846764778300199</v>
      </c>
      <c r="AG5743">
        <v>-1.1225577369949999</v>
      </c>
      <c r="AH5743">
        <v>37.538466163062601</v>
      </c>
      <c r="AI5743">
        <v>91.712842185521296</v>
      </c>
      <c r="AJ5743">
        <v>90.348710847422296</v>
      </c>
      <c r="AK5743">
        <v>37.555941942845301</v>
      </c>
      <c r="AL5743">
        <v>78.596132873426697</v>
      </c>
      <c r="AM5743">
        <v>86.418942023123506</v>
      </c>
      <c r="AN5743">
        <v>0.99999998765437004</v>
      </c>
    </row>
    <row r="5744" spans="1:40" x14ac:dyDescent="0.25">
      <c r="A5744" t="str">
        <f>"20190303170928851"</f>
        <v>20190303170928851</v>
      </c>
      <c r="B5744" t="str">
        <f>"1551604168839713"</f>
        <v>1551604168839713</v>
      </c>
      <c r="C5744" t="s">
        <v>40</v>
      </c>
      <c r="D5744">
        <v>5.2974699999999997</v>
      </c>
      <c r="E5744">
        <v>0.4801146</v>
      </c>
      <c r="F5744" t="s">
        <v>43</v>
      </c>
      <c r="G5744">
        <v>-107.38760000000001</v>
      </c>
      <c r="H5744" s="1">
        <v>-1.270049E-6</v>
      </c>
      <c r="I5744">
        <v>139.30789999999999</v>
      </c>
      <c r="J5744">
        <v>-143.3477</v>
      </c>
      <c r="K5744">
        <v>1.122387</v>
      </c>
      <c r="L5744">
        <v>138.4821</v>
      </c>
      <c r="M5744">
        <v>0.99975219999999998</v>
      </c>
      <c r="N5744">
        <v>-6.9031519999999897E-3</v>
      </c>
      <c r="O5744">
        <v>2.117221E-2</v>
      </c>
      <c r="P5744">
        <v>0.97995710000000003</v>
      </c>
      <c r="Q5744">
        <v>0.19404489999999999</v>
      </c>
      <c r="R5744">
        <v>-4.50693E-2</v>
      </c>
      <c r="S5744">
        <v>3.0810390000000001</v>
      </c>
      <c r="T5744">
        <v>-9.4605449999999994E-2</v>
      </c>
      <c r="U5744">
        <v>7.0800779999999994E-2</v>
      </c>
      <c r="V5744">
        <v>6.4736810000000006E-2</v>
      </c>
      <c r="W5744">
        <v>0.20114480000000001</v>
      </c>
      <c r="X5744">
        <v>0.97741999999999996</v>
      </c>
      <c r="Y5744">
        <v>-1.806118E-3</v>
      </c>
      <c r="Z5744">
        <v>-4.6970930000000001E-4</v>
      </c>
      <c r="AA5744">
        <v>0.99999830000000001</v>
      </c>
      <c r="AB5744">
        <v>35</v>
      </c>
      <c r="AC5744">
        <v>35.960099999999997</v>
      </c>
      <c r="AD5744">
        <v>-1.122388270049</v>
      </c>
      <c r="AE5744">
        <v>0.82579999999998599</v>
      </c>
      <c r="AF5744">
        <v>-6.4179606226082597E-2</v>
      </c>
      <c r="AG5744">
        <v>-1.122388270049</v>
      </c>
      <c r="AH5744">
        <v>35.934534681678599</v>
      </c>
      <c r="AI5744">
        <v>91.789006276255193</v>
      </c>
      <c r="AJ5744">
        <v>90.102330994132004</v>
      </c>
      <c r="AK5744">
        <v>35.952116171921801</v>
      </c>
      <c r="AL5744">
        <v>78.396087855601806</v>
      </c>
      <c r="AM5744">
        <v>86.210701071918393</v>
      </c>
      <c r="AN5744">
        <v>0.99999997076800695</v>
      </c>
    </row>
    <row r="5745" spans="1:40" x14ac:dyDescent="0.25">
      <c r="A5745" t="str">
        <f>"20190303170928896"</f>
        <v>20190303170928896</v>
      </c>
      <c r="B5745" t="str">
        <f>"1551604168889489"</f>
        <v>1551604168889489</v>
      </c>
      <c r="C5745" t="s">
        <v>40</v>
      </c>
      <c r="D5745">
        <v>5.2609050000000002</v>
      </c>
      <c r="E5745">
        <v>0.48448079999999999</v>
      </c>
      <c r="F5745" t="s">
        <v>43</v>
      </c>
      <c r="G5745">
        <v>-103.6437</v>
      </c>
      <c r="H5745" s="1">
        <v>-3.0341540000000001E-6</v>
      </c>
      <c r="I5745">
        <v>139.34</v>
      </c>
      <c r="J5745">
        <v>-142.63130000000001</v>
      </c>
      <c r="K5745">
        <v>1.1221080000000001</v>
      </c>
      <c r="L5745">
        <v>138.50129999999999</v>
      </c>
      <c r="M5745">
        <v>0.99966849999999996</v>
      </c>
      <c r="N5745">
        <v>-7.2789500000000002E-3</v>
      </c>
      <c r="O5745">
        <v>2.4698479999999998E-2</v>
      </c>
      <c r="P5745">
        <v>0.97983739999999997</v>
      </c>
      <c r="Q5745">
        <v>0.19557089999999999</v>
      </c>
      <c r="R5745">
        <v>-4.0879400000000003E-2</v>
      </c>
      <c r="S5745">
        <v>3.08168</v>
      </c>
      <c r="T5745">
        <v>-8.711576E-2</v>
      </c>
      <c r="U5745">
        <v>6.658936E-2</v>
      </c>
      <c r="V5745">
        <v>6.4175670000000004E-2</v>
      </c>
      <c r="W5745">
        <v>0.2029726</v>
      </c>
      <c r="X5745">
        <v>0.97707920000000004</v>
      </c>
      <c r="Y5745">
        <v>3.0898779999999999E-3</v>
      </c>
      <c r="Z5745">
        <v>-5.7302890000000004E-4</v>
      </c>
      <c r="AA5745">
        <v>0.99999510000000003</v>
      </c>
      <c r="AB5745">
        <v>36</v>
      </c>
      <c r="AC5745">
        <v>38.9876</v>
      </c>
      <c r="AD5745">
        <v>-1.1221110341539999</v>
      </c>
      <c r="AE5745">
        <v>0.83870000000001699</v>
      </c>
      <c r="AF5745">
        <v>0.12441276905627401</v>
      </c>
      <c r="AG5745">
        <v>-1.1221110341539999</v>
      </c>
      <c r="AH5745">
        <v>38.964159823019301</v>
      </c>
      <c r="AI5745">
        <v>91.649570640102993</v>
      </c>
      <c r="AJ5745">
        <v>89.817054893730898</v>
      </c>
      <c r="AK5745">
        <v>38.980512598269698</v>
      </c>
      <c r="AL5745">
        <v>78.289158264488805</v>
      </c>
      <c r="AM5745">
        <v>86.242145826190495</v>
      </c>
      <c r="AN5745">
        <v>1.00000007802167</v>
      </c>
    </row>
    <row r="5746" spans="1:40" x14ac:dyDescent="0.25">
      <c r="A5746" t="str">
        <f>"20190303170928941"</f>
        <v>20190303170928941</v>
      </c>
      <c r="B5746" t="str">
        <f>"1551604168929505"</f>
        <v>1551604168929505</v>
      </c>
      <c r="C5746" t="s">
        <v>40</v>
      </c>
      <c r="D5746">
        <v>5.2600559999999996</v>
      </c>
      <c r="E5746">
        <v>0.48157129999999998</v>
      </c>
      <c r="F5746" t="s">
        <v>43</v>
      </c>
      <c r="G5746">
        <v>-106.00539999999999</v>
      </c>
      <c r="H5746" s="1">
        <v>-1.975863E-6</v>
      </c>
      <c r="I5746">
        <v>139.01240000000001</v>
      </c>
      <c r="J5746">
        <v>-141.92259999999999</v>
      </c>
      <c r="K5746">
        <v>1.121774</v>
      </c>
      <c r="L5746">
        <v>138.5215</v>
      </c>
      <c r="M5746">
        <v>0.99960369999999998</v>
      </c>
      <c r="N5746">
        <v>-7.9923640000000001E-3</v>
      </c>
      <c r="O5746">
        <v>2.6991979999999999E-2</v>
      </c>
      <c r="P5746">
        <v>0.98022180000000003</v>
      </c>
      <c r="Q5746">
        <v>0.1943069</v>
      </c>
      <c r="R5746">
        <v>-3.7553429999999999E-2</v>
      </c>
      <c r="S5746">
        <v>3.082382</v>
      </c>
      <c r="T5746">
        <v>-9.4435099999999994E-2</v>
      </c>
      <c r="U5746">
        <v>4.3014530000000002E-2</v>
      </c>
      <c r="V5746">
        <v>6.3342999999999997E-2</v>
      </c>
      <c r="W5746">
        <v>0.2023305</v>
      </c>
      <c r="X5746">
        <v>0.97726659999999999</v>
      </c>
      <c r="Y5746">
        <v>1.302707E-2</v>
      </c>
      <c r="Z5746">
        <v>-8.624673E-4</v>
      </c>
      <c r="AA5746">
        <v>0.99991479999999999</v>
      </c>
      <c r="AB5746">
        <v>36</v>
      </c>
      <c r="AC5746">
        <v>35.917199999999902</v>
      </c>
      <c r="AD5746">
        <v>-1.1217759758629999</v>
      </c>
      <c r="AE5746">
        <v>0.49090000000001</v>
      </c>
      <c r="AF5746">
        <v>0.47831968715442502</v>
      </c>
      <c r="AG5746">
        <v>-1.1217759758629999</v>
      </c>
      <c r="AH5746">
        <v>35.882368417664999</v>
      </c>
      <c r="AI5746">
        <v>91.790472615091005</v>
      </c>
      <c r="AJ5746">
        <v>89.236280172363706</v>
      </c>
      <c r="AK5746">
        <v>35.903085303692002</v>
      </c>
      <c r="AL5746">
        <v>78.326726332340996</v>
      </c>
      <c r="AM5746">
        <v>86.291475726601902</v>
      </c>
      <c r="AN5746">
        <v>0.99999998717740401</v>
      </c>
    </row>
    <row r="5747" spans="1:40" x14ac:dyDescent="0.25">
      <c r="A5747" t="str">
        <f>"20190303170928968"</f>
        <v>20190303170928968</v>
      </c>
      <c r="B5747" t="str">
        <f>"1551604168959761"</f>
        <v>1551604168959761</v>
      </c>
      <c r="C5747" t="s">
        <v>40</v>
      </c>
      <c r="D5747">
        <v>5.3390649999999997</v>
      </c>
      <c r="E5747">
        <v>0.4816626</v>
      </c>
      <c r="F5747" t="s">
        <v>43</v>
      </c>
      <c r="G5747">
        <v>-107.6707</v>
      </c>
      <c r="H5747" s="1">
        <v>-1.1185759999999999E-6</v>
      </c>
      <c r="I5747">
        <v>139.4076</v>
      </c>
      <c r="J5747">
        <v>-141.47329999999999</v>
      </c>
      <c r="K5747">
        <v>1.1215580000000001</v>
      </c>
      <c r="L5747">
        <v>138.53450000000001</v>
      </c>
      <c r="M5747">
        <v>0.99957689999999999</v>
      </c>
      <c r="N5747">
        <v>-8.6903459999999998E-3</v>
      </c>
      <c r="O5747">
        <v>2.7756449999999998E-2</v>
      </c>
      <c r="P5747">
        <v>0.98051319999999997</v>
      </c>
      <c r="Q5747">
        <v>0.19308910000000001</v>
      </c>
      <c r="R5747">
        <v>-3.6200080000000003E-2</v>
      </c>
      <c r="S5747">
        <v>3.0835880000000002</v>
      </c>
      <c r="T5747">
        <v>-0.1009898</v>
      </c>
      <c r="U5747">
        <v>7.9772949999999995E-2</v>
      </c>
      <c r="V5747">
        <v>6.2925759999999997E-2</v>
      </c>
      <c r="W5747">
        <v>0.20174020000000001</v>
      </c>
      <c r="X5747">
        <v>0.97741560000000005</v>
      </c>
      <c r="Y5747">
        <v>1.887358E-3</v>
      </c>
      <c r="Z5747">
        <v>-7.0640329999999997E-4</v>
      </c>
      <c r="AA5747">
        <v>0.99999800000000005</v>
      </c>
      <c r="AB5747">
        <v>36</v>
      </c>
      <c r="AC5747">
        <v>33.802599999999998</v>
      </c>
      <c r="AD5747">
        <v>-1.1215591185760001</v>
      </c>
      <c r="AE5747">
        <v>0.87309999999999299</v>
      </c>
      <c r="AF5747">
        <v>6.54400674802256E-2</v>
      </c>
      <c r="AG5747">
        <v>-1.1215591185760001</v>
      </c>
      <c r="AH5747">
        <v>33.776650867378898</v>
      </c>
      <c r="AI5747">
        <v>91.901813232364105</v>
      </c>
      <c r="AJ5747">
        <v>89.888993287077696</v>
      </c>
      <c r="AK5747">
        <v>33.795329870792798</v>
      </c>
      <c r="AL5747">
        <v>78.361260419118196</v>
      </c>
      <c r="AM5747">
        <v>86.316396334266898</v>
      </c>
      <c r="AN5747">
        <v>1.00000000734548</v>
      </c>
    </row>
    <row r="5748" spans="1:40" x14ac:dyDescent="0.25">
      <c r="A5748" t="str">
        <f>"20190303170928991"</f>
        <v>20190303170928991</v>
      </c>
      <c r="B5748" t="str">
        <f>"1551604168979281"</f>
        <v>1551604168979281</v>
      </c>
      <c r="C5748" t="s">
        <v>40</v>
      </c>
      <c r="D5748">
        <v>4.471152</v>
      </c>
      <c r="E5748">
        <v>0.47912310000000002</v>
      </c>
      <c r="F5748" t="s">
        <v>43</v>
      </c>
      <c r="G5748">
        <v>-107.1296</v>
      </c>
      <c r="H5748" s="1">
        <v>-1.366925E-6</v>
      </c>
      <c r="I5748">
        <v>139.4494</v>
      </c>
      <c r="J5748">
        <v>-141.10489999999999</v>
      </c>
      <c r="K5748">
        <v>1.121324</v>
      </c>
      <c r="L5748">
        <v>138.54490000000001</v>
      </c>
      <c r="M5748">
        <v>0.99956920000000005</v>
      </c>
      <c r="N5748">
        <v>-9.3368779999999998E-3</v>
      </c>
      <c r="O5748">
        <v>2.7822280000000001E-2</v>
      </c>
      <c r="P5748">
        <v>0.98058630000000002</v>
      </c>
      <c r="Q5748">
        <v>0.19312270000000001</v>
      </c>
      <c r="R5748">
        <v>-3.3974160000000003E-2</v>
      </c>
      <c r="S5748">
        <v>3.0824739999999999</v>
      </c>
      <c r="T5748">
        <v>-0.10066410000000001</v>
      </c>
      <c r="U5748">
        <v>8.2122799999999996E-2</v>
      </c>
      <c r="V5748">
        <v>6.0944129999999999E-2</v>
      </c>
      <c r="W5748">
        <v>0.20234830000000001</v>
      </c>
      <c r="X5748">
        <v>0.97741540000000005</v>
      </c>
      <c r="Y5748">
        <v>1.1831719999999999E-3</v>
      </c>
      <c r="Z5748">
        <v>-6.731199E-4</v>
      </c>
      <c r="AA5748">
        <v>0.99999899999999997</v>
      </c>
      <c r="AB5748">
        <v>36</v>
      </c>
      <c r="AC5748">
        <v>33.975299999999898</v>
      </c>
      <c r="AD5748">
        <v>-1.1213253669249901</v>
      </c>
      <c r="AE5748">
        <v>0.90449999999998398</v>
      </c>
      <c r="AF5748">
        <v>4.1117009834285498E-2</v>
      </c>
      <c r="AG5748">
        <v>-1.1213253669249901</v>
      </c>
      <c r="AH5748">
        <v>33.950357856323599</v>
      </c>
      <c r="AI5748">
        <v>91.891697801851905</v>
      </c>
      <c r="AJ5748">
        <v>89.930609568597902</v>
      </c>
      <c r="AK5748">
        <v>33.968895474528402</v>
      </c>
      <c r="AL5748">
        <v>78.325684401386994</v>
      </c>
      <c r="AM5748">
        <v>86.432093506502994</v>
      </c>
      <c r="AN5748">
        <v>0.999999942825751</v>
      </c>
    </row>
    <row r="5749" spans="1:40" x14ac:dyDescent="0.25">
      <c r="A5749" t="str">
        <f>"20190303170929082"</f>
        <v>20190303170929082</v>
      </c>
      <c r="B5749" t="str">
        <f>"1551604169079810"</f>
        <v>1551604169079810</v>
      </c>
      <c r="C5749" t="s">
        <v>40</v>
      </c>
      <c r="D5749">
        <v>6.0275439999999998</v>
      </c>
      <c r="E5749">
        <v>0.48605989999999999</v>
      </c>
      <c r="F5749" t="s">
        <v>43</v>
      </c>
      <c r="G5749">
        <v>-117.7469</v>
      </c>
      <c r="H5749" s="1">
        <v>-9.9034759999999995E-7</v>
      </c>
      <c r="I5749">
        <v>139.38239999999999</v>
      </c>
      <c r="J5749">
        <v>-139.6643</v>
      </c>
      <c r="K5749">
        <v>1.1200190000000001</v>
      </c>
      <c r="L5749">
        <v>138.58000000000001</v>
      </c>
      <c r="M5749">
        <v>0.99965800000000005</v>
      </c>
      <c r="N5749">
        <v>-1.1505690000000001E-2</v>
      </c>
      <c r="O5749">
        <v>2.3487850000000001E-2</v>
      </c>
      <c r="P5749">
        <v>0.97882740000000001</v>
      </c>
      <c r="Q5749">
        <v>0.20184270000000001</v>
      </c>
      <c r="R5749">
        <v>-3.4007820000000001E-2</v>
      </c>
      <c r="S5749">
        <v>3.0924680000000002</v>
      </c>
      <c r="T5749">
        <v>-0.14845739999999999</v>
      </c>
      <c r="U5749">
        <v>0.1108856</v>
      </c>
      <c r="V5749">
        <v>5.7517680000000002E-2</v>
      </c>
      <c r="W5749">
        <v>0.2129374</v>
      </c>
      <c r="X5749">
        <v>0.9753714</v>
      </c>
      <c r="Y5749">
        <v>-1.234743E-2</v>
      </c>
      <c r="Z5749">
        <v>-4.8904000000000005E-4</v>
      </c>
      <c r="AA5749">
        <v>0.99992360000000002</v>
      </c>
      <c r="AB5749">
        <v>35</v>
      </c>
      <c r="AC5749">
        <v>21.917400000000001</v>
      </c>
      <c r="AD5749">
        <v>-1.1200199903476</v>
      </c>
      <c r="AE5749">
        <v>0.80239999999997702</v>
      </c>
      <c r="AF5749">
        <v>-0.286604533345372</v>
      </c>
      <c r="AG5749">
        <v>-1.1200199903476</v>
      </c>
      <c r="AH5749">
        <v>21.873157458557401</v>
      </c>
      <c r="AI5749">
        <v>92.931032097119697</v>
      </c>
      <c r="AJ5749">
        <v>90.750705082012601</v>
      </c>
      <c r="AK5749">
        <v>21.903689281583599</v>
      </c>
      <c r="AL5749">
        <v>77.705452756117396</v>
      </c>
      <c r="AM5749">
        <v>86.625174529525793</v>
      </c>
      <c r="AN5749">
        <v>0.999999993884651</v>
      </c>
    </row>
    <row r="5750" spans="1:40" x14ac:dyDescent="0.25">
      <c r="A5750" t="str">
        <f>"20190303170929108"</f>
        <v>20190303170929108</v>
      </c>
      <c r="B5750" t="str">
        <f>"1551604169099329"</f>
        <v>1551604169099329</v>
      </c>
      <c r="C5750" t="s">
        <v>40</v>
      </c>
      <c r="D5750">
        <v>5.5074339999999999</v>
      </c>
      <c r="E5750">
        <v>0.48756870000000002</v>
      </c>
      <c r="F5750" t="s">
        <v>43</v>
      </c>
      <c r="G5750">
        <v>-124.9555</v>
      </c>
      <c r="H5750" s="1">
        <v>-2.279792E-6</v>
      </c>
      <c r="I5750">
        <v>138.86410000000001</v>
      </c>
      <c r="J5750">
        <v>-139.27670000000001</v>
      </c>
      <c r="K5750">
        <v>1.1196630000000001</v>
      </c>
      <c r="L5750">
        <v>138.58709999999999</v>
      </c>
      <c r="M5750">
        <v>0.9997028</v>
      </c>
      <c r="N5750">
        <v>-1.196002E-2</v>
      </c>
      <c r="O5750">
        <v>2.1250709999999999E-2</v>
      </c>
      <c r="P5750">
        <v>0.97881750000000001</v>
      </c>
      <c r="Q5750">
        <v>0.2014032</v>
      </c>
      <c r="R5750">
        <v>-3.6790940000000001E-2</v>
      </c>
      <c r="S5750">
        <v>3.115891</v>
      </c>
      <c r="T5750">
        <v>-0.23726330000000001</v>
      </c>
      <c r="U5750">
        <v>6.0180659999999997E-2</v>
      </c>
      <c r="V5750">
        <v>5.8313610000000002E-2</v>
      </c>
      <c r="W5750">
        <v>0.2128852</v>
      </c>
      <c r="X5750">
        <v>0.97533550000000002</v>
      </c>
      <c r="Y5750">
        <v>1.8920950000000001E-3</v>
      </c>
      <c r="Z5750">
        <v>-1.4448989999999999E-3</v>
      </c>
      <c r="AA5750">
        <v>0.99999709999999997</v>
      </c>
      <c r="AB5750">
        <v>35</v>
      </c>
      <c r="AC5750">
        <v>14.321199999999999</v>
      </c>
      <c r="AD5750">
        <v>-1.1196652797919999</v>
      </c>
      <c r="AE5750">
        <v>0.27700000000001501</v>
      </c>
      <c r="AF5750">
        <v>2.7253425418097998E-2</v>
      </c>
      <c r="AG5750">
        <v>-1.1196652797919999</v>
      </c>
      <c r="AH5750">
        <v>14.236862342661899</v>
      </c>
      <c r="AI5750">
        <v>94.496791680651</v>
      </c>
      <c r="AJ5750">
        <v>89.890319628807404</v>
      </c>
      <c r="AK5750">
        <v>14.280848800119401</v>
      </c>
      <c r="AL5750">
        <v>77.708513376464794</v>
      </c>
      <c r="AM5750">
        <v>86.578458224973105</v>
      </c>
      <c r="AN5750">
        <v>0.99999996152526005</v>
      </c>
    </row>
    <row r="5751" spans="1:40" x14ac:dyDescent="0.25">
      <c r="A5751" t="str">
        <f>"20190303170929143"</f>
        <v>20190303170929143</v>
      </c>
      <c r="B5751" t="str">
        <f>"1551604169139345"</f>
        <v>1551604169139345</v>
      </c>
      <c r="C5751" t="s">
        <v>40</v>
      </c>
      <c r="D5751">
        <v>5.2550759999999999</v>
      </c>
      <c r="E5751">
        <v>0.48985970000000001</v>
      </c>
      <c r="F5751" t="s">
        <v>43</v>
      </c>
      <c r="G5751">
        <v>-122.8968</v>
      </c>
      <c r="H5751" s="1">
        <v>-3.1772810000000002E-6</v>
      </c>
      <c r="I5751">
        <v>138.7835</v>
      </c>
      <c r="J5751">
        <v>-138.72479999999999</v>
      </c>
      <c r="K5751">
        <v>1.1191960000000001</v>
      </c>
      <c r="L5751">
        <v>138.5949</v>
      </c>
      <c r="M5751">
        <v>0.99977009999999999</v>
      </c>
      <c r="N5751">
        <v>-1.2507620000000001E-2</v>
      </c>
      <c r="O5751">
        <v>1.7416049999999999E-2</v>
      </c>
      <c r="P5751">
        <v>0.97855720000000002</v>
      </c>
      <c r="Q5751">
        <v>0.20063510000000001</v>
      </c>
      <c r="R5751">
        <v>-4.6599700000000001E-2</v>
      </c>
      <c r="S5751">
        <v>3.110077</v>
      </c>
      <c r="T5751">
        <v>-0.21259149999999999</v>
      </c>
      <c r="U5751">
        <v>3.7292480000000003E-2</v>
      </c>
      <c r="V5751">
        <v>6.4611550000000004E-2</v>
      </c>
      <c r="W5751">
        <v>0.21255309999999999</v>
      </c>
      <c r="X5751">
        <v>0.97501110000000002</v>
      </c>
      <c r="Y5751">
        <v>5.3860009999999996E-3</v>
      </c>
      <c r="Z5751">
        <v>-1.1889330000000001E-3</v>
      </c>
      <c r="AA5751">
        <v>0.99998480000000001</v>
      </c>
      <c r="AB5751">
        <v>35</v>
      </c>
      <c r="AC5751">
        <v>15.8279999999999</v>
      </c>
      <c r="AD5751">
        <v>-1.1191991772809999</v>
      </c>
      <c r="AE5751">
        <v>0.18860000000000801</v>
      </c>
      <c r="AF5751">
        <v>8.6678090532300606E-2</v>
      </c>
      <c r="AG5751">
        <v>-1.1191991772809999</v>
      </c>
      <c r="AH5751">
        <v>15.7501456801704</v>
      </c>
      <c r="AI5751">
        <v>94.064522146149898</v>
      </c>
      <c r="AJ5751">
        <v>89.684686178255504</v>
      </c>
      <c r="AK5751">
        <v>15.7900984428976</v>
      </c>
      <c r="AL5751">
        <v>77.727988204692195</v>
      </c>
      <c r="AM5751">
        <v>86.208695022931593</v>
      </c>
      <c r="AN5751">
        <v>1.0000000589181</v>
      </c>
    </row>
    <row r="5752" spans="1:40" x14ac:dyDescent="0.25">
      <c r="A5752" t="str">
        <f>"20190303170929174"</f>
        <v>20190303170929174</v>
      </c>
      <c r="B5752" t="str">
        <f>"1551604169169602"</f>
        <v>1551604169169602</v>
      </c>
      <c r="C5752" t="s">
        <v>40</v>
      </c>
      <c r="D5752">
        <v>5.2561749999999998</v>
      </c>
      <c r="E5752">
        <v>0.49092920000000001</v>
      </c>
      <c r="F5752" t="s">
        <v>43</v>
      </c>
      <c r="G5752">
        <v>-118.42610000000001</v>
      </c>
      <c r="H5752" s="1">
        <v>-8.5020999999999999E-7</v>
      </c>
      <c r="I5752">
        <v>138.52979999999999</v>
      </c>
      <c r="J5752">
        <v>-138.22710000000001</v>
      </c>
      <c r="K5752">
        <v>1.118868</v>
      </c>
      <c r="L5752">
        <v>138.59960000000001</v>
      </c>
      <c r="M5752">
        <v>0.99982519999999997</v>
      </c>
      <c r="N5752">
        <v>-1.2917710000000001E-2</v>
      </c>
      <c r="O5752">
        <v>1.352853E-2</v>
      </c>
      <c r="P5752">
        <v>0.97830530000000004</v>
      </c>
      <c r="Q5752">
        <v>0.19985749999999999</v>
      </c>
      <c r="R5752">
        <v>-5.4552959999999998E-2</v>
      </c>
      <c r="S5752">
        <v>3.100311</v>
      </c>
      <c r="T5752">
        <v>-0.17094019999999999</v>
      </c>
      <c r="U5752">
        <v>-9.9334720000000005E-3</v>
      </c>
      <c r="V5752">
        <v>6.8930169999999999E-2</v>
      </c>
      <c r="W5752">
        <v>0.2120987</v>
      </c>
      <c r="X5752">
        <v>0.97481419999999996</v>
      </c>
      <c r="Y5752">
        <v>1.668996E-2</v>
      </c>
      <c r="Z5752">
        <v>-1.138334E-3</v>
      </c>
      <c r="AA5752">
        <v>0.99985999999999997</v>
      </c>
      <c r="AB5752">
        <v>35</v>
      </c>
      <c r="AC5752">
        <v>19.800999999999998</v>
      </c>
      <c r="AD5752">
        <v>-1.1188688502099999</v>
      </c>
      <c r="AE5752">
        <v>-6.9800000000014906E-2</v>
      </c>
      <c r="AF5752">
        <v>0.33661956757748401</v>
      </c>
      <c r="AG5752">
        <v>-1.1188688502099999</v>
      </c>
      <c r="AH5752">
        <v>19.735231580482001</v>
      </c>
      <c r="AI5752">
        <v>93.244381376806302</v>
      </c>
      <c r="AJ5752">
        <v>89.022813065591507</v>
      </c>
      <c r="AK5752">
        <v>19.769788713400601</v>
      </c>
      <c r="AL5752">
        <v>77.754629852901004</v>
      </c>
      <c r="AM5752">
        <v>85.955285553708805</v>
      </c>
      <c r="AN5752">
        <v>0.99999997569977905</v>
      </c>
    </row>
    <row r="5753" spans="1:40" x14ac:dyDescent="0.25">
      <c r="A5753" t="str">
        <f>"20190303170929195"</f>
        <v>20190303170929195</v>
      </c>
      <c r="B5753" t="str">
        <f>"1551604169190098"</f>
        <v>1551604169190098</v>
      </c>
      <c r="C5753" t="s">
        <v>40</v>
      </c>
      <c r="D5753">
        <v>5.4394039999999997</v>
      </c>
      <c r="E5753">
        <v>0.4914231</v>
      </c>
      <c r="F5753" t="s">
        <v>43</v>
      </c>
      <c r="G5753">
        <v>-117.3635</v>
      </c>
      <c r="H5753" s="1">
        <v>-1.343064E-6</v>
      </c>
      <c r="I5753">
        <v>138.32140000000001</v>
      </c>
      <c r="J5753">
        <v>-137.88069999999999</v>
      </c>
      <c r="K5753">
        <v>1.1186700000000001</v>
      </c>
      <c r="L5753">
        <v>138.60149999999999</v>
      </c>
      <c r="M5753">
        <v>0.99985679999999999</v>
      </c>
      <c r="N5753">
        <v>-1.315856E-2</v>
      </c>
      <c r="O5753">
        <v>1.0643390000000001E-2</v>
      </c>
      <c r="P5753">
        <v>0.97846880000000003</v>
      </c>
      <c r="Q5753">
        <v>0.1975035</v>
      </c>
      <c r="R5753">
        <v>-5.9928500000000003E-2</v>
      </c>
      <c r="S5753">
        <v>3.0981450000000001</v>
      </c>
      <c r="T5753">
        <v>-0.16614619999999999</v>
      </c>
      <c r="U5753">
        <v>-4.1305540000000002E-2</v>
      </c>
      <c r="V5753">
        <v>7.1564130000000004E-2</v>
      </c>
      <c r="W5753">
        <v>0.2099393</v>
      </c>
      <c r="X5753">
        <v>0.97509179999999995</v>
      </c>
      <c r="Y5753">
        <v>2.3922249999999999E-2</v>
      </c>
      <c r="Z5753">
        <v>-1.2288749999999999E-3</v>
      </c>
      <c r="AA5753">
        <v>0.99971310000000002</v>
      </c>
      <c r="AB5753">
        <v>35</v>
      </c>
      <c r="AC5753">
        <v>20.5171999999999</v>
      </c>
      <c r="AD5753">
        <v>-1.1186713430640001</v>
      </c>
      <c r="AE5753">
        <v>-0.28009999999997598</v>
      </c>
      <c r="AF5753">
        <v>0.49699838316359402</v>
      </c>
      <c r="AG5753">
        <v>-1.1186713430640001</v>
      </c>
      <c r="AH5753">
        <v>20.452266572829402</v>
      </c>
      <c r="AI5753">
        <v>93.129847874955601</v>
      </c>
      <c r="AJ5753">
        <v>88.607963251254105</v>
      </c>
      <c r="AK5753">
        <v>20.488866267627699</v>
      </c>
      <c r="AL5753">
        <v>77.881204615101694</v>
      </c>
      <c r="AM5753">
        <v>85.802462596171395</v>
      </c>
      <c r="AN5753">
        <v>0.99999997640719296</v>
      </c>
    </row>
    <row r="5754" spans="1:40" x14ac:dyDescent="0.25">
      <c r="A5754" t="str">
        <f>"20190303170929218"</f>
        <v>20190303170929218</v>
      </c>
      <c r="B5754" t="str">
        <f>"1551604169209618"</f>
        <v>1551604169209618</v>
      </c>
      <c r="C5754" t="s">
        <v>40</v>
      </c>
      <c r="D5754">
        <v>5.2971430000000002</v>
      </c>
      <c r="E5754">
        <v>0.4918882</v>
      </c>
      <c r="F5754" t="s">
        <v>43</v>
      </c>
      <c r="G5754">
        <v>-117.20180000000001</v>
      </c>
      <c r="H5754" s="1">
        <v>-1.4356240000000001E-6</v>
      </c>
      <c r="I5754">
        <v>138.19059999999999</v>
      </c>
      <c r="J5754">
        <v>-137.52529999999999</v>
      </c>
      <c r="K5754">
        <v>1.1185259999999999</v>
      </c>
      <c r="L5754">
        <v>138.60230000000001</v>
      </c>
      <c r="M5754">
        <v>0.99988180000000004</v>
      </c>
      <c r="N5754">
        <v>-1.337322E-2</v>
      </c>
      <c r="O5754">
        <v>7.5881069999999898E-3</v>
      </c>
      <c r="P5754">
        <v>0.97893399999999997</v>
      </c>
      <c r="Q5754">
        <v>0.19382050000000001</v>
      </c>
      <c r="R5754">
        <v>-6.4199469999999995E-2</v>
      </c>
      <c r="S5754">
        <v>3.0960540000000001</v>
      </c>
      <c r="T5754">
        <v>-0.167488</v>
      </c>
      <c r="U5754">
        <v>-6.1523439999999999E-2</v>
      </c>
      <c r="V5754">
        <v>7.2899649999999996E-2</v>
      </c>
      <c r="W5754">
        <v>0.20644280000000001</v>
      </c>
      <c r="X5754">
        <v>0.97573920000000003</v>
      </c>
      <c r="Y5754">
        <v>2.739811E-2</v>
      </c>
      <c r="Z5754">
        <v>-1.2326049999999999E-3</v>
      </c>
      <c r="AA5754">
        <v>0.99962379999999995</v>
      </c>
      <c r="AB5754">
        <v>35</v>
      </c>
      <c r="AC5754">
        <v>20.3234999999999</v>
      </c>
      <c r="AD5754">
        <v>-1.118527435624</v>
      </c>
      <c r="AE5754">
        <v>-0.41170000000002399</v>
      </c>
      <c r="AF5754">
        <v>0.56421054601501097</v>
      </c>
      <c r="AG5754">
        <v>-1.118527435624</v>
      </c>
      <c r="AH5754">
        <v>20.2584532155037</v>
      </c>
      <c r="AI5754">
        <v>93.159033541974196</v>
      </c>
      <c r="AJ5754">
        <v>88.404689223109003</v>
      </c>
      <c r="AK5754">
        <v>20.297151619112299</v>
      </c>
      <c r="AL5754">
        <v>78.086027610516894</v>
      </c>
      <c r="AM5754">
        <v>85.727242892202199</v>
      </c>
      <c r="AN5754">
        <v>0.99999998752930097</v>
      </c>
    </row>
    <row r="5755" spans="1:40" x14ac:dyDescent="0.25">
      <c r="A5755" t="str">
        <f>"20190303170929238"</f>
        <v>20190303170929238</v>
      </c>
      <c r="B5755" t="str">
        <f>"1551604169230114"</f>
        <v>1551604169230114</v>
      </c>
      <c r="C5755" t="s">
        <v>40</v>
      </c>
      <c r="D5755">
        <v>5.2751289999999997</v>
      </c>
      <c r="E5755">
        <v>0.49230990000000002</v>
      </c>
      <c r="F5755" t="s">
        <v>43</v>
      </c>
      <c r="G5755">
        <v>-117.8261</v>
      </c>
      <c r="H5755" s="1">
        <v>-1.1840170000000001E-6</v>
      </c>
      <c r="I5755">
        <v>138.0993</v>
      </c>
      <c r="J5755">
        <v>-137.19329999999999</v>
      </c>
      <c r="K5755">
        <v>1.11843</v>
      </c>
      <c r="L5755">
        <v>138.60210000000001</v>
      </c>
      <c r="M5755">
        <v>0.99989720000000004</v>
      </c>
      <c r="N5755">
        <v>-1.354789E-2</v>
      </c>
      <c r="O5755">
        <v>4.6770220000000003E-3</v>
      </c>
      <c r="P5755">
        <v>0.97898669999999999</v>
      </c>
      <c r="Q5755">
        <v>0.19243730000000001</v>
      </c>
      <c r="R5755">
        <v>-6.7475670000000001E-2</v>
      </c>
      <c r="S5755">
        <v>3.094147</v>
      </c>
      <c r="T5755">
        <v>-0.1756856</v>
      </c>
      <c r="U5755">
        <v>-7.9010010000000006E-2</v>
      </c>
      <c r="V5755">
        <v>7.3368580000000003E-2</v>
      </c>
      <c r="W5755">
        <v>0.20521320000000001</v>
      </c>
      <c r="X5755">
        <v>0.97596340000000004</v>
      </c>
      <c r="Y5755">
        <v>3.0138160000000001E-2</v>
      </c>
      <c r="Z5755">
        <v>-1.2611860000000001E-3</v>
      </c>
      <c r="AA5755">
        <v>0.99954489999999996</v>
      </c>
      <c r="AB5755">
        <v>35</v>
      </c>
      <c r="AC5755">
        <v>19.3672</v>
      </c>
      <c r="AD5755">
        <v>-1.118431184017</v>
      </c>
      <c r="AE5755">
        <v>-0.50280000000000702</v>
      </c>
      <c r="AF5755">
        <v>0.59141265892159001</v>
      </c>
      <c r="AG5755">
        <v>-1.118431184017</v>
      </c>
      <c r="AH5755">
        <v>19.3003147427644</v>
      </c>
      <c r="AI5755">
        <v>93.314963412016297</v>
      </c>
      <c r="AJ5755">
        <v>88.244855075952501</v>
      </c>
      <c r="AK5755">
        <v>19.341737419794601</v>
      </c>
      <c r="AL5755">
        <v>78.158019929163899</v>
      </c>
      <c r="AM5755">
        <v>85.700845103230193</v>
      </c>
      <c r="AN5755">
        <v>0.99999998206250795</v>
      </c>
    </row>
    <row r="5756" spans="1:40" x14ac:dyDescent="0.25">
      <c r="A5756" t="str">
        <f>"20190303170929263"</f>
        <v>20190303170929263</v>
      </c>
      <c r="B5756" t="str">
        <f>"1551604169259393"</f>
        <v>1551604169259393</v>
      </c>
      <c r="C5756" t="s">
        <v>40</v>
      </c>
      <c r="D5756">
        <v>5.2416999999999998</v>
      </c>
      <c r="E5756">
        <v>0.4926624</v>
      </c>
      <c r="F5756" t="s">
        <v>43</v>
      </c>
      <c r="G5756">
        <v>-117.58669999999999</v>
      </c>
      <c r="H5756" s="1">
        <v>-1.3015369999999999E-6</v>
      </c>
      <c r="I5756">
        <v>138.0155</v>
      </c>
      <c r="J5756">
        <v>-136.81989999999999</v>
      </c>
      <c r="K5756">
        <v>1.1183670000000001</v>
      </c>
      <c r="L5756">
        <v>138.60059999999999</v>
      </c>
      <c r="M5756">
        <v>0.99990500000000004</v>
      </c>
      <c r="N5756">
        <v>-1.371809E-2</v>
      </c>
      <c r="O5756">
        <v>1.36849E-3</v>
      </c>
      <c r="P5756">
        <v>0.97834949999999998</v>
      </c>
      <c r="Q5756">
        <v>0.19449150000000001</v>
      </c>
      <c r="R5756">
        <v>-7.0748779999999997E-2</v>
      </c>
      <c r="S5756">
        <v>3.0926969999999998</v>
      </c>
      <c r="T5756">
        <v>-0.17641889999999999</v>
      </c>
      <c r="U5756">
        <v>-9.2514040000000006E-2</v>
      </c>
      <c r="V5756">
        <v>7.3458449999999995E-2</v>
      </c>
      <c r="W5756">
        <v>0.20741270000000001</v>
      </c>
      <c r="X5756">
        <v>0.97549160000000001</v>
      </c>
      <c r="Y5756">
        <v>3.120413E-2</v>
      </c>
      <c r="Z5756">
        <v>-1.162607E-3</v>
      </c>
      <c r="AA5756">
        <v>0.99951239999999997</v>
      </c>
      <c r="AB5756">
        <v>35</v>
      </c>
      <c r="AC5756">
        <v>19.2332</v>
      </c>
      <c r="AD5756">
        <v>-1.1183683015369901</v>
      </c>
      <c r="AE5756">
        <v>-0.58509999999998197</v>
      </c>
      <c r="AF5756">
        <v>0.60936391386262001</v>
      </c>
      <c r="AG5756">
        <v>-1.1183683015369901</v>
      </c>
      <c r="AH5756">
        <v>19.167632168164499</v>
      </c>
      <c r="AI5756">
        <v>93.337552079087004</v>
      </c>
      <c r="AJ5756">
        <v>88.179106062308904</v>
      </c>
      <c r="AK5756">
        <v>19.209898359217199</v>
      </c>
      <c r="AL5756">
        <v>78.029227408251003</v>
      </c>
      <c r="AM5756">
        <v>85.693524790722293</v>
      </c>
      <c r="AN5756">
        <v>1.0000000168341201</v>
      </c>
    </row>
    <row r="5757" spans="1:40" x14ac:dyDescent="0.25">
      <c r="A5757" t="str">
        <f>"20190303170929284"</f>
        <v>20190303170929284</v>
      </c>
      <c r="B5757" t="str">
        <f>"1551604169279889"</f>
        <v>1551604169279889</v>
      </c>
      <c r="C5757" t="s">
        <v>40</v>
      </c>
      <c r="D5757">
        <v>5.3146209999999998</v>
      </c>
      <c r="E5757">
        <v>0.49281019999999998</v>
      </c>
      <c r="F5757" t="s">
        <v>43</v>
      </c>
      <c r="G5757">
        <v>-116.6815</v>
      </c>
      <c r="H5757" s="1">
        <v>-1.7066990000000001E-6</v>
      </c>
      <c r="I5757">
        <v>137.92080000000001</v>
      </c>
      <c r="J5757">
        <v>-136.4795</v>
      </c>
      <c r="K5757">
        <v>1.118333</v>
      </c>
      <c r="L5757">
        <v>138.59809999999999</v>
      </c>
      <c r="M5757">
        <v>0.99990270000000003</v>
      </c>
      <c r="N5757">
        <v>-1.385191E-2</v>
      </c>
      <c r="O5757">
        <v>-1.66291299999999E-3</v>
      </c>
      <c r="P5757">
        <v>0.97764329999999999</v>
      </c>
      <c r="Q5757">
        <v>0.19638230000000001</v>
      </c>
      <c r="R5757">
        <v>-7.5153280000000003E-2</v>
      </c>
      <c r="S5757">
        <v>3.0929869999999999</v>
      </c>
      <c r="T5757">
        <v>-0.17176529999999901</v>
      </c>
      <c r="U5757">
        <v>-0.1044006</v>
      </c>
      <c r="V5757">
        <v>7.4939610000000004E-2</v>
      </c>
      <c r="W5757">
        <v>0.20940729999999999</v>
      </c>
      <c r="X5757">
        <v>0.97495259999999995</v>
      </c>
      <c r="Y5757">
        <v>3.2012449999999998E-2</v>
      </c>
      <c r="Z5757">
        <v>-1.04072E-3</v>
      </c>
      <c r="AA5757">
        <v>0.99948689999999996</v>
      </c>
      <c r="AB5757">
        <v>35</v>
      </c>
      <c r="AC5757">
        <v>19.797999999999998</v>
      </c>
      <c r="AD5757">
        <v>-1.1183347066989999</v>
      </c>
      <c r="AE5757">
        <v>-0.67729999999997403</v>
      </c>
      <c r="AF5757">
        <v>0.64232640792858797</v>
      </c>
      <c r="AG5757">
        <v>-1.1183347066989999</v>
      </c>
      <c r="AH5757">
        <v>19.7361981752003</v>
      </c>
      <c r="AI5757">
        <v>93.241435435031093</v>
      </c>
      <c r="AJ5757">
        <v>88.135932452458903</v>
      </c>
      <c r="AK5757">
        <v>19.778290475703699</v>
      </c>
      <c r="AL5757">
        <v>77.912378817993698</v>
      </c>
      <c r="AM5757">
        <v>85.6046097525021</v>
      </c>
      <c r="AN5757">
        <v>0.99999996734350005</v>
      </c>
    </row>
    <row r="5758" spans="1:40" x14ac:dyDescent="0.25">
      <c r="A5758" t="str">
        <f>"20190303170929309"</f>
        <v>20190303170929309</v>
      </c>
      <c r="B5758" t="str">
        <f>"1551604169299409"</f>
        <v>1551604169299409</v>
      </c>
      <c r="C5758" t="s">
        <v>40</v>
      </c>
      <c r="D5758">
        <v>5.3036289999999999</v>
      </c>
      <c r="E5758">
        <v>0.49294090000000002</v>
      </c>
      <c r="F5758" t="s">
        <v>43</v>
      </c>
      <c r="G5758">
        <v>-115.3334</v>
      </c>
      <c r="H5758" s="1">
        <v>-2.3079890000000001E-6</v>
      </c>
      <c r="I5758">
        <v>137.79130000000001</v>
      </c>
      <c r="J5758">
        <v>-136.1054</v>
      </c>
      <c r="K5758">
        <v>1.1182939999999999</v>
      </c>
      <c r="L5758">
        <v>138.5943</v>
      </c>
      <c r="M5758">
        <v>0.9998899</v>
      </c>
      <c r="N5758">
        <v>-1.3979119999999999E-2</v>
      </c>
      <c r="O5758">
        <v>-4.9995439999999999E-3</v>
      </c>
      <c r="P5758">
        <v>0.97726449999999998</v>
      </c>
      <c r="Q5758">
        <v>0.19662679999999999</v>
      </c>
      <c r="R5758">
        <v>-7.9322599999999993E-2</v>
      </c>
      <c r="S5758">
        <v>3.0923919999999998</v>
      </c>
      <c r="T5758">
        <v>-0.1635442</v>
      </c>
      <c r="U5758">
        <v>-0.1179962</v>
      </c>
      <c r="V5758">
        <v>7.5873720000000006E-2</v>
      </c>
      <c r="W5758">
        <v>0.2097598</v>
      </c>
      <c r="X5758">
        <v>0.97480460000000002</v>
      </c>
      <c r="Y5758">
        <v>3.3077710000000003E-2</v>
      </c>
      <c r="Z5758">
        <v>-9.1095870000000004E-4</v>
      </c>
      <c r="AA5758">
        <v>0.99945240000000002</v>
      </c>
      <c r="AB5758">
        <v>35</v>
      </c>
      <c r="AC5758">
        <v>20.771999999999998</v>
      </c>
      <c r="AD5758">
        <v>-1.118296307989</v>
      </c>
      <c r="AE5758">
        <v>-0.80299999999999705</v>
      </c>
      <c r="AF5758">
        <v>0.69711180898610403</v>
      </c>
      <c r="AG5758">
        <v>-1.118296307989</v>
      </c>
      <c r="AH5758">
        <v>20.715802445465101</v>
      </c>
      <c r="AI5758">
        <v>93.088240729680805</v>
      </c>
      <c r="AJ5758">
        <v>88.072655008996307</v>
      </c>
      <c r="AK5758">
        <v>20.757673821173402</v>
      </c>
      <c r="AL5758">
        <v>77.891723732897802</v>
      </c>
      <c r="AM5758">
        <v>85.549367739952501</v>
      </c>
      <c r="AN5758">
        <v>1.0000000016319099</v>
      </c>
    </row>
    <row r="5759" spans="1:40" x14ac:dyDescent="0.25">
      <c r="A5759" t="str">
        <f>"20190303170929343"</f>
        <v>20190303170929343</v>
      </c>
      <c r="B5759" t="str">
        <f>"1551604169329666"</f>
        <v>1551604169329666</v>
      </c>
      <c r="C5759" t="s">
        <v>40</v>
      </c>
      <c r="D5759">
        <v>5.3114080000000001</v>
      </c>
      <c r="E5759">
        <v>0.49299510000000002</v>
      </c>
      <c r="F5759" t="s">
        <v>43</v>
      </c>
      <c r="G5759">
        <v>-114.7221</v>
      </c>
      <c r="H5759" s="1">
        <v>-2.5900510000000001E-6</v>
      </c>
      <c r="I5759">
        <v>137.67949999999999</v>
      </c>
      <c r="J5759">
        <v>-135.5771</v>
      </c>
      <c r="K5759">
        <v>1.1182449999999999</v>
      </c>
      <c r="L5759">
        <v>138.5865</v>
      </c>
      <c r="M5759">
        <v>0.99985310000000005</v>
      </c>
      <c r="N5759">
        <v>-1.412513E-2</v>
      </c>
      <c r="O5759">
        <v>-9.709535E-3</v>
      </c>
      <c r="P5759">
        <v>0.97734120000000002</v>
      </c>
      <c r="Q5759">
        <v>0.1941447</v>
      </c>
      <c r="R5759">
        <v>-8.4334389999999995E-2</v>
      </c>
      <c r="S5759">
        <v>3.091583</v>
      </c>
      <c r="T5759">
        <v>-0.16168279999999999</v>
      </c>
      <c r="U5759">
        <v>-0.1322479</v>
      </c>
      <c r="V5759">
        <v>7.6283400000000001E-2</v>
      </c>
      <c r="W5759">
        <v>0.2074164</v>
      </c>
      <c r="X5759">
        <v>0.97527399999999997</v>
      </c>
      <c r="Y5759">
        <v>3.2983909999999998E-2</v>
      </c>
      <c r="Z5759">
        <v>-7.2463759999999997E-4</v>
      </c>
      <c r="AA5759">
        <v>0.9994556</v>
      </c>
      <c r="AB5759">
        <v>35</v>
      </c>
      <c r="AC5759">
        <v>20.855</v>
      </c>
      <c r="AD5759">
        <v>-1.1182475900510001</v>
      </c>
      <c r="AE5759">
        <v>-0.90700000000001002</v>
      </c>
      <c r="AF5759">
        <v>0.70242892950695901</v>
      </c>
      <c r="AG5759">
        <v>-1.1182475900510001</v>
      </c>
      <c r="AH5759">
        <v>20.803125646328901</v>
      </c>
      <c r="AI5759">
        <v>93.0751569328757</v>
      </c>
      <c r="AJ5759">
        <v>88.066111355538794</v>
      </c>
      <c r="AK5759">
        <v>20.844997498935101</v>
      </c>
      <c r="AL5759">
        <v>78.029011074805794</v>
      </c>
      <c r="AM5759">
        <v>85.527578762711201</v>
      </c>
      <c r="AN5759">
        <v>1.00000004759025</v>
      </c>
    </row>
    <row r="5760" spans="1:40" x14ac:dyDescent="0.25">
      <c r="A5760" t="str">
        <f>"20190303170929387"</f>
        <v>20190303170929387</v>
      </c>
      <c r="B5760" t="str">
        <f>"1551604169379442"</f>
        <v>1551604169379442</v>
      </c>
      <c r="C5760" t="s">
        <v>40</v>
      </c>
      <c r="D5760">
        <v>5.3479029999999996</v>
      </c>
      <c r="E5760">
        <v>0.49278100000000002</v>
      </c>
      <c r="F5760" t="s">
        <v>43</v>
      </c>
      <c r="G5760">
        <v>-115.18940000000001</v>
      </c>
      <c r="H5760" s="1">
        <v>-2.4047259999999999E-6</v>
      </c>
      <c r="I5760">
        <v>137.5943</v>
      </c>
      <c r="J5760">
        <v>-134.87880000000001</v>
      </c>
      <c r="K5760">
        <v>1.118252</v>
      </c>
      <c r="L5760">
        <v>138.57249999999999</v>
      </c>
      <c r="M5760">
        <v>0.99977130000000003</v>
      </c>
      <c r="N5760">
        <v>-1.4275639999999999E-2</v>
      </c>
      <c r="O5760">
        <v>-1.5931540000000001E-2</v>
      </c>
      <c r="P5760">
        <v>0.97556920000000003</v>
      </c>
      <c r="Q5760">
        <v>0.1989274</v>
      </c>
      <c r="R5760">
        <v>-9.3235810000000002E-2</v>
      </c>
      <c r="S5760">
        <v>3.0902400000000001</v>
      </c>
      <c r="T5760">
        <v>-0.16949639999999999</v>
      </c>
      <c r="U5760">
        <v>-0.15039060000000001</v>
      </c>
      <c r="V5760">
        <v>7.9173759999999996E-2</v>
      </c>
      <c r="W5760">
        <v>0.21230189999999999</v>
      </c>
      <c r="X5760">
        <v>0.97399150000000001</v>
      </c>
      <c r="Y5760">
        <v>3.2639630000000003E-2</v>
      </c>
      <c r="Z5760">
        <v>-4.8193889999999999E-4</v>
      </c>
      <c r="AA5760">
        <v>0.99946710000000005</v>
      </c>
      <c r="AB5760">
        <v>35</v>
      </c>
      <c r="AC5760">
        <v>19.689399999999999</v>
      </c>
      <c r="AD5760">
        <v>-1.1182544047259999</v>
      </c>
      <c r="AE5760">
        <v>-0.97819999999998597</v>
      </c>
      <c r="AF5760">
        <v>0.66223057563538701</v>
      </c>
      <c r="AG5760">
        <v>-1.1182544047259999</v>
      </c>
      <c r="AH5760">
        <v>19.639293062431801</v>
      </c>
      <c r="AI5760">
        <v>93.257035435408497</v>
      </c>
      <c r="AJ5760">
        <v>88.068736684221406</v>
      </c>
      <c r="AK5760">
        <v>19.682247692808801</v>
      </c>
      <c r="AL5760">
        <v>77.742716473197603</v>
      </c>
      <c r="AM5760">
        <v>85.352762187896701</v>
      </c>
      <c r="AN5760">
        <v>1.00000001154419</v>
      </c>
    </row>
    <row r="5761" spans="1:40" x14ac:dyDescent="0.25">
      <c r="A5761" t="str">
        <f>"20190303170929415"</f>
        <v>20190303170929415</v>
      </c>
      <c r="B5761" t="str">
        <f>"1551604169409697"</f>
        <v>1551604169409697</v>
      </c>
      <c r="C5761" t="s">
        <v>40</v>
      </c>
      <c r="D5761">
        <v>5.366276</v>
      </c>
      <c r="E5761">
        <v>0.49259639999999999</v>
      </c>
      <c r="F5761" t="s">
        <v>43</v>
      </c>
      <c r="G5761">
        <v>-112.172</v>
      </c>
      <c r="H5761" s="1">
        <v>-3.7539600000000001E-6</v>
      </c>
      <c r="I5761">
        <v>137.28530000000001</v>
      </c>
      <c r="J5761">
        <v>-134.44839999999999</v>
      </c>
      <c r="K5761">
        <v>1.1182620000000001</v>
      </c>
      <c r="L5761">
        <v>138.5616</v>
      </c>
      <c r="M5761">
        <v>0.99970170000000003</v>
      </c>
      <c r="N5761">
        <v>-1.4347169999999999E-2</v>
      </c>
      <c r="O5761">
        <v>-1.976758E-2</v>
      </c>
      <c r="P5761">
        <v>0.97506360000000003</v>
      </c>
      <c r="Q5761">
        <v>0.19907150000000001</v>
      </c>
      <c r="R5761">
        <v>-9.8090369999999996E-2</v>
      </c>
      <c r="S5761">
        <v>3.0894170000000001</v>
      </c>
      <c r="T5761">
        <v>-0.152146</v>
      </c>
      <c r="U5761">
        <v>-0.17512510000000001</v>
      </c>
      <c r="V5761">
        <v>8.0294299999999999E-2</v>
      </c>
      <c r="W5761">
        <v>0.2125051</v>
      </c>
      <c r="X5761">
        <v>0.97385540000000004</v>
      </c>
      <c r="Y5761">
        <v>3.6800190000000003E-2</v>
      </c>
      <c r="Z5761">
        <v>-4.806818E-4</v>
      </c>
      <c r="AA5761">
        <v>0.9993225</v>
      </c>
      <c r="AB5761">
        <v>35</v>
      </c>
      <c r="AC5761">
        <v>22.276399999999899</v>
      </c>
      <c r="AD5761">
        <v>-1.1182657539600001</v>
      </c>
      <c r="AE5761">
        <v>-1.27629999999999</v>
      </c>
      <c r="AF5761">
        <v>0.833561035959693</v>
      </c>
      <c r="AG5761">
        <v>-1.1182657539600001</v>
      </c>
      <c r="AH5761">
        <v>22.241413389737801</v>
      </c>
      <c r="AI5761">
        <v>92.876308356955704</v>
      </c>
      <c r="AJ5761">
        <v>87.853680139858596</v>
      </c>
      <c r="AK5761">
        <v>22.285102913613802</v>
      </c>
      <c r="AL5761">
        <v>77.730801543579702</v>
      </c>
      <c r="AM5761">
        <v>85.286628741923494</v>
      </c>
      <c r="AN5761">
        <v>0.99999996612382902</v>
      </c>
    </row>
    <row r="5762" spans="1:40" x14ac:dyDescent="0.25">
      <c r="A5762" t="str">
        <f>"20190303170929440"</f>
        <v>20190303170929440</v>
      </c>
      <c r="B5762" t="str">
        <f>"1551604169430193"</f>
        <v>1551604169430193</v>
      </c>
      <c r="C5762" t="s">
        <v>40</v>
      </c>
      <c r="D5762">
        <v>5.4057729999999999</v>
      </c>
      <c r="E5762">
        <v>0.49243999999999999</v>
      </c>
      <c r="F5762" t="s">
        <v>43</v>
      </c>
      <c r="G5762">
        <v>-111.6371</v>
      </c>
      <c r="H5762" s="1">
        <v>-4.00412E-6</v>
      </c>
      <c r="I5762">
        <v>137.1688</v>
      </c>
      <c r="J5762">
        <v>-134.059</v>
      </c>
      <c r="K5762">
        <v>1.118279</v>
      </c>
      <c r="L5762">
        <v>138.55029999999999</v>
      </c>
      <c r="M5762">
        <v>0.99962620000000002</v>
      </c>
      <c r="N5762">
        <v>-1.4401260000000001E-2</v>
      </c>
      <c r="O5762">
        <v>-2.32383E-2</v>
      </c>
      <c r="P5762">
        <v>0.97479260000000001</v>
      </c>
      <c r="Q5762">
        <v>0.19877929999999999</v>
      </c>
      <c r="R5762">
        <v>-0.10132389999999999</v>
      </c>
      <c r="S5762">
        <v>3.0886990000000001</v>
      </c>
      <c r="T5762">
        <v>-0.15141550000000001</v>
      </c>
      <c r="U5762">
        <v>-0.18858340000000001</v>
      </c>
      <c r="V5762">
        <v>8.0141690000000002E-2</v>
      </c>
      <c r="W5762">
        <v>0.21226700000000001</v>
      </c>
      <c r="X5762">
        <v>0.97391989999999995</v>
      </c>
      <c r="Y5762">
        <v>3.7683950000000001E-2</v>
      </c>
      <c r="Z5762">
        <v>-3.9122110000000001E-4</v>
      </c>
      <c r="AA5762">
        <v>0.9992896</v>
      </c>
      <c r="AB5762">
        <v>35</v>
      </c>
      <c r="AC5762">
        <v>22.421899999999901</v>
      </c>
      <c r="AD5762">
        <v>-1.11828300412</v>
      </c>
      <c r="AE5762">
        <v>-1.38149999999998</v>
      </c>
      <c r="AF5762">
        <v>0.85790002999700599</v>
      </c>
      <c r="AG5762">
        <v>-1.11828300412</v>
      </c>
      <c r="AH5762">
        <v>22.392460827526801</v>
      </c>
      <c r="AI5762">
        <v>92.856892559476705</v>
      </c>
      <c r="AJ5762">
        <v>87.805956973482694</v>
      </c>
      <c r="AK5762">
        <v>22.436774528686101</v>
      </c>
      <c r="AL5762">
        <v>77.744762225986193</v>
      </c>
      <c r="AM5762">
        <v>85.295857048345496</v>
      </c>
      <c r="AN5762">
        <v>0.99999997069053204</v>
      </c>
    </row>
    <row r="5763" spans="1:40" x14ac:dyDescent="0.25">
      <c r="A5763" t="str">
        <f>"20190303170929462"</f>
        <v>20190303170929462</v>
      </c>
      <c r="B5763" t="str">
        <f>"1551604169449714"</f>
        <v>1551604169449714</v>
      </c>
      <c r="C5763" t="s">
        <v>40</v>
      </c>
      <c r="D5763">
        <v>5.403295</v>
      </c>
      <c r="E5763">
        <v>0.4922552</v>
      </c>
      <c r="F5763" t="s">
        <v>43</v>
      </c>
      <c r="G5763">
        <v>-111.38200000000001</v>
      </c>
      <c r="H5763" s="1">
        <v>-4.1266429999999997E-6</v>
      </c>
      <c r="I5763">
        <v>137.095</v>
      </c>
      <c r="J5763">
        <v>-133.7191</v>
      </c>
      <c r="K5763">
        <v>1.1183069999999999</v>
      </c>
      <c r="L5763">
        <v>138.5394</v>
      </c>
      <c r="M5763">
        <v>0.99955059999999996</v>
      </c>
      <c r="N5763">
        <v>-1.444135E-2</v>
      </c>
      <c r="O5763">
        <v>-2.6269399999999998E-2</v>
      </c>
      <c r="P5763">
        <v>0.97443709999999994</v>
      </c>
      <c r="Q5763">
        <v>0.19936699999999999</v>
      </c>
      <c r="R5763">
        <v>-0.1035626</v>
      </c>
      <c r="S5763">
        <v>3.088028</v>
      </c>
      <c r="T5763">
        <v>-0.15228120000000001</v>
      </c>
      <c r="U5763">
        <v>-0.19816590000000001</v>
      </c>
      <c r="V5763">
        <v>7.9431470000000004E-2</v>
      </c>
      <c r="W5763">
        <v>0.21289739999999999</v>
      </c>
      <c r="X5763">
        <v>0.9738405</v>
      </c>
      <c r="Y5763">
        <v>3.7757039999999999E-2</v>
      </c>
      <c r="Z5763">
        <v>-2.8859429999999998E-4</v>
      </c>
      <c r="AA5763">
        <v>0.99928689999999998</v>
      </c>
      <c r="AB5763">
        <v>35</v>
      </c>
      <c r="AC5763">
        <v>22.3370999999999</v>
      </c>
      <c r="AD5763">
        <v>-1.1183111266429999</v>
      </c>
      <c r="AE5763">
        <v>-1.4443999999999999</v>
      </c>
      <c r="AF5763">
        <v>0.85492406800681497</v>
      </c>
      <c r="AG5763">
        <v>-1.1183111266429999</v>
      </c>
      <c r="AH5763">
        <v>22.311645545517202</v>
      </c>
      <c r="AI5763">
        <v>92.867294702738903</v>
      </c>
      <c r="AJ5763">
        <v>87.805648669671697</v>
      </c>
      <c r="AK5763">
        <v>22.356006841268101</v>
      </c>
      <c r="AL5763">
        <v>77.707798328260395</v>
      </c>
      <c r="AM5763">
        <v>85.336982311279797</v>
      </c>
      <c r="AN5763">
        <v>0.99999999039668497</v>
      </c>
    </row>
    <row r="5764" spans="1:40" x14ac:dyDescent="0.25">
      <c r="A5764" t="str">
        <f>"20190303170929500"</f>
        <v>20190303170929500</v>
      </c>
      <c r="B5764" t="str">
        <f>"1551604169489729"</f>
        <v>1551604169489729</v>
      </c>
      <c r="C5764" t="s">
        <v>40</v>
      </c>
      <c r="D5764">
        <v>5.4146390000000002</v>
      </c>
      <c r="E5764">
        <v>0.49185099999999998</v>
      </c>
      <c r="F5764" t="s">
        <v>43</v>
      </c>
      <c r="G5764">
        <v>-110.7741</v>
      </c>
      <c r="H5764" s="1">
        <v>-4.3999710000000001E-6</v>
      </c>
      <c r="I5764">
        <v>137.02430000000001</v>
      </c>
      <c r="J5764">
        <v>-133.1421</v>
      </c>
      <c r="K5764">
        <v>1.1183890000000001</v>
      </c>
      <c r="L5764">
        <v>138.51840000000001</v>
      </c>
      <c r="M5764">
        <v>0.99940090000000004</v>
      </c>
      <c r="N5764">
        <v>-1.45837E-2</v>
      </c>
      <c r="O5764">
        <v>-3.1390840000000003E-2</v>
      </c>
      <c r="P5764">
        <v>0.97328190000000003</v>
      </c>
      <c r="Q5764">
        <v>0.2022641</v>
      </c>
      <c r="R5764">
        <v>-0.10868220000000001</v>
      </c>
      <c r="S5764">
        <v>3.0878299999999999</v>
      </c>
      <c r="T5764">
        <v>-0.15049650000000001</v>
      </c>
      <c r="U5764">
        <v>-0.20388790000000001</v>
      </c>
      <c r="V5764">
        <v>7.9594819999999997E-2</v>
      </c>
      <c r="W5764">
        <v>0.2159247</v>
      </c>
      <c r="X5764">
        <v>0.97316040000000004</v>
      </c>
      <c r="Y5764">
        <v>3.4492809999999999E-2</v>
      </c>
      <c r="Z5764" s="1">
        <v>-2.166384E-5</v>
      </c>
      <c r="AA5764">
        <v>0.99940499999999999</v>
      </c>
      <c r="AB5764">
        <v>35</v>
      </c>
      <c r="AC5764">
        <v>22.367999999999899</v>
      </c>
      <c r="AD5764">
        <v>-1.1183933999709901</v>
      </c>
      <c r="AE5764">
        <v>-1.4941</v>
      </c>
      <c r="AF5764">
        <v>0.78917447184923895</v>
      </c>
      <c r="AG5764">
        <v>-1.1183933999709901</v>
      </c>
      <c r="AH5764">
        <v>22.348258617197001</v>
      </c>
      <c r="AI5764">
        <v>92.863131046707494</v>
      </c>
      <c r="AJ5764">
        <v>87.977579069580401</v>
      </c>
      <c r="AK5764">
        <v>22.3901376361387</v>
      </c>
      <c r="AL5764">
        <v>77.530216779465505</v>
      </c>
      <c r="AM5764">
        <v>85.324184300523399</v>
      </c>
      <c r="AN5764">
        <v>0.99999998778454102</v>
      </c>
    </row>
    <row r="5765" spans="1:40" x14ac:dyDescent="0.25">
      <c r="A5765" t="str">
        <f>"20190303170929545"</f>
        <v>20190303170929545</v>
      </c>
      <c r="B5765" t="str">
        <f>"1551604169539506"</f>
        <v>1551604169539506</v>
      </c>
      <c r="C5765" t="s">
        <v>40</v>
      </c>
      <c r="D5765">
        <v>5.4149479999999999</v>
      </c>
      <c r="E5765">
        <v>0.49132920000000002</v>
      </c>
      <c r="F5765" t="s">
        <v>43</v>
      </c>
      <c r="G5765">
        <v>-108.744</v>
      </c>
      <c r="H5765" s="1">
        <v>-1.2146190000000001E-6</v>
      </c>
      <c r="I5765">
        <v>136.8048</v>
      </c>
      <c r="J5765">
        <v>-132.4462</v>
      </c>
      <c r="K5765">
        <v>1.11863</v>
      </c>
      <c r="L5765">
        <v>138.48929999999999</v>
      </c>
      <c r="M5765">
        <v>0.99918119999999999</v>
      </c>
      <c r="N5765">
        <v>-1.53213E-2</v>
      </c>
      <c r="O5765">
        <v>-3.7450499999999998E-2</v>
      </c>
      <c r="P5765">
        <v>0.97289400000000004</v>
      </c>
      <c r="Q5765">
        <v>0.2014447</v>
      </c>
      <c r="R5765">
        <v>-0.11356869999999999</v>
      </c>
      <c r="S5765">
        <v>3.087555</v>
      </c>
      <c r="T5765">
        <v>-0.14153109999999999</v>
      </c>
      <c r="U5765">
        <v>-0.21685789999999999</v>
      </c>
      <c r="V5765">
        <v>7.8540390000000002E-2</v>
      </c>
      <c r="W5765">
        <v>0.21584510000000001</v>
      </c>
      <c r="X5765">
        <v>0.97326369999999895</v>
      </c>
      <c r="Y5765">
        <v>3.2623319999999997E-2</v>
      </c>
      <c r="Z5765">
        <v>1.428066E-4</v>
      </c>
      <c r="AA5765">
        <v>0.99946769999999996</v>
      </c>
      <c r="AB5765">
        <v>35</v>
      </c>
      <c r="AC5765">
        <v>23.702200000000001</v>
      </c>
      <c r="AD5765">
        <v>-1.1186312146190001</v>
      </c>
      <c r="AE5765">
        <v>-1.6844999999999799</v>
      </c>
      <c r="AF5765">
        <v>0.79379552277679499</v>
      </c>
      <c r="AG5765">
        <v>-1.1186312146190001</v>
      </c>
      <c r="AH5765">
        <v>23.6961460426839</v>
      </c>
      <c r="AI5765">
        <v>92.701259868397699</v>
      </c>
      <c r="AJ5765">
        <v>88.081370195444805</v>
      </c>
      <c r="AK5765">
        <v>23.735812276020901</v>
      </c>
      <c r="AL5765">
        <v>77.534887378768701</v>
      </c>
      <c r="AM5765">
        <v>85.386345398316493</v>
      </c>
      <c r="AN5765">
        <v>0.99999996489652498</v>
      </c>
    </row>
    <row r="5766" spans="1:40" x14ac:dyDescent="0.25">
      <c r="A5766" t="str">
        <f>"20190303170929588"</f>
        <v>20190303170929588</v>
      </c>
      <c r="B5766" t="str">
        <f>"1551604169579522"</f>
        <v>1551604169579522</v>
      </c>
      <c r="C5766" t="s">
        <v>40</v>
      </c>
      <c r="D5766">
        <v>5.4240329999999997</v>
      </c>
      <c r="E5766">
        <v>0.49091439999999997</v>
      </c>
      <c r="F5766" t="s">
        <v>43</v>
      </c>
      <c r="G5766">
        <v>-108.6378</v>
      </c>
      <c r="H5766" s="1">
        <v>-1.2775339999999999E-6</v>
      </c>
      <c r="I5766">
        <v>136.7216</v>
      </c>
      <c r="J5766">
        <v>-131.78030000000001</v>
      </c>
      <c r="K5766">
        <v>1.118878</v>
      </c>
      <c r="L5766">
        <v>138.45750000000001</v>
      </c>
      <c r="M5766">
        <v>0.99893940000000003</v>
      </c>
      <c r="N5766">
        <v>-1.6256079999999999E-2</v>
      </c>
      <c r="O5766">
        <v>-4.3080189999999997E-2</v>
      </c>
      <c r="P5766">
        <v>0.97271850000000004</v>
      </c>
      <c r="Q5766">
        <v>0.2001425</v>
      </c>
      <c r="R5766">
        <v>-0.1173105</v>
      </c>
      <c r="S5766">
        <v>3.0868679999999999</v>
      </c>
      <c r="T5766">
        <v>-0.1450351</v>
      </c>
      <c r="U5766">
        <v>-0.229187</v>
      </c>
      <c r="V5766">
        <v>7.67452E-2</v>
      </c>
      <c r="W5766">
        <v>0.2154838</v>
      </c>
      <c r="X5766">
        <v>0.97348699999999999</v>
      </c>
      <c r="Y5766">
        <v>3.0980009999999999E-2</v>
      </c>
      <c r="Z5766">
        <v>3.4059919999999998E-4</v>
      </c>
      <c r="AA5766">
        <v>0.99951990000000002</v>
      </c>
      <c r="AB5766">
        <v>34</v>
      </c>
      <c r="AC5766">
        <v>23.142499999999998</v>
      </c>
      <c r="AD5766">
        <v>-1.118879277534</v>
      </c>
      <c r="AE5766">
        <v>-1.73590000000001</v>
      </c>
      <c r="AF5766">
        <v>0.73546347919326205</v>
      </c>
      <c r="AG5766">
        <v>-1.118879277534</v>
      </c>
      <c r="AH5766">
        <v>23.142010922385701</v>
      </c>
      <c r="AI5766">
        <v>92.766609390434795</v>
      </c>
      <c r="AJ5766">
        <v>88.179727105878399</v>
      </c>
      <c r="AK5766">
        <v>23.180713252588699</v>
      </c>
      <c r="AL5766">
        <v>77.556087881724295</v>
      </c>
      <c r="AM5766">
        <v>85.492389345503994</v>
      </c>
      <c r="AN5766">
        <v>1.00000001647723</v>
      </c>
    </row>
    <row r="5767" spans="1:40" x14ac:dyDescent="0.25">
      <c r="A5767" t="str">
        <f>"20190303170929617"</f>
        <v>20190303170929617</v>
      </c>
      <c r="B5767" t="str">
        <f>"1551604169609778"</f>
        <v>1551604169609778</v>
      </c>
      <c r="C5767" t="s">
        <v>40</v>
      </c>
      <c r="D5767">
        <v>5.4253159999999996</v>
      </c>
      <c r="E5767">
        <v>0.49060039999999999</v>
      </c>
      <c r="F5767" t="s">
        <v>43</v>
      </c>
      <c r="G5767">
        <v>-108.86579999999999</v>
      </c>
      <c r="H5767" s="1">
        <v>-1.1990099999999999E-6</v>
      </c>
      <c r="I5767">
        <v>136.6876</v>
      </c>
      <c r="J5767">
        <v>-131.34690000000001</v>
      </c>
      <c r="K5767">
        <v>1.1190929999999999</v>
      </c>
      <c r="L5767">
        <v>138.4348</v>
      </c>
      <c r="M5767">
        <v>0.99877329999999998</v>
      </c>
      <c r="N5767">
        <v>-1.6979879999999999E-2</v>
      </c>
      <c r="O5767">
        <v>-4.6515109999999998E-2</v>
      </c>
      <c r="P5767">
        <v>0.97233340000000001</v>
      </c>
      <c r="Q5767">
        <v>0.1995343</v>
      </c>
      <c r="R5767">
        <v>-0.1214658</v>
      </c>
      <c r="S5767">
        <v>3.086395</v>
      </c>
      <c r="T5767">
        <v>-0.1507039</v>
      </c>
      <c r="U5767">
        <v>-0.23838809999999999</v>
      </c>
      <c r="V5767">
        <v>7.7503390000000005E-2</v>
      </c>
      <c r="W5767">
        <v>0.21559420000000001</v>
      </c>
      <c r="X5767">
        <v>0.97340249999999995</v>
      </c>
      <c r="Y5767">
        <v>3.0516540000000002E-2</v>
      </c>
      <c r="Z5767">
        <v>4.7275959999999999E-4</v>
      </c>
      <c r="AA5767">
        <v>0.99953409999999998</v>
      </c>
      <c r="AB5767">
        <v>34</v>
      </c>
      <c r="AC5767">
        <v>22.481100000000001</v>
      </c>
      <c r="AD5767">
        <v>-1.1190941990100001</v>
      </c>
      <c r="AE5767">
        <v>-1.7471999999999901</v>
      </c>
      <c r="AF5767">
        <v>0.69772810450328304</v>
      </c>
      <c r="AG5767">
        <v>-1.1190941990100001</v>
      </c>
      <c r="AH5767">
        <v>22.482664894518599</v>
      </c>
      <c r="AI5767">
        <v>92.848226397879102</v>
      </c>
      <c r="AJ5767">
        <v>88.222450534087898</v>
      </c>
      <c r="AK5767">
        <v>22.521310288109099</v>
      </c>
      <c r="AL5767">
        <v>77.549610351494806</v>
      </c>
      <c r="AM5767">
        <v>85.447649989247296</v>
      </c>
      <c r="AN5767">
        <v>1.00000003077069</v>
      </c>
    </row>
    <row r="5768" spans="1:40" x14ac:dyDescent="0.25">
      <c r="A5768" t="str">
        <f>"20190303170929678"</f>
        <v>20190303170929678</v>
      </c>
      <c r="B5768" t="str">
        <f>"1551604169670290"</f>
        <v>1551604169670290</v>
      </c>
      <c r="C5768" t="s">
        <v>40</v>
      </c>
      <c r="D5768">
        <v>5.4391470000000002</v>
      </c>
      <c r="E5768">
        <v>0.49003190000000002</v>
      </c>
      <c r="F5768" t="s">
        <v>43</v>
      </c>
      <c r="G5768">
        <v>-108.8411</v>
      </c>
      <c r="H5768" s="1">
        <v>-1.224282E-6</v>
      </c>
      <c r="I5768">
        <v>136.6283</v>
      </c>
      <c r="J5768">
        <v>-130.44589999999999</v>
      </c>
      <c r="K5768">
        <v>1.119777</v>
      </c>
      <c r="L5768">
        <v>138.38339999999999</v>
      </c>
      <c r="M5768">
        <v>0.99842330000000001</v>
      </c>
      <c r="N5768">
        <v>-1.876624E-2</v>
      </c>
      <c r="O5768">
        <v>-5.290334E-2</v>
      </c>
      <c r="P5768">
        <v>0.97183319999999995</v>
      </c>
      <c r="Q5768">
        <v>0.1958125</v>
      </c>
      <c r="R5768">
        <v>-0.1311406</v>
      </c>
      <c r="S5768">
        <v>3.0859070000000002</v>
      </c>
      <c r="T5768">
        <v>-0.1534461</v>
      </c>
      <c r="U5768">
        <v>-0.2476959</v>
      </c>
      <c r="V5768">
        <v>8.0716769999999993E-2</v>
      </c>
      <c r="W5768">
        <v>0.2136777</v>
      </c>
      <c r="X5768">
        <v>0.97356390000000004</v>
      </c>
      <c r="Y5768">
        <v>2.713351E-2</v>
      </c>
      <c r="Z5768">
        <v>7.0232369999999897E-4</v>
      </c>
      <c r="AA5768">
        <v>0.99963159999999895</v>
      </c>
      <c r="AB5768">
        <v>33</v>
      </c>
      <c r="AC5768">
        <v>21.604800000000001</v>
      </c>
      <c r="AD5768">
        <v>-1.119778224282</v>
      </c>
      <c r="AE5768">
        <v>-1.7550999999999899</v>
      </c>
      <c r="AF5768">
        <v>0.60785177594141904</v>
      </c>
      <c r="AG5768">
        <v>-1.119778224282</v>
      </c>
      <c r="AH5768">
        <v>21.609730959952199</v>
      </c>
      <c r="AI5768">
        <v>92.965142658306505</v>
      </c>
      <c r="AJ5768">
        <v>88.388774001710999</v>
      </c>
      <c r="AK5768">
        <v>21.647259854646901</v>
      </c>
      <c r="AL5768">
        <v>77.662037717106401</v>
      </c>
      <c r="AM5768">
        <v>85.260529674379896</v>
      </c>
      <c r="AN5768">
        <v>1.00000001190986</v>
      </c>
    </row>
    <row r="5769" spans="1:40" x14ac:dyDescent="0.25">
      <c r="A5769" t="str">
        <f>"20190303170929710"</f>
        <v>20190303170929710</v>
      </c>
      <c r="B5769" t="str">
        <f>"1551604169699570"</f>
        <v>1551604169699570</v>
      </c>
      <c r="C5769" t="s">
        <v>40</v>
      </c>
      <c r="D5769">
        <v>5.4401140000000003</v>
      </c>
      <c r="E5769">
        <v>0.48967169999999999</v>
      </c>
      <c r="F5769" t="s">
        <v>43</v>
      </c>
      <c r="G5769">
        <v>-109.6619</v>
      </c>
      <c r="H5769" s="1">
        <v>-9.2861440000000003E-7</v>
      </c>
      <c r="I5769">
        <v>136.5549</v>
      </c>
      <c r="J5769">
        <v>-129.9838</v>
      </c>
      <c r="K5769">
        <v>1.120166</v>
      </c>
      <c r="L5769">
        <v>138.3554</v>
      </c>
      <c r="M5769">
        <v>0.99825839999999999</v>
      </c>
      <c r="N5769">
        <v>-1.9683619999999999E-2</v>
      </c>
      <c r="O5769">
        <v>-5.5616279999999997E-2</v>
      </c>
      <c r="P5769">
        <v>0.9709854</v>
      </c>
      <c r="Q5769">
        <v>0.1967189</v>
      </c>
      <c r="R5769">
        <v>-0.13597779999999901</v>
      </c>
      <c r="S5769">
        <v>3.0838169999999998</v>
      </c>
      <c r="T5769">
        <v>-0.16614689999999999</v>
      </c>
      <c r="U5769">
        <v>-0.27130130000000002</v>
      </c>
      <c r="V5769">
        <v>8.280411E-2</v>
      </c>
      <c r="W5769">
        <v>0.2155117</v>
      </c>
      <c r="X5769">
        <v>0.97298410000000002</v>
      </c>
      <c r="Y5769">
        <v>3.2057639999999998E-2</v>
      </c>
      <c r="Z5769">
        <v>7.1445600000000003E-4</v>
      </c>
      <c r="AA5769">
        <v>0.99948579999999998</v>
      </c>
      <c r="AB5769">
        <v>33</v>
      </c>
      <c r="AC5769">
        <v>20.321899999999999</v>
      </c>
      <c r="AD5769">
        <v>-1.12016692861439</v>
      </c>
      <c r="AE5769">
        <v>-1.80049999999999</v>
      </c>
      <c r="AF5769">
        <v>0.665259352303464</v>
      </c>
      <c r="AG5769">
        <v>-1.12016692861439</v>
      </c>
      <c r="AH5769">
        <v>20.329304088834601</v>
      </c>
      <c r="AI5769">
        <v>93.152187016248206</v>
      </c>
      <c r="AJ5769">
        <v>88.125712726146801</v>
      </c>
      <c r="AK5769">
        <v>20.3710075521584</v>
      </c>
      <c r="AL5769">
        <v>77.554449851151404</v>
      </c>
      <c r="AM5769">
        <v>85.135663725781598</v>
      </c>
      <c r="AN5769">
        <v>0.99999993616129401</v>
      </c>
    </row>
    <row r="5770" spans="1:40" x14ac:dyDescent="0.25">
      <c r="A5770" t="str">
        <f>"20190303170929746"</f>
        <v>20190303170929746</v>
      </c>
      <c r="B5770" t="str">
        <f>"1551604169739585"</f>
        <v>1551604169739585</v>
      </c>
      <c r="C5770" t="s">
        <v>40</v>
      </c>
      <c r="D5770">
        <v>5.47905</v>
      </c>
      <c r="E5770">
        <v>0.48932930000000002</v>
      </c>
      <c r="F5770" t="s">
        <v>43</v>
      </c>
      <c r="G5770">
        <v>-108.9044</v>
      </c>
      <c r="H5770" s="1">
        <v>-1.2554150000000001E-6</v>
      </c>
      <c r="I5770">
        <v>136.41999999999999</v>
      </c>
      <c r="J5770">
        <v>-129.44589999999999</v>
      </c>
      <c r="K5770">
        <v>1.1206469999999999</v>
      </c>
      <c r="L5770">
        <v>138.32169999999999</v>
      </c>
      <c r="M5770">
        <v>0.99809559999999997</v>
      </c>
      <c r="N5770">
        <v>-2.0647410000000001E-2</v>
      </c>
      <c r="O5770">
        <v>-5.8129050000000002E-2</v>
      </c>
      <c r="P5770">
        <v>0.97039430000000004</v>
      </c>
      <c r="Q5770">
        <v>0.19568079999999999</v>
      </c>
      <c r="R5770">
        <v>-0.14157819999999999</v>
      </c>
      <c r="S5770">
        <v>3.0831909999999998</v>
      </c>
      <c r="T5770">
        <v>-0.1638416</v>
      </c>
      <c r="U5770">
        <v>-0.28308109999999997</v>
      </c>
      <c r="V5770">
        <v>8.5771470000000002E-2</v>
      </c>
      <c r="W5770">
        <v>0.215474</v>
      </c>
      <c r="X5770">
        <v>0.97273540000000003</v>
      </c>
      <c r="Y5770">
        <v>3.334256E-2</v>
      </c>
      <c r="Z5770">
        <v>6.4962949999999896E-4</v>
      </c>
      <c r="AA5770">
        <v>0.99944379999999999</v>
      </c>
      <c r="AB5770">
        <v>33</v>
      </c>
      <c r="AC5770">
        <v>20.541499999999999</v>
      </c>
      <c r="AD5770">
        <v>-1.1206482554149999</v>
      </c>
      <c r="AE5770">
        <v>-1.9016999999999999</v>
      </c>
      <c r="AF5770">
        <v>0.70209870475268799</v>
      </c>
      <c r="AG5770">
        <v>-1.1206482554149999</v>
      </c>
      <c r="AH5770">
        <v>20.556656147569399</v>
      </c>
      <c r="AI5770">
        <v>93.118581862579106</v>
      </c>
      <c r="AJ5770">
        <v>88.043861740836107</v>
      </c>
      <c r="AK5770">
        <v>20.5991482123165</v>
      </c>
      <c r="AL5770">
        <v>77.556662352070703</v>
      </c>
      <c r="AM5770">
        <v>84.960946110094596</v>
      </c>
      <c r="AN5770">
        <v>0.99999997407756003</v>
      </c>
    </row>
    <row r="5771" spans="1:40" x14ac:dyDescent="0.25">
      <c r="A5771" t="str">
        <f>"20190303170929775"</f>
        <v>20190303170929775</v>
      </c>
      <c r="B5771" t="str">
        <f>"1551604169769842"</f>
        <v>1551604169769842</v>
      </c>
      <c r="C5771" t="s">
        <v>40</v>
      </c>
      <c r="D5771">
        <v>5.4998579999999997</v>
      </c>
      <c r="E5771">
        <v>0.4889117</v>
      </c>
      <c r="F5771" t="s">
        <v>43</v>
      </c>
      <c r="G5771">
        <v>-108.7957</v>
      </c>
      <c r="H5771" s="1">
        <v>-1.315487E-6</v>
      </c>
      <c r="I5771">
        <v>136.3511</v>
      </c>
      <c r="J5771">
        <v>-129.03569999999999</v>
      </c>
      <c r="K5771">
        <v>1.1210260000000001</v>
      </c>
      <c r="L5771">
        <v>138.29570000000001</v>
      </c>
      <c r="M5771">
        <v>0.9979981</v>
      </c>
      <c r="N5771">
        <v>-2.128874E-2</v>
      </c>
      <c r="O5771">
        <v>-5.9554459999999997E-2</v>
      </c>
      <c r="P5771">
        <v>0.9708831</v>
      </c>
      <c r="Q5771">
        <v>0.1922489</v>
      </c>
      <c r="R5771">
        <v>-0.1429213</v>
      </c>
      <c r="S5771">
        <v>3.0823360000000002</v>
      </c>
      <c r="T5771">
        <v>-0.16727220000000001</v>
      </c>
      <c r="U5771">
        <v>-0.29414370000000001</v>
      </c>
      <c r="V5771">
        <v>8.5502889999999998E-2</v>
      </c>
      <c r="W5771">
        <v>0.2127511</v>
      </c>
      <c r="X5771">
        <v>0.97335819999999995</v>
      </c>
      <c r="Y5771">
        <v>3.5489720000000002E-2</v>
      </c>
      <c r="Z5771">
        <v>6.1335359999999995E-4</v>
      </c>
      <c r="AA5771">
        <v>0.99936990000000003</v>
      </c>
      <c r="AB5771">
        <v>32</v>
      </c>
      <c r="AC5771">
        <v>20.239999999999899</v>
      </c>
      <c r="AD5771">
        <v>-1.1210273154870001</v>
      </c>
      <c r="AE5771">
        <v>-1.9446000000000001</v>
      </c>
      <c r="AF5771">
        <v>0.73326261630082101</v>
      </c>
      <c r="AG5771">
        <v>-1.1210273154870001</v>
      </c>
      <c r="AH5771">
        <v>20.2583169112417</v>
      </c>
      <c r="AI5771">
        <v>93.165257436541296</v>
      </c>
      <c r="AJ5771">
        <v>87.927047916464602</v>
      </c>
      <c r="AK5771">
        <v>20.302556006149398</v>
      </c>
      <c r="AL5771">
        <v>77.716377111391793</v>
      </c>
      <c r="AM5771">
        <v>84.979842008855599</v>
      </c>
      <c r="AN5771">
        <v>0.99999998012839997</v>
      </c>
    </row>
    <row r="5772" spans="1:40" x14ac:dyDescent="0.25">
      <c r="A5772" t="str">
        <f>"20190303170929811"</f>
        <v>20190303170929811</v>
      </c>
      <c r="B5772" t="str">
        <f>"1551604169800098"</f>
        <v>1551604169800098</v>
      </c>
      <c r="C5772" t="s">
        <v>40</v>
      </c>
      <c r="D5772">
        <v>5.4928790000000003</v>
      </c>
      <c r="E5772">
        <v>0.48851440000000002</v>
      </c>
      <c r="F5772" t="s">
        <v>43</v>
      </c>
      <c r="G5772">
        <v>-109.6836</v>
      </c>
      <c r="H5772" s="1">
        <v>-9.4839700000000002E-7</v>
      </c>
      <c r="I5772">
        <v>136.44929999999999</v>
      </c>
      <c r="J5772">
        <v>-128.52010000000001</v>
      </c>
      <c r="K5772">
        <v>1.121559</v>
      </c>
      <c r="L5772">
        <v>138.26300000000001</v>
      </c>
      <c r="M5772">
        <v>0.99791920000000001</v>
      </c>
      <c r="N5772">
        <v>-2.2023350000000001E-2</v>
      </c>
      <c r="O5772">
        <v>-6.0598060000000002E-2</v>
      </c>
      <c r="P5772">
        <v>0.97092429999999996</v>
      </c>
      <c r="Q5772">
        <v>0.18970970000000001</v>
      </c>
      <c r="R5772">
        <v>-0.1460012</v>
      </c>
      <c r="S5772">
        <v>3.0820470000000002</v>
      </c>
      <c r="T5772">
        <v>-0.1785359</v>
      </c>
      <c r="U5772">
        <v>-0.29406739999999998</v>
      </c>
      <c r="V5772">
        <v>8.7288690000000002E-2</v>
      </c>
      <c r="W5772">
        <v>0.21103479999999999</v>
      </c>
      <c r="X5772">
        <v>0.97357329999999997</v>
      </c>
      <c r="Y5772">
        <v>3.4427689999999997E-2</v>
      </c>
      <c r="Z5772">
        <v>7.8818880000000005E-4</v>
      </c>
      <c r="AA5772">
        <v>0.99940689999999999</v>
      </c>
      <c r="AB5772">
        <v>32</v>
      </c>
      <c r="AC5772">
        <v>18.836500000000001</v>
      </c>
      <c r="AD5772">
        <v>-1.121559948397</v>
      </c>
      <c r="AE5772">
        <v>-1.8137000000000101</v>
      </c>
      <c r="AF5772">
        <v>0.66629244546079602</v>
      </c>
      <c r="AG5772">
        <v>-1.121559948397</v>
      </c>
      <c r="AH5772">
        <v>18.845601470326901</v>
      </c>
      <c r="AI5772">
        <v>93.403710006032</v>
      </c>
      <c r="AJ5772">
        <v>87.975132262344204</v>
      </c>
      <c r="AK5772">
        <v>18.890699751970899</v>
      </c>
      <c r="AL5772">
        <v>77.8169987773787</v>
      </c>
      <c r="AM5772">
        <v>84.876670531007704</v>
      </c>
      <c r="AN5772">
        <v>0.99999998634292298</v>
      </c>
    </row>
    <row r="5773" spans="1:40" x14ac:dyDescent="0.25">
      <c r="A5773" t="str">
        <f>"20190303170929856"</f>
        <v>20190303170929856</v>
      </c>
      <c r="B5773" t="str">
        <f>"1551604169849874"</f>
        <v>1551604169849874</v>
      </c>
      <c r="C5773" t="s">
        <v>40</v>
      </c>
      <c r="D5773">
        <v>5.4962369999999998</v>
      </c>
      <c r="E5773">
        <v>0.48781600000000003</v>
      </c>
      <c r="F5773" t="s">
        <v>43</v>
      </c>
      <c r="G5773">
        <v>-109.98909999999999</v>
      </c>
      <c r="H5773" s="1">
        <v>-4.8340419999999997E-6</v>
      </c>
      <c r="I5773">
        <v>136.47569999999999</v>
      </c>
      <c r="J5773">
        <v>-127.8929</v>
      </c>
      <c r="K5773">
        <v>1.1222570000000001</v>
      </c>
      <c r="L5773">
        <v>138.2242</v>
      </c>
      <c r="M5773">
        <v>0.99789479999999997</v>
      </c>
      <c r="N5773">
        <v>-2.288944E-2</v>
      </c>
      <c r="O5773">
        <v>-6.0681659999999998E-2</v>
      </c>
      <c r="P5773">
        <v>0.97000200000000003</v>
      </c>
      <c r="Q5773">
        <v>0.19109889999999999</v>
      </c>
      <c r="R5773">
        <v>-0.15025839999999999</v>
      </c>
      <c r="S5773">
        <v>3.0815890000000001</v>
      </c>
      <c r="T5773">
        <v>-0.18650829999999999</v>
      </c>
      <c r="U5773">
        <v>-0.29722599999999999</v>
      </c>
      <c r="V5773">
        <v>9.1204670000000002E-2</v>
      </c>
      <c r="W5773">
        <v>0.21337680000000001</v>
      </c>
      <c r="X5773">
        <v>0.97270350000000005</v>
      </c>
      <c r="Y5773">
        <v>3.536624E-2</v>
      </c>
      <c r="Z5773">
        <v>7.9661509999999903E-4</v>
      </c>
      <c r="AA5773">
        <v>0.99937410000000004</v>
      </c>
      <c r="AB5773">
        <v>32</v>
      </c>
      <c r="AC5773">
        <v>17.9038</v>
      </c>
      <c r="AD5773">
        <v>-1.1222618340420001</v>
      </c>
      <c r="AE5773">
        <v>-1.7484999999999999</v>
      </c>
      <c r="AF5773">
        <v>0.65600603042956696</v>
      </c>
      <c r="AG5773">
        <v>-1.1222618340420001</v>
      </c>
      <c r="AH5773">
        <v>17.9072233823406</v>
      </c>
      <c r="AI5773">
        <v>93.5836904931394</v>
      </c>
      <c r="AJ5773">
        <v>87.901987611040695</v>
      </c>
      <c r="AK5773">
        <v>17.954343897819101</v>
      </c>
      <c r="AL5773">
        <v>77.679685175545004</v>
      </c>
      <c r="AM5773">
        <v>84.643374023752003</v>
      </c>
      <c r="AN5773">
        <v>1.0000000247601399</v>
      </c>
    </row>
    <row r="5774" spans="1:40" x14ac:dyDescent="0.25">
      <c r="A5774" t="str">
        <f>"20190303170929887"</f>
        <v>20190303170929887</v>
      </c>
      <c r="B5774" t="str">
        <f>"1551604169880241"</f>
        <v>1551604169880241</v>
      </c>
      <c r="C5774" t="s">
        <v>40</v>
      </c>
      <c r="D5774">
        <v>5.486415</v>
      </c>
      <c r="E5774">
        <v>0.48743839999999999</v>
      </c>
      <c r="F5774" t="s">
        <v>43</v>
      </c>
      <c r="G5774">
        <v>-108.8086</v>
      </c>
      <c r="H5774" s="1">
        <v>-1.3069590000000001E-6</v>
      </c>
      <c r="I5774">
        <v>136.36449999999999</v>
      </c>
      <c r="J5774">
        <v>-127.4798</v>
      </c>
      <c r="K5774">
        <v>1.122687</v>
      </c>
      <c r="L5774">
        <v>138.1994</v>
      </c>
      <c r="M5774">
        <v>0.99792179999999997</v>
      </c>
      <c r="N5774">
        <v>-2.3469259999999999E-2</v>
      </c>
      <c r="O5774">
        <v>-6.0013570000000002E-2</v>
      </c>
      <c r="P5774">
        <v>0.97095569999999998</v>
      </c>
      <c r="Q5774">
        <v>0.1882732</v>
      </c>
      <c r="R5774">
        <v>-0.14764360000000001</v>
      </c>
      <c r="S5774">
        <v>3.0819700000000001</v>
      </c>
      <c r="T5774">
        <v>-0.18123629999999999</v>
      </c>
      <c r="U5774">
        <v>-0.30032350000000002</v>
      </c>
      <c r="V5774">
        <v>8.8995840000000007E-2</v>
      </c>
      <c r="W5774">
        <v>0.2112156</v>
      </c>
      <c r="X5774">
        <v>0.97337960000000001</v>
      </c>
      <c r="Y5774">
        <v>3.7012000000000003E-2</v>
      </c>
      <c r="Z5774">
        <v>5.8665080000000003E-4</v>
      </c>
      <c r="AA5774">
        <v>0.9993147</v>
      </c>
      <c r="AB5774">
        <v>31</v>
      </c>
      <c r="AC5774">
        <v>18.671199999999999</v>
      </c>
      <c r="AD5774">
        <v>-1.1226883069589999</v>
      </c>
      <c r="AE5774">
        <v>-1.8349</v>
      </c>
      <c r="AF5774">
        <v>0.70822087650204701</v>
      </c>
      <c r="AG5774">
        <v>-1.1226883069589999</v>
      </c>
      <c r="AH5774">
        <v>18.6807818051895</v>
      </c>
      <c r="AI5774">
        <v>93.436794778547807</v>
      </c>
      <c r="AJ5774">
        <v>87.828857303237001</v>
      </c>
      <c r="AK5774">
        <v>18.727883348034698</v>
      </c>
      <c r="AL5774">
        <v>77.806401816122701</v>
      </c>
      <c r="AM5774">
        <v>84.775986223435197</v>
      </c>
      <c r="AN5774">
        <v>1.00000006745841</v>
      </c>
    </row>
    <row r="5775" spans="1:40" x14ac:dyDescent="0.25">
      <c r="A5775" t="str">
        <f>"20190303170929910"</f>
        <v>20190303170929910</v>
      </c>
      <c r="B5775" t="str">
        <f>"1551604169899762"</f>
        <v>1551604169899762</v>
      </c>
      <c r="C5775" t="s">
        <v>40</v>
      </c>
      <c r="D5775">
        <v>5.5080080000000002</v>
      </c>
      <c r="E5775">
        <v>0.48717899999999997</v>
      </c>
      <c r="F5775" t="s">
        <v>43</v>
      </c>
      <c r="G5775">
        <v>-109.3002</v>
      </c>
      <c r="H5775" s="1">
        <v>-1.0832559999999999E-6</v>
      </c>
      <c r="I5775">
        <v>136.4958</v>
      </c>
      <c r="J5775">
        <v>-127.1593</v>
      </c>
      <c r="K5775">
        <v>1.1230599999999999</v>
      </c>
      <c r="L5775">
        <v>138.18100000000001</v>
      </c>
      <c r="M5775">
        <v>0.99796929999999995</v>
      </c>
      <c r="N5775">
        <v>-2.3911999999999999E-2</v>
      </c>
      <c r="O5775">
        <v>-5.9036169999999999E-2</v>
      </c>
      <c r="P5775">
        <v>0.97201570000000004</v>
      </c>
      <c r="Q5775">
        <v>0.18639900000000001</v>
      </c>
      <c r="R5775">
        <v>-0.1429716</v>
      </c>
      <c r="S5775">
        <v>3.0827179999999998</v>
      </c>
      <c r="T5775">
        <v>-0.19037380000000001</v>
      </c>
      <c r="U5775">
        <v>-0.2888947</v>
      </c>
      <c r="V5775">
        <v>8.5064870000000001E-2</v>
      </c>
      <c r="W5775">
        <v>0.20985400000000001</v>
      </c>
      <c r="X5775">
        <v>0.97402529999999998</v>
      </c>
      <c r="Y5775">
        <v>3.4298799999999997E-2</v>
      </c>
      <c r="Z5775">
        <v>7.5340240000000005E-4</v>
      </c>
      <c r="AA5775">
        <v>0.9994113</v>
      </c>
      <c r="AB5775">
        <v>31</v>
      </c>
      <c r="AC5775">
        <v>17.859099999999899</v>
      </c>
      <c r="AD5775">
        <v>-1.123061083256</v>
      </c>
      <c r="AE5775">
        <v>-1.6852</v>
      </c>
      <c r="AF5775">
        <v>0.62517411904695497</v>
      </c>
      <c r="AG5775">
        <v>-1.123061083256</v>
      </c>
      <c r="AH5775">
        <v>17.857455879541799</v>
      </c>
      <c r="AI5775">
        <v>93.596412912360506</v>
      </c>
      <c r="AJ5775">
        <v>87.994943098038505</v>
      </c>
      <c r="AK5775">
        <v>17.903654357857501</v>
      </c>
      <c r="AL5775">
        <v>77.886203701649407</v>
      </c>
      <c r="AM5775">
        <v>85.008832641748498</v>
      </c>
      <c r="AN5775">
        <v>1.0000000092321</v>
      </c>
    </row>
    <row r="5776" spans="1:40" x14ac:dyDescent="0.25">
      <c r="A5776" t="str">
        <f>"20190303170929937"</f>
        <v>20190303170929937</v>
      </c>
      <c r="B5776" t="str">
        <f>"1551604169930017"</f>
        <v>1551604169930017</v>
      </c>
      <c r="C5776" t="s">
        <v>40</v>
      </c>
      <c r="D5776">
        <v>5.5111379999999999</v>
      </c>
      <c r="E5776">
        <v>0.48676439999999999</v>
      </c>
      <c r="F5776" t="s">
        <v>43</v>
      </c>
      <c r="G5776">
        <v>-109.5252</v>
      </c>
      <c r="H5776" s="1">
        <v>-9.620259E-7</v>
      </c>
      <c r="I5776">
        <v>136.6266</v>
      </c>
      <c r="J5776">
        <v>-126.797</v>
      </c>
      <c r="K5776">
        <v>1.123524</v>
      </c>
      <c r="L5776">
        <v>138.16120000000001</v>
      </c>
      <c r="M5776">
        <v>0.99805580000000005</v>
      </c>
      <c r="N5776">
        <v>-2.4388590000000002E-2</v>
      </c>
      <c r="O5776">
        <v>-5.7356589999999999E-2</v>
      </c>
      <c r="P5776">
        <v>0.9724119</v>
      </c>
      <c r="Q5776">
        <v>0.18720200000000001</v>
      </c>
      <c r="R5776">
        <v>-0.13917760000000001</v>
      </c>
      <c r="S5776">
        <v>3.0840610000000002</v>
      </c>
      <c r="T5776">
        <v>-0.19641410000000001</v>
      </c>
      <c r="U5776">
        <v>-0.2718506</v>
      </c>
      <c r="V5776">
        <v>8.2690520000000003E-2</v>
      </c>
      <c r="W5776">
        <v>0.21120120000000001</v>
      </c>
      <c r="X5776">
        <v>0.97393859999999999</v>
      </c>
      <c r="Y5776">
        <v>3.046865E-2</v>
      </c>
      <c r="Z5776">
        <v>9.0117669999999997E-4</v>
      </c>
      <c r="AA5776">
        <v>0.99953530000000002</v>
      </c>
      <c r="AB5776">
        <v>30</v>
      </c>
      <c r="AC5776">
        <v>17.271799999999999</v>
      </c>
      <c r="AD5776">
        <v>-1.12352496202589</v>
      </c>
      <c r="AE5776">
        <v>-1.53460000000001</v>
      </c>
      <c r="AF5776">
        <v>0.53886352554512396</v>
      </c>
      <c r="AG5776">
        <v>-1.12352496202589</v>
      </c>
      <c r="AH5776">
        <v>17.2589365837045</v>
      </c>
      <c r="AI5776">
        <v>93.722785256756694</v>
      </c>
      <c r="AJ5776">
        <v>88.211675502150698</v>
      </c>
      <c r="AK5776">
        <v>17.303860096515798</v>
      </c>
      <c r="AL5776">
        <v>77.807245487931695</v>
      </c>
      <c r="AM5776">
        <v>85.147042623798697</v>
      </c>
      <c r="AN5776">
        <v>1.0000000327746299</v>
      </c>
    </row>
    <row r="5777" spans="1:40" x14ac:dyDescent="0.25">
      <c r="A5777" t="str">
        <f>"20190303170929968"</f>
        <v>20190303170929968</v>
      </c>
      <c r="B5777" t="str">
        <f>"1551604169959804"</f>
        <v>1551604169959804</v>
      </c>
      <c r="C5777" t="s">
        <v>40</v>
      </c>
      <c r="D5777">
        <v>5.4962330000000001</v>
      </c>
      <c r="E5777">
        <v>0.48636659999999998</v>
      </c>
      <c r="F5777" t="s">
        <v>43</v>
      </c>
      <c r="G5777">
        <v>-108.8865</v>
      </c>
      <c r="H5777" s="1">
        <v>-1.193327E-6</v>
      </c>
      <c r="I5777">
        <v>136.67920000000001</v>
      </c>
      <c r="J5777">
        <v>-126.3766</v>
      </c>
      <c r="K5777">
        <v>1.1240460000000001</v>
      </c>
      <c r="L5777">
        <v>138.13990000000001</v>
      </c>
      <c r="M5777">
        <v>0.99818459999999998</v>
      </c>
      <c r="N5777">
        <v>-2.4898770000000001E-2</v>
      </c>
      <c r="O5777">
        <v>-5.4840939999999998E-2</v>
      </c>
      <c r="P5777">
        <v>0.97300370000000003</v>
      </c>
      <c r="Q5777">
        <v>0.1897172</v>
      </c>
      <c r="R5777">
        <v>-0.1314206</v>
      </c>
      <c r="S5777">
        <v>3.0858310000000002</v>
      </c>
      <c r="T5777">
        <v>-0.193574</v>
      </c>
      <c r="U5777">
        <v>-0.25534059999999997</v>
      </c>
      <c r="V5777">
        <v>7.7144169999999998E-2</v>
      </c>
      <c r="W5777">
        <v>0.21428230000000001</v>
      </c>
      <c r="X5777">
        <v>0.97372060000000005</v>
      </c>
      <c r="Y5777">
        <v>2.763231E-2</v>
      </c>
      <c r="Z5777">
        <v>8.5439309999999998E-4</v>
      </c>
      <c r="AA5777">
        <v>0.9996178</v>
      </c>
      <c r="AB5777">
        <v>30</v>
      </c>
      <c r="AC5777">
        <v>17.490099999999899</v>
      </c>
      <c r="AD5777">
        <v>-1.124047193327</v>
      </c>
      <c r="AE5777">
        <v>-1.4607000000000001</v>
      </c>
      <c r="AF5777">
        <v>0.49699092064054301</v>
      </c>
      <c r="AG5777">
        <v>-1.124047193327</v>
      </c>
      <c r="AH5777">
        <v>17.472227708259201</v>
      </c>
      <c r="AI5777">
        <v>93.679473499138098</v>
      </c>
      <c r="AJ5777">
        <v>88.370682513663496</v>
      </c>
      <c r="AK5777">
        <v>17.515399600274201</v>
      </c>
      <c r="AL5777">
        <v>77.626574744833704</v>
      </c>
      <c r="AM5777">
        <v>85.470135733075196</v>
      </c>
      <c r="AN5777">
        <v>0.99999996696131799</v>
      </c>
    </row>
    <row r="5778" spans="1:40" x14ac:dyDescent="0.25">
      <c r="A5778" t="str">
        <f>"20190303170930000"</f>
        <v>20190303170930000</v>
      </c>
      <c r="B5778" t="str">
        <f>"1551604169990061"</f>
        <v>1551604169990061</v>
      </c>
      <c r="C5778" t="s">
        <v>40</v>
      </c>
      <c r="D5778">
        <v>5.4755140000000004</v>
      </c>
      <c r="E5778">
        <v>0.48603030000000003</v>
      </c>
      <c r="F5778" t="s">
        <v>43</v>
      </c>
      <c r="G5778">
        <v>-107.6019</v>
      </c>
      <c r="H5778" s="1">
        <v>-1.662745E-6</v>
      </c>
      <c r="I5778">
        <v>136.76900000000001</v>
      </c>
      <c r="J5778">
        <v>-125.9662</v>
      </c>
      <c r="K5778">
        <v>1.1244459999999901</v>
      </c>
      <c r="L5778">
        <v>138.12110000000001</v>
      </c>
      <c r="M5778">
        <v>0.99834259999999997</v>
      </c>
      <c r="N5778">
        <v>-2.5338320000000001E-2</v>
      </c>
      <c r="O5778">
        <v>-5.1675520000000003E-2</v>
      </c>
      <c r="P5778">
        <v>0.97354739999999995</v>
      </c>
      <c r="Q5778">
        <v>0.19141320000000001</v>
      </c>
      <c r="R5778">
        <v>-0.12476719999999999</v>
      </c>
      <c r="S5778">
        <v>3.0888369999999998</v>
      </c>
      <c r="T5778">
        <v>-0.18492910000000001</v>
      </c>
      <c r="U5778">
        <v>-0.2255402</v>
      </c>
      <c r="V5778">
        <v>7.3388380000000003E-2</v>
      </c>
      <c r="W5778">
        <v>0.21645310000000001</v>
      </c>
      <c r="X5778">
        <v>0.97353080000000003</v>
      </c>
      <c r="Y5778">
        <v>2.1148549999999999E-2</v>
      </c>
      <c r="Z5778">
        <v>8.7589440000000003E-4</v>
      </c>
      <c r="AA5778">
        <v>0.99977590000000005</v>
      </c>
      <c r="AB5778">
        <v>30</v>
      </c>
      <c r="AC5778">
        <v>18.3643</v>
      </c>
      <c r="AD5778">
        <v>-1.12444766274499</v>
      </c>
      <c r="AE5778">
        <v>-1.3521000000000001</v>
      </c>
      <c r="AF5778">
        <v>0.39951321010728102</v>
      </c>
      <c r="AG5778">
        <v>-1.12444766274499</v>
      </c>
      <c r="AH5778">
        <v>18.3412482483918</v>
      </c>
      <c r="AI5778">
        <v>93.507413910150902</v>
      </c>
      <c r="AJ5778">
        <v>88.752167721523904</v>
      </c>
      <c r="AK5778">
        <v>18.3800266773593</v>
      </c>
      <c r="AL5778">
        <v>77.499208654021899</v>
      </c>
      <c r="AM5778">
        <v>85.688984342584803</v>
      </c>
      <c r="AN5778">
        <v>1.00000000868363</v>
      </c>
    </row>
    <row r="5779" spans="1:40" x14ac:dyDescent="0.25">
      <c r="A5779" t="str">
        <f>"20190303170930035"</f>
        <v>20190303170930035</v>
      </c>
      <c r="B5779" t="str">
        <f>"1551604170030077"</f>
        <v>1551604170030077</v>
      </c>
      <c r="C5779" t="s">
        <v>40</v>
      </c>
      <c r="D5779">
        <v>5.4717659999999997</v>
      </c>
      <c r="E5779">
        <v>0.48579919999999999</v>
      </c>
      <c r="F5779" t="s">
        <v>43</v>
      </c>
      <c r="G5779">
        <v>-106.652</v>
      </c>
      <c r="H5779" s="1">
        <v>-2.0544190000000001E-6</v>
      </c>
      <c r="I5779">
        <v>136.84639999999999</v>
      </c>
      <c r="J5779">
        <v>-125.5166</v>
      </c>
      <c r="K5779">
        <v>1.1248129999999901</v>
      </c>
      <c r="L5779">
        <v>138.1028</v>
      </c>
      <c r="M5779">
        <v>0.99852920000000001</v>
      </c>
      <c r="N5779">
        <v>-2.584825E-2</v>
      </c>
      <c r="O5779">
        <v>-4.7660500000000001E-2</v>
      </c>
      <c r="P5779">
        <v>0.9733752</v>
      </c>
      <c r="Q5779">
        <v>0.19563330000000001</v>
      </c>
      <c r="R5779">
        <v>-0.1194509</v>
      </c>
      <c r="S5779">
        <v>3.0907439999999999</v>
      </c>
      <c r="T5779">
        <v>-0.179939299999999</v>
      </c>
      <c r="U5779">
        <v>-0.20397950000000001</v>
      </c>
      <c r="V5779">
        <v>7.1846729999999998E-2</v>
      </c>
      <c r="W5779">
        <v>0.2211939</v>
      </c>
      <c r="X5779">
        <v>0.97257969999999905</v>
      </c>
      <c r="Y5779">
        <v>1.8186219999999999E-2</v>
      </c>
      <c r="Z5779">
        <v>7.7245199999999997E-4</v>
      </c>
      <c r="AA5779">
        <v>0.99983429999999995</v>
      </c>
      <c r="AB5779">
        <v>29</v>
      </c>
      <c r="AC5779">
        <v>18.864599999999999</v>
      </c>
      <c r="AD5779">
        <v>-1.1248150544190001</v>
      </c>
      <c r="AE5779">
        <v>-1.25640000000001</v>
      </c>
      <c r="AF5779">
        <v>0.35432045905057402</v>
      </c>
      <c r="AG5779">
        <v>-1.1248150544190001</v>
      </c>
      <c r="AH5779">
        <v>18.836376639583101</v>
      </c>
      <c r="AI5779">
        <v>93.416758864349603</v>
      </c>
      <c r="AJ5779">
        <v>88.922368489286796</v>
      </c>
      <c r="AK5779">
        <v>18.8732571858326</v>
      </c>
      <c r="AL5779">
        <v>77.220833627406194</v>
      </c>
      <c r="AM5779">
        <v>85.775101292438507</v>
      </c>
      <c r="AN5779">
        <v>0.99999998343049601</v>
      </c>
    </row>
    <row r="5780" spans="1:40" x14ac:dyDescent="0.25">
      <c r="A5780" t="str">
        <f>"20190303170930066"</f>
        <v>20190303170930066</v>
      </c>
      <c r="B5780" t="str">
        <f>"1551604170059864"</f>
        <v>1551604170059864</v>
      </c>
      <c r="C5780" t="s">
        <v>40</v>
      </c>
      <c r="D5780">
        <v>5.4382190000000001</v>
      </c>
      <c r="E5780">
        <v>0.48564449999999998</v>
      </c>
      <c r="F5780" t="s">
        <v>43</v>
      </c>
      <c r="G5780">
        <v>-104.74550000000001</v>
      </c>
      <c r="H5780" s="1">
        <v>-2.9557349999999998E-6</v>
      </c>
      <c r="I5780">
        <v>136.8459</v>
      </c>
      <c r="J5780">
        <v>-125.1195</v>
      </c>
      <c r="K5780">
        <v>1.1250560000000001</v>
      </c>
      <c r="L5780">
        <v>138.08860000000001</v>
      </c>
      <c r="M5780">
        <v>0.99869540000000001</v>
      </c>
      <c r="N5780">
        <v>-2.631404E-2</v>
      </c>
      <c r="O5780">
        <v>-4.376302E-2</v>
      </c>
      <c r="P5780">
        <v>0.97384850000000001</v>
      </c>
      <c r="Q5780">
        <v>0.19533539999999999</v>
      </c>
      <c r="R5780">
        <v>-0.11603189999999999</v>
      </c>
      <c r="S5780">
        <v>3.0927579999999999</v>
      </c>
      <c r="T5780">
        <v>-0.16748170000000001</v>
      </c>
      <c r="U5780">
        <v>-0.18714900000000001</v>
      </c>
      <c r="V5780">
        <v>7.2130109999999997E-2</v>
      </c>
      <c r="W5780">
        <v>0.2213831</v>
      </c>
      <c r="X5780">
        <v>0.97251569999999998</v>
      </c>
      <c r="Y5780">
        <v>1.662609E-2</v>
      </c>
      <c r="Z5780">
        <v>5.4503319999999996E-4</v>
      </c>
      <c r="AA5780">
        <v>0.99986169999999996</v>
      </c>
      <c r="AB5780">
        <v>29</v>
      </c>
      <c r="AC5780">
        <v>20.373999999999899</v>
      </c>
      <c r="AD5780">
        <v>-1.1250589557349999</v>
      </c>
      <c r="AE5780">
        <v>-1.2427000000000099</v>
      </c>
      <c r="AF5780">
        <v>0.34851325162619301</v>
      </c>
      <c r="AG5780">
        <v>-1.1250589557349999</v>
      </c>
      <c r="AH5780">
        <v>20.347056101368199</v>
      </c>
      <c r="AI5780">
        <v>93.164395430205502</v>
      </c>
      <c r="AJ5780">
        <v>89.018708855263498</v>
      </c>
      <c r="AK5780">
        <v>20.381116533023</v>
      </c>
      <c r="AL5780">
        <v>77.209718006248494</v>
      </c>
      <c r="AM5780">
        <v>85.758219908326595</v>
      </c>
      <c r="AN5780">
        <v>1.00000000824035</v>
      </c>
    </row>
    <row r="5781" spans="1:40" x14ac:dyDescent="0.25">
      <c r="A5781" t="str">
        <f>"20190303170930101"</f>
        <v>20190303170930101</v>
      </c>
      <c r="B5781" t="str">
        <f>"1551604170090120"</f>
        <v>1551604170090120</v>
      </c>
      <c r="C5781" t="s">
        <v>40</v>
      </c>
      <c r="D5781">
        <v>5.4572379999999896</v>
      </c>
      <c r="E5781">
        <v>0.48560219999999998</v>
      </c>
      <c r="F5781" t="s">
        <v>43</v>
      </c>
      <c r="G5781">
        <v>-104.5099</v>
      </c>
      <c r="H5781" s="1">
        <v>-3.0538100000000002E-6</v>
      </c>
      <c r="I5781">
        <v>136.92089999999999</v>
      </c>
      <c r="J5781">
        <v>-124.68640000000001</v>
      </c>
      <c r="K5781">
        <v>1.125211</v>
      </c>
      <c r="L5781">
        <v>138.07560000000001</v>
      </c>
      <c r="M5781">
        <v>0.99887079999999995</v>
      </c>
      <c r="N5781">
        <v>-2.677264E-2</v>
      </c>
      <c r="O5781">
        <v>-3.9246200000000002E-2</v>
      </c>
      <c r="P5781">
        <v>0.97495540000000003</v>
      </c>
      <c r="Q5781">
        <v>0.194325</v>
      </c>
      <c r="R5781">
        <v>-0.10816530000000001</v>
      </c>
      <c r="S5781">
        <v>3.0935519999999999</v>
      </c>
      <c r="T5781">
        <v>-0.16887379999999999</v>
      </c>
      <c r="U5781">
        <v>-0.17527770000000001</v>
      </c>
      <c r="V5781">
        <v>6.8593260000000003E-2</v>
      </c>
      <c r="W5781">
        <v>0.22083120000000001</v>
      </c>
      <c r="X5781">
        <v>0.97289700000000001</v>
      </c>
      <c r="Y5781">
        <v>1.730406E-2</v>
      </c>
      <c r="Z5781">
        <v>3.8423089999999998E-4</v>
      </c>
      <c r="AA5781">
        <v>0.99985020000000002</v>
      </c>
      <c r="AB5781">
        <v>29</v>
      </c>
      <c r="AC5781">
        <v>20.176500000000001</v>
      </c>
      <c r="AD5781">
        <v>-1.1252140538099999</v>
      </c>
      <c r="AE5781">
        <v>-1.1547000000000101</v>
      </c>
      <c r="AF5781">
        <v>0.36055709807911401</v>
      </c>
      <c r="AG5781">
        <v>-1.1252140538099999</v>
      </c>
      <c r="AH5781">
        <v>20.143832699137</v>
      </c>
      <c r="AI5781">
        <v>93.196650609902406</v>
      </c>
      <c r="AJ5781">
        <v>88.974564843036902</v>
      </c>
      <c r="AK5781">
        <v>20.178456430031702</v>
      </c>
      <c r="AL5781">
        <v>77.242142125051103</v>
      </c>
      <c r="AM5781">
        <v>85.967084192435493</v>
      </c>
      <c r="AN5781">
        <v>1.0000000134099301</v>
      </c>
    </row>
    <row r="5782" spans="1:40" x14ac:dyDescent="0.25">
      <c r="A5782" t="str">
        <f>"20190303170930135"</f>
        <v>20190303170930135</v>
      </c>
      <c r="B5782" t="str">
        <f>"1551604170130137"</f>
        <v>1551604170130137</v>
      </c>
      <c r="C5782" t="s">
        <v>40</v>
      </c>
      <c r="D5782">
        <v>5.4084690000000002</v>
      </c>
      <c r="E5782">
        <v>0.4856239</v>
      </c>
      <c r="F5782" t="s">
        <v>43</v>
      </c>
      <c r="G5782">
        <v>-104.66800000000001</v>
      </c>
      <c r="H5782" s="1">
        <v>-2.9526560000000002E-6</v>
      </c>
      <c r="I5782">
        <v>137.06989999999999</v>
      </c>
      <c r="J5782">
        <v>-124.2744</v>
      </c>
      <c r="K5782">
        <v>1.1252949999999999</v>
      </c>
      <c r="L5782">
        <v>138.0652</v>
      </c>
      <c r="M5782">
        <v>0.99902369999999996</v>
      </c>
      <c r="N5782">
        <v>-2.7216110000000002E-2</v>
      </c>
      <c r="O5782">
        <v>-3.4800610000000003E-2</v>
      </c>
      <c r="P5782">
        <v>0.97547890000000004</v>
      </c>
      <c r="Q5782">
        <v>0.19434899999999999</v>
      </c>
      <c r="R5782">
        <v>-0.10329339999999999</v>
      </c>
      <c r="S5782">
        <v>3.0944820000000002</v>
      </c>
      <c r="T5782">
        <v>-0.17393729999999999</v>
      </c>
      <c r="U5782">
        <v>-0.1554565</v>
      </c>
      <c r="V5782">
        <v>6.8049879999999993E-2</v>
      </c>
      <c r="W5782">
        <v>0.22128690000000001</v>
      </c>
      <c r="X5782">
        <v>0.97283160000000002</v>
      </c>
      <c r="Y5782">
        <v>1.535196E-2</v>
      </c>
      <c r="Z5782">
        <v>3.6575429999999998E-4</v>
      </c>
      <c r="AA5782">
        <v>0.9998821</v>
      </c>
      <c r="AB5782">
        <v>28</v>
      </c>
      <c r="AC5782">
        <v>19.606400000000001</v>
      </c>
      <c r="AD5782">
        <v>-1.1252979526559901</v>
      </c>
      <c r="AE5782">
        <v>-0.99530000000001395</v>
      </c>
      <c r="AF5782">
        <v>0.311107016500897</v>
      </c>
      <c r="AG5782">
        <v>-1.1252979526559901</v>
      </c>
      <c r="AH5782">
        <v>19.5648815961762</v>
      </c>
      <c r="AI5782">
        <v>93.291394546956994</v>
      </c>
      <c r="AJ5782">
        <v>89.088999501755396</v>
      </c>
      <c r="AK5782">
        <v>19.5996855824364</v>
      </c>
      <c r="AL5782">
        <v>77.215369937352406</v>
      </c>
      <c r="AM5782">
        <v>85.998659744966901</v>
      </c>
      <c r="AN5782">
        <v>1.0000000001190901</v>
      </c>
    </row>
    <row r="5783" spans="1:40" x14ac:dyDescent="0.25">
      <c r="A5783" t="str">
        <f>"20190303170930160"</f>
        <v>20190303170930160</v>
      </c>
      <c r="B5783" t="str">
        <f>"1551604170149656"</f>
        <v>1551604170149656</v>
      </c>
      <c r="C5783" t="s">
        <v>40</v>
      </c>
      <c r="D5783">
        <v>5.4090339999999903</v>
      </c>
      <c r="E5783">
        <v>0.48565019999999998</v>
      </c>
      <c r="F5783" t="s">
        <v>43</v>
      </c>
      <c r="G5783">
        <v>-104.4071</v>
      </c>
      <c r="H5783" s="1">
        <v>-3.0610879999999999E-6</v>
      </c>
      <c r="I5783">
        <v>137.15389999999999</v>
      </c>
      <c r="J5783">
        <v>-123.9791</v>
      </c>
      <c r="K5783">
        <v>1.125313</v>
      </c>
      <c r="L5783">
        <v>138.0591</v>
      </c>
      <c r="M5783">
        <v>0.99912190000000001</v>
      </c>
      <c r="N5783">
        <v>-2.755349E-2</v>
      </c>
      <c r="O5783">
        <v>-3.1567379999999999E-2</v>
      </c>
      <c r="P5783">
        <v>0.97614190000000001</v>
      </c>
      <c r="Q5783">
        <v>0.19337170000000001</v>
      </c>
      <c r="R5783">
        <v>-9.8765459999999999E-2</v>
      </c>
      <c r="S5783">
        <v>3.0953059999999999</v>
      </c>
      <c r="T5783">
        <v>-0.17531959999999999</v>
      </c>
      <c r="U5783">
        <v>-0.141983</v>
      </c>
      <c r="V5783">
        <v>6.6689880000000007E-2</v>
      </c>
      <c r="W5783">
        <v>0.22063350000000001</v>
      </c>
      <c r="X5783">
        <v>0.97307410000000005</v>
      </c>
      <c r="Y5783">
        <v>1.423261E-2</v>
      </c>
      <c r="Z5783">
        <v>3.1667829999999997E-4</v>
      </c>
      <c r="AA5783">
        <v>0.99989870000000003</v>
      </c>
      <c r="AB5783">
        <v>27</v>
      </c>
      <c r="AC5783">
        <v>19.571999999999999</v>
      </c>
      <c r="AD5783">
        <v>-1.125316061088</v>
      </c>
      <c r="AE5783">
        <v>-0.905200000000007</v>
      </c>
      <c r="AF5783">
        <v>0.28573461729614802</v>
      </c>
      <c r="AG5783">
        <v>-1.125316061088</v>
      </c>
      <c r="AH5783">
        <v>19.5264111248257</v>
      </c>
      <c r="AI5783">
        <v>93.297981519876302</v>
      </c>
      <c r="AJ5783">
        <v>89.161637070261193</v>
      </c>
      <c r="AK5783">
        <v>19.560897523492699</v>
      </c>
      <c r="AL5783">
        <v>77.253755046810696</v>
      </c>
      <c r="AM5783">
        <v>86.079350100191206</v>
      </c>
      <c r="AN5783">
        <v>0.99999994275373505</v>
      </c>
    </row>
    <row r="5784" spans="1:40" x14ac:dyDescent="0.25">
      <c r="A5784" t="str">
        <f>"20190303170930193"</f>
        <v>20190303170930193</v>
      </c>
      <c r="B5784" t="str">
        <f>"1551604170179443"</f>
        <v>1551604170179443</v>
      </c>
      <c r="C5784" t="s">
        <v>40</v>
      </c>
      <c r="D5784">
        <v>5.4256320000000002</v>
      </c>
      <c r="E5784">
        <v>0.48570079999999999</v>
      </c>
      <c r="F5784" t="s">
        <v>43</v>
      </c>
      <c r="G5784">
        <v>-104.5196</v>
      </c>
      <c r="H5784" s="1">
        <v>-2.9896429999999998E-6</v>
      </c>
      <c r="I5784">
        <v>137.2568</v>
      </c>
      <c r="J5784">
        <v>-123.59480000000001</v>
      </c>
      <c r="K5784">
        <v>1.125321</v>
      </c>
      <c r="L5784">
        <v>138.05250000000001</v>
      </c>
      <c r="M5784">
        <v>0.99923309999999999</v>
      </c>
      <c r="N5784">
        <v>-2.8018700000000001E-2</v>
      </c>
      <c r="O5784">
        <v>-2.735392E-2</v>
      </c>
      <c r="P5784">
        <v>0.97671490000000005</v>
      </c>
      <c r="Q5784">
        <v>0.19284580000000001</v>
      </c>
      <c r="R5784">
        <v>-9.4014379999999995E-2</v>
      </c>
      <c r="S5784">
        <v>3.0958709999999998</v>
      </c>
      <c r="T5784">
        <v>-0.17902989999999999</v>
      </c>
      <c r="U5784">
        <v>-0.1276398</v>
      </c>
      <c r="V5784">
        <v>6.6090099999999999E-2</v>
      </c>
      <c r="W5784">
        <v>0.2205493</v>
      </c>
      <c r="X5784">
        <v>0.97313419999999895</v>
      </c>
      <c r="Y5784">
        <v>1.3815040000000001E-2</v>
      </c>
      <c r="Z5784">
        <v>2.2053249999999999E-4</v>
      </c>
      <c r="AA5784">
        <v>0.99990460000000003</v>
      </c>
      <c r="AB5784">
        <v>27</v>
      </c>
      <c r="AC5784">
        <v>19.075199999999999</v>
      </c>
      <c r="AD5784">
        <v>-1.1253239896430001</v>
      </c>
      <c r="AE5784">
        <v>-0.79570000000000995</v>
      </c>
      <c r="AF5784">
        <v>0.27246898891162402</v>
      </c>
      <c r="AG5784">
        <v>-1.1253239896430001</v>
      </c>
      <c r="AH5784">
        <v>19.023737384046999</v>
      </c>
      <c r="AI5784">
        <v>93.384964688446402</v>
      </c>
      <c r="AJ5784">
        <v>89.179432755712099</v>
      </c>
      <c r="AK5784">
        <v>19.058939568842</v>
      </c>
      <c r="AL5784">
        <v>77.258702364458998</v>
      </c>
      <c r="AM5784">
        <v>86.114741470145901</v>
      </c>
      <c r="AN5784">
        <v>1.0000000331290599</v>
      </c>
    </row>
    <row r="5785" spans="1:40" x14ac:dyDescent="0.25">
      <c r="A5785" t="str">
        <f>"20190303170930225"</f>
        <v>20190303170930225</v>
      </c>
      <c r="B5785" t="str">
        <f>"1551604170219459"</f>
        <v>1551604170219459</v>
      </c>
      <c r="C5785" t="s">
        <v>40</v>
      </c>
      <c r="D5785">
        <v>5.4305250000000003</v>
      </c>
      <c r="E5785">
        <v>0.48585820000000002</v>
      </c>
      <c r="F5785" t="s">
        <v>43</v>
      </c>
      <c r="G5785">
        <v>-104.4324</v>
      </c>
      <c r="H5785" s="1">
        <v>-3.0148669999999999E-6</v>
      </c>
      <c r="I5785">
        <v>137.3468</v>
      </c>
      <c r="J5785">
        <v>-123.21210000000001</v>
      </c>
      <c r="K5785">
        <v>1.125305</v>
      </c>
      <c r="L5785">
        <v>138.04759999999999</v>
      </c>
      <c r="M5785">
        <v>0.99932469999999995</v>
      </c>
      <c r="N5785">
        <v>-2.851066E-2</v>
      </c>
      <c r="O5785">
        <v>-2.3182189999999998E-2</v>
      </c>
      <c r="P5785">
        <v>0.977074</v>
      </c>
      <c r="Q5785">
        <v>0.19242609999999999</v>
      </c>
      <c r="R5785">
        <v>-9.109776E-2</v>
      </c>
      <c r="S5785">
        <v>3.0964510000000001</v>
      </c>
      <c r="T5785">
        <v>-0.1818409</v>
      </c>
      <c r="U5785">
        <v>-0.1140289</v>
      </c>
      <c r="V5785">
        <v>6.7301959999999994E-2</v>
      </c>
      <c r="W5785">
        <v>0.22059999999999999</v>
      </c>
      <c r="X5785">
        <v>0.9730396</v>
      </c>
      <c r="Y5785">
        <v>1.3590710000000001E-2</v>
      </c>
      <c r="Z5785">
        <v>1.061711E-4</v>
      </c>
      <c r="AA5785">
        <v>0.99990760000000001</v>
      </c>
      <c r="AB5785">
        <v>26</v>
      </c>
      <c r="AC5785">
        <v>18.779699999999998</v>
      </c>
      <c r="AD5785">
        <v>-1.1253080148670001</v>
      </c>
      <c r="AE5785">
        <v>-0.70079999999998599</v>
      </c>
      <c r="AF5785">
        <v>0.26413284405723497</v>
      </c>
      <c r="AG5785">
        <v>-1.1253080148670001</v>
      </c>
      <c r="AH5785">
        <v>18.723765833635799</v>
      </c>
      <c r="AI5785">
        <v>93.439027544627507</v>
      </c>
      <c r="AJ5785">
        <v>89.191792208434194</v>
      </c>
      <c r="AK5785">
        <v>18.7594107391586</v>
      </c>
      <c r="AL5785">
        <v>77.255723536115795</v>
      </c>
      <c r="AM5785">
        <v>86.0433402885444</v>
      </c>
      <c r="AN5785">
        <v>0.99999998849399996</v>
      </c>
    </row>
    <row r="5786" spans="1:40" x14ac:dyDescent="0.25">
      <c r="A5786" t="str">
        <f>"20190303170930258"</f>
        <v>20190303170930258</v>
      </c>
      <c r="B5786" t="str">
        <f>"1551604170249715"</f>
        <v>1551604170249715</v>
      </c>
      <c r="C5786" t="s">
        <v>40</v>
      </c>
      <c r="D5786">
        <v>5.4447039999999998</v>
      </c>
      <c r="E5786">
        <v>0.4860044</v>
      </c>
      <c r="F5786" t="s">
        <v>43</v>
      </c>
      <c r="G5786">
        <v>-104.3948</v>
      </c>
      <c r="H5786" s="1">
        <v>-3.0257620000000001E-6</v>
      </c>
      <c r="I5786">
        <v>137.38570000000001</v>
      </c>
      <c r="J5786">
        <v>-122.8378</v>
      </c>
      <c r="K5786">
        <v>1.125281</v>
      </c>
      <c r="L5786">
        <v>138.0444</v>
      </c>
      <c r="M5786">
        <v>0.99939639999999996</v>
      </c>
      <c r="N5786">
        <v>-2.8991619999999999E-2</v>
      </c>
      <c r="O5786">
        <v>-1.9135180000000002E-2</v>
      </c>
      <c r="P5786">
        <v>0.97688160000000002</v>
      </c>
      <c r="Q5786">
        <v>0.1942567</v>
      </c>
      <c r="R5786">
        <v>-8.9257429999999999E-2</v>
      </c>
      <c r="S5786">
        <v>3.096695</v>
      </c>
      <c r="T5786">
        <v>-0.18518809999999999</v>
      </c>
      <c r="U5786">
        <v>-0.1089325</v>
      </c>
      <c r="V5786">
        <v>6.9472699999999998E-2</v>
      </c>
      <c r="W5786">
        <v>0.22287599999999999</v>
      </c>
      <c r="X5786">
        <v>0.97236820000000002</v>
      </c>
      <c r="Y5786">
        <v>1.5984089999999999E-2</v>
      </c>
      <c r="Z5786">
        <v>-1.212206E-4</v>
      </c>
      <c r="AA5786">
        <v>0.99987230000000005</v>
      </c>
      <c r="AB5786">
        <v>26</v>
      </c>
      <c r="AC5786">
        <v>18.443000000000001</v>
      </c>
      <c r="AD5786">
        <v>-1.125284025762</v>
      </c>
      <c r="AE5786">
        <v>-0.65869999999998097</v>
      </c>
      <c r="AF5786">
        <v>0.30438902003112001</v>
      </c>
      <c r="AG5786">
        <v>-1.125284025762</v>
      </c>
      <c r="AH5786">
        <v>18.383879021990399</v>
      </c>
      <c r="AI5786">
        <v>93.502246788313101</v>
      </c>
      <c r="AJ5786">
        <v>89.051418218547695</v>
      </c>
      <c r="AK5786">
        <v>18.420801413329698</v>
      </c>
      <c r="AL5786">
        <v>77.121989859739102</v>
      </c>
      <c r="AM5786">
        <v>85.913338024095793</v>
      </c>
      <c r="AN5786">
        <v>1.00000004189626</v>
      </c>
    </row>
    <row r="5787" spans="1:40" x14ac:dyDescent="0.25">
      <c r="A5787" t="str">
        <f>"20190303170930291"</f>
        <v>20190303170930291</v>
      </c>
      <c r="B5787" t="str">
        <f>"1551604170279970"</f>
        <v>1551604170279970</v>
      </c>
      <c r="C5787" t="s">
        <v>40</v>
      </c>
      <c r="D5787">
        <v>5.4412120000000002</v>
      </c>
      <c r="E5787">
        <v>0.4861721</v>
      </c>
      <c r="F5787" t="s">
        <v>43</v>
      </c>
      <c r="G5787">
        <v>-103.5414</v>
      </c>
      <c r="H5787" s="1">
        <v>-3.4287439999999998E-6</v>
      </c>
      <c r="I5787">
        <v>137.38820000000001</v>
      </c>
      <c r="J5787">
        <v>-122.47369999999999</v>
      </c>
      <c r="K5787">
        <v>1.1252610000000001</v>
      </c>
      <c r="L5787">
        <v>138.04259999999999</v>
      </c>
      <c r="M5787">
        <v>0.99945010000000001</v>
      </c>
      <c r="N5787">
        <v>-2.945412E-2</v>
      </c>
      <c r="O5787">
        <v>-1.523094E-2</v>
      </c>
      <c r="P5787">
        <v>0.97721800000000003</v>
      </c>
      <c r="Q5787">
        <v>0.1945172</v>
      </c>
      <c r="R5787">
        <v>-8.4901530000000003E-2</v>
      </c>
      <c r="S5787">
        <v>3.0972900000000001</v>
      </c>
      <c r="T5787">
        <v>-0.18062030000000001</v>
      </c>
      <c r="U5787">
        <v>-0.10533140000000001</v>
      </c>
      <c r="V5787">
        <v>6.8985249999999998E-2</v>
      </c>
      <c r="W5787">
        <v>0.22356670000000001</v>
      </c>
      <c r="X5787">
        <v>0.97224429999999995</v>
      </c>
      <c r="Y5787">
        <v>1.8713750000000001E-2</v>
      </c>
      <c r="Z5787">
        <v>-3.8244880000000002E-4</v>
      </c>
      <c r="AA5787">
        <v>0.99982479999999996</v>
      </c>
      <c r="AB5787">
        <v>26</v>
      </c>
      <c r="AC5787">
        <v>18.932300000000001</v>
      </c>
      <c r="AD5787">
        <v>-1.1252644287439999</v>
      </c>
      <c r="AE5787">
        <v>-0.654399999999981</v>
      </c>
      <c r="AF5787">
        <v>0.36455582480146498</v>
      </c>
      <c r="AG5787">
        <v>-1.1252644287439999</v>
      </c>
      <c r="AH5787">
        <v>18.873479335557398</v>
      </c>
      <c r="AI5787">
        <v>93.411384207199802</v>
      </c>
      <c r="AJ5787">
        <v>88.893425389951602</v>
      </c>
      <c r="AK5787">
        <v>18.910508803670599</v>
      </c>
      <c r="AL5787">
        <v>77.0813908077169</v>
      </c>
      <c r="AM5787">
        <v>85.941400225364603</v>
      </c>
      <c r="AN5787">
        <v>1.0000000064744701</v>
      </c>
    </row>
    <row r="5788" spans="1:40" x14ac:dyDescent="0.25">
      <c r="A5788" t="str">
        <f>"20190303170930325"</f>
        <v>20190303170930325</v>
      </c>
      <c r="B5788" t="str">
        <f>"1551604170319986"</f>
        <v>1551604170319986</v>
      </c>
      <c r="C5788" t="s">
        <v>40</v>
      </c>
      <c r="D5788">
        <v>5.4485700000000001</v>
      </c>
      <c r="E5788">
        <v>0.48642439999999998</v>
      </c>
      <c r="F5788" t="s">
        <v>43</v>
      </c>
      <c r="G5788">
        <v>-103.24039999999999</v>
      </c>
      <c r="H5788" s="1">
        <v>-3.5595960000000001E-6</v>
      </c>
      <c r="I5788">
        <v>137.45240000000001</v>
      </c>
      <c r="J5788">
        <v>-122.1035</v>
      </c>
      <c r="K5788">
        <v>1.1252180000000001</v>
      </c>
      <c r="L5788">
        <v>138.04239999999999</v>
      </c>
      <c r="M5788">
        <v>0.99948879999999996</v>
      </c>
      <c r="N5788">
        <v>-2.9909850000000002E-2</v>
      </c>
      <c r="O5788">
        <v>-1.1302929999999999E-2</v>
      </c>
      <c r="P5788">
        <v>0.97794650000000005</v>
      </c>
      <c r="Q5788">
        <v>0.19433230000000001</v>
      </c>
      <c r="R5788">
        <v>-7.6524869999999995E-2</v>
      </c>
      <c r="S5788">
        <v>3.097763</v>
      </c>
      <c r="T5788">
        <v>-0.1812387</v>
      </c>
      <c r="U5788">
        <v>-9.5062259999999996E-2</v>
      </c>
      <c r="V5788">
        <v>6.4501139999999998E-2</v>
      </c>
      <c r="W5788">
        <v>0.22379859999999999</v>
      </c>
      <c r="X5788">
        <v>0.97249870000000005</v>
      </c>
      <c r="Y5788">
        <v>1.9322990000000002E-2</v>
      </c>
      <c r="Z5788">
        <v>-5.3153330000000004E-4</v>
      </c>
      <c r="AA5788">
        <v>0.99981310000000001</v>
      </c>
      <c r="AB5788">
        <v>25</v>
      </c>
      <c r="AC5788">
        <v>18.863099999999999</v>
      </c>
      <c r="AD5788">
        <v>-1.125221559596</v>
      </c>
      <c r="AE5788">
        <v>-0.58999999999997499</v>
      </c>
      <c r="AF5788">
        <v>0.37532433517921299</v>
      </c>
      <c r="AG5788">
        <v>-1.125221559596</v>
      </c>
      <c r="AH5788">
        <v>18.801727718000802</v>
      </c>
      <c r="AI5788">
        <v>93.424198394200204</v>
      </c>
      <c r="AJ5788">
        <v>88.856400597142198</v>
      </c>
      <c r="AK5788">
        <v>18.8391071204714</v>
      </c>
      <c r="AL5788">
        <v>77.067757968539595</v>
      </c>
      <c r="AM5788">
        <v>86.205405441568303</v>
      </c>
      <c r="AN5788">
        <v>0.99999996596247398</v>
      </c>
    </row>
    <row r="5789" spans="1:40" x14ac:dyDescent="0.25">
      <c r="A5789" t="str">
        <f>"20190303170930360"</f>
        <v>20190303170930360</v>
      </c>
      <c r="B5789" t="str">
        <f>"1551604170350243"</f>
        <v>1551604170350243</v>
      </c>
      <c r="C5789" t="s">
        <v>40</v>
      </c>
      <c r="D5789">
        <v>5.4233019999999996</v>
      </c>
      <c r="E5789">
        <v>0.48661290000000001</v>
      </c>
      <c r="F5789" t="s">
        <v>43</v>
      </c>
      <c r="G5789">
        <v>-103.1153</v>
      </c>
      <c r="H5789" s="1">
        <v>-3.5932780000000002E-6</v>
      </c>
      <c r="I5789">
        <v>137.5959</v>
      </c>
      <c r="J5789">
        <v>-121.7426</v>
      </c>
      <c r="K5789">
        <v>1.125178</v>
      </c>
      <c r="L5789">
        <v>138.04339999999999</v>
      </c>
      <c r="M5789">
        <v>0.99951140000000005</v>
      </c>
      <c r="N5789">
        <v>-3.0336999999999999E-2</v>
      </c>
      <c r="O5789">
        <v>-7.5313250000000002E-3</v>
      </c>
      <c r="P5789">
        <v>0.9778116</v>
      </c>
      <c r="Q5789">
        <v>0.19733100000000001</v>
      </c>
      <c r="R5789">
        <v>-7.0321040000000001E-2</v>
      </c>
      <c r="S5789">
        <v>3.0984500000000001</v>
      </c>
      <c r="T5789">
        <v>-0.183611</v>
      </c>
      <c r="U5789">
        <v>-7.2845460000000001E-2</v>
      </c>
      <c r="V5789">
        <v>6.2038200000000002E-2</v>
      </c>
      <c r="W5789">
        <v>0.22717090000000001</v>
      </c>
      <c r="X5789">
        <v>0.97187690000000004</v>
      </c>
      <c r="Y5789">
        <v>1.5931290000000001E-2</v>
      </c>
      <c r="Z5789">
        <v>-4.9619529999999897E-4</v>
      </c>
      <c r="AA5789">
        <v>0.99987300000000001</v>
      </c>
      <c r="AB5789">
        <v>24</v>
      </c>
      <c r="AC5789">
        <v>18.627299999999899</v>
      </c>
      <c r="AD5789">
        <v>-1.125181593278</v>
      </c>
      <c r="AE5789">
        <v>-0.44749999999999002</v>
      </c>
      <c r="AF5789">
        <v>0.30601850828118099</v>
      </c>
      <c r="AG5789">
        <v>-1.125181593278</v>
      </c>
      <c r="AH5789">
        <v>18.5624521631112</v>
      </c>
      <c r="AI5789">
        <v>93.468326502137998</v>
      </c>
      <c r="AJ5789">
        <v>89.055513752626197</v>
      </c>
      <c r="AK5789">
        <v>18.599040600338899</v>
      </c>
      <c r="AL5789">
        <v>76.8694326250465</v>
      </c>
      <c r="AM5789">
        <v>86.347571469056604</v>
      </c>
      <c r="AN5789">
        <v>1.0000000324098199</v>
      </c>
    </row>
    <row r="5790" spans="1:40" x14ac:dyDescent="0.25">
      <c r="A5790" t="str">
        <f>"20190303170930393"</f>
        <v>20190303170930393</v>
      </c>
      <c r="B5790" t="str">
        <f>"1551604170389790"</f>
        <v>1551604170389790</v>
      </c>
      <c r="C5790" t="s">
        <v>40</v>
      </c>
      <c r="D5790">
        <v>5.4856170000000004</v>
      </c>
      <c r="E5790">
        <v>0.49711549999999999</v>
      </c>
      <c r="F5790" t="s">
        <v>43</v>
      </c>
      <c r="G5790">
        <v>-101.8079</v>
      </c>
      <c r="H5790" s="1">
        <v>-4.1938099999999901E-6</v>
      </c>
      <c r="I5790">
        <v>137.69470000000001</v>
      </c>
      <c r="J5790">
        <v>-121.39700000000001</v>
      </c>
      <c r="K5790">
        <v>1.125119</v>
      </c>
      <c r="L5790">
        <v>138.04560000000001</v>
      </c>
      <c r="M5790">
        <v>0.99951979999999996</v>
      </c>
      <c r="N5790">
        <v>-3.0727190000000001E-2</v>
      </c>
      <c r="O5790">
        <v>-4.0100020000000004E-3</v>
      </c>
      <c r="P5790">
        <v>0.9779795</v>
      </c>
      <c r="Q5790">
        <v>0.1987312</v>
      </c>
      <c r="R5790">
        <v>-6.3734680000000002E-2</v>
      </c>
      <c r="S5790">
        <v>3.0994869999999999</v>
      </c>
      <c r="T5790">
        <v>-0.17494509999999999</v>
      </c>
      <c r="U5790">
        <v>-5.4214480000000002E-2</v>
      </c>
      <c r="V5790">
        <v>5.8959690000000002E-2</v>
      </c>
      <c r="W5790">
        <v>0.22891649999999999</v>
      </c>
      <c r="X5790">
        <v>0.97165889999999999</v>
      </c>
      <c r="Y5790">
        <v>1.344559E-2</v>
      </c>
      <c r="Z5790">
        <v>-4.8307120000000002E-4</v>
      </c>
      <c r="AA5790">
        <v>0.99990950000000001</v>
      </c>
      <c r="AB5790">
        <v>24</v>
      </c>
      <c r="AC5790">
        <v>19.589099999999998</v>
      </c>
      <c r="AD5790">
        <v>-1.1251231938099999</v>
      </c>
      <c r="AE5790">
        <v>-0.35089999999999499</v>
      </c>
      <c r="AF5790">
        <v>0.27141265919306501</v>
      </c>
      <c r="AG5790">
        <v>-1.1251231938099999</v>
      </c>
      <c r="AH5790">
        <v>19.525956310390701</v>
      </c>
      <c r="AI5790">
        <v>93.297528571895796</v>
      </c>
      <c r="AJ5790">
        <v>89.203634474544103</v>
      </c>
      <c r="AK5790">
        <v>19.560228446214701</v>
      </c>
      <c r="AL5790">
        <v>76.766710208406494</v>
      </c>
      <c r="AM5790">
        <v>86.527583456955099</v>
      </c>
      <c r="AN5790">
        <v>1.0000000134831699</v>
      </c>
    </row>
    <row r="5791" spans="1:40" x14ac:dyDescent="0.25">
      <c r="A5791" t="str">
        <f>"20190303170930427"</f>
        <v>20190303170930427</v>
      </c>
      <c r="B5791" t="str">
        <f>"1551604170420047"</f>
        <v>1551604170420047</v>
      </c>
      <c r="C5791" t="s">
        <v>40</v>
      </c>
      <c r="D5791">
        <v>5.5168780000000002</v>
      </c>
      <c r="E5791">
        <v>0.46381119999999998</v>
      </c>
      <c r="F5791" t="s">
        <v>43</v>
      </c>
      <c r="G5791">
        <v>-105.56180000000001</v>
      </c>
      <c r="H5791" s="1">
        <v>-2.4619059999999998E-6</v>
      </c>
      <c r="I5791">
        <v>137.4545</v>
      </c>
      <c r="J5791">
        <v>-121.0536</v>
      </c>
      <c r="K5791">
        <v>1.125038</v>
      </c>
      <c r="L5791">
        <v>138.0488</v>
      </c>
      <c r="M5791">
        <v>0.99951670000000004</v>
      </c>
      <c r="N5791">
        <v>-3.108412E-2</v>
      </c>
      <c r="O5791">
        <v>-6.3013469999999999E-4</v>
      </c>
      <c r="P5791">
        <v>0.9787112</v>
      </c>
      <c r="Q5791">
        <v>0.19696739999999999</v>
      </c>
      <c r="R5791">
        <v>-5.7693059999999997E-2</v>
      </c>
      <c r="S5791">
        <v>3.1048279999999999</v>
      </c>
      <c r="T5791">
        <v>-0.2206043</v>
      </c>
      <c r="U5791">
        <v>-0.11589049999999999</v>
      </c>
      <c r="V5791">
        <v>5.6305590000000003E-2</v>
      </c>
      <c r="W5791">
        <v>0.22748750000000001</v>
      </c>
      <c r="X5791">
        <v>0.97215180000000001</v>
      </c>
      <c r="Y5791">
        <v>3.6538029999999999E-2</v>
      </c>
      <c r="Z5791">
        <v>-1.8400770000000001E-3</v>
      </c>
      <c r="AA5791">
        <v>0.99933059999999996</v>
      </c>
      <c r="AB5791">
        <v>23</v>
      </c>
      <c r="AC5791">
        <v>15.4917999999999</v>
      </c>
      <c r="AD5791">
        <v>-1.1250404619059999</v>
      </c>
      <c r="AE5791">
        <v>-0.59430000000000405</v>
      </c>
      <c r="AF5791">
        <v>0.58147112426191905</v>
      </c>
      <c r="AG5791">
        <v>-1.1250404619059999</v>
      </c>
      <c r="AH5791">
        <v>15.4110147580695</v>
      </c>
      <c r="AI5791">
        <v>94.172362072591199</v>
      </c>
      <c r="AJ5791">
        <v>87.839204902996102</v>
      </c>
      <c r="AK5791">
        <v>15.4629622188866</v>
      </c>
      <c r="AL5791">
        <v>76.850804670064605</v>
      </c>
      <c r="AM5791">
        <v>86.685216683562203</v>
      </c>
      <c r="AN5791">
        <v>1.0000000021823601</v>
      </c>
    </row>
    <row r="5792" spans="1:40" x14ac:dyDescent="0.25">
      <c r="A5792" t="str">
        <f>"20190303170930459"</f>
        <v>20190303170930459</v>
      </c>
      <c r="B5792" t="str">
        <f>"1551604170449326"</f>
        <v>1551604170449326</v>
      </c>
      <c r="C5792" t="s">
        <v>40</v>
      </c>
      <c r="D5792">
        <v>5.5206650000000002</v>
      </c>
      <c r="E5792">
        <v>0.4592309</v>
      </c>
      <c r="F5792" t="s">
        <v>43</v>
      </c>
      <c r="G5792">
        <v>-95.328639999999993</v>
      </c>
      <c r="H5792" s="1">
        <v>-2.027123E-6</v>
      </c>
      <c r="I5792">
        <v>139.38630000000001</v>
      </c>
      <c r="J5792">
        <v>-120.7375</v>
      </c>
      <c r="K5792">
        <v>1.1249450000000001</v>
      </c>
      <c r="L5792">
        <v>138.05260000000001</v>
      </c>
      <c r="M5792">
        <v>0.99950530000000004</v>
      </c>
      <c r="N5792">
        <v>-3.136303E-2</v>
      </c>
      <c r="O5792">
        <v>2.3263049999999999E-3</v>
      </c>
      <c r="P5792">
        <v>0.97873770000000004</v>
      </c>
      <c r="Q5792">
        <v>0.19747719999999999</v>
      </c>
      <c r="R5792">
        <v>-5.5454999999999997E-2</v>
      </c>
      <c r="S5792">
        <v>3.1020660000000002</v>
      </c>
      <c r="T5792">
        <v>-0.1356637</v>
      </c>
      <c r="U5792">
        <v>0.1612854</v>
      </c>
      <c r="V5792">
        <v>5.7035229999999999E-2</v>
      </c>
      <c r="W5792">
        <v>0.22824759999999999</v>
      </c>
      <c r="X5792">
        <v>0.97193110000000005</v>
      </c>
      <c r="Y5792">
        <v>-4.95173E-2</v>
      </c>
      <c r="Z5792">
        <v>1.8306920000000001E-3</v>
      </c>
      <c r="AA5792">
        <v>0.99877159999999998</v>
      </c>
      <c r="AB5792">
        <v>23</v>
      </c>
      <c r="AC5792">
        <v>25.408859999999901</v>
      </c>
      <c r="AD5792">
        <v>-1.124947027123</v>
      </c>
      <c r="AE5792">
        <v>1.3336999999999899</v>
      </c>
      <c r="AF5792">
        <v>-1.2720719077759599</v>
      </c>
      <c r="AG5792">
        <v>-1.124947027123</v>
      </c>
      <c r="AH5792">
        <v>25.362317435537499</v>
      </c>
      <c r="AI5792">
        <v>92.536508641142007</v>
      </c>
      <c r="AJ5792">
        <v>92.8713199145608</v>
      </c>
      <c r="AK5792">
        <v>25.419103415607601</v>
      </c>
      <c r="AL5792">
        <v>76.806077759655494</v>
      </c>
      <c r="AM5792">
        <v>86.641598790116106</v>
      </c>
      <c r="AN5792">
        <v>1.0000000237570601</v>
      </c>
    </row>
    <row r="5793" spans="1:40" x14ac:dyDescent="0.25">
      <c r="A5793" t="str">
        <f>"20190303170930493"</f>
        <v>20190303170930493</v>
      </c>
      <c r="B5793" t="str">
        <f>"1551604170489849"</f>
        <v>1551604170489849</v>
      </c>
      <c r="C5793" t="s">
        <v>40</v>
      </c>
      <c r="D5793">
        <v>5.485392</v>
      </c>
      <c r="E5793">
        <v>0.45750420000000003</v>
      </c>
      <c r="F5793" t="s">
        <v>43</v>
      </c>
      <c r="G5793">
        <v>-89.929450000000003</v>
      </c>
      <c r="H5793" s="1">
        <v>-1.341006E-7</v>
      </c>
      <c r="I5793">
        <v>140.07310000000001</v>
      </c>
      <c r="J5793">
        <v>-120.4156</v>
      </c>
      <c r="K5793">
        <v>1.124819</v>
      </c>
      <c r="L5793">
        <v>138.0573</v>
      </c>
      <c r="M5793">
        <v>0.99948740000000003</v>
      </c>
      <c r="N5793">
        <v>-3.1600259999999998E-2</v>
      </c>
      <c r="O5793">
        <v>5.1364339999999996E-3</v>
      </c>
      <c r="P5793">
        <v>0.97893909999999995</v>
      </c>
      <c r="Q5793">
        <v>0.1968985</v>
      </c>
      <c r="R5793">
        <v>-5.3940719999999998E-2</v>
      </c>
      <c r="S5793">
        <v>3.0995180000000002</v>
      </c>
      <c r="T5793">
        <v>-0.1131778</v>
      </c>
      <c r="U5793">
        <v>0.2032776</v>
      </c>
      <c r="V5793">
        <v>5.836239E-2</v>
      </c>
      <c r="W5793">
        <v>0.22788220000000001</v>
      </c>
      <c r="X5793">
        <v>0.97193799999999997</v>
      </c>
      <c r="Y5793">
        <v>-6.0239500000000001E-2</v>
      </c>
      <c r="Z5793">
        <v>2.026805E-3</v>
      </c>
      <c r="AA5793">
        <v>0.99818189999999996</v>
      </c>
      <c r="AB5793">
        <v>22</v>
      </c>
      <c r="AC5793">
        <v>30.486149999999899</v>
      </c>
      <c r="AD5793">
        <v>-1.1248191341006</v>
      </c>
      <c r="AE5793">
        <v>2.0158000000000098</v>
      </c>
      <c r="AF5793">
        <v>-1.8565886347535301</v>
      </c>
      <c r="AG5793">
        <v>-1.1248191341006</v>
      </c>
      <c r="AH5793">
        <v>30.454828340686898</v>
      </c>
      <c r="AI5793">
        <v>92.111285855598297</v>
      </c>
      <c r="AJ5793">
        <v>93.488550616418905</v>
      </c>
      <c r="AK5793">
        <v>30.532093094051699</v>
      </c>
      <c r="AL5793">
        <v>76.827579606076497</v>
      </c>
      <c r="AM5793">
        <v>86.563661209469402</v>
      </c>
      <c r="AN5793">
        <v>0.99999997074367497</v>
      </c>
    </row>
    <row r="5794" spans="1:40" x14ac:dyDescent="0.25">
      <c r="A5794" t="str">
        <f>"20190303170930526"</f>
        <v>20190303170930526</v>
      </c>
      <c r="B5794" t="str">
        <f>"1551604170520106"</f>
        <v>1551604170520106</v>
      </c>
      <c r="C5794" t="s">
        <v>40</v>
      </c>
      <c r="D5794">
        <v>5.5029209999999997</v>
      </c>
      <c r="E5794">
        <v>0.45729160000000002</v>
      </c>
      <c r="F5794" t="s">
        <v>43</v>
      </c>
      <c r="G5794">
        <v>-88.540260000000004</v>
      </c>
      <c r="H5794" s="1">
        <v>-7.9992359999999896E-7</v>
      </c>
      <c r="I5794">
        <v>140.3357</v>
      </c>
      <c r="J5794">
        <v>-120.1024</v>
      </c>
      <c r="K5794">
        <v>1.1246659999999999</v>
      </c>
      <c r="L5794">
        <v>138.0624</v>
      </c>
      <c r="M5794">
        <v>0.99946539999999995</v>
      </c>
      <c r="N5794">
        <v>-3.1788009999999998E-2</v>
      </c>
      <c r="O5794">
        <v>7.6532909999999996E-3</v>
      </c>
      <c r="P5794">
        <v>0.97922220000000004</v>
      </c>
      <c r="Q5794">
        <v>0.19554679999999999</v>
      </c>
      <c r="R5794">
        <v>-5.3716380000000001E-2</v>
      </c>
      <c r="S5794">
        <v>3.0987399999999998</v>
      </c>
      <c r="T5794">
        <v>-0.1093483</v>
      </c>
      <c r="U5794">
        <v>0.22149659999999999</v>
      </c>
      <c r="V5794">
        <v>6.0699620000000003E-2</v>
      </c>
      <c r="W5794">
        <v>0.2266995</v>
      </c>
      <c r="X5794">
        <v>0.97207149999999998</v>
      </c>
      <c r="Y5794">
        <v>-6.3582899999999998E-2</v>
      </c>
      <c r="Z5794">
        <v>2.1062310000000001E-3</v>
      </c>
      <c r="AA5794">
        <v>0.99797429999999998</v>
      </c>
      <c r="AB5794">
        <v>21</v>
      </c>
      <c r="AC5794">
        <v>31.562139999999999</v>
      </c>
      <c r="AD5794">
        <v>-1.1246667999236</v>
      </c>
      <c r="AE5794">
        <v>2.2732999999999999</v>
      </c>
      <c r="AF5794">
        <v>-2.0289939952051199</v>
      </c>
      <c r="AG5794">
        <v>-1.1246667999236</v>
      </c>
      <c r="AH5794">
        <v>31.538782349318399</v>
      </c>
      <c r="AI5794">
        <v>92.038081232964402</v>
      </c>
      <c r="AJ5794">
        <v>93.680954041263007</v>
      </c>
      <c r="AK5794">
        <v>31.623985898698901</v>
      </c>
      <c r="AL5794">
        <v>76.897165696864604</v>
      </c>
      <c r="AM5794">
        <v>86.426885948668996</v>
      </c>
      <c r="AN5794">
        <v>1.00000005414032</v>
      </c>
    </row>
    <row r="5795" spans="1:40" x14ac:dyDescent="0.25">
      <c r="A5795" t="str">
        <f>"20190303170930563"</f>
        <v>20190303170930563</v>
      </c>
      <c r="B5795" t="str">
        <f>"1551604170559652"</f>
        <v>1551604170559652</v>
      </c>
      <c r="C5795" t="s">
        <v>40</v>
      </c>
      <c r="D5795">
        <v>5.4675159999999998</v>
      </c>
      <c r="E5795">
        <v>0.45712740000000002</v>
      </c>
      <c r="F5795" t="s">
        <v>43</v>
      </c>
      <c r="G5795">
        <v>-89.13194</v>
      </c>
      <c r="H5795" s="1">
        <v>-5.3687619999999995E-7</v>
      </c>
      <c r="I5795">
        <v>140.30099999999999</v>
      </c>
      <c r="J5795">
        <v>-119.7799</v>
      </c>
      <c r="K5795">
        <v>1.1245039999999999</v>
      </c>
      <c r="L5795">
        <v>138.06809999999999</v>
      </c>
      <c r="M5795">
        <v>0.99944010000000005</v>
      </c>
      <c r="N5795">
        <v>-3.1938889999999998E-2</v>
      </c>
      <c r="O5795">
        <v>9.9706570000000008E-3</v>
      </c>
      <c r="P5795">
        <v>0.97899029999999998</v>
      </c>
      <c r="Q5795">
        <v>0.19644429999999999</v>
      </c>
      <c r="R5795">
        <v>-5.4663169999999997E-2</v>
      </c>
      <c r="S5795">
        <v>3.0984189999999998</v>
      </c>
      <c r="T5795">
        <v>-0.1125164</v>
      </c>
      <c r="U5795">
        <v>0.22396849999999999</v>
      </c>
      <c r="V5795">
        <v>6.4004720000000001E-2</v>
      </c>
      <c r="W5795">
        <v>0.22771179999999999</v>
      </c>
      <c r="X5795">
        <v>0.97162269999999995</v>
      </c>
      <c r="Y5795">
        <v>-6.2066660000000003E-2</v>
      </c>
      <c r="Z5795">
        <v>2.0751279999999999E-3</v>
      </c>
      <c r="AA5795">
        <v>0.99806980000000001</v>
      </c>
      <c r="AB5795">
        <v>21</v>
      </c>
      <c r="AC5795">
        <v>30.647960000000001</v>
      </c>
      <c r="AD5795">
        <v>-1.1245045368761999</v>
      </c>
      <c r="AE5795">
        <v>2.2329000000000199</v>
      </c>
      <c r="AF5795">
        <v>-1.92447551252627</v>
      </c>
      <c r="AG5795">
        <v>-1.1245045368761999</v>
      </c>
      <c r="AH5795">
        <v>30.627695613809902</v>
      </c>
      <c r="AI5795">
        <v>92.098551400445501</v>
      </c>
      <c r="AJ5795">
        <v>93.595424044667695</v>
      </c>
      <c r="AK5795">
        <v>30.708693476993702</v>
      </c>
      <c r="AL5795">
        <v>76.837606410547806</v>
      </c>
      <c r="AM5795">
        <v>86.231140315920399</v>
      </c>
      <c r="AN5795">
        <v>0.99999996959840298</v>
      </c>
    </row>
    <row r="5796" spans="1:40" x14ac:dyDescent="0.25">
      <c r="A5796" t="str">
        <f>"20190303170930597"</f>
        <v>20190303170930597</v>
      </c>
      <c r="B5796" t="str">
        <f>"1551604170589910"</f>
        <v>1551604170589910</v>
      </c>
      <c r="C5796" t="s">
        <v>40</v>
      </c>
      <c r="D5796">
        <v>5.4864220000000001</v>
      </c>
      <c r="E5796">
        <v>0.45712390000000003</v>
      </c>
      <c r="F5796" t="s">
        <v>43</v>
      </c>
      <c r="G5796">
        <v>-87.571209999999994</v>
      </c>
      <c r="H5796" s="1">
        <v>-1.231446E-6</v>
      </c>
      <c r="I5796">
        <v>140.39510000000001</v>
      </c>
      <c r="J5796">
        <v>-119.4756</v>
      </c>
      <c r="K5796">
        <v>1.1243459999999901</v>
      </c>
      <c r="L5796">
        <v>138.07390000000001</v>
      </c>
      <c r="M5796">
        <v>0.99941619999999998</v>
      </c>
      <c r="N5796">
        <v>-3.2046760000000001E-2</v>
      </c>
      <c r="O5796">
        <v>1.1860020000000001E-2</v>
      </c>
      <c r="P5796">
        <v>0.97925309999999999</v>
      </c>
      <c r="Q5796">
        <v>0.19540930000000001</v>
      </c>
      <c r="R5796">
        <v>-5.3654100000000003E-2</v>
      </c>
      <c r="S5796">
        <v>3.0985870000000002</v>
      </c>
      <c r="T5796">
        <v>-0.108181</v>
      </c>
      <c r="U5796">
        <v>0.2238617</v>
      </c>
      <c r="V5796">
        <v>6.4943440000000005E-2</v>
      </c>
      <c r="W5796">
        <v>0.2267622</v>
      </c>
      <c r="X5796">
        <v>0.97178249999999999</v>
      </c>
      <c r="Y5796">
        <v>-6.0148149999999997E-2</v>
      </c>
      <c r="Z5796">
        <v>1.980496E-3</v>
      </c>
      <c r="AA5796">
        <v>0.99818750000000001</v>
      </c>
      <c r="AB5796">
        <v>20</v>
      </c>
      <c r="AC5796">
        <v>31.904389999999999</v>
      </c>
      <c r="AD5796">
        <v>-1.1243472314459999</v>
      </c>
      <c r="AE5796">
        <v>2.3212000000000002</v>
      </c>
      <c r="AF5796">
        <v>-1.94005875089026</v>
      </c>
      <c r="AG5796">
        <v>-1.1243472314459999</v>
      </c>
      <c r="AH5796">
        <v>31.890290165967802</v>
      </c>
      <c r="AI5796">
        <v>92.015502128734497</v>
      </c>
      <c r="AJ5796">
        <v>93.481321512876605</v>
      </c>
      <c r="AK5796">
        <v>31.969025501622401</v>
      </c>
      <c r="AL5796">
        <v>76.893476291716198</v>
      </c>
      <c r="AM5796">
        <v>86.176654411168798</v>
      </c>
      <c r="AN5796">
        <v>0.99999998652706101</v>
      </c>
    </row>
    <row r="5797" spans="1:40" x14ac:dyDescent="0.25">
      <c r="A5797" t="str">
        <f>"20190303170930626"</f>
        <v>20190303170930626</v>
      </c>
      <c r="B5797" t="str">
        <f>"1551604170620165"</f>
        <v>1551604170620165</v>
      </c>
      <c r="C5797" t="s">
        <v>40</v>
      </c>
      <c r="D5797">
        <v>5.4707780000000001</v>
      </c>
      <c r="E5797">
        <v>0.45720339999999998</v>
      </c>
      <c r="F5797" t="s">
        <v>43</v>
      </c>
      <c r="G5797">
        <v>-87.622249999999994</v>
      </c>
      <c r="H5797" s="1">
        <v>-1.218988E-6</v>
      </c>
      <c r="I5797">
        <v>140.43049999999999</v>
      </c>
      <c r="J5797">
        <v>-119.2197</v>
      </c>
      <c r="K5797">
        <v>1.124198</v>
      </c>
      <c r="L5797">
        <v>138.0789</v>
      </c>
      <c r="M5797">
        <v>0.99939710000000004</v>
      </c>
      <c r="N5797">
        <v>-3.2103420000000001E-2</v>
      </c>
      <c r="O5797">
        <v>1.322692E-2</v>
      </c>
      <c r="P5797">
        <v>0.98006899999999997</v>
      </c>
      <c r="Q5797">
        <v>0.1924612</v>
      </c>
      <c r="R5797">
        <v>-4.9230820000000002E-2</v>
      </c>
      <c r="S5797">
        <v>3.097931</v>
      </c>
      <c r="T5797">
        <v>-0.1093493</v>
      </c>
      <c r="U5797">
        <v>0.2292023</v>
      </c>
      <c r="V5797">
        <v>6.1952029999999998E-2</v>
      </c>
      <c r="W5797">
        <v>0.2238697</v>
      </c>
      <c r="X5797">
        <v>0.97264810000000002</v>
      </c>
      <c r="Y5797">
        <v>-6.050809E-2</v>
      </c>
      <c r="Z5797">
        <v>1.9976960000000002E-3</v>
      </c>
      <c r="AA5797">
        <v>0.99816570000000004</v>
      </c>
      <c r="AB5797">
        <v>20</v>
      </c>
      <c r="AC5797">
        <v>31.597449999999998</v>
      </c>
      <c r="AD5797">
        <v>-1.1241992189879999</v>
      </c>
      <c r="AE5797">
        <v>2.3515999999999901</v>
      </c>
      <c r="AF5797">
        <v>-1.93081096680499</v>
      </c>
      <c r="AG5797">
        <v>-1.1241992189879999</v>
      </c>
      <c r="AH5797">
        <v>31.586040513271701</v>
      </c>
      <c r="AI5797">
        <v>92.034596155332494</v>
      </c>
      <c r="AJ5797">
        <v>93.498059008553497</v>
      </c>
      <c r="AK5797">
        <v>31.6649618692262</v>
      </c>
      <c r="AL5797">
        <v>77.063578785409305</v>
      </c>
      <c r="AM5797">
        <v>86.355515079851102</v>
      </c>
      <c r="AN5797">
        <v>1.00000001151641</v>
      </c>
    </row>
    <row r="5798" spans="1:40" x14ac:dyDescent="0.25">
      <c r="A5798" t="str">
        <f>"20190303170930661"</f>
        <v>20190303170930661</v>
      </c>
      <c r="B5798" t="str">
        <f>"1551604170649444"</f>
        <v>1551604170649444</v>
      </c>
      <c r="C5798" t="s">
        <v>40</v>
      </c>
      <c r="D5798">
        <v>5.5055870000000002</v>
      </c>
      <c r="E5798">
        <v>0.45722570000000001</v>
      </c>
      <c r="F5798" t="s">
        <v>43</v>
      </c>
      <c r="G5798">
        <v>-89.908190000000005</v>
      </c>
      <c r="H5798" s="1">
        <v>-2.2384959999999999E-7</v>
      </c>
      <c r="I5798">
        <v>140.37610000000001</v>
      </c>
      <c r="J5798">
        <v>-118.9422</v>
      </c>
      <c r="K5798">
        <v>1.124061</v>
      </c>
      <c r="L5798">
        <v>138.08430000000001</v>
      </c>
      <c r="M5798">
        <v>0.99938059999999995</v>
      </c>
      <c r="N5798">
        <v>-3.209186E-2</v>
      </c>
      <c r="O5798">
        <v>1.4438919999999999E-2</v>
      </c>
      <c r="P5798">
        <v>0.97975239999999997</v>
      </c>
      <c r="Q5798">
        <v>0.19483619999999999</v>
      </c>
      <c r="R5798">
        <v>-4.6089949999999998E-2</v>
      </c>
      <c r="S5798">
        <v>3.096527</v>
      </c>
      <c r="T5798">
        <v>-0.1187624</v>
      </c>
      <c r="U5798">
        <v>0.24269099999999999</v>
      </c>
      <c r="V5798">
        <v>6.0069850000000001E-2</v>
      </c>
      <c r="W5798">
        <v>0.22619829999999999</v>
      </c>
      <c r="X5798">
        <v>0.97222730000000002</v>
      </c>
      <c r="Y5798">
        <v>-6.3639849999999998E-2</v>
      </c>
      <c r="Z5798">
        <v>2.1519569999999999E-3</v>
      </c>
      <c r="AA5798">
        <v>0.99797060000000004</v>
      </c>
      <c r="AB5798">
        <v>19</v>
      </c>
      <c r="AC5798">
        <v>29.034009999999899</v>
      </c>
      <c r="AD5798">
        <v>-1.1240612238495999</v>
      </c>
      <c r="AE5798">
        <v>2.2917999999999901</v>
      </c>
      <c r="AF5798">
        <v>-1.86934048142902</v>
      </c>
      <c r="AG5798">
        <v>-1.1240612238495999</v>
      </c>
      <c r="AH5798">
        <v>29.020859015425799</v>
      </c>
      <c r="AI5798">
        <v>92.213538524340805</v>
      </c>
      <c r="AJ5798">
        <v>93.685540687714493</v>
      </c>
      <c r="AK5798">
        <v>29.102718179986098</v>
      </c>
      <c r="AL5798">
        <v>76.926647357095305</v>
      </c>
      <c r="AM5798">
        <v>86.464428353742903</v>
      </c>
      <c r="AN5798">
        <v>0.99999999033360099</v>
      </c>
    </row>
    <row r="5799" spans="1:40" x14ac:dyDescent="0.25">
      <c r="A5799" t="str">
        <f>"20190303170930694"</f>
        <v>20190303170930694</v>
      </c>
      <c r="B5799" t="str">
        <f>"1551604170689461"</f>
        <v>1551604170689461</v>
      </c>
      <c r="C5799" t="s">
        <v>40</v>
      </c>
      <c r="D5799">
        <v>5.4644589999999997</v>
      </c>
      <c r="E5799">
        <v>0.4573274</v>
      </c>
      <c r="F5799" t="s">
        <v>43</v>
      </c>
      <c r="G5799">
        <v>-87.128559999999993</v>
      </c>
      <c r="H5799" s="1">
        <v>-1.5029329999999999E-6</v>
      </c>
      <c r="I5799">
        <v>140.70169999999999</v>
      </c>
      <c r="J5799">
        <v>-118.675</v>
      </c>
      <c r="K5799">
        <v>1.1239349999999999</v>
      </c>
      <c r="L5799">
        <v>138.08949999999999</v>
      </c>
      <c r="M5799">
        <v>0.99936979999999997</v>
      </c>
      <c r="N5799">
        <v>-3.199975E-2</v>
      </c>
      <c r="O5799">
        <v>1.536152E-2</v>
      </c>
      <c r="P5799">
        <v>0.97951820000000001</v>
      </c>
      <c r="Q5799">
        <v>0.196043</v>
      </c>
      <c r="R5799">
        <v>-4.5950820000000003E-2</v>
      </c>
      <c r="S5799">
        <v>3.0957340000000002</v>
      </c>
      <c r="T5799">
        <v>-0.10938059999999999</v>
      </c>
      <c r="U5799">
        <v>0.25469969999999997</v>
      </c>
      <c r="V5799">
        <v>6.0895350000000001E-2</v>
      </c>
      <c r="W5799">
        <v>0.22728880000000001</v>
      </c>
      <c r="X5799">
        <v>0.97192160000000005</v>
      </c>
      <c r="Y5799">
        <v>-6.6591220000000007E-2</v>
      </c>
      <c r="Z5799">
        <v>2.1915889999999999E-3</v>
      </c>
      <c r="AA5799">
        <v>0.9977779</v>
      </c>
      <c r="AB5799">
        <v>19</v>
      </c>
      <c r="AC5799">
        <v>31.54644</v>
      </c>
      <c r="AD5799">
        <v>-1.123936502933</v>
      </c>
      <c r="AE5799">
        <v>2.6122000000000001</v>
      </c>
      <c r="AF5799">
        <v>-2.1243636686918101</v>
      </c>
      <c r="AG5799">
        <v>-1.123936502933</v>
      </c>
      <c r="AH5799">
        <v>31.543095087284101</v>
      </c>
      <c r="AI5799">
        <v>92.036078594498704</v>
      </c>
      <c r="AJ5799">
        <v>93.852936598531798</v>
      </c>
      <c r="AK5799">
        <v>31.634522312577001</v>
      </c>
      <c r="AL5799">
        <v>76.862495824783693</v>
      </c>
      <c r="AM5799">
        <v>86.414842782272501</v>
      </c>
      <c r="AN5799">
        <v>1.0000000194018099</v>
      </c>
    </row>
    <row r="5800" spans="1:40" x14ac:dyDescent="0.25">
      <c r="A5800" t="str">
        <f>"20190303170930728"</f>
        <v>20190303170930728</v>
      </c>
      <c r="B5800" t="str">
        <f>"1551604170719717"</f>
        <v>1551604170719717</v>
      </c>
      <c r="C5800" t="s">
        <v>40</v>
      </c>
      <c r="D5800">
        <v>5.4733260000000001</v>
      </c>
      <c r="E5800">
        <v>0.45748749999999999</v>
      </c>
      <c r="F5800" t="s">
        <v>43</v>
      </c>
      <c r="G5800">
        <v>-85.248390000000001</v>
      </c>
      <c r="H5800" s="1">
        <v>-2.3515540000000001E-6</v>
      </c>
      <c r="I5800">
        <v>140.8597</v>
      </c>
      <c r="J5800">
        <v>-118.40770000000001</v>
      </c>
      <c r="K5800">
        <v>1.123812</v>
      </c>
      <c r="L5800">
        <v>138.09469999999999</v>
      </c>
      <c r="M5800">
        <v>0.99936250000000004</v>
      </c>
      <c r="N5800">
        <v>-3.1872150000000002E-2</v>
      </c>
      <c r="O5800">
        <v>1.6094230000000001E-2</v>
      </c>
      <c r="P5800">
        <v>0.98049240000000004</v>
      </c>
      <c r="Q5800">
        <v>0.19115879999999999</v>
      </c>
      <c r="R5800">
        <v>-4.5752180000000003E-2</v>
      </c>
      <c r="S5800">
        <v>3.095612</v>
      </c>
      <c r="T5800">
        <v>-0.1040866</v>
      </c>
      <c r="U5800">
        <v>0.256546</v>
      </c>
      <c r="V5800">
        <v>6.1481300000000003E-2</v>
      </c>
      <c r="W5800">
        <v>0.2222991</v>
      </c>
      <c r="X5800">
        <v>0.97303810000000002</v>
      </c>
      <c r="Y5800">
        <v>-6.6459969999999993E-2</v>
      </c>
      <c r="Z5800">
        <v>2.1492109999999998E-3</v>
      </c>
      <c r="AA5800">
        <v>0.99778679999999997</v>
      </c>
      <c r="AB5800">
        <v>18</v>
      </c>
      <c r="AC5800">
        <v>33.159309999999998</v>
      </c>
      <c r="AD5800">
        <v>-1.123814351554</v>
      </c>
      <c r="AE5800">
        <v>2.7650000000000099</v>
      </c>
      <c r="AF5800">
        <v>-2.22815511025214</v>
      </c>
      <c r="AG5800">
        <v>-1.123814351554</v>
      </c>
      <c r="AH5800">
        <v>33.161706642891502</v>
      </c>
      <c r="AI5800">
        <v>91.936585983262205</v>
      </c>
      <c r="AJ5800">
        <v>93.843960380399807</v>
      </c>
      <c r="AK5800">
        <v>33.255472051397803</v>
      </c>
      <c r="AL5800">
        <v>77.155893715627897</v>
      </c>
      <c r="AM5800">
        <v>86.384578992854998</v>
      </c>
      <c r="AN5800">
        <v>0.99999999208105494</v>
      </c>
    </row>
    <row r="5801" spans="1:40" x14ac:dyDescent="0.25">
      <c r="A5801" t="str">
        <f>"20190303170930761"</f>
        <v>20190303170930761</v>
      </c>
      <c r="B5801" t="str">
        <f>"1551604170749973"</f>
        <v>1551604170749973</v>
      </c>
      <c r="C5801" t="s">
        <v>40</v>
      </c>
      <c r="D5801">
        <v>5.4411579999999997</v>
      </c>
      <c r="E5801">
        <v>0.47730650000000002</v>
      </c>
      <c r="F5801" t="s">
        <v>43</v>
      </c>
      <c r="G5801">
        <v>-89.580539999999999</v>
      </c>
      <c r="H5801" s="1">
        <v>-3.886098E-7</v>
      </c>
      <c r="I5801">
        <v>140.46709999999999</v>
      </c>
      <c r="J5801">
        <v>-118.15900000000001</v>
      </c>
      <c r="K5801">
        <v>1.123756</v>
      </c>
      <c r="L5801">
        <v>138.09950000000001</v>
      </c>
      <c r="M5801">
        <v>0.99935750000000001</v>
      </c>
      <c r="N5801">
        <v>-3.1733039999999997E-2</v>
      </c>
      <c r="O5801">
        <v>1.6664450000000001E-2</v>
      </c>
      <c r="P5801">
        <v>0.98061220000000004</v>
      </c>
      <c r="Q5801">
        <v>0.18982009999999999</v>
      </c>
      <c r="R5801">
        <v>-4.8666250000000001E-2</v>
      </c>
      <c r="S5801">
        <v>3.0950929999999999</v>
      </c>
      <c r="T5801">
        <v>-0.1206605</v>
      </c>
      <c r="U5801">
        <v>0.25471500000000002</v>
      </c>
      <c r="V5801">
        <v>6.497812E-2</v>
      </c>
      <c r="W5801">
        <v>0.22082189999999999</v>
      </c>
      <c r="X5801">
        <v>0.97314719999999999</v>
      </c>
      <c r="Y5801">
        <v>-6.5301810000000002E-2</v>
      </c>
      <c r="Z5801">
        <v>2.189032E-3</v>
      </c>
      <c r="AA5801">
        <v>0.99786319999999995</v>
      </c>
      <c r="AB5801">
        <v>18</v>
      </c>
      <c r="AC5801">
        <v>28.5784599999999</v>
      </c>
      <c r="AD5801">
        <v>-1.1237563886098001</v>
      </c>
      <c r="AE5801">
        <v>2.3675999999999799</v>
      </c>
      <c r="AF5801">
        <v>-1.88788747924836</v>
      </c>
      <c r="AG5801">
        <v>-1.1237563886098001</v>
      </c>
      <c r="AH5801">
        <v>28.5700881291191</v>
      </c>
      <c r="AI5801">
        <v>92.247575460091994</v>
      </c>
      <c r="AJ5801">
        <v>93.780560933124406</v>
      </c>
      <c r="AK5801">
        <v>28.654439154533701</v>
      </c>
      <c r="AL5801">
        <v>77.242687903083194</v>
      </c>
      <c r="AM5801">
        <v>86.179967449417106</v>
      </c>
      <c r="AN5801">
        <v>0.99999997023309095</v>
      </c>
    </row>
    <row r="5802" spans="1:40" x14ac:dyDescent="0.25">
      <c r="A5802" t="str">
        <f>"20190303170930796"</f>
        <v>20190303170930796</v>
      </c>
      <c r="B5802" t="str">
        <f>"1551604170789989"</f>
        <v>1551604170789989</v>
      </c>
      <c r="C5802" t="s">
        <v>40</v>
      </c>
      <c r="D5802">
        <v>5.3927239999999896</v>
      </c>
      <c r="E5802">
        <v>0.54250129999999996</v>
      </c>
      <c r="F5802" t="s">
        <v>43</v>
      </c>
      <c r="G5802">
        <v>-102.1049</v>
      </c>
      <c r="H5802" s="1">
        <v>-3.8926169999999996E-6</v>
      </c>
      <c r="I5802">
        <v>138.601</v>
      </c>
      <c r="J5802">
        <v>-117.90560000000001</v>
      </c>
      <c r="K5802">
        <v>1.123742</v>
      </c>
      <c r="L5802">
        <v>138.1045</v>
      </c>
      <c r="M5802">
        <v>0.99935560000000001</v>
      </c>
      <c r="N5802">
        <v>-3.1499899999999997E-2</v>
      </c>
      <c r="O5802">
        <v>1.721464E-2</v>
      </c>
      <c r="P5802">
        <v>0.97975440000000003</v>
      </c>
      <c r="Q5802">
        <v>0.19268569999999999</v>
      </c>
      <c r="R5802">
        <v>-5.4347359999999997E-2</v>
      </c>
      <c r="S5802">
        <v>3.1062159999999999</v>
      </c>
      <c r="T5802">
        <v>-0.21743129999999999</v>
      </c>
      <c r="U5802">
        <v>9.7030640000000001E-2</v>
      </c>
      <c r="V5802">
        <v>7.11841E-2</v>
      </c>
      <c r="W5802">
        <v>0.22342770000000001</v>
      </c>
      <c r="X5802">
        <v>0.97211769999999997</v>
      </c>
      <c r="Y5802">
        <v>-1.3966070000000001E-2</v>
      </c>
      <c r="Z5802" s="1">
        <v>4.7392299999999997E-5</v>
      </c>
      <c r="AA5802">
        <v>0.99990250000000003</v>
      </c>
      <c r="AB5802">
        <v>17</v>
      </c>
      <c r="AC5802">
        <v>15.800700000000001</v>
      </c>
      <c r="AD5802">
        <v>-1.1237458926170001</v>
      </c>
      <c r="AE5802">
        <v>0.496499999999997</v>
      </c>
      <c r="AF5802">
        <v>-0.223160328298393</v>
      </c>
      <c r="AG5802">
        <v>-1.1237458926170001</v>
      </c>
      <c r="AH5802">
        <v>15.727435820526701</v>
      </c>
      <c r="AI5802">
        <v>94.086503027385504</v>
      </c>
      <c r="AJ5802">
        <v>90.812928891813399</v>
      </c>
      <c r="AK5802">
        <v>15.769110401417301</v>
      </c>
      <c r="AL5802">
        <v>77.089561098702802</v>
      </c>
      <c r="AM5802">
        <v>85.811945291165003</v>
      </c>
      <c r="AN5802">
        <v>0.99999996793669399</v>
      </c>
    </row>
    <row r="5803" spans="1:40" x14ac:dyDescent="0.25">
      <c r="A5803" t="str">
        <f>"20190303170930828"</f>
        <v>20190303170930828</v>
      </c>
      <c r="B5803" t="str">
        <f>"1551604170820244"</f>
        <v>1551604170820244</v>
      </c>
      <c r="C5803" t="s">
        <v>40</v>
      </c>
      <c r="D5803">
        <v>5.4030690000000003</v>
      </c>
      <c r="E5803">
        <v>0.53909200000000002</v>
      </c>
      <c r="F5803" t="s">
        <v>47</v>
      </c>
      <c r="G5803">
        <v>-117.1073</v>
      </c>
      <c r="H5803">
        <v>0.97385790000000005</v>
      </c>
      <c r="I5803">
        <v>138.0009</v>
      </c>
      <c r="J5803">
        <v>-117.67449999999999</v>
      </c>
      <c r="K5803">
        <v>1.1237429999999999</v>
      </c>
      <c r="L5803">
        <v>138.10900000000001</v>
      </c>
      <c r="M5803">
        <v>0.99935469999999904</v>
      </c>
      <c r="N5803">
        <v>-3.1232630000000001E-2</v>
      </c>
      <c r="O5803">
        <v>1.774121E-2</v>
      </c>
      <c r="P5803">
        <v>0.97903879999999999</v>
      </c>
      <c r="Q5803">
        <v>0.19473199999999999</v>
      </c>
      <c r="R5803">
        <v>-5.9688329999999998E-2</v>
      </c>
      <c r="S5803">
        <v>3.155853</v>
      </c>
      <c r="T5803">
        <v>-0.59268009999999904</v>
      </c>
      <c r="U5803">
        <v>-0.40904239999999997</v>
      </c>
      <c r="V5803">
        <v>7.7015029999999998E-2</v>
      </c>
      <c r="W5803">
        <v>0.22519120000000001</v>
      </c>
      <c r="X5803">
        <v>0.97126599999999996</v>
      </c>
      <c r="Y5803">
        <v>0.14302590000000001</v>
      </c>
      <c r="Z5803">
        <v>-1.826819E-2</v>
      </c>
      <c r="AA5803">
        <v>0.98955040000000005</v>
      </c>
      <c r="AB5803">
        <v>16</v>
      </c>
      <c r="AC5803">
        <v>0.56719999999999904</v>
      </c>
      <c r="AD5803">
        <v>-0.14988509999999999</v>
      </c>
      <c r="AE5803">
        <v>-0.108100000000007</v>
      </c>
      <c r="AF5803">
        <v>0.110691954990675</v>
      </c>
      <c r="AG5803">
        <v>-0.14988509999999999</v>
      </c>
      <c r="AH5803">
        <v>0.52951185833860204</v>
      </c>
      <c r="AI5803">
        <v>105.486641035855</v>
      </c>
      <c r="AJ5803">
        <v>78.192621879658205</v>
      </c>
      <c r="AK5803">
        <v>0.56133863239836501</v>
      </c>
      <c r="AL5803">
        <v>76.985878564730001</v>
      </c>
      <c r="AM5803">
        <v>85.4663060042203</v>
      </c>
      <c r="AN5803">
        <v>1.0000000170796699</v>
      </c>
    </row>
    <row r="5804" spans="1:40" x14ac:dyDescent="0.25">
      <c r="A5804" t="str">
        <f>"20190303170930861"</f>
        <v>20190303170930861</v>
      </c>
      <c r="B5804" t="str">
        <f>"1551604170849525"</f>
        <v>1551604170849525</v>
      </c>
      <c r="C5804" t="s">
        <v>40</v>
      </c>
      <c r="D5804">
        <v>5.4131159999999996</v>
      </c>
      <c r="E5804">
        <v>0.53873839999999995</v>
      </c>
      <c r="F5804" t="s">
        <v>47</v>
      </c>
      <c r="G5804">
        <v>-116.9662</v>
      </c>
      <c r="H5804">
        <v>0.97457329999999998</v>
      </c>
      <c r="I5804">
        <v>138.02180000000001</v>
      </c>
      <c r="J5804">
        <v>-117.44540000000001</v>
      </c>
      <c r="K5804">
        <v>1.1237549999999901</v>
      </c>
      <c r="L5804">
        <v>138.1138</v>
      </c>
      <c r="M5804">
        <v>0.99935169999999995</v>
      </c>
      <c r="N5804">
        <v>-3.099267E-2</v>
      </c>
      <c r="O5804">
        <v>1.8318589999999999E-2</v>
      </c>
      <c r="P5804">
        <v>0.97903180000000001</v>
      </c>
      <c r="Q5804">
        <v>0.19371559999999999</v>
      </c>
      <c r="R5804">
        <v>-6.3015479999999999E-2</v>
      </c>
      <c r="S5804">
        <v>3.1733859999999998</v>
      </c>
      <c r="T5804">
        <v>-0.66842769999999996</v>
      </c>
      <c r="U5804">
        <v>-0.39036559999999998</v>
      </c>
      <c r="V5804">
        <v>8.0890310000000007E-2</v>
      </c>
      <c r="W5804">
        <v>0.22394500000000001</v>
      </c>
      <c r="X5804">
        <v>0.97123910000000002</v>
      </c>
      <c r="Y5804">
        <v>0.13656960000000001</v>
      </c>
      <c r="Z5804">
        <v>-1.9569530000000002E-2</v>
      </c>
      <c r="AA5804">
        <v>0.99043720000000002</v>
      </c>
      <c r="AB5804">
        <v>16</v>
      </c>
      <c r="AC5804">
        <v>0.47920000000000501</v>
      </c>
      <c r="AD5804">
        <v>-0.149181699999999</v>
      </c>
      <c r="AE5804">
        <v>-9.1999999999984497E-2</v>
      </c>
      <c r="AF5804">
        <v>9.2153350581763105E-2</v>
      </c>
      <c r="AG5804">
        <v>-0.149181699999999</v>
      </c>
      <c r="AH5804">
        <v>0.43662182515541398</v>
      </c>
      <c r="AI5804">
        <v>108.485174128857</v>
      </c>
      <c r="AJ5804">
        <v>78.082071505711198</v>
      </c>
      <c r="AK5804">
        <v>0.47051677742709702</v>
      </c>
      <c r="AL5804">
        <v>77.059151832736603</v>
      </c>
      <c r="AM5804">
        <v>85.2390697596895</v>
      </c>
      <c r="AN5804">
        <v>0.99999999732285305</v>
      </c>
    </row>
    <row r="5805" spans="1:40" x14ac:dyDescent="0.25">
      <c r="A5805" t="str">
        <f>"20190303170930896"</f>
        <v>20190303170930896</v>
      </c>
      <c r="B5805" t="str">
        <f>"1551604170889541"</f>
        <v>1551604170889541</v>
      </c>
      <c r="C5805" t="s">
        <v>40</v>
      </c>
      <c r="D5805">
        <v>5.3923730000000001</v>
      </c>
      <c r="E5805">
        <v>0.5382209</v>
      </c>
      <c r="F5805" t="s">
        <v>47</v>
      </c>
      <c r="G5805">
        <v>-116.6981</v>
      </c>
      <c r="H5805">
        <v>0.96090129999999996</v>
      </c>
      <c r="I5805">
        <v>138.02109999999999</v>
      </c>
      <c r="J5805">
        <v>-117.2169</v>
      </c>
      <c r="K5805">
        <v>1.123799</v>
      </c>
      <c r="L5805">
        <v>138.11869999999999</v>
      </c>
      <c r="M5805">
        <v>0.99934449999999997</v>
      </c>
      <c r="N5805">
        <v>-3.0855509999999999E-2</v>
      </c>
      <c r="O5805">
        <v>1.8938690000000001E-2</v>
      </c>
      <c r="P5805">
        <v>0.9785239</v>
      </c>
      <c r="Q5805">
        <v>0.19493170000000001</v>
      </c>
      <c r="R5805">
        <v>-6.7026500000000003E-2</v>
      </c>
      <c r="S5805">
        <v>3.1758730000000002</v>
      </c>
      <c r="T5805">
        <v>-0.69219830000000004</v>
      </c>
      <c r="U5805">
        <v>-0.39350889999999999</v>
      </c>
      <c r="V5805">
        <v>8.5484270000000001E-2</v>
      </c>
      <c r="W5805">
        <v>0.2250142</v>
      </c>
      <c r="X5805">
        <v>0.97059830000000002</v>
      </c>
      <c r="Y5805">
        <v>0.1377688</v>
      </c>
      <c r="Z5805">
        <v>-2.0436340000000001E-2</v>
      </c>
      <c r="AA5805">
        <v>0.99025359999999996</v>
      </c>
      <c r="AB5805">
        <v>16</v>
      </c>
      <c r="AC5805">
        <v>0.51879999999999804</v>
      </c>
      <c r="AD5805">
        <v>-0.16289769999999901</v>
      </c>
      <c r="AE5805">
        <v>-9.7599999999999895E-2</v>
      </c>
      <c r="AF5805">
        <v>9.8074004627940595E-2</v>
      </c>
      <c r="AG5805">
        <v>-0.16289769999999901</v>
      </c>
      <c r="AH5805">
        <v>0.47192149430379599</v>
      </c>
      <c r="AI5805">
        <v>108.67313610267</v>
      </c>
      <c r="AJ5805">
        <v>78.2599861675818</v>
      </c>
      <c r="AK5805">
        <v>0.50878685894486197</v>
      </c>
      <c r="AL5805">
        <v>76.996286894911606</v>
      </c>
      <c r="AM5805">
        <v>84.966731128310201</v>
      </c>
      <c r="AN5805">
        <v>1.0000000052909801</v>
      </c>
    </row>
    <row r="5806" spans="1:40" x14ac:dyDescent="0.25">
      <c r="A5806" t="str">
        <f>"20190303170930926"</f>
        <v>20190303170930926</v>
      </c>
      <c r="B5806" t="str">
        <f>"1551604170919797"</f>
        <v>1551604170919797</v>
      </c>
      <c r="C5806" t="s">
        <v>40</v>
      </c>
      <c r="D5806">
        <v>5.3732620000000004</v>
      </c>
      <c r="E5806">
        <v>0.538157</v>
      </c>
      <c r="F5806" t="s">
        <v>47</v>
      </c>
      <c r="G5806">
        <v>-116.43940000000001</v>
      </c>
      <c r="H5806">
        <v>0.95239569999999996</v>
      </c>
      <c r="I5806">
        <v>138.02109999999999</v>
      </c>
      <c r="J5806">
        <v>-117.02330000000001</v>
      </c>
      <c r="K5806">
        <v>1.1239779999999999</v>
      </c>
      <c r="L5806">
        <v>138.12299999999999</v>
      </c>
      <c r="M5806">
        <v>0.99931760000000003</v>
      </c>
      <c r="N5806">
        <v>-3.1388979999999997E-2</v>
      </c>
      <c r="O5806">
        <v>1.9468829999999999E-2</v>
      </c>
      <c r="P5806">
        <v>0.97831800000000002</v>
      </c>
      <c r="Q5806">
        <v>0.1952689</v>
      </c>
      <c r="R5806">
        <v>-6.9021429999999995E-2</v>
      </c>
      <c r="S5806">
        <v>3.1781459999999999</v>
      </c>
      <c r="T5806">
        <v>-0.70076319999999903</v>
      </c>
      <c r="U5806">
        <v>-0.3984375</v>
      </c>
      <c r="V5806">
        <v>8.7993849999999998E-2</v>
      </c>
      <c r="W5806">
        <v>0.22586059999999999</v>
      </c>
      <c r="X5806">
        <v>0.97017739999999997</v>
      </c>
      <c r="Y5806">
        <v>0.13956779999999999</v>
      </c>
      <c r="Z5806">
        <v>-2.1000390000000001E-2</v>
      </c>
      <c r="AA5806">
        <v>0.98998980000000003</v>
      </c>
      <c r="AB5806">
        <v>15</v>
      </c>
      <c r="AC5806">
        <v>0.58389999999999898</v>
      </c>
      <c r="AD5806">
        <v>-0.17158229999999999</v>
      </c>
      <c r="AE5806">
        <v>-0.1019</v>
      </c>
      <c r="AF5806">
        <v>0.10449735252556</v>
      </c>
      <c r="AG5806">
        <v>-0.17158229999999999</v>
      </c>
      <c r="AH5806">
        <v>0.53681945871674996</v>
      </c>
      <c r="AI5806">
        <v>107.41865760815099</v>
      </c>
      <c r="AJ5806">
        <v>78.984551259904904</v>
      </c>
      <c r="AK5806">
        <v>0.57318000105995204</v>
      </c>
      <c r="AL5806">
        <v>76.946511079931398</v>
      </c>
      <c r="AM5806">
        <v>84.817525789518797</v>
      </c>
      <c r="AN5806">
        <v>1.00000005787046</v>
      </c>
    </row>
    <row r="5807" spans="1:40" x14ac:dyDescent="0.25">
      <c r="A5807" t="str">
        <f>"20190303170930951"</f>
        <v>20190303170930951</v>
      </c>
      <c r="B5807" t="str">
        <f>"1551604170940293"</f>
        <v>1551604170940293</v>
      </c>
      <c r="C5807" t="s">
        <v>40</v>
      </c>
      <c r="D5807">
        <v>5.3848839999999996</v>
      </c>
      <c r="E5807">
        <v>0.53817019999999904</v>
      </c>
      <c r="F5807" t="s">
        <v>47</v>
      </c>
      <c r="G5807">
        <v>-116.30759999999999</v>
      </c>
      <c r="H5807">
        <v>0.965499</v>
      </c>
      <c r="I5807">
        <v>138.0325</v>
      </c>
      <c r="J5807">
        <v>-116.8725</v>
      </c>
      <c r="K5807">
        <v>1.1240300000000001</v>
      </c>
      <c r="L5807">
        <v>138.12649999999999</v>
      </c>
      <c r="M5807">
        <v>0.99930200000000002</v>
      </c>
      <c r="N5807">
        <v>-3.1610590000000001E-2</v>
      </c>
      <c r="O5807">
        <v>1.9905539999999999E-2</v>
      </c>
      <c r="P5807">
        <v>0.9784235</v>
      </c>
      <c r="Q5807">
        <v>0.1942892</v>
      </c>
      <c r="R5807">
        <v>-7.0281259999999998E-2</v>
      </c>
      <c r="S5807">
        <v>3.1785890000000001</v>
      </c>
      <c r="T5807">
        <v>-0.70380019999999999</v>
      </c>
      <c r="U5807">
        <v>-0.40220640000000002</v>
      </c>
      <c r="V5807">
        <v>8.9683830000000006E-2</v>
      </c>
      <c r="W5807">
        <v>0.22509779999999999</v>
      </c>
      <c r="X5807">
        <v>0.9701999</v>
      </c>
      <c r="Y5807">
        <v>0.1410554</v>
      </c>
      <c r="Z5807">
        <v>-2.1358019999999998E-2</v>
      </c>
      <c r="AA5807">
        <v>0.98977130000000002</v>
      </c>
      <c r="AB5807">
        <v>14</v>
      </c>
      <c r="AC5807">
        <v>0.56490000000000795</v>
      </c>
      <c r="AD5807">
        <v>-0.15853099999999901</v>
      </c>
      <c r="AE5807">
        <v>-9.3999999999994005E-2</v>
      </c>
      <c r="AF5807">
        <v>9.7741280602758995E-2</v>
      </c>
      <c r="AG5807">
        <v>-0.15853099999999901</v>
      </c>
      <c r="AH5807">
        <v>0.52284781053634199</v>
      </c>
      <c r="AI5807">
        <v>106.596355409377</v>
      </c>
      <c r="AJ5807">
        <v>79.411332058217795</v>
      </c>
      <c r="AK5807">
        <v>0.55502726858913298</v>
      </c>
      <c r="AL5807">
        <v>76.991371143975897</v>
      </c>
      <c r="AM5807">
        <v>84.718672340658898</v>
      </c>
      <c r="AN5807">
        <v>1.0000000274441501</v>
      </c>
    </row>
    <row r="5808" spans="1:40" x14ac:dyDescent="0.25">
      <c r="A5808" t="str">
        <f>"20190303170930985"</f>
        <v>20190303170930985</v>
      </c>
      <c r="B5808" t="str">
        <f>"1551604170980309"</f>
        <v>1551604170980309</v>
      </c>
      <c r="C5808" t="s">
        <v>40</v>
      </c>
      <c r="D5808">
        <v>5.3445529999999897</v>
      </c>
      <c r="E5808">
        <v>0.53922780000000003</v>
      </c>
      <c r="F5808" t="s">
        <v>47</v>
      </c>
      <c r="G5808">
        <v>-116.0729</v>
      </c>
      <c r="H5808">
        <v>0.94555429999999996</v>
      </c>
      <c r="I5808">
        <v>138.02459999999999</v>
      </c>
      <c r="J5808">
        <v>-116.6647</v>
      </c>
      <c r="K5808">
        <v>1.1238220000000001</v>
      </c>
      <c r="L5808">
        <v>138.13140000000001</v>
      </c>
      <c r="M5808">
        <v>0.99931409999999998</v>
      </c>
      <c r="N5808">
        <v>-3.0826289999999999E-2</v>
      </c>
      <c r="O5808">
        <v>2.0527030000000002E-2</v>
      </c>
      <c r="P5808">
        <v>0.97823959999999999</v>
      </c>
      <c r="Q5808">
        <v>0.19455919999999999</v>
      </c>
      <c r="R5808">
        <v>-7.207181E-2</v>
      </c>
      <c r="S5808">
        <v>3.1779630000000001</v>
      </c>
      <c r="T5808">
        <v>-0.70937720000000004</v>
      </c>
      <c r="U5808">
        <v>-0.40467829999999999</v>
      </c>
      <c r="V5808">
        <v>9.207129E-2</v>
      </c>
      <c r="W5808">
        <v>0.2246012</v>
      </c>
      <c r="X5808">
        <v>0.97009129999999999</v>
      </c>
      <c r="Y5808">
        <v>0.14235</v>
      </c>
      <c r="Z5808">
        <v>-2.1753229999999998E-2</v>
      </c>
      <c r="AA5808">
        <v>0.98957729999999999</v>
      </c>
      <c r="AB5808">
        <v>14</v>
      </c>
      <c r="AC5808">
        <v>0.591799999999992</v>
      </c>
      <c r="AD5808">
        <v>-0.178267699999999</v>
      </c>
      <c r="AE5808">
        <v>-0.106800000000021</v>
      </c>
      <c r="AF5808">
        <v>0.109324044621843</v>
      </c>
      <c r="AG5808">
        <v>-0.178267699999999</v>
      </c>
      <c r="AH5808">
        <v>0.54186428996909497</v>
      </c>
      <c r="AI5808">
        <v>107.874069744919</v>
      </c>
      <c r="AJ5808">
        <v>78.593391786334195</v>
      </c>
      <c r="AK5808">
        <v>0.58081669082377496</v>
      </c>
      <c r="AL5808">
        <v>77.020571277552193</v>
      </c>
      <c r="AM5808">
        <v>84.578302449319096</v>
      </c>
      <c r="AN5808">
        <v>0.99999997590969603</v>
      </c>
    </row>
    <row r="5809" spans="1:40" x14ac:dyDescent="0.25">
      <c r="A5809" t="str">
        <f>"20190303170931016"</f>
        <v>20190303170931016</v>
      </c>
      <c r="B5809" t="str">
        <f>"1551604171009588"</f>
        <v>1551604171009588</v>
      </c>
      <c r="C5809" t="s">
        <v>40</v>
      </c>
      <c r="D5809">
        <v>5.353091</v>
      </c>
      <c r="E5809">
        <v>0.53992459999999998</v>
      </c>
      <c r="F5809" t="s">
        <v>47</v>
      </c>
      <c r="G5809">
        <v>-115.9448</v>
      </c>
      <c r="H5809">
        <v>0.96299990000000002</v>
      </c>
      <c r="I5809">
        <v>138.03710000000001</v>
      </c>
      <c r="J5809">
        <v>-116.4853</v>
      </c>
      <c r="K5809">
        <v>1.1236980000000001</v>
      </c>
      <c r="L5809">
        <v>138.13570000000001</v>
      </c>
      <c r="M5809">
        <v>0.99932120000000002</v>
      </c>
      <c r="N5809">
        <v>-3.0234919999999998E-2</v>
      </c>
      <c r="O5809">
        <v>2.105102E-2</v>
      </c>
      <c r="P5809">
        <v>0.97803260000000003</v>
      </c>
      <c r="Q5809">
        <v>0.1953935</v>
      </c>
      <c r="R5809">
        <v>-7.2622220000000001E-2</v>
      </c>
      <c r="S5809">
        <v>3.1773069999999999</v>
      </c>
      <c r="T5809">
        <v>-0.70994440000000003</v>
      </c>
      <c r="U5809">
        <v>-0.4156647</v>
      </c>
      <c r="V5809">
        <v>9.3133259999999995E-2</v>
      </c>
      <c r="W5809">
        <v>0.22485160000000001</v>
      </c>
      <c r="X5809">
        <v>0.96993200000000002</v>
      </c>
      <c r="Y5809">
        <v>0.14614479999999999</v>
      </c>
      <c r="Z5809">
        <v>-2.231358E-2</v>
      </c>
      <c r="AA5809">
        <v>0.98901150000000004</v>
      </c>
      <c r="AB5809">
        <v>14</v>
      </c>
      <c r="AC5809">
        <v>0.54049999999999399</v>
      </c>
      <c r="AD5809">
        <v>-0.16069809999999901</v>
      </c>
      <c r="AE5809">
        <v>-9.8600000000004601E-2</v>
      </c>
      <c r="AF5809">
        <v>0.101295707566521</v>
      </c>
      <c r="AG5809">
        <v>-0.16069809999999901</v>
      </c>
      <c r="AH5809">
        <v>0.49588157907021002</v>
      </c>
      <c r="AI5809">
        <v>107.615095997759</v>
      </c>
      <c r="AJ5809">
        <v>78.454799283769503</v>
      </c>
      <c r="AK5809">
        <v>0.53102094137253797</v>
      </c>
      <c r="AL5809">
        <v>77.005848998793994</v>
      </c>
      <c r="AM5809">
        <v>84.515251316290303</v>
      </c>
      <c r="AN5809">
        <v>1.0000000653823899</v>
      </c>
    </row>
    <row r="5810" spans="1:40" x14ac:dyDescent="0.25">
      <c r="A5810" t="str">
        <f>"20190303170931036"</f>
        <v>20190303170931036</v>
      </c>
      <c r="B5810" t="str">
        <f>"1551604171030085"</f>
        <v>1551604171030085</v>
      </c>
      <c r="C5810" t="s">
        <v>40</v>
      </c>
      <c r="D5810">
        <v>5.3268709999999997</v>
      </c>
      <c r="E5810">
        <v>0.54027579999999997</v>
      </c>
      <c r="F5810" t="s">
        <v>47</v>
      </c>
      <c r="G5810">
        <v>-115.7182</v>
      </c>
      <c r="H5810">
        <v>0.95293329999999998</v>
      </c>
      <c r="I5810">
        <v>138.03380000000001</v>
      </c>
      <c r="J5810">
        <v>-116.3625</v>
      </c>
      <c r="K5810">
        <v>1.1236820000000001</v>
      </c>
      <c r="L5810">
        <v>138.1388</v>
      </c>
      <c r="M5810">
        <v>0.99931890000000001</v>
      </c>
      <c r="N5810">
        <v>-3.0051810000000002E-2</v>
      </c>
      <c r="O5810">
        <v>2.141448E-2</v>
      </c>
      <c r="P5810">
        <v>0.97801700000000003</v>
      </c>
      <c r="Q5810">
        <v>0.19547690000000001</v>
      </c>
      <c r="R5810">
        <v>-7.2605520000000007E-2</v>
      </c>
      <c r="S5810">
        <v>3.1773829999999998</v>
      </c>
      <c r="T5810">
        <v>-0.70734410000000003</v>
      </c>
      <c r="U5810">
        <v>-0.42158509999999999</v>
      </c>
      <c r="V5810">
        <v>9.3480859999999999E-2</v>
      </c>
      <c r="W5810">
        <v>0.2247517</v>
      </c>
      <c r="X5810">
        <v>0.96992160000000005</v>
      </c>
      <c r="Y5810">
        <v>0.14828129999999901</v>
      </c>
      <c r="Z5810">
        <v>-2.2562450000000001E-2</v>
      </c>
      <c r="AA5810">
        <v>0.98868780000000001</v>
      </c>
      <c r="AB5810">
        <v>13</v>
      </c>
      <c r="AC5810">
        <v>0.64430000000000098</v>
      </c>
      <c r="AD5810">
        <v>-0.170748699999999</v>
      </c>
      <c r="AE5810">
        <v>-0.104999999999989</v>
      </c>
      <c r="AF5810">
        <v>0.11117348801317201</v>
      </c>
      <c r="AG5810">
        <v>-0.170748699999999</v>
      </c>
      <c r="AH5810">
        <v>0.600798609067143</v>
      </c>
      <c r="AI5810">
        <v>105.613483217135</v>
      </c>
      <c r="AJ5810">
        <v>79.516407893048907</v>
      </c>
      <c r="AK5810">
        <v>0.63440809550770905</v>
      </c>
      <c r="AL5810">
        <v>77.011721727556704</v>
      </c>
      <c r="AM5810">
        <v>84.49484752027</v>
      </c>
      <c r="AN5810">
        <v>0.99999995399289299</v>
      </c>
    </row>
    <row r="5811" spans="1:40" x14ac:dyDescent="0.25">
      <c r="A5811" t="str">
        <f>"20190303170931059"</f>
        <v>20190303170931059</v>
      </c>
      <c r="B5811" t="str">
        <f>"1551604171050581"</f>
        <v>1551604171050581</v>
      </c>
      <c r="C5811" t="s">
        <v>40</v>
      </c>
      <c r="D5811">
        <v>5.3518660000000002</v>
      </c>
      <c r="E5811">
        <v>0.54060819999999998</v>
      </c>
      <c r="F5811" t="s">
        <v>47</v>
      </c>
      <c r="G5811">
        <v>-115.6056</v>
      </c>
      <c r="H5811">
        <v>0.95513979999999998</v>
      </c>
      <c r="I5811">
        <v>138.03809999999999</v>
      </c>
      <c r="J5811">
        <v>-116.2392</v>
      </c>
      <c r="K5811">
        <v>1.1236649999999999</v>
      </c>
      <c r="L5811">
        <v>138.14179999999999</v>
      </c>
      <c r="M5811">
        <v>0.99931650000000005</v>
      </c>
      <c r="N5811">
        <v>-2.9869239999999998E-2</v>
      </c>
      <c r="O5811">
        <v>2.1780420000000002E-2</v>
      </c>
      <c r="P5811">
        <v>0.97797449999999997</v>
      </c>
      <c r="Q5811">
        <v>0.19610359999999999</v>
      </c>
      <c r="R5811">
        <v>-7.1482500000000004E-2</v>
      </c>
      <c r="S5811">
        <v>3.1774749999999998</v>
      </c>
      <c r="T5811">
        <v>-0.70754669999999997</v>
      </c>
      <c r="U5811">
        <v>-0.42259219999999997</v>
      </c>
      <c r="V5811">
        <v>9.2722970000000002E-2</v>
      </c>
      <c r="W5811">
        <v>0.22519539999999999</v>
      </c>
      <c r="X5811">
        <v>0.96989150000000002</v>
      </c>
      <c r="Y5811">
        <v>0.14892330000000001</v>
      </c>
      <c r="Z5811">
        <v>-2.270695E-2</v>
      </c>
      <c r="AA5811">
        <v>0.98858800000000002</v>
      </c>
      <c r="AB5811">
        <v>13</v>
      </c>
      <c r="AC5811">
        <v>0.63360000000000105</v>
      </c>
      <c r="AD5811">
        <v>-0.16852519999999899</v>
      </c>
      <c r="AE5811">
        <v>-0.103700000000003</v>
      </c>
      <c r="AF5811">
        <v>0.109908894612488</v>
      </c>
      <c r="AG5811">
        <v>-0.16852519999999899</v>
      </c>
      <c r="AH5811">
        <v>0.59050421227701899</v>
      </c>
      <c r="AI5811">
        <v>105.67270770103799</v>
      </c>
      <c r="AJ5811">
        <v>79.456347994789795</v>
      </c>
      <c r="AK5811">
        <v>0.623839669199452</v>
      </c>
      <c r="AL5811">
        <v>76.985631611236002</v>
      </c>
      <c r="AM5811">
        <v>84.539040848869206</v>
      </c>
      <c r="AN5811">
        <v>1.00000001955951</v>
      </c>
    </row>
    <row r="5812" spans="1:40" x14ac:dyDescent="0.25">
      <c r="A5812" t="str">
        <f>"20190303170931097"</f>
        <v>20190303170931097</v>
      </c>
      <c r="B5812" t="str">
        <f>"1551604171089621"</f>
        <v>1551604171089621</v>
      </c>
      <c r="C5812" t="s">
        <v>40</v>
      </c>
      <c r="D5812">
        <v>5.3106559999999998</v>
      </c>
      <c r="E5812">
        <v>0.54081330000000005</v>
      </c>
      <c r="F5812" t="s">
        <v>47</v>
      </c>
      <c r="G5812">
        <v>-115.4948</v>
      </c>
      <c r="H5812">
        <v>0.95842839999999996</v>
      </c>
      <c r="I5812">
        <v>138.04300000000001</v>
      </c>
      <c r="J5812">
        <v>-116.0398</v>
      </c>
      <c r="K5812">
        <v>1.123597</v>
      </c>
      <c r="L5812">
        <v>138.14689999999999</v>
      </c>
      <c r="M5812">
        <v>0.99931829999999999</v>
      </c>
      <c r="N5812">
        <v>-2.939317E-2</v>
      </c>
      <c r="O5812">
        <v>2.2338520000000001E-2</v>
      </c>
      <c r="P5812">
        <v>0.97822249999999999</v>
      </c>
      <c r="Q5812">
        <v>0.1957528</v>
      </c>
      <c r="R5812">
        <v>-6.9006479999999995E-2</v>
      </c>
      <c r="S5812">
        <v>3.1782840000000001</v>
      </c>
      <c r="T5812">
        <v>-0.70564659999999901</v>
      </c>
      <c r="U5812">
        <v>-0.42109679999999999</v>
      </c>
      <c r="V5812">
        <v>9.0803439999999999E-2</v>
      </c>
      <c r="W5812">
        <v>0.2243879</v>
      </c>
      <c r="X5812">
        <v>0.97026020000000002</v>
      </c>
      <c r="Y5812">
        <v>0.14900329999999901</v>
      </c>
      <c r="Z5812">
        <v>-2.2736619999999999E-2</v>
      </c>
      <c r="AA5812">
        <v>0.98857530000000005</v>
      </c>
      <c r="AB5812">
        <v>12</v>
      </c>
      <c r="AC5812">
        <v>0.54500000000000104</v>
      </c>
      <c r="AD5812">
        <v>-0.1651686</v>
      </c>
      <c r="AE5812">
        <v>-0.10389999999998099</v>
      </c>
      <c r="AF5812">
        <v>0.106605830106688</v>
      </c>
      <c r="AG5812">
        <v>-0.1651686</v>
      </c>
      <c r="AH5812">
        <v>0.49837340450252998</v>
      </c>
      <c r="AI5812">
        <v>107.95667074609</v>
      </c>
      <c r="AJ5812">
        <v>77.925960922738398</v>
      </c>
      <c r="AK5812">
        <v>0.53574389380947496</v>
      </c>
      <c r="AL5812">
        <v>77.033113228300095</v>
      </c>
      <c r="AM5812">
        <v>84.653450581661403</v>
      </c>
      <c r="AN5812">
        <v>1.00000002504314</v>
      </c>
    </row>
    <row r="5813" spans="1:40" x14ac:dyDescent="0.25">
      <c r="A5813" t="str">
        <f>"20190303170931127"</f>
        <v>20190303170931127</v>
      </c>
      <c r="B5813" t="str">
        <f>"1551604171119877"</f>
        <v>1551604171119877</v>
      </c>
      <c r="C5813" t="s">
        <v>40</v>
      </c>
      <c r="D5813">
        <v>5.2791350000000001</v>
      </c>
      <c r="E5813">
        <v>0.54084100000000002</v>
      </c>
      <c r="F5813" t="s">
        <v>47</v>
      </c>
      <c r="G5813">
        <v>-115.2843</v>
      </c>
      <c r="H5813">
        <v>0.95560460000000003</v>
      </c>
      <c r="I5813">
        <v>138.04849999999999</v>
      </c>
      <c r="J5813">
        <v>-115.87949999999999</v>
      </c>
      <c r="K5813">
        <v>1.123559</v>
      </c>
      <c r="L5813">
        <v>138.15110000000001</v>
      </c>
      <c r="M5813">
        <v>0.99931919999999996</v>
      </c>
      <c r="N5813">
        <v>-2.9029030000000001E-2</v>
      </c>
      <c r="O5813">
        <v>2.2772980000000002E-2</v>
      </c>
      <c r="P5813">
        <v>0.97844390000000003</v>
      </c>
      <c r="Q5813">
        <v>0.1951938</v>
      </c>
      <c r="R5813">
        <v>-6.7432389999999995E-2</v>
      </c>
      <c r="S5813">
        <v>3.1790769999999999</v>
      </c>
      <c r="T5813">
        <v>-0.70700759999999996</v>
      </c>
      <c r="U5813">
        <v>-0.41380309999999998</v>
      </c>
      <c r="V5813">
        <v>8.9664969999999997E-2</v>
      </c>
      <c r="W5813">
        <v>0.22347929999999999</v>
      </c>
      <c r="X5813">
        <v>0.97057570000000004</v>
      </c>
      <c r="Y5813">
        <v>0.14720079999999999</v>
      </c>
      <c r="Z5813">
        <v>-2.2613270000000001E-2</v>
      </c>
      <c r="AA5813">
        <v>0.98884810000000001</v>
      </c>
      <c r="AB5813">
        <v>12</v>
      </c>
      <c r="AC5813">
        <v>0.59519999999999096</v>
      </c>
      <c r="AD5813">
        <v>-0.167954399999999</v>
      </c>
      <c r="AE5813">
        <v>-0.10260000000002301</v>
      </c>
      <c r="AF5813">
        <v>0.107797715575112</v>
      </c>
      <c r="AG5813">
        <v>-0.167954399999999</v>
      </c>
      <c r="AH5813">
        <v>0.55016456940989</v>
      </c>
      <c r="AI5813">
        <v>106.677360656489</v>
      </c>
      <c r="AJ5813">
        <v>78.914068532871894</v>
      </c>
      <c r="AK5813">
        <v>0.58524360859093705</v>
      </c>
      <c r="AL5813">
        <v>77.086528322273196</v>
      </c>
      <c r="AM5813">
        <v>84.721809610969999</v>
      </c>
      <c r="AN5813">
        <v>0.99999999690204</v>
      </c>
    </row>
    <row r="5814" spans="1:40" x14ac:dyDescent="0.25">
      <c r="A5814" t="str">
        <f>"20190303170931150"</f>
        <v>20190303170931150</v>
      </c>
      <c r="B5814" t="str">
        <f>"1551604171140373"</f>
        <v>1551604171140373</v>
      </c>
      <c r="C5814" t="s">
        <v>40</v>
      </c>
      <c r="D5814">
        <v>5.2450409999999996</v>
      </c>
      <c r="E5814">
        <v>0.54085179999999999</v>
      </c>
      <c r="F5814" t="s">
        <v>47</v>
      </c>
      <c r="G5814">
        <v>-115.17659999999999</v>
      </c>
      <c r="H5814">
        <v>0.9669894</v>
      </c>
      <c r="I5814">
        <v>138.06059999999999</v>
      </c>
      <c r="J5814">
        <v>-115.7701</v>
      </c>
      <c r="K5814">
        <v>1.1235459999999999</v>
      </c>
      <c r="L5814">
        <v>138.154</v>
      </c>
      <c r="M5814">
        <v>0.99931740000000002</v>
      </c>
      <c r="N5814">
        <v>-2.8847749999999998E-2</v>
      </c>
      <c r="O5814">
        <v>2.3077460000000001E-2</v>
      </c>
      <c r="P5814">
        <v>0.97834690000000002</v>
      </c>
      <c r="Q5814">
        <v>0.19592270000000001</v>
      </c>
      <c r="R5814">
        <v>-6.6719700000000007E-2</v>
      </c>
      <c r="S5814">
        <v>3.1791689999999999</v>
      </c>
      <c r="T5814">
        <v>-0.70814350000000004</v>
      </c>
      <c r="U5814">
        <v>-0.40919489999999997</v>
      </c>
      <c r="V5814">
        <v>8.92535E-2</v>
      </c>
      <c r="W5814">
        <v>0.2240268</v>
      </c>
      <c r="X5814">
        <v>0.9704874</v>
      </c>
      <c r="Y5814">
        <v>0.14610100000000001</v>
      </c>
      <c r="Z5814">
        <v>-2.25594E-2</v>
      </c>
      <c r="AA5814">
        <v>0.98901240000000001</v>
      </c>
      <c r="AB5814">
        <v>12</v>
      </c>
      <c r="AC5814">
        <v>0.59350000000000502</v>
      </c>
      <c r="AD5814">
        <v>-0.15655659999999899</v>
      </c>
      <c r="AE5814">
        <v>-9.3400000000002606E-2</v>
      </c>
      <c r="AF5814">
        <v>0.10026891230017999</v>
      </c>
      <c r="AG5814">
        <v>-0.15655659999999899</v>
      </c>
      <c r="AH5814">
        <v>0.55359572650428002</v>
      </c>
      <c r="AI5814">
        <v>105.550391428683</v>
      </c>
      <c r="AJ5814">
        <v>79.733715284628104</v>
      </c>
      <c r="AK5814">
        <v>0.58397949637056901</v>
      </c>
      <c r="AL5814">
        <v>77.054342809093896</v>
      </c>
      <c r="AM5814">
        <v>84.745419837251802</v>
      </c>
      <c r="AN5814">
        <v>0.99999999396962402</v>
      </c>
    </row>
    <row r="5815" spans="1:40" x14ac:dyDescent="0.25">
      <c r="A5815" t="str">
        <f>"20190303170931176"</f>
        <v>20190303170931176</v>
      </c>
      <c r="B5815" t="str">
        <f>"1551604171169653"</f>
        <v>1551604171169653</v>
      </c>
      <c r="C5815" t="s">
        <v>40</v>
      </c>
      <c r="D5815">
        <v>5.2219610000000003</v>
      </c>
      <c r="E5815">
        <v>0.54095669999999996</v>
      </c>
      <c r="F5815" t="s">
        <v>47</v>
      </c>
      <c r="G5815">
        <v>-114.9872</v>
      </c>
      <c r="H5815">
        <v>0.94983289999999998</v>
      </c>
      <c r="I5815">
        <v>138.05430000000001</v>
      </c>
      <c r="J5815">
        <v>-115.6404</v>
      </c>
      <c r="K5815">
        <v>1.1235440000000001</v>
      </c>
      <c r="L5815">
        <v>138.1574</v>
      </c>
      <c r="M5815">
        <v>0.99931449999999999</v>
      </c>
      <c r="N5815">
        <v>-2.8652440000000001E-2</v>
      </c>
      <c r="O5815">
        <v>2.3441279999999998E-2</v>
      </c>
      <c r="P5815">
        <v>0.97839889999999996</v>
      </c>
      <c r="Q5815">
        <v>0.19606229999999999</v>
      </c>
      <c r="R5815">
        <v>-6.5538199999999894E-2</v>
      </c>
      <c r="S5815">
        <v>3.1800989999999998</v>
      </c>
      <c r="T5815">
        <v>-0.70563359999999997</v>
      </c>
      <c r="U5815">
        <v>-0.40472409999999998</v>
      </c>
      <c r="V5815">
        <v>8.8433529999999996E-2</v>
      </c>
      <c r="W5815">
        <v>0.2239757</v>
      </c>
      <c r="X5815">
        <v>0.9705743</v>
      </c>
      <c r="Y5815">
        <v>0.14510999999999999</v>
      </c>
      <c r="Z5815">
        <v>-2.2418279999999999E-2</v>
      </c>
      <c r="AA5815">
        <v>0.98916150000000003</v>
      </c>
      <c r="AB5815">
        <v>11</v>
      </c>
      <c r="AC5815">
        <v>0.653199999999998</v>
      </c>
      <c r="AD5815">
        <v>-0.17371110000000001</v>
      </c>
      <c r="AE5815">
        <v>-0.103099999999983</v>
      </c>
      <c r="AF5815">
        <v>0.110747717489633</v>
      </c>
      <c r="AG5815">
        <v>-0.17371110000000001</v>
      </c>
      <c r="AH5815">
        <v>0.60860616518614197</v>
      </c>
      <c r="AI5815">
        <v>105.685436677575</v>
      </c>
      <c r="AJ5815">
        <v>79.686765133310004</v>
      </c>
      <c r="AK5815">
        <v>0.64252787293233904</v>
      </c>
      <c r="AL5815">
        <v>77.057347537172106</v>
      </c>
      <c r="AM5815">
        <v>84.793890626339007</v>
      </c>
      <c r="AN5815">
        <v>1.0000000376196101</v>
      </c>
    </row>
    <row r="5816" spans="1:40" x14ac:dyDescent="0.25">
      <c r="A5816" t="str">
        <f>"20190303170931208"</f>
        <v>20190303170931208</v>
      </c>
      <c r="B5816" t="str">
        <f>"1551604171199909"</f>
        <v>1551604171199909</v>
      </c>
      <c r="C5816" t="s">
        <v>40</v>
      </c>
      <c r="D5816">
        <v>5.1984629999999896</v>
      </c>
      <c r="E5816">
        <v>0.54103509999999999</v>
      </c>
      <c r="F5816" t="s">
        <v>47</v>
      </c>
      <c r="G5816">
        <v>-114.8887</v>
      </c>
      <c r="H5816">
        <v>0.95698989999999995</v>
      </c>
      <c r="I5816">
        <v>138.06219999999999</v>
      </c>
      <c r="J5816">
        <v>-115.4896</v>
      </c>
      <c r="K5816">
        <v>1.1235280000000001</v>
      </c>
      <c r="L5816">
        <v>138.16149999999999</v>
      </c>
      <c r="M5816">
        <v>0.9993109</v>
      </c>
      <c r="N5816">
        <v>-2.843499E-2</v>
      </c>
      <c r="O5816">
        <v>2.3857050000000001E-2</v>
      </c>
      <c r="P5816">
        <v>0.9787207</v>
      </c>
      <c r="Q5816">
        <v>0.1949359</v>
      </c>
      <c r="R5816">
        <v>-6.4075080000000006E-2</v>
      </c>
      <c r="S5816">
        <v>3.180466</v>
      </c>
      <c r="T5816">
        <v>-0.7046521</v>
      </c>
      <c r="U5816">
        <v>-0.40267940000000002</v>
      </c>
      <c r="V5816">
        <v>8.7386050000000007E-2</v>
      </c>
      <c r="W5816">
        <v>0.22264729999999999</v>
      </c>
      <c r="X5816">
        <v>0.97097469999999997</v>
      </c>
      <c r="Y5816">
        <v>0.1448941</v>
      </c>
      <c r="Z5816">
        <v>-2.242941E-2</v>
      </c>
      <c r="AA5816">
        <v>0.98919290000000004</v>
      </c>
      <c r="AB5816">
        <v>11</v>
      </c>
      <c r="AC5816">
        <v>0.60089999999999499</v>
      </c>
      <c r="AD5816">
        <v>-0.16653809999999999</v>
      </c>
      <c r="AE5816">
        <v>-9.92999999999995E-2</v>
      </c>
      <c r="AF5816">
        <v>0.105709419173579</v>
      </c>
      <c r="AG5816">
        <v>-0.16653809999999999</v>
      </c>
      <c r="AH5816">
        <v>0.55673249508705902</v>
      </c>
      <c r="AI5816">
        <v>106.377226655204</v>
      </c>
      <c r="AJ5816">
        <v>79.248961727811206</v>
      </c>
      <c r="AK5816">
        <v>0.59064413240079505</v>
      </c>
      <c r="AL5816">
        <v>77.135430660959898</v>
      </c>
      <c r="AM5816">
        <v>84.857333370166799</v>
      </c>
      <c r="AN5816">
        <v>1.0000000049859901</v>
      </c>
    </row>
    <row r="5817" spans="1:40" x14ac:dyDescent="0.25">
      <c r="A5817" t="str">
        <f>"20190303170931252"</f>
        <v>20190303170931252</v>
      </c>
      <c r="B5817" t="str">
        <f>"1551604171249686"</f>
        <v>1551604171249686</v>
      </c>
      <c r="C5817" t="s">
        <v>40</v>
      </c>
      <c r="D5817">
        <v>5.1555049999999998</v>
      </c>
      <c r="E5817">
        <v>0.50955829999999902</v>
      </c>
      <c r="F5817" t="s">
        <v>47</v>
      </c>
      <c r="G5817">
        <v>-114.7907</v>
      </c>
      <c r="H5817">
        <v>0.96789460000000005</v>
      </c>
      <c r="I5817">
        <v>138.07399999999899</v>
      </c>
      <c r="J5817">
        <v>-115.2991</v>
      </c>
      <c r="K5817">
        <v>1.123756</v>
      </c>
      <c r="L5817">
        <v>138.16669999999999</v>
      </c>
      <c r="M5817">
        <v>0.99927659999999996</v>
      </c>
      <c r="N5817">
        <v>-2.9197689999999998E-2</v>
      </c>
      <c r="O5817">
        <v>2.436806E-2</v>
      </c>
      <c r="P5817">
        <v>0.97872749999999997</v>
      </c>
      <c r="Q5817">
        <v>0.1948435</v>
      </c>
      <c r="R5817">
        <v>-6.4253320000000003E-2</v>
      </c>
      <c r="S5817">
        <v>3.1802060000000001</v>
      </c>
      <c r="T5817">
        <v>-0.70818210000000004</v>
      </c>
      <c r="U5817">
        <v>-0.39805600000000002</v>
      </c>
      <c r="V5817">
        <v>8.8073250000000006E-2</v>
      </c>
      <c r="W5817">
        <v>0.22329109999999999</v>
      </c>
      <c r="X5817">
        <v>0.97076479999999998</v>
      </c>
      <c r="Y5817">
        <v>0.1439587</v>
      </c>
      <c r="Z5817">
        <v>-2.2555039999999998E-2</v>
      </c>
      <c r="AA5817">
        <v>0.98932659999999994</v>
      </c>
      <c r="AB5817">
        <v>11</v>
      </c>
      <c r="AC5817">
        <v>0.50839999999999397</v>
      </c>
      <c r="AD5817">
        <v>-0.15586140000000001</v>
      </c>
      <c r="AE5817">
        <v>-9.2700000000007707E-2</v>
      </c>
      <c r="AF5817">
        <v>9.6306208795750803E-2</v>
      </c>
      <c r="AG5817">
        <v>-0.15586140000000001</v>
      </c>
      <c r="AH5817">
        <v>0.46380059384394701</v>
      </c>
      <c r="AI5817">
        <v>108.21296476491101</v>
      </c>
      <c r="AJ5817">
        <v>78.269474699425203</v>
      </c>
      <c r="AK5817">
        <v>0.49867690212458099</v>
      </c>
      <c r="AL5817">
        <v>77.097591697668406</v>
      </c>
      <c r="AM5817">
        <v>84.815996526812199</v>
      </c>
      <c r="AN5817">
        <v>1.0000000548118999</v>
      </c>
    </row>
    <row r="5818" spans="1:40" x14ac:dyDescent="0.25">
      <c r="A5818" t="str">
        <f>"20190303170931283"</f>
        <v>20190303170931283</v>
      </c>
      <c r="B5818" t="str">
        <f>"1551604171270181"</f>
        <v>1551604171270181</v>
      </c>
      <c r="C5818" t="s">
        <v>40</v>
      </c>
      <c r="D5818">
        <v>4.5182079999999996</v>
      </c>
      <c r="E5818">
        <v>0.50217749999999906</v>
      </c>
      <c r="F5818" t="s">
        <v>47</v>
      </c>
      <c r="G5818">
        <v>-114.5117</v>
      </c>
      <c r="H5818">
        <v>1.0124</v>
      </c>
      <c r="I5818">
        <v>138.12370000000001</v>
      </c>
      <c r="J5818">
        <v>-115.1724</v>
      </c>
      <c r="K5818">
        <v>1.1237980000000001</v>
      </c>
      <c r="L5818">
        <v>138.1703</v>
      </c>
      <c r="M5818">
        <v>0.99925940000000002</v>
      </c>
      <c r="N5818">
        <v>-2.9487059999999999E-2</v>
      </c>
      <c r="O5818">
        <v>2.47222E-2</v>
      </c>
      <c r="P5818">
        <v>0.97866850000000005</v>
      </c>
      <c r="Q5818">
        <v>0.19507910000000001</v>
      </c>
      <c r="R5818">
        <v>-6.4439159999999995E-2</v>
      </c>
      <c r="S5818">
        <v>3.1424560000000001</v>
      </c>
      <c r="T5818">
        <v>-0.44451570000000001</v>
      </c>
      <c r="U5818">
        <v>-0.17153929999999901</v>
      </c>
      <c r="V5818">
        <v>8.8606959999999999E-2</v>
      </c>
      <c r="W5818">
        <v>0.22380330000000001</v>
      </c>
      <c r="X5818">
        <v>0.97059819999999997</v>
      </c>
      <c r="Y5818">
        <v>7.8093170000000003E-2</v>
      </c>
      <c r="Z5818">
        <v>-9.4031449999999999E-3</v>
      </c>
      <c r="AA5818">
        <v>0.9969017</v>
      </c>
      <c r="AB5818">
        <v>10</v>
      </c>
      <c r="AC5818">
        <v>0.66069999999999096</v>
      </c>
      <c r="AD5818">
        <v>-0.111397999999999</v>
      </c>
      <c r="AE5818">
        <v>-4.6599999999983703E-2</v>
      </c>
      <c r="AF5818">
        <v>6.11957471052096E-2</v>
      </c>
      <c r="AG5818">
        <v>-0.111397999999999</v>
      </c>
      <c r="AH5818">
        <v>0.64120732610539299</v>
      </c>
      <c r="AI5818">
        <v>99.812005568809695</v>
      </c>
      <c r="AJ5818">
        <v>84.548299523714405</v>
      </c>
      <c r="AK5818">
        <v>0.65368285040912</v>
      </c>
      <c r="AL5818">
        <v>77.067481961898196</v>
      </c>
      <c r="AM5818">
        <v>84.783864753054999</v>
      </c>
      <c r="AN5818">
        <v>0.99999998814728497</v>
      </c>
    </row>
    <row r="5819" spans="1:40" x14ac:dyDescent="0.25">
      <c r="A5819" t="str">
        <f>"20190303170931318"</f>
        <v>20190303170931318</v>
      </c>
      <c r="B5819" t="str">
        <f>"1551604171310197"</f>
        <v>1551604171310197</v>
      </c>
      <c r="C5819" t="s">
        <v>40</v>
      </c>
      <c r="D5819">
        <v>4.6703029999999996</v>
      </c>
      <c r="E5819">
        <v>0.49847720000000001</v>
      </c>
      <c r="F5819" t="s">
        <v>47</v>
      </c>
      <c r="G5819">
        <v>-114.4282</v>
      </c>
      <c r="H5819">
        <v>1.0182800000000001</v>
      </c>
      <c r="I5819">
        <v>138.14330000000001</v>
      </c>
      <c r="J5819">
        <v>-115.03149999999999</v>
      </c>
      <c r="K5819">
        <v>1.1236330000000001</v>
      </c>
      <c r="L5819">
        <v>138.17429999999999</v>
      </c>
      <c r="M5819">
        <v>0.99926389999999998</v>
      </c>
      <c r="N5819">
        <v>-2.898941E-2</v>
      </c>
      <c r="O5819">
        <v>2.5129599999999998E-2</v>
      </c>
      <c r="P5819">
        <v>0.97881850000000004</v>
      </c>
      <c r="Q5819">
        <v>0.19427539999999999</v>
      </c>
      <c r="R5819">
        <v>-6.4589629999999995E-2</v>
      </c>
      <c r="S5819">
        <v>3.1468660000000002</v>
      </c>
      <c r="T5819">
        <v>-0.4462738</v>
      </c>
      <c r="U5819">
        <v>-0.11366270000000001</v>
      </c>
      <c r="V5819">
        <v>8.9155689999999996E-2</v>
      </c>
      <c r="W5819">
        <v>0.22252179999999999</v>
      </c>
      <c r="X5819">
        <v>0.9708426</v>
      </c>
      <c r="Y5819">
        <v>6.0321659999999999E-2</v>
      </c>
      <c r="Z5819">
        <v>-7.95417E-3</v>
      </c>
      <c r="AA5819">
        <v>0.99814729999999996</v>
      </c>
      <c r="AB5819">
        <v>9</v>
      </c>
      <c r="AC5819">
        <v>0.60329999999998996</v>
      </c>
      <c r="AD5819">
        <v>-0.105353</v>
      </c>
      <c r="AE5819">
        <v>-3.09999999999774E-2</v>
      </c>
      <c r="AF5819">
        <v>4.4794845471597303E-2</v>
      </c>
      <c r="AG5819">
        <v>-0.105353</v>
      </c>
      <c r="AH5819">
        <v>0.58455109059270605</v>
      </c>
      <c r="AI5819">
        <v>100.187436593016</v>
      </c>
      <c r="AJ5819">
        <v>85.617920549690297</v>
      </c>
      <c r="AK5819">
        <v>0.59565578172544098</v>
      </c>
      <c r="AL5819">
        <v>77.142806524073393</v>
      </c>
      <c r="AM5819">
        <v>84.753055645506507</v>
      </c>
      <c r="AN5819">
        <v>1.00000002125468</v>
      </c>
    </row>
    <row r="5820" spans="1:40" x14ac:dyDescent="0.25">
      <c r="A5820" t="str">
        <f>"20190303170931348"</f>
        <v>20190303170931348</v>
      </c>
      <c r="B5820" t="str">
        <f>"1551604171339477"</f>
        <v>1551604171339477</v>
      </c>
      <c r="C5820" t="s">
        <v>40</v>
      </c>
      <c r="D5820">
        <v>4.83453</v>
      </c>
      <c r="E5820">
        <v>0.49459029999999998</v>
      </c>
      <c r="F5820" t="s">
        <v>47</v>
      </c>
      <c r="G5820">
        <v>-114.2705</v>
      </c>
      <c r="H5820">
        <v>1.021083</v>
      </c>
      <c r="I5820">
        <v>138.1532</v>
      </c>
      <c r="J5820">
        <v>-114.92149999999999</v>
      </c>
      <c r="K5820">
        <v>1.1235120000000001</v>
      </c>
      <c r="L5820">
        <v>138.17750000000001</v>
      </c>
      <c r="M5820">
        <v>0.99926970000000004</v>
      </c>
      <c r="N5820">
        <v>-2.849838E-2</v>
      </c>
      <c r="O5820">
        <v>2.545176E-2</v>
      </c>
      <c r="P5820">
        <v>0.97888609999999998</v>
      </c>
      <c r="Q5820">
        <v>0.19419739999999999</v>
      </c>
      <c r="R5820">
        <v>-6.3789470000000001E-2</v>
      </c>
      <c r="S5820">
        <v>3.143265</v>
      </c>
      <c r="T5820">
        <v>-0.42365419999999998</v>
      </c>
      <c r="U5820">
        <v>-8.7051390000000006E-2</v>
      </c>
      <c r="V5820">
        <v>8.8672440000000005E-2</v>
      </c>
      <c r="W5820">
        <v>0.22196850000000001</v>
      </c>
      <c r="X5820">
        <v>0.97101349999999997</v>
      </c>
      <c r="Y5820">
        <v>5.2409579999999997E-2</v>
      </c>
      <c r="Z5820">
        <v>-6.9581280000000001E-3</v>
      </c>
      <c r="AA5820">
        <v>0.99860139999999997</v>
      </c>
      <c r="AB5820">
        <v>9</v>
      </c>
      <c r="AC5820">
        <v>0.65099999999999603</v>
      </c>
      <c r="AD5820">
        <v>-0.10242900000000001</v>
      </c>
      <c r="AE5820">
        <v>-2.4300000000010799E-2</v>
      </c>
      <c r="AF5820">
        <v>3.9881998080583202E-2</v>
      </c>
      <c r="AG5820">
        <v>-0.10242900000000001</v>
      </c>
      <c r="AH5820">
        <v>0.63448463873706096</v>
      </c>
      <c r="AI5820">
        <v>99.152754662815795</v>
      </c>
      <c r="AJ5820">
        <v>86.403273342711003</v>
      </c>
      <c r="AK5820">
        <v>0.64393557954596603</v>
      </c>
      <c r="AL5820">
        <v>77.175321393538397</v>
      </c>
      <c r="AM5820">
        <v>84.782251589582401</v>
      </c>
      <c r="AN5820">
        <v>1.00000001689502</v>
      </c>
    </row>
    <row r="5821" spans="1:40" x14ac:dyDescent="0.25">
      <c r="A5821" t="str">
        <f>"20190303170931388"</f>
        <v>20190303170931388</v>
      </c>
      <c r="B5821" t="str">
        <f>"1551604171379493"</f>
        <v>1551604171379493</v>
      </c>
      <c r="C5821" t="s">
        <v>40</v>
      </c>
      <c r="D5821">
        <v>5.0728650000000002</v>
      </c>
      <c r="E5821">
        <v>0.4910274</v>
      </c>
      <c r="F5821" t="s">
        <v>47</v>
      </c>
      <c r="G5821">
        <v>-114.18729999999999</v>
      </c>
      <c r="H5821">
        <v>1.0349729999999999</v>
      </c>
      <c r="I5821">
        <v>138.16370000000001</v>
      </c>
      <c r="J5821">
        <v>-114.7817</v>
      </c>
      <c r="K5821">
        <v>1.123451</v>
      </c>
      <c r="L5821">
        <v>138.1816</v>
      </c>
      <c r="M5821">
        <v>0.99926999999999999</v>
      </c>
      <c r="N5821">
        <v>-2.8115500000000002E-2</v>
      </c>
      <c r="O5821">
        <v>2.586948E-2</v>
      </c>
      <c r="P5821">
        <v>0.97892579999999996</v>
      </c>
      <c r="Q5821">
        <v>0.1948493</v>
      </c>
      <c r="R5821">
        <v>-6.1140809999999997E-2</v>
      </c>
      <c r="S5821">
        <v>3.1359409999999999</v>
      </c>
      <c r="T5821">
        <v>-0.37824619999999998</v>
      </c>
      <c r="U5821">
        <v>-5.8425900000000003E-2</v>
      </c>
      <c r="V5821">
        <v>8.6440589999999998E-2</v>
      </c>
      <c r="W5821">
        <v>0.222247</v>
      </c>
      <c r="X5821">
        <v>0.97115099999999999</v>
      </c>
      <c r="Y5821">
        <v>4.399293E-2</v>
      </c>
      <c r="Z5821">
        <v>-5.6479649999999996E-3</v>
      </c>
      <c r="AA5821">
        <v>0.99901589999999996</v>
      </c>
      <c r="AB5821">
        <v>9</v>
      </c>
      <c r="AC5821">
        <v>0.59440000000000703</v>
      </c>
      <c r="AD5821">
        <v>-8.8478000000000001E-2</v>
      </c>
      <c r="AE5821">
        <v>-1.78999999999973E-2</v>
      </c>
      <c r="AF5821">
        <v>3.2556205197958203E-2</v>
      </c>
      <c r="AG5821">
        <v>-8.8478000000000001E-2</v>
      </c>
      <c r="AH5821">
        <v>0.58087873839665005</v>
      </c>
      <c r="AI5821">
        <v>98.647217521036495</v>
      </c>
      <c r="AJ5821">
        <v>86.792129627364503</v>
      </c>
      <c r="AK5821">
        <v>0.58847971222649198</v>
      </c>
      <c r="AL5821">
        <v>77.158955319522306</v>
      </c>
      <c r="AM5821">
        <v>84.913598799109593</v>
      </c>
      <c r="AN5821">
        <v>0.99999998470477303</v>
      </c>
    </row>
    <row r="5822" spans="1:40" x14ac:dyDescent="0.25">
      <c r="A5822" t="str">
        <f>"20190303170931432"</f>
        <v>20190303170931432</v>
      </c>
      <c r="B5822" t="str">
        <f>"1551604171419509"</f>
        <v>1551604171419509</v>
      </c>
      <c r="C5822" t="s">
        <v>40</v>
      </c>
      <c r="D5822">
        <v>5.0866170000000004</v>
      </c>
      <c r="E5822">
        <v>0.48960009999999998</v>
      </c>
      <c r="F5822" t="s">
        <v>43</v>
      </c>
      <c r="G5822">
        <v>-102.1497</v>
      </c>
      <c r="H5822" s="1">
        <v>-3.9683479999999901E-6</v>
      </c>
      <c r="I5822">
        <v>138.0548</v>
      </c>
      <c r="J5822">
        <v>-114.6361</v>
      </c>
      <c r="K5822">
        <v>1.12358</v>
      </c>
      <c r="L5822">
        <v>138.1859</v>
      </c>
      <c r="M5822">
        <v>0.99925129999999995</v>
      </c>
      <c r="N5822">
        <v>-2.8390950000000002E-2</v>
      </c>
      <c r="O5822">
        <v>2.628691E-2</v>
      </c>
      <c r="P5822">
        <v>0.97878180000000004</v>
      </c>
      <c r="Q5822">
        <v>0.19609380000000001</v>
      </c>
      <c r="R5822">
        <v>-5.9445289999999998E-2</v>
      </c>
      <c r="S5822">
        <v>3.1178279999999998</v>
      </c>
      <c r="T5822">
        <v>-0.27729140000000002</v>
      </c>
      <c r="U5822">
        <v>-3.1280519999999999E-2</v>
      </c>
      <c r="V5822">
        <v>8.516087E-2</v>
      </c>
      <c r="W5822">
        <v>0.2237508</v>
      </c>
      <c r="X5822">
        <v>0.97091879999999997</v>
      </c>
      <c r="Y5822">
        <v>3.6088839999999997E-2</v>
      </c>
      <c r="Z5822">
        <v>-3.7029879999999999E-3</v>
      </c>
      <c r="AA5822">
        <v>0.9993417</v>
      </c>
      <c r="AB5822">
        <v>8</v>
      </c>
      <c r="AC5822">
        <v>12.4864</v>
      </c>
      <c r="AD5822">
        <v>-1.123583968348</v>
      </c>
      <c r="AE5822">
        <v>-0.13110000000000299</v>
      </c>
      <c r="AF5822">
        <v>0.45572614949687501</v>
      </c>
      <c r="AG5822">
        <v>-1.123583968348</v>
      </c>
      <c r="AH5822">
        <v>12.378414265646599</v>
      </c>
      <c r="AI5822">
        <v>95.183010980045495</v>
      </c>
      <c r="AJ5822">
        <v>87.891539522818803</v>
      </c>
      <c r="AK5822">
        <v>12.437655204628699</v>
      </c>
      <c r="AL5822">
        <v>77.070569140167606</v>
      </c>
      <c r="AM5822">
        <v>84.987322280415697</v>
      </c>
      <c r="AN5822">
        <v>1.00000005523661</v>
      </c>
    </row>
    <row r="5823" spans="1:40" x14ac:dyDescent="0.25">
      <c r="A5823" t="str">
        <f>"20190303170931463"</f>
        <v>20190303170931463</v>
      </c>
      <c r="B5823" t="str">
        <f>"1551604171459525"</f>
        <v>1551604171459525</v>
      </c>
      <c r="C5823" t="s">
        <v>40</v>
      </c>
      <c r="D5823">
        <v>5.084187</v>
      </c>
      <c r="E5823">
        <v>0.4888284</v>
      </c>
      <c r="F5823" t="s">
        <v>43</v>
      </c>
      <c r="G5823">
        <v>-99.264399999999995</v>
      </c>
      <c r="H5823" s="1">
        <v>-6.4290660000000003E-7</v>
      </c>
      <c r="I5823">
        <v>138.08850000000001</v>
      </c>
      <c r="J5823">
        <v>-114.5436</v>
      </c>
      <c r="K5823">
        <v>1.123845</v>
      </c>
      <c r="L5823">
        <v>138.18870000000001</v>
      </c>
      <c r="M5823">
        <v>0.99921230000000005</v>
      </c>
      <c r="N5823">
        <v>-2.952662E-2</v>
      </c>
      <c r="O5823">
        <v>2.651531E-2</v>
      </c>
      <c r="P5823">
        <v>0.97903870000000004</v>
      </c>
      <c r="Q5823">
        <v>0.19500709999999999</v>
      </c>
      <c r="R5823">
        <v>-5.8781680000000003E-2</v>
      </c>
      <c r="S5823">
        <v>3.109375</v>
      </c>
      <c r="T5823">
        <v>-0.2272767</v>
      </c>
      <c r="U5823">
        <v>-1.9699100000000001E-2</v>
      </c>
      <c r="V5823">
        <v>8.4738599999999997E-2</v>
      </c>
      <c r="W5823">
        <v>0.2237712</v>
      </c>
      <c r="X5823">
        <v>0.97095100000000001</v>
      </c>
      <c r="Y5823">
        <v>3.271164E-2</v>
      </c>
      <c r="Z5823">
        <v>-2.8307319999999999E-3</v>
      </c>
      <c r="AA5823">
        <v>0.99946080000000004</v>
      </c>
      <c r="AB5823">
        <v>7</v>
      </c>
      <c r="AC5823">
        <v>15.279199999999999</v>
      </c>
      <c r="AD5823">
        <v>-1.1238456429065999</v>
      </c>
      <c r="AE5823">
        <v>-0.1002</v>
      </c>
      <c r="AF5823">
        <v>0.502754283855259</v>
      </c>
      <c r="AG5823">
        <v>-1.1238456429065999</v>
      </c>
      <c r="AH5823">
        <v>15.1889935368338</v>
      </c>
      <c r="AI5823">
        <v>94.229341232581504</v>
      </c>
      <c r="AJ5823">
        <v>88.104207131387696</v>
      </c>
      <c r="AK5823">
        <v>15.2388095191518</v>
      </c>
      <c r="AL5823">
        <v>77.069369334123095</v>
      </c>
      <c r="AM5823">
        <v>85.012216513679803</v>
      </c>
      <c r="AN5823">
        <v>1.0000000123402</v>
      </c>
    </row>
    <row r="5824" spans="1:40" x14ac:dyDescent="0.25">
      <c r="A5824" t="str">
        <f>"20190303170931521"</f>
        <v>20190303170931521</v>
      </c>
      <c r="B5824" t="str">
        <f>"1551604171510278"</f>
        <v>1551604171510278</v>
      </c>
      <c r="C5824" t="s">
        <v>40</v>
      </c>
      <c r="D5824">
        <v>5.0804989999999997</v>
      </c>
      <c r="E5824">
        <v>0.4883247</v>
      </c>
      <c r="F5824" t="s">
        <v>43</v>
      </c>
      <c r="G5824">
        <v>-97.439089999999993</v>
      </c>
      <c r="H5824" s="1">
        <v>-1.348879E-6</v>
      </c>
      <c r="I5824">
        <v>138.10579999999999</v>
      </c>
      <c r="J5824">
        <v>-114.3856</v>
      </c>
      <c r="K5824">
        <v>1.1234980000000001</v>
      </c>
      <c r="L5824">
        <v>138.1934</v>
      </c>
      <c r="M5824">
        <v>0.99922860000000002</v>
      </c>
      <c r="N5824">
        <v>-2.8594069999999999E-2</v>
      </c>
      <c r="O5824">
        <v>2.6917480000000001E-2</v>
      </c>
      <c r="P5824">
        <v>0.97871600000000003</v>
      </c>
      <c r="Q5824">
        <v>0.197188</v>
      </c>
      <c r="R5824">
        <v>-5.6853180000000003E-2</v>
      </c>
      <c r="S5824">
        <v>3.1039430000000001</v>
      </c>
      <c r="T5824">
        <v>-0.2039434</v>
      </c>
      <c r="U5824">
        <v>-1.502991E-2</v>
      </c>
      <c r="V5824">
        <v>8.3194699999999996E-2</v>
      </c>
      <c r="W5824">
        <v>0.22503609999999999</v>
      </c>
      <c r="X5824">
        <v>0.97079219999999999</v>
      </c>
      <c r="Y5824">
        <v>3.1652039999999999E-2</v>
      </c>
      <c r="Z5824">
        <v>-2.4891760000000001E-3</v>
      </c>
      <c r="AA5824">
        <v>0.99949589999999999</v>
      </c>
      <c r="AB5824">
        <v>6</v>
      </c>
      <c r="AC5824">
        <v>16.9465099999999</v>
      </c>
      <c r="AD5824">
        <v>-1.1234993488789999</v>
      </c>
      <c r="AE5824">
        <v>-8.7600000000008907E-2</v>
      </c>
      <c r="AF5824">
        <v>0.54153206730320702</v>
      </c>
      <c r="AG5824">
        <v>-1.1234993488789999</v>
      </c>
      <c r="AH5824">
        <v>16.863886346956601</v>
      </c>
      <c r="AI5824">
        <v>93.809547130511802</v>
      </c>
      <c r="AJ5824">
        <v>88.160753521525294</v>
      </c>
      <c r="AK5824">
        <v>16.909942947565501</v>
      </c>
      <c r="AL5824">
        <v>76.994999680514098</v>
      </c>
      <c r="AM5824">
        <v>85.101848489471394</v>
      </c>
      <c r="AN5824">
        <v>1.00000004999606</v>
      </c>
    </row>
    <row r="5825" spans="1:40" x14ac:dyDescent="0.25">
      <c r="A5825" t="str">
        <f>"20190303170931555"</f>
        <v>20190303170931555</v>
      </c>
      <c r="B5825" t="str">
        <f>"1551604171550294"</f>
        <v>1551604171550294</v>
      </c>
      <c r="C5825" t="s">
        <v>40</v>
      </c>
      <c r="D5825">
        <v>5.074128</v>
      </c>
      <c r="E5825">
        <v>0.487674</v>
      </c>
      <c r="F5825" t="s">
        <v>43</v>
      </c>
      <c r="G5825">
        <v>-94.614739999999998</v>
      </c>
      <c r="H5825" s="1">
        <v>-2.5540750000000002E-6</v>
      </c>
      <c r="I5825">
        <v>138.1421</v>
      </c>
      <c r="J5825">
        <v>-114.3006</v>
      </c>
      <c r="K5825">
        <v>1.123351</v>
      </c>
      <c r="L5825">
        <v>138.196</v>
      </c>
      <c r="M5825">
        <v>0.99924259999999998</v>
      </c>
      <c r="N5825">
        <v>-2.788906E-2</v>
      </c>
      <c r="O5825">
        <v>2.7140319999999999E-2</v>
      </c>
      <c r="P5825">
        <v>0.97858990000000001</v>
      </c>
      <c r="Q5825">
        <v>0.1979001</v>
      </c>
      <c r="R5825">
        <v>-5.6549059999999998E-2</v>
      </c>
      <c r="S5825">
        <v>3.100266</v>
      </c>
      <c r="T5825">
        <v>-0.176176</v>
      </c>
      <c r="U5825">
        <v>-8.0413819999999997E-3</v>
      </c>
      <c r="V5825">
        <v>8.3104720000000007E-2</v>
      </c>
      <c r="W5825">
        <v>0.2250597</v>
      </c>
      <c r="X5825">
        <v>0.97079439999999995</v>
      </c>
      <c r="Y5825">
        <v>2.9660869999999999E-2</v>
      </c>
      <c r="Z5825">
        <v>-2.040348E-3</v>
      </c>
      <c r="AA5825">
        <v>0.9995579</v>
      </c>
      <c r="AB5825">
        <v>6</v>
      </c>
      <c r="AC5825">
        <v>19.685860000000002</v>
      </c>
      <c r="AD5825">
        <v>-1.1233535540749999</v>
      </c>
      <c r="AE5825">
        <v>-5.3899999999998699E-2</v>
      </c>
      <c r="AF5825">
        <v>0.58645885634464201</v>
      </c>
      <c r="AG5825">
        <v>-1.1233535540749999</v>
      </c>
      <c r="AH5825">
        <v>19.613273131756198</v>
      </c>
      <c r="AI5825">
        <v>93.276582925687094</v>
      </c>
      <c r="AJ5825">
        <v>88.2873022608388</v>
      </c>
      <c r="AK5825">
        <v>19.654168518116101</v>
      </c>
      <c r="AL5825">
        <v>76.993611438089502</v>
      </c>
      <c r="AM5825">
        <v>85.107131432967606</v>
      </c>
      <c r="AN5825">
        <v>1.0000000150608599</v>
      </c>
    </row>
    <row r="5826" spans="1:40" x14ac:dyDescent="0.25">
      <c r="A5826" t="str">
        <f>"20190303170931633"</f>
        <v>20190303170931633</v>
      </c>
      <c r="B5826" t="str">
        <f>"1551604171619590"</f>
        <v>1551604171619590</v>
      </c>
      <c r="C5826" t="s">
        <v>40</v>
      </c>
      <c r="D5826">
        <v>5.094805</v>
      </c>
      <c r="E5826">
        <v>0.48735270000000003</v>
      </c>
      <c r="F5826" t="s">
        <v>43</v>
      </c>
      <c r="G5826">
        <v>-92.165220000000005</v>
      </c>
      <c r="H5826" s="1">
        <v>-3.6000540000000001E-6</v>
      </c>
      <c r="I5826">
        <v>138.1695</v>
      </c>
      <c r="J5826">
        <v>-114.1219</v>
      </c>
      <c r="K5826">
        <v>1.123103</v>
      </c>
      <c r="L5826">
        <v>138.20140000000001</v>
      </c>
      <c r="M5826">
        <v>0.99927650000000001</v>
      </c>
      <c r="N5826">
        <v>-2.6169049999999999E-2</v>
      </c>
      <c r="O5826">
        <v>2.7604449999999999E-2</v>
      </c>
      <c r="P5826">
        <v>0.97808919999999999</v>
      </c>
      <c r="Q5826">
        <v>0.20002929999999999</v>
      </c>
      <c r="R5826">
        <v>-5.7707870000000001E-2</v>
      </c>
      <c r="S5826">
        <v>3.0972140000000001</v>
      </c>
      <c r="T5826">
        <v>-0.1571813</v>
      </c>
      <c r="U5826">
        <v>-3.7078860000000001E-3</v>
      </c>
      <c r="V5826">
        <v>8.4703870000000001E-2</v>
      </c>
      <c r="W5826">
        <v>0.2255016</v>
      </c>
      <c r="X5826">
        <v>0.97055360000000002</v>
      </c>
      <c r="Y5826">
        <v>2.8746170000000001E-2</v>
      </c>
      <c r="Z5826">
        <v>-1.783045E-3</v>
      </c>
      <c r="AA5826">
        <v>0.99958519999999895</v>
      </c>
      <c r="AB5826">
        <v>5</v>
      </c>
      <c r="AC5826">
        <v>21.956679999999999</v>
      </c>
      <c r="AD5826">
        <v>-1.123106600054</v>
      </c>
      <c r="AE5826">
        <v>-3.1900000000007298E-2</v>
      </c>
      <c r="AF5826">
        <v>0.63653201075730803</v>
      </c>
      <c r="AG5826">
        <v>-1.123106600054</v>
      </c>
      <c r="AH5826">
        <v>21.890152369244099</v>
      </c>
      <c r="AI5826">
        <v>92.935830495492297</v>
      </c>
      <c r="AJ5826">
        <v>88.334396078462404</v>
      </c>
      <c r="AK5826">
        <v>21.928185337244098</v>
      </c>
      <c r="AL5826">
        <v>76.967624259538795</v>
      </c>
      <c r="AM5826">
        <v>85.012219289870899</v>
      </c>
      <c r="AN5826">
        <v>1.00000000383424</v>
      </c>
    </row>
    <row r="5827" spans="1:40" x14ac:dyDescent="0.25">
      <c r="A5827" t="str">
        <f>"20190303170931699"</f>
        <v>20190303170931699</v>
      </c>
      <c r="B5827" t="str">
        <f>"1551604171689862"</f>
        <v>1551604171689862</v>
      </c>
      <c r="C5827" t="s">
        <v>40</v>
      </c>
      <c r="D5827">
        <v>5.1597520000000001</v>
      </c>
      <c r="E5827">
        <v>0.48682619999999999</v>
      </c>
      <c r="F5827" t="s">
        <v>43</v>
      </c>
      <c r="G5827">
        <v>-87.779209999999907</v>
      </c>
      <c r="H5827" s="1">
        <v>-1.196527E-6</v>
      </c>
      <c r="I5827">
        <v>138.1422</v>
      </c>
      <c r="J5827">
        <v>-113.98569999999999</v>
      </c>
      <c r="K5827">
        <v>1.122973</v>
      </c>
      <c r="L5827">
        <v>138.20570000000001</v>
      </c>
      <c r="M5827">
        <v>0.9993052</v>
      </c>
      <c r="N5827">
        <v>-2.4660089999999999E-2</v>
      </c>
      <c r="O5827">
        <v>2.7947880000000001E-2</v>
      </c>
      <c r="P5827">
        <v>0.97750250000000005</v>
      </c>
      <c r="Q5827">
        <v>0.203179</v>
      </c>
      <c r="R5827">
        <v>-5.6632429999999997E-2</v>
      </c>
      <c r="S5827">
        <v>3.0937649999999999</v>
      </c>
      <c r="T5827">
        <v>-0.1319004</v>
      </c>
      <c r="U5827">
        <v>-6.9580079999999999E-3</v>
      </c>
      <c r="V5827">
        <v>8.3947569999999999E-2</v>
      </c>
      <c r="W5827">
        <v>0.22717080000000001</v>
      </c>
      <c r="X5827">
        <v>0.97023000000000004</v>
      </c>
      <c r="Y5827">
        <v>3.015671E-2</v>
      </c>
      <c r="Z5827">
        <v>-1.5163760000000001E-3</v>
      </c>
      <c r="AA5827">
        <v>0.99954399999999999</v>
      </c>
      <c r="AB5827">
        <v>5</v>
      </c>
      <c r="AC5827">
        <v>26.206489999999999</v>
      </c>
      <c r="AD5827">
        <v>-1.1229741965269999</v>
      </c>
      <c r="AE5827">
        <v>-6.3500000000004705E-2</v>
      </c>
      <c r="AF5827">
        <v>0.79465464404161801</v>
      </c>
      <c r="AG5827">
        <v>-1.1229741965269999</v>
      </c>
      <c r="AH5827">
        <v>26.1464617497492</v>
      </c>
      <c r="AI5827">
        <v>92.458172838776605</v>
      </c>
      <c r="AJ5827">
        <v>88.259177602105297</v>
      </c>
      <c r="AK5827">
        <v>26.182628001796601</v>
      </c>
      <c r="AL5827">
        <v>76.869438207470793</v>
      </c>
      <c r="AM5827">
        <v>85.054891665594994</v>
      </c>
      <c r="AN5827">
        <v>1.00000000989077</v>
      </c>
    </row>
    <row r="5828" spans="1:40" x14ac:dyDescent="0.25">
      <c r="A5828" t="str">
        <f>"20190303170931727"</f>
        <v>20190303170931727</v>
      </c>
      <c r="B5828" t="str">
        <f>"1551604171720118"</f>
        <v>1551604171720118</v>
      </c>
      <c r="C5828" t="s">
        <v>40</v>
      </c>
      <c r="D5828">
        <v>5.1576000000000004</v>
      </c>
      <c r="E5828">
        <v>0.48659350000000001</v>
      </c>
      <c r="F5828" t="s">
        <v>43</v>
      </c>
      <c r="G5828">
        <v>-81.355919999999998</v>
      </c>
      <c r="H5828" s="1">
        <v>-3.9464960000000001E-6</v>
      </c>
      <c r="I5828">
        <v>138.1737</v>
      </c>
      <c r="J5828">
        <v>-113.932</v>
      </c>
      <c r="K5828">
        <v>1.1229180000000001</v>
      </c>
      <c r="L5828">
        <v>138.2073</v>
      </c>
      <c r="M5828">
        <v>0.99931689999999995</v>
      </c>
      <c r="N5828">
        <v>-2.402292E-2</v>
      </c>
      <c r="O5828">
        <v>2.8084979999999999E-2</v>
      </c>
      <c r="P5828">
        <v>0.97723850000000001</v>
      </c>
      <c r="Q5828">
        <v>0.20462949999999999</v>
      </c>
      <c r="R5828">
        <v>-5.5964470000000002E-2</v>
      </c>
      <c r="S5828">
        <v>3.090973</v>
      </c>
      <c r="T5828">
        <v>-0.10637770000000001</v>
      </c>
      <c r="U5828">
        <v>-3.0212400000000001E-3</v>
      </c>
      <c r="V5828">
        <v>8.3405510000000002E-2</v>
      </c>
      <c r="W5828">
        <v>0.2279959</v>
      </c>
      <c r="X5828">
        <v>0.97008320000000003</v>
      </c>
      <c r="Y5828">
        <v>2.9039410000000002E-2</v>
      </c>
      <c r="Z5828">
        <v>-1.1399870000000001E-3</v>
      </c>
      <c r="AA5828">
        <v>0.99957759999999996</v>
      </c>
      <c r="AB5828">
        <v>4</v>
      </c>
      <c r="AC5828">
        <v>32.576079999999997</v>
      </c>
      <c r="AD5828">
        <v>-1.1229219464960001</v>
      </c>
      <c r="AE5828">
        <v>-3.3600000000006902E-2</v>
      </c>
      <c r="AF5828">
        <v>0.94762334543576698</v>
      </c>
      <c r="AG5828">
        <v>-1.1229219464960001</v>
      </c>
      <c r="AH5828">
        <v>32.523633061658003</v>
      </c>
      <c r="AI5828">
        <v>91.976589801068698</v>
      </c>
      <c r="AJ5828">
        <v>88.331076305052406</v>
      </c>
      <c r="AK5828">
        <v>32.556806526932498</v>
      </c>
      <c r="AL5828">
        <v>76.820889503281506</v>
      </c>
      <c r="AM5828">
        <v>85.085926154436805</v>
      </c>
      <c r="AN5828">
        <v>1.0000000122187001</v>
      </c>
    </row>
    <row r="5829" spans="1:40" x14ac:dyDescent="0.25">
      <c r="A5829" t="str">
        <f>"20190303170931751"</f>
        <v>20190303170931751</v>
      </c>
      <c r="B5829" t="str">
        <f>"1551604171740614"</f>
        <v>1551604171740614</v>
      </c>
      <c r="C5829" t="s">
        <v>40</v>
      </c>
      <c r="D5829">
        <v>5.1615260000000003</v>
      </c>
      <c r="E5829">
        <v>0.4864619</v>
      </c>
      <c r="F5829" t="s">
        <v>43</v>
      </c>
      <c r="G5829">
        <v>-78.174669999999907</v>
      </c>
      <c r="H5829" s="1">
        <v>-1.0145129999999999E-6</v>
      </c>
      <c r="I5829">
        <v>138.21190000000001</v>
      </c>
      <c r="J5829">
        <v>-113.8913</v>
      </c>
      <c r="K5829">
        <v>1.1228689999999999</v>
      </c>
      <c r="L5829">
        <v>138.20859999999999</v>
      </c>
      <c r="M5829">
        <v>0.99932589999999999</v>
      </c>
      <c r="N5829">
        <v>-2.35193E-2</v>
      </c>
      <c r="O5829">
        <v>2.8189369999999998E-2</v>
      </c>
      <c r="P5829">
        <v>0.97743939999999996</v>
      </c>
      <c r="Q5829">
        <v>0.2038461</v>
      </c>
      <c r="R5829">
        <v>-5.5307170000000003E-2</v>
      </c>
      <c r="S5829">
        <v>3.0902099999999999</v>
      </c>
      <c r="T5829">
        <v>-9.7044469999999994E-2</v>
      </c>
      <c r="U5829">
        <v>3.9672850000000001E-4</v>
      </c>
      <c r="V5829">
        <v>8.2855529999999997E-2</v>
      </c>
      <c r="W5829">
        <v>0.22672919999999999</v>
      </c>
      <c r="X5829">
        <v>0.97042720000000005</v>
      </c>
      <c r="Y5829">
        <v>2.8043780000000001E-2</v>
      </c>
      <c r="Z5829">
        <v>-9.9204250000000001E-4</v>
      </c>
      <c r="AA5829">
        <v>0.9996062</v>
      </c>
      <c r="AB5829">
        <v>4</v>
      </c>
      <c r="AC5829">
        <v>35.716630000000002</v>
      </c>
      <c r="AD5829">
        <v>-1.1228700145129999</v>
      </c>
      <c r="AE5829">
        <v>3.30000000002428E-3</v>
      </c>
      <c r="AF5829">
        <v>1.0028180153597901</v>
      </c>
      <c r="AG5829">
        <v>-1.1228700145129999</v>
      </c>
      <c r="AH5829">
        <v>35.667269098190403</v>
      </c>
      <c r="AI5829">
        <v>91.802467190226807</v>
      </c>
      <c r="AJ5829">
        <v>88.389500837784198</v>
      </c>
      <c r="AK5829">
        <v>35.699027521266601</v>
      </c>
      <c r="AL5829">
        <v>76.8954185927509</v>
      </c>
      <c r="AM5829">
        <v>85.119894847603604</v>
      </c>
      <c r="AN5829">
        <v>1.00000005974202</v>
      </c>
    </row>
    <row r="5830" spans="1:40" x14ac:dyDescent="0.25">
      <c r="A5830" t="str">
        <f>"20190303170931866"</f>
        <v>20190303170931866</v>
      </c>
      <c r="B5830" t="str">
        <f>"1551604171859686"</f>
        <v>1551604171859686</v>
      </c>
      <c r="C5830" t="s">
        <v>40</v>
      </c>
      <c r="D5830">
        <v>5.0650550000000001</v>
      </c>
      <c r="E5830">
        <v>0.48558089999999998</v>
      </c>
      <c r="F5830" t="s">
        <v>43</v>
      </c>
      <c r="G5830">
        <v>-78.029740000000004</v>
      </c>
      <c r="H5830" s="1">
        <v>-1.0711800000000001E-6</v>
      </c>
      <c r="I5830">
        <v>138.24289999999999</v>
      </c>
      <c r="J5830">
        <v>-113.7042</v>
      </c>
      <c r="K5830">
        <v>1.122698</v>
      </c>
      <c r="L5830">
        <v>138.21440000000001</v>
      </c>
      <c r="M5830">
        <v>0.99936409999999998</v>
      </c>
      <c r="N5830">
        <v>-2.1197509999999999E-2</v>
      </c>
      <c r="O5830">
        <v>2.867219E-2</v>
      </c>
      <c r="P5830">
        <v>0.97665789999999997</v>
      </c>
      <c r="Q5830">
        <v>0.2067128</v>
      </c>
      <c r="R5830">
        <v>-5.8389089999999998E-2</v>
      </c>
      <c r="S5830">
        <v>3.0895999999999999</v>
      </c>
      <c r="T5830">
        <v>-9.6739049999999993E-2</v>
      </c>
      <c r="U5830">
        <v>2.960205E-3</v>
      </c>
      <c r="V5830">
        <v>8.6383870000000001E-2</v>
      </c>
      <c r="W5830">
        <v>0.22732179999999999</v>
      </c>
      <c r="X5830">
        <v>0.96998070000000003</v>
      </c>
      <c r="Y5830">
        <v>2.769667E-2</v>
      </c>
      <c r="Z5830">
        <v>-1.0167869999999999E-3</v>
      </c>
      <c r="AA5830">
        <v>0.99961580000000005</v>
      </c>
      <c r="AB5830">
        <v>4</v>
      </c>
      <c r="AC5830">
        <v>35.674460000000003</v>
      </c>
      <c r="AD5830">
        <v>-1.12269907117999</v>
      </c>
      <c r="AE5830">
        <v>2.8499999999979701E-2</v>
      </c>
      <c r="AF5830">
        <v>0.99362239654818796</v>
      </c>
      <c r="AG5830">
        <v>-1.12269907117999</v>
      </c>
      <c r="AH5830">
        <v>35.625320444785302</v>
      </c>
      <c r="AI5830">
        <v>91.804324992509294</v>
      </c>
      <c r="AJ5830">
        <v>88.402383084990802</v>
      </c>
      <c r="AK5830">
        <v>35.6568534150868</v>
      </c>
      <c r="AL5830">
        <v>76.860553526896894</v>
      </c>
      <c r="AM5830">
        <v>84.910818222196795</v>
      </c>
      <c r="AN5830">
        <v>0.99999996606195296</v>
      </c>
    </row>
    <row r="5831" spans="1:40" x14ac:dyDescent="0.25">
      <c r="A5831" t="str">
        <f>"20190303170931900"</f>
        <v>20190303170931900</v>
      </c>
      <c r="B5831" t="str">
        <f>"1551604171889943"</f>
        <v>1551604171889943</v>
      </c>
      <c r="C5831" t="s">
        <v>40</v>
      </c>
      <c r="D5831">
        <v>4.9772189999999998</v>
      </c>
      <c r="E5831">
        <v>0.48532639999999999</v>
      </c>
      <c r="F5831" t="s">
        <v>43</v>
      </c>
      <c r="G5831">
        <v>-66.595129999999997</v>
      </c>
      <c r="H5831" s="1">
        <v>-1.6903799999999901E-6</v>
      </c>
      <c r="I5831">
        <v>138.2218</v>
      </c>
      <c r="J5831">
        <v>-113.65600000000001</v>
      </c>
      <c r="K5831">
        <v>1.122638</v>
      </c>
      <c r="L5831">
        <v>138.2159</v>
      </c>
      <c r="M5831">
        <v>0.99937330000000002</v>
      </c>
      <c r="N5831">
        <v>-2.0590529999999999E-2</v>
      </c>
      <c r="O5831">
        <v>2.879667E-2</v>
      </c>
      <c r="P5831">
        <v>0.97653959999999995</v>
      </c>
      <c r="Q5831">
        <v>0.20734079999999999</v>
      </c>
      <c r="R5831">
        <v>-5.8144210000000002E-2</v>
      </c>
      <c r="S5831">
        <v>3.0872959999999998</v>
      </c>
      <c r="T5831">
        <v>-7.3576210000000003E-2</v>
      </c>
      <c r="U5831">
        <v>4.8828130000000002E-4</v>
      </c>
      <c r="V5831">
        <v>8.6256719999999995E-2</v>
      </c>
      <c r="W5831">
        <v>0.227358</v>
      </c>
      <c r="X5831">
        <v>0.96998359999999995</v>
      </c>
      <c r="Y5831">
        <v>2.8629379999999999E-2</v>
      </c>
      <c r="Z5831">
        <v>-7.2901399999999897E-4</v>
      </c>
      <c r="AA5831">
        <v>0.99958979999999997</v>
      </c>
      <c r="AB5831">
        <v>3</v>
      </c>
      <c r="AC5831">
        <v>47.060870000000001</v>
      </c>
      <c r="AD5831">
        <v>-1.12263969037999</v>
      </c>
      <c r="AE5831">
        <v>5.8999999999968999E-3</v>
      </c>
      <c r="AF5831">
        <v>1.3488184571667801</v>
      </c>
      <c r="AG5831">
        <v>-1.12263969037999</v>
      </c>
      <c r="AH5831">
        <v>47.014760649854701</v>
      </c>
      <c r="AI5831">
        <v>91.367312193909697</v>
      </c>
      <c r="AJ5831">
        <v>88.356677530377098</v>
      </c>
      <c r="AK5831">
        <v>47.047500997055501</v>
      </c>
      <c r="AL5831">
        <v>76.858424546393294</v>
      </c>
      <c r="AM5831">
        <v>84.918284944402302</v>
      </c>
      <c r="AN5831">
        <v>1.0000000330890499</v>
      </c>
    </row>
    <row r="5832" spans="1:40" x14ac:dyDescent="0.25">
      <c r="A5832" t="str">
        <f>"20190303170931933"</f>
        <v>20190303170931933</v>
      </c>
      <c r="B5832" t="str">
        <f>"1551604171920198"</f>
        <v>1551604171920198</v>
      </c>
      <c r="C5832" t="s">
        <v>40</v>
      </c>
      <c r="D5832">
        <v>5.1734780000000002</v>
      </c>
      <c r="E5832">
        <v>0.485068</v>
      </c>
      <c r="F5832" t="s">
        <v>43</v>
      </c>
      <c r="G5832">
        <v>-62.921199999999999</v>
      </c>
      <c r="H5832" s="1">
        <v>-3.2569499999999998E-6</v>
      </c>
      <c r="I5832">
        <v>138.27549999999999</v>
      </c>
      <c r="J5832">
        <v>-113.61</v>
      </c>
      <c r="K5832">
        <v>1.12259</v>
      </c>
      <c r="L5832">
        <v>138.21729999999999</v>
      </c>
      <c r="M5832">
        <v>0.99938090000000002</v>
      </c>
      <c r="N5832">
        <v>-2.00451E-2</v>
      </c>
      <c r="O5832">
        <v>2.891579E-2</v>
      </c>
      <c r="P5832">
        <v>0.97622439999999999</v>
      </c>
      <c r="Q5832">
        <v>0.20865040000000001</v>
      </c>
      <c r="R5832">
        <v>-5.8746670000000001E-2</v>
      </c>
      <c r="S5832">
        <v>3.0868069999999999</v>
      </c>
      <c r="T5832">
        <v>-6.8303699999999995E-2</v>
      </c>
      <c r="U5832">
        <v>3.6315919999999999E-3</v>
      </c>
      <c r="V5832">
        <v>8.6966150000000006E-2</v>
      </c>
      <c r="W5832">
        <v>0.22813059999999999</v>
      </c>
      <c r="X5832">
        <v>0.96973880000000001</v>
      </c>
      <c r="Y5832">
        <v>2.7732590000000001E-2</v>
      </c>
      <c r="Z5832">
        <v>-6.4478980000000005E-4</v>
      </c>
      <c r="AA5832">
        <v>0.99961520000000004</v>
      </c>
      <c r="AB5832">
        <v>3</v>
      </c>
      <c r="AC5832">
        <v>50.688800000000001</v>
      </c>
      <c r="AD5832">
        <v>-1.1225932569499999</v>
      </c>
      <c r="AE5832">
        <v>5.8199999999999301E-2</v>
      </c>
      <c r="AF5832">
        <v>1.4071353434708</v>
      </c>
      <c r="AG5832">
        <v>-1.1225932569499999</v>
      </c>
      <c r="AH5832">
        <v>50.6444392276128</v>
      </c>
      <c r="AI5832">
        <v>91.269330357540298</v>
      </c>
      <c r="AJ5832">
        <v>88.408469307023594</v>
      </c>
      <c r="AK5832">
        <v>50.676419271439798</v>
      </c>
      <c r="AL5832">
        <v>76.812962850291299</v>
      </c>
      <c r="AM5832">
        <v>84.875424792698695</v>
      </c>
      <c r="AN5832">
        <v>1.0000000110638101</v>
      </c>
    </row>
    <row r="5833" spans="1:40" x14ac:dyDescent="0.25">
      <c r="A5833" t="str">
        <f>"20190303170931968"</f>
        <v>20190303170931968</v>
      </c>
      <c r="B5833" t="str">
        <f>"1551604171960213"</f>
        <v>1551604171960213</v>
      </c>
      <c r="C5833" t="s">
        <v>40</v>
      </c>
      <c r="D5833">
        <v>5.1431870000000002</v>
      </c>
      <c r="E5833">
        <v>0.4850042</v>
      </c>
      <c r="F5833" t="s">
        <v>43</v>
      </c>
      <c r="G5833">
        <v>-56.56203</v>
      </c>
      <c r="H5833" s="1">
        <v>-1.6845299999999999E-6</v>
      </c>
      <c r="I5833">
        <v>138.3349</v>
      </c>
      <c r="J5833">
        <v>-113.56570000000001</v>
      </c>
      <c r="K5833">
        <v>1.1225459999999901</v>
      </c>
      <c r="L5833">
        <v>138.21860000000001</v>
      </c>
      <c r="M5833">
        <v>0.99938850000000001</v>
      </c>
      <c r="N5833">
        <v>-1.9487930000000001E-2</v>
      </c>
      <c r="O5833">
        <v>2.9032260000000001E-2</v>
      </c>
      <c r="P5833">
        <v>0.97505869999999994</v>
      </c>
      <c r="Q5833">
        <v>0.21271480000000001</v>
      </c>
      <c r="R5833">
        <v>-6.3346830000000007E-2</v>
      </c>
      <c r="S5833">
        <v>3.086411</v>
      </c>
      <c r="T5833">
        <v>-6.0734509999999998E-2</v>
      </c>
      <c r="U5833">
        <v>6.3629150000000002E-3</v>
      </c>
      <c r="V5833">
        <v>9.1643790000000003E-2</v>
      </c>
      <c r="W5833">
        <v>0.23162869999999999</v>
      </c>
      <c r="X5833">
        <v>0.96847799999999995</v>
      </c>
      <c r="Y5833">
        <v>2.6966609999999998E-2</v>
      </c>
      <c r="Z5833">
        <v>-5.3341909999999996E-4</v>
      </c>
      <c r="AA5833">
        <v>0.99963619999999997</v>
      </c>
      <c r="AB5833">
        <v>3</v>
      </c>
      <c r="AC5833">
        <v>57.0036699999999</v>
      </c>
      <c r="AD5833">
        <v>-1.12254768452999</v>
      </c>
      <c r="AE5833">
        <v>0.116299999999995</v>
      </c>
      <c r="AF5833">
        <v>1.53841214744451</v>
      </c>
      <c r="AG5833">
        <v>-1.12254768452999</v>
      </c>
      <c r="AH5833">
        <v>56.960920338900003</v>
      </c>
      <c r="AI5833">
        <v>91.128589280801606</v>
      </c>
      <c r="AJ5833">
        <v>88.452920003507401</v>
      </c>
      <c r="AK5833">
        <v>56.9927475306635</v>
      </c>
      <c r="AL5833">
        <v>76.607021409421904</v>
      </c>
      <c r="AM5833">
        <v>84.594390565996505</v>
      </c>
      <c r="AN5833">
        <v>1.00000003769662</v>
      </c>
    </row>
    <row r="5834" spans="1:40" x14ac:dyDescent="0.25">
      <c r="A5834" t="str">
        <f>"20190303170932007"</f>
        <v>20190303170932007</v>
      </c>
      <c r="B5834" t="str">
        <f>"1551604172000229"</f>
        <v>1551604172000229</v>
      </c>
      <c r="C5834" t="s">
        <v>40</v>
      </c>
      <c r="D5834">
        <v>5.2346079999999997</v>
      </c>
      <c r="E5834">
        <v>0.48266880000000001</v>
      </c>
      <c r="F5834" t="s">
        <v>49</v>
      </c>
      <c r="G5834">
        <v>-29.045680000000001</v>
      </c>
      <c r="H5834">
        <v>-0.1</v>
      </c>
      <c r="I5834">
        <v>138.09700000000001</v>
      </c>
      <c r="J5834">
        <v>-113.5183</v>
      </c>
      <c r="K5834">
        <v>1.122487</v>
      </c>
      <c r="L5834">
        <v>138.2201</v>
      </c>
      <c r="M5834">
        <v>0.99939679999999997</v>
      </c>
      <c r="N5834">
        <v>-1.886699E-2</v>
      </c>
      <c r="O5834">
        <v>2.9156660000000001E-2</v>
      </c>
      <c r="P5834">
        <v>0.97323289999999996</v>
      </c>
      <c r="Q5834">
        <v>0.218163</v>
      </c>
      <c r="R5834">
        <v>-7.2271269999999999E-2</v>
      </c>
      <c r="S5834">
        <v>3.086182</v>
      </c>
      <c r="T5834">
        <v>-4.4640300000000001E-2</v>
      </c>
      <c r="U5834">
        <v>-4.4403079999999996E-3</v>
      </c>
      <c r="V5834">
        <v>0.1006317</v>
      </c>
      <c r="W5834">
        <v>0.23643429999999999</v>
      </c>
      <c r="X5834">
        <v>0.96642229999999996</v>
      </c>
      <c r="Y5834">
        <v>3.0592319999999999E-2</v>
      </c>
      <c r="Z5834">
        <v>-3.8135620000000003E-4</v>
      </c>
      <c r="AA5834">
        <v>0.99953190000000003</v>
      </c>
      <c r="AB5834">
        <v>3</v>
      </c>
      <c r="AC5834">
        <v>84.472619999999907</v>
      </c>
      <c r="AD5834">
        <v>-1.2224870000000001</v>
      </c>
      <c r="AE5834">
        <v>-0.12309999999999301</v>
      </c>
      <c r="AF5834">
        <v>2.5858839523011099</v>
      </c>
      <c r="AG5834">
        <v>-1.2224870000000001</v>
      </c>
      <c r="AH5834">
        <v>84.415424403758806</v>
      </c>
      <c r="AI5834">
        <v>90.829298873369297</v>
      </c>
      <c r="AJ5834">
        <v>88.245416393714905</v>
      </c>
      <c r="AK5834">
        <v>84.463868888102994</v>
      </c>
      <c r="AL5834">
        <v>76.323814918093703</v>
      </c>
      <c r="AM5834">
        <v>84.055323992105201</v>
      </c>
      <c r="AN5834">
        <v>0.999999989599334</v>
      </c>
    </row>
    <row r="5835" spans="1:40" x14ac:dyDescent="0.25">
      <c r="A5835" t="str">
        <f>"20190303170932036"</f>
        <v>20190303170932036</v>
      </c>
      <c r="B5835" t="str">
        <f>"1551604172029509"</f>
        <v>1551604172029509</v>
      </c>
      <c r="C5835" t="s">
        <v>40</v>
      </c>
      <c r="D5835">
        <v>5.4276460000000002</v>
      </c>
      <c r="E5835">
        <v>0.4822845</v>
      </c>
      <c r="F5835" t="s">
        <v>45</v>
      </c>
      <c r="G5835">
        <v>0</v>
      </c>
      <c r="H5835">
        <v>0</v>
      </c>
      <c r="I5835">
        <v>0</v>
      </c>
      <c r="J5835">
        <v>-113.4833</v>
      </c>
      <c r="K5835">
        <v>1.1224730000000001</v>
      </c>
      <c r="L5835">
        <v>138.22120000000001</v>
      </c>
      <c r="M5835">
        <v>0.99940169999999995</v>
      </c>
      <c r="N5835">
        <v>-1.8459219999999998E-2</v>
      </c>
      <c r="O5835">
        <v>2.924848E-2</v>
      </c>
      <c r="P5835">
        <v>0.97032799999999997</v>
      </c>
      <c r="Q5835">
        <v>0.22677169999999999</v>
      </c>
      <c r="R5835">
        <v>-8.3893809999999999E-2</v>
      </c>
      <c r="S5835">
        <v>3.045029</v>
      </c>
      <c r="T5835">
        <v>0.1573311</v>
      </c>
      <c r="U5835">
        <v>-2.9754639999999999E-2</v>
      </c>
      <c r="V5835">
        <v>0.1122542</v>
      </c>
      <c r="W5835">
        <v>0.24458679999999999</v>
      </c>
      <c r="X5835">
        <v>0.96310759999999995</v>
      </c>
      <c r="Y5835">
        <v>3.891377E-2</v>
      </c>
      <c r="Z5835">
        <v>2.6948079999999999E-3</v>
      </c>
      <c r="AA5835">
        <v>0.99923899999999999</v>
      </c>
      <c r="AB5835">
        <v>3</v>
      </c>
      <c r="AC5835">
        <v>3.045029</v>
      </c>
      <c r="AD5835">
        <v>0.1573311</v>
      </c>
      <c r="AE5835">
        <v>-2.9754639999999999E-2</v>
      </c>
      <c r="AF5835">
        <v>0.118503228221851</v>
      </c>
      <c r="AG5835">
        <v>0.1573311</v>
      </c>
      <c r="AH5835">
        <v>3.0347545707483299</v>
      </c>
      <c r="AI5835">
        <v>87.034521764180894</v>
      </c>
      <c r="AJ5835">
        <v>87.763810274315503</v>
      </c>
      <c r="AK5835">
        <v>3.0411398183582601</v>
      </c>
      <c r="AL5835">
        <v>75.842583475785901</v>
      </c>
      <c r="AM5835">
        <v>83.351934474296698</v>
      </c>
      <c r="AN5835">
        <v>0.99999997866481904</v>
      </c>
    </row>
    <row r="5836" spans="1:40" x14ac:dyDescent="0.25">
      <c r="A5836" t="str">
        <f>"20190303170932135"</f>
        <v>20190303170932135</v>
      </c>
      <c r="B5836" t="str">
        <f>"1551604172129683"</f>
        <v>1551604172129683</v>
      </c>
      <c r="C5836" t="s">
        <v>40</v>
      </c>
      <c r="D5836">
        <v>5.6093289999999998</v>
      </c>
      <c r="E5836">
        <v>0.45890259999999999</v>
      </c>
      <c r="F5836" t="s">
        <v>45</v>
      </c>
      <c r="G5836">
        <v>0</v>
      </c>
      <c r="H5836">
        <v>0</v>
      </c>
      <c r="I5836">
        <v>0</v>
      </c>
      <c r="J5836">
        <v>-113.3732</v>
      </c>
      <c r="K5836">
        <v>1.1224400000000001</v>
      </c>
      <c r="L5836">
        <v>138.22460000000001</v>
      </c>
      <c r="M5836">
        <v>0.99941849999999999</v>
      </c>
      <c r="N5836">
        <v>-1.703762E-2</v>
      </c>
      <c r="O5836">
        <v>2.953764E-2</v>
      </c>
      <c r="P5836">
        <v>0.95783470000000004</v>
      </c>
      <c r="Q5836">
        <v>0.26447989999999999</v>
      </c>
      <c r="R5836">
        <v>-0.1122639</v>
      </c>
      <c r="S5836">
        <v>2.939133</v>
      </c>
      <c r="T5836">
        <v>0.61480369999999995</v>
      </c>
      <c r="U5836">
        <v>-0.1031647</v>
      </c>
      <c r="V5836">
        <v>0.14052290000000001</v>
      </c>
      <c r="W5836">
        <v>0.28069129999999998</v>
      </c>
      <c r="X5836">
        <v>0.94945550000000001</v>
      </c>
      <c r="Y5836">
        <v>6.2599470000000004E-2</v>
      </c>
      <c r="Z5836">
        <v>1.254459E-2</v>
      </c>
      <c r="AA5836">
        <v>0.99795990000000001</v>
      </c>
      <c r="AB5836">
        <v>2</v>
      </c>
      <c r="AC5836">
        <v>2.939133</v>
      </c>
      <c r="AD5836">
        <v>0.61480369999999995</v>
      </c>
      <c r="AE5836">
        <v>-0.1031647</v>
      </c>
      <c r="AF5836">
        <v>0.18199385798162901</v>
      </c>
      <c r="AG5836">
        <v>0.61480369999999995</v>
      </c>
      <c r="AH5836">
        <v>2.8119165776808099</v>
      </c>
      <c r="AI5836">
        <v>77.6917710297691</v>
      </c>
      <c r="AJ5836">
        <v>86.296847371014294</v>
      </c>
      <c r="AK5836">
        <v>2.8840908781993799</v>
      </c>
      <c r="AL5836">
        <v>73.698532341528406</v>
      </c>
      <c r="AM5836">
        <v>81.581131265470006</v>
      </c>
      <c r="AN5836">
        <v>1.0000000189001701</v>
      </c>
    </row>
    <row r="5837" spans="1:40" x14ac:dyDescent="0.25">
      <c r="A5837" t="str">
        <f>"20190303170932168"</f>
        <v>20190303170932168</v>
      </c>
      <c r="B5837" t="str">
        <f>"1551604172159940"</f>
        <v>1551604172159940</v>
      </c>
      <c r="C5837" t="s">
        <v>40</v>
      </c>
      <c r="D5837">
        <v>5.117998</v>
      </c>
      <c r="E5837">
        <v>0.46092499999999997</v>
      </c>
      <c r="F5837" t="s">
        <v>45</v>
      </c>
      <c r="G5837">
        <v>0</v>
      </c>
      <c r="H5837">
        <v>0</v>
      </c>
      <c r="I5837">
        <v>0</v>
      </c>
      <c r="J5837">
        <v>-113.33880000000001</v>
      </c>
      <c r="K5837">
        <v>1.1224270000000001</v>
      </c>
      <c r="L5837">
        <v>138.22569999999999</v>
      </c>
      <c r="M5837">
        <v>0.99942399999999998</v>
      </c>
      <c r="N5837">
        <v>-1.6546720000000001E-2</v>
      </c>
      <c r="O5837">
        <v>2.962797E-2</v>
      </c>
      <c r="P5837">
        <v>0.95219180000000003</v>
      </c>
      <c r="Q5837">
        <v>0.27897129999999998</v>
      </c>
      <c r="R5837">
        <v>-0.1245236</v>
      </c>
      <c r="S5837">
        <v>2.7679900000000002</v>
      </c>
      <c r="T5837">
        <v>1.291148</v>
      </c>
      <c r="U5837">
        <v>-6.4559939999999996E-2</v>
      </c>
      <c r="V5837">
        <v>0.15269630000000001</v>
      </c>
      <c r="W5837">
        <v>0.29461459999999901</v>
      </c>
      <c r="X5837">
        <v>0.94333769999999995</v>
      </c>
      <c r="Y5837">
        <v>4.51598E-2</v>
      </c>
      <c r="Z5837">
        <v>2.3225909999999999E-2</v>
      </c>
      <c r="AA5837">
        <v>0.99870970000000003</v>
      </c>
      <c r="AB5837">
        <v>2</v>
      </c>
      <c r="AC5837">
        <v>2.7679900000000002</v>
      </c>
      <c r="AD5837">
        <v>1.291148</v>
      </c>
      <c r="AE5837">
        <v>-6.4559939999999996E-2</v>
      </c>
      <c r="AF5837">
        <v>0.120375451852969</v>
      </c>
      <c r="AG5837">
        <v>1.291148</v>
      </c>
      <c r="AH5837">
        <v>2.2710010991207699</v>
      </c>
      <c r="AI5837">
        <v>60.414692067825399</v>
      </c>
      <c r="AJ5837">
        <v>86.9658504385378</v>
      </c>
      <c r="AK5837">
        <v>2.6151480645501799</v>
      </c>
      <c r="AL5837">
        <v>72.865570913338502</v>
      </c>
      <c r="AM5837">
        <v>80.805389921264194</v>
      </c>
      <c r="AN5837">
        <v>0.99999996940406899</v>
      </c>
    </row>
    <row r="5838" spans="1:40" x14ac:dyDescent="0.25">
      <c r="A5838" t="str">
        <f>"20190303170932202"</f>
        <v>20190303170932202</v>
      </c>
      <c r="B5838" t="str">
        <f>"1551604172199602"</f>
        <v>1551604172199602</v>
      </c>
      <c r="C5838" t="s">
        <v>40</v>
      </c>
      <c r="D5838">
        <v>5.0776050000000001</v>
      </c>
      <c r="E5838">
        <v>0.45737840000000002</v>
      </c>
      <c r="F5838" t="s">
        <v>45</v>
      </c>
      <c r="G5838">
        <v>0</v>
      </c>
      <c r="H5838">
        <v>0</v>
      </c>
      <c r="I5838">
        <v>0</v>
      </c>
      <c r="J5838">
        <v>-113.3044</v>
      </c>
      <c r="K5838">
        <v>1.1223829999999999</v>
      </c>
      <c r="L5838">
        <v>138.2268</v>
      </c>
      <c r="M5838">
        <v>0.99942869999999995</v>
      </c>
      <c r="N5838">
        <v>-1.610315E-2</v>
      </c>
      <c r="O5838">
        <v>2.9717710000000001E-2</v>
      </c>
      <c r="P5838">
        <v>0.94774380000000003</v>
      </c>
      <c r="Q5838">
        <v>0.28959210000000002</v>
      </c>
      <c r="R5838">
        <v>-0.13385999999999901</v>
      </c>
      <c r="S5838">
        <v>2.7012019999999999</v>
      </c>
      <c r="T5838">
        <v>1.4741979999999999</v>
      </c>
      <c r="U5838">
        <v>-0.1339264</v>
      </c>
      <c r="V5838">
        <v>0.16198180000000001</v>
      </c>
      <c r="W5838">
        <v>0.30473919999999999</v>
      </c>
      <c r="X5838">
        <v>0.93856050000000002</v>
      </c>
      <c r="Y5838">
        <v>6.5949850000000004E-2</v>
      </c>
      <c r="Z5838">
        <v>3.1854300000000002E-2</v>
      </c>
      <c r="AA5838">
        <v>0.99731429999999999</v>
      </c>
      <c r="AB5838">
        <v>2</v>
      </c>
      <c r="AC5838">
        <v>2.7012019999999999</v>
      </c>
      <c r="AD5838">
        <v>1.4741979999999999</v>
      </c>
      <c r="AE5838">
        <v>-0.1339264</v>
      </c>
      <c r="AF5838">
        <v>0.16509748331770599</v>
      </c>
      <c r="AG5838">
        <v>1.4741979999999999</v>
      </c>
      <c r="AH5838">
        <v>2.0784731398268899</v>
      </c>
      <c r="AI5838">
        <v>54.738059281149397</v>
      </c>
      <c r="AJ5838">
        <v>85.458411630221704</v>
      </c>
      <c r="AK5838">
        <v>2.5535401925921799</v>
      </c>
      <c r="AL5838">
        <v>72.257524797175904</v>
      </c>
      <c r="AM5838">
        <v>80.208047066295904</v>
      </c>
      <c r="AN5838">
        <v>0.99999994785406299</v>
      </c>
    </row>
    <row r="5839" spans="1:40" x14ac:dyDescent="0.25">
      <c r="A5839" t="str">
        <f>"20190303170932235"</f>
        <v>20190303170932235</v>
      </c>
      <c r="B5839" t="str">
        <f>"1551604172229858"</f>
        <v>1551604172229858</v>
      </c>
      <c r="C5839" t="s">
        <v>40</v>
      </c>
      <c r="D5839">
        <v>4.9948699999999997</v>
      </c>
      <c r="E5839">
        <v>0.45499109999999998</v>
      </c>
      <c r="F5839" t="s">
        <v>45</v>
      </c>
      <c r="G5839">
        <v>0</v>
      </c>
      <c r="H5839">
        <v>0</v>
      </c>
      <c r="I5839">
        <v>0</v>
      </c>
      <c r="J5839">
        <v>-113.2713</v>
      </c>
      <c r="K5839">
        <v>1.1223369999999999</v>
      </c>
      <c r="L5839">
        <v>138.2278</v>
      </c>
      <c r="M5839">
        <v>0.99943409999999999</v>
      </c>
      <c r="N5839">
        <v>-1.5592719999999999E-2</v>
      </c>
      <c r="O5839">
        <v>2.980793E-2</v>
      </c>
      <c r="P5839">
        <v>0.9418879</v>
      </c>
      <c r="Q5839">
        <v>0.30415510000000001</v>
      </c>
      <c r="R5839">
        <v>-0.14260699999999901</v>
      </c>
      <c r="S5839">
        <v>2.6711580000000001</v>
      </c>
      <c r="T5839">
        <v>1.5533140000000001</v>
      </c>
      <c r="U5839">
        <v>-0.13897709999999999</v>
      </c>
      <c r="V5839">
        <v>0.17063449999999999</v>
      </c>
      <c r="W5839">
        <v>0.31872590000000001</v>
      </c>
      <c r="X5839">
        <v>0.93236129999999995</v>
      </c>
      <c r="Y5839">
        <v>6.6681409999999997E-2</v>
      </c>
      <c r="Z5839">
        <v>3.390787E-2</v>
      </c>
      <c r="AA5839">
        <v>0.99719800000000003</v>
      </c>
      <c r="AB5839">
        <v>2</v>
      </c>
      <c r="AC5839">
        <v>2.6711580000000001</v>
      </c>
      <c r="AD5839">
        <v>1.5533140000000001</v>
      </c>
      <c r="AE5839">
        <v>-0.13897709999999999</v>
      </c>
      <c r="AF5839">
        <v>0.16343057635764099</v>
      </c>
      <c r="AG5839">
        <v>1.5533140000000001</v>
      </c>
      <c r="AH5839">
        <v>1.9935224766167501</v>
      </c>
      <c r="AI5839">
        <v>52.167968503242399</v>
      </c>
      <c r="AJ5839">
        <v>85.313326631245104</v>
      </c>
      <c r="AK5839">
        <v>2.5325137315838502</v>
      </c>
      <c r="AL5839">
        <v>71.414109074312094</v>
      </c>
      <c r="AM5839">
        <v>79.628884567987598</v>
      </c>
      <c r="AN5839">
        <v>0.99999996282937398</v>
      </c>
    </row>
    <row r="5840" spans="1:40" x14ac:dyDescent="0.25">
      <c r="A5840" t="str">
        <f>"20190303170932268"</f>
        <v>20190303170932268</v>
      </c>
      <c r="B5840" t="str">
        <f>"1551604172260114"</f>
        <v>1551604172260114</v>
      </c>
      <c r="C5840" t="s">
        <v>40</v>
      </c>
      <c r="D5840">
        <v>4.9973199999999904</v>
      </c>
      <c r="E5840">
        <v>0.45293280000000002</v>
      </c>
      <c r="F5840" t="s">
        <v>45</v>
      </c>
      <c r="G5840">
        <v>0</v>
      </c>
      <c r="H5840">
        <v>0</v>
      </c>
      <c r="I5840">
        <v>0</v>
      </c>
      <c r="J5840">
        <v>-113.2381</v>
      </c>
      <c r="K5840">
        <v>1.122244</v>
      </c>
      <c r="L5840">
        <v>138.22890000000001</v>
      </c>
      <c r="M5840">
        <v>0.99943959999999998</v>
      </c>
      <c r="N5840">
        <v>-1.5049399999999999E-2</v>
      </c>
      <c r="O5840">
        <v>2.9902930000000001E-2</v>
      </c>
      <c r="P5840">
        <v>0.93931909999999996</v>
      </c>
      <c r="Q5840">
        <v>0.30974859999999999</v>
      </c>
      <c r="R5840">
        <v>-0.14743059999999999</v>
      </c>
      <c r="S5840">
        <v>2.6487430000000001</v>
      </c>
      <c r="T5840">
        <v>1.592454</v>
      </c>
      <c r="U5840">
        <v>-0.14607239999999999</v>
      </c>
      <c r="V5840">
        <v>0.1754656</v>
      </c>
      <c r="W5840">
        <v>0.3237717</v>
      </c>
      <c r="X5840">
        <v>0.92972239999999995</v>
      </c>
      <c r="Y5840">
        <v>6.8591579999999999E-2</v>
      </c>
      <c r="Z5840">
        <v>3.5464559999999999E-2</v>
      </c>
      <c r="AA5840">
        <v>0.99701430000000002</v>
      </c>
      <c r="AB5840">
        <v>2</v>
      </c>
      <c r="AC5840">
        <v>2.6487430000000001</v>
      </c>
      <c r="AD5840">
        <v>1.592454</v>
      </c>
      <c r="AE5840">
        <v>-0.14607239999999999</v>
      </c>
      <c r="AF5840">
        <v>0.165560125900446</v>
      </c>
      <c r="AG5840">
        <v>1.592454</v>
      </c>
      <c r="AH5840">
        <v>1.9430090136867599</v>
      </c>
      <c r="AI5840">
        <v>50.764160425101103</v>
      </c>
      <c r="AJ5840">
        <v>85.129698992190598</v>
      </c>
      <c r="AK5840">
        <v>2.5176584209682198</v>
      </c>
      <c r="AL5840">
        <v>71.108824901847001</v>
      </c>
      <c r="AM5840">
        <v>79.312333626955805</v>
      </c>
      <c r="AN5840">
        <v>1.000000015783</v>
      </c>
    </row>
    <row r="5841" spans="1:40" x14ac:dyDescent="0.25">
      <c r="A5841" t="str">
        <f>"20190303170932302"</f>
        <v>20190303170932302</v>
      </c>
      <c r="B5841" t="str">
        <f>"1551604172299773"</f>
        <v>1551604172299773</v>
      </c>
      <c r="C5841" t="s">
        <v>40</v>
      </c>
      <c r="D5841">
        <v>4.9854279999999997</v>
      </c>
      <c r="E5841">
        <v>0.45087329999999998</v>
      </c>
      <c r="F5841" t="s">
        <v>45</v>
      </c>
      <c r="G5841">
        <v>0</v>
      </c>
      <c r="H5841">
        <v>0</v>
      </c>
      <c r="I5841">
        <v>0</v>
      </c>
      <c r="J5841">
        <v>-113.20529999999999</v>
      </c>
      <c r="K5841">
        <v>1.122185</v>
      </c>
      <c r="L5841">
        <v>138.22999999999999</v>
      </c>
      <c r="M5841">
        <v>0.99944350000000004</v>
      </c>
      <c r="N5841">
        <v>-1.460229E-2</v>
      </c>
      <c r="O5841">
        <v>2.9990349999999999E-2</v>
      </c>
      <c r="P5841">
        <v>0.94138379999999999</v>
      </c>
      <c r="Q5841">
        <v>0.3043399</v>
      </c>
      <c r="R5841">
        <v>-0.145513</v>
      </c>
      <c r="S5841">
        <v>2.6436310000000001</v>
      </c>
      <c r="T5841">
        <v>1.600417</v>
      </c>
      <c r="U5841">
        <v>-0.1427765</v>
      </c>
      <c r="V5841">
        <v>0.17369379999999901</v>
      </c>
      <c r="W5841">
        <v>0.31797779999999998</v>
      </c>
      <c r="X5841">
        <v>0.93205179999999999</v>
      </c>
      <c r="Y5841">
        <v>6.749513E-2</v>
      </c>
      <c r="Z5841">
        <v>3.5433060000000002E-2</v>
      </c>
      <c r="AA5841">
        <v>0.99709020000000004</v>
      </c>
      <c r="AB5841">
        <v>2</v>
      </c>
      <c r="AC5841">
        <v>2.6436310000000001</v>
      </c>
      <c r="AD5841">
        <v>1.600417</v>
      </c>
      <c r="AE5841">
        <v>-0.1427765</v>
      </c>
      <c r="AF5841">
        <v>0.16258962466419399</v>
      </c>
      <c r="AG5841">
        <v>1.600417</v>
      </c>
      <c r="AH5841">
        <v>1.9321140725746</v>
      </c>
      <c r="AI5841">
        <v>50.463499087951199</v>
      </c>
      <c r="AJ5841">
        <v>85.189827076339697</v>
      </c>
      <c r="AK5841">
        <v>2.5141270352506502</v>
      </c>
      <c r="AL5841">
        <v>71.459324966835595</v>
      </c>
      <c r="AM5841">
        <v>79.443657014178598</v>
      </c>
      <c r="AN5841">
        <v>0.99999998766725995</v>
      </c>
    </row>
    <row r="5842" spans="1:40" x14ac:dyDescent="0.25">
      <c r="A5842" t="str">
        <f>"20190303170932336"</f>
        <v>20190303170932336</v>
      </c>
      <c r="B5842" t="str">
        <f>"1551604172330029"</f>
        <v>1551604172330029</v>
      </c>
      <c r="C5842" t="s">
        <v>40</v>
      </c>
      <c r="D5842">
        <v>5.053077</v>
      </c>
      <c r="E5842">
        <v>0.44892009999999999</v>
      </c>
      <c r="F5842" t="s">
        <v>45</v>
      </c>
      <c r="G5842">
        <v>0</v>
      </c>
      <c r="H5842">
        <v>0</v>
      </c>
      <c r="I5842">
        <v>0</v>
      </c>
      <c r="J5842">
        <v>-113.172</v>
      </c>
      <c r="K5842">
        <v>1.1221859999999999</v>
      </c>
      <c r="L5842">
        <v>138.2311</v>
      </c>
      <c r="M5842">
        <v>0.99944750000000004</v>
      </c>
      <c r="N5842">
        <v>-1.4167000000000001E-2</v>
      </c>
      <c r="O5842">
        <v>3.007321E-2</v>
      </c>
      <c r="P5842">
        <v>0.94018349999999995</v>
      </c>
      <c r="Q5842">
        <v>0.30963499999999999</v>
      </c>
      <c r="R5842">
        <v>-0.14206289999999999</v>
      </c>
      <c r="S5842">
        <v>2.6627350000000001</v>
      </c>
      <c r="T5842">
        <v>1.565434</v>
      </c>
      <c r="U5842">
        <v>-0.1163177</v>
      </c>
      <c r="V5842">
        <v>0.17028950000000001</v>
      </c>
      <c r="W5842">
        <v>0.32284980000000002</v>
      </c>
      <c r="X5842">
        <v>0.93100459999999996</v>
      </c>
      <c r="Y5842">
        <v>5.9404529999999997E-2</v>
      </c>
      <c r="Z5842">
        <v>3.2469360000000003E-2</v>
      </c>
      <c r="AA5842">
        <v>0.99770579999999998</v>
      </c>
      <c r="AB5842">
        <v>2</v>
      </c>
      <c r="AC5842">
        <v>2.6627350000000001</v>
      </c>
      <c r="AD5842">
        <v>1.565434</v>
      </c>
      <c r="AE5842">
        <v>-0.1163177</v>
      </c>
      <c r="AF5842">
        <v>0.14598807720257501</v>
      </c>
      <c r="AG5842">
        <v>1.565434</v>
      </c>
      <c r="AH5842">
        <v>1.9762709780269501</v>
      </c>
      <c r="AI5842">
        <v>51.692582549618898</v>
      </c>
      <c r="AJ5842">
        <v>85.775207045980395</v>
      </c>
      <c r="AK5842">
        <v>2.5253797943344898</v>
      </c>
      <c r="AL5842">
        <v>71.164644153280705</v>
      </c>
      <c r="AM5842">
        <v>79.6346432590978</v>
      </c>
      <c r="AN5842">
        <v>1.00000003619572</v>
      </c>
    </row>
    <row r="5843" spans="1:40" x14ac:dyDescent="0.25">
      <c r="A5843" t="str">
        <f>"20190303170932368"</f>
        <v>20190303170932368</v>
      </c>
      <c r="B5843" t="str">
        <f>"1551604172360285"</f>
        <v>1551604172360285</v>
      </c>
      <c r="C5843" t="s">
        <v>40</v>
      </c>
      <c r="D5843">
        <v>4.9436099999999996</v>
      </c>
      <c r="E5843">
        <v>0.44737579999999999</v>
      </c>
      <c r="F5843" t="s">
        <v>45</v>
      </c>
      <c r="G5843">
        <v>0</v>
      </c>
      <c r="H5843">
        <v>0</v>
      </c>
      <c r="I5843">
        <v>0</v>
      </c>
      <c r="J5843">
        <v>-113.13979999999999</v>
      </c>
      <c r="K5843">
        <v>1.1221570000000001</v>
      </c>
      <c r="L5843">
        <v>138.2321</v>
      </c>
      <c r="M5843">
        <v>0.99945059999999997</v>
      </c>
      <c r="N5843">
        <v>-1.3766479999999999E-2</v>
      </c>
      <c r="O5843">
        <v>3.0153490000000002E-2</v>
      </c>
      <c r="P5843">
        <v>0.93710539999999998</v>
      </c>
      <c r="Q5843">
        <v>0.31873800000000002</v>
      </c>
      <c r="R5843">
        <v>-0.1422659</v>
      </c>
      <c r="S5843">
        <v>2.6622620000000001</v>
      </c>
      <c r="T5843">
        <v>1.5641830000000001</v>
      </c>
      <c r="U5843">
        <v>-8.9141849999999995E-2</v>
      </c>
      <c r="V5843">
        <v>0.17047409999999999</v>
      </c>
      <c r="W5843">
        <v>0.33153670000000002</v>
      </c>
      <c r="X5843">
        <v>0.92791270000000003</v>
      </c>
      <c r="Y5843">
        <v>5.0673219999999998E-2</v>
      </c>
      <c r="Z5843">
        <v>3.0192759999999999E-2</v>
      </c>
      <c r="AA5843">
        <v>0.9982588</v>
      </c>
      <c r="AB5843">
        <v>2</v>
      </c>
      <c r="AC5843">
        <v>2.6622620000000001</v>
      </c>
      <c r="AD5843">
        <v>1.5641830000000001</v>
      </c>
      <c r="AE5843">
        <v>-8.9141849999999995E-2</v>
      </c>
      <c r="AF5843">
        <v>0.12595436619615499</v>
      </c>
      <c r="AG5843">
        <v>1.5641830000000001</v>
      </c>
      <c r="AH5843">
        <v>1.97674908034868</v>
      </c>
      <c r="AI5843">
        <v>51.702231280611599</v>
      </c>
      <c r="AJ5843">
        <v>86.354160014367906</v>
      </c>
      <c r="AK5843">
        <v>2.5238997378089798</v>
      </c>
      <c r="AL5843">
        <v>70.637926320273905</v>
      </c>
      <c r="AM5843">
        <v>79.589830436894104</v>
      </c>
      <c r="AN5843">
        <v>0.99999999051949495</v>
      </c>
    </row>
    <row r="5844" spans="1:40" x14ac:dyDescent="0.25">
      <c r="A5844" t="str">
        <f>"20190303170932403"</f>
        <v>20190303170932403</v>
      </c>
      <c r="B5844" t="str">
        <f>"1551604172399965"</f>
        <v>1551604172399965</v>
      </c>
      <c r="C5844" t="s">
        <v>40</v>
      </c>
      <c r="D5844">
        <v>5.0400150000000004</v>
      </c>
      <c r="E5844">
        <v>0.44626759999999899</v>
      </c>
      <c r="F5844" t="s">
        <v>45</v>
      </c>
      <c r="G5844">
        <v>0</v>
      </c>
      <c r="H5844">
        <v>0</v>
      </c>
      <c r="I5844">
        <v>0</v>
      </c>
      <c r="J5844">
        <v>-113.1066</v>
      </c>
      <c r="K5844">
        <v>1.1221730000000001</v>
      </c>
      <c r="L5844">
        <v>138.23320000000001</v>
      </c>
      <c r="M5844">
        <v>0.99945249999999997</v>
      </c>
      <c r="N5844">
        <v>-1.3434359999999999E-2</v>
      </c>
      <c r="O5844">
        <v>3.0239459999999999E-2</v>
      </c>
      <c r="P5844">
        <v>0.93294379999999999</v>
      </c>
      <c r="Q5844">
        <v>0.32750170000000001</v>
      </c>
      <c r="R5844">
        <v>-0.149529299999999</v>
      </c>
      <c r="S5844">
        <v>2.6533660000000001</v>
      </c>
      <c r="T5844">
        <v>1.5763309999999999</v>
      </c>
      <c r="U5844">
        <v>-7.7926640000000005E-2</v>
      </c>
      <c r="V5844">
        <v>0.1776874</v>
      </c>
      <c r="W5844">
        <v>0.33993289999999998</v>
      </c>
      <c r="X5844">
        <v>0.92351110000000003</v>
      </c>
      <c r="Y5844">
        <v>4.6960259999999997E-2</v>
      </c>
      <c r="Z5844">
        <v>2.9537770000000001E-2</v>
      </c>
      <c r="AA5844">
        <v>0.99845989999999996</v>
      </c>
      <c r="AB5844">
        <v>2</v>
      </c>
      <c r="AC5844">
        <v>2.6533660000000001</v>
      </c>
      <c r="AD5844">
        <v>1.5763309999999999</v>
      </c>
      <c r="AE5844">
        <v>-7.7926640000000005E-2</v>
      </c>
      <c r="AF5844">
        <v>0.11690849461201799</v>
      </c>
      <c r="AG5844">
        <v>1.5763309999999999</v>
      </c>
      <c r="AH5844">
        <v>1.9589871786450499</v>
      </c>
      <c r="AI5844">
        <v>51.227272611115197</v>
      </c>
      <c r="AJ5844">
        <v>86.584751369301898</v>
      </c>
      <c r="AK5844">
        <v>2.5171646318366099</v>
      </c>
      <c r="AL5844">
        <v>70.127213353674307</v>
      </c>
      <c r="AM5844">
        <v>79.109141617867806</v>
      </c>
      <c r="AN5844">
        <v>0.99999997022218901</v>
      </c>
    </row>
    <row r="5845" spans="1:40" x14ac:dyDescent="0.25">
      <c r="A5845" t="str">
        <f>"20190303170932438"</f>
        <v>20190303170932438</v>
      </c>
      <c r="B5845" t="str">
        <f>"1551604172430221"</f>
        <v>1551604172430221</v>
      </c>
      <c r="C5845" t="s">
        <v>40</v>
      </c>
      <c r="D5845">
        <v>5.0790499999999996</v>
      </c>
      <c r="E5845">
        <v>0.4661247</v>
      </c>
      <c r="F5845" t="s">
        <v>45</v>
      </c>
      <c r="G5845">
        <v>0</v>
      </c>
      <c r="H5845">
        <v>0</v>
      </c>
      <c r="I5845">
        <v>0</v>
      </c>
      <c r="J5845">
        <v>-113.0732</v>
      </c>
      <c r="K5845">
        <v>1.12218</v>
      </c>
      <c r="L5845">
        <v>138.23429999999999</v>
      </c>
      <c r="M5845">
        <v>0.99945360000000005</v>
      </c>
      <c r="N5845">
        <v>-1.3153929999999999E-2</v>
      </c>
      <c r="O5845">
        <v>3.032777E-2</v>
      </c>
      <c r="P5845">
        <v>0.92949990000000005</v>
      </c>
      <c r="Q5845">
        <v>0.33347070000000001</v>
      </c>
      <c r="R5845">
        <v>-0.15756809999999999</v>
      </c>
      <c r="S5845">
        <v>2.644943</v>
      </c>
      <c r="T5845">
        <v>1.5848150000000001</v>
      </c>
      <c r="U5845">
        <v>-8.9462280000000005E-2</v>
      </c>
      <c r="V5845">
        <v>0.18569910000000001</v>
      </c>
      <c r="W5845">
        <v>0.34559400000000001</v>
      </c>
      <c r="X5845">
        <v>0.91982640000000004</v>
      </c>
      <c r="Y5845">
        <v>5.0677239999999998E-2</v>
      </c>
      <c r="Z5845">
        <v>3.080389E-2</v>
      </c>
      <c r="AA5845">
        <v>0.99823989999999996</v>
      </c>
      <c r="AB5845">
        <v>2</v>
      </c>
      <c r="AC5845">
        <v>2.644943</v>
      </c>
      <c r="AD5845">
        <v>1.5848150000000001</v>
      </c>
      <c r="AE5845">
        <v>-8.9462280000000005E-2</v>
      </c>
      <c r="AF5845">
        <v>0.124864899409507</v>
      </c>
      <c r="AG5845">
        <v>1.5848150000000001</v>
      </c>
      <c r="AH5845">
        <v>1.9439013498443101</v>
      </c>
      <c r="AI5845">
        <v>50.868243294268702</v>
      </c>
      <c r="AJ5845">
        <v>86.324702120150206</v>
      </c>
      <c r="AK5845">
        <v>2.5111714965840299</v>
      </c>
      <c r="AL5845">
        <v>69.781939788547305</v>
      </c>
      <c r="AM5845">
        <v>78.586259828631796</v>
      </c>
      <c r="AN5845">
        <v>0.999999987356885</v>
      </c>
    </row>
    <row r="5846" spans="1:40" x14ac:dyDescent="0.25">
      <c r="A5846" t="str">
        <f>"20190303170932472"</f>
        <v>20190303170932472</v>
      </c>
      <c r="B5846" t="str">
        <f>"1551604172459501"</f>
        <v>1551604172459501</v>
      </c>
      <c r="C5846" t="s">
        <v>40</v>
      </c>
      <c r="D5846">
        <v>5.0790940000000004</v>
      </c>
      <c r="E5846">
        <v>0.466364</v>
      </c>
      <c r="F5846" t="s">
        <v>45</v>
      </c>
      <c r="G5846">
        <v>0</v>
      </c>
      <c r="H5846">
        <v>0</v>
      </c>
      <c r="I5846">
        <v>0</v>
      </c>
      <c r="J5846">
        <v>-113.0398</v>
      </c>
      <c r="K5846">
        <v>1.1221540000000001</v>
      </c>
      <c r="L5846">
        <v>138.2354</v>
      </c>
      <c r="M5846">
        <v>0.99945379999999995</v>
      </c>
      <c r="N5846">
        <v>-1.2916550000000001E-2</v>
      </c>
      <c r="O5846">
        <v>3.0417650000000001E-2</v>
      </c>
      <c r="P5846">
        <v>0.92859000000000003</v>
      </c>
      <c r="Q5846">
        <v>0.33488379999999901</v>
      </c>
      <c r="R5846">
        <v>-0.15991729999999901</v>
      </c>
      <c r="S5846">
        <v>2.6135250000000001</v>
      </c>
      <c r="T5846">
        <v>1.5850919999999999</v>
      </c>
      <c r="U5846">
        <v>-0.26741029999999999</v>
      </c>
      <c r="V5846">
        <v>0.1881022</v>
      </c>
      <c r="W5846">
        <v>0.34677550000000001</v>
      </c>
      <c r="X5846">
        <v>0.91889299999999996</v>
      </c>
      <c r="Y5846">
        <v>0.1088375</v>
      </c>
      <c r="Z5846">
        <v>4.6941370000000003E-2</v>
      </c>
      <c r="AA5846">
        <v>0.99295060000000002</v>
      </c>
      <c r="AB5846">
        <v>2</v>
      </c>
      <c r="AC5846">
        <v>2.6135250000000001</v>
      </c>
      <c r="AD5846">
        <v>1.5850919999999999</v>
      </c>
      <c r="AE5846">
        <v>-0.26741029999999999</v>
      </c>
      <c r="AF5846">
        <v>0.25424032240699401</v>
      </c>
      <c r="AG5846">
        <v>1.5850919999999999</v>
      </c>
      <c r="AH5846">
        <v>1.9091867578728501</v>
      </c>
      <c r="AI5846">
        <v>50.546317959655298</v>
      </c>
      <c r="AJ5846">
        <v>82.414730904762095</v>
      </c>
      <c r="AK5846">
        <v>2.4944235539375899</v>
      </c>
      <c r="AL5846">
        <v>69.709783698339194</v>
      </c>
      <c r="AM5846">
        <v>78.4310828271704</v>
      </c>
      <c r="AN5846">
        <v>1.0000000152470401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TxtToExcel_Tem_Txt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吕泽众</dc:creator>
  <cp:lastModifiedBy>吕泽众</cp:lastModifiedBy>
  <dcterms:created xsi:type="dcterms:W3CDTF">2020-05-20T14:49:57Z</dcterms:created>
  <dcterms:modified xsi:type="dcterms:W3CDTF">2020-05-20T14:49:57Z</dcterms:modified>
</cp:coreProperties>
</file>